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filterPrivacy="1" codeName="ThisWorkbook" defaultThemeVersion="124226"/>
  <xr:revisionPtr revIDLastSave="0" documentId="13_ncr:1_{BA9FACB4-0BE8-4167-A2D4-8DB2840E5450}" xr6:coauthVersionLast="47" xr6:coauthVersionMax="47" xr10:uidLastSave="{00000000-0000-0000-0000-000000000000}"/>
  <bookViews>
    <workbookView xWindow="9900" yWindow="768" windowWidth="12492" windowHeight="9924" tabRatio="944" firstSheet="2" activeTab="2" xr2:uid="{00000000-000D-0000-FFFF-FFFF00000000}"/>
  </bookViews>
  <sheets>
    <sheet name="Maj Production Summ" sheetId="35" r:id="rId1"/>
    <sheet name="Maj Despatch Summ" sheetId="21" r:id="rId2"/>
    <sheet name="Maj Techno Summ" sheetId="36" r:id="rId3"/>
    <sheet name="Major techno all dept" sheetId="59" r:id="rId4"/>
    <sheet name="Direct sales IPT details" sheetId="73" r:id="rId5"/>
    <sheet name="Coal to Hot Metal" sheetId="49" r:id="rId6"/>
    <sheet name="DETAIL DESP  " sheetId="28" r:id="rId7"/>
    <sheet name="Raw Mat Received" sheetId="77" r:id="rId8"/>
    <sheet name="COKE OVENS" sheetId="6" r:id="rId9"/>
    <sheet name="RMHP" sheetId="39" r:id="rId10"/>
    <sheet name="SINTER" sheetId="7" r:id="rId11"/>
    <sheet name="B-FCE" sheetId="8" r:id="rId12"/>
    <sheet name="SMS" sheetId="9" r:id="rId13"/>
    <sheet name="WRM" sheetId="10" r:id="rId14"/>
    <sheet name="BM" sheetId="11" r:id="rId15"/>
    <sheet name="USM" sheetId="45" r:id="rId16"/>
    <sheet name="GRD SUMM RCL 150X150 " sheetId="71" r:id="rId17"/>
    <sheet name="GRD SUMM RCL CASTER 3" sheetId="72" r:id="rId18"/>
    <sheet name="150x150 saleable grades" sheetId="90" state="hidden" r:id="rId19"/>
    <sheet name="Value added steel " sheetId="50" r:id="rId20"/>
    <sheet name="POWER DISTRIBUTION" sheetId="38" r:id="rId21"/>
    <sheet name="PBS" sheetId="17" r:id="rId22"/>
    <sheet name="ECD" sheetId="15" r:id="rId23"/>
    <sheet name="EMD" sheetId="26" r:id="rId24"/>
    <sheet name="LDCP" sheetId="22" r:id="rId25"/>
    <sheet name="OXY PL" sheetId="27" r:id="rId26"/>
    <sheet name="SEQR  Prod &amp; Dispatch" sheetId="52" r:id="rId27"/>
    <sheet name="High carbon grades" sheetId="61" r:id="rId28"/>
    <sheet name="Shopwise makeup water cons" sheetId="114" r:id="rId29"/>
    <sheet name="Shopwise Refractory consumption" sheetId="106" r:id="rId30"/>
    <sheet name="SHOPS" sheetId="24" r:id="rId31"/>
    <sheet name="Quality Iron ore sinter pellet" sheetId="104" r:id="rId32"/>
    <sheet name="Special steel " sheetId="83" state="hidden" r:id="rId33"/>
    <sheet name="Slag Analysis" sheetId="87" state="hidden" r:id="rId34"/>
    <sheet name="Capital Repair 2026-27" sheetId="112" r:id="rId35"/>
    <sheet name="Delay analysis 2026-27" sheetId="113" r:id="rId36"/>
    <sheet name="CHM" sheetId="107" state="hidden" r:id="rId37"/>
    <sheet name="Sheet2" sheetId="109" state="hidden" r:id="rId38"/>
  </sheets>
  <externalReferences>
    <externalReference r:id="rId39"/>
    <externalReference r:id="rId40"/>
  </externalReferences>
  <definedNames>
    <definedName name="_1" localSheetId="18">#REF!</definedName>
    <definedName name="_1" localSheetId="34">#REF!</definedName>
    <definedName name="_1" localSheetId="4">#REF!</definedName>
    <definedName name="_1" localSheetId="16">#REF!</definedName>
    <definedName name="_1" localSheetId="17">#REF!</definedName>
    <definedName name="_1" localSheetId="31">#REF!</definedName>
    <definedName name="_1" localSheetId="7">#REF!</definedName>
    <definedName name="_1" localSheetId="32">#REF!</definedName>
    <definedName name="_1">#REF!</definedName>
    <definedName name="_2" localSheetId="18">#REF!</definedName>
    <definedName name="_2" localSheetId="34">#REF!</definedName>
    <definedName name="_2" localSheetId="4">#REF!</definedName>
    <definedName name="_2" localSheetId="16">#REF!</definedName>
    <definedName name="_2" localSheetId="17">#REF!</definedName>
    <definedName name="_2" localSheetId="31">#REF!</definedName>
    <definedName name="_2" localSheetId="7">#REF!</definedName>
    <definedName name="_2" localSheetId="32">#REF!</definedName>
    <definedName name="_2">#REF!</definedName>
    <definedName name="_3" localSheetId="18">#REF!</definedName>
    <definedName name="_3" localSheetId="34">#REF!</definedName>
    <definedName name="_3" localSheetId="16">#REF!</definedName>
    <definedName name="_3" localSheetId="17">#REF!</definedName>
    <definedName name="_3" localSheetId="31">#REF!</definedName>
    <definedName name="_3" localSheetId="7">#REF!</definedName>
    <definedName name="_3" localSheetId="32">#REF!</definedName>
    <definedName name="_3">#REF!</definedName>
    <definedName name="_4" localSheetId="32">#REF!</definedName>
    <definedName name="_4">#REF!</definedName>
    <definedName name="_xlnm._FilterDatabase" localSheetId="14" hidden="1">BM!$A$1:$BF$79</definedName>
    <definedName name="_xlnm._FilterDatabase" localSheetId="6" hidden="1">'DETAIL DESP  '!$F$291:$F$293</definedName>
    <definedName name="_xlnm._FilterDatabase" localSheetId="4" hidden="1">'Direct sales IPT details'!$B$142:$AA$142</definedName>
    <definedName name="_xlnm._FilterDatabase" localSheetId="16" hidden="1">'GRD SUMM RCL 150X150 '!$D$5:$AR$61</definedName>
    <definedName name="_xlnm._FilterDatabase" localSheetId="15" hidden="1">USM!$C$7:$C$144</definedName>
    <definedName name="_xlnm._FilterDatabase" localSheetId="13" hidden="1">WRM!$A$1:$BG$178</definedName>
    <definedName name="a" localSheetId="4">#REF!</definedName>
    <definedName name="a" localSheetId="7">#REF!</definedName>
    <definedName name="a" localSheetId="32">#REF!</definedName>
    <definedName name="a">#REF!</definedName>
    <definedName name="AA" localSheetId="4">#REF!</definedName>
    <definedName name="AA" localSheetId="32">#REF!</definedName>
    <definedName name="AA">#REF!</definedName>
    <definedName name="AB" localSheetId="4">#REF!</definedName>
    <definedName name="AB" localSheetId="32">#REF!</definedName>
    <definedName name="AB">#REF!</definedName>
    <definedName name="AC" localSheetId="32">#REF!</definedName>
    <definedName name="AC">#REF!</definedName>
    <definedName name="AD" localSheetId="32">#REF!</definedName>
    <definedName name="AD">#REF!</definedName>
    <definedName name="AE" localSheetId="32">#REF!</definedName>
    <definedName name="AE">#REF!</definedName>
    <definedName name="AF" localSheetId="32">#REF!</definedName>
    <definedName name="AF">#REF!</definedName>
    <definedName name="AG" localSheetId="32">#REF!</definedName>
    <definedName name="AG">#REF!</definedName>
    <definedName name="AH" localSheetId="32">#REF!</definedName>
    <definedName name="AH">#REF!</definedName>
    <definedName name="AI" localSheetId="32">#REF!</definedName>
    <definedName name="AI">#REF!</definedName>
    <definedName name="AK" localSheetId="32">#REF!</definedName>
    <definedName name="AK">#REF!</definedName>
    <definedName name="AL" localSheetId="32">#REF!</definedName>
    <definedName name="AL">#REF!</definedName>
    <definedName name="AM" localSheetId="32">#REF!</definedName>
    <definedName name="AM">#REF!</definedName>
    <definedName name="AN" localSheetId="32">#REF!</definedName>
    <definedName name="AN">#REF!</definedName>
    <definedName name="AS" localSheetId="32">#REF!</definedName>
    <definedName name="AS">#REF!</definedName>
    <definedName name="CL" localSheetId="32">#REF!</definedName>
    <definedName name="CL">#REF!</definedName>
    <definedName name="D" localSheetId="32">#REF!</definedName>
    <definedName name="D">#REF!</definedName>
    <definedName name="E" localSheetId="32">#REF!</definedName>
    <definedName name="E">#REF!</definedName>
    <definedName name="F" localSheetId="32">#REF!</definedName>
    <definedName name="F">#REF!</definedName>
    <definedName name="G" localSheetId="32">#REF!</definedName>
    <definedName name="G">#REF!</definedName>
    <definedName name="H" localSheetId="32">#REF!</definedName>
    <definedName name="H">#REF!</definedName>
    <definedName name="I" localSheetId="32">#REF!</definedName>
    <definedName name="I">#REF!</definedName>
    <definedName name="J" localSheetId="32">#REF!</definedName>
    <definedName name="J">#REF!</definedName>
    <definedName name="K" localSheetId="32">#REF!</definedName>
    <definedName name="K">#REF!</definedName>
    <definedName name="L" localSheetId="32">#REF!</definedName>
    <definedName name="L">#REF!</definedName>
    <definedName name="M" localSheetId="32">#REF!</definedName>
    <definedName name="M">#REF!</definedName>
    <definedName name="N" localSheetId="32">#REF!</definedName>
    <definedName name="N">#REF!</definedName>
    <definedName name="O" localSheetId="32">#REF!</definedName>
    <definedName name="O">#REF!</definedName>
    <definedName name="P" localSheetId="32">#REF!</definedName>
    <definedName name="P">#REF!</definedName>
    <definedName name="_xlnm.Print_Area" localSheetId="18">'150x150 saleable grades'!$C$66:$BE$131</definedName>
    <definedName name="_xlnm.Print_Area" localSheetId="11">'B-FCE'!$B$4:$AJ$93</definedName>
    <definedName name="_xlnm.Print_Area" localSheetId="14">BM!$B$1:$V$95</definedName>
    <definedName name="_xlnm.Print_Area" localSheetId="36">CHM!$A$1:$B$29</definedName>
    <definedName name="_xlnm.Print_Area" localSheetId="5">'Coal to Hot Metal'!$B$2:$AB$20</definedName>
    <definedName name="_xlnm.Print_Area" localSheetId="8">'COKE OVENS'!$AJ$184:$AU$184</definedName>
    <definedName name="_xlnm.Print_Area" localSheetId="6">'DETAIL DESP  '!$B$3:$F$100</definedName>
    <definedName name="_xlnm.Print_Area" localSheetId="4">'Direct sales IPT details'!$B$2:$U$135</definedName>
    <definedName name="_xlnm.Print_Area" localSheetId="22">ECD!#REF!</definedName>
    <definedName name="_xlnm.Print_Area" localSheetId="23">EMD!$B$1:$M$128</definedName>
    <definedName name="_xlnm.Print_Area" localSheetId="16">'GRD SUMM RCL 150X150 '!$E$2:$CU$61</definedName>
    <definedName name="_xlnm.Print_Area" localSheetId="17">'GRD SUMM RCL CASTER 3'!$A$2:$Y$51</definedName>
    <definedName name="_xlnm.Print_Area" localSheetId="24">LDCP!$C$2:$N$34</definedName>
    <definedName name="_xlnm.Print_Area" localSheetId="1">'Maj Despatch Summ'!$B$1:$BU$28</definedName>
    <definedName name="_xlnm.Print_Area" localSheetId="0">'Maj Production Summ'!$B$3:$BN$49</definedName>
    <definedName name="_xlnm.Print_Area" localSheetId="2">'Maj Techno Summ'!$B$1:$BV$30</definedName>
    <definedName name="_xlnm.Print_Area" localSheetId="3">'Major techno all dept'!$C$3:$AE$80</definedName>
    <definedName name="_xlnm.Print_Area" localSheetId="25">'OXY PL'!$B$1:$M$39</definedName>
    <definedName name="_xlnm.Print_Area" localSheetId="21">PBS!$B$1:$M$82</definedName>
    <definedName name="_xlnm.Print_Area" localSheetId="20">'POWER DISTRIBUTION'!$B$45:$C$81</definedName>
    <definedName name="_xlnm.Print_Area" localSheetId="31">'Quality Iron ore sinter pellet'!$D$5:$U$50</definedName>
    <definedName name="_xlnm.Print_Area" localSheetId="9">RMHP!$C$1:$Q$47</definedName>
    <definedName name="_xlnm.Print_Area" localSheetId="26">'SEQR  Prod &amp; Dispatch'!$C$1:$T$31</definedName>
    <definedName name="_xlnm.Print_Area" localSheetId="30">SHOPS!$C$2:$N$8</definedName>
    <definedName name="_xlnm.Print_Area" localSheetId="10">SINTER!$B$1:$V$115</definedName>
    <definedName name="_xlnm.Print_Area" localSheetId="12">SMS!$B$1:$V$139</definedName>
    <definedName name="_xlnm.Print_Area" localSheetId="32">'Special steel '!$C$1:$O$80</definedName>
    <definedName name="_xlnm.Print_Area" localSheetId="15">USM!$B$1:$O$144</definedName>
    <definedName name="_xlnm.Print_Area" localSheetId="19">'Value added steel '!$C$1:$O$98</definedName>
    <definedName name="_xlnm.Print_Area" localSheetId="13">WRM!$B$1:$N$194</definedName>
    <definedName name="Q" localSheetId="4">#REF!</definedName>
    <definedName name="Q" localSheetId="31">#REF!</definedName>
    <definedName name="Q" localSheetId="7">#REF!</definedName>
    <definedName name="Q" localSheetId="32">#REF!</definedName>
    <definedName name="Q">#REF!</definedName>
    <definedName name="RL" localSheetId="4">#REF!</definedName>
    <definedName name="RL" localSheetId="31">#REF!</definedName>
    <definedName name="RL" localSheetId="32">#REF!</definedName>
    <definedName name="RL">#REF!</definedName>
    <definedName name="RM" localSheetId="4">#REF!</definedName>
    <definedName name="RM" localSheetId="31">#REF!</definedName>
    <definedName name="RM" localSheetId="32">#REF!</definedName>
    <definedName name="RM">#REF!</definedName>
    <definedName name="rmisp" localSheetId="32">#REF!</definedName>
    <definedName name="rmisp">#REF!</definedName>
    <definedName name="S" localSheetId="32">#REF!</definedName>
    <definedName name="S">#REF!</definedName>
    <definedName name="T" localSheetId="32">#REF!</definedName>
    <definedName name="T">#REF!</definedName>
    <definedName name="U" localSheetId="32">#REF!</definedName>
    <definedName name="U">#REF!</definedName>
    <definedName name="V" localSheetId="32">#REF!</definedName>
    <definedName name="V">#REF!</definedName>
    <definedName name="W" localSheetId="32">#REF!</definedName>
    <definedName name="W">#REF!</definedName>
    <definedName name="X" localSheetId="32">#REF!</definedName>
    <definedName name="X">#REF!</definedName>
    <definedName name="Y" localSheetId="32">#REF!</definedName>
    <definedName name="Y">#REF!</definedName>
    <definedName name="Z" localSheetId="32">#REF!</definedName>
    <definedName name="Z">#REF!</definedName>
  </definedNames>
  <calcPr calcId="181029"/>
</workbook>
</file>

<file path=xl/calcChain.xml><?xml version="1.0" encoding="utf-8"?>
<calcChain xmlns="http://schemas.openxmlformats.org/spreadsheetml/2006/main">
  <c r="BH22" i="21" l="1"/>
  <c r="N22" i="114" l="1"/>
  <c r="M22" i="114"/>
  <c r="L22" i="114"/>
  <c r="K22" i="114"/>
  <c r="J22" i="114"/>
  <c r="I22" i="114"/>
  <c r="H22" i="114"/>
  <c r="G22" i="114"/>
  <c r="F22" i="114"/>
  <c r="E22" i="114"/>
  <c r="D22" i="114"/>
  <c r="C22" i="114"/>
  <c r="O22" i="114" s="1"/>
  <c r="P22" i="114" s="1"/>
  <c r="O21" i="114"/>
  <c r="P21" i="114" s="1"/>
  <c r="O20" i="114"/>
  <c r="P20" i="114" s="1"/>
  <c r="O19" i="114"/>
  <c r="P19" i="114" s="1"/>
  <c r="O18" i="114"/>
  <c r="P18" i="114" s="1"/>
  <c r="O17" i="114"/>
  <c r="P17" i="114" s="1"/>
  <c r="O16" i="114"/>
  <c r="P16" i="114" s="1"/>
  <c r="O15" i="114"/>
  <c r="P15" i="114" s="1"/>
  <c r="O14" i="114"/>
  <c r="P14" i="114" s="1"/>
  <c r="O13" i="114"/>
  <c r="P13" i="114" s="1"/>
  <c r="O12" i="114"/>
  <c r="P12" i="114" s="1"/>
  <c r="O11" i="114"/>
  <c r="P11" i="114" s="1"/>
  <c r="O10" i="114"/>
  <c r="P10" i="114" s="1"/>
  <c r="O9" i="114"/>
  <c r="P9" i="114" s="1"/>
  <c r="O8" i="114"/>
  <c r="P8" i="114" s="1"/>
  <c r="O7" i="114"/>
  <c r="P7" i="114" s="1"/>
  <c r="L59" i="113" l="1"/>
  <c r="I59" i="113"/>
  <c r="G59" i="113"/>
  <c r="E59" i="113"/>
  <c r="M58" i="113"/>
  <c r="D58" i="113"/>
  <c r="L57" i="113"/>
  <c r="K57" i="113"/>
  <c r="I57" i="113"/>
  <c r="I60" i="113" s="1"/>
  <c r="E57" i="113"/>
  <c r="E60" i="113" s="1"/>
  <c r="M55" i="113"/>
  <c r="L55" i="113"/>
  <c r="I55" i="113"/>
  <c r="K54" i="113"/>
  <c r="G54" i="113"/>
  <c r="E54" i="113"/>
  <c r="D54" i="113"/>
  <c r="L53" i="113"/>
  <c r="E51" i="113"/>
  <c r="M50" i="113"/>
  <c r="L50" i="113"/>
  <c r="K50" i="113"/>
  <c r="G50" i="113"/>
  <c r="I49" i="113"/>
  <c r="E49" i="113"/>
  <c r="D49" i="113"/>
  <c r="L47" i="113"/>
  <c r="I47" i="113"/>
  <c r="G47" i="113"/>
  <c r="E47" i="113"/>
  <c r="M46" i="113"/>
  <c r="D46" i="113"/>
  <c r="L45" i="113"/>
  <c r="L48" i="113" s="1"/>
  <c r="K45" i="113"/>
  <c r="K48" i="113" s="1"/>
  <c r="I45" i="113"/>
  <c r="E45" i="113"/>
  <c r="M40" i="113"/>
  <c r="L40" i="113"/>
  <c r="M39" i="113"/>
  <c r="M59" i="113" s="1"/>
  <c r="L39" i="113"/>
  <c r="K39" i="113"/>
  <c r="K59" i="113" s="1"/>
  <c r="I39" i="113"/>
  <c r="G39" i="113"/>
  <c r="E39" i="113"/>
  <c r="D39" i="113"/>
  <c r="D59" i="113" s="1"/>
  <c r="M38" i="113"/>
  <c r="L38" i="113"/>
  <c r="L58" i="113" s="1"/>
  <c r="K38" i="113"/>
  <c r="K58" i="113" s="1"/>
  <c r="I38" i="113"/>
  <c r="I58" i="113" s="1"/>
  <c r="G38" i="113"/>
  <c r="G58" i="113" s="1"/>
  <c r="E38" i="113"/>
  <c r="E58" i="113" s="1"/>
  <c r="D38" i="113"/>
  <c r="M37" i="113"/>
  <c r="M57" i="113" s="1"/>
  <c r="M60" i="113" s="1"/>
  <c r="L37" i="113"/>
  <c r="K37" i="113"/>
  <c r="K40" i="113" s="1"/>
  <c r="I37" i="113"/>
  <c r="I40" i="113" s="1"/>
  <c r="G37" i="113"/>
  <c r="G57" i="113" s="1"/>
  <c r="G60" i="113" s="1"/>
  <c r="E37" i="113"/>
  <c r="E40" i="113" s="1"/>
  <c r="E41" i="113" s="1"/>
  <c r="D37" i="113"/>
  <c r="D40" i="113" s="1"/>
  <c r="M35" i="113"/>
  <c r="L35" i="113"/>
  <c r="K35" i="113"/>
  <c r="K55" i="113" s="1"/>
  <c r="I35" i="113"/>
  <c r="G35" i="113"/>
  <c r="G55" i="113" s="1"/>
  <c r="E35" i="113"/>
  <c r="E55" i="113" s="1"/>
  <c r="D35" i="113"/>
  <c r="D55" i="113" s="1"/>
  <c r="M34" i="113"/>
  <c r="M54" i="113" s="1"/>
  <c r="L34" i="113"/>
  <c r="L54" i="113" s="1"/>
  <c r="K34" i="113"/>
  <c r="I34" i="113"/>
  <c r="I54" i="113" s="1"/>
  <c r="G34" i="113"/>
  <c r="E34" i="113"/>
  <c r="E36" i="113" s="1"/>
  <c r="D34" i="113"/>
  <c r="M33" i="113"/>
  <c r="M53" i="113" s="1"/>
  <c r="L33" i="113"/>
  <c r="L36" i="113" s="1"/>
  <c r="K33" i="113"/>
  <c r="K36" i="113" s="1"/>
  <c r="I33" i="113"/>
  <c r="I36" i="113" s="1"/>
  <c r="G33" i="113"/>
  <c r="G53" i="113" s="1"/>
  <c r="G56" i="113" s="1"/>
  <c r="E33" i="113"/>
  <c r="E53" i="113" s="1"/>
  <c r="E56" i="113" s="1"/>
  <c r="D33" i="113"/>
  <c r="D53" i="113" s="1"/>
  <c r="D56" i="113" s="1"/>
  <c r="G32" i="113"/>
  <c r="E32" i="113"/>
  <c r="M31" i="113"/>
  <c r="M51" i="113" s="1"/>
  <c r="L31" i="113"/>
  <c r="L51" i="113" s="1"/>
  <c r="K31" i="113"/>
  <c r="K51" i="113" s="1"/>
  <c r="I31" i="113"/>
  <c r="I51" i="113" s="1"/>
  <c r="G31" i="113"/>
  <c r="G51" i="113" s="1"/>
  <c r="E31" i="113"/>
  <c r="D31" i="113"/>
  <c r="D51" i="113" s="1"/>
  <c r="M30" i="113"/>
  <c r="L30" i="113"/>
  <c r="L32" i="113" s="1"/>
  <c r="K30" i="113"/>
  <c r="I30" i="113"/>
  <c r="I32" i="113" s="1"/>
  <c r="G30" i="113"/>
  <c r="E30" i="113"/>
  <c r="E50" i="113" s="1"/>
  <c r="D30" i="113"/>
  <c r="D50" i="113" s="1"/>
  <c r="M29" i="113"/>
  <c r="M49" i="113" s="1"/>
  <c r="L29" i="113"/>
  <c r="L49" i="113" s="1"/>
  <c r="K29" i="113"/>
  <c r="K49" i="113" s="1"/>
  <c r="K52" i="113" s="1"/>
  <c r="I29" i="113"/>
  <c r="G29" i="113"/>
  <c r="G49" i="113" s="1"/>
  <c r="G52" i="113" s="1"/>
  <c r="E29" i="113"/>
  <c r="D29" i="113"/>
  <c r="D32" i="113" s="1"/>
  <c r="M28" i="113"/>
  <c r="L28" i="113"/>
  <c r="M27" i="113"/>
  <c r="M47" i="113" s="1"/>
  <c r="L27" i="113"/>
  <c r="K27" i="113"/>
  <c r="K47" i="113" s="1"/>
  <c r="I27" i="113"/>
  <c r="G27" i="113"/>
  <c r="E27" i="113"/>
  <c r="D27" i="113"/>
  <c r="D47" i="113" s="1"/>
  <c r="M26" i="113"/>
  <c r="L26" i="113"/>
  <c r="L46" i="113" s="1"/>
  <c r="K26" i="113"/>
  <c r="K46" i="113" s="1"/>
  <c r="I26" i="113"/>
  <c r="I46" i="113" s="1"/>
  <c r="G26" i="113"/>
  <c r="G46" i="113" s="1"/>
  <c r="E26" i="113"/>
  <c r="E46" i="113" s="1"/>
  <c r="D26" i="113"/>
  <c r="M25" i="113"/>
  <c r="M45" i="113" s="1"/>
  <c r="L25" i="113"/>
  <c r="K25" i="113"/>
  <c r="K28" i="113" s="1"/>
  <c r="I25" i="113"/>
  <c r="I28" i="113" s="1"/>
  <c r="G25" i="113"/>
  <c r="G45" i="113" s="1"/>
  <c r="E25" i="113"/>
  <c r="E28" i="113" s="1"/>
  <c r="D25" i="113"/>
  <c r="D28" i="113" s="1"/>
  <c r="M20" i="113"/>
  <c r="M21" i="113" s="1"/>
  <c r="L20" i="113"/>
  <c r="L21" i="113" s="1"/>
  <c r="K20" i="113"/>
  <c r="K21" i="113" s="1"/>
  <c r="I20" i="113"/>
  <c r="I21" i="113" s="1"/>
  <c r="G20" i="113"/>
  <c r="G21" i="113" s="1"/>
  <c r="E20" i="113"/>
  <c r="D20" i="113"/>
  <c r="D21" i="113" s="1"/>
  <c r="M16" i="113"/>
  <c r="L16" i="113"/>
  <c r="K16" i="113"/>
  <c r="I16" i="113"/>
  <c r="G16" i="113"/>
  <c r="E16" i="113"/>
  <c r="E21" i="113" s="1"/>
  <c r="D16" i="113"/>
  <c r="M12" i="113"/>
  <c r="L12" i="113"/>
  <c r="K12" i="113"/>
  <c r="I12" i="113"/>
  <c r="G12" i="113"/>
  <c r="E12" i="113"/>
  <c r="D12" i="113"/>
  <c r="M8" i="113"/>
  <c r="L8" i="113"/>
  <c r="K8" i="113"/>
  <c r="I8" i="113"/>
  <c r="G8" i="113"/>
  <c r="E8" i="113"/>
  <c r="D8" i="113"/>
  <c r="AY34" i="28"/>
  <c r="AY33" i="28"/>
  <c r="AU34" i="28"/>
  <c r="AU33" i="28"/>
  <c r="AQ34" i="28"/>
  <c r="AQ33" i="28"/>
  <c r="AK34" i="28"/>
  <c r="AK33" i="28"/>
  <c r="AG34" i="28"/>
  <c r="AG33" i="28"/>
  <c r="AC34" i="28"/>
  <c r="AC33" i="28"/>
  <c r="W34" i="28"/>
  <c r="W33" i="28"/>
  <c r="S34" i="28"/>
  <c r="S33" i="28"/>
  <c r="O34" i="28"/>
  <c r="O33" i="28"/>
  <c r="K34" i="28"/>
  <c r="K33" i="28"/>
  <c r="G34" i="28"/>
  <c r="G33" i="28"/>
  <c r="E34" i="28"/>
  <c r="E33" i="28"/>
  <c r="D525" i="28"/>
  <c r="D521" i="28"/>
  <c r="D465" i="28"/>
  <c r="D466" i="28" s="1"/>
  <c r="D460" i="28"/>
  <c r="D333" i="28"/>
  <c r="D284" i="28"/>
  <c r="D66" i="28"/>
  <c r="D65" i="28"/>
  <c r="D60" i="28"/>
  <c r="D48" i="28"/>
  <c r="D42" i="28" s="1"/>
  <c r="D29" i="28"/>
  <c r="D23" i="28" s="1"/>
  <c r="D21" i="28"/>
  <c r="D15" i="28" s="1"/>
  <c r="D13" i="28"/>
  <c r="D7" i="28" s="1"/>
  <c r="BE629" i="28"/>
  <c r="BE628" i="28"/>
  <c r="BE627" i="28"/>
  <c r="BE525" i="28"/>
  <c r="BE524" i="28"/>
  <c r="BE523" i="28"/>
  <c r="BE60" i="28"/>
  <c r="BE59" i="28"/>
  <c r="BE58" i="28"/>
  <c r="BE326" i="28"/>
  <c r="BE325" i="28"/>
  <c r="BC629" i="28"/>
  <c r="BC628" i="28"/>
  <c r="BC627" i="28"/>
  <c r="BC525" i="28"/>
  <c r="BC524" i="28"/>
  <c r="BC523" i="28"/>
  <c r="BC60" i="28"/>
  <c r="BC59" i="28"/>
  <c r="BC58" i="28"/>
  <c r="BC326" i="28"/>
  <c r="BC325" i="28"/>
  <c r="BC68" i="28"/>
  <c r="BC67" i="28"/>
  <c r="BC47" i="28"/>
  <c r="BC46" i="28"/>
  <c r="AO525" i="28"/>
  <c r="AO524" i="28"/>
  <c r="AO523" i="28"/>
  <c r="AO60" i="28"/>
  <c r="AO59" i="28"/>
  <c r="AO58" i="28"/>
  <c r="AO629" i="28"/>
  <c r="AO628" i="28"/>
  <c r="AO627" i="28"/>
  <c r="AO326" i="28"/>
  <c r="AO325" i="28"/>
  <c r="BA629" i="28"/>
  <c r="BA628" i="28"/>
  <c r="BA627" i="28"/>
  <c r="BA525" i="28"/>
  <c r="BA524" i="28"/>
  <c r="BA523" i="28"/>
  <c r="BA326" i="28"/>
  <c r="BA325" i="28"/>
  <c r="BA99" i="28"/>
  <c r="BA98" i="28"/>
  <c r="BA95" i="28"/>
  <c r="BA94" i="28"/>
  <c r="BA91" i="28"/>
  <c r="BA90" i="28"/>
  <c r="BA87" i="28"/>
  <c r="BA86" i="28"/>
  <c r="BA83" i="28"/>
  <c r="BA82" i="28"/>
  <c r="BA68" i="28"/>
  <c r="BA67" i="28"/>
  <c r="BA64" i="28"/>
  <c r="BA60" i="28"/>
  <c r="BA59" i="28"/>
  <c r="BA58" i="28"/>
  <c r="BA55" i="28"/>
  <c r="BC55" i="28" s="1"/>
  <c r="BA54" i="28"/>
  <c r="BC54" i="28" s="1"/>
  <c r="BA53" i="28"/>
  <c r="BA52" i="28"/>
  <c r="BA47" i="28"/>
  <c r="BA46" i="28"/>
  <c r="BA45" i="28"/>
  <c r="BA44" i="28"/>
  <c r="BA39" i="28"/>
  <c r="BC39" i="28" s="1"/>
  <c r="BA36" i="28"/>
  <c r="BC36" i="28" s="1"/>
  <c r="BA35" i="28"/>
  <c r="BC35" i="28" s="1"/>
  <c r="BA34" i="28"/>
  <c r="BA33" i="28"/>
  <c r="BA28" i="28"/>
  <c r="BC28" i="28" s="1"/>
  <c r="BA27" i="28"/>
  <c r="BC27" i="28" s="1"/>
  <c r="BA26" i="28"/>
  <c r="BA25" i="28"/>
  <c r="BA20" i="28"/>
  <c r="BC20" i="28" s="1"/>
  <c r="BA19" i="28"/>
  <c r="BC19" i="28" s="1"/>
  <c r="BA18" i="28"/>
  <c r="BA17" i="28"/>
  <c r="BC17" i="28" s="1"/>
  <c r="BA16" i="28"/>
  <c r="BA12" i="28"/>
  <c r="BC12" i="28" s="1"/>
  <c r="BA11" i="28"/>
  <c r="BC11" i="28" s="1"/>
  <c r="BA10" i="28"/>
  <c r="BA9" i="28"/>
  <c r="AM629" i="28"/>
  <c r="AM628" i="28"/>
  <c r="AM627" i="28"/>
  <c r="AM525" i="28"/>
  <c r="AM524" i="28"/>
  <c r="AM523" i="28"/>
  <c r="AM326" i="28"/>
  <c r="AM325" i="28"/>
  <c r="AM99" i="28"/>
  <c r="AM98" i="28"/>
  <c r="AM95" i="28"/>
  <c r="AM94" i="28"/>
  <c r="AM91" i="28"/>
  <c r="AM90" i="28"/>
  <c r="AM87" i="28"/>
  <c r="AM86" i="28"/>
  <c r="AM83" i="28"/>
  <c r="AM82" i="28"/>
  <c r="AM68" i="28"/>
  <c r="AM67" i="28"/>
  <c r="AM64" i="28"/>
  <c r="AM60" i="28"/>
  <c r="AM59" i="28"/>
  <c r="AM58" i="28"/>
  <c r="AM55" i="28"/>
  <c r="AM54" i="28"/>
  <c r="AM53" i="28"/>
  <c r="AM52" i="28"/>
  <c r="AM47" i="28"/>
  <c r="AM46" i="28"/>
  <c r="AM45" i="28"/>
  <c r="BC45" i="28" s="1"/>
  <c r="AM44" i="28"/>
  <c r="BC44" i="28" s="1"/>
  <c r="AM39" i="28"/>
  <c r="AM36" i="28"/>
  <c r="AM35" i="28"/>
  <c r="AM34" i="28"/>
  <c r="AM33" i="28"/>
  <c r="AM28" i="28"/>
  <c r="AM27" i="28"/>
  <c r="AM26" i="28"/>
  <c r="AM25" i="28"/>
  <c r="AM20" i="28"/>
  <c r="AM19" i="28"/>
  <c r="AM18" i="28"/>
  <c r="AM17" i="28"/>
  <c r="AM16" i="28"/>
  <c r="AM12" i="28"/>
  <c r="AM11" i="28"/>
  <c r="AM10" i="28"/>
  <c r="AM9" i="28"/>
  <c r="AA629" i="28"/>
  <c r="AA628" i="28"/>
  <c r="AA627" i="28"/>
  <c r="AA525" i="28"/>
  <c r="AA524" i="28"/>
  <c r="AA523" i="28"/>
  <c r="AA68" i="28"/>
  <c r="AA67" i="28"/>
  <c r="AA60" i="28"/>
  <c r="AA59" i="28"/>
  <c r="AA58" i="28"/>
  <c r="Y629" i="28"/>
  <c r="Y628" i="28"/>
  <c r="Y627" i="28"/>
  <c r="Y525" i="28"/>
  <c r="Y524" i="28"/>
  <c r="Y523" i="28"/>
  <c r="Y60" i="28"/>
  <c r="Y59" i="28"/>
  <c r="Y58" i="28"/>
  <c r="Y55" i="28"/>
  <c r="AA55" i="28" s="1"/>
  <c r="Y54" i="28"/>
  <c r="AA54" i="28" s="1"/>
  <c r="Y53" i="28"/>
  <c r="Y52" i="28"/>
  <c r="Y47" i="28"/>
  <c r="AA47" i="28" s="1"/>
  <c r="Y46" i="28"/>
  <c r="AA46" i="28" s="1"/>
  <c r="Y45" i="28"/>
  <c r="Y44" i="28"/>
  <c r="Y39" i="28"/>
  <c r="Y36" i="28"/>
  <c r="AA36" i="28" s="1"/>
  <c r="Y35" i="28"/>
  <c r="AA35" i="28" s="1"/>
  <c r="Y34" i="28"/>
  <c r="AW628" i="28"/>
  <c r="AS629" i="28"/>
  <c r="AW629" i="28" s="1"/>
  <c r="AS628" i="28"/>
  <c r="AS627" i="28"/>
  <c r="AW627" i="28" s="1"/>
  <c r="AS525" i="28"/>
  <c r="AW525" i="28" s="1"/>
  <c r="AS524" i="28"/>
  <c r="AW524" i="28" s="1"/>
  <c r="AS523" i="28"/>
  <c r="AW523" i="28" s="1"/>
  <c r="AS60" i="28"/>
  <c r="AW60" i="28" s="1"/>
  <c r="AS59" i="28"/>
  <c r="AW59" i="28" s="1"/>
  <c r="AS58" i="28"/>
  <c r="AW58" i="28" s="1"/>
  <c r="AI629" i="28"/>
  <c r="AE629" i="28"/>
  <c r="AE628" i="28"/>
  <c r="AI628" i="28" s="1"/>
  <c r="AE627" i="28"/>
  <c r="AI627" i="28" s="1"/>
  <c r="AE525" i="28"/>
  <c r="AI525" i="28" s="1"/>
  <c r="AE524" i="28"/>
  <c r="AI524" i="28" s="1"/>
  <c r="AE523" i="28"/>
  <c r="AI523" i="28" s="1"/>
  <c r="AE60" i="28"/>
  <c r="AI60" i="28" s="1"/>
  <c r="AE59" i="28"/>
  <c r="AI59" i="28" s="1"/>
  <c r="AE58" i="28"/>
  <c r="AI58" i="28" s="1"/>
  <c r="U629" i="28"/>
  <c r="U628" i="28"/>
  <c r="U627" i="28"/>
  <c r="U525" i="28"/>
  <c r="U524" i="28"/>
  <c r="U523" i="28"/>
  <c r="U326" i="28"/>
  <c r="U325" i="28"/>
  <c r="U60" i="28"/>
  <c r="U59" i="28"/>
  <c r="U58" i="28"/>
  <c r="Q629" i="28"/>
  <c r="Q628" i="28"/>
  <c r="Q627" i="28"/>
  <c r="Q525" i="28"/>
  <c r="Q524" i="28"/>
  <c r="Q523" i="28"/>
  <c r="Q326" i="28"/>
  <c r="Q325" i="28"/>
  <c r="Q60" i="28"/>
  <c r="Q59" i="28"/>
  <c r="Q58" i="28"/>
  <c r="Q45" i="28"/>
  <c r="U45" i="28" s="1"/>
  <c r="Q44" i="28"/>
  <c r="U44" i="28" s="1"/>
  <c r="Q10" i="28"/>
  <c r="U10" i="28" s="1"/>
  <c r="Q9" i="28"/>
  <c r="U9" i="28" s="1"/>
  <c r="M629" i="28"/>
  <c r="M628" i="28"/>
  <c r="M627" i="28"/>
  <c r="M525" i="28"/>
  <c r="M524" i="28"/>
  <c r="M523" i="28"/>
  <c r="M326" i="28"/>
  <c r="M325" i="28"/>
  <c r="M60" i="28"/>
  <c r="M59" i="28"/>
  <c r="M58" i="28"/>
  <c r="M53" i="28"/>
  <c r="M52" i="28"/>
  <c r="M45" i="28"/>
  <c r="AA45" i="28" s="1"/>
  <c r="M44" i="28"/>
  <c r="AA44" i="28" s="1"/>
  <c r="M39" i="28"/>
  <c r="M26" i="28"/>
  <c r="Q26" i="28" s="1"/>
  <c r="U26" i="28" s="1"/>
  <c r="M25" i="28"/>
  <c r="Q25" i="28" s="1"/>
  <c r="U25" i="28" s="1"/>
  <c r="M18" i="28"/>
  <c r="Q18" i="28" s="1"/>
  <c r="U18" i="28" s="1"/>
  <c r="M17" i="28"/>
  <c r="Q17" i="28" s="1"/>
  <c r="U17" i="28" s="1"/>
  <c r="M10" i="28"/>
  <c r="M9" i="28"/>
  <c r="I524" i="28"/>
  <c r="I523" i="28"/>
  <c r="I629" i="28"/>
  <c r="I628" i="28"/>
  <c r="I627" i="28"/>
  <c r="I525" i="28"/>
  <c r="I466" i="28"/>
  <c r="I465" i="28"/>
  <c r="I460" i="28"/>
  <c r="I333" i="28"/>
  <c r="I60" i="28"/>
  <c r="I59" i="28"/>
  <c r="I58" i="28"/>
  <c r="I53" i="28"/>
  <c r="I52" i="28"/>
  <c r="I45" i="28"/>
  <c r="I44" i="28"/>
  <c r="I40" i="28"/>
  <c r="I39" i="28"/>
  <c r="I34" i="28"/>
  <c r="M34" i="28" s="1"/>
  <c r="I33" i="28"/>
  <c r="M33" i="28" s="1"/>
  <c r="Q33" i="28" s="1"/>
  <c r="U33" i="28" s="1"/>
  <c r="I26" i="28"/>
  <c r="I25" i="28"/>
  <c r="I18" i="28"/>
  <c r="I17" i="28"/>
  <c r="I10" i="28"/>
  <c r="I9" i="28"/>
  <c r="AY465" i="28"/>
  <c r="AY466" i="28" s="1"/>
  <c r="AY460" i="28"/>
  <c r="AY333" i="28"/>
  <c r="AY284" i="28"/>
  <c r="AY66" i="28"/>
  <c r="AY65" i="28"/>
  <c r="AY60" i="28"/>
  <c r="AY525" i="28" s="1"/>
  <c r="AY56" i="28"/>
  <c r="AY521" i="28" s="1"/>
  <c r="AY48" i="28"/>
  <c r="AY42" i="28" s="1"/>
  <c r="AY40" i="28"/>
  <c r="AY29" i="28"/>
  <c r="AY76" i="28" s="1"/>
  <c r="AY89" i="28" s="1"/>
  <c r="AY445" i="28" s="1"/>
  <c r="AY21" i="28"/>
  <c r="AY15" i="28" s="1"/>
  <c r="AY13" i="28"/>
  <c r="AY74" i="28" s="1"/>
  <c r="AY81" i="28" s="1"/>
  <c r="AY260" i="28" s="1"/>
  <c r="AU465" i="28"/>
  <c r="AU466" i="28" s="1"/>
  <c r="AU460" i="28"/>
  <c r="AU333" i="28"/>
  <c r="AU284" i="28"/>
  <c r="AU66" i="28"/>
  <c r="AU65" i="28"/>
  <c r="AU60" i="28"/>
  <c r="AU525" i="28" s="1"/>
  <c r="AU56" i="28"/>
  <c r="AU521" i="28" s="1"/>
  <c r="AU48" i="28"/>
  <c r="AU502" i="28" s="1"/>
  <c r="AU40" i="28"/>
  <c r="AU29" i="28"/>
  <c r="AU76" i="28" s="1"/>
  <c r="AU89" i="28" s="1"/>
  <c r="AU445" i="28" s="1"/>
  <c r="AU21" i="28"/>
  <c r="AU15" i="28" s="1"/>
  <c r="AU13" i="28"/>
  <c r="AU7" i="28" s="1"/>
  <c r="AQ465" i="28"/>
  <c r="AQ466" i="28" s="1"/>
  <c r="AQ460" i="28"/>
  <c r="AQ333" i="28"/>
  <c r="AQ284" i="28"/>
  <c r="BA284" i="28" s="1"/>
  <c r="AQ66" i="28"/>
  <c r="AQ65" i="28"/>
  <c r="AQ60" i="28"/>
  <c r="AQ525" i="28" s="1"/>
  <c r="AQ56" i="28"/>
  <c r="AQ521" i="28" s="1"/>
  <c r="AQ48" i="28"/>
  <c r="AQ502" i="28" s="1"/>
  <c r="AQ40" i="28"/>
  <c r="AQ29" i="28"/>
  <c r="AQ76" i="28" s="1"/>
  <c r="AQ89" i="28" s="1"/>
  <c r="AQ445" i="28" s="1"/>
  <c r="AQ21" i="28"/>
  <c r="AQ15" i="28" s="1"/>
  <c r="AQ13" i="28"/>
  <c r="AQ7" i="28" s="1"/>
  <c r="AK465" i="28"/>
  <c r="AK466" i="28" s="1"/>
  <c r="AK460" i="28"/>
  <c r="AK333" i="28"/>
  <c r="AK284" i="28"/>
  <c r="AK66" i="28"/>
  <c r="AK65" i="28"/>
  <c r="AK60" i="28"/>
  <c r="AK525" i="28" s="1"/>
  <c r="AK56" i="28"/>
  <c r="AK521" i="28" s="1"/>
  <c r="AK40" i="28"/>
  <c r="AK21" i="28"/>
  <c r="AK15" i="28" s="1"/>
  <c r="AK13" i="28"/>
  <c r="AG466" i="28"/>
  <c r="AG465" i="28"/>
  <c r="AG460" i="28"/>
  <c r="AG333" i="28"/>
  <c r="AG284" i="28"/>
  <c r="AG66" i="28"/>
  <c r="AG65" i="28"/>
  <c r="AG60" i="28"/>
  <c r="AG525" i="28" s="1"/>
  <c r="AG56" i="28"/>
  <c r="AG521" i="28" s="1"/>
  <c r="AG40" i="28"/>
  <c r="AG29" i="28"/>
  <c r="AG76" i="28" s="1"/>
  <c r="AG89" i="28" s="1"/>
  <c r="AG445" i="28" s="1"/>
  <c r="AG21" i="28"/>
  <c r="AG15" i="28" s="1"/>
  <c r="AG13" i="28"/>
  <c r="AG74" i="28" s="1"/>
  <c r="AG81" i="28" s="1"/>
  <c r="AG260" i="28" s="1"/>
  <c r="AC465" i="28"/>
  <c r="AC466" i="28" s="1"/>
  <c r="AC460" i="28"/>
  <c r="AC333" i="28"/>
  <c r="AC284" i="28"/>
  <c r="AC66" i="28"/>
  <c r="AC65" i="28"/>
  <c r="AC60" i="28"/>
  <c r="AC525" i="28" s="1"/>
  <c r="AC56" i="28"/>
  <c r="AC521" i="28" s="1"/>
  <c r="AM521" i="28" s="1"/>
  <c r="AC40" i="28"/>
  <c r="AC29" i="28"/>
  <c r="AC76" i="28" s="1"/>
  <c r="AC89" i="28" s="1"/>
  <c r="AC445" i="28" s="1"/>
  <c r="AC21" i="28"/>
  <c r="AC15" i="28" s="1"/>
  <c r="AC13" i="28"/>
  <c r="AC7" i="28" s="1"/>
  <c r="W465" i="28"/>
  <c r="W466" i="28" s="1"/>
  <c r="W460" i="28"/>
  <c r="W333" i="28"/>
  <c r="W284" i="28"/>
  <c r="W66" i="28"/>
  <c r="W65" i="28"/>
  <c r="W60" i="28"/>
  <c r="W525" i="28" s="1"/>
  <c r="W56" i="28"/>
  <c r="W521" i="28" s="1"/>
  <c r="W40" i="28"/>
  <c r="W29" i="28"/>
  <c r="W76" i="28" s="1"/>
  <c r="W89" i="28" s="1"/>
  <c r="W445" i="28" s="1"/>
  <c r="W23" i="28"/>
  <c r="W13" i="28"/>
  <c r="W7" i="28" s="1"/>
  <c r="S465" i="28"/>
  <c r="S466" i="28" s="1"/>
  <c r="S460" i="28"/>
  <c r="S333" i="28"/>
  <c r="S284" i="28"/>
  <c r="S66" i="28"/>
  <c r="S65" i="28"/>
  <c r="S60" i="28"/>
  <c r="S525" i="28" s="1"/>
  <c r="S56" i="28"/>
  <c r="S50" i="28" s="1"/>
  <c r="S40" i="28"/>
  <c r="S29" i="28"/>
  <c r="S76" i="28" s="1"/>
  <c r="S89" i="28" s="1"/>
  <c r="S445" i="28" s="1"/>
  <c r="S23" i="28"/>
  <c r="S21" i="28"/>
  <c r="S15" i="28" s="1"/>
  <c r="S13" i="28"/>
  <c r="S7" i="28" s="1"/>
  <c r="O465" i="28"/>
  <c r="O466" i="28" s="1"/>
  <c r="O460" i="28"/>
  <c r="O333" i="28"/>
  <c r="O284" i="28"/>
  <c r="O66" i="28"/>
  <c r="O65" i="28"/>
  <c r="O60" i="28"/>
  <c r="O525" i="28" s="1"/>
  <c r="O56" i="28"/>
  <c r="O521" i="28" s="1"/>
  <c r="O40" i="28"/>
  <c r="O29" i="28"/>
  <c r="O76" i="28" s="1"/>
  <c r="O89" i="28" s="1"/>
  <c r="O445" i="28" s="1"/>
  <c r="O21" i="28"/>
  <c r="O15" i="28" s="1"/>
  <c r="O13" i="28"/>
  <c r="O7" i="28" s="1"/>
  <c r="K465" i="28"/>
  <c r="K466" i="28" s="1"/>
  <c r="M466" i="28" s="1"/>
  <c r="K460" i="28"/>
  <c r="M460" i="28" s="1"/>
  <c r="K333" i="28"/>
  <c r="M333" i="28" s="1"/>
  <c r="K284" i="28"/>
  <c r="M284" i="28" s="1"/>
  <c r="K66" i="28"/>
  <c r="K65" i="28"/>
  <c r="K60" i="28"/>
  <c r="K525" i="28" s="1"/>
  <c r="K56" i="28"/>
  <c r="K521" i="28" s="1"/>
  <c r="K40" i="28"/>
  <c r="M40" i="28" s="1"/>
  <c r="K29" i="28"/>
  <c r="K76" i="28" s="1"/>
  <c r="K89" i="28" s="1"/>
  <c r="K445" i="28" s="1"/>
  <c r="K21" i="28"/>
  <c r="K15" i="28" s="1"/>
  <c r="K13" i="28"/>
  <c r="K7" i="28" s="1"/>
  <c r="G466" i="28"/>
  <c r="G465" i="28"/>
  <c r="G460" i="28"/>
  <c r="G333" i="28"/>
  <c r="G284" i="28"/>
  <c r="G66" i="28"/>
  <c r="G65" i="28"/>
  <c r="G60" i="28"/>
  <c r="G525" i="28" s="1"/>
  <c r="G56" i="28"/>
  <c r="G521" i="28" s="1"/>
  <c r="G48" i="28"/>
  <c r="G502" i="28" s="1"/>
  <c r="G40" i="28"/>
  <c r="G29" i="28"/>
  <c r="G76" i="28" s="1"/>
  <c r="G89" i="28" s="1"/>
  <c r="G445" i="28" s="1"/>
  <c r="G21" i="28"/>
  <c r="G75" i="28" s="1"/>
  <c r="G85" i="28" s="1"/>
  <c r="G327" i="28" s="1"/>
  <c r="G13" i="28"/>
  <c r="G74" i="28" s="1"/>
  <c r="G81" i="28" s="1"/>
  <c r="G260" i="28" s="1"/>
  <c r="BA445" i="28" l="1"/>
  <c r="AQ74" i="28"/>
  <c r="AM15" i="28"/>
  <c r="AC23" i="28"/>
  <c r="AG7" i="28"/>
  <c r="AC50" i="28"/>
  <c r="G7" i="28"/>
  <c r="G15" i="28"/>
  <c r="K74" i="28"/>
  <c r="K81" i="28" s="1"/>
  <c r="K260" i="28" s="1"/>
  <c r="G23" i="28"/>
  <c r="BA13" i="28"/>
  <c r="AQ50" i="28"/>
  <c r="AY7" i="28"/>
  <c r="BA7" i="28" s="1"/>
  <c r="G42" i="28"/>
  <c r="AM13" i="28"/>
  <c r="BA502" i="28"/>
  <c r="G50" i="28"/>
  <c r="AG23" i="28"/>
  <c r="AG75" i="28"/>
  <c r="AG85" i="28" s="1"/>
  <c r="AG327" i="28" s="1"/>
  <c r="AU23" i="28"/>
  <c r="AU75" i="28"/>
  <c r="AU85" i="28" s="1"/>
  <c r="AU327" i="28" s="1"/>
  <c r="Y56" i="28"/>
  <c r="BA29" i="28"/>
  <c r="S74" i="28"/>
  <c r="S81" i="28" s="1"/>
  <c r="S260" i="28" s="1"/>
  <c r="AM56" i="28"/>
  <c r="BA521" i="28"/>
  <c r="K23" i="28"/>
  <c r="K75" i="28"/>
  <c r="K85" i="28" s="1"/>
  <c r="K327" i="28" s="1"/>
  <c r="O50" i="28"/>
  <c r="S75" i="28"/>
  <c r="S85" i="28" s="1"/>
  <c r="S327" i="28" s="1"/>
  <c r="BA56" i="28"/>
  <c r="AC74" i="28"/>
  <c r="AC75" i="28"/>
  <c r="AQ23" i="28"/>
  <c r="BA23" i="28" s="1"/>
  <c r="AQ75" i="28"/>
  <c r="AM21" i="28"/>
  <c r="D74" i="28"/>
  <c r="AU74" i="28"/>
  <c r="BA74" i="28" s="1"/>
  <c r="BA21" i="28"/>
  <c r="D75" i="28"/>
  <c r="D85" i="28" s="1"/>
  <c r="D327" i="28" s="1"/>
  <c r="BA76" i="28"/>
  <c r="AG50" i="28"/>
  <c r="AK7" i="28"/>
  <c r="AM7" i="28" s="1"/>
  <c r="AU50" i="28"/>
  <c r="D76" i="28"/>
  <c r="D89" i="28" s="1"/>
  <c r="D445" i="28" s="1"/>
  <c r="O74" i="28"/>
  <c r="O81" i="28" s="1"/>
  <c r="O260" i="28" s="1"/>
  <c r="W74" i="28"/>
  <c r="W81" i="28" s="1"/>
  <c r="W260" i="28" s="1"/>
  <c r="AK74" i="28"/>
  <c r="AY75" i="28"/>
  <c r="AY85" i="28" s="1"/>
  <c r="AY327" i="28" s="1"/>
  <c r="BA48" i="28"/>
  <c r="K50" i="28"/>
  <c r="O75" i="28"/>
  <c r="O85" i="28" s="1"/>
  <c r="O327" i="28" s="1"/>
  <c r="AK75" i="28"/>
  <c r="AY23" i="28"/>
  <c r="BA89" i="28"/>
  <c r="BA547" i="28" s="1"/>
  <c r="D502" i="28"/>
  <c r="M48" i="113"/>
  <c r="E48" i="113"/>
  <c r="I48" i="113"/>
  <c r="G61" i="113"/>
  <c r="I41" i="113"/>
  <c r="K60" i="113"/>
  <c r="K61" i="113" s="1"/>
  <c r="L60" i="113"/>
  <c r="L56" i="113"/>
  <c r="E61" i="113"/>
  <c r="M61" i="113"/>
  <c r="G48" i="113"/>
  <c r="L52" i="113"/>
  <c r="M56" i="113"/>
  <c r="L41" i="113"/>
  <c r="D52" i="113"/>
  <c r="M52" i="113"/>
  <c r="E52" i="113"/>
  <c r="I53" i="113"/>
  <c r="I56" i="113" s="1"/>
  <c r="I61" i="113" s="1"/>
  <c r="G28" i="113"/>
  <c r="M36" i="113"/>
  <c r="M41" i="113" s="1"/>
  <c r="G40" i="113"/>
  <c r="D45" i="113"/>
  <c r="D48" i="113" s="1"/>
  <c r="K53" i="113"/>
  <c r="K56" i="113" s="1"/>
  <c r="D57" i="113"/>
  <c r="D60" i="113" s="1"/>
  <c r="I50" i="113"/>
  <c r="I52" i="113" s="1"/>
  <c r="K32" i="113"/>
  <c r="K41" i="113" s="1"/>
  <c r="D36" i="113"/>
  <c r="D41" i="113" s="1"/>
  <c r="M32" i="113"/>
  <c r="G36" i="113"/>
  <c r="Q34" i="28"/>
  <c r="U34" i="28" s="1"/>
  <c r="AA34" i="28"/>
  <c r="BE34" i="28" s="1"/>
  <c r="BC52" i="28"/>
  <c r="BC53" i="28"/>
  <c r="AM40" i="28"/>
  <c r="AM466" i="28"/>
  <c r="AM465" i="28"/>
  <c r="BA466" i="28"/>
  <c r="BC466" i="28" s="1"/>
  <c r="BA40" i="28"/>
  <c r="BC40" i="28" s="1"/>
  <c r="BA465" i="28"/>
  <c r="BC465" i="28" s="1"/>
  <c r="BC33" i="28"/>
  <c r="BC34" i="28"/>
  <c r="AM460" i="28"/>
  <c r="BA460" i="28"/>
  <c r="BC25" i="28"/>
  <c r="BC26" i="28"/>
  <c r="BC460" i="28"/>
  <c r="AM333" i="28"/>
  <c r="BC18" i="28"/>
  <c r="BA333" i="28"/>
  <c r="BC333" i="28" s="1"/>
  <c r="BA15" i="28"/>
  <c r="BC15" i="28" s="1"/>
  <c r="BA65" i="28"/>
  <c r="BA66" i="28"/>
  <c r="BC9" i="28"/>
  <c r="BC10" i="28"/>
  <c r="AM66" i="28"/>
  <c r="AM65" i="28"/>
  <c r="AM284" i="28"/>
  <c r="BC284" i="28" s="1"/>
  <c r="AA52" i="28"/>
  <c r="AA53" i="28"/>
  <c r="AA39" i="28"/>
  <c r="Y466" i="28"/>
  <c r="Y40" i="28"/>
  <c r="AA40" i="28" s="1"/>
  <c r="Y465" i="28"/>
  <c r="Y333" i="28"/>
  <c r="Y66" i="28"/>
  <c r="Y7" i="28"/>
  <c r="Q284" i="28"/>
  <c r="U284" i="28" s="1"/>
  <c r="AE52" i="28"/>
  <c r="AI52" i="28" s="1"/>
  <c r="AO52" i="28" s="1"/>
  <c r="AS52" i="28" s="1"/>
  <c r="AW52" i="28" s="1"/>
  <c r="BE52" i="28"/>
  <c r="BE53" i="28"/>
  <c r="AE53" i="28"/>
  <c r="AI53" i="28" s="1"/>
  <c r="AO53" i="28" s="1"/>
  <c r="AS53" i="28" s="1"/>
  <c r="AW53" i="28" s="1"/>
  <c r="Q52" i="28"/>
  <c r="U52" i="28" s="1"/>
  <c r="Q53" i="28"/>
  <c r="U53" i="28" s="1"/>
  <c r="AE44" i="28"/>
  <c r="AI44" i="28" s="1"/>
  <c r="AO44" i="28" s="1"/>
  <c r="AS44" i="28" s="1"/>
  <c r="AW44" i="28" s="1"/>
  <c r="BE44" i="28"/>
  <c r="AE45" i="28"/>
  <c r="AI45" i="28" s="1"/>
  <c r="AO45" i="28" s="1"/>
  <c r="AS45" i="28" s="1"/>
  <c r="AW45" i="28" s="1"/>
  <c r="BE45" i="28"/>
  <c r="Q40" i="28"/>
  <c r="U40" i="28" s="1"/>
  <c r="Q466" i="28"/>
  <c r="U466" i="28" s="1"/>
  <c r="AA466" i="28"/>
  <c r="BE39" i="28"/>
  <c r="AE39" i="28"/>
  <c r="AI39" i="28" s="1"/>
  <c r="AO39" i="28" s="1"/>
  <c r="AS39" i="28" s="1"/>
  <c r="AW39" i="28" s="1"/>
  <c r="Q39" i="28"/>
  <c r="U39" i="28" s="1"/>
  <c r="M465" i="28"/>
  <c r="Q460" i="28"/>
  <c r="U460" i="28" s="1"/>
  <c r="Q333" i="28"/>
  <c r="U333" i="28" s="1"/>
  <c r="AA333" i="28"/>
  <c r="BE333" i="28" s="1"/>
  <c r="AY50" i="28"/>
  <c r="AY502" i="28"/>
  <c r="AU81" i="28"/>
  <c r="AU260" i="28" s="1"/>
  <c r="AU42" i="28"/>
  <c r="AQ81" i="28"/>
  <c r="AQ42" i="28"/>
  <c r="AK50" i="28"/>
  <c r="AC81" i="28"/>
  <c r="W50" i="28"/>
  <c r="S521" i="28"/>
  <c r="O23" i="28"/>
  <c r="BC56" i="28" l="1"/>
  <c r="BC13" i="28"/>
  <c r="Y50" i="28"/>
  <c r="AM74" i="28"/>
  <c r="BC74" i="28" s="1"/>
  <c r="BC7" i="28"/>
  <c r="AQ85" i="28"/>
  <c r="BA75" i="28"/>
  <c r="BA558" i="28"/>
  <c r="AC260" i="28"/>
  <c r="AM81" i="28"/>
  <c r="BA50" i="28"/>
  <c r="BC50" i="28" s="1"/>
  <c r="BA546" i="28"/>
  <c r="BA548" i="28"/>
  <c r="AK85" i="28"/>
  <c r="AM50" i="28"/>
  <c r="Y521" i="28"/>
  <c r="AK81" i="28"/>
  <c r="BA557" i="28"/>
  <c r="BC521" i="28"/>
  <c r="AQ260" i="28"/>
  <c r="BA260" i="28" s="1"/>
  <c r="BA540" i="28" s="1"/>
  <c r="BA81" i="28"/>
  <c r="AC85" i="28"/>
  <c r="AM75" i="28"/>
  <c r="D81" i="28"/>
  <c r="D260" i="28" s="1"/>
  <c r="BC21" i="28"/>
  <c r="AM557" i="28"/>
  <c r="D61" i="113"/>
  <c r="L61" i="113"/>
  <c r="G41" i="113"/>
  <c r="BA42" i="28"/>
  <c r="BC66" i="28"/>
  <c r="BC65" i="28"/>
  <c r="Q465" i="28"/>
  <c r="U465" i="28" s="1"/>
  <c r="AA465" i="28"/>
  <c r="AE466" i="28"/>
  <c r="AI466" i="28" s="1"/>
  <c r="AO466" i="28" s="1"/>
  <c r="AS466" i="28" s="1"/>
  <c r="AW466" i="28" s="1"/>
  <c r="BE466" i="28"/>
  <c r="BE40" i="28"/>
  <c r="AE40" i="28"/>
  <c r="AI40" i="28" s="1"/>
  <c r="AO40" i="28" s="1"/>
  <c r="AS40" i="28" s="1"/>
  <c r="AW40" i="28" s="1"/>
  <c r="BA539" i="28" l="1"/>
  <c r="BA538" i="28"/>
  <c r="BC81" i="28"/>
  <c r="AM538" i="28"/>
  <c r="BC557" i="28"/>
  <c r="BC75" i="28"/>
  <c r="AQ327" i="28"/>
  <c r="BA327" i="28" s="1"/>
  <c r="BA85" i="28"/>
  <c r="AK327" i="28"/>
  <c r="AK260" i="28"/>
  <c r="AM260" i="28" s="1"/>
  <c r="AC327" i="28"/>
  <c r="AM327" i="28" s="1"/>
  <c r="AM85" i="28"/>
  <c r="AE465" i="28"/>
  <c r="AI465" i="28" s="1"/>
  <c r="AO465" i="28" s="1"/>
  <c r="AS465" i="28" s="1"/>
  <c r="AW465" i="28" s="1"/>
  <c r="BE465" i="28"/>
  <c r="AM536" i="28" l="1"/>
  <c r="BC327" i="28"/>
  <c r="AM535" i="28"/>
  <c r="AM544" i="28"/>
  <c r="BC260" i="28"/>
  <c r="BC540" i="28" s="1"/>
  <c r="AM540" i="28"/>
  <c r="AM543" i="28"/>
  <c r="BC85" i="28"/>
  <c r="AM542" i="28"/>
  <c r="BC539" i="28"/>
  <c r="BC538" i="28"/>
  <c r="AM539" i="28"/>
  <c r="BA543" i="28"/>
  <c r="BA542" i="28"/>
  <c r="BA536" i="28"/>
  <c r="BA535" i="28"/>
  <c r="BA544" i="28"/>
  <c r="BC535" i="28" l="1"/>
  <c r="BC543" i="28"/>
  <c r="BC542" i="28"/>
  <c r="BC536" i="28"/>
  <c r="BC544" i="28"/>
  <c r="E525" i="28" l="1"/>
  <c r="E466" i="28"/>
  <c r="E465" i="28"/>
  <c r="E460" i="28"/>
  <c r="E333" i="28"/>
  <c r="E284" i="28"/>
  <c r="E66" i="28"/>
  <c r="I66" i="28" s="1"/>
  <c r="M66" i="28" s="1"/>
  <c r="E23" i="28"/>
  <c r="I23" i="28" s="1"/>
  <c r="M23" i="28" s="1"/>
  <c r="Q23" i="28" s="1"/>
  <c r="U23" i="28" s="1"/>
  <c r="E65" i="28"/>
  <c r="I65" i="28" s="1"/>
  <c r="M65" i="28" s="1"/>
  <c r="Q65" i="28" s="1"/>
  <c r="U65" i="28" s="1"/>
  <c r="E60" i="28"/>
  <c r="E56" i="28"/>
  <c r="I56" i="28" s="1"/>
  <c r="M56" i="28" s="1"/>
  <c r="E48" i="28"/>
  <c r="I48" i="28" s="1"/>
  <c r="E40" i="28"/>
  <c r="E29" i="28"/>
  <c r="I29" i="28" s="1"/>
  <c r="M29" i="28" s="1"/>
  <c r="E21" i="28"/>
  <c r="I21" i="28" s="1"/>
  <c r="M21" i="28" s="1"/>
  <c r="E13" i="28"/>
  <c r="I13" i="28" s="1"/>
  <c r="M13" i="28" s="1"/>
  <c r="E75" i="28" l="1"/>
  <c r="I75" i="28" s="1"/>
  <c r="M75" i="28" s="1"/>
  <c r="Q75" i="28" s="1"/>
  <c r="U75" i="28" s="1"/>
  <c r="E76" i="28"/>
  <c r="I76" i="28" s="1"/>
  <c r="M76" i="28" s="1"/>
  <c r="Q76" i="28" s="1"/>
  <c r="U76" i="28" s="1"/>
  <c r="E74" i="28"/>
  <c r="E81" i="28" s="1"/>
  <c r="E7" i="28"/>
  <c r="I7" i="28" s="1"/>
  <c r="M7" i="28" s="1"/>
  <c r="Q7" i="28" s="1"/>
  <c r="U7" i="28" s="1"/>
  <c r="E15" i="28"/>
  <c r="I15" i="28" s="1"/>
  <c r="M15" i="28" s="1"/>
  <c r="Q15" i="28" s="1"/>
  <c r="U15" i="28" s="1"/>
  <c r="I81" i="28"/>
  <c r="M81" i="28" s="1"/>
  <c r="M538" i="28" s="1"/>
  <c r="E260" i="28"/>
  <c r="I260" i="28" s="1"/>
  <c r="M260" i="28" s="1"/>
  <c r="Q260" i="28" s="1"/>
  <c r="U260" i="28" s="1"/>
  <c r="E521" i="28"/>
  <c r="I521" i="28" s="1"/>
  <c r="M521" i="28" s="1"/>
  <c r="E502" i="28"/>
  <c r="I502" i="28" s="1"/>
  <c r="Q56" i="28"/>
  <c r="AA56" i="28"/>
  <c r="M540" i="28"/>
  <c r="Q13" i="28"/>
  <c r="Q21" i="28"/>
  <c r="E42" i="28"/>
  <c r="I42" i="28" s="1"/>
  <c r="E85" i="28"/>
  <c r="E89" i="28"/>
  <c r="Q29" i="28"/>
  <c r="E50" i="28"/>
  <c r="I50" i="28" s="1"/>
  <c r="M50" i="28" s="1"/>
  <c r="Q66" i="28"/>
  <c r="U66" i="28" s="1"/>
  <c r="AA66" i="28"/>
  <c r="Q50" i="28" l="1"/>
  <c r="U50" i="28" s="1"/>
  <c r="AA50" i="28"/>
  <c r="U29" i="28"/>
  <c r="I89" i="28"/>
  <c r="M89" i="28" s="1"/>
  <c r="E445" i="28"/>
  <c r="M557" i="28"/>
  <c r="Q521" i="28"/>
  <c r="U521" i="28" s="1"/>
  <c r="AA521" i="28"/>
  <c r="Q540" i="28"/>
  <c r="U13" i="28"/>
  <c r="AE56" i="28"/>
  <c r="AI56" i="28" s="1"/>
  <c r="AO56" i="28" s="1"/>
  <c r="AS56" i="28" s="1"/>
  <c r="AW56" i="28" s="1"/>
  <c r="BE56" i="28"/>
  <c r="U56" i="28"/>
  <c r="I85" i="28"/>
  <c r="M85" i="28" s="1"/>
  <c r="E327" i="28"/>
  <c r="U21" i="28"/>
  <c r="M539" i="28"/>
  <c r="Q81" i="28"/>
  <c r="AE66" i="28"/>
  <c r="AI66" i="28" s="1"/>
  <c r="AO66" i="28" s="1"/>
  <c r="AS66" i="28" s="1"/>
  <c r="AW66" i="28" s="1"/>
  <c r="BE66" i="28"/>
  <c r="Q539" i="28" l="1"/>
  <c r="U81" i="28"/>
  <c r="U539" i="28" s="1"/>
  <c r="U538" i="28"/>
  <c r="U540" i="28"/>
  <c r="Q85" i="28"/>
  <c r="M542" i="28"/>
  <c r="Q89" i="28"/>
  <c r="M546" i="28"/>
  <c r="Q557" i="28"/>
  <c r="BE50" i="28"/>
  <c r="AE50" i="28"/>
  <c r="AI50" i="28" s="1"/>
  <c r="AO50" i="28" s="1"/>
  <c r="AS50" i="28" s="1"/>
  <c r="AW50" i="28" s="1"/>
  <c r="AE521" i="28"/>
  <c r="BE521" i="28"/>
  <c r="BE557" i="28" s="1"/>
  <c r="U557" i="28"/>
  <c r="Q538" i="28"/>
  <c r="U89" i="28" l="1"/>
  <c r="U546" i="28" s="1"/>
  <c r="Q546" i="28"/>
  <c r="AI521" i="28"/>
  <c r="AE557" i="28"/>
  <c r="U85" i="28"/>
  <c r="Q542" i="28"/>
  <c r="U542" i="28" l="1"/>
  <c r="AO521" i="28"/>
  <c r="AI557" i="28"/>
  <c r="AO557" i="28" l="1"/>
  <c r="AS521" i="28"/>
  <c r="AW521" i="28" l="1"/>
  <c r="AW557" i="28" s="1"/>
  <c r="AS557" i="28"/>
  <c r="BF100" i="28" l="1"/>
  <c r="BD100" i="28"/>
  <c r="BD71" i="28"/>
  <c r="BD70" i="28"/>
  <c r="BF8" i="28"/>
  <c r="BF9" i="28"/>
  <c r="BF10" i="28"/>
  <c r="BF11" i="28"/>
  <c r="BF12" i="28"/>
  <c r="BF15" i="28"/>
  <c r="BF16" i="28"/>
  <c r="BF17" i="28"/>
  <c r="BF18" i="28"/>
  <c r="BF19" i="28"/>
  <c r="BF20" i="28"/>
  <c r="BF21" i="28"/>
  <c r="BF23" i="28"/>
  <c r="BF24" i="28"/>
  <c r="BF25" i="28"/>
  <c r="BF26" i="28"/>
  <c r="BF27" i="28"/>
  <c r="BF28" i="28"/>
  <c r="BF29" i="28"/>
  <c r="BF32" i="28"/>
  <c r="BF33" i="28"/>
  <c r="BF34" i="28"/>
  <c r="BF35" i="28"/>
  <c r="BF36" i="28"/>
  <c r="BF39" i="28"/>
  <c r="BF40" i="28"/>
  <c r="BF42" i="28"/>
  <c r="BF43" i="28"/>
  <c r="BF44" i="28"/>
  <c r="BF45" i="28"/>
  <c r="BF46" i="28"/>
  <c r="BF47" i="28"/>
  <c r="BF50" i="28"/>
  <c r="BF51" i="28"/>
  <c r="BF52" i="28"/>
  <c r="BF53" i="28"/>
  <c r="BF54" i="28"/>
  <c r="BF55" i="28"/>
  <c r="BF58" i="28"/>
  <c r="BF59" i="28"/>
  <c r="BF60" i="28"/>
  <c r="BF64" i="28"/>
  <c r="BF65" i="28"/>
  <c r="BF66" i="28"/>
  <c r="BF67" i="28"/>
  <c r="BF68" i="28"/>
  <c r="BF75" i="28"/>
  <c r="BF76" i="28"/>
  <c r="BF81" i="28"/>
  <c r="BF82" i="28"/>
  <c r="BF83" i="28"/>
  <c r="BF85" i="28"/>
  <c r="BF86" i="28"/>
  <c r="BF87" i="28"/>
  <c r="BF89" i="28"/>
  <c r="BF90" i="28"/>
  <c r="BF91" i="28"/>
  <c r="BF93" i="28"/>
  <c r="BF94" i="28"/>
  <c r="BF95" i="28"/>
  <c r="BF97" i="28"/>
  <c r="BF98" i="28"/>
  <c r="BF99" i="28"/>
  <c r="BF102" i="28"/>
  <c r="BF103" i="28"/>
  <c r="BF104" i="28"/>
  <c r="BF105" i="28"/>
  <c r="BF106" i="28"/>
  <c r="BF107" i="28"/>
  <c r="BF108" i="28"/>
  <c r="BF109" i="28"/>
  <c r="BF110" i="28"/>
  <c r="BF111" i="28"/>
  <c r="BF112" i="28"/>
  <c r="BF113" i="28"/>
  <c r="BF114" i="28"/>
  <c r="BF115" i="28"/>
  <c r="BF116" i="28"/>
  <c r="BF117" i="28"/>
  <c r="BF118" i="28"/>
  <c r="BF119" i="28"/>
  <c r="BF120" i="28"/>
  <c r="BF121" i="28"/>
  <c r="BF122" i="28"/>
  <c r="BF123" i="28"/>
  <c r="BF124" i="28"/>
  <c r="BF125" i="28"/>
  <c r="BF126" i="28"/>
  <c r="BF127" i="28"/>
  <c r="BF128" i="28"/>
  <c r="BF129" i="28"/>
  <c r="BF130" i="28"/>
  <c r="BF131" i="28"/>
  <c r="BF132" i="28"/>
  <c r="BF133" i="28"/>
  <c r="BF134" i="28"/>
  <c r="BF135" i="28"/>
  <c r="BF136" i="28"/>
  <c r="BF137" i="28"/>
  <c r="BF138" i="28"/>
  <c r="BF139" i="28"/>
  <c r="BF140" i="28"/>
  <c r="BF141" i="28"/>
  <c r="BF142" i="28"/>
  <c r="BF143" i="28"/>
  <c r="BF144" i="28"/>
  <c r="BF145" i="28"/>
  <c r="BF146" i="28"/>
  <c r="BF147" i="28"/>
  <c r="BF148" i="28"/>
  <c r="BF149" i="28"/>
  <c r="BF150" i="28"/>
  <c r="BF151" i="28"/>
  <c r="BF152" i="28"/>
  <c r="BF153" i="28"/>
  <c r="BF154" i="28"/>
  <c r="BF155" i="28"/>
  <c r="BF156" i="28"/>
  <c r="BF157" i="28"/>
  <c r="BF158" i="28"/>
  <c r="BF159" i="28"/>
  <c r="BF160" i="28"/>
  <c r="BF161" i="28"/>
  <c r="BF162" i="28"/>
  <c r="BF163" i="28"/>
  <c r="BF164" i="28"/>
  <c r="BF165" i="28"/>
  <c r="BF166" i="28"/>
  <c r="BF167" i="28"/>
  <c r="BF168" i="28"/>
  <c r="BF169" i="28"/>
  <c r="BF170" i="28"/>
  <c r="BF171" i="28"/>
  <c r="BF172" i="28"/>
  <c r="BF173" i="28"/>
  <c r="BF174" i="28"/>
  <c r="BF175" i="28"/>
  <c r="BF176" i="28"/>
  <c r="BF177" i="28"/>
  <c r="BF178" i="28"/>
  <c r="BF179" i="28"/>
  <c r="BF180" i="28"/>
  <c r="BF181" i="28"/>
  <c r="BF182" i="28"/>
  <c r="BF183" i="28"/>
  <c r="BF184" i="28"/>
  <c r="BF185" i="28"/>
  <c r="BF186" i="28"/>
  <c r="BF187" i="28"/>
  <c r="BF188" i="28"/>
  <c r="BF189" i="28"/>
  <c r="BF190" i="28"/>
  <c r="BF191" i="28"/>
  <c r="BF192" i="28"/>
  <c r="BF193" i="28"/>
  <c r="BF194" i="28"/>
  <c r="BF195" i="28"/>
  <c r="BF196" i="28"/>
  <c r="BF197" i="28"/>
  <c r="BF198" i="28"/>
  <c r="BF199" i="28"/>
  <c r="BF200" i="28"/>
  <c r="BF201" i="28"/>
  <c r="BF202" i="28"/>
  <c r="BF203" i="28"/>
  <c r="BF204" i="28"/>
  <c r="BF205" i="28"/>
  <c r="BF206" i="28"/>
  <c r="BF207" i="28"/>
  <c r="BF208" i="28"/>
  <c r="BF209" i="28"/>
  <c r="BF210" i="28"/>
  <c r="BF211" i="28"/>
  <c r="BF212" i="28"/>
  <c r="BF213" i="28"/>
  <c r="BF214" i="28"/>
  <c r="BF215" i="28"/>
  <c r="BF216" i="28"/>
  <c r="BF217" i="28"/>
  <c r="BF218" i="28"/>
  <c r="BF219" i="28"/>
  <c r="BF220" i="28"/>
  <c r="BF221" i="28"/>
  <c r="BF222" i="28"/>
  <c r="BF223" i="28"/>
  <c r="BF224" i="28"/>
  <c r="BF225" i="28"/>
  <c r="BF226" i="28"/>
  <c r="BF227" i="28"/>
  <c r="BF228" i="28"/>
  <c r="BF229" i="28"/>
  <c r="BF230" i="28"/>
  <c r="BF231" i="28"/>
  <c r="BF232" i="28"/>
  <c r="BF233" i="28"/>
  <c r="BF234" i="28"/>
  <c r="BF235" i="28"/>
  <c r="BF236" i="28"/>
  <c r="BF237" i="28"/>
  <c r="BF238" i="28"/>
  <c r="BF239" i="28"/>
  <c r="BF240" i="28"/>
  <c r="BF241" i="28"/>
  <c r="BF242" i="28"/>
  <c r="BF243" i="28"/>
  <c r="BF244" i="28"/>
  <c r="BF245" i="28"/>
  <c r="BF246" i="28"/>
  <c r="BF247" i="28"/>
  <c r="BF248" i="28"/>
  <c r="BF249" i="28"/>
  <c r="BF250" i="28"/>
  <c r="BF251" i="28"/>
  <c r="BF252" i="28"/>
  <c r="BF253" i="28"/>
  <c r="BF254" i="28"/>
  <c r="BF255" i="28"/>
  <c r="BF256" i="28"/>
  <c r="BF257" i="28"/>
  <c r="BF258" i="28"/>
  <c r="BF259" i="28"/>
  <c r="BF260" i="28"/>
  <c r="BF263" i="28"/>
  <c r="BF265" i="28"/>
  <c r="BF267" i="28"/>
  <c r="BF269" i="28"/>
  <c r="BF271" i="28"/>
  <c r="BF273" i="28"/>
  <c r="BF275" i="28"/>
  <c r="BF277" i="28"/>
  <c r="BF279" i="28"/>
  <c r="BF281" i="28"/>
  <c r="BF283" i="28"/>
  <c r="BF284" i="28"/>
  <c r="BF287" i="28"/>
  <c r="BF288" i="28"/>
  <c r="BF289" i="28"/>
  <c r="BF290" i="28"/>
  <c r="BF291" i="28"/>
  <c r="BF292" i="28"/>
  <c r="BF293" i="28"/>
  <c r="BF294" i="28"/>
  <c r="BF295" i="28"/>
  <c r="BF296" i="28"/>
  <c r="BF297" i="28"/>
  <c r="BF298" i="28"/>
  <c r="BF299" i="28"/>
  <c r="BF300" i="28"/>
  <c r="BF301" i="28"/>
  <c r="BF302" i="28"/>
  <c r="BF303" i="28"/>
  <c r="BF304" i="28"/>
  <c r="BF305" i="28"/>
  <c r="BF306" i="28"/>
  <c r="BF307" i="28"/>
  <c r="BF308" i="28"/>
  <c r="BF309" i="28"/>
  <c r="BF310" i="28"/>
  <c r="BF311" i="28"/>
  <c r="BF312" i="28"/>
  <c r="BF313" i="28"/>
  <c r="BF314" i="28"/>
  <c r="BF315" i="28"/>
  <c r="BF316" i="28"/>
  <c r="BF317" i="28"/>
  <c r="BF318" i="28"/>
  <c r="BF319" i="28"/>
  <c r="BF320" i="28"/>
  <c r="BF321" i="28"/>
  <c r="BF322" i="28"/>
  <c r="BF323" i="28"/>
  <c r="BF324" i="28"/>
  <c r="BF325" i="28"/>
  <c r="BF326" i="28"/>
  <c r="BF327" i="28"/>
  <c r="BF328" i="28"/>
  <c r="BF329" i="28"/>
  <c r="BF330" i="28"/>
  <c r="BF331" i="28"/>
  <c r="BF332" i="28"/>
  <c r="BF333" i="28"/>
  <c r="BF336" i="28"/>
  <c r="BF337" i="28"/>
  <c r="BF338" i="28"/>
  <c r="BF339" i="28"/>
  <c r="BF340" i="28"/>
  <c r="BF341" i="28"/>
  <c r="BF342" i="28"/>
  <c r="BF343" i="28"/>
  <c r="BF344" i="28"/>
  <c r="BF345" i="28"/>
  <c r="BF346" i="28"/>
  <c r="BF347" i="28"/>
  <c r="BF348" i="28"/>
  <c r="BF349" i="28"/>
  <c r="BF350" i="28"/>
  <c r="BF351" i="28"/>
  <c r="BF352" i="28"/>
  <c r="BF353" i="28"/>
  <c r="BF354" i="28"/>
  <c r="BF355" i="28"/>
  <c r="BF356" i="28"/>
  <c r="BF357" i="28"/>
  <c r="BF358" i="28"/>
  <c r="BF359" i="28"/>
  <c r="BF360" i="28"/>
  <c r="BF361" i="28"/>
  <c r="BF362" i="28"/>
  <c r="BF363" i="28"/>
  <c r="BF364" i="28"/>
  <c r="BF365" i="28"/>
  <c r="BF366" i="28"/>
  <c r="BF367" i="28"/>
  <c r="BF368" i="28"/>
  <c r="BF369" i="28"/>
  <c r="BF370" i="28"/>
  <c r="BF371" i="28"/>
  <c r="BF372" i="28"/>
  <c r="BF373" i="28"/>
  <c r="BF374" i="28"/>
  <c r="BF375" i="28"/>
  <c r="BF376" i="28"/>
  <c r="BF377" i="28"/>
  <c r="BF378" i="28"/>
  <c r="BF379" i="28"/>
  <c r="BF380" i="28"/>
  <c r="BF381" i="28"/>
  <c r="BF382" i="28"/>
  <c r="BF383" i="28"/>
  <c r="BF384" i="28"/>
  <c r="BF385" i="28"/>
  <c r="BF386" i="28"/>
  <c r="BF387" i="28"/>
  <c r="BF388" i="28"/>
  <c r="BF389" i="28"/>
  <c r="BF390" i="28"/>
  <c r="BF391" i="28"/>
  <c r="BF392" i="28"/>
  <c r="BF393" i="28"/>
  <c r="BF394" i="28"/>
  <c r="BF395" i="28"/>
  <c r="BF396" i="28"/>
  <c r="BF397" i="28"/>
  <c r="BF398" i="28"/>
  <c r="BF399" i="28"/>
  <c r="BF400" i="28"/>
  <c r="BF401" i="28"/>
  <c r="BF402" i="28"/>
  <c r="BF403" i="28"/>
  <c r="BF404" i="28"/>
  <c r="BF405" i="28"/>
  <c r="BF406" i="28"/>
  <c r="BF407" i="28"/>
  <c r="BF408" i="28"/>
  <c r="BF409" i="28"/>
  <c r="BF410" i="28"/>
  <c r="BF411" i="28"/>
  <c r="BF412" i="28"/>
  <c r="BF413" i="28"/>
  <c r="BF414" i="28"/>
  <c r="BF415" i="28"/>
  <c r="BF416" i="28"/>
  <c r="BF417" i="28"/>
  <c r="BF418" i="28"/>
  <c r="BF419" i="28"/>
  <c r="BF420" i="28"/>
  <c r="BF421" i="28"/>
  <c r="BF422" i="28"/>
  <c r="BF423" i="28"/>
  <c r="BF424" i="28"/>
  <c r="BF425" i="28"/>
  <c r="BF426" i="28"/>
  <c r="BF427" i="28"/>
  <c r="BF428" i="28"/>
  <c r="BF429" i="28"/>
  <c r="BF430" i="28"/>
  <c r="BF431" i="28"/>
  <c r="BF432" i="28"/>
  <c r="BF433" i="28"/>
  <c r="BF434" i="28"/>
  <c r="BF435" i="28"/>
  <c r="BF436" i="28"/>
  <c r="BF437" i="28"/>
  <c r="BF438" i="28"/>
  <c r="BF439" i="28"/>
  <c r="BF440" i="28"/>
  <c r="BF441" i="28"/>
  <c r="BF442" i="28"/>
  <c r="BF443" i="28"/>
  <c r="BF444" i="28"/>
  <c r="BF445" i="28"/>
  <c r="BF447" i="28"/>
  <c r="BF448" i="28"/>
  <c r="BF449" i="28"/>
  <c r="BF450" i="28"/>
  <c r="BF451" i="28"/>
  <c r="BF452" i="28"/>
  <c r="BF453" i="28"/>
  <c r="BF454" i="28"/>
  <c r="BF455" i="28"/>
  <c r="BF456" i="28"/>
  <c r="BF457" i="28"/>
  <c r="BF458" i="28"/>
  <c r="BF459" i="28"/>
  <c r="BF460" i="28"/>
  <c r="BF465" i="28"/>
  <c r="BF466" i="28"/>
  <c r="BF468" i="28"/>
  <c r="BF469" i="28"/>
  <c r="BF470" i="28"/>
  <c r="BF471" i="28"/>
  <c r="BF472" i="28"/>
  <c r="BF473" i="28"/>
  <c r="BF474" i="28"/>
  <c r="BF475" i="28"/>
  <c r="BF476" i="28"/>
  <c r="BF477" i="28"/>
  <c r="BF478" i="28"/>
  <c r="BF479" i="28"/>
  <c r="BF480" i="28"/>
  <c r="BF481" i="28"/>
  <c r="BF482" i="28"/>
  <c r="BF483" i="28"/>
  <c r="BF484" i="28"/>
  <c r="BF485" i="28"/>
  <c r="BF486" i="28"/>
  <c r="BF487" i="28"/>
  <c r="BF488" i="28"/>
  <c r="BF489" i="28"/>
  <c r="BF490" i="28"/>
  <c r="BF491" i="28"/>
  <c r="BF492" i="28"/>
  <c r="BF493" i="28"/>
  <c r="BF494" i="28"/>
  <c r="BF495" i="28"/>
  <c r="BF496" i="28"/>
  <c r="BF497" i="28"/>
  <c r="BF498" i="28"/>
  <c r="BF499" i="28"/>
  <c r="BF500" i="28"/>
  <c r="BF501" i="28"/>
  <c r="BF502" i="28"/>
  <c r="BF504" i="28"/>
  <c r="BF505" i="28"/>
  <c r="BF506" i="28"/>
  <c r="BF507" i="28"/>
  <c r="BF508" i="28"/>
  <c r="BF509" i="28"/>
  <c r="BF510" i="28"/>
  <c r="BF511" i="28"/>
  <c r="BF512" i="28"/>
  <c r="BF513" i="28"/>
  <c r="BF514" i="28"/>
  <c r="BF515" i="28"/>
  <c r="BF516" i="28"/>
  <c r="BF517" i="28"/>
  <c r="BF518" i="28"/>
  <c r="BF519" i="28"/>
  <c r="BF520" i="28"/>
  <c r="BF521" i="28"/>
  <c r="BF523" i="28"/>
  <c r="BF524" i="28"/>
  <c r="BF525" i="28"/>
  <c r="BF526" i="28"/>
  <c r="BF527" i="28"/>
  <c r="BF528" i="28"/>
  <c r="BF530" i="28"/>
  <c r="BF531" i="28"/>
  <c r="BF532" i="28"/>
  <c r="BF533" i="28"/>
  <c r="BF534" i="28"/>
  <c r="BF535" i="28"/>
  <c r="BF536" i="28"/>
  <c r="BF537" i="28"/>
  <c r="BF539" i="28"/>
  <c r="BF541" i="28"/>
  <c r="BF542" i="28"/>
  <c r="BF543" i="28"/>
  <c r="BF544" i="28"/>
  <c r="BF545" i="28"/>
  <c r="BF546" i="28"/>
  <c r="BF547" i="28"/>
  <c r="BF548" i="28"/>
  <c r="BF549" i="28"/>
  <c r="BF551" i="28"/>
  <c r="BF553" i="28"/>
  <c r="BF554" i="28"/>
  <c r="BF559" i="28"/>
  <c r="BF560" i="28"/>
  <c r="BF561" i="28"/>
  <c r="BF562" i="28"/>
  <c r="BF563" i="28"/>
  <c r="BF564" i="28"/>
  <c r="BF565" i="28"/>
  <c r="BF566" i="28"/>
  <c r="BF567" i="28"/>
  <c r="BF568" i="28"/>
  <c r="BF569" i="28"/>
  <c r="BF570" i="28"/>
  <c r="BF571" i="28"/>
  <c r="BF572" i="28"/>
  <c r="BF573" i="28"/>
  <c r="BF574" i="28"/>
  <c r="BF575" i="28"/>
  <c r="BF576" i="28"/>
  <c r="BF577" i="28"/>
  <c r="BF578" i="28"/>
  <c r="BF579" i="28"/>
  <c r="BF580" i="28"/>
  <c r="BF581" i="28"/>
  <c r="BF582" i="28"/>
  <c r="BF583" i="28"/>
  <c r="BF584" i="28"/>
  <c r="BF585" i="28"/>
  <c r="BF586" i="28"/>
  <c r="BF587" i="28"/>
  <c r="BF588" i="28"/>
  <c r="BF589" i="28"/>
  <c r="BF590" i="28"/>
  <c r="BF591" i="28"/>
  <c r="BF592" i="28"/>
  <c r="BF593" i="28"/>
  <c r="BF594" i="28"/>
  <c r="BF595" i="28"/>
  <c r="BF596" i="28"/>
  <c r="BF597" i="28"/>
  <c r="BF598" i="28"/>
  <c r="BF599" i="28"/>
  <c r="BF600" i="28"/>
  <c r="BF601" i="28"/>
  <c r="BF602" i="28"/>
  <c r="BF603" i="28"/>
  <c r="BF604" i="28"/>
  <c r="BF605" i="28"/>
  <c r="BF606" i="28"/>
  <c r="BF607" i="28"/>
  <c r="BF608" i="28"/>
  <c r="BF609" i="28"/>
  <c r="BF610" i="28"/>
  <c r="BF611" i="28"/>
  <c r="BF612" i="28"/>
  <c r="BF613" i="28"/>
  <c r="BF614" i="28"/>
  <c r="BF615" i="28"/>
  <c r="BF616" i="28"/>
  <c r="BF617" i="28"/>
  <c r="BF618" i="28"/>
  <c r="BF619" i="28"/>
  <c r="BF620" i="28"/>
  <c r="BF621" i="28"/>
  <c r="BF622" i="28"/>
  <c r="BF623" i="28"/>
  <c r="BF624" i="28"/>
  <c r="BF625" i="28"/>
  <c r="BF626" i="28"/>
  <c r="BF627" i="28"/>
  <c r="BF628" i="28"/>
  <c r="BF629" i="28"/>
  <c r="BF7" i="28"/>
  <c r="BD8" i="28"/>
  <c r="BD9" i="28"/>
  <c r="BD10" i="28"/>
  <c r="BD11" i="28"/>
  <c r="BD12" i="28"/>
  <c r="BD13" i="28"/>
  <c r="BD15" i="28"/>
  <c r="BD16" i="28"/>
  <c r="BD17" i="28"/>
  <c r="BD18" i="28"/>
  <c r="BD19" i="28"/>
  <c r="BD20" i="28"/>
  <c r="BD21" i="28"/>
  <c r="BD23" i="28"/>
  <c r="BD24" i="28"/>
  <c r="BD25" i="28"/>
  <c r="BD26" i="28"/>
  <c r="BD27" i="28"/>
  <c r="BD28" i="28"/>
  <c r="BD29" i="28"/>
  <c r="BD31" i="28"/>
  <c r="BD32" i="28"/>
  <c r="BD33" i="28"/>
  <c r="BD34" i="28"/>
  <c r="BD35" i="28"/>
  <c r="BD36" i="28"/>
  <c r="BD37" i="28"/>
  <c r="BD39" i="28"/>
  <c r="BD40" i="28"/>
  <c r="BD42" i="28"/>
  <c r="BD43" i="28"/>
  <c r="BD44" i="28"/>
  <c r="BD45" i="28"/>
  <c r="BD46" i="28"/>
  <c r="BD47" i="28"/>
  <c r="BD48" i="28"/>
  <c r="BD50" i="28"/>
  <c r="BD51" i="28"/>
  <c r="BD52" i="28"/>
  <c r="BD53" i="28"/>
  <c r="BD54" i="28"/>
  <c r="BD55" i="28"/>
  <c r="BD56" i="28"/>
  <c r="BD58" i="28"/>
  <c r="BD59" i="28"/>
  <c r="BD60" i="28"/>
  <c r="BD63" i="28"/>
  <c r="BD64" i="28"/>
  <c r="BD65" i="28"/>
  <c r="BD66" i="28"/>
  <c r="BD67" i="28"/>
  <c r="BD68" i="28"/>
  <c r="BD69" i="28"/>
  <c r="BD74" i="28"/>
  <c r="BD75" i="28"/>
  <c r="BD76" i="28"/>
  <c r="BD77" i="28"/>
  <c r="BD78" i="28"/>
  <c r="BD81" i="28"/>
  <c r="BD82" i="28"/>
  <c r="BD83" i="28"/>
  <c r="BD85" i="28"/>
  <c r="BD86" i="28"/>
  <c r="BD87" i="28"/>
  <c r="BD89" i="28"/>
  <c r="BD90" i="28"/>
  <c r="BD91" i="28"/>
  <c r="BD93" i="28"/>
  <c r="BD94" i="28"/>
  <c r="BD95" i="28"/>
  <c r="BD97" i="28"/>
  <c r="BD98" i="28"/>
  <c r="BD99" i="28"/>
  <c r="BD102" i="28"/>
  <c r="BD103" i="28"/>
  <c r="BD104" i="28"/>
  <c r="BD105" i="28"/>
  <c r="BD106" i="28"/>
  <c r="BD107" i="28"/>
  <c r="BD108" i="28"/>
  <c r="BD109" i="28"/>
  <c r="BD110" i="28"/>
  <c r="BD111" i="28"/>
  <c r="BD112" i="28"/>
  <c r="BD113" i="28"/>
  <c r="BD114" i="28"/>
  <c r="BD115" i="28"/>
  <c r="BD116" i="28"/>
  <c r="BD117" i="28"/>
  <c r="BD118" i="28"/>
  <c r="BD119" i="28"/>
  <c r="BD120" i="28"/>
  <c r="BD121" i="28"/>
  <c r="BD122" i="28"/>
  <c r="BD123" i="28"/>
  <c r="BD124" i="28"/>
  <c r="BD125" i="28"/>
  <c r="BD126" i="28"/>
  <c r="BD127" i="28"/>
  <c r="BD128" i="28"/>
  <c r="BD129" i="28"/>
  <c r="BD130" i="28"/>
  <c r="BD131" i="28"/>
  <c r="BD132" i="28"/>
  <c r="BD133" i="28"/>
  <c r="BD134" i="28"/>
  <c r="BD135" i="28"/>
  <c r="BD136" i="28"/>
  <c r="BD137" i="28"/>
  <c r="BD138" i="28"/>
  <c r="BD139" i="28"/>
  <c r="BD140" i="28"/>
  <c r="BD141" i="28"/>
  <c r="BD142" i="28"/>
  <c r="BD143" i="28"/>
  <c r="BD144" i="28"/>
  <c r="BD145" i="28"/>
  <c r="BD146" i="28"/>
  <c r="BD147" i="28"/>
  <c r="BD148" i="28"/>
  <c r="BD149" i="28"/>
  <c r="BD150" i="28"/>
  <c r="BD151" i="28"/>
  <c r="BD152" i="28"/>
  <c r="BD153" i="28"/>
  <c r="BD154" i="28"/>
  <c r="BD155" i="28"/>
  <c r="BD156" i="28"/>
  <c r="BD157" i="28"/>
  <c r="BD158" i="28"/>
  <c r="BD159" i="28"/>
  <c r="BD160" i="28"/>
  <c r="BD161" i="28"/>
  <c r="BD162" i="28"/>
  <c r="BD163" i="28"/>
  <c r="BD164" i="28"/>
  <c r="BD165" i="28"/>
  <c r="BD166" i="28"/>
  <c r="BD167" i="28"/>
  <c r="BD168" i="28"/>
  <c r="BD169" i="28"/>
  <c r="BD170" i="28"/>
  <c r="BD171" i="28"/>
  <c r="BD172" i="28"/>
  <c r="BD173" i="28"/>
  <c r="BD174" i="28"/>
  <c r="BD175" i="28"/>
  <c r="BD176" i="28"/>
  <c r="BD177" i="28"/>
  <c r="BD178" i="28"/>
  <c r="BD179" i="28"/>
  <c r="BD180" i="28"/>
  <c r="BD181" i="28"/>
  <c r="BD182" i="28"/>
  <c r="BD183" i="28"/>
  <c r="BD184" i="28"/>
  <c r="BD185" i="28"/>
  <c r="BD186" i="28"/>
  <c r="BD187" i="28"/>
  <c r="BD188" i="28"/>
  <c r="BD189" i="28"/>
  <c r="BD190" i="28"/>
  <c r="BD191" i="28"/>
  <c r="BD192" i="28"/>
  <c r="BD193" i="28"/>
  <c r="BD194" i="28"/>
  <c r="BD195" i="28"/>
  <c r="BD196" i="28"/>
  <c r="BD197" i="28"/>
  <c r="BD198" i="28"/>
  <c r="BD199" i="28"/>
  <c r="BD200" i="28"/>
  <c r="BD201" i="28"/>
  <c r="BD202" i="28"/>
  <c r="BD203" i="28"/>
  <c r="BD204" i="28"/>
  <c r="BD205" i="28"/>
  <c r="BD206" i="28"/>
  <c r="BD207" i="28"/>
  <c r="BD208" i="28"/>
  <c r="BD209" i="28"/>
  <c r="BD210" i="28"/>
  <c r="BD211" i="28"/>
  <c r="BD212" i="28"/>
  <c r="BD213" i="28"/>
  <c r="BD214" i="28"/>
  <c r="BD215" i="28"/>
  <c r="BD216" i="28"/>
  <c r="BD217" i="28"/>
  <c r="BD218" i="28"/>
  <c r="BD219" i="28"/>
  <c r="BD220" i="28"/>
  <c r="BD221" i="28"/>
  <c r="BD222" i="28"/>
  <c r="BD223" i="28"/>
  <c r="BD224" i="28"/>
  <c r="BD225" i="28"/>
  <c r="BD226" i="28"/>
  <c r="BD227" i="28"/>
  <c r="BD228" i="28"/>
  <c r="BD229" i="28"/>
  <c r="BD230" i="28"/>
  <c r="BD231" i="28"/>
  <c r="BD232" i="28"/>
  <c r="BD233" i="28"/>
  <c r="BD234" i="28"/>
  <c r="BD235" i="28"/>
  <c r="BD236" i="28"/>
  <c r="BD237" i="28"/>
  <c r="BD238" i="28"/>
  <c r="BD239" i="28"/>
  <c r="BD240" i="28"/>
  <c r="BD241" i="28"/>
  <c r="BD242" i="28"/>
  <c r="BD243" i="28"/>
  <c r="BD244" i="28"/>
  <c r="BD245" i="28"/>
  <c r="BD246" i="28"/>
  <c r="BD247" i="28"/>
  <c r="BD248" i="28"/>
  <c r="BD249" i="28"/>
  <c r="BD250" i="28"/>
  <c r="BD251" i="28"/>
  <c r="BD252" i="28"/>
  <c r="BD253" i="28"/>
  <c r="BD254" i="28"/>
  <c r="BD255" i="28"/>
  <c r="BD256" i="28"/>
  <c r="BD257" i="28"/>
  <c r="BD258" i="28"/>
  <c r="BD259" i="28"/>
  <c r="BD260" i="28"/>
  <c r="BD263" i="28"/>
  <c r="BD265" i="28"/>
  <c r="BD267" i="28"/>
  <c r="BD269" i="28"/>
  <c r="BD271" i="28"/>
  <c r="BD273" i="28"/>
  <c r="BD275" i="28"/>
  <c r="BD277" i="28"/>
  <c r="BD279" i="28"/>
  <c r="BD281" i="28"/>
  <c r="BD283" i="28"/>
  <c r="BD284" i="28"/>
  <c r="BD287" i="28"/>
  <c r="BD288" i="28"/>
  <c r="BD289" i="28"/>
  <c r="BD290" i="28"/>
  <c r="BD291" i="28"/>
  <c r="BD292" i="28"/>
  <c r="BD293" i="28"/>
  <c r="BD294" i="28"/>
  <c r="BD295" i="28"/>
  <c r="BD296" i="28"/>
  <c r="BD297" i="28"/>
  <c r="BD298" i="28"/>
  <c r="BD299" i="28"/>
  <c r="BD300" i="28"/>
  <c r="BD301" i="28"/>
  <c r="BD302" i="28"/>
  <c r="BD303" i="28"/>
  <c r="BD304" i="28"/>
  <c r="BD305" i="28"/>
  <c r="BD306" i="28"/>
  <c r="BD307" i="28"/>
  <c r="BD308" i="28"/>
  <c r="BD309" i="28"/>
  <c r="BD310" i="28"/>
  <c r="BD311" i="28"/>
  <c r="BD312" i="28"/>
  <c r="BD313" i="28"/>
  <c r="BD314" i="28"/>
  <c r="BD315" i="28"/>
  <c r="BD316" i="28"/>
  <c r="BD317" i="28"/>
  <c r="BD318" i="28"/>
  <c r="BD319" i="28"/>
  <c r="BD320" i="28"/>
  <c r="BD321" i="28"/>
  <c r="BD322" i="28"/>
  <c r="BD323" i="28"/>
  <c r="BD324" i="28"/>
  <c r="BD325" i="28"/>
  <c r="BD326" i="28"/>
  <c r="BD327" i="28"/>
  <c r="BD328" i="28"/>
  <c r="BD329" i="28"/>
  <c r="BD330" i="28"/>
  <c r="BD331" i="28"/>
  <c r="BD332" i="28"/>
  <c r="BD333" i="28"/>
  <c r="BD336" i="28"/>
  <c r="BD337" i="28"/>
  <c r="BD338" i="28"/>
  <c r="BD339" i="28"/>
  <c r="BD340" i="28"/>
  <c r="BD341" i="28"/>
  <c r="BD342" i="28"/>
  <c r="BD343" i="28"/>
  <c r="BD344" i="28"/>
  <c r="BD345" i="28"/>
  <c r="BD346" i="28"/>
  <c r="BD347" i="28"/>
  <c r="BD348" i="28"/>
  <c r="BD349" i="28"/>
  <c r="BD350" i="28"/>
  <c r="BD351" i="28"/>
  <c r="BD352" i="28"/>
  <c r="BD353" i="28"/>
  <c r="BD354" i="28"/>
  <c r="BD355" i="28"/>
  <c r="BD356" i="28"/>
  <c r="BD357" i="28"/>
  <c r="BD358" i="28"/>
  <c r="BD359" i="28"/>
  <c r="BD360" i="28"/>
  <c r="BD361" i="28"/>
  <c r="BD362" i="28"/>
  <c r="BD363" i="28"/>
  <c r="BD364" i="28"/>
  <c r="BD365" i="28"/>
  <c r="BD366" i="28"/>
  <c r="BD367" i="28"/>
  <c r="BD368" i="28"/>
  <c r="BD369" i="28"/>
  <c r="BD370" i="28"/>
  <c r="BD371" i="28"/>
  <c r="BD372" i="28"/>
  <c r="BD373" i="28"/>
  <c r="BD374" i="28"/>
  <c r="BD375" i="28"/>
  <c r="BD376" i="28"/>
  <c r="BD377" i="28"/>
  <c r="BD378" i="28"/>
  <c r="BD379" i="28"/>
  <c r="BD380" i="28"/>
  <c r="BD381" i="28"/>
  <c r="BD382" i="28"/>
  <c r="BD383" i="28"/>
  <c r="BD384" i="28"/>
  <c r="BD385" i="28"/>
  <c r="BD386" i="28"/>
  <c r="BD387" i="28"/>
  <c r="BD388" i="28"/>
  <c r="BD389" i="28"/>
  <c r="BD390" i="28"/>
  <c r="BD391" i="28"/>
  <c r="BD392" i="28"/>
  <c r="BD393" i="28"/>
  <c r="BD394" i="28"/>
  <c r="BD395" i="28"/>
  <c r="BD396" i="28"/>
  <c r="BD397" i="28"/>
  <c r="BD398" i="28"/>
  <c r="BD399" i="28"/>
  <c r="BD400" i="28"/>
  <c r="BD401" i="28"/>
  <c r="BD402" i="28"/>
  <c r="BD403" i="28"/>
  <c r="BD404" i="28"/>
  <c r="BD405" i="28"/>
  <c r="BD406" i="28"/>
  <c r="BD407" i="28"/>
  <c r="BD408" i="28"/>
  <c r="BD409" i="28"/>
  <c r="BD410" i="28"/>
  <c r="BD411" i="28"/>
  <c r="BD412" i="28"/>
  <c r="BD413" i="28"/>
  <c r="BD414" i="28"/>
  <c r="BD415" i="28"/>
  <c r="BD416" i="28"/>
  <c r="BD417" i="28"/>
  <c r="BD418" i="28"/>
  <c r="BD419" i="28"/>
  <c r="BD420" i="28"/>
  <c r="BD421" i="28"/>
  <c r="BD422" i="28"/>
  <c r="BD423" i="28"/>
  <c r="BD424" i="28"/>
  <c r="BD425" i="28"/>
  <c r="BD426" i="28"/>
  <c r="BD427" i="28"/>
  <c r="BD428" i="28"/>
  <c r="BD429" i="28"/>
  <c r="BD430" i="28"/>
  <c r="BD431" i="28"/>
  <c r="BD432" i="28"/>
  <c r="BD433" i="28"/>
  <c r="BD434" i="28"/>
  <c r="BD435" i="28"/>
  <c r="BD436" i="28"/>
  <c r="BD437" i="28"/>
  <c r="BD438" i="28"/>
  <c r="BD439" i="28"/>
  <c r="BD440" i="28"/>
  <c r="BD441" i="28"/>
  <c r="BD442" i="28"/>
  <c r="BD443" i="28"/>
  <c r="BD444" i="28"/>
  <c r="BD445" i="28"/>
  <c r="BD447" i="28"/>
  <c r="BD448" i="28"/>
  <c r="BD449" i="28"/>
  <c r="BD450" i="28"/>
  <c r="BD451" i="28"/>
  <c r="BD452" i="28"/>
  <c r="BD453" i="28"/>
  <c r="BD454" i="28"/>
  <c r="BD455" i="28"/>
  <c r="BD456" i="28"/>
  <c r="BD457" i="28"/>
  <c r="BD458" i="28"/>
  <c r="BD459" i="28"/>
  <c r="BD460" i="28"/>
  <c r="BD465" i="28"/>
  <c r="BD466" i="28"/>
  <c r="BD468" i="28"/>
  <c r="BD469" i="28"/>
  <c r="BD470" i="28"/>
  <c r="BD471" i="28"/>
  <c r="BD472" i="28"/>
  <c r="BD473" i="28"/>
  <c r="BD474" i="28"/>
  <c r="BD475" i="28"/>
  <c r="BD476" i="28"/>
  <c r="BD477" i="28"/>
  <c r="BD478" i="28"/>
  <c r="BD479" i="28"/>
  <c r="BD480" i="28"/>
  <c r="BD481" i="28"/>
  <c r="BD482" i="28"/>
  <c r="BD483" i="28"/>
  <c r="BD484" i="28"/>
  <c r="BD485" i="28"/>
  <c r="BD486" i="28"/>
  <c r="BD487" i="28"/>
  <c r="BD488" i="28"/>
  <c r="BD489" i="28"/>
  <c r="BD490" i="28"/>
  <c r="BD491" i="28"/>
  <c r="BD492" i="28"/>
  <c r="BD493" i="28"/>
  <c r="BD494" i="28"/>
  <c r="BD495" i="28"/>
  <c r="BD496" i="28"/>
  <c r="BD497" i="28"/>
  <c r="BD498" i="28"/>
  <c r="BD499" i="28"/>
  <c r="BD500" i="28"/>
  <c r="BD501" i="28"/>
  <c r="BD502" i="28"/>
  <c r="BD504" i="28"/>
  <c r="BD505" i="28"/>
  <c r="BD506" i="28"/>
  <c r="BD507" i="28"/>
  <c r="BD508" i="28"/>
  <c r="BD509" i="28"/>
  <c r="BD510" i="28"/>
  <c r="BD511" i="28"/>
  <c r="BD512" i="28"/>
  <c r="BD513" i="28"/>
  <c r="BD514" i="28"/>
  <c r="BD515" i="28"/>
  <c r="BD516" i="28"/>
  <c r="BD517" i="28"/>
  <c r="BD518" i="28"/>
  <c r="BD519" i="28"/>
  <c r="BD520" i="28"/>
  <c r="BD521" i="28"/>
  <c r="BD523" i="28"/>
  <c r="BD524" i="28"/>
  <c r="BD525" i="28"/>
  <c r="BD526" i="28"/>
  <c r="BD527" i="28"/>
  <c r="BD528" i="28"/>
  <c r="BD529" i="28"/>
  <c r="BD530" i="28"/>
  <c r="BD531" i="28"/>
  <c r="BD532" i="28"/>
  <c r="BD533" i="28"/>
  <c r="BD534" i="28"/>
  <c r="BD535" i="28"/>
  <c r="BD536" i="28"/>
  <c r="BD537" i="28"/>
  <c r="BD538" i="28"/>
  <c r="BD539" i="28"/>
  <c r="BD540" i="28"/>
  <c r="BD541" i="28"/>
  <c r="BD542" i="28"/>
  <c r="BD543" i="28"/>
  <c r="BD544" i="28"/>
  <c r="BD545" i="28"/>
  <c r="BD546" i="28"/>
  <c r="BD547" i="28"/>
  <c r="BD548" i="28"/>
  <c r="BD549" i="28"/>
  <c r="BD550" i="28"/>
  <c r="BD551" i="28"/>
  <c r="BD552" i="28"/>
  <c r="BD553" i="28"/>
  <c r="BD554" i="28"/>
  <c r="BD557" i="28"/>
  <c r="BD558" i="28"/>
  <c r="BD559" i="28"/>
  <c r="BD560" i="28"/>
  <c r="BD561" i="28"/>
  <c r="BD562" i="28"/>
  <c r="BD563" i="28"/>
  <c r="BD564" i="28"/>
  <c r="BD565" i="28"/>
  <c r="BD566" i="28"/>
  <c r="BD567" i="28"/>
  <c r="BD568" i="28"/>
  <c r="BD569" i="28"/>
  <c r="BD570" i="28"/>
  <c r="BD571" i="28"/>
  <c r="BD572" i="28"/>
  <c r="BD573" i="28"/>
  <c r="BD574" i="28"/>
  <c r="BD575" i="28"/>
  <c r="BD576" i="28"/>
  <c r="BD577" i="28"/>
  <c r="BD578" i="28"/>
  <c r="BD579" i="28"/>
  <c r="BD580" i="28"/>
  <c r="BD581" i="28"/>
  <c r="BD582" i="28"/>
  <c r="BD583" i="28"/>
  <c r="BD584" i="28"/>
  <c r="BD585" i="28"/>
  <c r="BD586" i="28"/>
  <c r="BD587" i="28"/>
  <c r="BD588" i="28"/>
  <c r="BD589" i="28"/>
  <c r="BD590" i="28"/>
  <c r="BD591" i="28"/>
  <c r="BD592" i="28"/>
  <c r="BD593" i="28"/>
  <c r="BD594" i="28"/>
  <c r="BD595" i="28"/>
  <c r="BD596" i="28"/>
  <c r="BD597" i="28"/>
  <c r="BD598" i="28"/>
  <c r="BD599" i="28"/>
  <c r="BD600" i="28"/>
  <c r="BD601" i="28"/>
  <c r="BD602" i="28"/>
  <c r="BD603" i="28"/>
  <c r="BD604" i="28"/>
  <c r="BD605" i="28"/>
  <c r="BD606" i="28"/>
  <c r="BD607" i="28"/>
  <c r="BD608" i="28"/>
  <c r="BD609" i="28"/>
  <c r="BD610" i="28"/>
  <c r="BD611" i="28"/>
  <c r="BD612" i="28"/>
  <c r="BD613" i="28"/>
  <c r="BD614" i="28"/>
  <c r="BD615" i="28"/>
  <c r="BD616" i="28"/>
  <c r="BD617" i="28"/>
  <c r="BD618" i="28"/>
  <c r="BD619" i="28"/>
  <c r="BD620" i="28"/>
  <c r="BD621" i="28"/>
  <c r="BD622" i="28"/>
  <c r="BD623" i="28"/>
  <c r="BD624" i="28"/>
  <c r="BD625" i="28"/>
  <c r="BD626" i="28"/>
  <c r="BD627" i="28"/>
  <c r="BD628" i="28"/>
  <c r="BD629" i="28"/>
  <c r="BD7" i="28"/>
  <c r="BB7" i="28"/>
  <c r="BB629" i="28"/>
  <c r="BB628" i="28"/>
  <c r="BB627" i="28"/>
  <c r="BB626" i="28"/>
  <c r="BB625" i="28"/>
  <c r="BB624" i="28"/>
  <c r="BB623" i="28"/>
  <c r="BB622" i="28"/>
  <c r="BB621" i="28"/>
  <c r="BB620" i="28"/>
  <c r="BB619" i="28"/>
  <c r="BB618" i="28"/>
  <c r="BB617" i="28"/>
  <c r="BB616" i="28"/>
  <c r="BB615" i="28"/>
  <c r="BB614" i="28"/>
  <c r="BB613" i="28"/>
  <c r="BB612" i="28"/>
  <c r="BB611" i="28"/>
  <c r="BB610" i="28"/>
  <c r="BB609" i="28"/>
  <c r="BB608" i="28"/>
  <c r="BB607" i="28"/>
  <c r="BB606" i="28"/>
  <c r="BB605" i="28"/>
  <c r="BB604" i="28"/>
  <c r="BB603" i="28"/>
  <c r="BB602" i="28"/>
  <c r="BB601" i="28"/>
  <c r="BB600" i="28"/>
  <c r="BB599" i="28"/>
  <c r="BB598" i="28"/>
  <c r="BB597" i="28"/>
  <c r="BB596" i="28"/>
  <c r="BB595" i="28"/>
  <c r="BB594" i="28"/>
  <c r="BB593" i="28"/>
  <c r="BB592" i="28"/>
  <c r="BB591" i="28"/>
  <c r="BB590" i="28"/>
  <c r="BB589" i="28"/>
  <c r="BB588" i="28"/>
  <c r="BB587" i="28"/>
  <c r="BB586" i="28"/>
  <c r="BB585" i="28"/>
  <c r="BB584" i="28"/>
  <c r="BB583" i="28"/>
  <c r="BB582" i="28"/>
  <c r="BB581" i="28"/>
  <c r="BB580" i="28"/>
  <c r="BB579" i="28"/>
  <c r="BB578" i="28"/>
  <c r="BB577" i="28"/>
  <c r="BB576" i="28"/>
  <c r="BB575" i="28"/>
  <c r="BB574" i="28"/>
  <c r="BB573" i="28"/>
  <c r="BB572" i="28"/>
  <c r="BB571" i="28"/>
  <c r="BB570" i="28"/>
  <c r="BB569" i="28"/>
  <c r="BB568" i="28"/>
  <c r="BB567" i="28"/>
  <c r="BB566" i="28"/>
  <c r="BB565" i="28"/>
  <c r="BB564" i="28"/>
  <c r="BB563" i="28"/>
  <c r="BB562" i="28"/>
  <c r="BB561" i="28"/>
  <c r="BB560" i="28"/>
  <c r="BB559" i="28"/>
  <c r="BB558" i="28"/>
  <c r="BB557" i="28"/>
  <c r="BB554" i="28"/>
  <c r="BB553" i="28"/>
  <c r="BB552" i="28"/>
  <c r="BB551" i="28"/>
  <c r="BB550" i="28"/>
  <c r="BB549" i="28"/>
  <c r="BB548" i="28"/>
  <c r="BB547" i="28"/>
  <c r="BB546" i="28"/>
  <c r="BB545" i="28"/>
  <c r="BB544" i="28"/>
  <c r="BB543" i="28"/>
  <c r="BB542" i="28"/>
  <c r="BB541" i="28"/>
  <c r="BB540" i="28"/>
  <c r="BB539" i="28"/>
  <c r="BB538" i="28"/>
  <c r="BB537" i="28"/>
  <c r="BB536" i="28"/>
  <c r="BB535" i="28"/>
  <c r="BB534" i="28"/>
  <c r="BB533" i="28"/>
  <c r="BB532" i="28"/>
  <c r="BB531" i="28"/>
  <c r="BB530" i="28"/>
  <c r="BB529" i="28"/>
  <c r="BB528" i="28"/>
  <c r="BB527" i="28"/>
  <c r="BB526" i="28"/>
  <c r="BB525" i="28"/>
  <c r="BB524" i="28"/>
  <c r="BB523" i="28"/>
  <c r="BB521" i="28"/>
  <c r="BB520" i="28"/>
  <c r="BB519" i="28"/>
  <c r="BB518" i="28"/>
  <c r="BB517" i="28"/>
  <c r="BB516" i="28"/>
  <c r="BB515" i="28"/>
  <c r="BB514" i="28"/>
  <c r="BB513" i="28"/>
  <c r="BB512" i="28"/>
  <c r="BB511" i="28"/>
  <c r="BB510" i="28"/>
  <c r="BB509" i="28"/>
  <c r="BB508" i="28"/>
  <c r="BB507" i="28"/>
  <c r="BB506" i="28"/>
  <c r="BB505" i="28"/>
  <c r="BB504" i="28"/>
  <c r="BB502" i="28"/>
  <c r="BB501" i="28"/>
  <c r="BB500" i="28"/>
  <c r="BB499" i="28"/>
  <c r="BB498" i="28"/>
  <c r="BB497" i="28"/>
  <c r="BB496" i="28"/>
  <c r="BB495" i="28"/>
  <c r="BB494" i="28"/>
  <c r="BB493" i="28"/>
  <c r="BB492" i="28"/>
  <c r="BB491" i="28"/>
  <c r="BB490" i="28"/>
  <c r="BB489" i="28"/>
  <c r="BB488" i="28"/>
  <c r="BB487" i="28"/>
  <c r="BB486" i="28"/>
  <c r="BB485" i="28"/>
  <c r="BB484" i="28"/>
  <c r="BB483" i="28"/>
  <c r="BB482" i="28"/>
  <c r="BB481" i="28"/>
  <c r="BB480" i="28"/>
  <c r="BB479" i="28"/>
  <c r="BB478" i="28"/>
  <c r="BB477" i="28"/>
  <c r="BB476" i="28"/>
  <c r="BB475" i="28"/>
  <c r="BB474" i="28"/>
  <c r="BB473" i="28"/>
  <c r="BB472" i="28"/>
  <c r="BB471" i="28"/>
  <c r="BB470" i="28"/>
  <c r="BB469" i="28"/>
  <c r="BB468" i="28"/>
  <c r="BB466" i="28"/>
  <c r="BB465" i="28"/>
  <c r="BB460" i="28"/>
  <c r="BB459" i="28"/>
  <c r="BB458" i="28"/>
  <c r="BB457" i="28"/>
  <c r="BB456" i="28"/>
  <c r="BB455" i="28"/>
  <c r="BB454" i="28"/>
  <c r="BB453" i="28"/>
  <c r="BB452" i="28"/>
  <c r="BB451" i="28"/>
  <c r="BB450" i="28"/>
  <c r="BB449" i="28"/>
  <c r="BB448" i="28"/>
  <c r="BB447" i="28"/>
  <c r="BB445" i="28"/>
  <c r="BB444" i="28"/>
  <c r="BB443" i="28"/>
  <c r="BB442" i="28"/>
  <c r="BB441" i="28"/>
  <c r="BB440" i="28"/>
  <c r="BB439" i="28"/>
  <c r="BB438" i="28"/>
  <c r="BB437" i="28"/>
  <c r="BB436" i="28"/>
  <c r="BB435" i="28"/>
  <c r="BB434" i="28"/>
  <c r="BB433" i="28"/>
  <c r="BB432" i="28"/>
  <c r="BB431" i="28"/>
  <c r="BB430" i="28"/>
  <c r="BB429" i="28"/>
  <c r="BB428" i="28"/>
  <c r="BB427" i="28"/>
  <c r="BB426" i="28"/>
  <c r="BB425" i="28"/>
  <c r="BB424" i="28"/>
  <c r="BB423" i="28"/>
  <c r="BB422" i="28"/>
  <c r="BB421" i="28"/>
  <c r="BB420" i="28"/>
  <c r="BB419" i="28"/>
  <c r="BB418" i="28"/>
  <c r="BB417" i="28"/>
  <c r="BB416" i="28"/>
  <c r="BB415" i="28"/>
  <c r="BB414" i="28"/>
  <c r="BB413" i="28"/>
  <c r="BB412" i="28"/>
  <c r="BB411" i="28"/>
  <c r="BB410" i="28"/>
  <c r="BB409" i="28"/>
  <c r="BB408" i="28"/>
  <c r="BB407" i="28"/>
  <c r="BB406" i="28"/>
  <c r="BB405" i="28"/>
  <c r="BB404" i="28"/>
  <c r="BB403" i="28"/>
  <c r="BB402" i="28"/>
  <c r="BB401" i="28"/>
  <c r="BB400" i="28"/>
  <c r="BB399" i="28"/>
  <c r="BB398" i="28"/>
  <c r="BB397" i="28"/>
  <c r="BB396" i="28"/>
  <c r="BB395" i="28"/>
  <c r="BB394" i="28"/>
  <c r="BB393" i="28"/>
  <c r="BB392" i="28"/>
  <c r="BB391" i="28"/>
  <c r="BB390" i="28"/>
  <c r="BB389" i="28"/>
  <c r="BB388" i="28"/>
  <c r="BB387" i="28"/>
  <c r="BB386" i="28"/>
  <c r="BB385" i="28"/>
  <c r="BB384" i="28"/>
  <c r="BB383" i="28"/>
  <c r="BB382" i="28"/>
  <c r="BB381" i="28"/>
  <c r="BB380" i="28"/>
  <c r="BB379" i="28"/>
  <c r="BB378" i="28"/>
  <c r="BB377" i="28"/>
  <c r="BB376" i="28"/>
  <c r="BB375" i="28"/>
  <c r="BB374" i="28"/>
  <c r="BB373" i="28"/>
  <c r="BB372" i="28"/>
  <c r="BB371" i="28"/>
  <c r="BB370" i="28"/>
  <c r="BB369" i="28"/>
  <c r="BB368" i="28"/>
  <c r="BB367" i="28"/>
  <c r="BB366" i="28"/>
  <c r="BB365" i="28"/>
  <c r="BB364" i="28"/>
  <c r="BB363" i="28"/>
  <c r="BB362" i="28"/>
  <c r="BB361" i="28"/>
  <c r="BB360" i="28"/>
  <c r="BB359" i="28"/>
  <c r="BB358" i="28"/>
  <c r="BB357" i="28"/>
  <c r="BB356" i="28"/>
  <c r="BB355" i="28"/>
  <c r="BB354" i="28"/>
  <c r="BB353" i="28"/>
  <c r="BB352" i="28"/>
  <c r="BB351" i="28"/>
  <c r="BB350" i="28"/>
  <c r="BB349" i="28"/>
  <c r="BB348" i="28"/>
  <c r="BB347" i="28"/>
  <c r="BB346" i="28"/>
  <c r="BB345" i="28"/>
  <c r="BB344" i="28"/>
  <c r="BB343" i="28"/>
  <c r="BB342" i="28"/>
  <c r="BB341" i="28"/>
  <c r="BB340" i="28"/>
  <c r="BB339" i="28"/>
  <c r="BB338" i="28"/>
  <c r="BB337" i="28"/>
  <c r="BB336" i="28"/>
  <c r="BB333" i="28"/>
  <c r="BB332" i="28"/>
  <c r="BB331" i="28"/>
  <c r="BB330" i="28"/>
  <c r="BB329" i="28"/>
  <c r="BB328" i="28"/>
  <c r="BB327" i="28"/>
  <c r="BB326" i="28"/>
  <c r="BB325" i="28"/>
  <c r="BB324" i="28"/>
  <c r="BB323" i="28"/>
  <c r="BB322" i="28"/>
  <c r="BB321" i="28"/>
  <c r="BB320" i="28"/>
  <c r="BB319" i="28"/>
  <c r="BB318" i="28"/>
  <c r="BB317" i="28"/>
  <c r="BB316" i="28"/>
  <c r="BB315" i="28"/>
  <c r="BB314" i="28"/>
  <c r="BB313" i="28"/>
  <c r="BB312" i="28"/>
  <c r="BB311" i="28"/>
  <c r="BB310" i="28"/>
  <c r="BB309" i="28"/>
  <c r="BB308" i="28"/>
  <c r="BB307" i="28"/>
  <c r="BB306" i="28"/>
  <c r="BB305" i="28"/>
  <c r="BB304" i="28"/>
  <c r="BB303" i="28"/>
  <c r="BB302" i="28"/>
  <c r="BB301" i="28"/>
  <c r="BB300" i="28"/>
  <c r="BB299" i="28"/>
  <c r="BB298" i="28"/>
  <c r="BB297" i="28"/>
  <c r="BB296" i="28"/>
  <c r="BB295" i="28"/>
  <c r="BB294" i="28"/>
  <c r="BB293" i="28"/>
  <c r="BB292" i="28"/>
  <c r="BB291" i="28"/>
  <c r="BB290" i="28"/>
  <c r="BB289" i="28"/>
  <c r="BB288" i="28"/>
  <c r="BB287" i="28"/>
  <c r="BB284" i="28"/>
  <c r="BB283" i="28"/>
  <c r="BB281" i="28"/>
  <c r="BB279" i="28"/>
  <c r="BB277" i="28"/>
  <c r="BB275" i="28"/>
  <c r="BB273" i="28"/>
  <c r="BB271" i="28"/>
  <c r="BB269" i="28"/>
  <c r="BB267" i="28"/>
  <c r="BB265" i="28"/>
  <c r="BB263" i="28"/>
  <c r="BB260" i="28"/>
  <c r="BB259" i="28"/>
  <c r="BB258" i="28"/>
  <c r="BB257" i="28"/>
  <c r="BB256" i="28"/>
  <c r="BB255" i="28"/>
  <c r="BB254" i="28"/>
  <c r="BB253" i="28"/>
  <c r="BB252" i="28"/>
  <c r="BB251" i="28"/>
  <c r="BB250" i="28"/>
  <c r="BB249" i="28"/>
  <c r="BB248" i="28"/>
  <c r="BB247" i="28"/>
  <c r="BB246" i="28"/>
  <c r="BB245" i="28"/>
  <c r="BB244" i="28"/>
  <c r="BB243" i="28"/>
  <c r="BB242" i="28"/>
  <c r="BB241" i="28"/>
  <c r="BB240" i="28"/>
  <c r="BB239" i="28"/>
  <c r="BB238" i="28"/>
  <c r="BB237" i="28"/>
  <c r="BB236" i="28"/>
  <c r="BB235" i="28"/>
  <c r="BB234" i="28"/>
  <c r="BB233" i="28"/>
  <c r="BB232" i="28"/>
  <c r="BB231" i="28"/>
  <c r="BB230" i="28"/>
  <c r="BB229" i="28"/>
  <c r="BB228" i="28"/>
  <c r="BB227" i="28"/>
  <c r="BB226" i="28"/>
  <c r="BB225" i="28"/>
  <c r="BB224" i="28"/>
  <c r="BB223" i="28"/>
  <c r="BB222" i="28"/>
  <c r="BB221" i="28"/>
  <c r="BB220" i="28"/>
  <c r="BB219" i="28"/>
  <c r="BB218" i="28"/>
  <c r="BB217" i="28"/>
  <c r="BB216" i="28"/>
  <c r="BB215" i="28"/>
  <c r="BB214" i="28"/>
  <c r="BB213" i="28"/>
  <c r="BB212" i="28"/>
  <c r="BB211" i="28"/>
  <c r="BB210" i="28"/>
  <c r="BB209" i="28"/>
  <c r="BB208" i="28"/>
  <c r="BB207" i="28"/>
  <c r="BB206" i="28"/>
  <c r="BB205" i="28"/>
  <c r="BB204" i="28"/>
  <c r="BB203" i="28"/>
  <c r="BB202" i="28"/>
  <c r="BB201" i="28"/>
  <c r="BB200" i="28"/>
  <c r="BB199" i="28"/>
  <c r="BB198" i="28"/>
  <c r="BB197" i="28"/>
  <c r="BB196" i="28"/>
  <c r="BB195" i="28"/>
  <c r="BB194" i="28"/>
  <c r="BB193" i="28"/>
  <c r="BB192" i="28"/>
  <c r="BB191" i="28"/>
  <c r="BB190" i="28"/>
  <c r="BB189" i="28"/>
  <c r="BB188" i="28"/>
  <c r="BB187" i="28"/>
  <c r="BB186" i="28"/>
  <c r="BB185" i="28"/>
  <c r="BB184" i="28"/>
  <c r="BB183" i="28"/>
  <c r="BB182" i="28"/>
  <c r="BB181" i="28"/>
  <c r="BB180" i="28"/>
  <c r="BB179" i="28"/>
  <c r="BB178" i="28"/>
  <c r="BB177" i="28"/>
  <c r="BB176" i="28"/>
  <c r="BB175" i="28"/>
  <c r="BB174" i="28"/>
  <c r="BB173" i="28"/>
  <c r="BB172" i="28"/>
  <c r="BB171" i="28"/>
  <c r="BB170" i="28"/>
  <c r="BB169" i="28"/>
  <c r="BB168" i="28"/>
  <c r="BB167" i="28"/>
  <c r="BB166" i="28"/>
  <c r="BB165" i="28"/>
  <c r="BB164" i="28"/>
  <c r="BB163" i="28"/>
  <c r="BB162" i="28"/>
  <c r="BB161" i="28"/>
  <c r="BB160" i="28"/>
  <c r="BB159" i="28"/>
  <c r="BB158" i="28"/>
  <c r="BB157" i="28"/>
  <c r="BB156" i="28"/>
  <c r="BB155" i="28"/>
  <c r="BB154" i="28"/>
  <c r="BB153" i="28"/>
  <c r="BB152" i="28"/>
  <c r="BB151" i="28"/>
  <c r="BB150" i="28"/>
  <c r="BB149" i="28"/>
  <c r="BB148" i="28"/>
  <c r="BB147" i="28"/>
  <c r="BB146" i="28"/>
  <c r="BB145" i="28"/>
  <c r="BB144" i="28"/>
  <c r="BB143" i="28"/>
  <c r="BB142" i="28"/>
  <c r="BB141" i="28"/>
  <c r="BB140" i="28"/>
  <c r="BB139" i="28"/>
  <c r="BB138" i="28"/>
  <c r="BB137" i="28"/>
  <c r="BB136" i="28"/>
  <c r="BB135" i="28"/>
  <c r="BB134" i="28"/>
  <c r="BB133" i="28"/>
  <c r="BB132" i="28"/>
  <c r="BB131" i="28"/>
  <c r="BB130" i="28"/>
  <c r="BB129" i="28"/>
  <c r="BB128" i="28"/>
  <c r="BB127" i="28"/>
  <c r="BB126" i="28"/>
  <c r="BB125" i="28"/>
  <c r="BB124" i="28"/>
  <c r="BB123" i="28"/>
  <c r="BB122" i="28"/>
  <c r="BB121" i="28"/>
  <c r="BB120" i="28"/>
  <c r="BB119" i="28"/>
  <c r="BB118" i="28"/>
  <c r="BB117" i="28"/>
  <c r="BB116" i="28"/>
  <c r="BB115" i="28"/>
  <c r="BB114" i="28"/>
  <c r="BB113" i="28"/>
  <c r="BB112" i="28"/>
  <c r="BB111" i="28"/>
  <c r="BB110" i="28"/>
  <c r="BB109" i="28"/>
  <c r="BB108" i="28"/>
  <c r="BB107" i="28"/>
  <c r="BB106" i="28"/>
  <c r="BB105" i="28"/>
  <c r="BB104" i="28"/>
  <c r="BB103" i="28"/>
  <c r="BB102" i="28"/>
  <c r="BB99" i="28"/>
  <c r="BB98" i="28"/>
  <c r="BB100" i="28" s="1"/>
  <c r="BB97" i="28"/>
  <c r="BB95" i="28"/>
  <c r="BB94" i="28"/>
  <c r="BB93" i="28"/>
  <c r="BB91" i="28"/>
  <c r="BB90" i="28"/>
  <c r="BB89" i="28"/>
  <c r="BB87" i="28"/>
  <c r="BB86" i="28"/>
  <c r="BB85" i="28"/>
  <c r="BB83" i="28"/>
  <c r="BB82" i="28"/>
  <c r="BB81" i="28"/>
  <c r="BB78" i="28"/>
  <c r="BB77" i="28"/>
  <c r="BB76" i="28"/>
  <c r="BB75" i="28"/>
  <c r="BB74" i="28"/>
  <c r="BB69" i="28"/>
  <c r="BB71" i="28" s="1"/>
  <c r="BB68" i="28"/>
  <c r="BB67" i="28"/>
  <c r="BB66" i="28"/>
  <c r="BB65" i="28"/>
  <c r="BB64" i="28"/>
  <c r="BB63" i="28"/>
  <c r="BB60" i="28"/>
  <c r="BB59" i="28"/>
  <c r="BB58" i="28"/>
  <c r="BB56" i="28"/>
  <c r="BB55" i="28"/>
  <c r="BB54" i="28"/>
  <c r="BB53" i="28"/>
  <c r="BB52" i="28"/>
  <c r="BB51" i="28"/>
  <c r="BB50" i="28"/>
  <c r="BB48" i="28"/>
  <c r="BB47" i="28"/>
  <c r="BB46" i="28"/>
  <c r="BB45" i="28"/>
  <c r="BB44" i="28"/>
  <c r="BB43" i="28"/>
  <c r="BB42" i="28"/>
  <c r="BB40" i="28"/>
  <c r="BB39" i="28"/>
  <c r="BB37" i="28"/>
  <c r="BB36" i="28"/>
  <c r="BB35" i="28"/>
  <c r="BB34" i="28"/>
  <c r="BB33" i="28"/>
  <c r="BB32" i="28"/>
  <c r="BB31" i="28"/>
  <c r="BB29" i="28"/>
  <c r="BB28" i="28"/>
  <c r="BB27" i="28"/>
  <c r="BB26" i="28"/>
  <c r="BB25" i="28"/>
  <c r="BB24" i="28"/>
  <c r="BB23" i="28"/>
  <c r="BB21" i="28"/>
  <c r="BB20" i="28"/>
  <c r="BB19" i="28"/>
  <c r="BB18" i="28"/>
  <c r="BB17" i="28"/>
  <c r="BB16" i="28"/>
  <c r="BB15" i="28"/>
  <c r="BB13" i="28"/>
  <c r="BB12" i="28"/>
  <c r="BB11" i="28"/>
  <c r="BB10" i="28"/>
  <c r="BB9" i="28"/>
  <c r="BB8" i="28"/>
  <c r="AX629" i="28"/>
  <c r="AX628" i="28"/>
  <c r="AX627" i="28"/>
  <c r="AX626" i="28"/>
  <c r="AX625" i="28"/>
  <c r="AX624" i="28"/>
  <c r="AX623" i="28"/>
  <c r="AX622" i="28"/>
  <c r="AX621" i="28"/>
  <c r="AX620" i="28"/>
  <c r="AX619" i="28"/>
  <c r="AX618" i="28"/>
  <c r="AX617" i="28"/>
  <c r="AX616" i="28"/>
  <c r="AX615" i="28"/>
  <c r="AX614" i="28"/>
  <c r="AX613" i="28"/>
  <c r="AX612" i="28"/>
  <c r="AX611" i="28"/>
  <c r="AX610" i="28"/>
  <c r="AX609" i="28"/>
  <c r="AX608" i="28"/>
  <c r="AX607" i="28"/>
  <c r="AX606" i="28"/>
  <c r="AX605" i="28"/>
  <c r="AX604" i="28"/>
  <c r="AX603" i="28"/>
  <c r="AX602" i="28"/>
  <c r="AX601" i="28"/>
  <c r="AX600" i="28"/>
  <c r="AX599" i="28"/>
  <c r="AX598" i="28"/>
  <c r="AX597" i="28"/>
  <c r="AX596" i="28"/>
  <c r="AX595" i="28"/>
  <c r="AX594" i="28"/>
  <c r="AX593" i="28"/>
  <c r="AX592" i="28"/>
  <c r="AX591" i="28"/>
  <c r="AX590" i="28"/>
  <c r="AX589" i="28"/>
  <c r="AX588" i="28"/>
  <c r="AX587" i="28"/>
  <c r="AX586" i="28"/>
  <c r="AX585" i="28"/>
  <c r="AX584" i="28"/>
  <c r="AX583" i="28"/>
  <c r="AX582" i="28"/>
  <c r="AX581" i="28"/>
  <c r="AX580" i="28"/>
  <c r="AX579" i="28"/>
  <c r="AX578" i="28"/>
  <c r="AX577" i="28"/>
  <c r="AX576" i="28"/>
  <c r="AX575" i="28"/>
  <c r="AX574" i="28"/>
  <c r="AX573" i="28"/>
  <c r="AX572" i="28"/>
  <c r="AX571" i="28"/>
  <c r="AX570" i="28"/>
  <c r="AX569" i="28"/>
  <c r="AX568" i="28"/>
  <c r="AX567" i="28"/>
  <c r="AX566" i="28"/>
  <c r="AX565" i="28"/>
  <c r="AX564" i="28"/>
  <c r="AX563" i="28"/>
  <c r="AX562" i="28"/>
  <c r="AX561" i="28"/>
  <c r="AX560" i="28"/>
  <c r="AX559" i="28"/>
  <c r="AX554" i="28"/>
  <c r="AX553" i="28"/>
  <c r="AX551" i="28"/>
  <c r="AX549" i="28"/>
  <c r="AX548" i="28"/>
  <c r="AX547" i="28"/>
  <c r="AX546" i="28"/>
  <c r="AX545" i="28"/>
  <c r="AX544" i="28"/>
  <c r="AX543" i="28"/>
  <c r="AX542" i="28"/>
  <c r="AX541" i="28"/>
  <c r="AX539" i="28"/>
  <c r="AX537" i="28"/>
  <c r="AX536" i="28"/>
  <c r="AX535" i="28"/>
  <c r="AX534" i="28"/>
  <c r="AX533" i="28"/>
  <c r="AX532" i="28"/>
  <c r="AX531" i="28"/>
  <c r="AX530" i="28"/>
  <c r="AX528" i="28"/>
  <c r="AX527" i="28"/>
  <c r="AX526" i="28"/>
  <c r="AX525" i="28"/>
  <c r="AX524" i="28"/>
  <c r="AX523" i="28"/>
  <c r="AX521" i="28"/>
  <c r="AX520" i="28"/>
  <c r="AX519" i="28"/>
  <c r="AX518" i="28"/>
  <c r="AX517" i="28"/>
  <c r="AX516" i="28"/>
  <c r="AX515" i="28"/>
  <c r="AX514" i="28"/>
  <c r="AX513" i="28"/>
  <c r="AX512" i="28"/>
  <c r="AX511" i="28"/>
  <c r="AX510" i="28"/>
  <c r="AX509" i="28"/>
  <c r="AX508" i="28"/>
  <c r="AX507" i="28"/>
  <c r="AX506" i="28"/>
  <c r="AX505" i="28"/>
  <c r="AX504" i="28"/>
  <c r="AX502" i="28"/>
  <c r="AX501" i="28"/>
  <c r="AX500" i="28"/>
  <c r="AX499" i="28"/>
  <c r="AX498" i="28"/>
  <c r="AX497" i="28"/>
  <c r="AX496" i="28"/>
  <c r="AX495" i="28"/>
  <c r="AX494" i="28"/>
  <c r="AX493" i="28"/>
  <c r="AX492" i="28"/>
  <c r="AX491" i="28"/>
  <c r="AX490" i="28"/>
  <c r="AX489" i="28"/>
  <c r="AX488" i="28"/>
  <c r="AX487" i="28"/>
  <c r="AX486" i="28"/>
  <c r="AX485" i="28"/>
  <c r="AX484" i="28"/>
  <c r="AX483" i="28"/>
  <c r="AX482" i="28"/>
  <c r="AX481" i="28"/>
  <c r="AX480" i="28"/>
  <c r="AX479" i="28"/>
  <c r="AX478" i="28"/>
  <c r="AX477" i="28"/>
  <c r="AX476" i="28"/>
  <c r="AX475" i="28"/>
  <c r="AX474" i="28"/>
  <c r="AX473" i="28"/>
  <c r="AX472" i="28"/>
  <c r="AX471" i="28"/>
  <c r="AX470" i="28"/>
  <c r="AX469" i="28"/>
  <c r="AX468" i="28"/>
  <c r="AX466" i="28"/>
  <c r="AX465" i="28"/>
  <c r="AX460" i="28"/>
  <c r="AX459" i="28"/>
  <c r="AX458" i="28"/>
  <c r="AX457" i="28"/>
  <c r="AX456" i="28"/>
  <c r="AX455" i="28"/>
  <c r="AX454" i="28"/>
  <c r="AX453" i="28"/>
  <c r="AX452" i="28"/>
  <c r="AX451" i="28"/>
  <c r="AX450" i="28"/>
  <c r="AX449" i="28"/>
  <c r="AX448" i="28"/>
  <c r="AX447" i="28"/>
  <c r="AX445" i="28"/>
  <c r="AX444" i="28"/>
  <c r="AX443" i="28"/>
  <c r="AX442" i="28"/>
  <c r="AX441" i="28"/>
  <c r="AX440" i="28"/>
  <c r="AX439" i="28"/>
  <c r="AX438" i="28"/>
  <c r="AX437" i="28"/>
  <c r="AX436" i="28"/>
  <c r="AX435" i="28"/>
  <c r="AX434" i="28"/>
  <c r="AX433" i="28"/>
  <c r="AX432" i="28"/>
  <c r="AX431" i="28"/>
  <c r="AX430" i="28"/>
  <c r="AX429" i="28"/>
  <c r="AX428" i="28"/>
  <c r="AX427" i="28"/>
  <c r="AX426" i="28"/>
  <c r="AX425" i="28"/>
  <c r="AX424" i="28"/>
  <c r="AX423" i="28"/>
  <c r="AX422" i="28"/>
  <c r="AX421" i="28"/>
  <c r="AX420" i="28"/>
  <c r="AX419" i="28"/>
  <c r="AX418" i="28"/>
  <c r="AX417" i="28"/>
  <c r="AX416" i="28"/>
  <c r="AX415" i="28"/>
  <c r="AX414" i="28"/>
  <c r="AX413" i="28"/>
  <c r="AX412" i="28"/>
  <c r="AX411" i="28"/>
  <c r="AX410" i="28"/>
  <c r="AX409" i="28"/>
  <c r="AX408" i="28"/>
  <c r="AX407" i="28"/>
  <c r="AX406" i="28"/>
  <c r="AX405" i="28"/>
  <c r="AX404" i="28"/>
  <c r="AX403" i="28"/>
  <c r="AX402" i="28"/>
  <c r="AX401" i="28"/>
  <c r="AX400" i="28"/>
  <c r="AX399" i="28"/>
  <c r="AX398" i="28"/>
  <c r="AX397" i="28"/>
  <c r="AX396" i="28"/>
  <c r="AX395" i="28"/>
  <c r="AX394" i="28"/>
  <c r="AX393" i="28"/>
  <c r="AX392" i="28"/>
  <c r="AX391" i="28"/>
  <c r="AX390" i="28"/>
  <c r="AX389" i="28"/>
  <c r="AX388" i="28"/>
  <c r="AX387" i="28"/>
  <c r="AX386" i="28"/>
  <c r="AX385" i="28"/>
  <c r="AX384" i="28"/>
  <c r="AX383" i="28"/>
  <c r="AX382" i="28"/>
  <c r="AX381" i="28"/>
  <c r="AX380" i="28"/>
  <c r="AX379" i="28"/>
  <c r="AX378" i="28"/>
  <c r="AX377" i="28"/>
  <c r="AX376" i="28"/>
  <c r="AX375" i="28"/>
  <c r="AX374" i="28"/>
  <c r="AX373" i="28"/>
  <c r="AX372" i="28"/>
  <c r="AX371" i="28"/>
  <c r="AX370" i="28"/>
  <c r="AX369" i="28"/>
  <c r="AX368" i="28"/>
  <c r="AX367" i="28"/>
  <c r="AX366" i="28"/>
  <c r="AX365" i="28"/>
  <c r="AX364" i="28"/>
  <c r="AX363" i="28"/>
  <c r="AX362" i="28"/>
  <c r="AX361" i="28"/>
  <c r="AX360" i="28"/>
  <c r="AX359" i="28"/>
  <c r="AX358" i="28"/>
  <c r="AX357" i="28"/>
  <c r="AX356" i="28"/>
  <c r="AX355" i="28"/>
  <c r="AX354" i="28"/>
  <c r="AX353" i="28"/>
  <c r="AX352" i="28"/>
  <c r="AX351" i="28"/>
  <c r="AX350" i="28"/>
  <c r="AX349" i="28"/>
  <c r="AX348" i="28"/>
  <c r="AX347" i="28"/>
  <c r="AX346" i="28"/>
  <c r="AX345" i="28"/>
  <c r="AX344" i="28"/>
  <c r="AX343" i="28"/>
  <c r="AX342" i="28"/>
  <c r="AX341" i="28"/>
  <c r="AX340" i="28"/>
  <c r="AX339" i="28"/>
  <c r="AX338" i="28"/>
  <c r="AX337" i="28"/>
  <c r="AX336" i="28"/>
  <c r="AX333" i="28"/>
  <c r="AX332" i="28"/>
  <c r="AX331" i="28"/>
  <c r="AX330" i="28"/>
  <c r="AX329" i="28"/>
  <c r="AX328" i="28"/>
  <c r="AX327" i="28"/>
  <c r="AX326" i="28"/>
  <c r="AX325" i="28"/>
  <c r="AX324" i="28"/>
  <c r="AX323" i="28"/>
  <c r="AX322" i="28"/>
  <c r="AX321" i="28"/>
  <c r="AX320" i="28"/>
  <c r="AX319" i="28"/>
  <c r="AX318" i="28"/>
  <c r="AX317" i="28"/>
  <c r="AX316" i="28"/>
  <c r="AX315" i="28"/>
  <c r="AX314" i="28"/>
  <c r="AX313" i="28"/>
  <c r="AX312" i="28"/>
  <c r="AX311" i="28"/>
  <c r="AX310" i="28"/>
  <c r="AX309" i="28"/>
  <c r="AX308" i="28"/>
  <c r="AX307" i="28"/>
  <c r="AX306" i="28"/>
  <c r="AX305" i="28"/>
  <c r="AX304" i="28"/>
  <c r="AX303" i="28"/>
  <c r="AX302" i="28"/>
  <c r="AX301" i="28"/>
  <c r="AX300" i="28"/>
  <c r="AX299" i="28"/>
  <c r="AX298" i="28"/>
  <c r="AX297" i="28"/>
  <c r="AX296" i="28"/>
  <c r="AX295" i="28"/>
  <c r="AX294" i="28"/>
  <c r="AX293" i="28"/>
  <c r="AX292" i="28"/>
  <c r="AX291" i="28"/>
  <c r="AX290" i="28"/>
  <c r="AX289" i="28"/>
  <c r="AX288" i="28"/>
  <c r="AX287" i="28"/>
  <c r="AX284" i="28"/>
  <c r="AX283" i="28"/>
  <c r="AX281" i="28"/>
  <c r="AX279" i="28"/>
  <c r="AX277" i="28"/>
  <c r="AX275" i="28"/>
  <c r="AX273" i="28"/>
  <c r="AX271" i="28"/>
  <c r="AX269" i="28"/>
  <c r="AX267" i="28"/>
  <c r="AX265" i="28"/>
  <c r="AX263" i="28"/>
  <c r="AX260" i="28"/>
  <c r="AX259" i="28"/>
  <c r="AX258" i="28"/>
  <c r="AX257" i="28"/>
  <c r="AX256" i="28"/>
  <c r="AX255" i="28"/>
  <c r="AX254" i="28"/>
  <c r="AX253" i="28"/>
  <c r="AX252" i="28"/>
  <c r="AX251" i="28"/>
  <c r="AX250" i="28"/>
  <c r="AX249" i="28"/>
  <c r="AX248" i="28"/>
  <c r="AX247" i="28"/>
  <c r="AX246" i="28"/>
  <c r="AX245" i="28"/>
  <c r="AX244" i="28"/>
  <c r="AX243" i="28"/>
  <c r="AX242" i="28"/>
  <c r="AX241" i="28"/>
  <c r="AX240" i="28"/>
  <c r="AX239" i="28"/>
  <c r="AX238" i="28"/>
  <c r="AX237" i="28"/>
  <c r="AX236" i="28"/>
  <c r="AX235" i="28"/>
  <c r="AX234" i="28"/>
  <c r="AX233" i="28"/>
  <c r="AX232" i="28"/>
  <c r="AX231" i="28"/>
  <c r="AX230" i="28"/>
  <c r="AX229" i="28"/>
  <c r="AX228" i="28"/>
  <c r="AX227" i="28"/>
  <c r="AX226" i="28"/>
  <c r="AX225" i="28"/>
  <c r="AX224" i="28"/>
  <c r="AX223" i="28"/>
  <c r="AX222" i="28"/>
  <c r="AX221" i="28"/>
  <c r="AX220" i="28"/>
  <c r="AX219" i="28"/>
  <c r="AX218" i="28"/>
  <c r="AX217" i="28"/>
  <c r="AX216" i="28"/>
  <c r="AX215" i="28"/>
  <c r="AX214" i="28"/>
  <c r="AX213" i="28"/>
  <c r="AX212" i="28"/>
  <c r="AX211" i="28"/>
  <c r="AX210" i="28"/>
  <c r="AX209" i="28"/>
  <c r="AX208" i="28"/>
  <c r="AX207" i="28"/>
  <c r="AX206" i="28"/>
  <c r="AX205" i="28"/>
  <c r="AX204" i="28"/>
  <c r="AX203" i="28"/>
  <c r="AX202" i="28"/>
  <c r="AX201" i="28"/>
  <c r="AX200" i="28"/>
  <c r="AX199" i="28"/>
  <c r="AX198" i="28"/>
  <c r="AX197" i="28"/>
  <c r="AX196" i="28"/>
  <c r="AX195" i="28"/>
  <c r="AX194" i="28"/>
  <c r="AX193" i="28"/>
  <c r="AX192" i="28"/>
  <c r="AX191" i="28"/>
  <c r="AX190" i="28"/>
  <c r="AX189" i="28"/>
  <c r="AX188" i="28"/>
  <c r="AX187" i="28"/>
  <c r="AX186" i="28"/>
  <c r="AX185" i="28"/>
  <c r="AX184" i="28"/>
  <c r="AX183" i="28"/>
  <c r="AX182" i="28"/>
  <c r="AX181" i="28"/>
  <c r="AX180" i="28"/>
  <c r="AX179" i="28"/>
  <c r="AX178" i="28"/>
  <c r="AX177" i="28"/>
  <c r="AX176" i="28"/>
  <c r="AX175" i="28"/>
  <c r="AX174" i="28"/>
  <c r="AX173" i="28"/>
  <c r="AX172" i="28"/>
  <c r="AX171" i="28"/>
  <c r="AX170" i="28"/>
  <c r="AX169" i="28"/>
  <c r="AX168" i="28"/>
  <c r="AX167" i="28"/>
  <c r="AX166" i="28"/>
  <c r="AX165" i="28"/>
  <c r="AX164" i="28"/>
  <c r="AX163" i="28"/>
  <c r="AX162" i="28"/>
  <c r="AX161" i="28"/>
  <c r="AX160" i="28"/>
  <c r="AX159" i="28"/>
  <c r="AX158" i="28"/>
  <c r="AX157" i="28"/>
  <c r="AX156" i="28"/>
  <c r="AX155" i="28"/>
  <c r="AX154" i="28"/>
  <c r="AX153" i="28"/>
  <c r="AX152" i="28"/>
  <c r="AX151" i="28"/>
  <c r="AX150" i="28"/>
  <c r="AX149" i="28"/>
  <c r="AX148" i="28"/>
  <c r="AX147" i="28"/>
  <c r="AX146" i="28"/>
  <c r="AX145" i="28"/>
  <c r="AX144" i="28"/>
  <c r="AX143" i="28"/>
  <c r="AX142" i="28"/>
  <c r="AX141" i="28"/>
  <c r="AX140" i="28"/>
  <c r="AX139" i="28"/>
  <c r="AX138" i="28"/>
  <c r="AX137" i="28"/>
  <c r="AX136" i="28"/>
  <c r="AX135" i="28"/>
  <c r="AX134" i="28"/>
  <c r="AX133" i="28"/>
  <c r="AX132" i="28"/>
  <c r="AX131" i="28"/>
  <c r="AX130" i="28"/>
  <c r="AX129" i="28"/>
  <c r="AX128" i="28"/>
  <c r="AX127" i="28"/>
  <c r="AX126" i="28"/>
  <c r="AX125" i="28"/>
  <c r="AX124" i="28"/>
  <c r="AX123" i="28"/>
  <c r="AX122" i="28"/>
  <c r="AX121" i="28"/>
  <c r="AX120" i="28"/>
  <c r="AX119" i="28"/>
  <c r="AX118" i="28"/>
  <c r="AX117" i="28"/>
  <c r="AX116" i="28"/>
  <c r="AX115" i="28"/>
  <c r="AX114" i="28"/>
  <c r="AX113" i="28"/>
  <c r="AX112" i="28"/>
  <c r="AX111" i="28"/>
  <c r="AX110" i="28"/>
  <c r="AX109" i="28"/>
  <c r="AX108" i="28"/>
  <c r="AX107" i="28"/>
  <c r="AX106" i="28"/>
  <c r="AX105" i="28"/>
  <c r="AX104" i="28"/>
  <c r="AX103" i="28"/>
  <c r="AX102" i="28"/>
  <c r="AX100" i="28"/>
  <c r="AX99" i="28"/>
  <c r="AX98" i="28"/>
  <c r="AX97" i="28"/>
  <c r="AX95" i="28"/>
  <c r="AX94" i="28"/>
  <c r="AX93" i="28"/>
  <c r="AX91" i="28"/>
  <c r="AX90" i="28"/>
  <c r="AX89" i="28"/>
  <c r="AX87" i="28"/>
  <c r="AX86" i="28"/>
  <c r="AX85" i="28"/>
  <c r="AX83" i="28"/>
  <c r="AX82" i="28"/>
  <c r="AX81" i="28"/>
  <c r="AX76" i="28"/>
  <c r="AX75" i="28"/>
  <c r="AX68" i="28"/>
  <c r="AX67" i="28"/>
  <c r="AX66" i="28"/>
  <c r="AX65" i="28"/>
  <c r="AX64" i="28"/>
  <c r="AX60" i="28"/>
  <c r="AX59" i="28"/>
  <c r="AX58" i="28"/>
  <c r="AX55" i="28"/>
  <c r="AX54" i="28"/>
  <c r="AX53" i="28"/>
  <c r="AX52" i="28"/>
  <c r="AX51" i="28"/>
  <c r="AX50" i="28"/>
  <c r="AX47" i="28"/>
  <c r="AX46" i="28"/>
  <c r="AX45" i="28"/>
  <c r="AX44" i="28"/>
  <c r="AX43" i="28"/>
  <c r="AX42" i="28"/>
  <c r="AX40" i="28"/>
  <c r="AX39" i="28"/>
  <c r="AX36" i="28"/>
  <c r="AX35" i="28"/>
  <c r="AX34" i="28"/>
  <c r="AX33" i="28"/>
  <c r="AX32" i="28"/>
  <c r="AX29" i="28"/>
  <c r="AX28" i="28"/>
  <c r="AX27" i="28"/>
  <c r="AX26" i="28"/>
  <c r="AX25" i="28"/>
  <c r="AX24" i="28"/>
  <c r="AX23" i="28"/>
  <c r="AX21" i="28"/>
  <c r="AX20" i="28"/>
  <c r="AX19" i="28"/>
  <c r="AX18" i="28"/>
  <c r="AX17" i="28"/>
  <c r="AX16" i="28"/>
  <c r="AX15" i="28"/>
  <c r="AX12" i="28"/>
  <c r="AX11" i="28"/>
  <c r="AX10" i="28"/>
  <c r="AX9" i="28"/>
  <c r="AX8" i="28"/>
  <c r="AX7" i="28"/>
  <c r="AT629" i="28"/>
  <c r="AT628" i="28"/>
  <c r="AT627" i="28"/>
  <c r="AT626" i="28"/>
  <c r="AT625" i="28"/>
  <c r="AT624" i="28"/>
  <c r="AT623" i="28"/>
  <c r="AT622" i="28"/>
  <c r="AT621" i="28"/>
  <c r="AT620" i="28"/>
  <c r="AT619" i="28"/>
  <c r="AT618" i="28"/>
  <c r="AT617" i="28"/>
  <c r="AT616" i="28"/>
  <c r="AT615" i="28"/>
  <c r="AT614" i="28"/>
  <c r="AT613" i="28"/>
  <c r="AT612" i="28"/>
  <c r="AT611" i="28"/>
  <c r="AT610" i="28"/>
  <c r="AT609" i="28"/>
  <c r="AT608" i="28"/>
  <c r="AT607" i="28"/>
  <c r="AT606" i="28"/>
  <c r="AT605" i="28"/>
  <c r="AT604" i="28"/>
  <c r="AT603" i="28"/>
  <c r="AT602" i="28"/>
  <c r="AT601" i="28"/>
  <c r="AT600" i="28"/>
  <c r="AT599" i="28"/>
  <c r="AT598" i="28"/>
  <c r="AT597" i="28"/>
  <c r="AT596" i="28"/>
  <c r="AT595" i="28"/>
  <c r="AT594" i="28"/>
  <c r="AT593" i="28"/>
  <c r="AT592" i="28"/>
  <c r="AT591" i="28"/>
  <c r="AT590" i="28"/>
  <c r="AT589" i="28"/>
  <c r="AT588" i="28"/>
  <c r="AT587" i="28"/>
  <c r="AT586" i="28"/>
  <c r="AT585" i="28"/>
  <c r="AT584" i="28"/>
  <c r="AT583" i="28"/>
  <c r="AT582" i="28"/>
  <c r="AT581" i="28"/>
  <c r="AT580" i="28"/>
  <c r="AT579" i="28"/>
  <c r="AT578" i="28"/>
  <c r="AT577" i="28"/>
  <c r="AT576" i="28"/>
  <c r="AT575" i="28"/>
  <c r="AT574" i="28"/>
  <c r="AT573" i="28"/>
  <c r="AT572" i="28"/>
  <c r="AT571" i="28"/>
  <c r="AT570" i="28"/>
  <c r="AT569" i="28"/>
  <c r="AT568" i="28"/>
  <c r="AT567" i="28"/>
  <c r="AT566" i="28"/>
  <c r="AT565" i="28"/>
  <c r="AT564" i="28"/>
  <c r="AT563" i="28"/>
  <c r="AT562" i="28"/>
  <c r="AT561" i="28"/>
  <c r="AT560" i="28"/>
  <c r="AT559" i="28"/>
  <c r="AT554" i="28"/>
  <c r="AT553" i="28"/>
  <c r="AT551" i="28"/>
  <c r="AT549" i="28"/>
  <c r="AT548" i="28"/>
  <c r="AT547" i="28"/>
  <c r="AT546" i="28"/>
  <c r="AT545" i="28"/>
  <c r="AT544" i="28"/>
  <c r="AT543" i="28"/>
  <c r="AT542" i="28"/>
  <c r="AT541" i="28"/>
  <c r="AT539" i="28"/>
  <c r="AT537" i="28"/>
  <c r="AT536" i="28"/>
  <c r="AT535" i="28"/>
  <c r="AT534" i="28"/>
  <c r="AT533" i="28"/>
  <c r="AT532" i="28"/>
  <c r="AT531" i="28"/>
  <c r="AT530" i="28"/>
  <c r="AT528" i="28"/>
  <c r="AT527" i="28"/>
  <c r="AT526" i="28"/>
  <c r="AT525" i="28"/>
  <c r="AT524" i="28"/>
  <c r="AT523" i="28"/>
  <c r="AT521" i="28"/>
  <c r="AT520" i="28"/>
  <c r="AT519" i="28"/>
  <c r="AT518" i="28"/>
  <c r="AT517" i="28"/>
  <c r="AT516" i="28"/>
  <c r="AT515" i="28"/>
  <c r="AT514" i="28"/>
  <c r="AT513" i="28"/>
  <c r="AT512" i="28"/>
  <c r="AT511" i="28"/>
  <c r="AT510" i="28"/>
  <c r="AT509" i="28"/>
  <c r="AT508" i="28"/>
  <c r="AT507" i="28"/>
  <c r="AT506" i="28"/>
  <c r="AT505" i="28"/>
  <c r="AT504" i="28"/>
  <c r="AT502" i="28"/>
  <c r="AT501" i="28"/>
  <c r="AT500" i="28"/>
  <c r="AT499" i="28"/>
  <c r="AT498" i="28"/>
  <c r="AT497" i="28"/>
  <c r="AT496" i="28"/>
  <c r="AT495" i="28"/>
  <c r="AT494" i="28"/>
  <c r="AT493" i="28"/>
  <c r="AT492" i="28"/>
  <c r="AT491" i="28"/>
  <c r="AT490" i="28"/>
  <c r="AT489" i="28"/>
  <c r="AT488" i="28"/>
  <c r="AT487" i="28"/>
  <c r="AT486" i="28"/>
  <c r="AT485" i="28"/>
  <c r="AT484" i="28"/>
  <c r="AT483" i="28"/>
  <c r="AT482" i="28"/>
  <c r="AT481" i="28"/>
  <c r="AT480" i="28"/>
  <c r="AT479" i="28"/>
  <c r="AT478" i="28"/>
  <c r="AT477" i="28"/>
  <c r="AT476" i="28"/>
  <c r="AT475" i="28"/>
  <c r="AT474" i="28"/>
  <c r="AT473" i="28"/>
  <c r="AT472" i="28"/>
  <c r="AT471" i="28"/>
  <c r="AT470" i="28"/>
  <c r="AT469" i="28"/>
  <c r="AT468" i="28"/>
  <c r="AT466" i="28"/>
  <c r="AT465" i="28"/>
  <c r="AT460" i="28"/>
  <c r="AT459" i="28"/>
  <c r="AT458" i="28"/>
  <c r="AT457" i="28"/>
  <c r="AT456" i="28"/>
  <c r="AT455" i="28"/>
  <c r="AT454" i="28"/>
  <c r="AT453" i="28"/>
  <c r="AT452" i="28"/>
  <c r="AT451" i="28"/>
  <c r="AT450" i="28"/>
  <c r="AT449" i="28"/>
  <c r="AT448" i="28"/>
  <c r="AT447" i="28"/>
  <c r="AT445" i="28"/>
  <c r="AT444" i="28"/>
  <c r="AT443" i="28"/>
  <c r="AT442" i="28"/>
  <c r="AT441" i="28"/>
  <c r="AT440" i="28"/>
  <c r="AT439" i="28"/>
  <c r="AT438" i="28"/>
  <c r="AT437" i="28"/>
  <c r="AT436" i="28"/>
  <c r="AT435" i="28"/>
  <c r="AT434" i="28"/>
  <c r="AT433" i="28"/>
  <c r="AT432" i="28"/>
  <c r="AT431" i="28"/>
  <c r="AT430" i="28"/>
  <c r="AT429" i="28"/>
  <c r="AT428" i="28"/>
  <c r="AT427" i="28"/>
  <c r="AT426" i="28"/>
  <c r="AT425" i="28"/>
  <c r="AT424" i="28"/>
  <c r="AT423" i="28"/>
  <c r="AT422" i="28"/>
  <c r="AT421" i="28"/>
  <c r="AT420" i="28"/>
  <c r="AT419" i="28"/>
  <c r="AT418" i="28"/>
  <c r="AT417" i="28"/>
  <c r="AT416" i="28"/>
  <c r="AT415" i="28"/>
  <c r="AT414" i="28"/>
  <c r="AT413" i="28"/>
  <c r="AT412" i="28"/>
  <c r="AT411" i="28"/>
  <c r="AT410" i="28"/>
  <c r="AT409" i="28"/>
  <c r="AT408" i="28"/>
  <c r="AT407" i="28"/>
  <c r="AT406" i="28"/>
  <c r="AT405" i="28"/>
  <c r="AT404" i="28"/>
  <c r="AT403" i="28"/>
  <c r="AT402" i="28"/>
  <c r="AT401" i="28"/>
  <c r="AT400" i="28"/>
  <c r="AT399" i="28"/>
  <c r="AT398" i="28"/>
  <c r="AT397" i="28"/>
  <c r="AT396" i="28"/>
  <c r="AT395" i="28"/>
  <c r="AT394" i="28"/>
  <c r="AT393" i="28"/>
  <c r="AT392" i="28"/>
  <c r="AT391" i="28"/>
  <c r="AT390" i="28"/>
  <c r="AT389" i="28"/>
  <c r="AT388" i="28"/>
  <c r="AT387" i="28"/>
  <c r="AT386" i="28"/>
  <c r="AT385" i="28"/>
  <c r="AT384" i="28"/>
  <c r="AT383" i="28"/>
  <c r="AT382" i="28"/>
  <c r="AT381" i="28"/>
  <c r="AT380" i="28"/>
  <c r="AT379" i="28"/>
  <c r="AT378" i="28"/>
  <c r="AT377" i="28"/>
  <c r="AT376" i="28"/>
  <c r="AT375" i="28"/>
  <c r="AT374" i="28"/>
  <c r="AT373" i="28"/>
  <c r="AT372" i="28"/>
  <c r="AT371" i="28"/>
  <c r="AT370" i="28"/>
  <c r="AT369" i="28"/>
  <c r="AT368" i="28"/>
  <c r="AT367" i="28"/>
  <c r="AT366" i="28"/>
  <c r="AT365" i="28"/>
  <c r="AT364" i="28"/>
  <c r="AT363" i="28"/>
  <c r="AT362" i="28"/>
  <c r="AT361" i="28"/>
  <c r="AT360" i="28"/>
  <c r="AT359" i="28"/>
  <c r="AT358" i="28"/>
  <c r="AT357" i="28"/>
  <c r="AT356" i="28"/>
  <c r="AT355" i="28"/>
  <c r="AT354" i="28"/>
  <c r="AT353" i="28"/>
  <c r="AT352" i="28"/>
  <c r="AT351" i="28"/>
  <c r="AT350" i="28"/>
  <c r="AT349" i="28"/>
  <c r="AT348" i="28"/>
  <c r="AT347" i="28"/>
  <c r="AT346" i="28"/>
  <c r="AT345" i="28"/>
  <c r="AT344" i="28"/>
  <c r="AT343" i="28"/>
  <c r="AT342" i="28"/>
  <c r="AT341" i="28"/>
  <c r="AT340" i="28"/>
  <c r="AT339" i="28"/>
  <c r="AT338" i="28"/>
  <c r="AT337" i="28"/>
  <c r="AT336" i="28"/>
  <c r="AT333" i="28"/>
  <c r="AT332" i="28"/>
  <c r="AT331" i="28"/>
  <c r="AT330" i="28"/>
  <c r="AT329" i="28"/>
  <c r="AT328" i="28"/>
  <c r="AT327" i="28"/>
  <c r="AT326" i="28"/>
  <c r="AT325" i="28"/>
  <c r="AT324" i="28"/>
  <c r="AT323" i="28"/>
  <c r="AT322" i="28"/>
  <c r="AT321" i="28"/>
  <c r="AT320" i="28"/>
  <c r="AT319" i="28"/>
  <c r="AT318" i="28"/>
  <c r="AT317" i="28"/>
  <c r="AT316" i="28"/>
  <c r="AT315" i="28"/>
  <c r="AT314" i="28"/>
  <c r="AT313" i="28"/>
  <c r="AT312" i="28"/>
  <c r="AT311" i="28"/>
  <c r="AT310" i="28"/>
  <c r="AT309" i="28"/>
  <c r="AT308" i="28"/>
  <c r="AT307" i="28"/>
  <c r="AT306" i="28"/>
  <c r="AT305" i="28"/>
  <c r="AT304" i="28"/>
  <c r="AT303" i="28"/>
  <c r="AT302" i="28"/>
  <c r="AT301" i="28"/>
  <c r="AT300" i="28"/>
  <c r="AT299" i="28"/>
  <c r="AT298" i="28"/>
  <c r="AT297" i="28"/>
  <c r="AT296" i="28"/>
  <c r="AT295" i="28"/>
  <c r="AT294" i="28"/>
  <c r="AT293" i="28"/>
  <c r="AT292" i="28"/>
  <c r="AT291" i="28"/>
  <c r="AT290" i="28"/>
  <c r="AT289" i="28"/>
  <c r="AT288" i="28"/>
  <c r="AT287" i="28"/>
  <c r="AT284" i="28"/>
  <c r="AT283" i="28"/>
  <c r="AT281" i="28"/>
  <c r="AT279" i="28"/>
  <c r="AT277" i="28"/>
  <c r="AT275" i="28"/>
  <c r="AT273" i="28"/>
  <c r="AT271" i="28"/>
  <c r="AT269" i="28"/>
  <c r="AT267" i="28"/>
  <c r="AT265" i="28"/>
  <c r="AT263" i="28"/>
  <c r="AT260" i="28"/>
  <c r="AT259" i="28"/>
  <c r="AT258" i="28"/>
  <c r="AT257" i="28"/>
  <c r="AT256" i="28"/>
  <c r="AT255" i="28"/>
  <c r="AT254" i="28"/>
  <c r="AT253" i="28"/>
  <c r="AT252" i="28"/>
  <c r="AT251" i="28"/>
  <c r="AT250" i="28"/>
  <c r="AT249" i="28"/>
  <c r="AT248" i="28"/>
  <c r="AT247" i="28"/>
  <c r="AT246" i="28"/>
  <c r="AT245" i="28"/>
  <c r="AT244" i="28"/>
  <c r="AT243" i="28"/>
  <c r="AT242" i="28"/>
  <c r="AT241" i="28"/>
  <c r="AT240" i="28"/>
  <c r="AT239" i="28"/>
  <c r="AT238" i="28"/>
  <c r="AT237" i="28"/>
  <c r="AT236" i="28"/>
  <c r="AT235" i="28"/>
  <c r="AT234" i="28"/>
  <c r="AT233" i="28"/>
  <c r="AT232" i="28"/>
  <c r="AT231" i="28"/>
  <c r="AT230" i="28"/>
  <c r="AT229" i="28"/>
  <c r="AT228" i="28"/>
  <c r="AT227" i="28"/>
  <c r="AT226" i="28"/>
  <c r="AT225" i="28"/>
  <c r="AT224" i="28"/>
  <c r="AT223" i="28"/>
  <c r="AT222" i="28"/>
  <c r="AT221" i="28"/>
  <c r="AT220" i="28"/>
  <c r="AT219" i="28"/>
  <c r="AT218" i="28"/>
  <c r="AT217" i="28"/>
  <c r="AT216" i="28"/>
  <c r="AT215" i="28"/>
  <c r="AT214" i="28"/>
  <c r="AT213" i="28"/>
  <c r="AT212" i="28"/>
  <c r="AT211" i="28"/>
  <c r="AT210" i="28"/>
  <c r="AT209" i="28"/>
  <c r="AT208" i="28"/>
  <c r="AT207" i="28"/>
  <c r="AT206" i="28"/>
  <c r="AT205" i="28"/>
  <c r="AT204" i="28"/>
  <c r="AT203" i="28"/>
  <c r="AT202" i="28"/>
  <c r="AT201" i="28"/>
  <c r="AT200" i="28"/>
  <c r="AT199" i="28"/>
  <c r="AT198" i="28"/>
  <c r="AT197" i="28"/>
  <c r="AT196" i="28"/>
  <c r="AT195" i="28"/>
  <c r="AT194" i="28"/>
  <c r="AT193" i="28"/>
  <c r="AT192" i="28"/>
  <c r="AT191" i="28"/>
  <c r="AT190" i="28"/>
  <c r="AT189" i="28"/>
  <c r="AT188" i="28"/>
  <c r="AT187" i="28"/>
  <c r="AT186" i="28"/>
  <c r="AT185" i="28"/>
  <c r="AT184" i="28"/>
  <c r="AT183" i="28"/>
  <c r="AT182" i="28"/>
  <c r="AT181" i="28"/>
  <c r="AT180" i="28"/>
  <c r="AT179" i="28"/>
  <c r="AT178" i="28"/>
  <c r="AT177" i="28"/>
  <c r="AT176" i="28"/>
  <c r="AT175" i="28"/>
  <c r="AT174" i="28"/>
  <c r="AT173" i="28"/>
  <c r="AT172" i="28"/>
  <c r="AT171" i="28"/>
  <c r="AT170" i="28"/>
  <c r="AT169" i="28"/>
  <c r="AT168" i="28"/>
  <c r="AT167" i="28"/>
  <c r="AT166" i="28"/>
  <c r="AT165" i="28"/>
  <c r="AT164" i="28"/>
  <c r="AT163" i="28"/>
  <c r="AT162" i="28"/>
  <c r="AT161" i="28"/>
  <c r="AT160" i="28"/>
  <c r="AT159" i="28"/>
  <c r="AT158" i="28"/>
  <c r="AT157" i="28"/>
  <c r="AT156" i="28"/>
  <c r="AT155" i="28"/>
  <c r="AT154" i="28"/>
  <c r="AT153" i="28"/>
  <c r="AT152" i="28"/>
  <c r="AT151" i="28"/>
  <c r="AT150" i="28"/>
  <c r="AT149" i="28"/>
  <c r="AT148" i="28"/>
  <c r="AT147" i="28"/>
  <c r="AT146" i="28"/>
  <c r="AT145" i="28"/>
  <c r="AT144" i="28"/>
  <c r="AT143" i="28"/>
  <c r="AT142" i="28"/>
  <c r="AT141" i="28"/>
  <c r="AT140" i="28"/>
  <c r="AT139" i="28"/>
  <c r="AT138" i="28"/>
  <c r="AT137" i="28"/>
  <c r="AT136" i="28"/>
  <c r="AT135" i="28"/>
  <c r="AT134" i="28"/>
  <c r="AT133" i="28"/>
  <c r="AT132" i="28"/>
  <c r="AT131" i="28"/>
  <c r="AT130" i="28"/>
  <c r="AT129" i="28"/>
  <c r="AT128" i="28"/>
  <c r="AT127" i="28"/>
  <c r="AT126" i="28"/>
  <c r="AT125" i="28"/>
  <c r="AT124" i="28"/>
  <c r="AT123" i="28"/>
  <c r="AT122" i="28"/>
  <c r="AT121" i="28"/>
  <c r="AT120" i="28"/>
  <c r="AT119" i="28"/>
  <c r="AT118" i="28"/>
  <c r="AT117" i="28"/>
  <c r="AT116" i="28"/>
  <c r="AT115" i="28"/>
  <c r="AT114" i="28"/>
  <c r="AT113" i="28"/>
  <c r="AT112" i="28"/>
  <c r="AT111" i="28"/>
  <c r="AT110" i="28"/>
  <c r="AT109" i="28"/>
  <c r="AT108" i="28"/>
  <c r="AT107" i="28"/>
  <c r="AT106" i="28"/>
  <c r="AT105" i="28"/>
  <c r="AT104" i="28"/>
  <c r="AT103" i="28"/>
  <c r="AT102" i="28"/>
  <c r="AT100" i="28"/>
  <c r="AT99" i="28"/>
  <c r="AT98" i="28"/>
  <c r="AT97" i="28"/>
  <c r="AT95" i="28"/>
  <c r="AT94" i="28"/>
  <c r="AT93" i="28"/>
  <c r="AT91" i="28"/>
  <c r="AT90" i="28"/>
  <c r="AT89" i="28"/>
  <c r="AT87" i="28"/>
  <c r="AT86" i="28"/>
  <c r="AT85" i="28"/>
  <c r="AT83" i="28"/>
  <c r="AT82" i="28"/>
  <c r="AT81" i="28"/>
  <c r="AT76" i="28"/>
  <c r="AT75" i="28"/>
  <c r="AT68" i="28"/>
  <c r="AT67" i="28"/>
  <c r="AT66" i="28"/>
  <c r="AT65" i="28"/>
  <c r="AT64" i="28"/>
  <c r="AT60" i="28"/>
  <c r="AT59" i="28"/>
  <c r="AT58" i="28"/>
  <c r="AT55" i="28"/>
  <c r="AT54" i="28"/>
  <c r="AT53" i="28"/>
  <c r="AT52" i="28"/>
  <c r="AT51" i="28"/>
  <c r="AT50" i="28"/>
  <c r="AT47" i="28"/>
  <c r="AT46" i="28"/>
  <c r="AT45" i="28"/>
  <c r="AT44" i="28"/>
  <c r="AT43" i="28"/>
  <c r="AT42" i="28"/>
  <c r="AT40" i="28"/>
  <c r="AT39" i="28"/>
  <c r="AT36" i="28"/>
  <c r="AT35" i="28"/>
  <c r="AT34" i="28"/>
  <c r="AT33" i="28"/>
  <c r="AT32" i="28"/>
  <c r="AT29" i="28"/>
  <c r="AT28" i="28"/>
  <c r="AT27" i="28"/>
  <c r="AT26" i="28"/>
  <c r="AT25" i="28"/>
  <c r="AT24" i="28"/>
  <c r="AT23" i="28"/>
  <c r="AT21" i="28"/>
  <c r="AT20" i="28"/>
  <c r="AT19" i="28"/>
  <c r="AT18" i="28"/>
  <c r="AT17" i="28"/>
  <c r="AT16" i="28"/>
  <c r="AT15" i="28"/>
  <c r="AT12" i="28"/>
  <c r="AT11" i="28"/>
  <c r="AT10" i="28"/>
  <c r="AT9" i="28"/>
  <c r="AT8" i="28"/>
  <c r="AT7" i="28"/>
  <c r="AP100" i="28"/>
  <c r="AP7" i="28"/>
  <c r="AP629" i="28"/>
  <c r="AP628" i="28"/>
  <c r="AP627" i="28"/>
  <c r="AP626" i="28"/>
  <c r="AP625" i="28"/>
  <c r="AP624" i="28"/>
  <c r="AP623" i="28"/>
  <c r="AP622" i="28"/>
  <c r="AP621" i="28"/>
  <c r="AP620" i="28"/>
  <c r="AP619" i="28"/>
  <c r="AP618" i="28"/>
  <c r="AP617" i="28"/>
  <c r="AP616" i="28"/>
  <c r="AP615" i="28"/>
  <c r="AP614" i="28"/>
  <c r="AP613" i="28"/>
  <c r="AP612" i="28"/>
  <c r="AP611" i="28"/>
  <c r="AP610" i="28"/>
  <c r="AP609" i="28"/>
  <c r="AP608" i="28"/>
  <c r="AP607" i="28"/>
  <c r="AP606" i="28"/>
  <c r="AP605" i="28"/>
  <c r="AP604" i="28"/>
  <c r="AP603" i="28"/>
  <c r="AP602" i="28"/>
  <c r="AP601" i="28"/>
  <c r="AP600" i="28"/>
  <c r="AP599" i="28"/>
  <c r="AP598" i="28"/>
  <c r="AP597" i="28"/>
  <c r="AP596" i="28"/>
  <c r="AP595" i="28"/>
  <c r="AP594" i="28"/>
  <c r="AP593" i="28"/>
  <c r="AP592" i="28"/>
  <c r="AP591" i="28"/>
  <c r="AP590" i="28"/>
  <c r="AP589" i="28"/>
  <c r="AP588" i="28"/>
  <c r="AP587" i="28"/>
  <c r="AP586" i="28"/>
  <c r="AP585" i="28"/>
  <c r="AP584" i="28"/>
  <c r="AP583" i="28"/>
  <c r="AP582" i="28"/>
  <c r="AP581" i="28"/>
  <c r="AP580" i="28"/>
  <c r="AP579" i="28"/>
  <c r="AP578" i="28"/>
  <c r="AP577" i="28"/>
  <c r="AP576" i="28"/>
  <c r="AP575" i="28"/>
  <c r="AP574" i="28"/>
  <c r="AP573" i="28"/>
  <c r="AP572" i="28"/>
  <c r="AP571" i="28"/>
  <c r="AP570" i="28"/>
  <c r="AP569" i="28"/>
  <c r="AP568" i="28"/>
  <c r="AP567" i="28"/>
  <c r="AP566" i="28"/>
  <c r="AP565" i="28"/>
  <c r="AP564" i="28"/>
  <c r="AP563" i="28"/>
  <c r="AP562" i="28"/>
  <c r="AP561" i="28"/>
  <c r="AP560" i="28"/>
  <c r="AP559" i="28"/>
  <c r="AP554" i="28"/>
  <c r="AP553" i="28"/>
  <c r="AP551" i="28"/>
  <c r="AP549" i="28"/>
  <c r="AP548" i="28"/>
  <c r="AP547" i="28"/>
  <c r="AP546" i="28"/>
  <c r="AP545" i="28"/>
  <c r="AP544" i="28"/>
  <c r="AP543" i="28"/>
  <c r="AP542" i="28"/>
  <c r="AP541" i="28"/>
  <c r="AP539" i="28"/>
  <c r="AP537" i="28"/>
  <c r="AP536" i="28"/>
  <c r="AP535" i="28"/>
  <c r="AP534" i="28"/>
  <c r="AP533" i="28"/>
  <c r="AP532" i="28"/>
  <c r="AP531" i="28"/>
  <c r="AP530" i="28"/>
  <c r="AP528" i="28"/>
  <c r="AP527" i="28"/>
  <c r="AP526" i="28"/>
  <c r="AP525" i="28"/>
  <c r="AP524" i="28"/>
  <c r="AP523" i="28"/>
  <c r="AP521" i="28"/>
  <c r="AP520" i="28"/>
  <c r="AP519" i="28"/>
  <c r="AP518" i="28"/>
  <c r="AP517" i="28"/>
  <c r="AP516" i="28"/>
  <c r="AP515" i="28"/>
  <c r="AP514" i="28"/>
  <c r="AP513" i="28"/>
  <c r="AP512" i="28"/>
  <c r="AP511" i="28"/>
  <c r="AP510" i="28"/>
  <c r="AP509" i="28"/>
  <c r="AP508" i="28"/>
  <c r="AP507" i="28"/>
  <c r="AP506" i="28"/>
  <c r="AP505" i="28"/>
  <c r="AP504" i="28"/>
  <c r="AP502" i="28"/>
  <c r="AP501" i="28"/>
  <c r="AP500" i="28"/>
  <c r="AP499" i="28"/>
  <c r="AP498" i="28"/>
  <c r="AP497" i="28"/>
  <c r="AP496" i="28"/>
  <c r="AP495" i="28"/>
  <c r="AP494" i="28"/>
  <c r="AP493" i="28"/>
  <c r="AP492" i="28"/>
  <c r="AP491" i="28"/>
  <c r="AP490" i="28"/>
  <c r="AP489" i="28"/>
  <c r="AP488" i="28"/>
  <c r="AP487" i="28"/>
  <c r="AP486" i="28"/>
  <c r="AP485" i="28"/>
  <c r="AP484" i="28"/>
  <c r="AP483" i="28"/>
  <c r="AP482" i="28"/>
  <c r="AP481" i="28"/>
  <c r="AP480" i="28"/>
  <c r="AP479" i="28"/>
  <c r="AP478" i="28"/>
  <c r="AP477" i="28"/>
  <c r="AP476" i="28"/>
  <c r="AP475" i="28"/>
  <c r="AP474" i="28"/>
  <c r="AP473" i="28"/>
  <c r="AP472" i="28"/>
  <c r="AP471" i="28"/>
  <c r="AP470" i="28"/>
  <c r="AP469" i="28"/>
  <c r="AP468" i="28"/>
  <c r="AP466" i="28"/>
  <c r="AP465" i="28"/>
  <c r="AP460" i="28"/>
  <c r="AP459" i="28"/>
  <c r="AP458" i="28"/>
  <c r="AP457" i="28"/>
  <c r="AP456" i="28"/>
  <c r="AP455" i="28"/>
  <c r="AP454" i="28"/>
  <c r="AP453" i="28"/>
  <c r="AP452" i="28"/>
  <c r="AP451" i="28"/>
  <c r="AP450" i="28"/>
  <c r="AP449" i="28"/>
  <c r="AP448" i="28"/>
  <c r="AP447" i="28"/>
  <c r="AP445" i="28"/>
  <c r="AP444" i="28"/>
  <c r="AP443" i="28"/>
  <c r="AP442" i="28"/>
  <c r="AP441" i="28"/>
  <c r="AP440" i="28"/>
  <c r="AP439" i="28"/>
  <c r="AP438" i="28"/>
  <c r="AP437" i="28"/>
  <c r="AP436" i="28"/>
  <c r="AP435" i="28"/>
  <c r="AP434" i="28"/>
  <c r="AP433" i="28"/>
  <c r="AP432" i="28"/>
  <c r="AP431" i="28"/>
  <c r="AP430" i="28"/>
  <c r="AP429" i="28"/>
  <c r="AP428" i="28"/>
  <c r="AP427" i="28"/>
  <c r="AP426" i="28"/>
  <c r="AP425" i="28"/>
  <c r="AP424" i="28"/>
  <c r="AP423" i="28"/>
  <c r="AP422" i="28"/>
  <c r="AP421" i="28"/>
  <c r="AP420" i="28"/>
  <c r="AP419" i="28"/>
  <c r="AP418" i="28"/>
  <c r="AP417" i="28"/>
  <c r="AP416" i="28"/>
  <c r="AP415" i="28"/>
  <c r="AP414" i="28"/>
  <c r="AP413" i="28"/>
  <c r="AP412" i="28"/>
  <c r="AP411" i="28"/>
  <c r="AP410" i="28"/>
  <c r="AP409" i="28"/>
  <c r="AP408" i="28"/>
  <c r="AP407" i="28"/>
  <c r="AP406" i="28"/>
  <c r="AP405" i="28"/>
  <c r="AP404" i="28"/>
  <c r="AP403" i="28"/>
  <c r="AP402" i="28"/>
  <c r="AP401" i="28"/>
  <c r="AP400" i="28"/>
  <c r="AP399" i="28"/>
  <c r="AP398" i="28"/>
  <c r="AP397" i="28"/>
  <c r="AP396" i="28"/>
  <c r="AP395" i="28"/>
  <c r="AP394" i="28"/>
  <c r="AP393" i="28"/>
  <c r="AP392" i="28"/>
  <c r="AP391" i="28"/>
  <c r="AP390" i="28"/>
  <c r="AP389" i="28"/>
  <c r="AP388" i="28"/>
  <c r="AP387" i="28"/>
  <c r="AP386" i="28"/>
  <c r="AP385" i="28"/>
  <c r="AP384" i="28"/>
  <c r="AP383" i="28"/>
  <c r="AP382" i="28"/>
  <c r="AP381" i="28"/>
  <c r="AP380" i="28"/>
  <c r="AP379" i="28"/>
  <c r="AP378" i="28"/>
  <c r="AP377" i="28"/>
  <c r="AP376" i="28"/>
  <c r="AP375" i="28"/>
  <c r="AP374" i="28"/>
  <c r="AP373" i="28"/>
  <c r="AP372" i="28"/>
  <c r="AP371" i="28"/>
  <c r="AP370" i="28"/>
  <c r="AP369" i="28"/>
  <c r="AP368" i="28"/>
  <c r="AP367" i="28"/>
  <c r="AP366" i="28"/>
  <c r="AP365" i="28"/>
  <c r="AP364" i="28"/>
  <c r="AP363" i="28"/>
  <c r="AP362" i="28"/>
  <c r="AP361" i="28"/>
  <c r="AP360" i="28"/>
  <c r="AP359" i="28"/>
  <c r="AP358" i="28"/>
  <c r="AP357" i="28"/>
  <c r="AP356" i="28"/>
  <c r="AP355" i="28"/>
  <c r="AP354" i="28"/>
  <c r="AP353" i="28"/>
  <c r="AP352" i="28"/>
  <c r="AP351" i="28"/>
  <c r="AP350" i="28"/>
  <c r="AP349" i="28"/>
  <c r="AP348" i="28"/>
  <c r="AP347" i="28"/>
  <c r="AP346" i="28"/>
  <c r="AP345" i="28"/>
  <c r="AP344" i="28"/>
  <c r="AP343" i="28"/>
  <c r="AP342" i="28"/>
  <c r="AP341" i="28"/>
  <c r="AP340" i="28"/>
  <c r="AP339" i="28"/>
  <c r="AP338" i="28"/>
  <c r="AP337" i="28"/>
  <c r="AP336" i="28"/>
  <c r="AP333" i="28"/>
  <c r="AP332" i="28"/>
  <c r="AP331" i="28"/>
  <c r="AP330" i="28"/>
  <c r="AP329" i="28"/>
  <c r="AP328" i="28"/>
  <c r="AP327" i="28"/>
  <c r="AP326" i="28"/>
  <c r="AP325" i="28"/>
  <c r="AP324" i="28"/>
  <c r="AP323" i="28"/>
  <c r="AP322" i="28"/>
  <c r="AP321" i="28"/>
  <c r="AP320" i="28"/>
  <c r="AP319" i="28"/>
  <c r="AP318" i="28"/>
  <c r="AP317" i="28"/>
  <c r="AP316" i="28"/>
  <c r="AP315" i="28"/>
  <c r="AP314" i="28"/>
  <c r="AP313" i="28"/>
  <c r="AP312" i="28"/>
  <c r="AP311" i="28"/>
  <c r="AP310" i="28"/>
  <c r="AP309" i="28"/>
  <c r="AP308" i="28"/>
  <c r="AP307" i="28"/>
  <c r="AP306" i="28"/>
  <c r="AP305" i="28"/>
  <c r="AP304" i="28"/>
  <c r="AP303" i="28"/>
  <c r="AP302" i="28"/>
  <c r="AP301" i="28"/>
  <c r="AP300" i="28"/>
  <c r="AP299" i="28"/>
  <c r="AP298" i="28"/>
  <c r="AP297" i="28"/>
  <c r="AP296" i="28"/>
  <c r="AP295" i="28"/>
  <c r="AP294" i="28"/>
  <c r="AP293" i="28"/>
  <c r="AP292" i="28"/>
  <c r="AP291" i="28"/>
  <c r="AP290" i="28"/>
  <c r="AP289" i="28"/>
  <c r="AP288" i="28"/>
  <c r="AP287" i="28"/>
  <c r="AP284" i="28"/>
  <c r="AP283" i="28"/>
  <c r="AP281" i="28"/>
  <c r="AP279" i="28"/>
  <c r="AP277" i="28"/>
  <c r="AP275" i="28"/>
  <c r="AP273" i="28"/>
  <c r="AP271" i="28"/>
  <c r="AP269" i="28"/>
  <c r="AP267" i="28"/>
  <c r="AP265" i="28"/>
  <c r="AP263" i="28"/>
  <c r="AP260" i="28"/>
  <c r="AP259" i="28"/>
  <c r="AP258" i="28"/>
  <c r="AP257" i="28"/>
  <c r="AP256" i="28"/>
  <c r="AP255" i="28"/>
  <c r="AP254" i="28"/>
  <c r="AP253" i="28"/>
  <c r="AP252" i="28"/>
  <c r="AP251" i="28"/>
  <c r="AP250" i="28"/>
  <c r="AP249" i="28"/>
  <c r="AP248" i="28"/>
  <c r="AP247" i="28"/>
  <c r="AP246" i="28"/>
  <c r="AP245" i="28"/>
  <c r="AP244" i="28"/>
  <c r="AP243" i="28"/>
  <c r="AP242" i="28"/>
  <c r="AP241" i="28"/>
  <c r="AP240" i="28"/>
  <c r="AP239" i="28"/>
  <c r="AP238" i="28"/>
  <c r="AP237" i="28"/>
  <c r="AP236" i="28"/>
  <c r="AP235" i="28"/>
  <c r="AP234" i="28"/>
  <c r="AP233" i="28"/>
  <c r="AP232" i="28"/>
  <c r="AP231" i="28"/>
  <c r="AP230" i="28"/>
  <c r="AP229" i="28"/>
  <c r="AP228" i="28"/>
  <c r="AP227" i="28"/>
  <c r="AP226" i="28"/>
  <c r="AP225" i="28"/>
  <c r="AP224" i="28"/>
  <c r="AP223" i="28"/>
  <c r="AP222" i="28"/>
  <c r="AP221" i="28"/>
  <c r="AP220" i="28"/>
  <c r="AP219" i="28"/>
  <c r="AP218" i="28"/>
  <c r="AP217" i="28"/>
  <c r="AP216" i="28"/>
  <c r="AP215" i="28"/>
  <c r="AP214" i="28"/>
  <c r="AP213" i="28"/>
  <c r="AP212" i="28"/>
  <c r="AP211" i="28"/>
  <c r="AP210" i="28"/>
  <c r="AP209" i="28"/>
  <c r="AP208" i="28"/>
  <c r="AP207" i="28"/>
  <c r="AP206" i="28"/>
  <c r="AP205" i="28"/>
  <c r="AP204" i="28"/>
  <c r="AP203" i="28"/>
  <c r="AP202" i="28"/>
  <c r="AP201" i="28"/>
  <c r="AP200" i="28"/>
  <c r="AP199" i="28"/>
  <c r="AP198" i="28"/>
  <c r="AP197" i="28"/>
  <c r="AP196" i="28"/>
  <c r="AP195" i="28"/>
  <c r="AP194" i="28"/>
  <c r="AP193" i="28"/>
  <c r="AP192" i="28"/>
  <c r="AP191" i="28"/>
  <c r="AP190" i="28"/>
  <c r="AP189" i="28"/>
  <c r="AP188" i="28"/>
  <c r="AP187" i="28"/>
  <c r="AP186" i="28"/>
  <c r="AP185" i="28"/>
  <c r="AP184" i="28"/>
  <c r="AP183" i="28"/>
  <c r="AP182" i="28"/>
  <c r="AP181" i="28"/>
  <c r="AP180" i="28"/>
  <c r="AP179" i="28"/>
  <c r="AP178" i="28"/>
  <c r="AP177" i="28"/>
  <c r="AP176" i="28"/>
  <c r="AP175" i="28"/>
  <c r="AP174" i="28"/>
  <c r="AP173" i="28"/>
  <c r="AP172" i="28"/>
  <c r="AP171" i="28"/>
  <c r="AP170" i="28"/>
  <c r="AP169" i="28"/>
  <c r="AP168" i="28"/>
  <c r="AP167" i="28"/>
  <c r="AP166" i="28"/>
  <c r="AP165" i="28"/>
  <c r="AP164" i="28"/>
  <c r="AP163" i="28"/>
  <c r="AP162" i="28"/>
  <c r="AP161" i="28"/>
  <c r="AP160" i="28"/>
  <c r="AP159" i="28"/>
  <c r="AP158" i="28"/>
  <c r="AP157" i="28"/>
  <c r="AP156" i="28"/>
  <c r="AP155" i="28"/>
  <c r="AP154" i="28"/>
  <c r="AP153" i="28"/>
  <c r="AP152" i="28"/>
  <c r="AP151" i="28"/>
  <c r="AP150" i="28"/>
  <c r="AP149" i="28"/>
  <c r="AP148" i="28"/>
  <c r="AP147" i="28"/>
  <c r="AP146" i="28"/>
  <c r="AP145" i="28"/>
  <c r="AP144" i="28"/>
  <c r="AP143" i="28"/>
  <c r="AP142" i="28"/>
  <c r="AP141" i="28"/>
  <c r="AP140" i="28"/>
  <c r="AP139" i="28"/>
  <c r="AP138" i="28"/>
  <c r="AP137" i="28"/>
  <c r="AP136" i="28"/>
  <c r="AP135" i="28"/>
  <c r="AP134" i="28"/>
  <c r="AP133" i="28"/>
  <c r="AP132" i="28"/>
  <c r="AP131" i="28"/>
  <c r="AP130" i="28"/>
  <c r="AP129" i="28"/>
  <c r="AP128" i="28"/>
  <c r="AP127" i="28"/>
  <c r="AP126" i="28"/>
  <c r="AP125" i="28"/>
  <c r="AP124" i="28"/>
  <c r="AP123" i="28"/>
  <c r="AP122" i="28"/>
  <c r="AP121" i="28"/>
  <c r="AP120" i="28"/>
  <c r="AP119" i="28"/>
  <c r="AP118" i="28"/>
  <c r="AP117" i="28"/>
  <c r="AP116" i="28"/>
  <c r="AP115" i="28"/>
  <c r="AP114" i="28"/>
  <c r="AP113" i="28"/>
  <c r="AP112" i="28"/>
  <c r="AP111" i="28"/>
  <c r="AP110" i="28"/>
  <c r="AP109" i="28"/>
  <c r="AP108" i="28"/>
  <c r="AP107" i="28"/>
  <c r="AP106" i="28"/>
  <c r="AP105" i="28"/>
  <c r="AP104" i="28"/>
  <c r="AP103" i="28"/>
  <c r="AP102" i="28"/>
  <c r="AP99" i="28"/>
  <c r="AP98" i="28"/>
  <c r="AP97" i="28"/>
  <c r="AP95" i="28"/>
  <c r="AP94" i="28"/>
  <c r="AP93" i="28"/>
  <c r="AP91" i="28"/>
  <c r="AP90" i="28"/>
  <c r="AP89" i="28"/>
  <c r="AP87" i="28"/>
  <c r="AP86" i="28"/>
  <c r="AP85" i="28"/>
  <c r="AP83" i="28"/>
  <c r="AP82" i="28"/>
  <c r="AP81" i="28"/>
  <c r="AP76" i="28"/>
  <c r="AP75" i="28"/>
  <c r="AP68" i="28"/>
  <c r="AP67" i="28"/>
  <c r="AP66" i="28"/>
  <c r="AP65" i="28"/>
  <c r="AP64" i="28"/>
  <c r="AP60" i="28"/>
  <c r="AP59" i="28"/>
  <c r="AP58" i="28"/>
  <c r="AP55" i="28"/>
  <c r="AP54" i="28"/>
  <c r="AP53" i="28"/>
  <c r="AP52" i="28"/>
  <c r="AP51" i="28"/>
  <c r="AP50" i="28"/>
  <c r="AP47" i="28"/>
  <c r="AP46" i="28"/>
  <c r="AP45" i="28"/>
  <c r="AP44" i="28"/>
  <c r="AP43" i="28"/>
  <c r="AP42" i="28"/>
  <c r="AP40" i="28"/>
  <c r="AP39" i="28"/>
  <c r="AP36" i="28"/>
  <c r="AP35" i="28"/>
  <c r="AP34" i="28"/>
  <c r="AP33" i="28"/>
  <c r="AP32" i="28"/>
  <c r="AP29" i="28"/>
  <c r="AP28" i="28"/>
  <c r="AP27" i="28"/>
  <c r="AP26" i="28"/>
  <c r="AP25" i="28"/>
  <c r="AP24" i="28"/>
  <c r="AP23" i="28"/>
  <c r="AP21" i="28"/>
  <c r="AP20" i="28"/>
  <c r="AP19" i="28"/>
  <c r="AP18" i="28"/>
  <c r="AP17" i="28"/>
  <c r="AP16" i="28"/>
  <c r="AP15" i="28"/>
  <c r="AP12" i="28"/>
  <c r="AP11" i="28"/>
  <c r="AP10" i="28"/>
  <c r="AP9" i="28"/>
  <c r="AP8" i="28"/>
  <c r="AN7" i="28"/>
  <c r="AN629" i="28"/>
  <c r="AN628" i="28"/>
  <c r="AN627" i="28"/>
  <c r="AN626" i="28"/>
  <c r="AN625" i="28"/>
  <c r="AN624" i="28"/>
  <c r="AN623" i="28"/>
  <c r="AN622" i="28"/>
  <c r="AN621" i="28"/>
  <c r="AN620" i="28"/>
  <c r="AN619" i="28"/>
  <c r="AN618" i="28"/>
  <c r="AN617" i="28"/>
  <c r="AN616" i="28"/>
  <c r="AN615" i="28"/>
  <c r="AN614" i="28"/>
  <c r="AN613" i="28"/>
  <c r="AN612" i="28"/>
  <c r="AN611" i="28"/>
  <c r="AN610" i="28"/>
  <c r="AN609" i="28"/>
  <c r="AN608" i="28"/>
  <c r="AN607" i="28"/>
  <c r="AN606" i="28"/>
  <c r="AN605" i="28"/>
  <c r="AN604" i="28"/>
  <c r="AN603" i="28"/>
  <c r="AN602" i="28"/>
  <c r="AN601" i="28"/>
  <c r="AN600" i="28"/>
  <c r="AN599" i="28"/>
  <c r="AN598" i="28"/>
  <c r="AN597" i="28"/>
  <c r="AN596" i="28"/>
  <c r="AN595" i="28"/>
  <c r="AN594" i="28"/>
  <c r="AN593" i="28"/>
  <c r="AN592" i="28"/>
  <c r="AN591" i="28"/>
  <c r="AN590" i="28"/>
  <c r="AN589" i="28"/>
  <c r="AN588" i="28"/>
  <c r="AN587" i="28"/>
  <c r="AN586" i="28"/>
  <c r="AN585" i="28"/>
  <c r="AN584" i="28"/>
  <c r="AN583" i="28"/>
  <c r="AN582" i="28"/>
  <c r="AN581" i="28"/>
  <c r="AN580" i="28"/>
  <c r="AN579" i="28"/>
  <c r="AN578" i="28"/>
  <c r="AN577" i="28"/>
  <c r="AN576" i="28"/>
  <c r="AN575" i="28"/>
  <c r="AN574" i="28"/>
  <c r="AN573" i="28"/>
  <c r="AN572" i="28"/>
  <c r="AN571" i="28"/>
  <c r="AN570" i="28"/>
  <c r="AN569" i="28"/>
  <c r="AN568" i="28"/>
  <c r="AN567" i="28"/>
  <c r="AN566" i="28"/>
  <c r="AN565" i="28"/>
  <c r="AN564" i="28"/>
  <c r="AN563" i="28"/>
  <c r="AN562" i="28"/>
  <c r="AN561" i="28"/>
  <c r="AN560" i="28"/>
  <c r="AN559" i="28"/>
  <c r="AN558" i="28"/>
  <c r="AN557" i="28"/>
  <c r="AN554" i="28"/>
  <c r="AN553" i="28"/>
  <c r="AN552" i="28"/>
  <c r="AN551" i="28"/>
  <c r="AN550" i="28"/>
  <c r="AN549" i="28"/>
  <c r="AN548" i="28"/>
  <c r="AN547" i="28"/>
  <c r="AN546" i="28"/>
  <c r="AN545" i="28"/>
  <c r="AN544" i="28"/>
  <c r="AN543" i="28"/>
  <c r="AN542" i="28"/>
  <c r="AN541" i="28"/>
  <c r="AN540" i="28"/>
  <c r="AN539" i="28"/>
  <c r="AN538" i="28"/>
  <c r="AN537" i="28"/>
  <c r="AN536" i="28"/>
  <c r="AN535" i="28"/>
  <c r="AN534" i="28"/>
  <c r="AN533" i="28"/>
  <c r="AN532" i="28"/>
  <c r="AN531" i="28"/>
  <c r="AN530" i="28"/>
  <c r="AN529" i="28"/>
  <c r="AN528" i="28"/>
  <c r="AN527" i="28"/>
  <c r="AN526" i="28"/>
  <c r="AN525" i="28"/>
  <c r="AN524" i="28"/>
  <c r="AN523" i="28"/>
  <c r="AN521" i="28"/>
  <c r="AN520" i="28"/>
  <c r="AN519" i="28"/>
  <c r="AN518" i="28"/>
  <c r="AN517" i="28"/>
  <c r="AN516" i="28"/>
  <c r="AN515" i="28"/>
  <c r="AN514" i="28"/>
  <c r="AN513" i="28"/>
  <c r="AN512" i="28"/>
  <c r="AN511" i="28"/>
  <c r="AN510" i="28"/>
  <c r="AN509" i="28"/>
  <c r="AN508" i="28"/>
  <c r="AN507" i="28"/>
  <c r="AN506" i="28"/>
  <c r="AN505" i="28"/>
  <c r="AN504" i="28"/>
  <c r="AN502" i="28"/>
  <c r="AN501" i="28"/>
  <c r="AN500" i="28"/>
  <c r="AN499" i="28"/>
  <c r="AN498" i="28"/>
  <c r="AN497" i="28"/>
  <c r="AN496" i="28"/>
  <c r="AN495" i="28"/>
  <c r="AN494" i="28"/>
  <c r="AN493" i="28"/>
  <c r="AN492" i="28"/>
  <c r="AN491" i="28"/>
  <c r="AN490" i="28"/>
  <c r="AN489" i="28"/>
  <c r="AN488" i="28"/>
  <c r="AN487" i="28"/>
  <c r="AN486" i="28"/>
  <c r="AN485" i="28"/>
  <c r="AN484" i="28"/>
  <c r="AN483" i="28"/>
  <c r="AN482" i="28"/>
  <c r="AN481" i="28"/>
  <c r="AN480" i="28"/>
  <c r="AN479" i="28"/>
  <c r="AN478" i="28"/>
  <c r="AN477" i="28"/>
  <c r="AN476" i="28"/>
  <c r="AN475" i="28"/>
  <c r="AN474" i="28"/>
  <c r="AN473" i="28"/>
  <c r="AN472" i="28"/>
  <c r="AN471" i="28"/>
  <c r="AN470" i="28"/>
  <c r="AN469" i="28"/>
  <c r="AN468" i="28"/>
  <c r="AN466" i="28"/>
  <c r="AN465" i="28"/>
  <c r="AN460" i="28"/>
  <c r="AN459" i="28"/>
  <c r="AN458" i="28"/>
  <c r="AN457" i="28"/>
  <c r="AN456" i="28"/>
  <c r="AN455" i="28"/>
  <c r="AN454" i="28"/>
  <c r="AN453" i="28"/>
  <c r="AN452" i="28"/>
  <c r="AN451" i="28"/>
  <c r="AN450" i="28"/>
  <c r="AN449" i="28"/>
  <c r="AN448" i="28"/>
  <c r="AN447" i="28"/>
  <c r="AN445" i="28"/>
  <c r="AN444" i="28"/>
  <c r="AN443" i="28"/>
  <c r="AN442" i="28"/>
  <c r="AN441" i="28"/>
  <c r="AN440" i="28"/>
  <c r="AN439" i="28"/>
  <c r="AN438" i="28"/>
  <c r="AN437" i="28"/>
  <c r="AN436" i="28"/>
  <c r="AN435" i="28"/>
  <c r="AN434" i="28"/>
  <c r="AN433" i="28"/>
  <c r="AN432" i="28"/>
  <c r="AN431" i="28"/>
  <c r="AN430" i="28"/>
  <c r="AN429" i="28"/>
  <c r="AN428" i="28"/>
  <c r="AN427" i="28"/>
  <c r="AN426" i="28"/>
  <c r="AN425" i="28"/>
  <c r="AN424" i="28"/>
  <c r="AN423" i="28"/>
  <c r="AN422" i="28"/>
  <c r="AN421" i="28"/>
  <c r="AN420" i="28"/>
  <c r="AN419" i="28"/>
  <c r="AN418" i="28"/>
  <c r="AN417" i="28"/>
  <c r="AN416" i="28"/>
  <c r="AN415" i="28"/>
  <c r="AN414" i="28"/>
  <c r="AN413" i="28"/>
  <c r="AN412" i="28"/>
  <c r="AN411" i="28"/>
  <c r="AN410" i="28"/>
  <c r="AN409" i="28"/>
  <c r="AN408" i="28"/>
  <c r="AN407" i="28"/>
  <c r="AN406" i="28"/>
  <c r="AN405" i="28"/>
  <c r="AN404" i="28"/>
  <c r="AN403" i="28"/>
  <c r="AN402" i="28"/>
  <c r="AN401" i="28"/>
  <c r="AN400" i="28"/>
  <c r="AN399" i="28"/>
  <c r="AN398" i="28"/>
  <c r="AN397" i="28"/>
  <c r="AN396" i="28"/>
  <c r="AN395" i="28"/>
  <c r="AN394" i="28"/>
  <c r="AN393" i="28"/>
  <c r="AN392" i="28"/>
  <c r="AN391" i="28"/>
  <c r="AN390" i="28"/>
  <c r="AN389" i="28"/>
  <c r="AN388" i="28"/>
  <c r="AN387" i="28"/>
  <c r="AN386" i="28"/>
  <c r="AN385" i="28"/>
  <c r="AN384" i="28"/>
  <c r="AN383" i="28"/>
  <c r="AN382" i="28"/>
  <c r="AN381" i="28"/>
  <c r="AN380" i="28"/>
  <c r="AN379" i="28"/>
  <c r="AN378" i="28"/>
  <c r="AN377" i="28"/>
  <c r="AN376" i="28"/>
  <c r="AN375" i="28"/>
  <c r="AN374" i="28"/>
  <c r="AN373" i="28"/>
  <c r="AN372" i="28"/>
  <c r="AN371" i="28"/>
  <c r="AN370" i="28"/>
  <c r="AN369" i="28"/>
  <c r="AN368" i="28"/>
  <c r="AN367" i="28"/>
  <c r="AN366" i="28"/>
  <c r="AN365" i="28"/>
  <c r="AN364" i="28"/>
  <c r="AN363" i="28"/>
  <c r="AN362" i="28"/>
  <c r="AN361" i="28"/>
  <c r="AN360" i="28"/>
  <c r="AN359" i="28"/>
  <c r="AN358" i="28"/>
  <c r="AN357" i="28"/>
  <c r="AN356" i="28"/>
  <c r="AN355" i="28"/>
  <c r="AN354" i="28"/>
  <c r="AN353" i="28"/>
  <c r="AN352" i="28"/>
  <c r="AN351" i="28"/>
  <c r="AN350" i="28"/>
  <c r="AN349" i="28"/>
  <c r="AN348" i="28"/>
  <c r="AN347" i="28"/>
  <c r="AN346" i="28"/>
  <c r="AN345" i="28"/>
  <c r="AN344" i="28"/>
  <c r="AN343" i="28"/>
  <c r="AN342" i="28"/>
  <c r="AN341" i="28"/>
  <c r="AN340" i="28"/>
  <c r="AN339" i="28"/>
  <c r="AN338" i="28"/>
  <c r="AN337" i="28"/>
  <c r="AN336" i="28"/>
  <c r="AN333" i="28"/>
  <c r="AN332" i="28"/>
  <c r="AN331" i="28"/>
  <c r="AN330" i="28"/>
  <c r="AN329" i="28"/>
  <c r="AN328" i="28"/>
  <c r="AN327" i="28"/>
  <c r="AN326" i="28"/>
  <c r="AN325" i="28"/>
  <c r="AN324" i="28"/>
  <c r="AN323" i="28"/>
  <c r="AN322" i="28"/>
  <c r="AN321" i="28"/>
  <c r="AN320" i="28"/>
  <c r="AN319" i="28"/>
  <c r="AN318" i="28"/>
  <c r="AN317" i="28"/>
  <c r="AN316" i="28"/>
  <c r="AN315" i="28"/>
  <c r="AN314" i="28"/>
  <c r="AN313" i="28"/>
  <c r="AN312" i="28"/>
  <c r="AN311" i="28"/>
  <c r="AN310" i="28"/>
  <c r="AN309" i="28"/>
  <c r="AN308" i="28"/>
  <c r="AN307" i="28"/>
  <c r="AN306" i="28"/>
  <c r="AN305" i="28"/>
  <c r="AN304" i="28"/>
  <c r="AN303" i="28"/>
  <c r="AN302" i="28"/>
  <c r="AN301" i="28"/>
  <c r="AN300" i="28"/>
  <c r="AN299" i="28"/>
  <c r="AN298" i="28"/>
  <c r="AN297" i="28"/>
  <c r="AN296" i="28"/>
  <c r="AN295" i="28"/>
  <c r="AN294" i="28"/>
  <c r="AN293" i="28"/>
  <c r="AN292" i="28"/>
  <c r="AN291" i="28"/>
  <c r="AN290" i="28"/>
  <c r="AN289" i="28"/>
  <c r="AN288" i="28"/>
  <c r="AN287" i="28"/>
  <c r="AN284" i="28"/>
  <c r="AN283" i="28"/>
  <c r="AN281" i="28"/>
  <c r="AN279" i="28"/>
  <c r="AN277" i="28"/>
  <c r="AN275" i="28"/>
  <c r="AN273" i="28"/>
  <c r="AN271" i="28"/>
  <c r="AN269" i="28"/>
  <c r="AN267" i="28"/>
  <c r="AN265" i="28"/>
  <c r="AN263" i="28"/>
  <c r="AN260" i="28"/>
  <c r="AN259" i="28"/>
  <c r="AN258" i="28"/>
  <c r="AN257" i="28"/>
  <c r="AN256" i="28"/>
  <c r="AN255" i="28"/>
  <c r="AN254" i="28"/>
  <c r="AN253" i="28"/>
  <c r="AN252" i="28"/>
  <c r="AN251" i="28"/>
  <c r="AN250" i="28"/>
  <c r="AN249" i="28"/>
  <c r="AN248" i="28"/>
  <c r="AN247" i="28"/>
  <c r="AN246" i="28"/>
  <c r="AN245" i="28"/>
  <c r="AN244" i="28"/>
  <c r="AN243" i="28"/>
  <c r="AN242" i="28"/>
  <c r="AN241" i="28"/>
  <c r="AN240" i="28"/>
  <c r="AN239" i="28"/>
  <c r="AN238" i="28"/>
  <c r="AN237" i="28"/>
  <c r="AN236" i="28"/>
  <c r="AN235" i="28"/>
  <c r="AN234" i="28"/>
  <c r="AN233" i="28"/>
  <c r="AN232" i="28"/>
  <c r="AN231" i="28"/>
  <c r="AN230" i="28"/>
  <c r="AN229" i="28"/>
  <c r="AN228" i="28"/>
  <c r="AN227" i="28"/>
  <c r="AN226" i="28"/>
  <c r="AN225" i="28"/>
  <c r="AN224" i="28"/>
  <c r="AN223" i="28"/>
  <c r="AN222" i="28"/>
  <c r="AN221" i="28"/>
  <c r="AN220" i="28"/>
  <c r="AN219" i="28"/>
  <c r="AN218" i="28"/>
  <c r="AN217" i="28"/>
  <c r="AN216" i="28"/>
  <c r="AN215" i="28"/>
  <c r="AN214" i="28"/>
  <c r="AN213" i="28"/>
  <c r="AN212" i="28"/>
  <c r="AN211" i="28"/>
  <c r="AN210" i="28"/>
  <c r="AN209" i="28"/>
  <c r="AN208" i="28"/>
  <c r="AN207" i="28"/>
  <c r="AN206" i="28"/>
  <c r="AN205" i="28"/>
  <c r="AN204" i="28"/>
  <c r="AN203" i="28"/>
  <c r="AN202" i="28"/>
  <c r="AN201" i="28"/>
  <c r="AN200" i="28"/>
  <c r="AN199" i="28"/>
  <c r="AN198" i="28"/>
  <c r="AN197" i="28"/>
  <c r="AN196" i="28"/>
  <c r="AN195" i="28"/>
  <c r="AN194" i="28"/>
  <c r="AN193" i="28"/>
  <c r="AN192" i="28"/>
  <c r="AN191" i="28"/>
  <c r="AN190" i="28"/>
  <c r="AN189" i="28"/>
  <c r="AN188" i="28"/>
  <c r="AN187" i="28"/>
  <c r="AN186" i="28"/>
  <c r="AN185" i="28"/>
  <c r="AN184" i="28"/>
  <c r="AN183" i="28"/>
  <c r="AN182" i="28"/>
  <c r="AN181" i="28"/>
  <c r="AN180" i="28"/>
  <c r="AN179" i="28"/>
  <c r="AN178" i="28"/>
  <c r="AN177" i="28"/>
  <c r="AN176" i="28"/>
  <c r="AN175" i="28"/>
  <c r="AN174" i="28"/>
  <c r="AN173" i="28"/>
  <c r="AN172" i="28"/>
  <c r="AN171" i="28"/>
  <c r="AN170" i="28"/>
  <c r="AN169" i="28"/>
  <c r="AN168" i="28"/>
  <c r="AN167" i="28"/>
  <c r="AN166" i="28"/>
  <c r="AN165" i="28"/>
  <c r="AN164" i="28"/>
  <c r="AN163" i="28"/>
  <c r="AN162" i="28"/>
  <c r="AN161" i="28"/>
  <c r="AN160" i="28"/>
  <c r="AN159" i="28"/>
  <c r="AN158" i="28"/>
  <c r="AN157" i="28"/>
  <c r="AN156" i="28"/>
  <c r="AN155" i="28"/>
  <c r="AN154" i="28"/>
  <c r="AN153" i="28"/>
  <c r="AN152" i="28"/>
  <c r="AN151" i="28"/>
  <c r="AN150" i="28"/>
  <c r="AN149" i="28"/>
  <c r="AN148" i="28"/>
  <c r="AN147" i="28"/>
  <c r="AN146" i="28"/>
  <c r="AN145" i="28"/>
  <c r="AN144" i="28"/>
  <c r="AN143" i="28"/>
  <c r="AN142" i="28"/>
  <c r="AN141" i="28"/>
  <c r="AN140" i="28"/>
  <c r="AN139" i="28"/>
  <c r="AN138" i="28"/>
  <c r="AN137" i="28"/>
  <c r="AN136" i="28"/>
  <c r="AN135" i="28"/>
  <c r="AN134" i="28"/>
  <c r="AN133" i="28"/>
  <c r="AN132" i="28"/>
  <c r="AN131" i="28"/>
  <c r="AN130" i="28"/>
  <c r="AN129" i="28"/>
  <c r="AN128" i="28"/>
  <c r="AN127" i="28"/>
  <c r="AN126" i="28"/>
  <c r="AN125" i="28"/>
  <c r="AN124" i="28"/>
  <c r="AN123" i="28"/>
  <c r="AN122" i="28"/>
  <c r="AN121" i="28"/>
  <c r="AN120" i="28"/>
  <c r="AN119" i="28"/>
  <c r="AN118" i="28"/>
  <c r="AN117" i="28"/>
  <c r="AN116" i="28"/>
  <c r="AN115" i="28"/>
  <c r="AN114" i="28"/>
  <c r="AN113" i="28"/>
  <c r="AN112" i="28"/>
  <c r="AN111" i="28"/>
  <c r="AN110" i="28"/>
  <c r="AN109" i="28"/>
  <c r="AN108" i="28"/>
  <c r="AN107" i="28"/>
  <c r="AN106" i="28"/>
  <c r="AN105" i="28"/>
  <c r="AN104" i="28"/>
  <c r="AN103" i="28"/>
  <c r="AN102" i="28"/>
  <c r="AN99" i="28"/>
  <c r="AN98" i="28"/>
  <c r="AN100" i="28" s="1"/>
  <c r="AN97" i="28"/>
  <c r="AN95" i="28"/>
  <c r="AN94" i="28"/>
  <c r="AN93" i="28"/>
  <c r="AN91" i="28"/>
  <c r="AN90" i="28"/>
  <c r="AN89" i="28"/>
  <c r="AN87" i="28"/>
  <c r="AN86" i="28"/>
  <c r="AN85" i="28"/>
  <c r="AN83" i="28"/>
  <c r="AN82" i="28"/>
  <c r="AN81" i="28"/>
  <c r="AN78" i="28"/>
  <c r="AN77" i="28"/>
  <c r="AN76" i="28"/>
  <c r="AN75" i="28"/>
  <c r="AN74" i="28"/>
  <c r="AN69" i="28"/>
  <c r="AN71" i="28" s="1"/>
  <c r="AN68" i="28"/>
  <c r="AN67" i="28"/>
  <c r="AN66" i="28"/>
  <c r="AN65" i="28"/>
  <c r="AN64" i="28"/>
  <c r="AN63" i="28"/>
  <c r="AN60" i="28"/>
  <c r="AN59" i="28"/>
  <c r="AN58" i="28"/>
  <c r="AN56" i="28"/>
  <c r="AN55" i="28"/>
  <c r="AN54" i="28"/>
  <c r="AN53" i="28"/>
  <c r="AN52" i="28"/>
  <c r="AN51" i="28"/>
  <c r="AN50" i="28"/>
  <c r="AN48" i="28"/>
  <c r="AN47" i="28"/>
  <c r="AN46" i="28"/>
  <c r="AN45" i="28"/>
  <c r="AN44" i="28"/>
  <c r="AN43" i="28"/>
  <c r="AN42" i="28"/>
  <c r="AN40" i="28"/>
  <c r="AN39" i="28"/>
  <c r="AN37" i="28"/>
  <c r="AN36" i="28"/>
  <c r="AN35" i="28"/>
  <c r="AN34" i="28"/>
  <c r="AN33" i="28"/>
  <c r="AN32" i="28"/>
  <c r="AN31" i="28"/>
  <c r="AN29" i="28"/>
  <c r="AN28" i="28"/>
  <c r="AN27" i="28"/>
  <c r="AN26" i="28"/>
  <c r="AN25" i="28"/>
  <c r="AN24" i="28"/>
  <c r="AN23" i="28"/>
  <c r="AN21" i="28"/>
  <c r="AN20" i="28"/>
  <c r="AN19" i="28"/>
  <c r="AN18" i="28"/>
  <c r="AN17" i="28"/>
  <c r="AN16" i="28"/>
  <c r="AN15" i="28"/>
  <c r="AN13" i="28"/>
  <c r="AN12" i="28"/>
  <c r="AN11" i="28"/>
  <c r="AN10" i="28"/>
  <c r="AN9" i="28"/>
  <c r="AN8" i="28"/>
  <c r="AJ7" i="28"/>
  <c r="AF7" i="28"/>
  <c r="AJ629" i="28"/>
  <c r="AJ628" i="28"/>
  <c r="AJ627" i="28"/>
  <c r="AJ626" i="28"/>
  <c r="AJ625" i="28"/>
  <c r="AJ624" i="28"/>
  <c r="AJ623" i="28"/>
  <c r="AJ622" i="28"/>
  <c r="AJ621" i="28"/>
  <c r="AJ620" i="28"/>
  <c r="AJ619" i="28"/>
  <c r="AJ618" i="28"/>
  <c r="AJ617" i="28"/>
  <c r="AJ616" i="28"/>
  <c r="AJ615" i="28"/>
  <c r="AJ614" i="28"/>
  <c r="AJ613" i="28"/>
  <c r="AJ612" i="28"/>
  <c r="AJ611" i="28"/>
  <c r="AJ610" i="28"/>
  <c r="AJ609" i="28"/>
  <c r="AJ608" i="28"/>
  <c r="AJ607" i="28"/>
  <c r="AJ606" i="28"/>
  <c r="AJ605" i="28"/>
  <c r="AJ604" i="28"/>
  <c r="AJ603" i="28"/>
  <c r="AJ602" i="28"/>
  <c r="AJ601" i="28"/>
  <c r="AJ600" i="28"/>
  <c r="AJ599" i="28"/>
  <c r="AJ598" i="28"/>
  <c r="AJ597" i="28"/>
  <c r="AJ596" i="28"/>
  <c r="AJ595" i="28"/>
  <c r="AJ594" i="28"/>
  <c r="AJ593" i="28"/>
  <c r="AJ592" i="28"/>
  <c r="AJ591" i="28"/>
  <c r="AJ590" i="28"/>
  <c r="AJ589" i="28"/>
  <c r="AJ588" i="28"/>
  <c r="AJ587" i="28"/>
  <c r="AJ586" i="28"/>
  <c r="AJ585" i="28"/>
  <c r="AJ584" i="28"/>
  <c r="AJ583" i="28"/>
  <c r="AJ582" i="28"/>
  <c r="AJ581" i="28"/>
  <c r="AJ580" i="28"/>
  <c r="AJ579" i="28"/>
  <c r="AJ578" i="28"/>
  <c r="AJ577" i="28"/>
  <c r="AJ576" i="28"/>
  <c r="AJ575" i="28"/>
  <c r="AJ574" i="28"/>
  <c r="AJ573" i="28"/>
  <c r="AJ572" i="28"/>
  <c r="AJ571" i="28"/>
  <c r="AJ570" i="28"/>
  <c r="AJ569" i="28"/>
  <c r="AJ568" i="28"/>
  <c r="AJ567" i="28"/>
  <c r="AJ566" i="28"/>
  <c r="AJ565" i="28"/>
  <c r="AJ564" i="28"/>
  <c r="AJ563" i="28"/>
  <c r="AJ562" i="28"/>
  <c r="AJ561" i="28"/>
  <c r="AJ560" i="28"/>
  <c r="AJ559" i="28"/>
  <c r="AJ554" i="28"/>
  <c r="AJ553" i="28"/>
  <c r="AJ551" i="28"/>
  <c r="AJ549" i="28"/>
  <c r="AJ548" i="28"/>
  <c r="AJ547" i="28"/>
  <c r="AJ546" i="28"/>
  <c r="AJ545" i="28"/>
  <c r="AJ544" i="28"/>
  <c r="AJ543" i="28"/>
  <c r="AJ542" i="28"/>
  <c r="AJ541" i="28"/>
  <c r="AJ539" i="28"/>
  <c r="AJ537" i="28"/>
  <c r="AJ536" i="28"/>
  <c r="AJ535" i="28"/>
  <c r="AJ534" i="28"/>
  <c r="AJ533" i="28"/>
  <c r="AJ532" i="28"/>
  <c r="AJ531" i="28"/>
  <c r="AJ530" i="28"/>
  <c r="AJ528" i="28"/>
  <c r="AJ527" i="28"/>
  <c r="AJ526" i="28"/>
  <c r="AJ525" i="28"/>
  <c r="AJ524" i="28"/>
  <c r="AJ523" i="28"/>
  <c r="AJ521" i="28"/>
  <c r="AJ520" i="28"/>
  <c r="AJ519" i="28"/>
  <c r="AJ518" i="28"/>
  <c r="AJ517" i="28"/>
  <c r="AJ516" i="28"/>
  <c r="AJ515" i="28"/>
  <c r="AJ514" i="28"/>
  <c r="AJ513" i="28"/>
  <c r="AJ512" i="28"/>
  <c r="AJ511" i="28"/>
  <c r="AJ510" i="28"/>
  <c r="AJ509" i="28"/>
  <c r="AJ508" i="28"/>
  <c r="AJ507" i="28"/>
  <c r="AJ506" i="28"/>
  <c r="AJ505" i="28"/>
  <c r="AJ504" i="28"/>
  <c r="AJ502" i="28"/>
  <c r="AJ501" i="28"/>
  <c r="AJ500" i="28"/>
  <c r="AJ499" i="28"/>
  <c r="AJ498" i="28"/>
  <c r="AJ497" i="28"/>
  <c r="AJ496" i="28"/>
  <c r="AJ495" i="28"/>
  <c r="AJ494" i="28"/>
  <c r="AJ493" i="28"/>
  <c r="AJ492" i="28"/>
  <c r="AJ491" i="28"/>
  <c r="AJ490" i="28"/>
  <c r="AJ489" i="28"/>
  <c r="AJ488" i="28"/>
  <c r="AJ487" i="28"/>
  <c r="AJ486" i="28"/>
  <c r="AJ485" i="28"/>
  <c r="AJ484" i="28"/>
  <c r="AJ483" i="28"/>
  <c r="AJ482" i="28"/>
  <c r="AJ481" i="28"/>
  <c r="AJ480" i="28"/>
  <c r="AJ479" i="28"/>
  <c r="AJ478" i="28"/>
  <c r="AJ477" i="28"/>
  <c r="AJ476" i="28"/>
  <c r="AJ475" i="28"/>
  <c r="AJ474" i="28"/>
  <c r="AJ473" i="28"/>
  <c r="AJ472" i="28"/>
  <c r="AJ471" i="28"/>
  <c r="AJ470" i="28"/>
  <c r="AJ469" i="28"/>
  <c r="AJ468" i="28"/>
  <c r="AJ466" i="28"/>
  <c r="AJ465" i="28"/>
  <c r="AJ460" i="28"/>
  <c r="AJ459" i="28"/>
  <c r="AJ458" i="28"/>
  <c r="AJ457" i="28"/>
  <c r="AJ456" i="28"/>
  <c r="AJ455" i="28"/>
  <c r="AJ454" i="28"/>
  <c r="AJ453" i="28"/>
  <c r="AJ452" i="28"/>
  <c r="AJ451" i="28"/>
  <c r="AJ450" i="28"/>
  <c r="AJ449" i="28"/>
  <c r="AJ448" i="28"/>
  <c r="AJ447" i="28"/>
  <c r="AJ445" i="28"/>
  <c r="AJ444" i="28"/>
  <c r="AJ443" i="28"/>
  <c r="AJ442" i="28"/>
  <c r="AJ441" i="28"/>
  <c r="AJ440" i="28"/>
  <c r="AJ439" i="28"/>
  <c r="AJ438" i="28"/>
  <c r="AJ437" i="28"/>
  <c r="AJ436" i="28"/>
  <c r="AJ435" i="28"/>
  <c r="AJ434" i="28"/>
  <c r="AJ433" i="28"/>
  <c r="AJ432" i="28"/>
  <c r="AJ431" i="28"/>
  <c r="AJ430" i="28"/>
  <c r="AJ429" i="28"/>
  <c r="AJ428" i="28"/>
  <c r="AJ427" i="28"/>
  <c r="AJ426" i="28"/>
  <c r="AJ425" i="28"/>
  <c r="AJ424" i="28"/>
  <c r="AJ423" i="28"/>
  <c r="AJ422" i="28"/>
  <c r="AJ421" i="28"/>
  <c r="AJ420" i="28"/>
  <c r="AJ419" i="28"/>
  <c r="AJ418" i="28"/>
  <c r="AJ417" i="28"/>
  <c r="AJ416" i="28"/>
  <c r="AJ415" i="28"/>
  <c r="AJ414" i="28"/>
  <c r="AJ413" i="28"/>
  <c r="AJ412" i="28"/>
  <c r="AJ411" i="28"/>
  <c r="AJ410" i="28"/>
  <c r="AJ409" i="28"/>
  <c r="AJ408" i="28"/>
  <c r="AJ407" i="28"/>
  <c r="AJ406" i="28"/>
  <c r="AJ405" i="28"/>
  <c r="AJ404" i="28"/>
  <c r="AJ403" i="28"/>
  <c r="AJ402" i="28"/>
  <c r="AJ401" i="28"/>
  <c r="AJ400" i="28"/>
  <c r="AJ399" i="28"/>
  <c r="AJ398" i="28"/>
  <c r="AJ397" i="28"/>
  <c r="AJ396" i="28"/>
  <c r="AJ395" i="28"/>
  <c r="AJ394" i="28"/>
  <c r="AJ393" i="28"/>
  <c r="AJ392" i="28"/>
  <c r="AJ391" i="28"/>
  <c r="AJ390" i="28"/>
  <c r="AJ389" i="28"/>
  <c r="AJ388" i="28"/>
  <c r="AJ387" i="28"/>
  <c r="AJ386" i="28"/>
  <c r="AJ385" i="28"/>
  <c r="AJ384" i="28"/>
  <c r="AJ383" i="28"/>
  <c r="AJ382" i="28"/>
  <c r="AJ381" i="28"/>
  <c r="AJ380" i="28"/>
  <c r="AJ379" i="28"/>
  <c r="AJ378" i="28"/>
  <c r="AJ377" i="28"/>
  <c r="AJ376" i="28"/>
  <c r="AJ375" i="28"/>
  <c r="AJ374" i="28"/>
  <c r="AJ373" i="28"/>
  <c r="AJ372" i="28"/>
  <c r="AJ371" i="28"/>
  <c r="AJ370" i="28"/>
  <c r="AJ369" i="28"/>
  <c r="AJ368" i="28"/>
  <c r="AJ367" i="28"/>
  <c r="AJ366" i="28"/>
  <c r="AJ365" i="28"/>
  <c r="AJ364" i="28"/>
  <c r="AJ363" i="28"/>
  <c r="AJ362" i="28"/>
  <c r="AJ361" i="28"/>
  <c r="AJ360" i="28"/>
  <c r="AJ359" i="28"/>
  <c r="AJ358" i="28"/>
  <c r="AJ357" i="28"/>
  <c r="AJ356" i="28"/>
  <c r="AJ355" i="28"/>
  <c r="AJ354" i="28"/>
  <c r="AJ353" i="28"/>
  <c r="AJ352" i="28"/>
  <c r="AJ351" i="28"/>
  <c r="AJ350" i="28"/>
  <c r="AJ349" i="28"/>
  <c r="AJ348" i="28"/>
  <c r="AJ347" i="28"/>
  <c r="AJ346" i="28"/>
  <c r="AJ345" i="28"/>
  <c r="AJ344" i="28"/>
  <c r="AJ343" i="28"/>
  <c r="AJ342" i="28"/>
  <c r="AJ341" i="28"/>
  <c r="AJ340" i="28"/>
  <c r="AJ339" i="28"/>
  <c r="AJ338" i="28"/>
  <c r="AJ337" i="28"/>
  <c r="AJ336" i="28"/>
  <c r="AJ333" i="28"/>
  <c r="AJ332" i="28"/>
  <c r="AJ331" i="28"/>
  <c r="AJ330" i="28"/>
  <c r="AJ329" i="28"/>
  <c r="AJ328" i="28"/>
  <c r="AJ327" i="28"/>
  <c r="AJ326" i="28"/>
  <c r="AJ325" i="28"/>
  <c r="AJ324" i="28"/>
  <c r="AJ323" i="28"/>
  <c r="AJ322" i="28"/>
  <c r="AJ321" i="28"/>
  <c r="AJ320" i="28"/>
  <c r="AJ319" i="28"/>
  <c r="AJ318" i="28"/>
  <c r="AJ317" i="28"/>
  <c r="AJ316" i="28"/>
  <c r="AJ315" i="28"/>
  <c r="AJ314" i="28"/>
  <c r="AJ313" i="28"/>
  <c r="AJ312" i="28"/>
  <c r="AJ311" i="28"/>
  <c r="AJ310" i="28"/>
  <c r="AJ309" i="28"/>
  <c r="AJ308" i="28"/>
  <c r="AJ307" i="28"/>
  <c r="AJ306" i="28"/>
  <c r="AJ305" i="28"/>
  <c r="AJ304" i="28"/>
  <c r="AJ303" i="28"/>
  <c r="AJ302" i="28"/>
  <c r="AJ301" i="28"/>
  <c r="AJ300" i="28"/>
  <c r="AJ299" i="28"/>
  <c r="AJ298" i="28"/>
  <c r="AJ297" i="28"/>
  <c r="AJ296" i="28"/>
  <c r="AJ295" i="28"/>
  <c r="AJ294" i="28"/>
  <c r="AJ293" i="28"/>
  <c r="AJ292" i="28"/>
  <c r="AJ291" i="28"/>
  <c r="AJ290" i="28"/>
  <c r="AJ289" i="28"/>
  <c r="AJ288" i="28"/>
  <c r="AJ287" i="28"/>
  <c r="AJ284" i="28"/>
  <c r="AJ283" i="28"/>
  <c r="AJ281" i="28"/>
  <c r="AJ279" i="28"/>
  <c r="AJ277" i="28"/>
  <c r="AJ275" i="28"/>
  <c r="AJ273" i="28"/>
  <c r="AJ271" i="28"/>
  <c r="AJ269" i="28"/>
  <c r="AJ267" i="28"/>
  <c r="AJ265" i="28"/>
  <c r="AJ263" i="28"/>
  <c r="AJ260" i="28"/>
  <c r="AJ259" i="28"/>
  <c r="AJ258" i="28"/>
  <c r="AJ257" i="28"/>
  <c r="AJ256" i="28"/>
  <c r="AJ255" i="28"/>
  <c r="AJ254" i="28"/>
  <c r="AJ253" i="28"/>
  <c r="AJ252" i="28"/>
  <c r="AJ251" i="28"/>
  <c r="AJ250" i="28"/>
  <c r="AJ249" i="28"/>
  <c r="AJ248" i="28"/>
  <c r="AJ247" i="28"/>
  <c r="AJ246" i="28"/>
  <c r="AJ245" i="28"/>
  <c r="AJ244" i="28"/>
  <c r="AJ243" i="28"/>
  <c r="AJ242" i="28"/>
  <c r="AJ241" i="28"/>
  <c r="AJ240" i="28"/>
  <c r="AJ239" i="28"/>
  <c r="AJ238" i="28"/>
  <c r="AJ237" i="28"/>
  <c r="AJ236" i="28"/>
  <c r="AJ235" i="28"/>
  <c r="AJ234" i="28"/>
  <c r="AJ233" i="28"/>
  <c r="AJ232" i="28"/>
  <c r="AJ231" i="28"/>
  <c r="AJ230" i="28"/>
  <c r="AJ229" i="28"/>
  <c r="AJ228" i="28"/>
  <c r="AJ227" i="28"/>
  <c r="AJ226" i="28"/>
  <c r="AJ225" i="28"/>
  <c r="AJ224" i="28"/>
  <c r="AJ223" i="28"/>
  <c r="AJ222" i="28"/>
  <c r="AJ221" i="28"/>
  <c r="AJ220" i="28"/>
  <c r="AJ219" i="28"/>
  <c r="AJ218" i="28"/>
  <c r="AJ217" i="28"/>
  <c r="AJ216" i="28"/>
  <c r="AJ215" i="28"/>
  <c r="AJ214" i="28"/>
  <c r="AJ213" i="28"/>
  <c r="AJ212" i="28"/>
  <c r="AJ211" i="28"/>
  <c r="AJ210" i="28"/>
  <c r="AJ209" i="28"/>
  <c r="AJ208" i="28"/>
  <c r="AJ207" i="28"/>
  <c r="AJ206" i="28"/>
  <c r="AJ205" i="28"/>
  <c r="AJ204" i="28"/>
  <c r="AJ203" i="28"/>
  <c r="AJ202" i="28"/>
  <c r="AJ201" i="28"/>
  <c r="AJ200" i="28"/>
  <c r="AJ199" i="28"/>
  <c r="AJ198" i="28"/>
  <c r="AJ197" i="28"/>
  <c r="AJ196" i="28"/>
  <c r="AJ195" i="28"/>
  <c r="AJ194" i="28"/>
  <c r="AJ193" i="28"/>
  <c r="AJ192" i="28"/>
  <c r="AJ191" i="28"/>
  <c r="AJ190" i="28"/>
  <c r="AJ189" i="28"/>
  <c r="AJ188" i="28"/>
  <c r="AJ187" i="28"/>
  <c r="AJ186" i="28"/>
  <c r="AJ185" i="28"/>
  <c r="AJ184" i="28"/>
  <c r="AJ183" i="28"/>
  <c r="AJ182" i="28"/>
  <c r="AJ181" i="28"/>
  <c r="AJ180" i="28"/>
  <c r="AJ179" i="28"/>
  <c r="AJ178" i="28"/>
  <c r="AJ177" i="28"/>
  <c r="AJ176" i="28"/>
  <c r="AJ175" i="28"/>
  <c r="AJ174" i="28"/>
  <c r="AJ173" i="28"/>
  <c r="AJ172" i="28"/>
  <c r="AJ171" i="28"/>
  <c r="AJ170" i="28"/>
  <c r="AJ169" i="28"/>
  <c r="AJ168" i="28"/>
  <c r="AJ167" i="28"/>
  <c r="AJ166" i="28"/>
  <c r="AJ165" i="28"/>
  <c r="AJ164" i="28"/>
  <c r="AJ163" i="28"/>
  <c r="AJ162" i="28"/>
  <c r="AJ161" i="28"/>
  <c r="AJ160" i="28"/>
  <c r="AJ159" i="28"/>
  <c r="AJ158" i="28"/>
  <c r="AJ157" i="28"/>
  <c r="AJ156" i="28"/>
  <c r="AJ155" i="28"/>
  <c r="AJ154" i="28"/>
  <c r="AJ153" i="28"/>
  <c r="AJ152" i="28"/>
  <c r="AJ151" i="28"/>
  <c r="AJ150" i="28"/>
  <c r="AJ149" i="28"/>
  <c r="AJ148" i="28"/>
  <c r="AJ147" i="28"/>
  <c r="AJ146" i="28"/>
  <c r="AJ145" i="28"/>
  <c r="AJ144" i="28"/>
  <c r="AJ143" i="28"/>
  <c r="AJ142" i="28"/>
  <c r="AJ141" i="28"/>
  <c r="AJ140" i="28"/>
  <c r="AJ139" i="28"/>
  <c r="AJ138" i="28"/>
  <c r="AJ137" i="28"/>
  <c r="AJ136" i="28"/>
  <c r="AJ135" i="28"/>
  <c r="AJ134" i="28"/>
  <c r="AJ133" i="28"/>
  <c r="AJ132" i="28"/>
  <c r="AJ131" i="28"/>
  <c r="AJ130" i="28"/>
  <c r="AJ129" i="28"/>
  <c r="AJ128" i="28"/>
  <c r="AJ127" i="28"/>
  <c r="AJ126" i="28"/>
  <c r="AJ125" i="28"/>
  <c r="AJ124" i="28"/>
  <c r="AJ123" i="28"/>
  <c r="AJ122" i="28"/>
  <c r="AJ121" i="28"/>
  <c r="AJ120" i="28"/>
  <c r="AJ119" i="28"/>
  <c r="AJ118" i="28"/>
  <c r="AJ117" i="28"/>
  <c r="AJ116" i="28"/>
  <c r="AJ115" i="28"/>
  <c r="AJ114" i="28"/>
  <c r="AJ113" i="28"/>
  <c r="AJ112" i="28"/>
  <c r="AJ111" i="28"/>
  <c r="AJ110" i="28"/>
  <c r="AJ109" i="28"/>
  <c r="AJ108" i="28"/>
  <c r="AJ107" i="28"/>
  <c r="AJ106" i="28"/>
  <c r="AJ105" i="28"/>
  <c r="AJ104" i="28"/>
  <c r="AJ103" i="28"/>
  <c r="AJ102" i="28"/>
  <c r="AJ99" i="28"/>
  <c r="AJ98" i="28"/>
  <c r="AJ100" i="28" s="1"/>
  <c r="AJ97" i="28"/>
  <c r="AJ95" i="28"/>
  <c r="AJ94" i="28"/>
  <c r="AJ93" i="28"/>
  <c r="AJ91" i="28"/>
  <c r="AJ90" i="28"/>
  <c r="AJ89" i="28"/>
  <c r="AJ87" i="28"/>
  <c r="AJ86" i="28"/>
  <c r="AJ85" i="28"/>
  <c r="AJ83" i="28"/>
  <c r="AJ82" i="28"/>
  <c r="AJ81" i="28"/>
  <c r="AJ76" i="28"/>
  <c r="AJ75" i="28"/>
  <c r="AJ68" i="28"/>
  <c r="AJ67" i="28"/>
  <c r="AJ66" i="28"/>
  <c r="AJ65" i="28"/>
  <c r="AJ64" i="28"/>
  <c r="AJ60" i="28"/>
  <c r="AJ59" i="28"/>
  <c r="AJ58" i="28"/>
  <c r="AJ55" i="28"/>
  <c r="AJ54" i="28"/>
  <c r="AJ53" i="28"/>
  <c r="AJ52" i="28"/>
  <c r="AJ51" i="28"/>
  <c r="AJ50" i="28"/>
  <c r="AJ47" i="28"/>
  <c r="AJ46" i="28"/>
  <c r="AJ45" i="28"/>
  <c r="AJ44" i="28"/>
  <c r="AJ43" i="28"/>
  <c r="AJ42" i="28"/>
  <c r="AJ40" i="28"/>
  <c r="AJ39" i="28"/>
  <c r="AJ36" i="28"/>
  <c r="AJ35" i="28"/>
  <c r="AJ34" i="28"/>
  <c r="AJ33" i="28"/>
  <c r="AJ32" i="28"/>
  <c r="AJ29" i="28"/>
  <c r="AJ28" i="28"/>
  <c r="AJ27" i="28"/>
  <c r="AJ26" i="28"/>
  <c r="AJ25" i="28"/>
  <c r="AJ24" i="28"/>
  <c r="AJ23" i="28"/>
  <c r="AJ21" i="28"/>
  <c r="AJ20" i="28"/>
  <c r="AJ19" i="28"/>
  <c r="AJ18" i="28"/>
  <c r="AJ17" i="28"/>
  <c r="AJ16" i="28"/>
  <c r="AJ15" i="28"/>
  <c r="AJ12" i="28"/>
  <c r="AJ11" i="28"/>
  <c r="AJ10" i="28"/>
  <c r="AJ9" i="28"/>
  <c r="AJ8" i="28"/>
  <c r="AF629" i="28"/>
  <c r="AF628" i="28"/>
  <c r="AF627" i="28"/>
  <c r="AF626" i="28"/>
  <c r="AF625" i="28"/>
  <c r="AF624" i="28"/>
  <c r="AF623" i="28"/>
  <c r="AF622" i="28"/>
  <c r="AF621" i="28"/>
  <c r="AF620" i="28"/>
  <c r="AF619" i="28"/>
  <c r="AF618" i="28"/>
  <c r="AF617" i="28"/>
  <c r="AF616" i="28"/>
  <c r="AF615" i="28"/>
  <c r="AF614" i="28"/>
  <c r="AF613" i="28"/>
  <c r="AF612" i="28"/>
  <c r="AF611" i="28"/>
  <c r="AF610" i="28"/>
  <c r="AF609" i="28"/>
  <c r="AF608" i="28"/>
  <c r="AF607" i="28"/>
  <c r="AF606" i="28"/>
  <c r="AF605" i="28"/>
  <c r="AF604" i="28"/>
  <c r="AF603" i="28"/>
  <c r="AF602" i="28"/>
  <c r="AF601" i="28"/>
  <c r="AF600" i="28"/>
  <c r="AF599" i="28"/>
  <c r="AF598" i="28"/>
  <c r="AF597" i="28"/>
  <c r="AF596" i="28"/>
  <c r="AF595" i="28"/>
  <c r="AF594" i="28"/>
  <c r="AF593" i="28"/>
  <c r="AF592" i="28"/>
  <c r="AF591" i="28"/>
  <c r="AF590" i="28"/>
  <c r="AF589" i="28"/>
  <c r="AF588" i="28"/>
  <c r="AF587" i="28"/>
  <c r="AF586" i="28"/>
  <c r="AF585" i="28"/>
  <c r="AF584" i="28"/>
  <c r="AF583" i="28"/>
  <c r="AF582" i="28"/>
  <c r="AF581" i="28"/>
  <c r="AF580" i="28"/>
  <c r="AF579" i="28"/>
  <c r="AF578" i="28"/>
  <c r="AF577" i="28"/>
  <c r="AF576" i="28"/>
  <c r="AF575" i="28"/>
  <c r="AF574" i="28"/>
  <c r="AF573" i="28"/>
  <c r="AF572" i="28"/>
  <c r="AF571" i="28"/>
  <c r="AF570" i="28"/>
  <c r="AF569" i="28"/>
  <c r="AF568" i="28"/>
  <c r="AF567" i="28"/>
  <c r="AF566" i="28"/>
  <c r="AF565" i="28"/>
  <c r="AF564" i="28"/>
  <c r="AF563" i="28"/>
  <c r="AF562" i="28"/>
  <c r="AF561" i="28"/>
  <c r="AF560" i="28"/>
  <c r="AF559" i="28"/>
  <c r="AF554" i="28"/>
  <c r="AF553" i="28"/>
  <c r="AF551" i="28"/>
  <c r="AF549" i="28"/>
  <c r="AF548" i="28"/>
  <c r="AF547" i="28"/>
  <c r="AF546" i="28"/>
  <c r="AF545" i="28"/>
  <c r="AF544" i="28"/>
  <c r="AF543" i="28"/>
  <c r="AF542" i="28"/>
  <c r="AF541" i="28"/>
  <c r="AF539" i="28"/>
  <c r="AF537" i="28"/>
  <c r="AF536" i="28"/>
  <c r="AF535" i="28"/>
  <c r="AF534" i="28"/>
  <c r="AF533" i="28"/>
  <c r="AF532" i="28"/>
  <c r="AF531" i="28"/>
  <c r="AF530" i="28"/>
  <c r="AF528" i="28"/>
  <c r="AF527" i="28"/>
  <c r="AF526" i="28"/>
  <c r="AF525" i="28"/>
  <c r="AF524" i="28"/>
  <c r="AF523" i="28"/>
  <c r="AF521" i="28"/>
  <c r="AF520" i="28"/>
  <c r="AF519" i="28"/>
  <c r="AF518" i="28"/>
  <c r="AF517" i="28"/>
  <c r="AF516" i="28"/>
  <c r="AF515" i="28"/>
  <c r="AF514" i="28"/>
  <c r="AF513" i="28"/>
  <c r="AF512" i="28"/>
  <c r="AF511" i="28"/>
  <c r="AF510" i="28"/>
  <c r="AF509" i="28"/>
  <c r="AF508" i="28"/>
  <c r="AF507" i="28"/>
  <c r="AF506" i="28"/>
  <c r="AF505" i="28"/>
  <c r="AF504" i="28"/>
  <c r="AF502" i="28"/>
  <c r="AF501" i="28"/>
  <c r="AF500" i="28"/>
  <c r="AF499" i="28"/>
  <c r="AF498" i="28"/>
  <c r="AF497" i="28"/>
  <c r="AF496" i="28"/>
  <c r="AF495" i="28"/>
  <c r="AF494" i="28"/>
  <c r="AF493" i="28"/>
  <c r="AF492" i="28"/>
  <c r="AF491" i="28"/>
  <c r="AF490" i="28"/>
  <c r="AF489" i="28"/>
  <c r="AF488" i="28"/>
  <c r="AF487" i="28"/>
  <c r="AF486" i="28"/>
  <c r="AF485" i="28"/>
  <c r="AF484" i="28"/>
  <c r="AF483" i="28"/>
  <c r="AF482" i="28"/>
  <c r="AF481" i="28"/>
  <c r="AF480" i="28"/>
  <c r="AF479" i="28"/>
  <c r="AF478" i="28"/>
  <c r="AF477" i="28"/>
  <c r="AF476" i="28"/>
  <c r="AF475" i="28"/>
  <c r="AF474" i="28"/>
  <c r="AF473" i="28"/>
  <c r="AF472" i="28"/>
  <c r="AF471" i="28"/>
  <c r="AF470" i="28"/>
  <c r="AF469" i="28"/>
  <c r="AF468" i="28"/>
  <c r="AF466" i="28"/>
  <c r="AF465" i="28"/>
  <c r="AF460" i="28"/>
  <c r="AF459" i="28"/>
  <c r="AF458" i="28"/>
  <c r="AF457" i="28"/>
  <c r="AF456" i="28"/>
  <c r="AF455" i="28"/>
  <c r="AF454" i="28"/>
  <c r="AF453" i="28"/>
  <c r="AF452" i="28"/>
  <c r="AF451" i="28"/>
  <c r="AF450" i="28"/>
  <c r="AF449" i="28"/>
  <c r="AF448" i="28"/>
  <c r="AF447" i="28"/>
  <c r="AF445" i="28"/>
  <c r="AF444" i="28"/>
  <c r="AF443" i="28"/>
  <c r="AF442" i="28"/>
  <c r="AF441" i="28"/>
  <c r="AF440" i="28"/>
  <c r="AF439" i="28"/>
  <c r="AF438" i="28"/>
  <c r="AF437" i="28"/>
  <c r="AF436" i="28"/>
  <c r="AF435" i="28"/>
  <c r="AF434" i="28"/>
  <c r="AF433" i="28"/>
  <c r="AF432" i="28"/>
  <c r="AF431" i="28"/>
  <c r="AF430" i="28"/>
  <c r="AF429" i="28"/>
  <c r="AF428" i="28"/>
  <c r="AF427" i="28"/>
  <c r="AF426" i="28"/>
  <c r="AF425" i="28"/>
  <c r="AF424" i="28"/>
  <c r="AF423" i="28"/>
  <c r="AF422" i="28"/>
  <c r="AF421" i="28"/>
  <c r="AF420" i="28"/>
  <c r="AF419" i="28"/>
  <c r="AF418" i="28"/>
  <c r="AF417" i="28"/>
  <c r="AF416" i="28"/>
  <c r="AF415" i="28"/>
  <c r="AF414" i="28"/>
  <c r="AF413" i="28"/>
  <c r="AF412" i="28"/>
  <c r="AF411" i="28"/>
  <c r="AF410" i="28"/>
  <c r="AF409" i="28"/>
  <c r="AF408" i="28"/>
  <c r="AF407" i="28"/>
  <c r="AF406" i="28"/>
  <c r="AF405" i="28"/>
  <c r="AF404" i="28"/>
  <c r="AF403" i="28"/>
  <c r="AF402" i="28"/>
  <c r="AF401" i="28"/>
  <c r="AF400" i="28"/>
  <c r="AF399" i="28"/>
  <c r="AF398" i="28"/>
  <c r="AF397" i="28"/>
  <c r="AF396" i="28"/>
  <c r="AF395" i="28"/>
  <c r="AF394" i="28"/>
  <c r="AF393" i="28"/>
  <c r="AF392" i="28"/>
  <c r="AF391" i="28"/>
  <c r="AF390" i="28"/>
  <c r="AF389" i="28"/>
  <c r="AF388" i="28"/>
  <c r="AF387" i="28"/>
  <c r="AF386" i="28"/>
  <c r="AF385" i="28"/>
  <c r="AF384" i="28"/>
  <c r="AF383" i="28"/>
  <c r="AF382" i="28"/>
  <c r="AF381" i="28"/>
  <c r="AF380" i="28"/>
  <c r="AF379" i="28"/>
  <c r="AF378" i="28"/>
  <c r="AF377" i="28"/>
  <c r="AF376" i="28"/>
  <c r="AF375" i="28"/>
  <c r="AF374" i="28"/>
  <c r="AF373" i="28"/>
  <c r="AF372" i="28"/>
  <c r="AF371" i="28"/>
  <c r="AF370" i="28"/>
  <c r="AF369" i="28"/>
  <c r="AF368" i="28"/>
  <c r="AF367" i="28"/>
  <c r="AF366" i="28"/>
  <c r="AF365" i="28"/>
  <c r="AF364" i="28"/>
  <c r="AF363" i="28"/>
  <c r="AF362" i="28"/>
  <c r="AF361" i="28"/>
  <c r="AF360" i="28"/>
  <c r="AF359" i="28"/>
  <c r="AF358" i="28"/>
  <c r="AF357" i="28"/>
  <c r="AF356" i="28"/>
  <c r="AF355" i="28"/>
  <c r="AF354" i="28"/>
  <c r="AF353" i="28"/>
  <c r="AF352" i="28"/>
  <c r="AF351" i="28"/>
  <c r="AF350" i="28"/>
  <c r="AF349" i="28"/>
  <c r="AF348" i="28"/>
  <c r="AF347" i="28"/>
  <c r="AF346" i="28"/>
  <c r="AF345" i="28"/>
  <c r="AF344" i="28"/>
  <c r="AF343" i="28"/>
  <c r="AF342" i="28"/>
  <c r="AF341" i="28"/>
  <c r="AF340" i="28"/>
  <c r="AF339" i="28"/>
  <c r="AF338" i="28"/>
  <c r="AF337" i="28"/>
  <c r="AF336" i="28"/>
  <c r="AF333" i="28"/>
  <c r="AF332" i="28"/>
  <c r="AF331" i="28"/>
  <c r="AF330" i="28"/>
  <c r="AF329" i="28"/>
  <c r="AF328" i="28"/>
  <c r="AF327" i="28"/>
  <c r="AF326" i="28"/>
  <c r="AF325" i="28"/>
  <c r="AF324" i="28"/>
  <c r="AF323" i="28"/>
  <c r="AF322" i="28"/>
  <c r="AF321" i="28"/>
  <c r="AF320" i="28"/>
  <c r="AF319" i="28"/>
  <c r="AF318" i="28"/>
  <c r="AF317" i="28"/>
  <c r="AF316" i="28"/>
  <c r="AF315" i="28"/>
  <c r="AF314" i="28"/>
  <c r="AF313" i="28"/>
  <c r="AF312" i="28"/>
  <c r="AF311" i="28"/>
  <c r="AF310" i="28"/>
  <c r="AF309" i="28"/>
  <c r="AF308" i="28"/>
  <c r="AF307" i="28"/>
  <c r="AF306" i="28"/>
  <c r="AF305" i="28"/>
  <c r="AF304" i="28"/>
  <c r="AF303" i="28"/>
  <c r="AF302" i="28"/>
  <c r="AF301" i="28"/>
  <c r="AF300" i="28"/>
  <c r="AF299" i="28"/>
  <c r="AF298" i="28"/>
  <c r="AF297" i="28"/>
  <c r="AF296" i="28"/>
  <c r="AF295" i="28"/>
  <c r="AF294" i="28"/>
  <c r="AF293" i="28"/>
  <c r="AF292" i="28"/>
  <c r="AF291" i="28"/>
  <c r="AF290" i="28"/>
  <c r="AF289" i="28"/>
  <c r="AF288" i="28"/>
  <c r="AF287" i="28"/>
  <c r="AF284" i="28"/>
  <c r="AF283" i="28"/>
  <c r="AF281" i="28"/>
  <c r="AF279" i="28"/>
  <c r="AF277" i="28"/>
  <c r="AF275" i="28"/>
  <c r="AF273" i="28"/>
  <c r="AF271" i="28"/>
  <c r="AF269" i="28"/>
  <c r="AF267" i="28"/>
  <c r="AF265" i="28"/>
  <c r="AF263" i="28"/>
  <c r="AF260" i="28"/>
  <c r="AF259" i="28"/>
  <c r="AF258" i="28"/>
  <c r="AF257" i="28"/>
  <c r="AF256" i="28"/>
  <c r="AF255" i="28"/>
  <c r="AF254" i="28"/>
  <c r="AF253" i="28"/>
  <c r="AF252" i="28"/>
  <c r="AF251" i="28"/>
  <c r="AF250" i="28"/>
  <c r="AF249" i="28"/>
  <c r="AF248" i="28"/>
  <c r="AF247" i="28"/>
  <c r="AF246" i="28"/>
  <c r="AF245" i="28"/>
  <c r="AF244" i="28"/>
  <c r="AF243" i="28"/>
  <c r="AF242" i="28"/>
  <c r="AF241" i="28"/>
  <c r="AF240" i="28"/>
  <c r="AF239" i="28"/>
  <c r="AF238" i="28"/>
  <c r="AF237" i="28"/>
  <c r="AF236" i="28"/>
  <c r="AF235" i="28"/>
  <c r="AF234" i="28"/>
  <c r="AF233" i="28"/>
  <c r="AF232" i="28"/>
  <c r="AF231" i="28"/>
  <c r="AF230" i="28"/>
  <c r="AF229" i="28"/>
  <c r="AF228" i="28"/>
  <c r="AF227" i="28"/>
  <c r="AF226" i="28"/>
  <c r="AF225" i="28"/>
  <c r="AF224" i="28"/>
  <c r="AF223" i="28"/>
  <c r="AF222" i="28"/>
  <c r="AF221" i="28"/>
  <c r="AF220" i="28"/>
  <c r="AF219" i="28"/>
  <c r="AF218" i="28"/>
  <c r="AF217" i="28"/>
  <c r="AF216" i="28"/>
  <c r="AF215" i="28"/>
  <c r="AF214" i="28"/>
  <c r="AF213" i="28"/>
  <c r="AF212" i="28"/>
  <c r="AF211" i="28"/>
  <c r="AF210" i="28"/>
  <c r="AF209" i="28"/>
  <c r="AF208" i="28"/>
  <c r="AF207" i="28"/>
  <c r="AF206" i="28"/>
  <c r="AF205" i="28"/>
  <c r="AF204" i="28"/>
  <c r="AF203" i="28"/>
  <c r="AF202" i="28"/>
  <c r="AF201" i="28"/>
  <c r="AF200" i="28"/>
  <c r="AF199" i="28"/>
  <c r="AF198" i="28"/>
  <c r="AF197" i="28"/>
  <c r="AF196" i="28"/>
  <c r="AF195" i="28"/>
  <c r="AF194" i="28"/>
  <c r="AF193" i="28"/>
  <c r="AF192" i="28"/>
  <c r="AF191" i="28"/>
  <c r="AF190" i="28"/>
  <c r="AF189" i="28"/>
  <c r="AF188" i="28"/>
  <c r="AF187" i="28"/>
  <c r="AF186" i="28"/>
  <c r="AF185" i="28"/>
  <c r="AF184" i="28"/>
  <c r="AF183" i="28"/>
  <c r="AF182" i="28"/>
  <c r="AF181" i="28"/>
  <c r="AF180" i="28"/>
  <c r="AF179" i="28"/>
  <c r="AF178" i="28"/>
  <c r="AF177" i="28"/>
  <c r="AF176" i="28"/>
  <c r="AF175" i="28"/>
  <c r="AF174" i="28"/>
  <c r="AF173" i="28"/>
  <c r="AF172" i="28"/>
  <c r="AF171" i="28"/>
  <c r="AF170" i="28"/>
  <c r="AF169" i="28"/>
  <c r="AF168" i="28"/>
  <c r="AF167" i="28"/>
  <c r="AF166" i="28"/>
  <c r="AF165" i="28"/>
  <c r="AF164" i="28"/>
  <c r="AF163" i="28"/>
  <c r="AF162" i="28"/>
  <c r="AF161" i="28"/>
  <c r="AF160" i="28"/>
  <c r="AF159" i="28"/>
  <c r="AF158" i="28"/>
  <c r="AF157" i="28"/>
  <c r="AF156" i="28"/>
  <c r="AF155" i="28"/>
  <c r="AF154" i="28"/>
  <c r="AF153" i="28"/>
  <c r="AF152" i="28"/>
  <c r="AF151" i="28"/>
  <c r="AF150" i="28"/>
  <c r="AF149" i="28"/>
  <c r="AF148" i="28"/>
  <c r="AF147" i="28"/>
  <c r="AF146" i="28"/>
  <c r="AF145" i="28"/>
  <c r="AF144" i="28"/>
  <c r="AF143" i="28"/>
  <c r="AF142" i="28"/>
  <c r="AF141" i="28"/>
  <c r="AF140" i="28"/>
  <c r="AF139" i="28"/>
  <c r="AF138" i="28"/>
  <c r="AF137" i="28"/>
  <c r="AF136" i="28"/>
  <c r="AF135" i="28"/>
  <c r="AF134" i="28"/>
  <c r="AF133" i="28"/>
  <c r="AF132" i="28"/>
  <c r="AF131" i="28"/>
  <c r="AF130" i="28"/>
  <c r="AF129" i="28"/>
  <c r="AF128" i="28"/>
  <c r="AF127" i="28"/>
  <c r="AF126" i="28"/>
  <c r="AF125" i="28"/>
  <c r="AF124" i="28"/>
  <c r="AF123" i="28"/>
  <c r="AF122" i="28"/>
  <c r="AF121" i="28"/>
  <c r="AF120" i="28"/>
  <c r="AF119" i="28"/>
  <c r="AF118" i="28"/>
  <c r="AF117" i="28"/>
  <c r="AF116" i="28"/>
  <c r="AF115" i="28"/>
  <c r="AF114" i="28"/>
  <c r="AF113" i="28"/>
  <c r="AF112" i="28"/>
  <c r="AF111" i="28"/>
  <c r="AF110" i="28"/>
  <c r="AF109" i="28"/>
  <c r="AF108" i="28"/>
  <c r="AF107" i="28"/>
  <c r="AF106" i="28"/>
  <c r="AF105" i="28"/>
  <c r="AF104" i="28"/>
  <c r="AF103" i="28"/>
  <c r="AF102" i="28"/>
  <c r="AF99" i="28"/>
  <c r="AF98" i="28"/>
  <c r="AF100" i="28" s="1"/>
  <c r="AF97" i="28"/>
  <c r="AF95" i="28"/>
  <c r="AF94" i="28"/>
  <c r="AF93" i="28"/>
  <c r="AF91" i="28"/>
  <c r="AF90" i="28"/>
  <c r="AF89" i="28"/>
  <c r="AF87" i="28"/>
  <c r="AF86" i="28"/>
  <c r="AF85" i="28"/>
  <c r="AF83" i="28"/>
  <c r="AF82" i="28"/>
  <c r="AF81" i="28"/>
  <c r="AF76" i="28"/>
  <c r="AF75" i="28"/>
  <c r="AF68" i="28"/>
  <c r="AF67" i="28"/>
  <c r="AF66" i="28"/>
  <c r="AF65" i="28"/>
  <c r="AF64" i="28"/>
  <c r="AF60" i="28"/>
  <c r="AF59" i="28"/>
  <c r="AF58" i="28"/>
  <c r="AF55" i="28"/>
  <c r="AF54" i="28"/>
  <c r="AF53" i="28"/>
  <c r="AF52" i="28"/>
  <c r="AF51" i="28"/>
  <c r="AF50" i="28"/>
  <c r="AF47" i="28"/>
  <c r="AF46" i="28"/>
  <c r="AF45" i="28"/>
  <c r="AF44" i="28"/>
  <c r="AF43" i="28"/>
  <c r="AF42" i="28"/>
  <c r="AF40" i="28"/>
  <c r="AF39" i="28"/>
  <c r="AF36" i="28"/>
  <c r="AF35" i="28"/>
  <c r="AF34" i="28"/>
  <c r="AF33" i="28"/>
  <c r="AF32" i="28"/>
  <c r="AF29" i="28"/>
  <c r="AF28" i="28"/>
  <c r="AF27" i="28"/>
  <c r="AF26" i="28"/>
  <c r="AF25" i="28"/>
  <c r="AF24" i="28"/>
  <c r="AF23" i="28"/>
  <c r="AF21" i="28"/>
  <c r="AF20" i="28"/>
  <c r="AF19" i="28"/>
  <c r="AF18" i="28"/>
  <c r="AF17" i="28"/>
  <c r="AF16" i="28"/>
  <c r="AF15" i="28"/>
  <c r="AF12" i="28"/>
  <c r="AF11" i="28"/>
  <c r="AF10" i="28"/>
  <c r="AF9" i="28"/>
  <c r="AF8" i="28"/>
  <c r="AB100" i="28"/>
  <c r="AB7" i="28"/>
  <c r="AB629" i="28"/>
  <c r="AB628" i="28"/>
  <c r="AB627" i="28"/>
  <c r="AB626" i="28"/>
  <c r="AB625" i="28"/>
  <c r="AB624" i="28"/>
  <c r="AB623" i="28"/>
  <c r="AB622" i="28"/>
  <c r="AB621" i="28"/>
  <c r="AB620" i="28"/>
  <c r="AB619" i="28"/>
  <c r="AB618" i="28"/>
  <c r="AB617" i="28"/>
  <c r="AB616" i="28"/>
  <c r="AB615" i="28"/>
  <c r="AB614" i="28"/>
  <c r="AB613" i="28"/>
  <c r="AB612" i="28"/>
  <c r="AB611" i="28"/>
  <c r="AB610" i="28"/>
  <c r="AB609" i="28"/>
  <c r="AB608" i="28"/>
  <c r="AB607" i="28"/>
  <c r="AB606" i="28"/>
  <c r="AB605" i="28"/>
  <c r="AB604" i="28"/>
  <c r="AB603" i="28"/>
  <c r="AB602" i="28"/>
  <c r="AB601" i="28"/>
  <c r="AB600" i="28"/>
  <c r="AB599" i="28"/>
  <c r="AB598" i="28"/>
  <c r="AB597" i="28"/>
  <c r="AB596" i="28"/>
  <c r="AB595" i="28"/>
  <c r="AB594" i="28"/>
  <c r="AB593" i="28"/>
  <c r="AB592" i="28"/>
  <c r="AB591" i="28"/>
  <c r="AB590" i="28"/>
  <c r="AB589" i="28"/>
  <c r="AB588" i="28"/>
  <c r="AB587" i="28"/>
  <c r="AB586" i="28"/>
  <c r="AB585" i="28"/>
  <c r="AB584" i="28"/>
  <c r="AB583" i="28"/>
  <c r="AB582" i="28"/>
  <c r="AB581" i="28"/>
  <c r="AB580" i="28"/>
  <c r="AB579" i="28"/>
  <c r="AB578" i="28"/>
  <c r="AB577" i="28"/>
  <c r="AB576" i="28"/>
  <c r="AB575" i="28"/>
  <c r="AB574" i="28"/>
  <c r="AB573" i="28"/>
  <c r="AB572" i="28"/>
  <c r="AB571" i="28"/>
  <c r="AB570" i="28"/>
  <c r="AB569" i="28"/>
  <c r="AB568" i="28"/>
  <c r="AB567" i="28"/>
  <c r="AB566" i="28"/>
  <c r="AB565" i="28"/>
  <c r="AB564" i="28"/>
  <c r="AB563" i="28"/>
  <c r="AB562" i="28"/>
  <c r="AB561" i="28"/>
  <c r="AB560" i="28"/>
  <c r="AB559" i="28"/>
  <c r="AB554" i="28"/>
  <c r="AB553" i="28"/>
  <c r="AB551" i="28"/>
  <c r="AB549" i="28"/>
  <c r="AB548" i="28"/>
  <c r="AB547" i="28"/>
  <c r="AB546" i="28"/>
  <c r="AB545" i="28"/>
  <c r="AB544" i="28"/>
  <c r="AB543" i="28"/>
  <c r="AB542" i="28"/>
  <c r="AB541" i="28"/>
  <c r="AB539" i="28"/>
  <c r="AB537" i="28"/>
  <c r="AB536" i="28"/>
  <c r="AB535" i="28"/>
  <c r="AB534" i="28"/>
  <c r="AB533" i="28"/>
  <c r="AB532" i="28"/>
  <c r="AB531" i="28"/>
  <c r="AB530" i="28"/>
  <c r="AB528" i="28"/>
  <c r="AB527" i="28"/>
  <c r="AB526" i="28"/>
  <c r="AB525" i="28"/>
  <c r="AB524" i="28"/>
  <c r="AB523" i="28"/>
  <c r="AB521" i="28"/>
  <c r="AB520" i="28"/>
  <c r="AB519" i="28"/>
  <c r="AB518" i="28"/>
  <c r="AB517" i="28"/>
  <c r="AB516" i="28"/>
  <c r="AB515" i="28"/>
  <c r="AB514" i="28"/>
  <c r="AB513" i="28"/>
  <c r="AB512" i="28"/>
  <c r="AB511" i="28"/>
  <c r="AB510" i="28"/>
  <c r="AB509" i="28"/>
  <c r="AB508" i="28"/>
  <c r="AB507" i="28"/>
  <c r="AB506" i="28"/>
  <c r="AB505" i="28"/>
  <c r="AB504" i="28"/>
  <c r="AB502" i="28"/>
  <c r="AB501" i="28"/>
  <c r="AB500" i="28"/>
  <c r="AB499" i="28"/>
  <c r="AB498" i="28"/>
  <c r="AB497" i="28"/>
  <c r="AB496" i="28"/>
  <c r="AB495" i="28"/>
  <c r="AB494" i="28"/>
  <c r="AB493" i="28"/>
  <c r="AB492" i="28"/>
  <c r="AB491" i="28"/>
  <c r="AB490" i="28"/>
  <c r="AB489" i="28"/>
  <c r="AB488" i="28"/>
  <c r="AB487" i="28"/>
  <c r="AB486" i="28"/>
  <c r="AB485" i="28"/>
  <c r="AB484" i="28"/>
  <c r="AB483" i="28"/>
  <c r="AB482" i="28"/>
  <c r="AB481" i="28"/>
  <c r="AB480" i="28"/>
  <c r="AB479" i="28"/>
  <c r="AB478" i="28"/>
  <c r="AB477" i="28"/>
  <c r="AB476" i="28"/>
  <c r="AB475" i="28"/>
  <c r="AB474" i="28"/>
  <c r="AB473" i="28"/>
  <c r="AB472" i="28"/>
  <c r="AB471" i="28"/>
  <c r="AB470" i="28"/>
  <c r="AB469" i="28"/>
  <c r="AB468" i="28"/>
  <c r="AB466" i="28"/>
  <c r="AB465" i="28"/>
  <c r="AB460" i="28"/>
  <c r="AB459" i="28"/>
  <c r="AB458" i="28"/>
  <c r="AB457" i="28"/>
  <c r="AB456" i="28"/>
  <c r="AB455" i="28"/>
  <c r="AB454" i="28"/>
  <c r="AB453" i="28"/>
  <c r="AB452" i="28"/>
  <c r="AB451" i="28"/>
  <c r="AB450" i="28"/>
  <c r="AB449" i="28"/>
  <c r="AB448" i="28"/>
  <c r="AB447" i="28"/>
  <c r="AB445" i="28"/>
  <c r="AB444" i="28"/>
  <c r="AB443" i="28"/>
  <c r="AB442" i="28"/>
  <c r="AB441" i="28"/>
  <c r="AB440" i="28"/>
  <c r="AB439" i="28"/>
  <c r="AB438" i="28"/>
  <c r="AB437" i="28"/>
  <c r="AB436" i="28"/>
  <c r="AB435" i="28"/>
  <c r="AB434" i="28"/>
  <c r="AB433" i="28"/>
  <c r="AB432" i="28"/>
  <c r="AB431" i="28"/>
  <c r="AB430" i="28"/>
  <c r="AB429" i="28"/>
  <c r="AB428" i="28"/>
  <c r="AB427" i="28"/>
  <c r="AB426" i="28"/>
  <c r="AB425" i="28"/>
  <c r="AB424" i="28"/>
  <c r="AB423" i="28"/>
  <c r="AB422" i="28"/>
  <c r="AB421" i="28"/>
  <c r="AB420" i="28"/>
  <c r="AB419" i="28"/>
  <c r="AB418" i="28"/>
  <c r="AB417" i="28"/>
  <c r="AB416" i="28"/>
  <c r="AB415" i="28"/>
  <c r="AB414" i="28"/>
  <c r="AB413" i="28"/>
  <c r="AB412" i="28"/>
  <c r="AB411" i="28"/>
  <c r="AB410" i="28"/>
  <c r="AB409" i="28"/>
  <c r="AB408" i="28"/>
  <c r="AB407" i="28"/>
  <c r="AB406" i="28"/>
  <c r="AB405" i="28"/>
  <c r="AB404" i="28"/>
  <c r="AB403" i="28"/>
  <c r="AB402" i="28"/>
  <c r="AB401" i="28"/>
  <c r="AB400" i="28"/>
  <c r="AB399" i="28"/>
  <c r="AB398" i="28"/>
  <c r="AB397" i="28"/>
  <c r="AB396" i="28"/>
  <c r="AB395" i="28"/>
  <c r="AB394" i="28"/>
  <c r="AB393" i="28"/>
  <c r="AB392" i="28"/>
  <c r="AB391" i="28"/>
  <c r="AB390" i="28"/>
  <c r="AB389" i="28"/>
  <c r="AB388" i="28"/>
  <c r="AB387" i="28"/>
  <c r="AB386" i="28"/>
  <c r="AB385" i="28"/>
  <c r="AB384" i="28"/>
  <c r="AB383" i="28"/>
  <c r="AB382" i="28"/>
  <c r="AB381" i="28"/>
  <c r="AB380" i="28"/>
  <c r="AB379" i="28"/>
  <c r="AB378" i="28"/>
  <c r="AB377" i="28"/>
  <c r="AB376" i="28"/>
  <c r="AB375" i="28"/>
  <c r="AB374" i="28"/>
  <c r="AB373" i="28"/>
  <c r="AB372" i="28"/>
  <c r="AB371" i="28"/>
  <c r="AB370" i="28"/>
  <c r="AB369" i="28"/>
  <c r="AB368" i="28"/>
  <c r="AB367" i="28"/>
  <c r="AB366" i="28"/>
  <c r="AB365" i="28"/>
  <c r="AB364" i="28"/>
  <c r="AB363" i="28"/>
  <c r="AB362" i="28"/>
  <c r="AB361" i="28"/>
  <c r="AB360" i="28"/>
  <c r="AB359" i="28"/>
  <c r="AB358" i="28"/>
  <c r="AB357" i="28"/>
  <c r="AB356" i="28"/>
  <c r="AB355" i="28"/>
  <c r="AB354" i="28"/>
  <c r="AB353" i="28"/>
  <c r="AB352" i="28"/>
  <c r="AB351" i="28"/>
  <c r="AB350" i="28"/>
  <c r="AB349" i="28"/>
  <c r="AB348" i="28"/>
  <c r="AB347" i="28"/>
  <c r="AB346" i="28"/>
  <c r="AB345" i="28"/>
  <c r="AB344" i="28"/>
  <c r="AB343" i="28"/>
  <c r="AB342" i="28"/>
  <c r="AB341" i="28"/>
  <c r="AB340" i="28"/>
  <c r="AB339" i="28"/>
  <c r="AB338" i="28"/>
  <c r="AB337" i="28"/>
  <c r="AB336" i="28"/>
  <c r="AB333" i="28"/>
  <c r="AB332" i="28"/>
  <c r="AB331" i="28"/>
  <c r="AB330" i="28"/>
  <c r="AB329" i="28"/>
  <c r="AB328" i="28"/>
  <c r="AB327" i="28"/>
  <c r="AB326" i="28"/>
  <c r="AB325" i="28"/>
  <c r="AB324" i="28"/>
  <c r="AB323" i="28"/>
  <c r="AB322" i="28"/>
  <c r="AB321" i="28"/>
  <c r="AB320" i="28"/>
  <c r="AB319" i="28"/>
  <c r="AB318" i="28"/>
  <c r="AB317" i="28"/>
  <c r="AB316" i="28"/>
  <c r="AB315" i="28"/>
  <c r="AB314" i="28"/>
  <c r="AB313" i="28"/>
  <c r="AB312" i="28"/>
  <c r="AB311" i="28"/>
  <c r="AB310" i="28"/>
  <c r="AB309" i="28"/>
  <c r="AB308" i="28"/>
  <c r="AB307" i="28"/>
  <c r="AB306" i="28"/>
  <c r="AB305" i="28"/>
  <c r="AB304" i="28"/>
  <c r="AB303" i="28"/>
  <c r="AB302" i="28"/>
  <c r="AB301" i="28"/>
  <c r="AB300" i="28"/>
  <c r="AB299" i="28"/>
  <c r="AB298" i="28"/>
  <c r="AB297" i="28"/>
  <c r="AB296" i="28"/>
  <c r="AB295" i="28"/>
  <c r="AB294" i="28"/>
  <c r="AB293" i="28"/>
  <c r="AB292" i="28"/>
  <c r="AB291" i="28"/>
  <c r="AB290" i="28"/>
  <c r="AB289" i="28"/>
  <c r="AB288" i="28"/>
  <c r="AB287" i="28"/>
  <c r="AB284" i="28"/>
  <c r="AB283" i="28"/>
  <c r="AB281" i="28"/>
  <c r="AB279" i="28"/>
  <c r="AB277" i="28"/>
  <c r="AB275" i="28"/>
  <c r="AB273" i="28"/>
  <c r="AB271" i="28"/>
  <c r="AB269" i="28"/>
  <c r="AB267" i="28"/>
  <c r="AB265" i="28"/>
  <c r="AB263" i="28"/>
  <c r="AB260" i="28"/>
  <c r="AB259" i="28"/>
  <c r="AB258" i="28"/>
  <c r="AB257" i="28"/>
  <c r="AB256" i="28"/>
  <c r="AB255" i="28"/>
  <c r="AB254" i="28"/>
  <c r="AB253" i="28"/>
  <c r="AB252" i="28"/>
  <c r="AB251" i="28"/>
  <c r="AB250" i="28"/>
  <c r="AB249" i="28"/>
  <c r="AB248" i="28"/>
  <c r="AB247" i="28"/>
  <c r="AB246" i="28"/>
  <c r="AB245" i="28"/>
  <c r="AB244" i="28"/>
  <c r="AB243" i="28"/>
  <c r="AB242" i="28"/>
  <c r="AB241" i="28"/>
  <c r="AB240" i="28"/>
  <c r="AB239" i="28"/>
  <c r="AB238" i="28"/>
  <c r="AB237" i="28"/>
  <c r="AB236" i="28"/>
  <c r="AB235" i="28"/>
  <c r="AB234" i="28"/>
  <c r="AB233" i="28"/>
  <c r="AB232" i="28"/>
  <c r="AB231" i="28"/>
  <c r="AB230" i="28"/>
  <c r="AB229" i="28"/>
  <c r="AB228" i="28"/>
  <c r="AB227" i="28"/>
  <c r="AB226" i="28"/>
  <c r="AB225" i="28"/>
  <c r="AB224" i="28"/>
  <c r="AB223" i="28"/>
  <c r="AB222" i="28"/>
  <c r="AB221" i="28"/>
  <c r="AB220" i="28"/>
  <c r="AB219" i="28"/>
  <c r="AB218" i="28"/>
  <c r="AB217" i="28"/>
  <c r="AB216" i="28"/>
  <c r="AB215" i="28"/>
  <c r="AB214" i="28"/>
  <c r="AB213" i="28"/>
  <c r="AB212" i="28"/>
  <c r="AB211" i="28"/>
  <c r="AB210" i="28"/>
  <c r="AB209" i="28"/>
  <c r="AB208" i="28"/>
  <c r="AB207" i="28"/>
  <c r="AB206" i="28"/>
  <c r="AB205" i="28"/>
  <c r="AB204" i="28"/>
  <c r="AB203" i="28"/>
  <c r="AB202" i="28"/>
  <c r="AB201" i="28"/>
  <c r="AB200" i="28"/>
  <c r="AB199" i="28"/>
  <c r="AB198" i="28"/>
  <c r="AB197" i="28"/>
  <c r="AB196" i="28"/>
  <c r="AB195" i="28"/>
  <c r="AB194" i="28"/>
  <c r="AB193" i="28"/>
  <c r="AB192" i="28"/>
  <c r="AB191" i="28"/>
  <c r="AB190" i="28"/>
  <c r="AB189" i="28"/>
  <c r="AB188" i="28"/>
  <c r="AB187" i="28"/>
  <c r="AB186" i="28"/>
  <c r="AB185" i="28"/>
  <c r="AB184" i="28"/>
  <c r="AB183" i="28"/>
  <c r="AB182" i="28"/>
  <c r="AB181" i="28"/>
  <c r="AB180" i="28"/>
  <c r="AB179" i="28"/>
  <c r="AB178" i="28"/>
  <c r="AB177" i="28"/>
  <c r="AB176" i="28"/>
  <c r="AB175" i="28"/>
  <c r="AB174" i="28"/>
  <c r="AB173" i="28"/>
  <c r="AB172" i="28"/>
  <c r="AB171" i="28"/>
  <c r="AB170" i="28"/>
  <c r="AB169" i="28"/>
  <c r="AB168" i="28"/>
  <c r="AB167" i="28"/>
  <c r="AB166" i="28"/>
  <c r="AB165" i="28"/>
  <c r="AB164" i="28"/>
  <c r="AB163" i="28"/>
  <c r="AB162" i="28"/>
  <c r="AB161" i="28"/>
  <c r="AB160" i="28"/>
  <c r="AB159" i="28"/>
  <c r="AB158" i="28"/>
  <c r="AB157" i="28"/>
  <c r="AB156" i="28"/>
  <c r="AB155" i="28"/>
  <c r="AB154" i="28"/>
  <c r="AB153" i="28"/>
  <c r="AB152" i="28"/>
  <c r="AB151" i="28"/>
  <c r="AB150" i="28"/>
  <c r="AB149" i="28"/>
  <c r="AB148" i="28"/>
  <c r="AB147" i="28"/>
  <c r="AB146" i="28"/>
  <c r="AB145" i="28"/>
  <c r="AB144" i="28"/>
  <c r="AB143" i="28"/>
  <c r="AB142" i="28"/>
  <c r="AB141" i="28"/>
  <c r="AB140" i="28"/>
  <c r="AB139" i="28"/>
  <c r="AB138" i="28"/>
  <c r="AB137" i="28"/>
  <c r="AB136" i="28"/>
  <c r="AB135" i="28"/>
  <c r="AB134" i="28"/>
  <c r="AB133" i="28"/>
  <c r="AB132" i="28"/>
  <c r="AB131" i="28"/>
  <c r="AB130" i="28"/>
  <c r="AB129" i="28"/>
  <c r="AB128" i="28"/>
  <c r="AB127" i="28"/>
  <c r="AB126" i="28"/>
  <c r="AB125" i="28"/>
  <c r="AB124" i="28"/>
  <c r="AB123" i="28"/>
  <c r="AB122" i="28"/>
  <c r="AB121" i="28"/>
  <c r="AB120" i="28"/>
  <c r="AB119" i="28"/>
  <c r="AB118" i="28"/>
  <c r="AB117" i="28"/>
  <c r="AB116" i="28"/>
  <c r="AB115" i="28"/>
  <c r="AB114" i="28"/>
  <c r="AB113" i="28"/>
  <c r="AB112" i="28"/>
  <c r="AB111" i="28"/>
  <c r="AB110" i="28"/>
  <c r="AB109" i="28"/>
  <c r="AB108" i="28"/>
  <c r="AB107" i="28"/>
  <c r="AB106" i="28"/>
  <c r="AB105" i="28"/>
  <c r="AB104" i="28"/>
  <c r="AB103" i="28"/>
  <c r="AB102" i="28"/>
  <c r="AB99" i="28"/>
  <c r="AB98" i="28"/>
  <c r="AB97" i="28"/>
  <c r="AB95" i="28"/>
  <c r="AB94" i="28"/>
  <c r="AB93" i="28"/>
  <c r="AB91" i="28"/>
  <c r="AB90" i="28"/>
  <c r="AB89" i="28"/>
  <c r="AB87" i="28"/>
  <c r="AB86" i="28"/>
  <c r="AB85" i="28"/>
  <c r="AB83" i="28"/>
  <c r="AB82" i="28"/>
  <c r="AB81" i="28"/>
  <c r="AB76" i="28"/>
  <c r="AB75" i="28"/>
  <c r="AB68" i="28"/>
  <c r="AB67" i="28"/>
  <c r="AB66" i="28"/>
  <c r="AB65" i="28"/>
  <c r="AB64" i="28"/>
  <c r="AB60" i="28"/>
  <c r="AB59" i="28"/>
  <c r="AB58" i="28"/>
  <c r="AB55" i="28"/>
  <c r="AB54" i="28"/>
  <c r="AB53" i="28"/>
  <c r="AB52" i="28"/>
  <c r="AB51" i="28"/>
  <c r="AB50" i="28"/>
  <c r="AB47" i="28"/>
  <c r="AB46" i="28"/>
  <c r="AB45" i="28"/>
  <c r="AB44" i="28"/>
  <c r="AB43" i="28"/>
  <c r="AB42" i="28"/>
  <c r="AB40" i="28"/>
  <c r="AB39" i="28"/>
  <c r="AB36" i="28"/>
  <c r="AB35" i="28"/>
  <c r="AB34" i="28"/>
  <c r="AB33" i="28"/>
  <c r="AB32" i="28"/>
  <c r="AB29" i="28"/>
  <c r="AB28" i="28"/>
  <c r="AB27" i="28"/>
  <c r="AB26" i="28"/>
  <c r="AB25" i="28"/>
  <c r="AB24" i="28"/>
  <c r="AB23" i="28"/>
  <c r="AB21" i="28"/>
  <c r="AB20" i="28"/>
  <c r="AB19" i="28"/>
  <c r="AB18" i="28"/>
  <c r="AB17" i="28"/>
  <c r="AB16" i="28"/>
  <c r="AB15" i="28"/>
  <c r="AB12" i="28"/>
  <c r="AB11" i="28"/>
  <c r="AB10" i="28"/>
  <c r="AB9" i="28"/>
  <c r="AB8" i="28"/>
  <c r="Z526" i="28"/>
  <c r="Z527" i="28"/>
  <c r="Z528" i="28"/>
  <c r="Z529" i="28"/>
  <c r="Z530" i="28"/>
  <c r="Z531" i="28"/>
  <c r="Z532" i="28"/>
  <c r="Z533" i="28"/>
  <c r="Z534" i="28"/>
  <c r="Z535" i="28"/>
  <c r="Z536" i="28"/>
  <c r="Z537" i="28"/>
  <c r="Z538" i="28"/>
  <c r="Z539" i="28"/>
  <c r="Z540" i="28"/>
  <c r="Z541" i="28"/>
  <c r="Z542" i="28"/>
  <c r="Z543" i="28"/>
  <c r="Z544" i="28"/>
  <c r="Z545" i="28"/>
  <c r="Z546" i="28"/>
  <c r="Z547" i="28"/>
  <c r="Z548" i="28"/>
  <c r="Z549" i="28"/>
  <c r="Z550" i="28"/>
  <c r="Z551" i="28"/>
  <c r="Z552" i="28"/>
  <c r="Z553" i="28"/>
  <c r="Z554" i="28"/>
  <c r="Z557" i="28"/>
  <c r="Z558" i="28"/>
  <c r="Z559" i="28"/>
  <c r="Z560" i="28"/>
  <c r="Z561" i="28"/>
  <c r="Z562" i="28"/>
  <c r="Z563" i="28"/>
  <c r="Z564" i="28"/>
  <c r="Z565" i="28"/>
  <c r="Z566" i="28"/>
  <c r="Z567" i="28"/>
  <c r="Z568" i="28"/>
  <c r="Z569" i="28"/>
  <c r="Z570" i="28"/>
  <c r="Z571" i="28"/>
  <c r="Z572" i="28"/>
  <c r="Z573" i="28"/>
  <c r="Z574" i="28"/>
  <c r="Z575" i="28"/>
  <c r="Z576" i="28"/>
  <c r="Z577" i="28"/>
  <c r="Z578" i="28"/>
  <c r="Z579" i="28"/>
  <c r="Z580" i="28"/>
  <c r="Z581" i="28"/>
  <c r="Z582" i="28"/>
  <c r="Z583" i="28"/>
  <c r="Z584" i="28"/>
  <c r="Z585" i="28"/>
  <c r="Z586" i="28"/>
  <c r="Z587" i="28"/>
  <c r="Z588" i="28"/>
  <c r="Z589" i="28"/>
  <c r="Z590" i="28"/>
  <c r="Z591" i="28"/>
  <c r="Z592" i="28"/>
  <c r="Z593" i="28"/>
  <c r="Z594" i="28"/>
  <c r="Z595" i="28"/>
  <c r="Z596" i="28"/>
  <c r="Z597" i="28"/>
  <c r="Z598" i="28"/>
  <c r="Z599" i="28"/>
  <c r="Z600" i="28"/>
  <c r="Z601" i="28"/>
  <c r="Z602" i="28"/>
  <c r="Z603" i="28"/>
  <c r="Z604" i="28"/>
  <c r="Z605" i="28"/>
  <c r="Z606" i="28"/>
  <c r="Z607" i="28"/>
  <c r="Z608" i="28"/>
  <c r="Z609" i="28"/>
  <c r="Z610" i="28"/>
  <c r="Z611" i="28"/>
  <c r="Z612" i="28"/>
  <c r="Z613" i="28"/>
  <c r="Z614" i="28"/>
  <c r="Z615" i="28"/>
  <c r="Z616" i="28"/>
  <c r="Z617" i="28"/>
  <c r="Z618" i="28"/>
  <c r="Z619" i="28"/>
  <c r="Z620" i="28"/>
  <c r="Z621" i="28"/>
  <c r="Z622" i="28"/>
  <c r="Z623" i="28"/>
  <c r="Z624" i="28"/>
  <c r="Z625" i="28"/>
  <c r="Z626" i="28"/>
  <c r="Z627" i="28"/>
  <c r="Z628" i="28"/>
  <c r="Z629" i="28"/>
  <c r="Z525" i="28"/>
  <c r="Z524" i="28"/>
  <c r="Z523" i="28"/>
  <c r="Z521" i="28"/>
  <c r="Z520" i="28"/>
  <c r="Z519" i="28"/>
  <c r="Z518" i="28"/>
  <c r="Z517" i="28"/>
  <c r="Z516" i="28"/>
  <c r="Z515" i="28"/>
  <c r="Z514" i="28"/>
  <c r="Z513" i="28"/>
  <c r="Z512" i="28"/>
  <c r="Z511" i="28"/>
  <c r="Z510" i="28"/>
  <c r="Z509" i="28"/>
  <c r="Z508" i="28"/>
  <c r="Z507" i="28"/>
  <c r="Z506" i="28"/>
  <c r="Z505" i="28"/>
  <c r="Z504" i="28"/>
  <c r="Z502" i="28"/>
  <c r="Z501" i="28"/>
  <c r="Z500" i="28"/>
  <c r="Z499" i="28"/>
  <c r="Z498" i="28"/>
  <c r="Z497" i="28"/>
  <c r="Z496" i="28"/>
  <c r="Z495" i="28"/>
  <c r="Z494" i="28"/>
  <c r="Z493" i="28"/>
  <c r="Z492" i="28"/>
  <c r="Z491" i="28"/>
  <c r="Z490" i="28"/>
  <c r="Z489" i="28"/>
  <c r="Z488" i="28"/>
  <c r="Z487" i="28"/>
  <c r="Z486" i="28"/>
  <c r="Z485" i="28"/>
  <c r="Z484" i="28"/>
  <c r="Z483" i="28"/>
  <c r="Z482" i="28"/>
  <c r="Z481" i="28"/>
  <c r="Z480" i="28"/>
  <c r="Z479" i="28"/>
  <c r="Z478" i="28"/>
  <c r="Z477" i="28"/>
  <c r="Z476" i="28"/>
  <c r="Z475" i="28"/>
  <c r="Z474" i="28"/>
  <c r="Z473" i="28"/>
  <c r="Z472" i="28"/>
  <c r="Z471" i="28"/>
  <c r="Z470" i="28"/>
  <c r="Z469" i="28"/>
  <c r="Z468" i="28"/>
  <c r="Z466" i="28"/>
  <c r="Z465" i="28"/>
  <c r="Z460" i="28"/>
  <c r="Z459" i="28"/>
  <c r="Z458" i="28"/>
  <c r="Z457" i="28"/>
  <c r="Z456" i="28"/>
  <c r="Z455" i="28"/>
  <c r="Z454" i="28"/>
  <c r="Z453" i="28"/>
  <c r="Z452" i="28"/>
  <c r="Z451" i="28"/>
  <c r="Z450" i="28"/>
  <c r="Z449" i="28"/>
  <c r="Z448" i="28"/>
  <c r="Z447" i="28"/>
  <c r="Z445" i="28"/>
  <c r="Z444" i="28"/>
  <c r="Z443" i="28"/>
  <c r="Z442" i="28"/>
  <c r="Z441" i="28"/>
  <c r="Z440" i="28"/>
  <c r="Z439" i="28"/>
  <c r="Z438" i="28"/>
  <c r="Z437" i="28"/>
  <c r="Z436" i="28"/>
  <c r="Z435" i="28"/>
  <c r="Z434" i="28"/>
  <c r="Z433" i="28"/>
  <c r="Z432" i="28"/>
  <c r="Z431" i="28"/>
  <c r="Z430" i="28"/>
  <c r="Z429" i="28"/>
  <c r="Z428" i="28"/>
  <c r="Z427" i="28"/>
  <c r="Z426" i="28"/>
  <c r="Z425" i="28"/>
  <c r="Z424" i="28"/>
  <c r="Z423" i="28"/>
  <c r="Z422" i="28"/>
  <c r="Z421" i="28"/>
  <c r="Z420" i="28"/>
  <c r="Z419" i="28"/>
  <c r="Z418" i="28"/>
  <c r="Z417" i="28"/>
  <c r="Z416" i="28"/>
  <c r="Z415" i="28"/>
  <c r="Z414" i="28"/>
  <c r="Z413" i="28"/>
  <c r="Z412" i="28"/>
  <c r="Z411" i="28"/>
  <c r="Z410" i="28"/>
  <c r="Z409" i="28"/>
  <c r="Z408" i="28"/>
  <c r="Z407" i="28"/>
  <c r="Z406" i="28"/>
  <c r="Z405" i="28"/>
  <c r="Z404" i="28"/>
  <c r="Z403" i="28"/>
  <c r="Z402" i="28"/>
  <c r="Z401" i="28"/>
  <c r="Z400" i="28"/>
  <c r="Z399" i="28"/>
  <c r="Z398" i="28"/>
  <c r="Z397" i="28"/>
  <c r="Z396" i="28"/>
  <c r="Z395" i="28"/>
  <c r="Z394" i="28"/>
  <c r="Z393" i="28"/>
  <c r="Z392" i="28"/>
  <c r="Z391" i="28"/>
  <c r="Z390" i="28"/>
  <c r="Z389" i="28"/>
  <c r="Z388" i="28"/>
  <c r="Z387" i="28"/>
  <c r="Z386" i="28"/>
  <c r="Z385" i="28"/>
  <c r="Z384" i="28"/>
  <c r="Z383" i="28"/>
  <c r="Z382" i="28"/>
  <c r="Z381" i="28"/>
  <c r="Z380" i="28"/>
  <c r="Z379" i="28"/>
  <c r="Z378" i="28"/>
  <c r="Z377" i="28"/>
  <c r="Z376" i="28"/>
  <c r="Z375" i="28"/>
  <c r="Z374" i="28"/>
  <c r="Z373" i="28"/>
  <c r="Z372" i="28"/>
  <c r="Z371" i="28"/>
  <c r="Z370" i="28"/>
  <c r="Z369" i="28"/>
  <c r="Z368" i="28"/>
  <c r="Z367" i="28"/>
  <c r="Z366" i="28"/>
  <c r="Z365" i="28"/>
  <c r="Z364" i="28"/>
  <c r="Z363" i="28"/>
  <c r="Z362" i="28"/>
  <c r="Z361" i="28"/>
  <c r="Z360" i="28"/>
  <c r="Z359" i="28"/>
  <c r="Z358" i="28"/>
  <c r="Z357" i="28"/>
  <c r="Z356" i="28"/>
  <c r="Z355" i="28"/>
  <c r="Z354" i="28"/>
  <c r="Z353" i="28"/>
  <c r="Z352" i="28"/>
  <c r="Z351" i="28"/>
  <c r="Z350" i="28"/>
  <c r="Z349" i="28"/>
  <c r="Z348" i="28"/>
  <c r="Z347" i="28"/>
  <c r="Z346" i="28"/>
  <c r="Z345" i="28"/>
  <c r="Z344" i="28"/>
  <c r="Z343" i="28"/>
  <c r="Z342" i="28"/>
  <c r="Z341" i="28"/>
  <c r="Z340" i="28"/>
  <c r="Z339" i="28"/>
  <c r="Z338" i="28"/>
  <c r="Z337" i="28"/>
  <c r="Z336" i="28"/>
  <c r="Z333" i="28"/>
  <c r="Z332" i="28"/>
  <c r="Z331" i="28"/>
  <c r="Z330" i="28"/>
  <c r="Z329" i="28"/>
  <c r="Z328" i="28"/>
  <c r="Z327" i="28"/>
  <c r="Z326" i="28"/>
  <c r="Z325" i="28"/>
  <c r="Z324" i="28"/>
  <c r="Z323" i="28"/>
  <c r="Z322" i="28"/>
  <c r="Z321" i="28"/>
  <c r="Z320" i="28"/>
  <c r="Z319" i="28"/>
  <c r="Z318" i="28"/>
  <c r="Z317" i="28"/>
  <c r="Z316" i="28"/>
  <c r="Z315" i="28"/>
  <c r="Z314" i="28"/>
  <c r="Z313" i="28"/>
  <c r="Z312" i="28"/>
  <c r="Z311" i="28"/>
  <c r="Z310" i="28"/>
  <c r="Z309" i="28"/>
  <c r="Z308" i="28"/>
  <c r="Z307" i="28"/>
  <c r="Z306" i="28"/>
  <c r="Z305" i="28"/>
  <c r="Z304" i="28"/>
  <c r="Z303" i="28"/>
  <c r="Z302" i="28"/>
  <c r="Z301" i="28"/>
  <c r="Z300" i="28"/>
  <c r="Z299" i="28"/>
  <c r="Z298" i="28"/>
  <c r="Z297" i="28"/>
  <c r="Z296" i="28"/>
  <c r="Z295" i="28"/>
  <c r="Z294" i="28"/>
  <c r="Z293" i="28"/>
  <c r="Z292" i="28"/>
  <c r="Z291" i="28"/>
  <c r="Z290" i="28"/>
  <c r="Z289" i="28"/>
  <c r="Z288" i="28"/>
  <c r="Z287" i="28"/>
  <c r="Z284" i="28"/>
  <c r="Z283" i="28"/>
  <c r="Z281" i="28"/>
  <c r="Z279" i="28"/>
  <c r="Z277" i="28"/>
  <c r="Z275" i="28"/>
  <c r="Z273" i="28"/>
  <c r="Z271" i="28"/>
  <c r="Z269" i="28"/>
  <c r="Z267" i="28"/>
  <c r="Z265" i="28"/>
  <c r="Z263" i="28"/>
  <c r="Z260" i="28"/>
  <c r="Z259" i="28"/>
  <c r="Z258" i="28"/>
  <c r="Z257" i="28"/>
  <c r="Z256" i="28"/>
  <c r="Z255" i="28"/>
  <c r="Z254" i="28"/>
  <c r="Z253" i="28"/>
  <c r="Z252" i="28"/>
  <c r="Z251" i="28"/>
  <c r="Z250" i="28"/>
  <c r="Z249" i="28"/>
  <c r="Z248" i="28"/>
  <c r="Z247" i="28"/>
  <c r="Z246" i="28"/>
  <c r="Z245" i="28"/>
  <c r="Z244" i="28"/>
  <c r="Z243" i="28"/>
  <c r="Z242" i="28"/>
  <c r="Z241" i="28"/>
  <c r="Z240" i="28"/>
  <c r="Z239" i="28"/>
  <c r="Z238" i="28"/>
  <c r="Z237" i="28"/>
  <c r="Z236" i="28"/>
  <c r="Z235" i="28"/>
  <c r="Z234" i="28"/>
  <c r="Z233" i="28"/>
  <c r="Z232" i="28"/>
  <c r="Z231" i="28"/>
  <c r="Z230" i="28"/>
  <c r="Z229" i="28"/>
  <c r="Z228" i="28"/>
  <c r="Z227" i="28"/>
  <c r="Z226" i="28"/>
  <c r="Z225" i="28"/>
  <c r="Z224" i="28"/>
  <c r="Z223" i="28"/>
  <c r="Z222" i="28"/>
  <c r="Z221" i="28"/>
  <c r="Z220" i="28"/>
  <c r="Z219" i="28"/>
  <c r="Z218" i="28"/>
  <c r="Z217" i="28"/>
  <c r="Z216" i="28"/>
  <c r="Z215" i="28"/>
  <c r="Z214" i="28"/>
  <c r="Z213" i="28"/>
  <c r="Z212" i="28"/>
  <c r="Z211" i="28"/>
  <c r="Z210" i="28"/>
  <c r="Z209" i="28"/>
  <c r="Z208" i="28"/>
  <c r="Z207" i="28"/>
  <c r="Z206" i="28"/>
  <c r="Z205" i="28"/>
  <c r="Z204" i="28"/>
  <c r="Z203" i="28"/>
  <c r="Z202" i="28"/>
  <c r="Z201" i="28"/>
  <c r="Z200" i="28"/>
  <c r="Z199" i="28"/>
  <c r="Z198" i="28"/>
  <c r="Z197" i="28"/>
  <c r="Z196" i="28"/>
  <c r="Z195" i="28"/>
  <c r="Z194" i="28"/>
  <c r="Z193" i="28"/>
  <c r="Z192" i="28"/>
  <c r="Z191" i="28"/>
  <c r="Z190" i="28"/>
  <c r="Z189" i="28"/>
  <c r="Z188" i="28"/>
  <c r="Z187" i="28"/>
  <c r="Z186" i="28"/>
  <c r="Z185" i="28"/>
  <c r="Z184" i="28"/>
  <c r="Z183" i="28"/>
  <c r="Z182" i="28"/>
  <c r="Z181" i="28"/>
  <c r="Z180" i="28"/>
  <c r="Z179" i="28"/>
  <c r="Z178" i="28"/>
  <c r="Z177" i="28"/>
  <c r="Z176" i="28"/>
  <c r="Z175" i="28"/>
  <c r="Z174" i="28"/>
  <c r="Z173" i="28"/>
  <c r="Z172" i="28"/>
  <c r="Z171" i="28"/>
  <c r="Z170" i="28"/>
  <c r="Z169" i="28"/>
  <c r="Z168" i="28"/>
  <c r="Z167" i="28"/>
  <c r="Z166" i="28"/>
  <c r="Z165" i="28"/>
  <c r="Z164" i="28"/>
  <c r="Z163" i="28"/>
  <c r="Z162" i="28"/>
  <c r="Z161" i="28"/>
  <c r="Z160" i="28"/>
  <c r="Z159" i="28"/>
  <c r="Z158" i="28"/>
  <c r="Z157" i="28"/>
  <c r="Z156" i="28"/>
  <c r="Z155" i="28"/>
  <c r="Z154" i="28"/>
  <c r="Z153" i="28"/>
  <c r="Z152" i="28"/>
  <c r="Z151" i="28"/>
  <c r="Z150" i="28"/>
  <c r="Z149" i="28"/>
  <c r="Z148" i="28"/>
  <c r="Z147" i="28"/>
  <c r="Z146" i="28"/>
  <c r="Z145" i="28"/>
  <c r="Z144" i="28"/>
  <c r="Z143" i="28"/>
  <c r="Z142" i="28"/>
  <c r="Z141" i="28"/>
  <c r="Z140" i="28"/>
  <c r="Z139" i="28"/>
  <c r="Z138" i="28"/>
  <c r="Z137" i="28"/>
  <c r="Z136" i="28"/>
  <c r="Z135" i="28"/>
  <c r="Z134" i="28"/>
  <c r="Z133" i="28"/>
  <c r="Z132" i="28"/>
  <c r="Z131" i="28"/>
  <c r="Z130" i="28"/>
  <c r="Z129" i="28"/>
  <c r="Z128" i="28"/>
  <c r="Z127" i="28"/>
  <c r="Z126" i="28"/>
  <c r="Z125" i="28"/>
  <c r="Z124" i="28"/>
  <c r="Z123" i="28"/>
  <c r="Z122" i="28"/>
  <c r="Z121" i="28"/>
  <c r="Z120" i="28"/>
  <c r="Z119" i="28"/>
  <c r="Z118" i="28"/>
  <c r="Z117" i="28"/>
  <c r="Z116" i="28"/>
  <c r="Z115" i="28"/>
  <c r="Z114" i="28"/>
  <c r="Z113" i="28"/>
  <c r="Z112" i="28"/>
  <c r="Z111" i="28"/>
  <c r="Z110" i="28"/>
  <c r="Z109" i="28"/>
  <c r="Z108" i="28"/>
  <c r="Z107" i="28"/>
  <c r="Z106" i="28"/>
  <c r="Z105" i="28"/>
  <c r="Z104" i="28"/>
  <c r="Z103" i="28"/>
  <c r="Z102" i="28"/>
  <c r="Z99" i="28"/>
  <c r="Z98" i="28"/>
  <c r="Z97" i="28"/>
  <c r="Z95" i="28"/>
  <c r="Z94" i="28"/>
  <c r="Z93" i="28"/>
  <c r="Z91" i="28"/>
  <c r="Z90" i="28"/>
  <c r="Z89" i="28"/>
  <c r="Z87" i="28"/>
  <c r="Z86" i="28"/>
  <c r="Z85" i="28"/>
  <c r="Z83" i="28"/>
  <c r="Z82" i="28"/>
  <c r="Z81" i="28"/>
  <c r="Z78" i="28"/>
  <c r="Z77" i="28"/>
  <c r="Z76" i="28"/>
  <c r="Z75" i="28"/>
  <c r="Z74" i="28"/>
  <c r="Z69" i="28"/>
  <c r="Z68" i="28"/>
  <c r="Z67" i="28"/>
  <c r="Z66" i="28"/>
  <c r="Z65" i="28"/>
  <c r="Z64" i="28"/>
  <c r="Z63" i="28"/>
  <c r="Z60" i="28"/>
  <c r="Z59" i="28"/>
  <c r="Z58" i="28"/>
  <c r="Z56" i="28"/>
  <c r="Z55" i="28"/>
  <c r="Z54" i="28"/>
  <c r="Z53" i="28"/>
  <c r="Z52" i="28"/>
  <c r="Z51" i="28"/>
  <c r="Z50" i="28"/>
  <c r="Z48" i="28"/>
  <c r="Z47" i="28"/>
  <c r="Z46" i="28"/>
  <c r="Z45" i="28"/>
  <c r="Z44" i="28"/>
  <c r="Z43" i="28"/>
  <c r="Z42" i="28"/>
  <c r="Z40" i="28"/>
  <c r="Z39" i="28"/>
  <c r="Z37" i="28"/>
  <c r="Z36" i="28"/>
  <c r="Z35" i="28"/>
  <c r="Z34" i="28"/>
  <c r="Z33" i="28"/>
  <c r="Z32" i="28"/>
  <c r="Z31" i="28"/>
  <c r="Z29" i="28"/>
  <c r="Z28" i="28"/>
  <c r="Z27" i="28"/>
  <c r="Z26" i="28"/>
  <c r="Z25" i="28"/>
  <c r="Z24" i="28"/>
  <c r="Z23" i="28"/>
  <c r="Z21" i="28"/>
  <c r="Z20" i="28"/>
  <c r="Z19" i="28"/>
  <c r="Z18" i="28"/>
  <c r="Z17" i="28"/>
  <c r="Z16" i="28"/>
  <c r="Z15" i="28"/>
  <c r="Z8" i="28"/>
  <c r="Z9" i="28"/>
  <c r="Z10" i="28"/>
  <c r="Z11" i="28"/>
  <c r="Z12" i="28"/>
  <c r="Z13" i="28"/>
  <c r="Z7" i="28"/>
  <c r="AZ549" i="28"/>
  <c r="AZ547" i="28"/>
  <c r="AZ546" i="28"/>
  <c r="AZ545" i="28"/>
  <c r="AZ513" i="28"/>
  <c r="AZ505" i="28"/>
  <c r="AZ473" i="28"/>
  <c r="AZ472" i="28"/>
  <c r="AZ471" i="28"/>
  <c r="AZ502" i="28" s="1"/>
  <c r="AZ470" i="28"/>
  <c r="AZ468" i="28"/>
  <c r="AZ460" i="28"/>
  <c r="AZ445" i="28"/>
  <c r="AZ444" i="28"/>
  <c r="AZ333" i="28"/>
  <c r="AZ326" i="28"/>
  <c r="AZ325" i="28"/>
  <c r="AZ327" i="28" s="1"/>
  <c r="AZ284" i="28"/>
  <c r="AZ541" i="28" s="1"/>
  <c r="AZ260" i="28"/>
  <c r="AZ259" i="28"/>
  <c r="AZ98" i="28"/>
  <c r="AZ97" i="28"/>
  <c r="AZ99" i="28" s="1"/>
  <c r="AZ95" i="28"/>
  <c r="AZ91" i="28"/>
  <c r="AZ87" i="28"/>
  <c r="AZ83" i="28"/>
  <c r="AZ539" i="28" s="1"/>
  <c r="AZ65" i="28"/>
  <c r="AZ64" i="28"/>
  <c r="AZ63" i="28"/>
  <c r="AZ60" i="28"/>
  <c r="AZ59" i="28"/>
  <c r="AZ524" i="28" s="1"/>
  <c r="AZ58" i="28"/>
  <c r="AZ523" i="28" s="1"/>
  <c r="AZ55" i="28"/>
  <c r="AZ512" i="28" s="1"/>
  <c r="AZ54" i="28"/>
  <c r="AZ511" i="28" s="1"/>
  <c r="AZ53" i="28"/>
  <c r="AZ56" i="28" s="1"/>
  <c r="AZ47" i="28"/>
  <c r="AZ46" i="28"/>
  <c r="AZ35" i="28" s="1"/>
  <c r="AZ67" i="28" s="1"/>
  <c r="AZ39" i="28"/>
  <c r="AZ36" i="28" s="1"/>
  <c r="AZ68" i="28" s="1"/>
  <c r="AZ33" i="28"/>
  <c r="AZ32" i="28"/>
  <c r="AZ31" i="28"/>
  <c r="AZ29" i="28"/>
  <c r="AZ76" i="28" s="1"/>
  <c r="AZ21" i="28"/>
  <c r="AZ544" i="28" s="1"/>
  <c r="AZ13" i="28"/>
  <c r="AZ74" i="28" s="1"/>
  <c r="AV549" i="28"/>
  <c r="AV548" i="28"/>
  <c r="AV547" i="28"/>
  <c r="AV546" i="28"/>
  <c r="AV545" i="28"/>
  <c r="AV513" i="28"/>
  <c r="AV505" i="28"/>
  <c r="AV473" i="28"/>
  <c r="AV472" i="28"/>
  <c r="AV471" i="28"/>
  <c r="AV502" i="28" s="1"/>
  <c r="AV470" i="28"/>
  <c r="AV468" i="28"/>
  <c r="AV460" i="28"/>
  <c r="AV445" i="28"/>
  <c r="AV444" i="28"/>
  <c r="AV333" i="28"/>
  <c r="AV326" i="28"/>
  <c r="AV325" i="28"/>
  <c r="AV327" i="28" s="1"/>
  <c r="AV284" i="28"/>
  <c r="AV541" i="28" s="1"/>
  <c r="AV260" i="28"/>
  <c r="AV259" i="28"/>
  <c r="AV98" i="28"/>
  <c r="AV97" i="28"/>
  <c r="AV99" i="28" s="1"/>
  <c r="AV95" i="28"/>
  <c r="AV91" i="28"/>
  <c r="AV87" i="28"/>
  <c r="AV83" i="28"/>
  <c r="AV539" i="28" s="1"/>
  <c r="AV65" i="28"/>
  <c r="AV64" i="28"/>
  <c r="AV63" i="28"/>
  <c r="AV60" i="28"/>
  <c r="AV59" i="28"/>
  <c r="AV524" i="28" s="1"/>
  <c r="AV58" i="28"/>
  <c r="AV523" i="28" s="1"/>
  <c r="AV525" i="28" s="1"/>
  <c r="AV55" i="28"/>
  <c r="AV512" i="28" s="1"/>
  <c r="AV54" i="28"/>
  <c r="AV511" i="28" s="1"/>
  <c r="AV53" i="28"/>
  <c r="AV56" i="28" s="1"/>
  <c r="AV47" i="28"/>
  <c r="AV46" i="28"/>
  <c r="AV35" i="28" s="1"/>
  <c r="AV67" i="28" s="1"/>
  <c r="AV39" i="28"/>
  <c r="AV36" i="28" s="1"/>
  <c r="AV68" i="28" s="1"/>
  <c r="AV33" i="28"/>
  <c r="AV32" i="28"/>
  <c r="AV31" i="28"/>
  <c r="AV29" i="28"/>
  <c r="AV76" i="28" s="1"/>
  <c r="AV21" i="28"/>
  <c r="AV544" i="28" s="1"/>
  <c r="AV13" i="28"/>
  <c r="AV74" i="28" s="1"/>
  <c r="AR549" i="28"/>
  <c r="AR547" i="28"/>
  <c r="AR546" i="28"/>
  <c r="AR545" i="28"/>
  <c r="AR513" i="28"/>
  <c r="AR505" i="28"/>
  <c r="AR473" i="28"/>
  <c r="AR472" i="28"/>
  <c r="AR471" i="28"/>
  <c r="AR502" i="28" s="1"/>
  <c r="AR470" i="28"/>
  <c r="AR468" i="28"/>
  <c r="AR460" i="28"/>
  <c r="AR445" i="28"/>
  <c r="AR444" i="28"/>
  <c r="AR333" i="28"/>
  <c r="AR326" i="28"/>
  <c r="AR325" i="28"/>
  <c r="AR327" i="28" s="1"/>
  <c r="AR284" i="28"/>
  <c r="AR541" i="28" s="1"/>
  <c r="AR260" i="28"/>
  <c r="AR259" i="28"/>
  <c r="AR98" i="28"/>
  <c r="AR97" i="28"/>
  <c r="AR99" i="28" s="1"/>
  <c r="AR95" i="28"/>
  <c r="AR91" i="28"/>
  <c r="AR87" i="28"/>
  <c r="AR83" i="28"/>
  <c r="AR539" i="28" s="1"/>
  <c r="AR65" i="28"/>
  <c r="AR64" i="28"/>
  <c r="AR63" i="28"/>
  <c r="AR60" i="28"/>
  <c r="AR59" i="28"/>
  <c r="AR524" i="28" s="1"/>
  <c r="AR58" i="28"/>
  <c r="AR523" i="28" s="1"/>
  <c r="AR525" i="28" s="1"/>
  <c r="AR55" i="28"/>
  <c r="AR512" i="28" s="1"/>
  <c r="AR54" i="28"/>
  <c r="AR511" i="28" s="1"/>
  <c r="AR53" i="28"/>
  <c r="AR56" i="28" s="1"/>
  <c r="AR47" i="28"/>
  <c r="AR46" i="28"/>
  <c r="AR35" i="28" s="1"/>
  <c r="AR67" i="28" s="1"/>
  <c r="AR39" i="28"/>
  <c r="AR36" i="28" s="1"/>
  <c r="AR68" i="28" s="1"/>
  <c r="AR33" i="28"/>
  <c r="AR32" i="28"/>
  <c r="AR31" i="28"/>
  <c r="AR29" i="28"/>
  <c r="AR76" i="28" s="1"/>
  <c r="AR21" i="28"/>
  <c r="AR544" i="28" s="1"/>
  <c r="AR13" i="28"/>
  <c r="AR74" i="28" s="1"/>
  <c r="AL549" i="28"/>
  <c r="AL548" i="28"/>
  <c r="AL547" i="28"/>
  <c r="AL546" i="28"/>
  <c r="AL545" i="28"/>
  <c r="AL513" i="28"/>
  <c r="AL505" i="28"/>
  <c r="AL473" i="28"/>
  <c r="AL472" i="28"/>
  <c r="AL471" i="28"/>
  <c r="AL502" i="28" s="1"/>
  <c r="AL470" i="28"/>
  <c r="AL468" i="28"/>
  <c r="AL460" i="28"/>
  <c r="AL445" i="28"/>
  <c r="AL444" i="28"/>
  <c r="AL333" i="28"/>
  <c r="AL326" i="28"/>
  <c r="AL325" i="28"/>
  <c r="AL327" i="28" s="1"/>
  <c r="AL284" i="28"/>
  <c r="AL541" i="28" s="1"/>
  <c r="AL260" i="28"/>
  <c r="AL259" i="28"/>
  <c r="AL98" i="28"/>
  <c r="AL97" i="28"/>
  <c r="AL99" i="28" s="1"/>
  <c r="AL95" i="28"/>
  <c r="AL91" i="28"/>
  <c r="AL87" i="28"/>
  <c r="AL83" i="28"/>
  <c r="AL539" i="28" s="1"/>
  <c r="AL65" i="28"/>
  <c r="AL64" i="28"/>
  <c r="AL63" i="28"/>
  <c r="AL60" i="28"/>
  <c r="AL59" i="28"/>
  <c r="AL524" i="28" s="1"/>
  <c r="AL58" i="28"/>
  <c r="AL523" i="28" s="1"/>
  <c r="AL525" i="28" s="1"/>
  <c r="AL55" i="28"/>
  <c r="AL512" i="28" s="1"/>
  <c r="AL54" i="28"/>
  <c r="AL511" i="28" s="1"/>
  <c r="AL53" i="28"/>
  <c r="AL56" i="28" s="1"/>
  <c r="AL47" i="28"/>
  <c r="AL46" i="28"/>
  <c r="AL35" i="28" s="1"/>
  <c r="AL67" i="28" s="1"/>
  <c r="AL39" i="28"/>
  <c r="AL36" i="28" s="1"/>
  <c r="AL68" i="28" s="1"/>
  <c r="AL33" i="28"/>
  <c r="AL32" i="28"/>
  <c r="AL31" i="28"/>
  <c r="AL29" i="28"/>
  <c r="AL76" i="28" s="1"/>
  <c r="AL21" i="28"/>
  <c r="AL544" i="28" s="1"/>
  <c r="AL13" i="28"/>
  <c r="AL74" i="28" s="1"/>
  <c r="AH549" i="28"/>
  <c r="AH547" i="28"/>
  <c r="AH546" i="28"/>
  <c r="AH545" i="28"/>
  <c r="AH513" i="28"/>
  <c r="AH505" i="28"/>
  <c r="AH473" i="28"/>
  <c r="AH472" i="28"/>
  <c r="AH471" i="28"/>
  <c r="AH502" i="28" s="1"/>
  <c r="AH470" i="28"/>
  <c r="AH468" i="28"/>
  <c r="AH460" i="28"/>
  <c r="AH445" i="28"/>
  <c r="AH444" i="28"/>
  <c r="AH333" i="28"/>
  <c r="AH326" i="28"/>
  <c r="AH325" i="28"/>
  <c r="AH327" i="28" s="1"/>
  <c r="AH284" i="28"/>
  <c r="AH541" i="28" s="1"/>
  <c r="AH260" i="28"/>
  <c r="AH259" i="28"/>
  <c r="AH98" i="28"/>
  <c r="AH97" i="28"/>
  <c r="AH99" i="28" s="1"/>
  <c r="AH95" i="28"/>
  <c r="AH91" i="28"/>
  <c r="AH87" i="28"/>
  <c r="AH83" i="28"/>
  <c r="AH539" i="28" s="1"/>
  <c r="AH65" i="28"/>
  <c r="AH64" i="28"/>
  <c r="AH63" i="28"/>
  <c r="AH60" i="28"/>
  <c r="AH59" i="28"/>
  <c r="AH524" i="28" s="1"/>
  <c r="AH58" i="28"/>
  <c r="AH523" i="28" s="1"/>
  <c r="AH525" i="28" s="1"/>
  <c r="AH55" i="28"/>
  <c r="AH512" i="28" s="1"/>
  <c r="AH54" i="28"/>
  <c r="AH511" i="28" s="1"/>
  <c r="AH53" i="28"/>
  <c r="AH56" i="28" s="1"/>
  <c r="AH47" i="28"/>
  <c r="AH46" i="28"/>
  <c r="AH35" i="28" s="1"/>
  <c r="AH67" i="28" s="1"/>
  <c r="AH39" i="28"/>
  <c r="AH36" i="28" s="1"/>
  <c r="AH68" i="28" s="1"/>
  <c r="AH33" i="28"/>
  <c r="AH32" i="28"/>
  <c r="AH31" i="28"/>
  <c r="AH29" i="28"/>
  <c r="AH76" i="28" s="1"/>
  <c r="AH21" i="28"/>
  <c r="AH544" i="28" s="1"/>
  <c r="AH13" i="28"/>
  <c r="AH74" i="28" s="1"/>
  <c r="AD547" i="28"/>
  <c r="AD546" i="28"/>
  <c r="AD545" i="28"/>
  <c r="AD513" i="28"/>
  <c r="AD505" i="28"/>
  <c r="AD473" i="28"/>
  <c r="AD472" i="28"/>
  <c r="AD471" i="28"/>
  <c r="AD502" i="28" s="1"/>
  <c r="AD470" i="28"/>
  <c r="AD468" i="28"/>
  <c r="AD460" i="28"/>
  <c r="AD549" i="28" s="1"/>
  <c r="AD445" i="28"/>
  <c r="AD548" i="28" s="1"/>
  <c r="AD444" i="28"/>
  <c r="AD333" i="28"/>
  <c r="AD326" i="28"/>
  <c r="AD325" i="28"/>
  <c r="AD327" i="28" s="1"/>
  <c r="AD284" i="28"/>
  <c r="AD541" i="28" s="1"/>
  <c r="AD260" i="28"/>
  <c r="AD259" i="28"/>
  <c r="AD98" i="28"/>
  <c r="AD97" i="28"/>
  <c r="AD99" i="28" s="1"/>
  <c r="AD95" i="28"/>
  <c r="AD91" i="28"/>
  <c r="AD87" i="28"/>
  <c r="AD543" i="28" s="1"/>
  <c r="AD83" i="28"/>
  <c r="AD539" i="28" s="1"/>
  <c r="AD65" i="28"/>
  <c r="AD64" i="28"/>
  <c r="AD63" i="28"/>
  <c r="AD60" i="28"/>
  <c r="AD59" i="28"/>
  <c r="AD524" i="28" s="1"/>
  <c r="AD58" i="28"/>
  <c r="AD523" i="28" s="1"/>
  <c r="AD525" i="28" s="1"/>
  <c r="AD55" i="28"/>
  <c r="AD512" i="28" s="1"/>
  <c r="AD54" i="28"/>
  <c r="AD511" i="28" s="1"/>
  <c r="AD53" i="28"/>
  <c r="AD56" i="28" s="1"/>
  <c r="AD47" i="28"/>
  <c r="AD46" i="28"/>
  <c r="AD35" i="28" s="1"/>
  <c r="AD67" i="28" s="1"/>
  <c r="AD39" i="28"/>
  <c r="AD36" i="28" s="1"/>
  <c r="AD68" i="28" s="1"/>
  <c r="AD33" i="28"/>
  <c r="AD32" i="28"/>
  <c r="AD31" i="28"/>
  <c r="AD29" i="28"/>
  <c r="AD76" i="28" s="1"/>
  <c r="AD21" i="28"/>
  <c r="AD544" i="28" s="1"/>
  <c r="AD13" i="28"/>
  <c r="AD74" i="28" s="1"/>
  <c r="X549" i="28"/>
  <c r="X547" i="28"/>
  <c r="X546" i="28"/>
  <c r="X545" i="28"/>
  <c r="X513" i="28"/>
  <c r="X505" i="28"/>
  <c r="X473" i="28"/>
  <c r="X471" i="28"/>
  <c r="X502" i="28" s="1"/>
  <c r="X470" i="28"/>
  <c r="X468" i="28"/>
  <c r="X460" i="28"/>
  <c r="X445" i="28"/>
  <c r="X444" i="28"/>
  <c r="X333" i="28"/>
  <c r="X326" i="28"/>
  <c r="X325" i="28"/>
  <c r="X327" i="28" s="1"/>
  <c r="X284" i="28"/>
  <c r="X541" i="28" s="1"/>
  <c r="X260" i="28"/>
  <c r="X259" i="28"/>
  <c r="X98" i="28"/>
  <c r="X100" i="28" s="1"/>
  <c r="X97" i="28"/>
  <c r="X99" i="28" s="1"/>
  <c r="X95" i="28"/>
  <c r="X91" i="28"/>
  <c r="X87" i="28"/>
  <c r="X543" i="28" s="1"/>
  <c r="X83" i="28"/>
  <c r="X539" i="28" s="1"/>
  <c r="X65" i="28"/>
  <c r="X64" i="28"/>
  <c r="X63" i="28"/>
  <c r="X60" i="28"/>
  <c r="X59" i="28"/>
  <c r="X524" i="28" s="1"/>
  <c r="X58" i="28"/>
  <c r="X523" i="28" s="1"/>
  <c r="X55" i="28"/>
  <c r="X512" i="28" s="1"/>
  <c r="X54" i="28"/>
  <c r="X511" i="28" s="1"/>
  <c r="X53" i="28"/>
  <c r="X56" i="28" s="1"/>
  <c r="X47" i="28"/>
  <c r="X472" i="28" s="1"/>
  <c r="X46" i="28"/>
  <c r="X35" i="28" s="1"/>
  <c r="X67" i="28" s="1"/>
  <c r="X39" i="28"/>
  <c r="X36" i="28" s="1"/>
  <c r="X68" i="28" s="1"/>
  <c r="X33" i="28"/>
  <c r="X32" i="28"/>
  <c r="X31" i="28"/>
  <c r="X29" i="28"/>
  <c r="X76" i="28" s="1"/>
  <c r="X21" i="28"/>
  <c r="X544" i="28" s="1"/>
  <c r="X13" i="28"/>
  <c r="X74" i="28" s="1"/>
  <c r="T549" i="28"/>
  <c r="T547" i="28"/>
  <c r="T546" i="28"/>
  <c r="T545" i="28"/>
  <c r="T513" i="28"/>
  <c r="T505" i="28"/>
  <c r="T473" i="28"/>
  <c r="T472" i="28"/>
  <c r="V472" i="28" s="1"/>
  <c r="T471" i="28"/>
  <c r="T502" i="28" s="1"/>
  <c r="T470" i="28"/>
  <c r="T468" i="28"/>
  <c r="T460" i="28"/>
  <c r="T445" i="28"/>
  <c r="T444" i="28"/>
  <c r="T333" i="28"/>
  <c r="T326" i="28"/>
  <c r="T325" i="28"/>
  <c r="T327" i="28" s="1"/>
  <c r="T284" i="28"/>
  <c r="T541" i="28" s="1"/>
  <c r="T260" i="28"/>
  <c r="T259" i="28"/>
  <c r="T98" i="28"/>
  <c r="T97" i="28"/>
  <c r="T99" i="28" s="1"/>
  <c r="T95" i="28"/>
  <c r="T91" i="28"/>
  <c r="T87" i="28"/>
  <c r="T83" i="28"/>
  <c r="T539" i="28" s="1"/>
  <c r="T65" i="28"/>
  <c r="T64" i="28"/>
  <c r="T63" i="28"/>
  <c r="T60" i="28"/>
  <c r="T59" i="28"/>
  <c r="T524" i="28" s="1"/>
  <c r="T58" i="28"/>
  <c r="T523" i="28" s="1"/>
  <c r="T525" i="28" s="1"/>
  <c r="T55" i="28"/>
  <c r="T512" i="28" s="1"/>
  <c r="T54" i="28"/>
  <c r="T511" i="28" s="1"/>
  <c r="T53" i="28"/>
  <c r="T56" i="28" s="1"/>
  <c r="T47" i="28"/>
  <c r="T46" i="28"/>
  <c r="T35" i="28" s="1"/>
  <c r="T67" i="28" s="1"/>
  <c r="T39" i="28"/>
  <c r="V39" i="28" s="1"/>
  <c r="T33" i="28"/>
  <c r="T32" i="28"/>
  <c r="T31" i="28"/>
  <c r="T29" i="28"/>
  <c r="T76" i="28" s="1"/>
  <c r="T21" i="28"/>
  <c r="T544" i="28" s="1"/>
  <c r="T13" i="28"/>
  <c r="T74" i="28" s="1"/>
  <c r="P549" i="28"/>
  <c r="P548" i="28"/>
  <c r="P547" i="28"/>
  <c r="P546" i="28"/>
  <c r="P545" i="28"/>
  <c r="P513" i="28"/>
  <c r="P505" i="28"/>
  <c r="P473" i="28"/>
  <c r="P472" i="28"/>
  <c r="P471" i="28"/>
  <c r="P502" i="28" s="1"/>
  <c r="P470" i="28"/>
  <c r="P468" i="28"/>
  <c r="P460" i="28"/>
  <c r="P445" i="28"/>
  <c r="P444" i="28"/>
  <c r="P333" i="28"/>
  <c r="P326" i="28"/>
  <c r="P325" i="28"/>
  <c r="P327" i="28" s="1"/>
  <c r="P284" i="28"/>
  <c r="P541" i="28" s="1"/>
  <c r="P260" i="28"/>
  <c r="P259" i="28"/>
  <c r="P98" i="28"/>
  <c r="P97" i="28"/>
  <c r="P99" i="28" s="1"/>
  <c r="P95" i="28"/>
  <c r="P91" i="28"/>
  <c r="P87" i="28"/>
  <c r="P83" i="28"/>
  <c r="P539" i="28" s="1"/>
  <c r="P65" i="28"/>
  <c r="P64" i="28"/>
  <c r="P63" i="28"/>
  <c r="P60" i="28"/>
  <c r="P59" i="28"/>
  <c r="P524" i="28" s="1"/>
  <c r="P58" i="28"/>
  <c r="P523" i="28" s="1"/>
  <c r="P55" i="28"/>
  <c r="P512" i="28" s="1"/>
  <c r="P54" i="28"/>
  <c r="P511" i="28" s="1"/>
  <c r="P53" i="28"/>
  <c r="P56" i="28" s="1"/>
  <c r="P47" i="28"/>
  <c r="P46" i="28"/>
  <c r="P35" i="28" s="1"/>
  <c r="P67" i="28" s="1"/>
  <c r="P39" i="28"/>
  <c r="P33" i="28"/>
  <c r="P32" i="28"/>
  <c r="P31" i="28"/>
  <c r="P29" i="28"/>
  <c r="P76" i="28" s="1"/>
  <c r="P21" i="28"/>
  <c r="P544" i="28" s="1"/>
  <c r="P13" i="28"/>
  <c r="P74" i="28" s="1"/>
  <c r="L31" i="28"/>
  <c r="V605" i="28"/>
  <c r="V601" i="28"/>
  <c r="V595" i="28"/>
  <c r="V581" i="28"/>
  <c r="V577" i="28"/>
  <c r="V571" i="28"/>
  <c r="V553" i="28"/>
  <c r="V532" i="28"/>
  <c r="V531" i="28"/>
  <c r="V519" i="28"/>
  <c r="V516" i="28"/>
  <c r="V515" i="28"/>
  <c r="V513" i="28"/>
  <c r="V510" i="28"/>
  <c r="V496" i="28"/>
  <c r="V495" i="28"/>
  <c r="V491" i="28"/>
  <c r="V489" i="28"/>
  <c r="V450" i="28"/>
  <c r="V330" i="28"/>
  <c r="V329" i="28"/>
  <c r="V292" i="28"/>
  <c r="V289" i="28"/>
  <c r="R627" i="28"/>
  <c r="V627" i="28" s="1"/>
  <c r="R626" i="28"/>
  <c r="V626" i="28" s="1"/>
  <c r="R625" i="28"/>
  <c r="V625" i="28" s="1"/>
  <c r="R624" i="28"/>
  <c r="V624" i="28" s="1"/>
  <c r="R623" i="28"/>
  <c r="V623" i="28" s="1"/>
  <c r="R622" i="28"/>
  <c r="V622" i="28" s="1"/>
  <c r="R621" i="28"/>
  <c r="V621" i="28" s="1"/>
  <c r="R620" i="28"/>
  <c r="V620" i="28" s="1"/>
  <c r="R619" i="28"/>
  <c r="V619" i="28" s="1"/>
  <c r="R618" i="28"/>
  <c r="V618" i="28" s="1"/>
  <c r="R617" i="28"/>
  <c r="V617" i="28" s="1"/>
  <c r="R616" i="28"/>
  <c r="V616" i="28" s="1"/>
  <c r="R615" i="28"/>
  <c r="V615" i="28" s="1"/>
  <c r="R614" i="28"/>
  <c r="V614" i="28" s="1"/>
  <c r="R613" i="28"/>
  <c r="V613" i="28" s="1"/>
  <c r="R612" i="28"/>
  <c r="V612" i="28" s="1"/>
  <c r="R611" i="28"/>
  <c r="V611" i="28" s="1"/>
  <c r="R610" i="28"/>
  <c r="V610" i="28" s="1"/>
  <c r="R609" i="28"/>
  <c r="V609" i="28" s="1"/>
  <c r="R608" i="28"/>
  <c r="V608" i="28" s="1"/>
  <c r="R607" i="28"/>
  <c r="V607" i="28" s="1"/>
  <c r="R606" i="28"/>
  <c r="V606" i="28" s="1"/>
  <c r="R605" i="28"/>
  <c r="R604" i="28"/>
  <c r="V604" i="28" s="1"/>
  <c r="R603" i="28"/>
  <c r="V603" i="28" s="1"/>
  <c r="R602" i="28"/>
  <c r="V602" i="28" s="1"/>
  <c r="R601" i="28"/>
  <c r="R600" i="28"/>
  <c r="V600" i="28" s="1"/>
  <c r="R599" i="28"/>
  <c r="V599" i="28" s="1"/>
  <c r="R598" i="28"/>
  <c r="V598" i="28" s="1"/>
  <c r="R597" i="28"/>
  <c r="V597" i="28" s="1"/>
  <c r="R596" i="28"/>
  <c r="V596" i="28" s="1"/>
  <c r="R595" i="28"/>
  <c r="R594" i="28"/>
  <c r="V594" i="28" s="1"/>
  <c r="R593" i="28"/>
  <c r="V593" i="28" s="1"/>
  <c r="R592" i="28"/>
  <c r="V592" i="28" s="1"/>
  <c r="R591" i="28"/>
  <c r="V591" i="28" s="1"/>
  <c r="R590" i="28"/>
  <c r="V590" i="28" s="1"/>
  <c r="R589" i="28"/>
  <c r="V589" i="28" s="1"/>
  <c r="R588" i="28"/>
  <c r="V588" i="28" s="1"/>
  <c r="R587" i="28"/>
  <c r="V587" i="28" s="1"/>
  <c r="R586" i="28"/>
  <c r="V586" i="28" s="1"/>
  <c r="R585" i="28"/>
  <c r="V585" i="28" s="1"/>
  <c r="R584" i="28"/>
  <c r="V584" i="28" s="1"/>
  <c r="R583" i="28"/>
  <c r="V583" i="28" s="1"/>
  <c r="R582" i="28"/>
  <c r="V582" i="28" s="1"/>
  <c r="R581" i="28"/>
  <c r="R580" i="28"/>
  <c r="V580" i="28" s="1"/>
  <c r="R579" i="28"/>
  <c r="V579" i="28" s="1"/>
  <c r="R578" i="28"/>
  <c r="V578" i="28" s="1"/>
  <c r="R577" i="28"/>
  <c r="R576" i="28"/>
  <c r="V576" i="28" s="1"/>
  <c r="R575" i="28"/>
  <c r="V575" i="28" s="1"/>
  <c r="R574" i="28"/>
  <c r="V574" i="28" s="1"/>
  <c r="R573" i="28"/>
  <c r="V573" i="28" s="1"/>
  <c r="R572" i="28"/>
  <c r="V572" i="28" s="1"/>
  <c r="R571" i="28"/>
  <c r="R570" i="28"/>
  <c r="V570" i="28" s="1"/>
  <c r="R569" i="28"/>
  <c r="V569" i="28" s="1"/>
  <c r="R568" i="28"/>
  <c r="V568" i="28" s="1"/>
  <c r="R567" i="28"/>
  <c r="V567" i="28" s="1"/>
  <c r="R566" i="28"/>
  <c r="V566" i="28" s="1"/>
  <c r="R565" i="28"/>
  <c r="V565" i="28" s="1"/>
  <c r="R564" i="28"/>
  <c r="V564" i="28" s="1"/>
  <c r="R563" i="28"/>
  <c r="V563" i="28" s="1"/>
  <c r="R562" i="28"/>
  <c r="V562" i="28" s="1"/>
  <c r="R561" i="28"/>
  <c r="V561" i="28" s="1"/>
  <c r="R560" i="28"/>
  <c r="V560" i="28" s="1"/>
  <c r="R559" i="28"/>
  <c r="V559" i="28" s="1"/>
  <c r="R554" i="28"/>
  <c r="V554" i="28" s="1"/>
  <c r="R553" i="28"/>
  <c r="R537" i="28"/>
  <c r="V537" i="28" s="1"/>
  <c r="R534" i="28"/>
  <c r="V534" i="28" s="1"/>
  <c r="R533" i="28"/>
  <c r="V533" i="28" s="1"/>
  <c r="R532" i="28"/>
  <c r="R531" i="28"/>
  <c r="R528" i="28"/>
  <c r="V528" i="28" s="1"/>
  <c r="R527" i="28"/>
  <c r="V527" i="28" s="1"/>
  <c r="R524" i="28"/>
  <c r="R523" i="28"/>
  <c r="R520" i="28"/>
  <c r="V520" i="28" s="1"/>
  <c r="R519" i="28"/>
  <c r="R518" i="28"/>
  <c r="V518" i="28" s="1"/>
  <c r="R517" i="28"/>
  <c r="V517" i="28" s="1"/>
  <c r="R516" i="28"/>
  <c r="R515" i="28"/>
  <c r="R514" i="28"/>
  <c r="V514" i="28" s="1"/>
  <c r="R513" i="28"/>
  <c r="R512" i="28"/>
  <c r="R511" i="28"/>
  <c r="R510" i="28"/>
  <c r="R506" i="28"/>
  <c r="V506" i="28" s="1"/>
  <c r="R504" i="28"/>
  <c r="V504" i="28" s="1"/>
  <c r="R501" i="28"/>
  <c r="V501" i="28" s="1"/>
  <c r="R500" i="28"/>
  <c r="V500" i="28" s="1"/>
  <c r="R497" i="28"/>
  <c r="V497" i="28" s="1"/>
  <c r="R496" i="28"/>
  <c r="R495" i="28"/>
  <c r="R494" i="28"/>
  <c r="V494" i="28" s="1"/>
  <c r="R492" i="28"/>
  <c r="V492" i="28" s="1"/>
  <c r="R491" i="28"/>
  <c r="R490" i="28"/>
  <c r="V490" i="28" s="1"/>
  <c r="R489" i="28"/>
  <c r="R488" i="28"/>
  <c r="V488" i="28" s="1"/>
  <c r="R486" i="28"/>
  <c r="V486" i="28" s="1"/>
  <c r="R485" i="28"/>
  <c r="V485" i="28" s="1"/>
  <c r="R484" i="28"/>
  <c r="V484" i="28" s="1"/>
  <c r="R483" i="28"/>
  <c r="V483" i="28" s="1"/>
  <c r="R482" i="28"/>
  <c r="V482" i="28" s="1"/>
  <c r="R481" i="28"/>
  <c r="V481" i="28" s="1"/>
  <c r="R480" i="28"/>
  <c r="V480" i="28" s="1"/>
  <c r="R479" i="28"/>
  <c r="V479" i="28" s="1"/>
  <c r="R478" i="28"/>
  <c r="V478" i="28" s="1"/>
  <c r="R477" i="28"/>
  <c r="V477" i="28" s="1"/>
  <c r="R476" i="28"/>
  <c r="V476" i="28" s="1"/>
  <c r="R475" i="28"/>
  <c r="V475" i="28" s="1"/>
  <c r="R474" i="28"/>
  <c r="V474" i="28" s="1"/>
  <c r="R472" i="28"/>
  <c r="R471" i="28"/>
  <c r="V471" i="28" s="1"/>
  <c r="R459" i="28"/>
  <c r="V459" i="28" s="1"/>
  <c r="R458" i="28"/>
  <c r="V458" i="28" s="1"/>
  <c r="R457" i="28"/>
  <c r="V457" i="28" s="1"/>
  <c r="R456" i="28"/>
  <c r="V456" i="28" s="1"/>
  <c r="R455" i="28"/>
  <c r="V455" i="28" s="1"/>
  <c r="R454" i="28"/>
  <c r="V454" i="28" s="1"/>
  <c r="R452" i="28"/>
  <c r="V452" i="28" s="1"/>
  <c r="R451" i="28"/>
  <c r="V451" i="28" s="1"/>
  <c r="R450" i="28"/>
  <c r="R449" i="28"/>
  <c r="V449" i="28" s="1"/>
  <c r="R448" i="28"/>
  <c r="V448" i="28" s="1"/>
  <c r="R447" i="28"/>
  <c r="V447" i="28" s="1"/>
  <c r="R441" i="28"/>
  <c r="V441" i="28" s="1"/>
  <c r="R429" i="28"/>
  <c r="V429" i="28" s="1"/>
  <c r="R417" i="28"/>
  <c r="V417" i="28" s="1"/>
  <c r="R405" i="28"/>
  <c r="V405" i="28" s="1"/>
  <c r="R393" i="28"/>
  <c r="V393" i="28" s="1"/>
  <c r="R381" i="28"/>
  <c r="V381" i="28" s="1"/>
  <c r="R369" i="28"/>
  <c r="V369" i="28" s="1"/>
  <c r="R357" i="28"/>
  <c r="V357" i="28" s="1"/>
  <c r="R345" i="28"/>
  <c r="V345" i="28" s="1"/>
  <c r="R331" i="28"/>
  <c r="V331" i="28" s="1"/>
  <c r="R330" i="28"/>
  <c r="R329" i="28"/>
  <c r="R328" i="28"/>
  <c r="V328" i="28" s="1"/>
  <c r="R317" i="28"/>
  <c r="V317" i="28" s="1"/>
  <c r="R316" i="28"/>
  <c r="V316" i="28" s="1"/>
  <c r="R315" i="28"/>
  <c r="V315" i="28" s="1"/>
  <c r="R305" i="28"/>
  <c r="V305" i="28" s="1"/>
  <c r="R304" i="28"/>
  <c r="V304" i="28" s="1"/>
  <c r="R303" i="28"/>
  <c r="V303" i="28" s="1"/>
  <c r="R301" i="28"/>
  <c r="V301" i="28" s="1"/>
  <c r="R293" i="28"/>
  <c r="V293" i="28" s="1"/>
  <c r="R292" i="28"/>
  <c r="R291" i="28"/>
  <c r="V291" i="28" s="1"/>
  <c r="R289" i="28"/>
  <c r="R288" i="28"/>
  <c r="V288" i="28" s="1"/>
  <c r="R287" i="28"/>
  <c r="V287" i="28" s="1"/>
  <c r="R283" i="28"/>
  <c r="V283" i="28" s="1"/>
  <c r="R275" i="28"/>
  <c r="V275" i="28" s="1"/>
  <c r="R265" i="28"/>
  <c r="V265" i="28" s="1"/>
  <c r="R256" i="28"/>
  <c r="V256" i="28" s="1"/>
  <c r="R255" i="28"/>
  <c r="V255" i="28" s="1"/>
  <c r="R253" i="28"/>
  <c r="V253" i="28" s="1"/>
  <c r="R252" i="28"/>
  <c r="V252" i="28" s="1"/>
  <c r="R250" i="28"/>
  <c r="V250" i="28" s="1"/>
  <c r="R245" i="28"/>
  <c r="V245" i="28" s="1"/>
  <c r="R243" i="28"/>
  <c r="V243" i="28" s="1"/>
  <c r="R241" i="28"/>
  <c r="V241" i="28" s="1"/>
  <c r="R240" i="28"/>
  <c r="V240" i="28" s="1"/>
  <c r="R238" i="28"/>
  <c r="V238" i="28" s="1"/>
  <c r="R233" i="28"/>
  <c r="V233" i="28" s="1"/>
  <c r="R231" i="28"/>
  <c r="V231" i="28" s="1"/>
  <c r="R229" i="28"/>
  <c r="V229" i="28" s="1"/>
  <c r="R228" i="28"/>
  <c r="V228" i="28" s="1"/>
  <c r="R226" i="28"/>
  <c r="V226" i="28" s="1"/>
  <c r="R221" i="28"/>
  <c r="V221" i="28" s="1"/>
  <c r="R219" i="28"/>
  <c r="V219" i="28" s="1"/>
  <c r="R217" i="28"/>
  <c r="V217" i="28" s="1"/>
  <c r="R216" i="28"/>
  <c r="V216" i="28" s="1"/>
  <c r="R214" i="28"/>
  <c r="V214" i="28" s="1"/>
  <c r="R209" i="28"/>
  <c r="V209" i="28" s="1"/>
  <c r="R207" i="28"/>
  <c r="V207" i="28" s="1"/>
  <c r="R205" i="28"/>
  <c r="V205" i="28" s="1"/>
  <c r="R204" i="28"/>
  <c r="V204" i="28" s="1"/>
  <c r="R202" i="28"/>
  <c r="V202" i="28" s="1"/>
  <c r="R197" i="28"/>
  <c r="V197" i="28" s="1"/>
  <c r="R195" i="28"/>
  <c r="V195" i="28" s="1"/>
  <c r="R193" i="28"/>
  <c r="V193" i="28" s="1"/>
  <c r="R192" i="28"/>
  <c r="V192" i="28" s="1"/>
  <c r="R190" i="28"/>
  <c r="V190" i="28" s="1"/>
  <c r="R185" i="28"/>
  <c r="V185" i="28" s="1"/>
  <c r="R183" i="28"/>
  <c r="V183" i="28" s="1"/>
  <c r="R181" i="28"/>
  <c r="V181" i="28" s="1"/>
  <c r="R180" i="28"/>
  <c r="V180" i="28" s="1"/>
  <c r="R178" i="28"/>
  <c r="V178" i="28" s="1"/>
  <c r="R173" i="28"/>
  <c r="V173" i="28" s="1"/>
  <c r="R171" i="28"/>
  <c r="V171" i="28" s="1"/>
  <c r="R169" i="28"/>
  <c r="V169" i="28" s="1"/>
  <c r="R168" i="28"/>
  <c r="V168" i="28" s="1"/>
  <c r="R166" i="28"/>
  <c r="V166" i="28" s="1"/>
  <c r="R161" i="28"/>
  <c r="V161" i="28" s="1"/>
  <c r="R159" i="28"/>
  <c r="V159" i="28" s="1"/>
  <c r="R157" i="28"/>
  <c r="V157" i="28" s="1"/>
  <c r="R156" i="28"/>
  <c r="V156" i="28" s="1"/>
  <c r="R154" i="28"/>
  <c r="V154" i="28" s="1"/>
  <c r="R149" i="28"/>
  <c r="V149" i="28" s="1"/>
  <c r="R147" i="28"/>
  <c r="V147" i="28" s="1"/>
  <c r="R145" i="28"/>
  <c r="V145" i="28" s="1"/>
  <c r="R144" i="28"/>
  <c r="V144" i="28" s="1"/>
  <c r="R142" i="28"/>
  <c r="V142" i="28" s="1"/>
  <c r="R137" i="28"/>
  <c r="V137" i="28" s="1"/>
  <c r="R135" i="28"/>
  <c r="V135" i="28" s="1"/>
  <c r="R133" i="28"/>
  <c r="V133" i="28" s="1"/>
  <c r="R132" i="28"/>
  <c r="V132" i="28" s="1"/>
  <c r="R130" i="28"/>
  <c r="V130" i="28" s="1"/>
  <c r="R125" i="28"/>
  <c r="V125" i="28" s="1"/>
  <c r="R123" i="28"/>
  <c r="V123" i="28" s="1"/>
  <c r="R121" i="28"/>
  <c r="V121" i="28" s="1"/>
  <c r="R120" i="28"/>
  <c r="V120" i="28" s="1"/>
  <c r="R118" i="28"/>
  <c r="V118" i="28" s="1"/>
  <c r="R113" i="28"/>
  <c r="V113" i="28" s="1"/>
  <c r="R111" i="28"/>
  <c r="V111" i="28" s="1"/>
  <c r="R109" i="28"/>
  <c r="V109" i="28" s="1"/>
  <c r="R108" i="28"/>
  <c r="V108" i="28" s="1"/>
  <c r="R106" i="28"/>
  <c r="V106" i="28" s="1"/>
  <c r="R60" i="28"/>
  <c r="V60" i="28" s="1"/>
  <c r="R59" i="28"/>
  <c r="V59" i="28" s="1"/>
  <c r="R58" i="28"/>
  <c r="V58" i="28" s="1"/>
  <c r="R55" i="28"/>
  <c r="V55" i="28" s="1"/>
  <c r="R54" i="28"/>
  <c r="V54" i="28" s="1"/>
  <c r="R53" i="28"/>
  <c r="V53" i="28" s="1"/>
  <c r="R47" i="28"/>
  <c r="V47" i="28" s="1"/>
  <c r="R46" i="28"/>
  <c r="V46" i="28" s="1"/>
  <c r="R39" i="28"/>
  <c r="R35" i="28"/>
  <c r="R25" i="28"/>
  <c r="V25" i="28" s="1"/>
  <c r="R24" i="28"/>
  <c r="V24" i="28" s="1"/>
  <c r="R9" i="28"/>
  <c r="V9" i="28" s="1"/>
  <c r="N629" i="28"/>
  <c r="R629" i="28" s="1"/>
  <c r="V629" i="28" s="1"/>
  <c r="N628" i="28"/>
  <c r="R628" i="28" s="1"/>
  <c r="V628" i="28" s="1"/>
  <c r="N627" i="28"/>
  <c r="N626" i="28"/>
  <c r="N625" i="28"/>
  <c r="N624" i="28"/>
  <c r="N623" i="28"/>
  <c r="N622" i="28"/>
  <c r="N621" i="28"/>
  <c r="N620" i="28"/>
  <c r="N619" i="28"/>
  <c r="N618" i="28"/>
  <c r="N617" i="28"/>
  <c r="N616" i="28"/>
  <c r="N615" i="28"/>
  <c r="N614" i="28"/>
  <c r="N613" i="28"/>
  <c r="N612" i="28"/>
  <c r="N611" i="28"/>
  <c r="N610" i="28"/>
  <c r="N609" i="28"/>
  <c r="N608" i="28"/>
  <c r="N607" i="28"/>
  <c r="N606" i="28"/>
  <c r="N605" i="28"/>
  <c r="N604" i="28"/>
  <c r="N603" i="28"/>
  <c r="N602" i="28"/>
  <c r="N601" i="28"/>
  <c r="N600" i="28"/>
  <c r="N599" i="28"/>
  <c r="N598" i="28"/>
  <c r="N597" i="28"/>
  <c r="N596" i="28"/>
  <c r="N595" i="28"/>
  <c r="N594" i="28"/>
  <c r="N593" i="28"/>
  <c r="N592" i="28"/>
  <c r="N591" i="28"/>
  <c r="N590" i="28"/>
  <c r="N589" i="28"/>
  <c r="N588" i="28"/>
  <c r="N587" i="28"/>
  <c r="N586" i="28"/>
  <c r="N585" i="28"/>
  <c r="N584" i="28"/>
  <c r="N583" i="28"/>
  <c r="N582" i="28"/>
  <c r="N581" i="28"/>
  <c r="N580" i="28"/>
  <c r="N579" i="28"/>
  <c r="N578" i="28"/>
  <c r="N577" i="28"/>
  <c r="N576" i="28"/>
  <c r="N575" i="28"/>
  <c r="N574" i="28"/>
  <c r="N573" i="28"/>
  <c r="N572" i="28"/>
  <c r="N571" i="28"/>
  <c r="N570" i="28"/>
  <c r="N569" i="28"/>
  <c r="N568" i="28"/>
  <c r="N567" i="28"/>
  <c r="N566" i="28"/>
  <c r="N565" i="28"/>
  <c r="N564" i="28"/>
  <c r="N563" i="28"/>
  <c r="N562" i="28"/>
  <c r="N561" i="28"/>
  <c r="N560" i="28"/>
  <c r="N559" i="28"/>
  <c r="N554" i="28"/>
  <c r="N553" i="28"/>
  <c r="N537" i="28"/>
  <c r="N534" i="28"/>
  <c r="N533" i="28"/>
  <c r="N532" i="28"/>
  <c r="N531" i="28"/>
  <c r="N528" i="28"/>
  <c r="N527" i="28"/>
  <c r="N525" i="28"/>
  <c r="N524" i="28"/>
  <c r="N523" i="28"/>
  <c r="N520" i="28"/>
  <c r="N519" i="28"/>
  <c r="N518" i="28"/>
  <c r="N517" i="28"/>
  <c r="N516" i="28"/>
  <c r="N515" i="28"/>
  <c r="N514" i="28"/>
  <c r="N513" i="28"/>
  <c r="N512" i="28"/>
  <c r="N511" i="28"/>
  <c r="N510" i="28"/>
  <c r="N509" i="28"/>
  <c r="R509" i="28" s="1"/>
  <c r="V509" i="28" s="1"/>
  <c r="N508" i="28"/>
  <c r="R508" i="28" s="1"/>
  <c r="V508" i="28" s="1"/>
  <c r="N507" i="28"/>
  <c r="R507" i="28" s="1"/>
  <c r="V507" i="28" s="1"/>
  <c r="N506" i="28"/>
  <c r="N504" i="28"/>
  <c r="N501" i="28"/>
  <c r="N500" i="28"/>
  <c r="N499" i="28"/>
  <c r="R499" i="28" s="1"/>
  <c r="V499" i="28" s="1"/>
  <c r="N498" i="28"/>
  <c r="R498" i="28" s="1"/>
  <c r="V498" i="28" s="1"/>
  <c r="N497" i="28"/>
  <c r="N496" i="28"/>
  <c r="N495" i="28"/>
  <c r="N494" i="28"/>
  <c r="N493" i="28"/>
  <c r="R493" i="28" s="1"/>
  <c r="V493" i="28" s="1"/>
  <c r="N492" i="28"/>
  <c r="N491" i="28"/>
  <c r="N490" i="28"/>
  <c r="N489" i="28"/>
  <c r="N488" i="28"/>
  <c r="N487" i="28"/>
  <c r="R487" i="28" s="1"/>
  <c r="V487" i="28" s="1"/>
  <c r="N486" i="28"/>
  <c r="N485" i="28"/>
  <c r="N484" i="28"/>
  <c r="N483" i="28"/>
  <c r="N482" i="28"/>
  <c r="N481" i="28"/>
  <c r="N480" i="28"/>
  <c r="N479" i="28"/>
  <c r="N478" i="28"/>
  <c r="N477" i="28"/>
  <c r="N476" i="28"/>
  <c r="N475" i="28"/>
  <c r="N474" i="28"/>
  <c r="N472" i="28"/>
  <c r="N471" i="28"/>
  <c r="N469" i="28"/>
  <c r="R469" i="28" s="1"/>
  <c r="V469" i="28" s="1"/>
  <c r="N466" i="28"/>
  <c r="N465" i="28"/>
  <c r="N459" i="28"/>
  <c r="N458" i="28"/>
  <c r="N457" i="28"/>
  <c r="N456" i="28"/>
  <c r="N455" i="28"/>
  <c r="N454" i="28"/>
  <c r="N453" i="28"/>
  <c r="R453" i="28" s="1"/>
  <c r="V453" i="28" s="1"/>
  <c r="N452" i="28"/>
  <c r="N451" i="28"/>
  <c r="N450" i="28"/>
  <c r="N449" i="28"/>
  <c r="N448" i="28"/>
  <c r="N447" i="28"/>
  <c r="N443" i="28"/>
  <c r="R443" i="28" s="1"/>
  <c r="V443" i="28" s="1"/>
  <c r="N442" i="28"/>
  <c r="R442" i="28" s="1"/>
  <c r="V442" i="28" s="1"/>
  <c r="N441" i="28"/>
  <c r="N440" i="28"/>
  <c r="R440" i="28" s="1"/>
  <c r="V440" i="28" s="1"/>
  <c r="N439" i="28"/>
  <c r="R439" i="28" s="1"/>
  <c r="V439" i="28" s="1"/>
  <c r="N438" i="28"/>
  <c r="R438" i="28" s="1"/>
  <c r="V438" i="28" s="1"/>
  <c r="N437" i="28"/>
  <c r="R437" i="28" s="1"/>
  <c r="V437" i="28" s="1"/>
  <c r="N436" i="28"/>
  <c r="R436" i="28" s="1"/>
  <c r="V436" i="28" s="1"/>
  <c r="N435" i="28"/>
  <c r="R435" i="28" s="1"/>
  <c r="V435" i="28" s="1"/>
  <c r="N434" i="28"/>
  <c r="R434" i="28" s="1"/>
  <c r="V434" i="28" s="1"/>
  <c r="N433" i="28"/>
  <c r="R433" i="28" s="1"/>
  <c r="V433" i="28" s="1"/>
  <c r="N432" i="28"/>
  <c r="R432" i="28" s="1"/>
  <c r="V432" i="28" s="1"/>
  <c r="N431" i="28"/>
  <c r="R431" i="28" s="1"/>
  <c r="V431" i="28" s="1"/>
  <c r="N430" i="28"/>
  <c r="R430" i="28" s="1"/>
  <c r="V430" i="28" s="1"/>
  <c r="N429" i="28"/>
  <c r="N428" i="28"/>
  <c r="R428" i="28" s="1"/>
  <c r="V428" i="28" s="1"/>
  <c r="N427" i="28"/>
  <c r="R427" i="28" s="1"/>
  <c r="V427" i="28" s="1"/>
  <c r="N426" i="28"/>
  <c r="R426" i="28" s="1"/>
  <c r="V426" i="28" s="1"/>
  <c r="N425" i="28"/>
  <c r="R425" i="28" s="1"/>
  <c r="V425" i="28" s="1"/>
  <c r="N424" i="28"/>
  <c r="R424" i="28" s="1"/>
  <c r="V424" i="28" s="1"/>
  <c r="N423" i="28"/>
  <c r="R423" i="28" s="1"/>
  <c r="V423" i="28" s="1"/>
  <c r="N422" i="28"/>
  <c r="R422" i="28" s="1"/>
  <c r="V422" i="28" s="1"/>
  <c r="N421" i="28"/>
  <c r="R421" i="28" s="1"/>
  <c r="V421" i="28" s="1"/>
  <c r="N420" i="28"/>
  <c r="R420" i="28" s="1"/>
  <c r="V420" i="28" s="1"/>
  <c r="N419" i="28"/>
  <c r="R419" i="28" s="1"/>
  <c r="V419" i="28" s="1"/>
  <c r="N418" i="28"/>
  <c r="R418" i="28" s="1"/>
  <c r="V418" i="28" s="1"/>
  <c r="N417" i="28"/>
  <c r="N416" i="28"/>
  <c r="R416" i="28" s="1"/>
  <c r="V416" i="28" s="1"/>
  <c r="N415" i="28"/>
  <c r="R415" i="28" s="1"/>
  <c r="V415" i="28" s="1"/>
  <c r="N414" i="28"/>
  <c r="R414" i="28" s="1"/>
  <c r="V414" i="28" s="1"/>
  <c r="N413" i="28"/>
  <c r="R413" i="28" s="1"/>
  <c r="V413" i="28" s="1"/>
  <c r="N412" i="28"/>
  <c r="R412" i="28" s="1"/>
  <c r="V412" i="28" s="1"/>
  <c r="N411" i="28"/>
  <c r="R411" i="28" s="1"/>
  <c r="V411" i="28" s="1"/>
  <c r="N410" i="28"/>
  <c r="R410" i="28" s="1"/>
  <c r="V410" i="28" s="1"/>
  <c r="N409" i="28"/>
  <c r="R409" i="28" s="1"/>
  <c r="V409" i="28" s="1"/>
  <c r="N408" i="28"/>
  <c r="R408" i="28" s="1"/>
  <c r="V408" i="28" s="1"/>
  <c r="N407" i="28"/>
  <c r="R407" i="28" s="1"/>
  <c r="V407" i="28" s="1"/>
  <c r="N406" i="28"/>
  <c r="R406" i="28" s="1"/>
  <c r="V406" i="28" s="1"/>
  <c r="N405" i="28"/>
  <c r="N404" i="28"/>
  <c r="R404" i="28" s="1"/>
  <c r="V404" i="28" s="1"/>
  <c r="N403" i="28"/>
  <c r="R403" i="28" s="1"/>
  <c r="V403" i="28" s="1"/>
  <c r="N402" i="28"/>
  <c r="R402" i="28" s="1"/>
  <c r="V402" i="28" s="1"/>
  <c r="N401" i="28"/>
  <c r="R401" i="28" s="1"/>
  <c r="V401" i="28" s="1"/>
  <c r="N400" i="28"/>
  <c r="R400" i="28" s="1"/>
  <c r="V400" i="28" s="1"/>
  <c r="N399" i="28"/>
  <c r="R399" i="28" s="1"/>
  <c r="V399" i="28" s="1"/>
  <c r="N398" i="28"/>
  <c r="R398" i="28" s="1"/>
  <c r="V398" i="28" s="1"/>
  <c r="N397" i="28"/>
  <c r="R397" i="28" s="1"/>
  <c r="V397" i="28" s="1"/>
  <c r="N396" i="28"/>
  <c r="R396" i="28" s="1"/>
  <c r="V396" i="28" s="1"/>
  <c r="N395" i="28"/>
  <c r="R395" i="28" s="1"/>
  <c r="V395" i="28" s="1"/>
  <c r="N394" i="28"/>
  <c r="R394" i="28" s="1"/>
  <c r="V394" i="28" s="1"/>
  <c r="N393" i="28"/>
  <c r="N392" i="28"/>
  <c r="R392" i="28" s="1"/>
  <c r="V392" i="28" s="1"/>
  <c r="N391" i="28"/>
  <c r="R391" i="28" s="1"/>
  <c r="V391" i="28" s="1"/>
  <c r="N390" i="28"/>
  <c r="R390" i="28" s="1"/>
  <c r="V390" i="28" s="1"/>
  <c r="N389" i="28"/>
  <c r="R389" i="28" s="1"/>
  <c r="V389" i="28" s="1"/>
  <c r="N388" i="28"/>
  <c r="R388" i="28" s="1"/>
  <c r="V388" i="28" s="1"/>
  <c r="N387" i="28"/>
  <c r="R387" i="28" s="1"/>
  <c r="V387" i="28" s="1"/>
  <c r="N386" i="28"/>
  <c r="R386" i="28" s="1"/>
  <c r="V386" i="28" s="1"/>
  <c r="N385" i="28"/>
  <c r="R385" i="28" s="1"/>
  <c r="V385" i="28" s="1"/>
  <c r="N384" i="28"/>
  <c r="R384" i="28" s="1"/>
  <c r="V384" i="28" s="1"/>
  <c r="N383" i="28"/>
  <c r="R383" i="28" s="1"/>
  <c r="V383" i="28" s="1"/>
  <c r="N382" i="28"/>
  <c r="R382" i="28" s="1"/>
  <c r="V382" i="28" s="1"/>
  <c r="N381" i="28"/>
  <c r="N380" i="28"/>
  <c r="R380" i="28" s="1"/>
  <c r="V380" i="28" s="1"/>
  <c r="N379" i="28"/>
  <c r="R379" i="28" s="1"/>
  <c r="V379" i="28" s="1"/>
  <c r="N378" i="28"/>
  <c r="R378" i="28" s="1"/>
  <c r="V378" i="28" s="1"/>
  <c r="N377" i="28"/>
  <c r="R377" i="28" s="1"/>
  <c r="V377" i="28" s="1"/>
  <c r="N376" i="28"/>
  <c r="R376" i="28" s="1"/>
  <c r="V376" i="28" s="1"/>
  <c r="N375" i="28"/>
  <c r="R375" i="28" s="1"/>
  <c r="V375" i="28" s="1"/>
  <c r="N374" i="28"/>
  <c r="R374" i="28" s="1"/>
  <c r="V374" i="28" s="1"/>
  <c r="N373" i="28"/>
  <c r="R373" i="28" s="1"/>
  <c r="V373" i="28" s="1"/>
  <c r="N372" i="28"/>
  <c r="R372" i="28" s="1"/>
  <c r="V372" i="28" s="1"/>
  <c r="N371" i="28"/>
  <c r="R371" i="28" s="1"/>
  <c r="V371" i="28" s="1"/>
  <c r="N370" i="28"/>
  <c r="R370" i="28" s="1"/>
  <c r="V370" i="28" s="1"/>
  <c r="N369" i="28"/>
  <c r="N368" i="28"/>
  <c r="R368" i="28" s="1"/>
  <c r="V368" i="28" s="1"/>
  <c r="N367" i="28"/>
  <c r="R367" i="28" s="1"/>
  <c r="V367" i="28" s="1"/>
  <c r="N366" i="28"/>
  <c r="R366" i="28" s="1"/>
  <c r="V366" i="28" s="1"/>
  <c r="N365" i="28"/>
  <c r="R365" i="28" s="1"/>
  <c r="V365" i="28" s="1"/>
  <c r="N364" i="28"/>
  <c r="R364" i="28" s="1"/>
  <c r="V364" i="28" s="1"/>
  <c r="N363" i="28"/>
  <c r="R363" i="28" s="1"/>
  <c r="V363" i="28" s="1"/>
  <c r="N362" i="28"/>
  <c r="R362" i="28" s="1"/>
  <c r="V362" i="28" s="1"/>
  <c r="N361" i="28"/>
  <c r="R361" i="28" s="1"/>
  <c r="V361" i="28" s="1"/>
  <c r="N360" i="28"/>
  <c r="R360" i="28" s="1"/>
  <c r="V360" i="28" s="1"/>
  <c r="N359" i="28"/>
  <c r="R359" i="28" s="1"/>
  <c r="V359" i="28" s="1"/>
  <c r="N358" i="28"/>
  <c r="R358" i="28" s="1"/>
  <c r="V358" i="28" s="1"/>
  <c r="N357" i="28"/>
  <c r="N356" i="28"/>
  <c r="R356" i="28" s="1"/>
  <c r="V356" i="28" s="1"/>
  <c r="N355" i="28"/>
  <c r="R355" i="28" s="1"/>
  <c r="V355" i="28" s="1"/>
  <c r="N354" i="28"/>
  <c r="R354" i="28" s="1"/>
  <c r="V354" i="28" s="1"/>
  <c r="N353" i="28"/>
  <c r="R353" i="28" s="1"/>
  <c r="V353" i="28" s="1"/>
  <c r="N352" i="28"/>
  <c r="R352" i="28" s="1"/>
  <c r="V352" i="28" s="1"/>
  <c r="N351" i="28"/>
  <c r="R351" i="28" s="1"/>
  <c r="V351" i="28" s="1"/>
  <c r="N350" i="28"/>
  <c r="R350" i="28" s="1"/>
  <c r="V350" i="28" s="1"/>
  <c r="N349" i="28"/>
  <c r="R349" i="28" s="1"/>
  <c r="V349" i="28" s="1"/>
  <c r="N348" i="28"/>
  <c r="R348" i="28" s="1"/>
  <c r="V348" i="28" s="1"/>
  <c r="N347" i="28"/>
  <c r="R347" i="28" s="1"/>
  <c r="V347" i="28" s="1"/>
  <c r="N346" i="28"/>
  <c r="R346" i="28" s="1"/>
  <c r="V346" i="28" s="1"/>
  <c r="N345" i="28"/>
  <c r="N344" i="28"/>
  <c r="R344" i="28" s="1"/>
  <c r="V344" i="28" s="1"/>
  <c r="N343" i="28"/>
  <c r="R343" i="28" s="1"/>
  <c r="V343" i="28" s="1"/>
  <c r="N342" i="28"/>
  <c r="R342" i="28" s="1"/>
  <c r="V342" i="28" s="1"/>
  <c r="N341" i="28"/>
  <c r="R341" i="28" s="1"/>
  <c r="V341" i="28" s="1"/>
  <c r="N340" i="28"/>
  <c r="R340" i="28" s="1"/>
  <c r="V340" i="28" s="1"/>
  <c r="N339" i="28"/>
  <c r="R339" i="28" s="1"/>
  <c r="V339" i="28" s="1"/>
  <c r="N338" i="28"/>
  <c r="R338" i="28" s="1"/>
  <c r="V338" i="28" s="1"/>
  <c r="N337" i="28"/>
  <c r="R337" i="28" s="1"/>
  <c r="V337" i="28" s="1"/>
  <c r="N336" i="28"/>
  <c r="R336" i="28" s="1"/>
  <c r="V336" i="28" s="1"/>
  <c r="N332" i="28"/>
  <c r="R332" i="28" s="1"/>
  <c r="V332" i="28" s="1"/>
  <c r="N331" i="28"/>
  <c r="N330" i="28"/>
  <c r="N329" i="28"/>
  <c r="N328" i="28"/>
  <c r="N326" i="28"/>
  <c r="R326" i="28" s="1"/>
  <c r="V326" i="28" s="1"/>
  <c r="N324" i="28"/>
  <c r="R324" i="28" s="1"/>
  <c r="V324" i="28" s="1"/>
  <c r="N323" i="28"/>
  <c r="R323" i="28" s="1"/>
  <c r="V323" i="28" s="1"/>
  <c r="N322" i="28"/>
  <c r="R322" i="28" s="1"/>
  <c r="V322" i="28" s="1"/>
  <c r="N321" i="28"/>
  <c r="R321" i="28" s="1"/>
  <c r="V321" i="28" s="1"/>
  <c r="N320" i="28"/>
  <c r="R320" i="28" s="1"/>
  <c r="V320" i="28" s="1"/>
  <c r="N319" i="28"/>
  <c r="R319" i="28" s="1"/>
  <c r="V319" i="28" s="1"/>
  <c r="N318" i="28"/>
  <c r="R318" i="28" s="1"/>
  <c r="V318" i="28" s="1"/>
  <c r="N317" i="28"/>
  <c r="N316" i="28"/>
  <c r="N315" i="28"/>
  <c r="N314" i="28"/>
  <c r="R314" i="28" s="1"/>
  <c r="V314" i="28" s="1"/>
  <c r="N313" i="28"/>
  <c r="R313" i="28" s="1"/>
  <c r="V313" i="28" s="1"/>
  <c r="N312" i="28"/>
  <c r="R312" i="28" s="1"/>
  <c r="V312" i="28" s="1"/>
  <c r="N311" i="28"/>
  <c r="R311" i="28" s="1"/>
  <c r="V311" i="28" s="1"/>
  <c r="N310" i="28"/>
  <c r="R310" i="28" s="1"/>
  <c r="V310" i="28" s="1"/>
  <c r="N309" i="28"/>
  <c r="R309" i="28" s="1"/>
  <c r="V309" i="28" s="1"/>
  <c r="N308" i="28"/>
  <c r="R308" i="28" s="1"/>
  <c r="V308" i="28" s="1"/>
  <c r="N307" i="28"/>
  <c r="R307" i="28" s="1"/>
  <c r="V307" i="28" s="1"/>
  <c r="N306" i="28"/>
  <c r="R306" i="28" s="1"/>
  <c r="V306" i="28" s="1"/>
  <c r="N305" i="28"/>
  <c r="N304" i="28"/>
  <c r="N303" i="28"/>
  <c r="N302" i="28"/>
  <c r="R302" i="28" s="1"/>
  <c r="V302" i="28" s="1"/>
  <c r="N301" i="28"/>
  <c r="N300" i="28"/>
  <c r="R300" i="28" s="1"/>
  <c r="V300" i="28" s="1"/>
  <c r="N299" i="28"/>
  <c r="R299" i="28" s="1"/>
  <c r="V299" i="28" s="1"/>
  <c r="N298" i="28"/>
  <c r="R298" i="28" s="1"/>
  <c r="V298" i="28" s="1"/>
  <c r="N297" i="28"/>
  <c r="R297" i="28" s="1"/>
  <c r="V297" i="28" s="1"/>
  <c r="N296" i="28"/>
  <c r="R296" i="28" s="1"/>
  <c r="V296" i="28" s="1"/>
  <c r="N295" i="28"/>
  <c r="R295" i="28" s="1"/>
  <c r="V295" i="28" s="1"/>
  <c r="N294" i="28"/>
  <c r="R294" i="28" s="1"/>
  <c r="V294" i="28" s="1"/>
  <c r="N293" i="28"/>
  <c r="N292" i="28"/>
  <c r="N291" i="28"/>
  <c r="N290" i="28"/>
  <c r="R290" i="28" s="1"/>
  <c r="V290" i="28" s="1"/>
  <c r="N289" i="28"/>
  <c r="N288" i="28"/>
  <c r="N287" i="28"/>
  <c r="N283" i="28"/>
  <c r="N281" i="28"/>
  <c r="R281" i="28" s="1"/>
  <c r="V281" i="28" s="1"/>
  <c r="N279" i="28"/>
  <c r="R279" i="28" s="1"/>
  <c r="V279" i="28" s="1"/>
  <c r="N277" i="28"/>
  <c r="R277" i="28" s="1"/>
  <c r="V277" i="28" s="1"/>
  <c r="N275" i="28"/>
  <c r="N273" i="28"/>
  <c r="R273" i="28" s="1"/>
  <c r="V273" i="28" s="1"/>
  <c r="N271" i="28"/>
  <c r="R271" i="28" s="1"/>
  <c r="V271" i="28" s="1"/>
  <c r="N269" i="28"/>
  <c r="R269" i="28" s="1"/>
  <c r="V269" i="28" s="1"/>
  <c r="N267" i="28"/>
  <c r="R267" i="28" s="1"/>
  <c r="V267" i="28" s="1"/>
  <c r="N265" i="28"/>
  <c r="N263" i="28"/>
  <c r="R263" i="28" s="1"/>
  <c r="V263" i="28" s="1"/>
  <c r="N258" i="28"/>
  <c r="R258" i="28" s="1"/>
  <c r="V258" i="28" s="1"/>
  <c r="N257" i="28"/>
  <c r="R257" i="28" s="1"/>
  <c r="V257" i="28" s="1"/>
  <c r="N256" i="28"/>
  <c r="N255" i="28"/>
  <c r="N254" i="28"/>
  <c r="R254" i="28" s="1"/>
  <c r="V254" i="28" s="1"/>
  <c r="N253" i="28"/>
  <c r="N252" i="28"/>
  <c r="N251" i="28"/>
  <c r="R251" i="28" s="1"/>
  <c r="V251" i="28" s="1"/>
  <c r="N250" i="28"/>
  <c r="N249" i="28"/>
  <c r="R249" i="28" s="1"/>
  <c r="V249" i="28" s="1"/>
  <c r="N248" i="28"/>
  <c r="R248" i="28" s="1"/>
  <c r="V248" i="28" s="1"/>
  <c r="N247" i="28"/>
  <c r="R247" i="28" s="1"/>
  <c r="V247" i="28" s="1"/>
  <c r="N246" i="28"/>
  <c r="R246" i="28" s="1"/>
  <c r="V246" i="28" s="1"/>
  <c r="N245" i="28"/>
  <c r="N244" i="28"/>
  <c r="R244" i="28" s="1"/>
  <c r="V244" i="28" s="1"/>
  <c r="N243" i="28"/>
  <c r="N242" i="28"/>
  <c r="R242" i="28" s="1"/>
  <c r="V242" i="28" s="1"/>
  <c r="N241" i="28"/>
  <c r="N240" i="28"/>
  <c r="N239" i="28"/>
  <c r="R239" i="28" s="1"/>
  <c r="V239" i="28" s="1"/>
  <c r="N238" i="28"/>
  <c r="N237" i="28"/>
  <c r="R237" i="28" s="1"/>
  <c r="V237" i="28" s="1"/>
  <c r="N236" i="28"/>
  <c r="R236" i="28" s="1"/>
  <c r="V236" i="28" s="1"/>
  <c r="N235" i="28"/>
  <c r="R235" i="28" s="1"/>
  <c r="V235" i="28" s="1"/>
  <c r="N234" i="28"/>
  <c r="R234" i="28" s="1"/>
  <c r="V234" i="28" s="1"/>
  <c r="N233" i="28"/>
  <c r="N232" i="28"/>
  <c r="R232" i="28" s="1"/>
  <c r="V232" i="28" s="1"/>
  <c r="N231" i="28"/>
  <c r="N230" i="28"/>
  <c r="R230" i="28" s="1"/>
  <c r="V230" i="28" s="1"/>
  <c r="N229" i="28"/>
  <c r="N228" i="28"/>
  <c r="N227" i="28"/>
  <c r="R227" i="28" s="1"/>
  <c r="V227" i="28" s="1"/>
  <c r="N226" i="28"/>
  <c r="N225" i="28"/>
  <c r="R225" i="28" s="1"/>
  <c r="V225" i="28" s="1"/>
  <c r="N224" i="28"/>
  <c r="R224" i="28" s="1"/>
  <c r="V224" i="28" s="1"/>
  <c r="N223" i="28"/>
  <c r="R223" i="28" s="1"/>
  <c r="V223" i="28" s="1"/>
  <c r="N222" i="28"/>
  <c r="R222" i="28" s="1"/>
  <c r="V222" i="28" s="1"/>
  <c r="N221" i="28"/>
  <c r="N220" i="28"/>
  <c r="R220" i="28" s="1"/>
  <c r="V220" i="28" s="1"/>
  <c r="N219" i="28"/>
  <c r="N218" i="28"/>
  <c r="R218" i="28" s="1"/>
  <c r="V218" i="28" s="1"/>
  <c r="N217" i="28"/>
  <c r="N216" i="28"/>
  <c r="N215" i="28"/>
  <c r="R215" i="28" s="1"/>
  <c r="V215" i="28" s="1"/>
  <c r="N214" i="28"/>
  <c r="N213" i="28"/>
  <c r="R213" i="28" s="1"/>
  <c r="V213" i="28" s="1"/>
  <c r="N212" i="28"/>
  <c r="R212" i="28" s="1"/>
  <c r="V212" i="28" s="1"/>
  <c r="N211" i="28"/>
  <c r="R211" i="28" s="1"/>
  <c r="V211" i="28" s="1"/>
  <c r="N210" i="28"/>
  <c r="R210" i="28" s="1"/>
  <c r="V210" i="28" s="1"/>
  <c r="N209" i="28"/>
  <c r="N208" i="28"/>
  <c r="R208" i="28" s="1"/>
  <c r="V208" i="28" s="1"/>
  <c r="N207" i="28"/>
  <c r="N206" i="28"/>
  <c r="R206" i="28" s="1"/>
  <c r="V206" i="28" s="1"/>
  <c r="N205" i="28"/>
  <c r="N204" i="28"/>
  <c r="N203" i="28"/>
  <c r="R203" i="28" s="1"/>
  <c r="V203" i="28" s="1"/>
  <c r="N202" i="28"/>
  <c r="N201" i="28"/>
  <c r="R201" i="28" s="1"/>
  <c r="V201" i="28" s="1"/>
  <c r="N200" i="28"/>
  <c r="R200" i="28" s="1"/>
  <c r="V200" i="28" s="1"/>
  <c r="N199" i="28"/>
  <c r="R199" i="28" s="1"/>
  <c r="V199" i="28" s="1"/>
  <c r="N198" i="28"/>
  <c r="R198" i="28" s="1"/>
  <c r="V198" i="28" s="1"/>
  <c r="N197" i="28"/>
  <c r="N196" i="28"/>
  <c r="R196" i="28" s="1"/>
  <c r="V196" i="28" s="1"/>
  <c r="N195" i="28"/>
  <c r="N194" i="28"/>
  <c r="R194" i="28" s="1"/>
  <c r="V194" i="28" s="1"/>
  <c r="N193" i="28"/>
  <c r="N192" i="28"/>
  <c r="N191" i="28"/>
  <c r="R191" i="28" s="1"/>
  <c r="V191" i="28" s="1"/>
  <c r="N190" i="28"/>
  <c r="N189" i="28"/>
  <c r="R189" i="28" s="1"/>
  <c r="V189" i="28" s="1"/>
  <c r="N188" i="28"/>
  <c r="R188" i="28" s="1"/>
  <c r="V188" i="28" s="1"/>
  <c r="N187" i="28"/>
  <c r="R187" i="28" s="1"/>
  <c r="V187" i="28" s="1"/>
  <c r="N186" i="28"/>
  <c r="R186" i="28" s="1"/>
  <c r="V186" i="28" s="1"/>
  <c r="N185" i="28"/>
  <c r="N184" i="28"/>
  <c r="R184" i="28" s="1"/>
  <c r="V184" i="28" s="1"/>
  <c r="N183" i="28"/>
  <c r="N182" i="28"/>
  <c r="R182" i="28" s="1"/>
  <c r="V182" i="28" s="1"/>
  <c r="N181" i="28"/>
  <c r="N180" i="28"/>
  <c r="N179" i="28"/>
  <c r="R179" i="28" s="1"/>
  <c r="V179" i="28" s="1"/>
  <c r="N178" i="28"/>
  <c r="N177" i="28"/>
  <c r="R177" i="28" s="1"/>
  <c r="V177" i="28" s="1"/>
  <c r="N176" i="28"/>
  <c r="R176" i="28" s="1"/>
  <c r="V176" i="28" s="1"/>
  <c r="N175" i="28"/>
  <c r="R175" i="28" s="1"/>
  <c r="V175" i="28" s="1"/>
  <c r="N174" i="28"/>
  <c r="R174" i="28" s="1"/>
  <c r="V174" i="28" s="1"/>
  <c r="N173" i="28"/>
  <c r="N172" i="28"/>
  <c r="R172" i="28" s="1"/>
  <c r="V172" i="28" s="1"/>
  <c r="N171" i="28"/>
  <c r="N170" i="28"/>
  <c r="R170" i="28" s="1"/>
  <c r="V170" i="28" s="1"/>
  <c r="N169" i="28"/>
  <c r="N168" i="28"/>
  <c r="N167" i="28"/>
  <c r="R167" i="28" s="1"/>
  <c r="V167" i="28" s="1"/>
  <c r="N166" i="28"/>
  <c r="N165" i="28"/>
  <c r="R165" i="28" s="1"/>
  <c r="V165" i="28" s="1"/>
  <c r="N164" i="28"/>
  <c r="R164" i="28" s="1"/>
  <c r="V164" i="28" s="1"/>
  <c r="N163" i="28"/>
  <c r="R163" i="28" s="1"/>
  <c r="V163" i="28" s="1"/>
  <c r="N162" i="28"/>
  <c r="R162" i="28" s="1"/>
  <c r="V162" i="28" s="1"/>
  <c r="N161" i="28"/>
  <c r="N160" i="28"/>
  <c r="R160" i="28" s="1"/>
  <c r="V160" i="28" s="1"/>
  <c r="N159" i="28"/>
  <c r="N158" i="28"/>
  <c r="R158" i="28" s="1"/>
  <c r="V158" i="28" s="1"/>
  <c r="N157" i="28"/>
  <c r="N156" i="28"/>
  <c r="N155" i="28"/>
  <c r="R155" i="28" s="1"/>
  <c r="V155" i="28" s="1"/>
  <c r="N154" i="28"/>
  <c r="N153" i="28"/>
  <c r="R153" i="28" s="1"/>
  <c r="V153" i="28" s="1"/>
  <c r="N152" i="28"/>
  <c r="R152" i="28" s="1"/>
  <c r="V152" i="28" s="1"/>
  <c r="N151" i="28"/>
  <c r="R151" i="28" s="1"/>
  <c r="V151" i="28" s="1"/>
  <c r="N150" i="28"/>
  <c r="R150" i="28" s="1"/>
  <c r="V150" i="28" s="1"/>
  <c r="N149" i="28"/>
  <c r="N148" i="28"/>
  <c r="R148" i="28" s="1"/>
  <c r="V148" i="28" s="1"/>
  <c r="N147" i="28"/>
  <c r="N146" i="28"/>
  <c r="R146" i="28" s="1"/>
  <c r="V146" i="28" s="1"/>
  <c r="N145" i="28"/>
  <c r="N144" i="28"/>
  <c r="N143" i="28"/>
  <c r="R143" i="28" s="1"/>
  <c r="V143" i="28" s="1"/>
  <c r="N142" i="28"/>
  <c r="N141" i="28"/>
  <c r="R141" i="28" s="1"/>
  <c r="V141" i="28" s="1"/>
  <c r="N140" i="28"/>
  <c r="R140" i="28" s="1"/>
  <c r="V140" i="28" s="1"/>
  <c r="N139" i="28"/>
  <c r="R139" i="28" s="1"/>
  <c r="V139" i="28" s="1"/>
  <c r="N138" i="28"/>
  <c r="R138" i="28" s="1"/>
  <c r="V138" i="28" s="1"/>
  <c r="N137" i="28"/>
  <c r="N136" i="28"/>
  <c r="R136" i="28" s="1"/>
  <c r="V136" i="28" s="1"/>
  <c r="N135" i="28"/>
  <c r="N134" i="28"/>
  <c r="R134" i="28" s="1"/>
  <c r="V134" i="28" s="1"/>
  <c r="N133" i="28"/>
  <c r="N132" i="28"/>
  <c r="N131" i="28"/>
  <c r="R131" i="28" s="1"/>
  <c r="V131" i="28" s="1"/>
  <c r="N130" i="28"/>
  <c r="N129" i="28"/>
  <c r="R129" i="28" s="1"/>
  <c r="V129" i="28" s="1"/>
  <c r="N128" i="28"/>
  <c r="R128" i="28" s="1"/>
  <c r="V128" i="28" s="1"/>
  <c r="N127" i="28"/>
  <c r="R127" i="28" s="1"/>
  <c r="V127" i="28" s="1"/>
  <c r="N126" i="28"/>
  <c r="R126" i="28" s="1"/>
  <c r="V126" i="28" s="1"/>
  <c r="N125" i="28"/>
  <c r="N124" i="28"/>
  <c r="R124" i="28" s="1"/>
  <c r="V124" i="28" s="1"/>
  <c r="N123" i="28"/>
  <c r="N122" i="28"/>
  <c r="R122" i="28" s="1"/>
  <c r="V122" i="28" s="1"/>
  <c r="N121" i="28"/>
  <c r="N120" i="28"/>
  <c r="N119" i="28"/>
  <c r="R119" i="28" s="1"/>
  <c r="V119" i="28" s="1"/>
  <c r="N118" i="28"/>
  <c r="N117" i="28"/>
  <c r="R117" i="28" s="1"/>
  <c r="V117" i="28" s="1"/>
  <c r="N116" i="28"/>
  <c r="R116" i="28" s="1"/>
  <c r="V116" i="28" s="1"/>
  <c r="N115" i="28"/>
  <c r="R115" i="28" s="1"/>
  <c r="V115" i="28" s="1"/>
  <c r="N114" i="28"/>
  <c r="R114" i="28" s="1"/>
  <c r="V114" i="28" s="1"/>
  <c r="N113" i="28"/>
  <c r="N112" i="28"/>
  <c r="R112" i="28" s="1"/>
  <c r="V112" i="28" s="1"/>
  <c r="N111" i="28"/>
  <c r="N110" i="28"/>
  <c r="R110" i="28" s="1"/>
  <c r="V110" i="28" s="1"/>
  <c r="N109" i="28"/>
  <c r="N108" i="28"/>
  <c r="N107" i="28"/>
  <c r="R107" i="28" s="1"/>
  <c r="V107" i="28" s="1"/>
  <c r="N106" i="28"/>
  <c r="N105" i="28"/>
  <c r="R105" i="28" s="1"/>
  <c r="V105" i="28" s="1"/>
  <c r="N104" i="28"/>
  <c r="R104" i="28" s="1"/>
  <c r="V104" i="28" s="1"/>
  <c r="N103" i="28"/>
  <c r="R103" i="28" s="1"/>
  <c r="V103" i="28" s="1"/>
  <c r="N102" i="28"/>
  <c r="R102" i="28" s="1"/>
  <c r="V102" i="28" s="1"/>
  <c r="N94" i="28"/>
  <c r="R94" i="28" s="1"/>
  <c r="V94" i="28" s="1"/>
  <c r="N93" i="28"/>
  <c r="R93" i="28" s="1"/>
  <c r="V93" i="28" s="1"/>
  <c r="N90" i="28"/>
  <c r="R90" i="28" s="1"/>
  <c r="V90" i="28" s="1"/>
  <c r="N89" i="28"/>
  <c r="R89" i="28" s="1"/>
  <c r="V89" i="28" s="1"/>
  <c r="N87" i="28"/>
  <c r="R87" i="28" s="1"/>
  <c r="V87" i="28" s="1"/>
  <c r="N86" i="28"/>
  <c r="R86" i="28" s="1"/>
  <c r="V86" i="28" s="1"/>
  <c r="N85" i="28"/>
  <c r="R85" i="28" s="1"/>
  <c r="V85" i="28" s="1"/>
  <c r="N82" i="28"/>
  <c r="R82" i="28" s="1"/>
  <c r="V82" i="28" s="1"/>
  <c r="N81" i="28"/>
  <c r="R81" i="28" s="1"/>
  <c r="V81" i="28" s="1"/>
  <c r="N60" i="28"/>
  <c r="N59" i="28"/>
  <c r="N58" i="28"/>
  <c r="N55" i="28"/>
  <c r="N54" i="28"/>
  <c r="N53" i="28"/>
  <c r="N52" i="28"/>
  <c r="R52" i="28" s="1"/>
  <c r="V52" i="28" s="1"/>
  <c r="N51" i="28"/>
  <c r="R51" i="28" s="1"/>
  <c r="V51" i="28" s="1"/>
  <c r="N50" i="28"/>
  <c r="R50" i="28" s="1"/>
  <c r="V50" i="28" s="1"/>
  <c r="N47" i="28"/>
  <c r="N46" i="28"/>
  <c r="N45" i="28"/>
  <c r="R45" i="28" s="1"/>
  <c r="V45" i="28" s="1"/>
  <c r="N44" i="28"/>
  <c r="R44" i="28" s="1"/>
  <c r="V44" i="28" s="1"/>
  <c r="N43" i="28"/>
  <c r="R43" i="28" s="1"/>
  <c r="V43" i="28" s="1"/>
  <c r="N42" i="28"/>
  <c r="R42" i="28" s="1"/>
  <c r="V42" i="28" s="1"/>
  <c r="N40" i="28"/>
  <c r="N39" i="28"/>
  <c r="N36" i="28"/>
  <c r="N35" i="28"/>
  <c r="N28" i="28"/>
  <c r="R28" i="28" s="1"/>
  <c r="V28" i="28" s="1"/>
  <c r="N27" i="28"/>
  <c r="R27" i="28" s="1"/>
  <c r="V27" i="28" s="1"/>
  <c r="N26" i="28"/>
  <c r="R26" i="28" s="1"/>
  <c r="V26" i="28" s="1"/>
  <c r="N25" i="28"/>
  <c r="N24" i="28"/>
  <c r="N23" i="28"/>
  <c r="R23" i="28" s="1"/>
  <c r="V23" i="28" s="1"/>
  <c r="N20" i="28"/>
  <c r="R20" i="28" s="1"/>
  <c r="V20" i="28" s="1"/>
  <c r="N19" i="28"/>
  <c r="R19" i="28" s="1"/>
  <c r="V19" i="28" s="1"/>
  <c r="N18" i="28"/>
  <c r="R18" i="28" s="1"/>
  <c r="V18" i="28" s="1"/>
  <c r="N17" i="28"/>
  <c r="R17" i="28" s="1"/>
  <c r="V17" i="28" s="1"/>
  <c r="N16" i="28"/>
  <c r="R16" i="28" s="1"/>
  <c r="V16" i="28" s="1"/>
  <c r="N15" i="28"/>
  <c r="R15" i="28" s="1"/>
  <c r="V15" i="28" s="1"/>
  <c r="N12" i="28"/>
  <c r="R12" i="28" s="1"/>
  <c r="V12" i="28" s="1"/>
  <c r="N11" i="28"/>
  <c r="R11" i="28" s="1"/>
  <c r="V11" i="28" s="1"/>
  <c r="N10" i="28"/>
  <c r="R10" i="28" s="1"/>
  <c r="V10" i="28" s="1"/>
  <c r="N9" i="28"/>
  <c r="N8" i="28"/>
  <c r="R8" i="28" s="1"/>
  <c r="V8" i="28" s="1"/>
  <c r="N7" i="28"/>
  <c r="R7" i="28" s="1"/>
  <c r="V7" i="28" s="1"/>
  <c r="L513" i="28"/>
  <c r="L511" i="28"/>
  <c r="L505" i="28"/>
  <c r="N505" i="28" s="1"/>
  <c r="R505" i="28" s="1"/>
  <c r="V505" i="28" s="1"/>
  <c r="L473" i="28"/>
  <c r="N473" i="28" s="1"/>
  <c r="R473" i="28" s="1"/>
  <c r="V473" i="28" s="1"/>
  <c r="L470" i="28"/>
  <c r="N470" i="28" s="1"/>
  <c r="R470" i="28" s="1"/>
  <c r="V470" i="28" s="1"/>
  <c r="L468" i="28"/>
  <c r="N468" i="28" s="1"/>
  <c r="R468" i="28" s="1"/>
  <c r="V468" i="28" s="1"/>
  <c r="L460" i="28"/>
  <c r="L549" i="28" s="1"/>
  <c r="N549" i="28" s="1"/>
  <c r="R549" i="28" s="1"/>
  <c r="V549" i="28" s="1"/>
  <c r="L444" i="28"/>
  <c r="L445" i="28" s="1"/>
  <c r="N445" i="28" s="1"/>
  <c r="R445" i="28" s="1"/>
  <c r="V445" i="28" s="1"/>
  <c r="L333" i="28"/>
  <c r="L545" i="28" s="1"/>
  <c r="N545" i="28" s="1"/>
  <c r="R545" i="28" s="1"/>
  <c r="V545" i="28" s="1"/>
  <c r="L327" i="28"/>
  <c r="L536" i="28" s="1"/>
  <c r="N536" i="28" s="1"/>
  <c r="L326" i="28"/>
  <c r="L325" i="28"/>
  <c r="N325" i="28" s="1"/>
  <c r="R325" i="28" s="1"/>
  <c r="V325" i="28" s="1"/>
  <c r="L284" i="28"/>
  <c r="L541" i="28" s="1"/>
  <c r="N541" i="28" s="1"/>
  <c r="R541" i="28" s="1"/>
  <c r="L260" i="28"/>
  <c r="N260" i="28" s="1"/>
  <c r="R260" i="28" s="1"/>
  <c r="V260" i="28" s="1"/>
  <c r="L259" i="28"/>
  <c r="N259" i="28" s="1"/>
  <c r="R259" i="28" s="1"/>
  <c r="V259" i="28" s="1"/>
  <c r="L98" i="28"/>
  <c r="N98" i="28" s="1"/>
  <c r="R98" i="28" s="1"/>
  <c r="V98" i="28" s="1"/>
  <c r="L97" i="28"/>
  <c r="L95" i="28"/>
  <c r="N95" i="28" s="1"/>
  <c r="R95" i="28" s="1"/>
  <c r="V95" i="28" s="1"/>
  <c r="L91" i="28"/>
  <c r="N91" i="28" s="1"/>
  <c r="R91" i="28" s="1"/>
  <c r="V91" i="28" s="1"/>
  <c r="L87" i="28"/>
  <c r="L83" i="28"/>
  <c r="N83" i="28" s="1"/>
  <c r="R83" i="28" s="1"/>
  <c r="V83" i="28" s="1"/>
  <c r="L63" i="28"/>
  <c r="L60" i="28"/>
  <c r="L59" i="28"/>
  <c r="L524" i="28" s="1"/>
  <c r="L58" i="28"/>
  <c r="L523" i="28" s="1"/>
  <c r="L525" i="28" s="1"/>
  <c r="L55" i="28"/>
  <c r="L512" i="28" s="1"/>
  <c r="L54" i="28"/>
  <c r="L53" i="28"/>
  <c r="L56" i="28" s="1"/>
  <c r="L47" i="28"/>
  <c r="L472" i="28" s="1"/>
  <c r="L46" i="28"/>
  <c r="L35" i="28" s="1"/>
  <c r="L67" i="28" s="1"/>
  <c r="N67" i="28" s="1"/>
  <c r="R67" i="28" s="1"/>
  <c r="L39" i="28"/>
  <c r="L36" i="28" s="1"/>
  <c r="L68" i="28" s="1"/>
  <c r="N68" i="28" s="1"/>
  <c r="L33" i="28"/>
  <c r="L65" i="28" s="1"/>
  <c r="N65" i="28" s="1"/>
  <c r="L32" i="28"/>
  <c r="L64" i="28" s="1"/>
  <c r="N64" i="28" s="1"/>
  <c r="R64" i="28" s="1"/>
  <c r="V64" i="28" s="1"/>
  <c r="L29" i="28"/>
  <c r="L76" i="28" s="1"/>
  <c r="N76" i="28" s="1"/>
  <c r="R76" i="28" s="1"/>
  <c r="L21" i="28"/>
  <c r="L13" i="28"/>
  <c r="L74" i="28" s="1"/>
  <c r="H71" i="28"/>
  <c r="J51" i="28"/>
  <c r="J52" i="28"/>
  <c r="BB70" i="28" l="1"/>
  <c r="AN70" i="28"/>
  <c r="AZ100" i="28"/>
  <c r="AZ525" i="28"/>
  <c r="AZ521" i="28"/>
  <c r="AZ557" i="28" s="1"/>
  <c r="AZ536" i="28"/>
  <c r="AZ535" i="28"/>
  <c r="AZ543" i="28"/>
  <c r="AZ40" i="28"/>
  <c r="AZ548" i="28"/>
  <c r="AZ48" i="28"/>
  <c r="AZ558" i="28" s="1"/>
  <c r="AZ538" i="28"/>
  <c r="AZ540" i="28"/>
  <c r="AZ34" i="28"/>
  <c r="AZ66" i="28" s="1"/>
  <c r="AZ69" i="28" s="1"/>
  <c r="AZ465" i="28"/>
  <c r="AZ466" i="28" s="1"/>
  <c r="AZ542" i="28"/>
  <c r="AZ75" i="28"/>
  <c r="AV100" i="28"/>
  <c r="AV521" i="28"/>
  <c r="AV557" i="28" s="1"/>
  <c r="AV536" i="28"/>
  <c r="AV535" i="28"/>
  <c r="AV37" i="28"/>
  <c r="AV543" i="28"/>
  <c r="AV48" i="28"/>
  <c r="AV558" i="28" s="1"/>
  <c r="AV538" i="28"/>
  <c r="AV540" i="28"/>
  <c r="AV34" i="28"/>
  <c r="AV66" i="28" s="1"/>
  <c r="AV69" i="28" s="1"/>
  <c r="AV465" i="28"/>
  <c r="AV466" i="28" s="1"/>
  <c r="AV40" i="28"/>
  <c r="AV542" i="28"/>
  <c r="AV75" i="28"/>
  <c r="AR100" i="28"/>
  <c r="AR521" i="28"/>
  <c r="AR557" i="28" s="1"/>
  <c r="AR536" i="28"/>
  <c r="AR535" i="28"/>
  <c r="AR543" i="28"/>
  <c r="AR40" i="28"/>
  <c r="AR548" i="28"/>
  <c r="AR48" i="28"/>
  <c r="AR558" i="28" s="1"/>
  <c r="AR538" i="28"/>
  <c r="AR540" i="28"/>
  <c r="AR34" i="28"/>
  <c r="AR66" i="28" s="1"/>
  <c r="AR69" i="28" s="1"/>
  <c r="AR465" i="28"/>
  <c r="AR466" i="28" s="1"/>
  <c r="AR542" i="28"/>
  <c r="AR75" i="28"/>
  <c r="AL100" i="28"/>
  <c r="AL521" i="28"/>
  <c r="AL557" i="28" s="1"/>
  <c r="AL536" i="28"/>
  <c r="AL535" i="28"/>
  <c r="AL543" i="28"/>
  <c r="AL40" i="28"/>
  <c r="AL48" i="28"/>
  <c r="AL558" i="28" s="1"/>
  <c r="AL538" i="28"/>
  <c r="AL540" i="28"/>
  <c r="AL34" i="28"/>
  <c r="AL66" i="28" s="1"/>
  <c r="AL69" i="28" s="1"/>
  <c r="AL465" i="28"/>
  <c r="AL466" i="28" s="1"/>
  <c r="AL542" i="28"/>
  <c r="AL75" i="28"/>
  <c r="AH100" i="28"/>
  <c r="AH521" i="28"/>
  <c r="AH557" i="28" s="1"/>
  <c r="AH536" i="28"/>
  <c r="AH535" i="28"/>
  <c r="AH543" i="28"/>
  <c r="AH40" i="28"/>
  <c r="AH548" i="28"/>
  <c r="AH48" i="28"/>
  <c r="AH558" i="28" s="1"/>
  <c r="AH538" i="28"/>
  <c r="AH540" i="28"/>
  <c r="AH34" i="28"/>
  <c r="AH66" i="28" s="1"/>
  <c r="AH69" i="28" s="1"/>
  <c r="AH465" i="28"/>
  <c r="AH466" i="28" s="1"/>
  <c r="AH542" i="28"/>
  <c r="AH75" i="28"/>
  <c r="AD100" i="28"/>
  <c r="AD521" i="28"/>
  <c r="AD557" i="28" s="1"/>
  <c r="AD536" i="28"/>
  <c r="AD535" i="28"/>
  <c r="AD40" i="28"/>
  <c r="AD48" i="28"/>
  <c r="AD558" i="28" s="1"/>
  <c r="AD538" i="28"/>
  <c r="AD540" i="28"/>
  <c r="AD34" i="28"/>
  <c r="AD66" i="28" s="1"/>
  <c r="AD69" i="28" s="1"/>
  <c r="AD465" i="28"/>
  <c r="AD466" i="28" s="1"/>
  <c r="AD542" i="28"/>
  <c r="AD75" i="28"/>
  <c r="X525" i="28"/>
  <c r="X521" i="28"/>
  <c r="X557" i="28" s="1"/>
  <c r="X536" i="28"/>
  <c r="X535" i="28"/>
  <c r="X40" i="28"/>
  <c r="X548" i="28"/>
  <c r="X48" i="28"/>
  <c r="X558" i="28" s="1"/>
  <c r="X538" i="28"/>
  <c r="X540" i="28"/>
  <c r="X34" i="28"/>
  <c r="X465" i="28"/>
  <c r="X466" i="28" s="1"/>
  <c r="X542" i="28"/>
  <c r="X75" i="28"/>
  <c r="T100" i="28"/>
  <c r="T521" i="28"/>
  <c r="T557" i="28" s="1"/>
  <c r="T536" i="28"/>
  <c r="T535" i="28"/>
  <c r="T37" i="28"/>
  <c r="T543" i="28"/>
  <c r="T40" i="28"/>
  <c r="V67" i="28"/>
  <c r="V523" i="28"/>
  <c r="T548" i="28"/>
  <c r="V524" i="28"/>
  <c r="T48" i="28"/>
  <c r="T558" i="28" s="1"/>
  <c r="V541" i="28"/>
  <c r="V511" i="28"/>
  <c r="T538" i="28"/>
  <c r="V512" i="28"/>
  <c r="T69" i="28"/>
  <c r="V76" i="28"/>
  <c r="T540" i="28"/>
  <c r="T34" i="28"/>
  <c r="T66" i="28" s="1"/>
  <c r="T465" i="28"/>
  <c r="T466" i="28" s="1"/>
  <c r="V35" i="28"/>
  <c r="T542" i="28"/>
  <c r="T36" i="28"/>
  <c r="T68" i="28" s="1"/>
  <c r="T70" i="28" s="1"/>
  <c r="T75" i="28"/>
  <c r="P525" i="28"/>
  <c r="P100" i="28"/>
  <c r="P521" i="28"/>
  <c r="P557" i="28" s="1"/>
  <c r="P536" i="28"/>
  <c r="R536" i="28" s="1"/>
  <c r="V536" i="28" s="1"/>
  <c r="P535" i="28"/>
  <c r="P36" i="28"/>
  <c r="P465" i="28"/>
  <c r="P40" i="28"/>
  <c r="R40" i="28" s="1"/>
  <c r="V40" i="28" s="1"/>
  <c r="P543" i="28"/>
  <c r="P48" i="28"/>
  <c r="P558" i="28" s="1"/>
  <c r="P538" i="28"/>
  <c r="P540" i="28"/>
  <c r="P34" i="28"/>
  <c r="P66" i="28" s="1"/>
  <c r="P542" i="28"/>
  <c r="P75" i="28"/>
  <c r="N460" i="28"/>
  <c r="R460" i="28" s="1"/>
  <c r="V460" i="28" s="1"/>
  <c r="N333" i="28"/>
  <c r="R333" i="28" s="1"/>
  <c r="V333" i="28" s="1"/>
  <c r="N284" i="28"/>
  <c r="R284" i="28" s="1"/>
  <c r="V284" i="28" s="1"/>
  <c r="L99" i="28"/>
  <c r="N99" i="28" s="1"/>
  <c r="R99" i="28" s="1"/>
  <c r="V99" i="28" s="1"/>
  <c r="N97" i="28"/>
  <c r="R97" i="28" s="1"/>
  <c r="V97" i="28" s="1"/>
  <c r="N33" i="28"/>
  <c r="R33" i="28" s="1"/>
  <c r="V33" i="28" s="1"/>
  <c r="N32" i="28"/>
  <c r="R32" i="28" s="1"/>
  <c r="V32" i="28" s="1"/>
  <c r="N444" i="28"/>
  <c r="R444" i="28" s="1"/>
  <c r="V444" i="28" s="1"/>
  <c r="N29" i="28"/>
  <c r="R29" i="28" s="1"/>
  <c r="V29" i="28" s="1"/>
  <c r="L544" i="28"/>
  <c r="N544" i="28" s="1"/>
  <c r="R544" i="28" s="1"/>
  <c r="V544" i="28" s="1"/>
  <c r="N327" i="28"/>
  <c r="R327" i="28" s="1"/>
  <c r="V327" i="28" s="1"/>
  <c r="L543" i="28"/>
  <c r="N543" i="28" s="1"/>
  <c r="R543" i="28" s="1"/>
  <c r="V543" i="28" s="1"/>
  <c r="N21" i="28"/>
  <c r="R21" i="28" s="1"/>
  <c r="V21" i="28" s="1"/>
  <c r="R65" i="28"/>
  <c r="L539" i="28"/>
  <c r="N539" i="28" s="1"/>
  <c r="R539" i="28" s="1"/>
  <c r="V539" i="28" s="1"/>
  <c r="L547" i="28"/>
  <c r="N547" i="28" s="1"/>
  <c r="R547" i="28" s="1"/>
  <c r="V547" i="28" s="1"/>
  <c r="L521" i="28"/>
  <c r="L548" i="28"/>
  <c r="N548" i="28" s="1"/>
  <c r="R548" i="28" s="1"/>
  <c r="V548" i="28" s="1"/>
  <c r="L471" i="28"/>
  <c r="L502" i="28" s="1"/>
  <c r="N502" i="28" s="1"/>
  <c r="R502" i="28" s="1"/>
  <c r="V502" i="28" s="1"/>
  <c r="L40" i="28"/>
  <c r="L546" i="28"/>
  <c r="N546" i="28" s="1"/>
  <c r="R546" i="28" s="1"/>
  <c r="V546" i="28" s="1"/>
  <c r="L535" i="28"/>
  <c r="N535" i="28" s="1"/>
  <c r="R535" i="28" s="1"/>
  <c r="V535" i="28" s="1"/>
  <c r="L540" i="28"/>
  <c r="L48" i="28"/>
  <c r="L34" i="28"/>
  <c r="N34" i="28" s="1"/>
  <c r="R34" i="28" s="1"/>
  <c r="V34" i="28" s="1"/>
  <c r="L465" i="28"/>
  <c r="L466" i="28" s="1"/>
  <c r="L538" i="28"/>
  <c r="L542" i="28"/>
  <c r="N542" i="28" s="1"/>
  <c r="R542" i="28" s="1"/>
  <c r="V542" i="28" s="1"/>
  <c r="L75" i="28"/>
  <c r="N75" i="28" s="1"/>
  <c r="R75" i="28" s="1"/>
  <c r="V75" i="28" s="1"/>
  <c r="AZ71" i="28" l="1"/>
  <c r="AZ37" i="28"/>
  <c r="AZ70" i="28"/>
  <c r="AZ526" i="28"/>
  <c r="AV71" i="28"/>
  <c r="AV526" i="28"/>
  <c r="AV70" i="28"/>
  <c r="AV77" i="28"/>
  <c r="AV78" i="28" s="1"/>
  <c r="AV552" i="28"/>
  <c r="AV550" i="28"/>
  <c r="AR71" i="28"/>
  <c r="AR37" i="28"/>
  <c r="AR70" i="28"/>
  <c r="AR526" i="28"/>
  <c r="AL71" i="28"/>
  <c r="AL37" i="28"/>
  <c r="AL70" i="28"/>
  <c r="AL526" i="28"/>
  <c r="AH71" i="28"/>
  <c r="AH37" i="28"/>
  <c r="AH70" i="28"/>
  <c r="AH526" i="28"/>
  <c r="AD71" i="28"/>
  <c r="AD70" i="28"/>
  <c r="AD37" i="28"/>
  <c r="AD526" i="28"/>
  <c r="X37" i="28"/>
  <c r="X66" i="28"/>
  <c r="X526" i="28"/>
  <c r="T550" i="28"/>
  <c r="T77" i="28"/>
  <c r="T78" i="28" s="1"/>
  <c r="T71" i="28"/>
  <c r="T526" i="28"/>
  <c r="T552" i="28" s="1"/>
  <c r="P466" i="28"/>
  <c r="R466" i="28" s="1"/>
  <c r="V466" i="28" s="1"/>
  <c r="R465" i="28"/>
  <c r="V465" i="28" s="1"/>
  <c r="P68" i="28"/>
  <c r="R36" i="28"/>
  <c r="V36" i="28" s="1"/>
  <c r="P37" i="28"/>
  <c r="P526" i="28"/>
  <c r="R525" i="28"/>
  <c r="V525" i="28" s="1"/>
  <c r="L557" i="28"/>
  <c r="N521" i="28"/>
  <c r="R521" i="28" s="1"/>
  <c r="V521" i="28" s="1"/>
  <c r="L100" i="28"/>
  <c r="N100" i="28"/>
  <c r="R100" i="28"/>
  <c r="V100" i="28"/>
  <c r="L558" i="28"/>
  <c r="V65" i="28"/>
  <c r="L526" i="28"/>
  <c r="N526" i="28" s="1"/>
  <c r="L37" i="28"/>
  <c r="L66" i="28"/>
  <c r="N66" i="28" s="1"/>
  <c r="AZ530" i="28" l="1"/>
  <c r="AZ529" i="28"/>
  <c r="AZ551" i="28"/>
  <c r="AZ552" i="28"/>
  <c r="AZ550" i="28"/>
  <c r="AZ77" i="28"/>
  <c r="AZ78" i="28" s="1"/>
  <c r="AV529" i="28"/>
  <c r="AV530" i="28"/>
  <c r="AV551" i="28"/>
  <c r="AR530" i="28"/>
  <c r="AR529" i="28"/>
  <c r="AR551" i="28"/>
  <c r="AR552" i="28"/>
  <c r="AR550" i="28"/>
  <c r="AR77" i="28"/>
  <c r="AR78" i="28" s="1"/>
  <c r="AL530" i="28"/>
  <c r="AL529" i="28"/>
  <c r="AL551" i="28"/>
  <c r="AL552" i="28"/>
  <c r="AL550" i="28"/>
  <c r="AL77" i="28"/>
  <c r="AL78" i="28" s="1"/>
  <c r="AH530" i="28"/>
  <c r="AH529" i="28"/>
  <c r="AH551" i="28"/>
  <c r="AH552" i="28"/>
  <c r="AH550" i="28"/>
  <c r="AH77" i="28"/>
  <c r="AH78" i="28" s="1"/>
  <c r="AD552" i="28"/>
  <c r="AD550" i="28"/>
  <c r="AD77" i="28"/>
  <c r="AD78" i="28" s="1"/>
  <c r="AD530" i="28"/>
  <c r="AD529" i="28"/>
  <c r="AD551" i="28"/>
  <c r="X530" i="28"/>
  <c r="X529" i="28"/>
  <c r="X551" i="28"/>
  <c r="X69" i="28"/>
  <c r="X70" i="28"/>
  <c r="X552" i="28"/>
  <c r="X550" i="28"/>
  <c r="X77" i="28"/>
  <c r="X78" i="28" s="1"/>
  <c r="T530" i="28"/>
  <c r="T529" i="28"/>
  <c r="T551" i="28"/>
  <c r="P530" i="28"/>
  <c r="P529" i="28"/>
  <c r="P551" i="28"/>
  <c r="P552" i="28"/>
  <c r="P550" i="28"/>
  <c r="P77" i="28"/>
  <c r="P78" i="28" s="1"/>
  <c r="R526" i="28"/>
  <c r="V526" i="28" s="1"/>
  <c r="P70" i="28"/>
  <c r="R68" i="28"/>
  <c r="V68" i="28" s="1"/>
  <c r="P69" i="28"/>
  <c r="Z100" i="28"/>
  <c r="R66" i="28"/>
  <c r="L69" i="28"/>
  <c r="L77" i="28"/>
  <c r="L552" i="28"/>
  <c r="L550" i="28"/>
  <c r="L530" i="28"/>
  <c r="N530" i="28" s="1"/>
  <c r="R530" i="28" s="1"/>
  <c r="V530" i="28" s="1"/>
  <c r="L529" i="28"/>
  <c r="L551" i="28"/>
  <c r="N551" i="28" s="1"/>
  <c r="R551" i="28" s="1"/>
  <c r="V551" i="28" s="1"/>
  <c r="X71" i="28" l="1"/>
  <c r="P71" i="28"/>
  <c r="L70" i="28"/>
  <c r="L78" i="28"/>
  <c r="V66" i="28"/>
  <c r="L71" i="28"/>
  <c r="Z70" i="28" l="1"/>
  <c r="Z71" i="28" l="1"/>
  <c r="G88" i="77" l="1"/>
  <c r="G87" i="77"/>
  <c r="H82" i="77"/>
  <c r="H62" i="77"/>
  <c r="H59" i="77"/>
  <c r="I59" i="77"/>
  <c r="I61" i="17" l="1"/>
  <c r="H103" i="9"/>
  <c r="K71" i="83"/>
  <c r="K72" i="83"/>
  <c r="K73" i="83"/>
  <c r="K74" i="83"/>
  <c r="K75" i="83"/>
  <c r="I55" i="50"/>
  <c r="H34" i="35"/>
  <c r="H35" i="35"/>
  <c r="K39" i="50" l="1"/>
  <c r="K40" i="50"/>
  <c r="K41" i="50"/>
  <c r="K42" i="50"/>
  <c r="K43" i="50"/>
  <c r="K44" i="50"/>
  <c r="K45" i="50"/>
  <c r="K46" i="50"/>
  <c r="K55" i="50"/>
  <c r="K56" i="50"/>
  <c r="K57" i="50"/>
  <c r="K58" i="50"/>
  <c r="K59" i="50"/>
  <c r="K60" i="50"/>
  <c r="K61" i="50"/>
  <c r="K62" i="50"/>
  <c r="K63" i="50"/>
  <c r="K64" i="50"/>
  <c r="K65" i="50"/>
  <c r="K66" i="50"/>
  <c r="K67" i="50"/>
  <c r="K68" i="50"/>
  <c r="K69" i="50"/>
  <c r="K70" i="50"/>
  <c r="K71" i="50"/>
  <c r="K72" i="50"/>
  <c r="K73" i="50"/>
  <c r="K74" i="50"/>
  <c r="K75" i="50"/>
  <c r="K76" i="50"/>
  <c r="K77" i="50"/>
  <c r="K78" i="50"/>
  <c r="K80" i="50"/>
  <c r="K81" i="50"/>
  <c r="K82" i="50"/>
  <c r="K83" i="50"/>
  <c r="K84" i="50"/>
  <c r="K85" i="50"/>
  <c r="K86" i="50"/>
  <c r="K87" i="50"/>
  <c r="K88" i="50"/>
  <c r="K89" i="50"/>
  <c r="K90" i="50"/>
  <c r="K91" i="50"/>
  <c r="K92" i="50"/>
  <c r="K93" i="50"/>
  <c r="K94" i="50"/>
  <c r="I111" i="90"/>
  <c r="I112" i="90"/>
  <c r="I113" i="90"/>
  <c r="I114" i="90"/>
  <c r="I115" i="90"/>
  <c r="I116" i="90"/>
  <c r="I69" i="90"/>
  <c r="I70" i="90"/>
  <c r="I71" i="90"/>
  <c r="I72" i="90"/>
  <c r="I73" i="90"/>
  <c r="I74" i="90"/>
  <c r="I75" i="90"/>
  <c r="I76" i="90"/>
  <c r="I77" i="90"/>
  <c r="I78" i="90"/>
  <c r="I79" i="90"/>
  <c r="I80" i="90"/>
  <c r="I81" i="90"/>
  <c r="I82" i="90"/>
  <c r="I83" i="90"/>
  <c r="I84" i="90"/>
  <c r="I85" i="90"/>
  <c r="I86" i="90"/>
  <c r="I87" i="90"/>
  <c r="I88" i="90"/>
  <c r="AY7" i="71"/>
  <c r="AY8" i="71"/>
  <c r="AY9" i="71"/>
  <c r="AY10" i="71"/>
  <c r="AY11" i="71"/>
  <c r="AY12" i="71"/>
  <c r="AY13" i="71"/>
  <c r="AY14" i="71"/>
  <c r="AY15" i="71"/>
  <c r="AY16" i="71"/>
  <c r="AY17" i="71"/>
  <c r="AY18" i="71"/>
  <c r="AY19" i="71"/>
  <c r="AY20" i="71"/>
  <c r="AY21" i="71"/>
  <c r="AY22" i="71"/>
  <c r="AY23" i="71"/>
  <c r="AY24" i="71"/>
  <c r="AY25" i="71"/>
  <c r="AY26" i="71"/>
  <c r="AY27" i="71"/>
  <c r="AY28" i="71"/>
  <c r="AY29" i="71"/>
  <c r="AY30" i="71"/>
  <c r="AY31" i="71"/>
  <c r="AY32" i="71"/>
  <c r="AY33" i="71"/>
  <c r="AY34" i="71"/>
  <c r="AY35" i="71"/>
  <c r="AY36" i="71"/>
  <c r="AY37" i="71"/>
  <c r="AY38" i="71"/>
  <c r="AY39" i="71"/>
  <c r="AY40" i="71"/>
  <c r="AY41" i="71"/>
  <c r="AY42" i="71"/>
  <c r="AY43" i="71"/>
  <c r="AY44" i="71"/>
  <c r="AY45" i="71"/>
  <c r="AY46" i="71"/>
  <c r="AY47" i="71"/>
  <c r="AY48" i="71"/>
  <c r="AY49" i="71"/>
  <c r="AY50" i="71"/>
  <c r="AY51" i="71"/>
  <c r="AY52" i="71"/>
  <c r="AY53" i="71"/>
  <c r="AY54" i="71"/>
  <c r="AY55" i="71"/>
  <c r="AY56" i="71"/>
  <c r="AY57" i="71"/>
  <c r="AY58" i="71"/>
  <c r="AY59" i="71"/>
  <c r="AY60" i="71"/>
  <c r="G61" i="71"/>
  <c r="H61" i="71"/>
  <c r="I61" i="71"/>
  <c r="J61" i="71"/>
  <c r="K61" i="71"/>
  <c r="L61" i="71"/>
  <c r="M61" i="71"/>
  <c r="N61" i="71"/>
  <c r="O61" i="71"/>
  <c r="P61" i="71"/>
  <c r="Q61" i="71"/>
  <c r="R61" i="71"/>
  <c r="S61" i="71"/>
  <c r="T61" i="71"/>
  <c r="U61" i="71"/>
  <c r="V61" i="71"/>
  <c r="W61" i="71"/>
  <c r="X61" i="71"/>
  <c r="Y61" i="71"/>
  <c r="Z61" i="71"/>
  <c r="AA61" i="71"/>
  <c r="AB61" i="71"/>
  <c r="AC61" i="71"/>
  <c r="AD61" i="71"/>
  <c r="AE61" i="71"/>
  <c r="AF61" i="71"/>
  <c r="AG61" i="71"/>
  <c r="AH61" i="71"/>
  <c r="AI61" i="71"/>
  <c r="AJ61" i="71"/>
  <c r="AK61" i="71"/>
  <c r="AL61" i="71"/>
  <c r="AM61" i="71"/>
  <c r="AN61" i="71"/>
  <c r="AO61" i="71"/>
  <c r="AP61" i="71"/>
  <c r="AQ61" i="71"/>
  <c r="AR61" i="71"/>
  <c r="AR7" i="71"/>
  <c r="AR8" i="71"/>
  <c r="AR9" i="71"/>
  <c r="AR10" i="71"/>
  <c r="AR11" i="71"/>
  <c r="AR12" i="71"/>
  <c r="AR13" i="71"/>
  <c r="AR14" i="71"/>
  <c r="AR15" i="71"/>
  <c r="AR16" i="71"/>
  <c r="AR17" i="71"/>
  <c r="AR18" i="71"/>
  <c r="AR19" i="71"/>
  <c r="AR20" i="71"/>
  <c r="AR21" i="71"/>
  <c r="AR22" i="71"/>
  <c r="AR23" i="71"/>
  <c r="AR24" i="71"/>
  <c r="AR25" i="71"/>
  <c r="AR26" i="71"/>
  <c r="AR27" i="71"/>
  <c r="AR28" i="71"/>
  <c r="AR29" i="71"/>
  <c r="AR30" i="71"/>
  <c r="AR31" i="71"/>
  <c r="AR32" i="71"/>
  <c r="AR33" i="71"/>
  <c r="AR34" i="71"/>
  <c r="AR35" i="71"/>
  <c r="AR36" i="71"/>
  <c r="AR37" i="71"/>
  <c r="AR38" i="71"/>
  <c r="AR39" i="71"/>
  <c r="AR40" i="71"/>
  <c r="AR41" i="71"/>
  <c r="AR42" i="71"/>
  <c r="AR43" i="71"/>
  <c r="AR44" i="71"/>
  <c r="AR45" i="71"/>
  <c r="AR46" i="71"/>
  <c r="AR47" i="71"/>
  <c r="AR48" i="71"/>
  <c r="AR49" i="71"/>
  <c r="AR50" i="71"/>
  <c r="AR51" i="71"/>
  <c r="AR52" i="71"/>
  <c r="AR53" i="71"/>
  <c r="AR54" i="71"/>
  <c r="AR55" i="71"/>
  <c r="AR56" i="71"/>
  <c r="AR57" i="71"/>
  <c r="AR58" i="71"/>
  <c r="AR59" i="71"/>
  <c r="AR60" i="71"/>
  <c r="AR6" i="71"/>
  <c r="AQ7" i="71"/>
  <c r="AQ8" i="71"/>
  <c r="AQ9" i="71"/>
  <c r="AQ10" i="71"/>
  <c r="AQ11" i="71"/>
  <c r="AQ12" i="71"/>
  <c r="AQ13" i="71"/>
  <c r="AQ14" i="71"/>
  <c r="AQ15" i="71"/>
  <c r="AQ16" i="71"/>
  <c r="AQ17" i="71"/>
  <c r="AQ18" i="71"/>
  <c r="AQ19" i="71"/>
  <c r="AQ20" i="71"/>
  <c r="AQ21" i="71"/>
  <c r="AQ22" i="71"/>
  <c r="AQ23" i="71"/>
  <c r="AQ24" i="71"/>
  <c r="AQ25" i="71"/>
  <c r="AQ26" i="71"/>
  <c r="AQ27" i="71"/>
  <c r="AQ28" i="71"/>
  <c r="AQ29" i="71"/>
  <c r="AQ30" i="71"/>
  <c r="AQ31" i="71"/>
  <c r="AQ32" i="71"/>
  <c r="AQ33" i="71"/>
  <c r="AQ34" i="71"/>
  <c r="AQ35" i="71"/>
  <c r="AQ36" i="71"/>
  <c r="AQ37" i="71"/>
  <c r="AQ38" i="71"/>
  <c r="AQ39" i="71"/>
  <c r="AQ40" i="71"/>
  <c r="AQ41" i="71"/>
  <c r="AQ42" i="71"/>
  <c r="AQ43" i="71"/>
  <c r="AQ44" i="71"/>
  <c r="AQ45" i="71"/>
  <c r="AQ46" i="71"/>
  <c r="AQ47" i="71"/>
  <c r="AQ48" i="71"/>
  <c r="AQ49" i="71"/>
  <c r="AQ50" i="71"/>
  <c r="AQ51" i="71"/>
  <c r="AQ52" i="71"/>
  <c r="AQ53" i="71"/>
  <c r="AQ54" i="71"/>
  <c r="AQ55" i="71"/>
  <c r="AQ56" i="71"/>
  <c r="AQ57" i="71"/>
  <c r="AQ58" i="71"/>
  <c r="AQ59" i="71"/>
  <c r="AQ60" i="71"/>
  <c r="AQ6" i="71"/>
  <c r="X7" i="71"/>
  <c r="X8" i="71"/>
  <c r="X9" i="71"/>
  <c r="X10" i="71"/>
  <c r="X11" i="71"/>
  <c r="X12" i="71"/>
  <c r="X13" i="71"/>
  <c r="X14" i="71"/>
  <c r="X15" i="71"/>
  <c r="X16" i="71"/>
  <c r="X17" i="71"/>
  <c r="X18" i="71"/>
  <c r="X19" i="71"/>
  <c r="X20" i="71"/>
  <c r="X21" i="71"/>
  <c r="X22" i="71"/>
  <c r="X23" i="71"/>
  <c r="X24" i="71"/>
  <c r="X25" i="71"/>
  <c r="X26" i="71"/>
  <c r="X27" i="71"/>
  <c r="X28" i="71"/>
  <c r="X29" i="71"/>
  <c r="X30" i="71"/>
  <c r="X31" i="71"/>
  <c r="X32" i="71"/>
  <c r="X33" i="71"/>
  <c r="X34" i="71"/>
  <c r="X35" i="71"/>
  <c r="X36" i="71"/>
  <c r="X37" i="71"/>
  <c r="X38" i="71"/>
  <c r="X39" i="71"/>
  <c r="X40" i="71"/>
  <c r="X41" i="71"/>
  <c r="X42" i="71"/>
  <c r="X43" i="71"/>
  <c r="X44" i="71"/>
  <c r="X45" i="71"/>
  <c r="X46" i="71"/>
  <c r="X47" i="71"/>
  <c r="X48" i="71"/>
  <c r="X49" i="71"/>
  <c r="X50" i="71"/>
  <c r="X51" i="71"/>
  <c r="X52" i="71"/>
  <c r="X53" i="71"/>
  <c r="X54" i="71"/>
  <c r="X55" i="71"/>
  <c r="X56" i="71"/>
  <c r="X57" i="71"/>
  <c r="X58" i="71"/>
  <c r="X59" i="71"/>
  <c r="X60" i="71"/>
  <c r="X6" i="71"/>
  <c r="N7" i="71"/>
  <c r="N8" i="71"/>
  <c r="N9" i="71"/>
  <c r="N10" i="71"/>
  <c r="N11" i="71"/>
  <c r="N12" i="71"/>
  <c r="N13" i="71"/>
  <c r="N14" i="71"/>
  <c r="N15" i="71"/>
  <c r="N16" i="71"/>
  <c r="N17" i="71"/>
  <c r="N18" i="71"/>
  <c r="N19" i="71"/>
  <c r="N20" i="71"/>
  <c r="N21" i="71"/>
  <c r="N22" i="71"/>
  <c r="N23" i="71"/>
  <c r="N24" i="71"/>
  <c r="N25" i="71"/>
  <c r="N26" i="71"/>
  <c r="N27" i="71"/>
  <c r="N28" i="71"/>
  <c r="N29" i="71"/>
  <c r="N30" i="71"/>
  <c r="N31" i="71"/>
  <c r="N32" i="71"/>
  <c r="N33" i="71"/>
  <c r="N34" i="71"/>
  <c r="N35" i="71"/>
  <c r="N36" i="71"/>
  <c r="N37" i="71"/>
  <c r="N38" i="71"/>
  <c r="N39" i="71"/>
  <c r="N40" i="71"/>
  <c r="N41" i="71"/>
  <c r="N42" i="71"/>
  <c r="N43" i="71"/>
  <c r="N44" i="71"/>
  <c r="N45" i="71"/>
  <c r="N46" i="71"/>
  <c r="N47" i="71"/>
  <c r="N48" i="71"/>
  <c r="N49" i="71"/>
  <c r="N50" i="71"/>
  <c r="N51" i="71"/>
  <c r="N52" i="71"/>
  <c r="N53" i="71"/>
  <c r="N54" i="71"/>
  <c r="N55" i="71"/>
  <c r="N56" i="71"/>
  <c r="N57" i="71"/>
  <c r="N58" i="71"/>
  <c r="N59" i="71"/>
  <c r="N60" i="71"/>
  <c r="N6" i="71"/>
  <c r="I7" i="71"/>
  <c r="I8" i="71"/>
  <c r="I9" i="71"/>
  <c r="I10" i="71"/>
  <c r="I11" i="71"/>
  <c r="I12" i="71"/>
  <c r="I13" i="71"/>
  <c r="I14" i="71"/>
  <c r="I15" i="71"/>
  <c r="I16" i="71"/>
  <c r="I17" i="71"/>
  <c r="I18" i="71"/>
  <c r="I19" i="71"/>
  <c r="I20" i="71"/>
  <c r="I21" i="71"/>
  <c r="I22" i="71"/>
  <c r="I23" i="71"/>
  <c r="I24" i="71"/>
  <c r="I25" i="71"/>
  <c r="I26" i="71"/>
  <c r="I27" i="71"/>
  <c r="I28" i="71"/>
  <c r="I29" i="71"/>
  <c r="I30" i="71"/>
  <c r="I31" i="71"/>
  <c r="I32" i="71"/>
  <c r="I33" i="71"/>
  <c r="I34" i="71"/>
  <c r="I35" i="71"/>
  <c r="I36" i="71"/>
  <c r="I37" i="71"/>
  <c r="I38" i="71"/>
  <c r="I39" i="71"/>
  <c r="I40" i="71"/>
  <c r="I41" i="71"/>
  <c r="I42" i="71"/>
  <c r="I43" i="71"/>
  <c r="I44" i="71"/>
  <c r="I45" i="71"/>
  <c r="I46" i="71"/>
  <c r="I47" i="71"/>
  <c r="I48" i="71"/>
  <c r="I49" i="71"/>
  <c r="I50" i="71"/>
  <c r="I51" i="71"/>
  <c r="I52" i="71"/>
  <c r="I53" i="71"/>
  <c r="I54" i="71"/>
  <c r="I55" i="71"/>
  <c r="I56" i="71"/>
  <c r="I57" i="71"/>
  <c r="I58" i="71"/>
  <c r="I59" i="71"/>
  <c r="I60" i="71"/>
  <c r="I6" i="71"/>
  <c r="J323" i="28"/>
  <c r="J288" i="28"/>
  <c r="J289" i="28"/>
  <c r="J469" i="28"/>
  <c r="J474" i="28"/>
  <c r="J475" i="28"/>
  <c r="J476" i="28"/>
  <c r="J477" i="28"/>
  <c r="J478" i="28"/>
  <c r="J479" i="28"/>
  <c r="J480" i="28"/>
  <c r="J481" i="28"/>
  <c r="J482" i="28"/>
  <c r="J483" i="28"/>
  <c r="J484" i="28"/>
  <c r="J485" i="28"/>
  <c r="J486" i="28"/>
  <c r="J487" i="28"/>
  <c r="J488" i="28"/>
  <c r="J489" i="28"/>
  <c r="J490" i="28"/>
  <c r="J491" i="28"/>
  <c r="J492" i="28"/>
  <c r="J493" i="28"/>
  <c r="J494" i="28"/>
  <c r="J495" i="28"/>
  <c r="J496" i="28"/>
  <c r="J497" i="28"/>
  <c r="J498" i="28"/>
  <c r="J499" i="28"/>
  <c r="J500" i="28"/>
  <c r="J501" i="28"/>
  <c r="J504" i="28"/>
  <c r="J506" i="28"/>
  <c r="J507" i="28"/>
  <c r="J508" i="28"/>
  <c r="J509" i="28"/>
  <c r="J510" i="28"/>
  <c r="J514" i="28"/>
  <c r="J515" i="28"/>
  <c r="J516" i="28"/>
  <c r="J517" i="28"/>
  <c r="J518" i="28"/>
  <c r="J519" i="28"/>
  <c r="J520" i="28"/>
  <c r="J527" i="28"/>
  <c r="J528" i="28"/>
  <c r="J531" i="28"/>
  <c r="J532" i="28"/>
  <c r="J533" i="28"/>
  <c r="J534" i="28"/>
  <c r="J537" i="28"/>
  <c r="J553" i="28"/>
  <c r="J554" i="28"/>
  <c r="J559" i="28"/>
  <c r="J560" i="28"/>
  <c r="J561" i="28"/>
  <c r="J562" i="28"/>
  <c r="J563" i="28"/>
  <c r="J564" i="28"/>
  <c r="J565" i="28"/>
  <c r="J566" i="28"/>
  <c r="J567" i="28"/>
  <c r="J568" i="28"/>
  <c r="J569" i="28"/>
  <c r="J570" i="28"/>
  <c r="J571" i="28"/>
  <c r="J572" i="28"/>
  <c r="J573" i="28"/>
  <c r="J574" i="28"/>
  <c r="J575" i="28"/>
  <c r="J576" i="28"/>
  <c r="J577" i="28"/>
  <c r="J578" i="28"/>
  <c r="J579" i="28"/>
  <c r="J580" i="28"/>
  <c r="J581" i="28"/>
  <c r="J582" i="28"/>
  <c r="J583" i="28"/>
  <c r="J584" i="28"/>
  <c r="J585" i="28"/>
  <c r="J586" i="28"/>
  <c r="J587" i="28"/>
  <c r="J588" i="28"/>
  <c r="J589" i="28"/>
  <c r="J590" i="28"/>
  <c r="J591" i="28"/>
  <c r="J592" i="28"/>
  <c r="J593" i="28"/>
  <c r="J594" i="28"/>
  <c r="J595" i="28"/>
  <c r="J596" i="28"/>
  <c r="J597" i="28"/>
  <c r="J598" i="28"/>
  <c r="J599" i="28"/>
  <c r="J600" i="28"/>
  <c r="J601" i="28"/>
  <c r="J602" i="28"/>
  <c r="J603" i="28"/>
  <c r="J604" i="28"/>
  <c r="J605" i="28"/>
  <c r="J606" i="28"/>
  <c r="J607" i="28"/>
  <c r="J608" i="28"/>
  <c r="J609" i="28"/>
  <c r="J610" i="28"/>
  <c r="J611" i="28"/>
  <c r="J612" i="28"/>
  <c r="J613" i="28"/>
  <c r="J614" i="28"/>
  <c r="J615" i="28"/>
  <c r="J616" i="28"/>
  <c r="J617" i="28"/>
  <c r="J618" i="28"/>
  <c r="J619" i="28"/>
  <c r="J620" i="28"/>
  <c r="J621" i="28"/>
  <c r="J622" i="28"/>
  <c r="J623" i="28"/>
  <c r="J624" i="28"/>
  <c r="J625" i="28"/>
  <c r="J626" i="28"/>
  <c r="H513" i="28"/>
  <c r="H505" i="28"/>
  <c r="H470" i="28"/>
  <c r="H473" i="28"/>
  <c r="H468" i="28"/>
  <c r="F513" i="28"/>
  <c r="F511" i="28"/>
  <c r="F505" i="28"/>
  <c r="J505" i="28" s="1"/>
  <c r="F468" i="28"/>
  <c r="J468" i="28" s="1"/>
  <c r="F473" i="28"/>
  <c r="F470" i="28"/>
  <c r="J470" i="28" s="1"/>
  <c r="J513" i="28" l="1"/>
  <c r="J473" i="28"/>
  <c r="H1" i="35"/>
  <c r="I67" i="39"/>
  <c r="I66" i="39"/>
  <c r="H159" i="8" l="1"/>
  <c r="G37" i="27"/>
  <c r="G35" i="27"/>
  <c r="G27" i="27"/>
  <c r="G29" i="27"/>
  <c r="G28" i="27"/>
  <c r="G20" i="27"/>
  <c r="G19" i="27"/>
  <c r="G18" i="27"/>
  <c r="H6" i="27"/>
  <c r="F39" i="27" l="1"/>
  <c r="G36" i="27"/>
  <c r="G39" i="27" s="1"/>
  <c r="F33" i="27"/>
  <c r="G33" i="27"/>
  <c r="G26" i="27"/>
  <c r="F24" i="27"/>
  <c r="G22" i="27"/>
  <c r="G21" i="27"/>
  <c r="G128" i="26"/>
  <c r="F128" i="26"/>
  <c r="G112" i="26"/>
  <c r="F110" i="26"/>
  <c r="F108" i="26"/>
  <c r="F106" i="26"/>
  <c r="F104" i="26"/>
  <c r="F102" i="26"/>
  <c r="F100" i="26"/>
  <c r="F98" i="26"/>
  <c r="F96" i="26"/>
  <c r="G92" i="26"/>
  <c r="F89" i="26"/>
  <c r="F87" i="26"/>
  <c r="F85" i="26"/>
  <c r="F83" i="26"/>
  <c r="G81" i="26"/>
  <c r="G80" i="26"/>
  <c r="F78" i="26"/>
  <c r="F76" i="26"/>
  <c r="G73" i="26"/>
  <c r="F71" i="26"/>
  <c r="F69" i="26"/>
  <c r="F67" i="26"/>
  <c r="F65" i="26"/>
  <c r="F63" i="26"/>
  <c r="F61" i="26"/>
  <c r="F59" i="26"/>
  <c r="F57" i="26"/>
  <c r="F52" i="26"/>
  <c r="F50" i="26"/>
  <c r="G48" i="26"/>
  <c r="G54" i="26" s="1"/>
  <c r="F46" i="26"/>
  <c r="F48" i="26" s="1"/>
  <c r="G43" i="26"/>
  <c r="F41" i="26"/>
  <c r="F39" i="26"/>
  <c r="F37" i="26"/>
  <c r="F35" i="26"/>
  <c r="F33" i="26"/>
  <c r="F31" i="26"/>
  <c r="F29" i="26"/>
  <c r="F27" i="26"/>
  <c r="F25" i="26"/>
  <c r="F23" i="26"/>
  <c r="F21" i="26"/>
  <c r="F17" i="26"/>
  <c r="F15" i="26"/>
  <c r="G12" i="26"/>
  <c r="G18" i="26" s="1"/>
  <c r="F11" i="26"/>
  <c r="F9" i="26"/>
  <c r="F12" i="26" s="1"/>
  <c r="G24" i="27" l="1"/>
  <c r="F81" i="26"/>
  <c r="G55" i="26"/>
  <c r="F112" i="26"/>
  <c r="F92" i="26"/>
  <c r="F73" i="26"/>
  <c r="F55" i="26"/>
  <c r="F43" i="26"/>
  <c r="G49" i="26"/>
  <c r="G13" i="26"/>
  <c r="G19" i="26"/>
  <c r="F19" i="26"/>
  <c r="F13" i="26"/>
  <c r="F18" i="26"/>
  <c r="F80" i="26"/>
  <c r="F54" i="26"/>
  <c r="F49" i="26"/>
  <c r="U77" i="104"/>
  <c r="T77" i="104"/>
  <c r="S77" i="104"/>
  <c r="R77" i="104"/>
  <c r="N77" i="104"/>
  <c r="M77" i="104"/>
  <c r="L77" i="104"/>
  <c r="G77" i="104"/>
  <c r="H77" i="104"/>
  <c r="F77" i="104"/>
  <c r="G31" i="15"/>
  <c r="G30" i="15"/>
  <c r="G29" i="15"/>
  <c r="G25" i="15"/>
  <c r="G24" i="15"/>
  <c r="G23" i="15"/>
  <c r="G22" i="15"/>
  <c r="G21" i="15"/>
  <c r="G18" i="15"/>
  <c r="F18" i="15"/>
  <c r="G15" i="15"/>
  <c r="F12" i="15"/>
  <c r="F13" i="15" s="1"/>
  <c r="G11" i="15"/>
  <c r="G10" i="15"/>
  <c r="G9" i="15"/>
  <c r="F9" i="15"/>
  <c r="G8" i="15"/>
  <c r="F8" i="15"/>
  <c r="G7" i="15"/>
  <c r="G6" i="15"/>
  <c r="G5" i="15"/>
  <c r="G32" i="15" l="1"/>
  <c r="G36" i="15" s="1"/>
  <c r="G16" i="15" s="1"/>
  <c r="G17" i="15" s="1"/>
  <c r="F106" i="90" l="1"/>
  <c r="G32" i="72"/>
  <c r="G33" i="72"/>
  <c r="G34" i="72"/>
  <c r="G35" i="72"/>
  <c r="G36" i="72"/>
  <c r="G31" i="72"/>
  <c r="G45" i="72"/>
  <c r="G50" i="72"/>
  <c r="G19" i="72"/>
  <c r="G8" i="72"/>
  <c r="G9" i="72"/>
  <c r="G10" i="72"/>
  <c r="G11" i="72"/>
  <c r="G12" i="72"/>
  <c r="G13" i="72"/>
  <c r="G14" i="72"/>
  <c r="G15" i="72"/>
  <c r="G16" i="72"/>
  <c r="G17" i="72"/>
  <c r="G18" i="72"/>
  <c r="G115" i="90"/>
  <c r="E115" i="90"/>
  <c r="C115" i="90"/>
  <c r="C116" i="90"/>
  <c r="AW50" i="71"/>
  <c r="H29" i="22" l="1"/>
  <c r="H25" i="22"/>
  <c r="H27" i="22" s="1"/>
  <c r="H24" i="22"/>
  <c r="H14" i="22"/>
  <c r="H10" i="22"/>
  <c r="H12" i="22" s="1"/>
  <c r="H9" i="22"/>
  <c r="J42" i="36"/>
  <c r="I42" i="36"/>
  <c r="G58" i="17" l="1"/>
  <c r="G57" i="17"/>
  <c r="F57" i="17"/>
  <c r="G56" i="17"/>
  <c r="F56" i="17"/>
  <c r="G55" i="17"/>
  <c r="F55" i="17"/>
  <c r="G54" i="17"/>
  <c r="F54" i="17"/>
  <c r="G53" i="17"/>
  <c r="F53" i="17"/>
  <c r="G49" i="17"/>
  <c r="F49" i="17"/>
  <c r="G44" i="17"/>
  <c r="F44" i="17"/>
  <c r="G38" i="17"/>
  <c r="F37" i="17"/>
  <c r="F39" i="17" s="1"/>
  <c r="G36" i="17"/>
  <c r="G35" i="17"/>
  <c r="F31" i="17"/>
  <c r="G29" i="17"/>
  <c r="G30" i="17" s="1"/>
  <c r="F28" i="17"/>
  <c r="F27" i="17"/>
  <c r="F29" i="17" s="1"/>
  <c r="F30" i="17" s="1"/>
  <c r="G22" i="17"/>
  <c r="G23" i="17" s="1"/>
  <c r="F22" i="17"/>
  <c r="F21" i="17"/>
  <c r="F25" i="17" s="1"/>
  <c r="G19" i="17"/>
  <c r="F18" i="17"/>
  <c r="G17" i="17"/>
  <c r="F16" i="17"/>
  <c r="G14" i="17"/>
  <c r="G15" i="17" s="1"/>
  <c r="F14" i="17"/>
  <c r="G13" i="17"/>
  <c r="G11" i="17"/>
  <c r="G9" i="17"/>
  <c r="G37" i="17" l="1"/>
  <c r="G39" i="17" s="1"/>
  <c r="F20" i="17"/>
  <c r="F24" i="17" s="1"/>
  <c r="G20" i="17"/>
  <c r="G24" i="17" s="1"/>
  <c r="F32" i="17"/>
  <c r="G32" i="17"/>
  <c r="G21" i="17" l="1"/>
  <c r="G25" i="17" s="1"/>
  <c r="I8" i="21" l="1"/>
  <c r="J8" i="21"/>
  <c r="J153" i="28" l="1"/>
  <c r="J150" i="28"/>
  <c r="J116" i="28"/>
  <c r="J265" i="28"/>
  <c r="J267" i="28"/>
  <c r="J257" i="28"/>
  <c r="J258" i="28"/>
  <c r="J251" i="28"/>
  <c r="J190" i="28"/>
  <c r="J176" i="28"/>
  <c r="J177" i="28"/>
  <c r="J178" i="28"/>
  <c r="J179" i="28"/>
  <c r="J180" i="28"/>
  <c r="J181" i="28"/>
  <c r="J182" i="28"/>
  <c r="J183" i="28"/>
  <c r="J184" i="28"/>
  <c r="J185" i="28"/>
  <c r="J186" i="28"/>
  <c r="J187" i="28"/>
  <c r="J170" i="28"/>
  <c r="J157" i="28"/>
  <c r="J158" i="28"/>
  <c r="J159" i="28"/>
  <c r="J160" i="28"/>
  <c r="J161" i="28"/>
  <c r="J162" i="28"/>
  <c r="J163" i="28"/>
  <c r="J164" i="28"/>
  <c r="J165" i="28"/>
  <c r="J166" i="28"/>
  <c r="J167" i="28"/>
  <c r="J168" i="28"/>
  <c r="J148" i="28"/>
  <c r="J145" i="28"/>
  <c r="J137" i="28"/>
  <c r="J121" i="28"/>
  <c r="J122" i="28"/>
  <c r="J123" i="28"/>
  <c r="J124" i="28"/>
  <c r="J125" i="28"/>
  <c r="J126" i="28"/>
  <c r="J127" i="28"/>
  <c r="J128" i="28"/>
  <c r="H333" i="28"/>
  <c r="H545" i="28" s="1"/>
  <c r="J332" i="28" l="1"/>
  <c r="J403" i="28"/>
  <c r="J404" i="28"/>
  <c r="J405" i="28"/>
  <c r="J406" i="28"/>
  <c r="J407" i="28"/>
  <c r="J408" i="28"/>
  <c r="J409" i="28"/>
  <c r="J410" i="28"/>
  <c r="J411" i="28"/>
  <c r="J412" i="28"/>
  <c r="J413" i="28"/>
  <c r="J414" i="28"/>
  <c r="J415" i="28"/>
  <c r="J416" i="28"/>
  <c r="J417" i="28"/>
  <c r="J418" i="28"/>
  <c r="J419" i="28"/>
  <c r="J420" i="28"/>
  <c r="J421" i="28"/>
  <c r="J422" i="28"/>
  <c r="J423" i="28"/>
  <c r="J425" i="28"/>
  <c r="J426" i="28"/>
  <c r="J427" i="28"/>
  <c r="J428" i="28"/>
  <c r="J429" i="28"/>
  <c r="J430" i="28"/>
  <c r="J431" i="28"/>
  <c r="J432" i="28"/>
  <c r="J433" i="28"/>
  <c r="J434" i="28"/>
  <c r="J435" i="28"/>
  <c r="J436" i="28"/>
  <c r="J437" i="28"/>
  <c r="J438" i="28"/>
  <c r="J439" i="28"/>
  <c r="J440" i="28"/>
  <c r="J441" i="28"/>
  <c r="J443" i="28"/>
  <c r="J337" i="28"/>
  <c r="J338" i="28"/>
  <c r="J339" i="28"/>
  <c r="J340" i="28"/>
  <c r="J341" i="28"/>
  <c r="J342" i="28"/>
  <c r="J343" i="28"/>
  <c r="J344" i="28"/>
  <c r="J345" i="28"/>
  <c r="J346" i="28"/>
  <c r="J347" i="28"/>
  <c r="J348" i="28"/>
  <c r="J349" i="28"/>
  <c r="J350" i="28"/>
  <c r="J351" i="28"/>
  <c r="J352" i="28"/>
  <c r="J353" i="28"/>
  <c r="J354" i="28"/>
  <c r="J355" i="28"/>
  <c r="J356" i="28"/>
  <c r="J357" i="28"/>
  <c r="J358" i="28"/>
  <c r="J359" i="28"/>
  <c r="J360" i="28"/>
  <c r="J361" i="28"/>
  <c r="J362" i="28"/>
  <c r="J363" i="28"/>
  <c r="J364" i="28"/>
  <c r="J365" i="28"/>
  <c r="J366" i="28"/>
  <c r="J367" i="28"/>
  <c r="J368" i="28"/>
  <c r="J369" i="28"/>
  <c r="J370" i="28"/>
  <c r="J371" i="28"/>
  <c r="J372" i="28"/>
  <c r="J373" i="28"/>
  <c r="J374" i="28"/>
  <c r="J375" i="28"/>
  <c r="J376" i="28"/>
  <c r="J377" i="28"/>
  <c r="J378" i="28"/>
  <c r="J379" i="28"/>
  <c r="J380" i="28"/>
  <c r="J381" i="28"/>
  <c r="J382" i="28"/>
  <c r="J383" i="28"/>
  <c r="J384" i="28"/>
  <c r="J385" i="28"/>
  <c r="J386" i="28"/>
  <c r="J387" i="28"/>
  <c r="J388" i="28"/>
  <c r="J389" i="28"/>
  <c r="J390" i="28"/>
  <c r="J391" i="28"/>
  <c r="J392" i="28"/>
  <c r="J393" i="28"/>
  <c r="J394" i="28"/>
  <c r="J395" i="28"/>
  <c r="J396" i="28"/>
  <c r="J397" i="28"/>
  <c r="J398" i="28"/>
  <c r="J399" i="28"/>
  <c r="J400" i="28"/>
  <c r="J401" i="28"/>
  <c r="J402" i="28"/>
  <c r="J104" i="28" l="1"/>
  <c r="H55" i="28"/>
  <c r="H512" i="28" s="1"/>
  <c r="I204" i="73" l="1"/>
  <c r="I203" i="73"/>
  <c r="I202" i="73"/>
  <c r="I201" i="73" s="1"/>
  <c r="I200" i="73"/>
  <c r="I199" i="73"/>
  <c r="I197" i="73"/>
  <c r="I196" i="73"/>
  <c r="G201" i="73"/>
  <c r="I174" i="73"/>
  <c r="I157" i="73"/>
  <c r="I184" i="73"/>
  <c r="I15" i="73"/>
  <c r="I18" i="73"/>
  <c r="I17" i="73"/>
  <c r="F14" i="73"/>
  <c r="E16" i="73"/>
  <c r="E14" i="73" s="1"/>
  <c r="G16" i="73"/>
  <c r="G14" i="73" l="1"/>
  <c r="H54" i="28"/>
  <c r="I16" i="73"/>
  <c r="J54" i="28" l="1"/>
  <c r="H511" i="28"/>
  <c r="I112" i="9"/>
  <c r="I113" i="9"/>
  <c r="I114" i="9"/>
  <c r="I115" i="9"/>
  <c r="I116" i="9"/>
  <c r="I117" i="9"/>
  <c r="I118" i="9"/>
  <c r="I119" i="9"/>
  <c r="I120" i="9"/>
  <c r="I121" i="9"/>
  <c r="I122" i="9"/>
  <c r="I123" i="9"/>
  <c r="I124" i="9"/>
  <c r="I125" i="9"/>
  <c r="I126" i="9"/>
  <c r="I127" i="9"/>
  <c r="I128" i="9"/>
  <c r="I129" i="9"/>
  <c r="I130" i="9"/>
  <c r="I131" i="9"/>
  <c r="I132" i="9"/>
  <c r="I111" i="9"/>
  <c r="J511" i="28" l="1"/>
  <c r="H521" i="28"/>
  <c r="J13" i="7"/>
  <c r="G131" i="6"/>
  <c r="H131" i="6"/>
  <c r="F131" i="6"/>
  <c r="E131" i="6"/>
  <c r="F115" i="6" l="1"/>
  <c r="H115" i="6"/>
  <c r="J186" i="10" l="1"/>
  <c r="J21" i="10"/>
  <c r="J22" i="10"/>
  <c r="J24" i="10"/>
  <c r="J25" i="10"/>
  <c r="J26" i="10"/>
  <c r="J27" i="10"/>
  <c r="J28" i="10"/>
  <c r="J29" i="10"/>
  <c r="J30" i="10"/>
  <c r="J31" i="10"/>
  <c r="J32" i="10"/>
  <c r="J34" i="10"/>
  <c r="J35" i="10"/>
  <c r="J36" i="10"/>
  <c r="J37" i="10"/>
  <c r="J38" i="10"/>
  <c r="J39" i="10"/>
  <c r="J40" i="10"/>
  <c r="J41" i="10"/>
  <c r="J42" i="10"/>
  <c r="J43" i="10"/>
  <c r="J44" i="10"/>
  <c r="J45" i="10"/>
  <c r="J46" i="10"/>
  <c r="J47" i="10"/>
  <c r="J48" i="10"/>
  <c r="J49" i="10"/>
  <c r="J50" i="10"/>
  <c r="J51" i="10"/>
  <c r="J52" i="10"/>
  <c r="J53" i="10"/>
  <c r="J54" i="10"/>
  <c r="J55" i="10"/>
  <c r="J58" i="10"/>
  <c r="J59" i="10"/>
  <c r="J60" i="10"/>
  <c r="J61" i="10"/>
  <c r="J62" i="10"/>
  <c r="J63" i="10"/>
  <c r="J64" i="10"/>
  <c r="J65" i="10"/>
  <c r="J66" i="10"/>
  <c r="J67" i="10"/>
  <c r="J68" i="10"/>
  <c r="J69" i="10"/>
  <c r="J70" i="10"/>
  <c r="J71" i="10"/>
  <c r="J72" i="10"/>
  <c r="J73" i="10"/>
  <c r="J74" i="10"/>
  <c r="J75" i="10"/>
  <c r="G115" i="50"/>
  <c r="K15" i="45" l="1"/>
  <c r="K16" i="45"/>
  <c r="K17" i="45"/>
  <c r="K18" i="45"/>
  <c r="K19" i="45"/>
  <c r="K20" i="45"/>
  <c r="K21" i="45"/>
  <c r="K22" i="45"/>
  <c r="K23" i="45"/>
  <c r="K24" i="45"/>
  <c r="K25" i="45"/>
  <c r="K26" i="45"/>
  <c r="K27" i="45"/>
  <c r="K28" i="45"/>
  <c r="K29" i="45"/>
  <c r="K30" i="45"/>
  <c r="K31" i="45"/>
  <c r="K32" i="45"/>
  <c r="K33" i="45"/>
  <c r="K34" i="45"/>
  <c r="K35" i="45"/>
  <c r="K36" i="45"/>
  <c r="K37" i="45"/>
  <c r="K38" i="45"/>
  <c r="K39" i="45"/>
  <c r="K40" i="45"/>
  <c r="K41" i="45"/>
  <c r="K42" i="45"/>
  <c r="K43" i="45"/>
  <c r="K44" i="45"/>
  <c r="K45" i="45"/>
  <c r="K46" i="45"/>
  <c r="K47" i="45"/>
  <c r="K48" i="45"/>
  <c r="K49" i="45"/>
  <c r="K50" i="45"/>
  <c r="K51" i="45"/>
  <c r="K52" i="45"/>
  <c r="K53" i="45"/>
  <c r="K54" i="45"/>
  <c r="K55" i="45"/>
  <c r="K56" i="45"/>
  <c r="K57" i="45"/>
  <c r="K58" i="45"/>
  <c r="K59" i="45"/>
  <c r="K60" i="45"/>
  <c r="K61" i="45"/>
  <c r="K62" i="45"/>
  <c r="K63" i="45"/>
  <c r="K64" i="45"/>
  <c r="K65" i="45"/>
  <c r="K66" i="45"/>
  <c r="K67" i="45"/>
  <c r="K68" i="45"/>
  <c r="K69" i="45"/>
  <c r="K70" i="45"/>
  <c r="K71" i="45"/>
  <c r="K72" i="45"/>
  <c r="K73" i="45"/>
  <c r="K74" i="45"/>
  <c r="K75" i="45"/>
  <c r="K76" i="45"/>
  <c r="K77" i="45"/>
  <c r="K78" i="45"/>
  <c r="K79" i="45"/>
  <c r="K80" i="45"/>
  <c r="K81" i="45"/>
  <c r="K82" i="45"/>
  <c r="K83" i="45"/>
  <c r="K84" i="45"/>
  <c r="K85" i="45"/>
  <c r="K86" i="45"/>
  <c r="K87" i="45"/>
  <c r="K88" i="45"/>
  <c r="K89" i="45"/>
  <c r="K90" i="45"/>
  <c r="K91" i="45"/>
  <c r="K92" i="45"/>
  <c r="K93" i="45"/>
  <c r="K94" i="45"/>
  <c r="K95" i="45"/>
  <c r="K96" i="45"/>
  <c r="K97" i="45"/>
  <c r="K98" i="45"/>
  <c r="K99" i="45"/>
  <c r="K100" i="45"/>
  <c r="K101" i="45"/>
  <c r="K102" i="45"/>
  <c r="K103" i="45"/>
  <c r="K104" i="45"/>
  <c r="K105" i="45"/>
  <c r="K106" i="45"/>
  <c r="K107" i="45"/>
  <c r="K108" i="45"/>
  <c r="K109" i="45"/>
  <c r="K110" i="45"/>
  <c r="K111" i="45"/>
  <c r="K112" i="45"/>
  <c r="K113" i="45"/>
  <c r="K114" i="45"/>
  <c r="K115" i="45"/>
  <c r="K116" i="45"/>
  <c r="K117" i="45"/>
  <c r="K118" i="45"/>
  <c r="K119" i="45"/>
  <c r="H15" i="8" l="1"/>
  <c r="H14" i="8"/>
  <c r="G113" i="7" l="1"/>
  <c r="G112" i="7"/>
  <c r="G111" i="7"/>
  <c r="G110" i="7"/>
  <c r="G109" i="7"/>
  <c r="G108" i="7"/>
  <c r="G107" i="7"/>
  <c r="G106" i="7"/>
  <c r="H84" i="7"/>
  <c r="G84" i="7"/>
  <c r="H82" i="7"/>
  <c r="H75" i="7"/>
  <c r="G75" i="7"/>
  <c r="H71" i="7"/>
  <c r="H73" i="7" s="1"/>
  <c r="G71" i="7"/>
  <c r="G73" i="7" s="1"/>
  <c r="H67" i="7"/>
  <c r="H81" i="7" s="1"/>
  <c r="G67" i="7"/>
  <c r="G78" i="7" s="1"/>
  <c r="G57" i="7"/>
  <c r="G34" i="7"/>
  <c r="G97" i="7" s="1"/>
  <c r="G24" i="7"/>
  <c r="H21" i="7"/>
  <c r="H41" i="7" s="1"/>
  <c r="H51" i="7" s="1"/>
  <c r="G21" i="7"/>
  <c r="G41" i="7" s="1"/>
  <c r="G51" i="7" s="1"/>
  <c r="G59" i="7" l="1"/>
  <c r="H56" i="7"/>
  <c r="H101" i="7" s="1"/>
  <c r="H58" i="7"/>
  <c r="H23" i="7"/>
  <c r="H87" i="7" s="1"/>
  <c r="H25" i="7"/>
  <c r="G32" i="7"/>
  <c r="G95" i="7" s="1"/>
  <c r="H24" i="7"/>
  <c r="G31" i="7"/>
  <c r="H32" i="7"/>
  <c r="H95" i="7" s="1"/>
  <c r="G33" i="7"/>
  <c r="G96" i="7" s="1"/>
  <c r="H27" i="7"/>
  <c r="H91" i="7" s="1"/>
  <c r="H26" i="7"/>
  <c r="G28" i="7"/>
  <c r="G92" i="7" s="1"/>
  <c r="G37" i="7"/>
  <c r="G100" i="7" s="1"/>
  <c r="H28" i="7"/>
  <c r="H92" i="7" s="1"/>
  <c r="G54" i="7"/>
  <c r="G88" i="7" s="1"/>
  <c r="G35" i="7"/>
  <c r="G98" i="7" s="1"/>
  <c r="G36" i="7"/>
  <c r="G99" i="7" s="1"/>
  <c r="H36" i="7"/>
  <c r="H99" i="7" s="1"/>
  <c r="H29" i="7"/>
  <c r="H93" i="7" s="1"/>
  <c r="G55" i="7"/>
  <c r="G26" i="7"/>
  <c r="G90" i="7" s="1"/>
  <c r="H30" i="7"/>
  <c r="H94" i="7" s="1"/>
  <c r="G56" i="7"/>
  <c r="G101" i="7" s="1"/>
  <c r="H34" i="7"/>
  <c r="H97" i="7" s="1"/>
  <c r="H60" i="7"/>
  <c r="H54" i="7"/>
  <c r="G60" i="7"/>
  <c r="G58" i="7"/>
  <c r="G61" i="7"/>
  <c r="G102" i="7" s="1"/>
  <c r="G62" i="7"/>
  <c r="G68" i="7"/>
  <c r="H62" i="7"/>
  <c r="H83" i="7"/>
  <c r="G76" i="7"/>
  <c r="G81" i="7"/>
  <c r="G23" i="7"/>
  <c r="G25" i="7"/>
  <c r="G27" i="7"/>
  <c r="G91" i="7" s="1"/>
  <c r="G29" i="7"/>
  <c r="G93" i="7" s="1"/>
  <c r="H31" i="7"/>
  <c r="H33" i="7"/>
  <c r="H96" i="7" s="1"/>
  <c r="H35" i="7"/>
  <c r="H98" i="7" s="1"/>
  <c r="H37" i="7"/>
  <c r="H100" i="7" s="1"/>
  <c r="H55" i="7"/>
  <c r="H89" i="7" s="1"/>
  <c r="H57" i="7"/>
  <c r="H59" i="7"/>
  <c r="H61" i="7"/>
  <c r="H102" i="7" s="1"/>
  <c r="H69" i="7"/>
  <c r="H76" i="7"/>
  <c r="H78" i="7"/>
  <c r="H88" i="7" l="1"/>
  <c r="H103" i="7" s="1"/>
  <c r="H90" i="7"/>
  <c r="G89" i="7"/>
  <c r="G38" i="7"/>
  <c r="G53" i="7" s="1"/>
  <c r="G77" i="7" s="1"/>
  <c r="G87" i="7"/>
  <c r="G103" i="7" s="1"/>
  <c r="H38" i="7"/>
  <c r="H53" i="7" s="1"/>
  <c r="H77" i="7" s="1"/>
  <c r="H63" i="7" l="1"/>
  <c r="G63" i="7"/>
  <c r="BB76" i="59" l="1"/>
  <c r="AX76" i="59"/>
  <c r="AT76" i="59"/>
  <c r="AN76" i="59"/>
  <c r="AJ76" i="59"/>
  <c r="AF76" i="59"/>
  <c r="Z76" i="59"/>
  <c r="V76" i="59"/>
  <c r="R76" i="59"/>
  <c r="N76" i="59"/>
  <c r="J76" i="59"/>
  <c r="H76" i="59"/>
  <c r="H91" i="11" l="1"/>
  <c r="H89" i="11"/>
  <c r="H83" i="11"/>
  <c r="H90" i="11" s="1"/>
  <c r="H78" i="11"/>
  <c r="G78" i="11"/>
  <c r="H77" i="11"/>
  <c r="G77" i="11"/>
  <c r="H76" i="11"/>
  <c r="G76" i="11"/>
  <c r="H75" i="11"/>
  <c r="G75" i="11"/>
  <c r="H73" i="11"/>
  <c r="H71" i="11"/>
  <c r="G71" i="11"/>
  <c r="H69" i="11"/>
  <c r="G69" i="11"/>
  <c r="H66" i="11"/>
  <c r="H67" i="11" s="1"/>
  <c r="G66" i="11"/>
  <c r="G67" i="11" s="1"/>
  <c r="H64" i="11"/>
  <c r="H61" i="11" s="1"/>
  <c r="H57" i="11"/>
  <c r="H93" i="11" s="1"/>
  <c r="G56" i="11"/>
  <c r="G58" i="11" s="1"/>
  <c r="H55" i="11"/>
  <c r="H92" i="11" s="1"/>
  <c r="H94" i="11" s="1"/>
  <c r="H190" i="10"/>
  <c r="H188" i="10"/>
  <c r="H182" i="10"/>
  <c r="H183" i="10" s="1"/>
  <c r="H177" i="10"/>
  <c r="G177" i="10"/>
  <c r="H176" i="10"/>
  <c r="G176" i="10"/>
  <c r="H175" i="10"/>
  <c r="G175" i="10"/>
  <c r="H174" i="10"/>
  <c r="G174" i="10"/>
  <c r="H172" i="10"/>
  <c r="H170" i="10"/>
  <c r="G170" i="10"/>
  <c r="H168" i="10"/>
  <c r="G168" i="10"/>
  <c r="H165" i="10"/>
  <c r="H166" i="10" s="1"/>
  <c r="G165" i="10"/>
  <c r="G166" i="10" s="1"/>
  <c r="H160" i="10"/>
  <c r="H192" i="10" s="1"/>
  <c r="G159" i="10"/>
  <c r="G178" i="10" s="1"/>
  <c r="H158" i="10"/>
  <c r="H191" i="10" s="1"/>
  <c r="H193" i="10" s="1"/>
  <c r="H199" i="10"/>
  <c r="G161" i="10" l="1"/>
  <c r="H84" i="11"/>
  <c r="H56" i="11"/>
  <c r="H59" i="11"/>
  <c r="G79" i="11"/>
  <c r="H85" i="11"/>
  <c r="G55" i="11"/>
  <c r="H159" i="10"/>
  <c r="H189" i="10"/>
  <c r="G158" i="10"/>
  <c r="H196" i="10"/>
  <c r="H184" i="10"/>
  <c r="H60" i="11" l="1"/>
  <c r="H79" i="11"/>
  <c r="H58" i="11"/>
  <c r="H74" i="11"/>
  <c r="H200" i="10"/>
  <c r="H178" i="10"/>
  <c r="H161" i="10"/>
  <c r="H173" i="10"/>
  <c r="G109" i="9" l="1"/>
  <c r="E109" i="9"/>
  <c r="G104" i="9"/>
  <c r="E104" i="9"/>
  <c r="E102" i="9"/>
  <c r="G102" i="9"/>
  <c r="G96" i="9"/>
  <c r="E96" i="9"/>
  <c r="G94" i="9" l="1"/>
  <c r="F19" i="15" s="1"/>
  <c r="F15" i="15" s="1"/>
  <c r="F16" i="15" s="1"/>
  <c r="E94" i="9"/>
  <c r="G87" i="9"/>
  <c r="E87" i="9"/>
  <c r="G86" i="9"/>
  <c r="E86" i="9"/>
  <c r="G84" i="9"/>
  <c r="E84" i="9"/>
  <c r="G82" i="9"/>
  <c r="E82" i="9"/>
  <c r="G81" i="9"/>
  <c r="E81" i="9"/>
  <c r="G80" i="9" l="1"/>
  <c r="E80" i="9"/>
  <c r="G76" i="9"/>
  <c r="G73" i="9"/>
  <c r="G72" i="9"/>
  <c r="E76" i="9"/>
  <c r="E73" i="9"/>
  <c r="E72" i="9"/>
  <c r="E24" i="9"/>
  <c r="E22" i="9"/>
  <c r="D24" i="9"/>
  <c r="D22" i="9"/>
  <c r="G24" i="9"/>
  <c r="G22" i="9"/>
  <c r="G101" i="9" l="1"/>
  <c r="H99" i="9"/>
  <c r="H98" i="9"/>
  <c r="G98" i="9"/>
  <c r="H97" i="9"/>
  <c r="G97" i="9"/>
  <c r="H93" i="9"/>
  <c r="G74" i="9"/>
  <c r="H60" i="9"/>
  <c r="H57" i="9"/>
  <c r="G53" i="9"/>
  <c r="G52" i="9"/>
  <c r="G47" i="9"/>
  <c r="H46" i="9"/>
  <c r="H36" i="9"/>
  <c r="H48" i="9" s="1"/>
  <c r="H35" i="9"/>
  <c r="H47" i="9" s="1"/>
  <c r="H34" i="9"/>
  <c r="H31" i="9"/>
  <c r="H25" i="9"/>
  <c r="H19" i="9"/>
  <c r="H10" i="9"/>
  <c r="H5" i="9"/>
  <c r="G5" i="9"/>
  <c r="G68" i="9" l="1"/>
  <c r="F130" i="26"/>
  <c r="G34" i="22"/>
  <c r="G130" i="26"/>
  <c r="H34" i="22"/>
  <c r="H94" i="9"/>
  <c r="G19" i="15" s="1"/>
  <c r="H62" i="9"/>
  <c r="H49" i="9"/>
  <c r="H78" i="9" s="1"/>
  <c r="H37" i="9"/>
  <c r="H100" i="9"/>
  <c r="H90" i="9"/>
  <c r="G25" i="9"/>
  <c r="G88" i="9" s="1"/>
  <c r="G27" i="9"/>
  <c r="G56" i="9"/>
  <c r="G59" i="9"/>
  <c r="G65" i="9"/>
  <c r="G69" i="9"/>
  <c r="G92" i="9"/>
  <c r="G93" i="9" s="1"/>
  <c r="G95" i="9"/>
  <c r="G7" i="9"/>
  <c r="G66" i="9"/>
  <c r="G70" i="9"/>
  <c r="H96" i="9"/>
  <c r="G63" i="9"/>
  <c r="G67" i="9"/>
  <c r="G55" i="9"/>
  <c r="G64" i="9"/>
  <c r="H89" i="9"/>
  <c r="H91" i="9" l="1"/>
  <c r="G57" i="9"/>
  <c r="H87" i="9"/>
  <c r="H83" i="9"/>
  <c r="H72" i="9"/>
  <c r="H75" i="9"/>
  <c r="H80" i="9"/>
  <c r="H84" i="9"/>
  <c r="H53" i="9"/>
  <c r="H73" i="9"/>
  <c r="H86" i="9"/>
  <c r="G22" i="22"/>
  <c r="G23" i="22" s="1"/>
  <c r="G25" i="22" s="1"/>
  <c r="G26" i="22" s="1"/>
  <c r="G28" i="22" s="1"/>
  <c r="G7" i="22"/>
  <c r="G8" i="22" s="1"/>
  <c r="G10" i="22" s="1"/>
  <c r="G11" i="22" s="1"/>
  <c r="G13" i="22" s="1"/>
  <c r="H85" i="9"/>
  <c r="H81" i="9"/>
  <c r="H52" i="9"/>
  <c r="H76" i="9"/>
  <c r="H82" i="9"/>
  <c r="H77" i="9"/>
  <c r="H74" i="9" l="1"/>
  <c r="H79" i="9" s="1"/>
  <c r="I87" i="8"/>
  <c r="H157" i="8"/>
  <c r="H156" i="8"/>
  <c r="H155" i="8"/>
  <c r="H154" i="8"/>
  <c r="H153" i="8"/>
  <c r="H152" i="8"/>
  <c r="H151" i="8"/>
  <c r="H150" i="8"/>
  <c r="H149" i="8"/>
  <c r="H119" i="8"/>
  <c r="H118" i="8"/>
  <c r="H117" i="8"/>
  <c r="H109" i="8"/>
  <c r="H111" i="8" s="1"/>
  <c r="H94" i="8"/>
  <c r="H91" i="8"/>
  <c r="H89" i="8"/>
  <c r="G89" i="8"/>
  <c r="H88" i="8"/>
  <c r="G88" i="8"/>
  <c r="H87" i="8"/>
  <c r="G87" i="8"/>
  <c r="H85" i="8"/>
  <c r="G82" i="8"/>
  <c r="G81" i="8"/>
  <c r="H80" i="8"/>
  <c r="H75" i="8"/>
  <c r="H78" i="8" s="1"/>
  <c r="G74" i="8"/>
  <c r="G73" i="8"/>
  <c r="G72" i="8"/>
  <c r="G71" i="8"/>
  <c r="H68" i="8"/>
  <c r="H69" i="8" s="1"/>
  <c r="H66" i="8"/>
  <c r="H67" i="8" s="1"/>
  <c r="H64" i="8"/>
  <c r="H65" i="8" s="1"/>
  <c r="H61" i="8"/>
  <c r="H58" i="8"/>
  <c r="H59" i="8" s="1"/>
  <c r="G52" i="8"/>
  <c r="H50" i="8"/>
  <c r="G6" i="26" s="1"/>
  <c r="G49" i="8"/>
  <c r="G46" i="8"/>
  <c r="G45" i="8"/>
  <c r="G44" i="8"/>
  <c r="G43" i="8"/>
  <c r="G41" i="8"/>
  <c r="G40" i="8"/>
  <c r="G39" i="8"/>
  <c r="H26" i="8"/>
  <c r="H17" i="8"/>
  <c r="G17" i="8"/>
  <c r="G15" i="8"/>
  <c r="G14" i="8"/>
  <c r="H13" i="8"/>
  <c r="H16" i="8" s="1"/>
  <c r="G13" i="8"/>
  <c r="G16" i="8" s="1"/>
  <c r="H6" i="8"/>
  <c r="H92" i="8" s="1"/>
  <c r="G6" i="8"/>
  <c r="G85" i="8" s="1"/>
  <c r="G61" i="39"/>
  <c r="G60" i="39"/>
  <c r="G49" i="39"/>
  <c r="G48" i="39"/>
  <c r="G47" i="39"/>
  <c r="G46" i="39"/>
  <c r="G43" i="39"/>
  <c r="G42" i="39"/>
  <c r="G8" i="39"/>
  <c r="G22" i="39" s="1"/>
  <c r="G92" i="77"/>
  <c r="G91" i="77"/>
  <c r="F91" i="77"/>
  <c r="G90" i="77"/>
  <c r="F90" i="77"/>
  <c r="G89" i="77"/>
  <c r="G86" i="77"/>
  <c r="F86" i="77"/>
  <c r="F84" i="77"/>
  <c r="G42" i="8" l="1"/>
  <c r="F89" i="77"/>
  <c r="G95" i="77"/>
  <c r="G84" i="77"/>
  <c r="G45" i="39"/>
  <c r="H86" i="8"/>
  <c r="H73" i="8"/>
  <c r="H37" i="8"/>
  <c r="H34" i="8"/>
  <c r="H72" i="8"/>
  <c r="H63" i="8"/>
  <c r="H35" i="8" s="1"/>
  <c r="H36" i="8"/>
  <c r="H74" i="8"/>
  <c r="G23" i="8"/>
  <c r="G30" i="8"/>
  <c r="H49" i="8"/>
  <c r="H96" i="8" s="1"/>
  <c r="H51" i="8"/>
  <c r="H62" i="8"/>
  <c r="G24" i="8"/>
  <c r="G27" i="8"/>
  <c r="G31" i="8"/>
  <c r="H40" i="8"/>
  <c r="H44" i="8"/>
  <c r="H137" i="8" s="1"/>
  <c r="H46" i="8"/>
  <c r="H138" i="8" s="1"/>
  <c r="G50" i="8"/>
  <c r="G51" i="8" s="1"/>
  <c r="H110" i="8"/>
  <c r="G25" i="8"/>
  <c r="G28" i="8"/>
  <c r="H47" i="8"/>
  <c r="H82" i="8"/>
  <c r="G29" i="8"/>
  <c r="H39" i="8"/>
  <c r="H41" i="8"/>
  <c r="H43" i="8"/>
  <c r="H136" i="8" s="1"/>
  <c r="H45" i="8"/>
  <c r="G50" i="39"/>
  <c r="G51" i="39" s="1"/>
  <c r="G23" i="39"/>
  <c r="G24" i="39" s="1"/>
  <c r="F95" i="77"/>
  <c r="I122" i="6"/>
  <c r="I95" i="6"/>
  <c r="J95" i="6"/>
  <c r="I105" i="6"/>
  <c r="H42" i="8" l="1"/>
  <c r="H139" i="8"/>
  <c r="H52" i="8"/>
  <c r="H121" i="8" s="1"/>
  <c r="H112" i="8"/>
  <c r="H53" i="8" s="1"/>
  <c r="H123" i="8" s="1"/>
  <c r="G26" i="8"/>
  <c r="G65" i="8"/>
  <c r="G34" i="8" s="1"/>
  <c r="H71" i="8"/>
  <c r="G109" i="8"/>
  <c r="G110" i="8" s="1"/>
  <c r="G59" i="8"/>
  <c r="G63" i="8" s="1"/>
  <c r="G35" i="8" s="1"/>
  <c r="G69" i="8"/>
  <c r="G36" i="8" s="1"/>
  <c r="G67" i="8"/>
  <c r="G37" i="8" s="1"/>
  <c r="H70" i="8"/>
  <c r="H222" i="6"/>
  <c r="G222" i="6"/>
  <c r="H221" i="6"/>
  <c r="G221" i="6"/>
  <c r="G199" i="6"/>
  <c r="H198" i="6"/>
  <c r="G198" i="6"/>
  <c r="G197" i="6"/>
  <c r="H193" i="6"/>
  <c r="H192" i="6"/>
  <c r="G192" i="6"/>
  <c r="H191" i="6"/>
  <c r="G191" i="6"/>
  <c r="G190" i="6"/>
  <c r="G189" i="6"/>
  <c r="G186" i="6"/>
  <c r="G185" i="6"/>
  <c r="G184" i="6"/>
  <c r="G183" i="6"/>
  <c r="G182" i="6"/>
  <c r="G181" i="6"/>
  <c r="G179" i="6"/>
  <c r="G178" i="6"/>
  <c r="G177" i="6"/>
  <c r="H167" i="6"/>
  <c r="H166" i="6"/>
  <c r="G166" i="6"/>
  <c r="G165" i="6"/>
  <c r="G164" i="6"/>
  <c r="G161" i="6"/>
  <c r="G160" i="6"/>
  <c r="G159" i="6"/>
  <c r="G158" i="6"/>
  <c r="G157" i="6"/>
  <c r="G156" i="6"/>
  <c r="G154" i="6"/>
  <c r="G153" i="6"/>
  <c r="G149" i="6"/>
  <c r="H139" i="6"/>
  <c r="G139" i="6"/>
  <c r="H136" i="6"/>
  <c r="G136" i="6"/>
  <c r="H135" i="6"/>
  <c r="G135" i="6"/>
  <c r="H134" i="6"/>
  <c r="G134" i="6"/>
  <c r="H133" i="6"/>
  <c r="G133" i="6"/>
  <c r="H130" i="6"/>
  <c r="G130" i="6"/>
  <c r="H129" i="6"/>
  <c r="G129" i="6"/>
  <c r="H128" i="6"/>
  <c r="G128" i="6"/>
  <c r="H127" i="6"/>
  <c r="G127" i="6"/>
  <c r="H126" i="6"/>
  <c r="G126" i="6"/>
  <c r="H125" i="6"/>
  <c r="G125" i="6"/>
  <c r="H120" i="6"/>
  <c r="G120" i="6"/>
  <c r="G115" i="6"/>
  <c r="H103" i="6"/>
  <c r="G103" i="6"/>
  <c r="H98" i="6"/>
  <c r="G98" i="6"/>
  <c r="G85" i="6"/>
  <c r="G83" i="6"/>
  <c r="G82" i="6"/>
  <c r="G80" i="6"/>
  <c r="G79" i="6"/>
  <c r="H77" i="6"/>
  <c r="G77" i="6"/>
  <c r="H69" i="6"/>
  <c r="G69" i="6"/>
  <c r="H66" i="6"/>
  <c r="G66" i="6"/>
  <c r="H56" i="6"/>
  <c r="G56" i="6"/>
  <c r="H55" i="6"/>
  <c r="H57" i="6" s="1"/>
  <c r="G55" i="6"/>
  <c r="G57" i="6" s="1"/>
  <c r="H54" i="6"/>
  <c r="G54" i="6"/>
  <c r="H51" i="6"/>
  <c r="G51" i="6"/>
  <c r="H48" i="6"/>
  <c r="G48" i="6"/>
  <c r="H45" i="6"/>
  <c r="G45" i="6"/>
  <c r="G41" i="6"/>
  <c r="H34" i="6"/>
  <c r="H33" i="6"/>
  <c r="H32" i="6"/>
  <c r="H29" i="6"/>
  <c r="H26" i="6"/>
  <c r="H23" i="6"/>
  <c r="G18" i="6"/>
  <c r="G17" i="6"/>
  <c r="G30" i="6" s="1"/>
  <c r="G16" i="6"/>
  <c r="G15" i="6"/>
  <c r="H9" i="6"/>
  <c r="H8" i="6"/>
  <c r="G7" i="6"/>
  <c r="H35" i="6" l="1"/>
  <c r="G34" i="39"/>
  <c r="G111" i="8"/>
  <c r="G112" i="8" s="1"/>
  <c r="H122" i="8"/>
  <c r="H126" i="8" s="1"/>
  <c r="H127" i="8" s="1"/>
  <c r="H124" i="8"/>
  <c r="H121" i="6"/>
  <c r="H123" i="6" s="1"/>
  <c r="H172" i="6" s="1"/>
  <c r="G188" i="6"/>
  <c r="G22" i="6"/>
  <c r="G28" i="6"/>
  <c r="G25" i="6"/>
  <c r="G31" i="6"/>
  <c r="G32" i="6" s="1"/>
  <c r="G104" i="6"/>
  <c r="G106" i="6" s="1"/>
  <c r="G147" i="6" s="1"/>
  <c r="G121" i="6"/>
  <c r="G123" i="6" s="1"/>
  <c r="G175" i="6" s="1"/>
  <c r="G137" i="6"/>
  <c r="H104" i="6"/>
  <c r="H106" i="6" s="1"/>
  <c r="H137" i="6"/>
  <c r="G163" i="6"/>
  <c r="G19" i="6"/>
  <c r="G81" i="6" s="1"/>
  <c r="G132" i="6"/>
  <c r="G21" i="6"/>
  <c r="G24" i="6"/>
  <c r="G27" i="6"/>
  <c r="G29" i="6" s="1"/>
  <c r="H132" i="6"/>
  <c r="J112" i="28"/>
  <c r="J204" i="28"/>
  <c r="J240" i="28"/>
  <c r="J241" i="28"/>
  <c r="J269" i="28"/>
  <c r="J271" i="28"/>
  <c r="J297" i="28"/>
  <c r="H460" i="28"/>
  <c r="H549" i="28" s="1"/>
  <c r="H444" i="28"/>
  <c r="H445" i="28" s="1"/>
  <c r="H326" i="28"/>
  <c r="H325" i="28"/>
  <c r="H327" i="28" s="1"/>
  <c r="H284" i="28"/>
  <c r="H541" i="28" s="1"/>
  <c r="H259" i="28"/>
  <c r="H260" i="28" s="1"/>
  <c r="H98" i="28"/>
  <c r="H97" i="28"/>
  <c r="H95" i="28"/>
  <c r="H91" i="28"/>
  <c r="H87" i="28"/>
  <c r="H83" i="28"/>
  <c r="H59" i="28"/>
  <c r="H524" i="28" s="1"/>
  <c r="H47" i="28"/>
  <c r="H472" i="28" s="1"/>
  <c r="H39" i="28"/>
  <c r="H33" i="28"/>
  <c r="H65" i="28" s="1"/>
  <c r="H32" i="28"/>
  <c r="H64" i="28" s="1"/>
  <c r="H31" i="28"/>
  <c r="H63" i="28" s="1"/>
  <c r="H29" i="28"/>
  <c r="H21" i="28"/>
  <c r="H75" i="28" s="1"/>
  <c r="H13" i="28"/>
  <c r="H17" i="49"/>
  <c r="H18" i="49" s="1"/>
  <c r="G17" i="49"/>
  <c r="G18" i="49" s="1"/>
  <c r="H11" i="49"/>
  <c r="G11" i="49"/>
  <c r="G10" i="49"/>
  <c r="H9" i="49"/>
  <c r="G9" i="49"/>
  <c r="H8" i="49"/>
  <c r="G8" i="49"/>
  <c r="H6" i="49"/>
  <c r="G6" i="49"/>
  <c r="I189" i="73"/>
  <c r="I188" i="73"/>
  <c r="I171" i="73"/>
  <c r="I156" i="73"/>
  <c r="I76" i="73"/>
  <c r="I74" i="73"/>
  <c r="I12" i="73"/>
  <c r="G240" i="73"/>
  <c r="F240" i="73"/>
  <c r="G229" i="73"/>
  <c r="F229" i="73"/>
  <c r="G227" i="73"/>
  <c r="G220" i="73"/>
  <c r="G214" i="73"/>
  <c r="F214" i="73"/>
  <c r="G209" i="73"/>
  <c r="F209" i="73"/>
  <c r="H53" i="28"/>
  <c r="H34" i="28" s="1"/>
  <c r="H66" i="28" s="1"/>
  <c r="F201" i="73"/>
  <c r="G198" i="73"/>
  <c r="F198" i="73"/>
  <c r="G195" i="73"/>
  <c r="G190" i="73" s="1"/>
  <c r="F195" i="73"/>
  <c r="G187" i="73"/>
  <c r="F187" i="73"/>
  <c r="G181" i="73"/>
  <c r="F179" i="73"/>
  <c r="G168" i="73"/>
  <c r="G179" i="73" s="1"/>
  <c r="G134" i="73"/>
  <c r="F134" i="73"/>
  <c r="G132" i="73"/>
  <c r="G130" i="73"/>
  <c r="F130" i="73"/>
  <c r="G126" i="73"/>
  <c r="F126" i="73"/>
  <c r="G122" i="73"/>
  <c r="F118" i="73"/>
  <c r="G113" i="73"/>
  <c r="G12" i="15" s="1"/>
  <c r="G13" i="15" s="1"/>
  <c r="G14" i="15" s="1"/>
  <c r="G106" i="73"/>
  <c r="G102" i="73"/>
  <c r="G62" i="73"/>
  <c r="G56" i="73"/>
  <c r="G51" i="73"/>
  <c r="G46" i="73"/>
  <c r="G35" i="73"/>
  <c r="G30" i="73"/>
  <c r="G22" i="73"/>
  <c r="H58" i="28" s="1"/>
  <c r="H523" i="28" s="1"/>
  <c r="H525" i="28" s="1"/>
  <c r="F22" i="73"/>
  <c r="G20" i="73"/>
  <c r="G8" i="73"/>
  <c r="G6" i="73" s="1"/>
  <c r="F8" i="73"/>
  <c r="F6" i="73" s="1"/>
  <c r="K79" i="59"/>
  <c r="K78" i="59"/>
  <c r="K77" i="59"/>
  <c r="J75" i="59"/>
  <c r="J74" i="59"/>
  <c r="K69" i="59"/>
  <c r="J69" i="59"/>
  <c r="K68" i="59"/>
  <c r="J68" i="59"/>
  <c r="K65" i="59"/>
  <c r="J65" i="59"/>
  <c r="K64" i="59"/>
  <c r="J64" i="59"/>
  <c r="J61" i="59"/>
  <c r="J60" i="59"/>
  <c r="K59" i="59"/>
  <c r="K58" i="59"/>
  <c r="J58" i="59"/>
  <c r="J57" i="59"/>
  <c r="J52" i="59"/>
  <c r="K51" i="59"/>
  <c r="J51" i="59"/>
  <c r="K50" i="59"/>
  <c r="J50" i="59"/>
  <c r="K49" i="59"/>
  <c r="J49" i="59"/>
  <c r="K47" i="59"/>
  <c r="J47" i="59"/>
  <c r="K46" i="59"/>
  <c r="J46" i="59"/>
  <c r="K45" i="59"/>
  <c r="J45" i="59"/>
  <c r="K44" i="59"/>
  <c r="J44" i="59"/>
  <c r="K42" i="59"/>
  <c r="J42" i="59"/>
  <c r="K41" i="59"/>
  <c r="J41" i="59"/>
  <c r="K40" i="59"/>
  <c r="J40" i="59"/>
  <c r="J38" i="59"/>
  <c r="J37" i="59"/>
  <c r="J36" i="59"/>
  <c r="K34" i="59"/>
  <c r="J34" i="59"/>
  <c r="K33" i="59"/>
  <c r="J33" i="59"/>
  <c r="K32" i="59"/>
  <c r="J32" i="59"/>
  <c r="K31" i="59"/>
  <c r="J31" i="59"/>
  <c r="K30" i="59"/>
  <c r="J30" i="59"/>
  <c r="K29" i="59"/>
  <c r="J29" i="59"/>
  <c r="K28" i="59"/>
  <c r="J28" i="59"/>
  <c r="K27" i="59"/>
  <c r="J27" i="59"/>
  <c r="K26" i="59"/>
  <c r="J26" i="59"/>
  <c r="K25" i="59"/>
  <c r="J25" i="59"/>
  <c r="K24" i="59"/>
  <c r="J24" i="59"/>
  <c r="K23" i="59"/>
  <c r="J23" i="59"/>
  <c r="J22" i="59"/>
  <c r="K20" i="59"/>
  <c r="J20" i="59"/>
  <c r="K19" i="59"/>
  <c r="J19" i="59"/>
  <c r="K18" i="59"/>
  <c r="J18" i="59"/>
  <c r="K17" i="59"/>
  <c r="J17" i="59"/>
  <c r="K16" i="59"/>
  <c r="J16" i="59"/>
  <c r="J15" i="59"/>
  <c r="K12" i="59"/>
  <c r="J12" i="59"/>
  <c r="J11" i="59"/>
  <c r="G72" i="36"/>
  <c r="G64" i="36" s="1"/>
  <c r="G71" i="36"/>
  <c r="G69" i="36"/>
  <c r="G61" i="36" s="1"/>
  <c r="G63" i="36" s="1"/>
  <c r="G67" i="36"/>
  <c r="G59" i="36" s="1"/>
  <c r="G66" i="36"/>
  <c r="H64" i="36"/>
  <c r="H72" i="36" s="1"/>
  <c r="H62" i="36"/>
  <c r="H70" i="36" s="1"/>
  <c r="H61" i="36"/>
  <c r="H59" i="36"/>
  <c r="H67" i="36" s="1"/>
  <c r="H58" i="36"/>
  <c r="H66" i="36" s="1"/>
  <c r="H56" i="36"/>
  <c r="H173" i="6" l="1"/>
  <c r="K22" i="59" s="1"/>
  <c r="H175" i="6"/>
  <c r="G138" i="6"/>
  <c r="G140" i="6" s="1"/>
  <c r="G209" i="6" s="1"/>
  <c r="H40" i="28"/>
  <c r="H465" i="28"/>
  <c r="H466" i="28" s="1"/>
  <c r="H63" i="36"/>
  <c r="G68" i="36"/>
  <c r="J43" i="59"/>
  <c r="F137" i="73"/>
  <c r="F190" i="73"/>
  <c r="G58" i="36"/>
  <c r="G60" i="36" s="1"/>
  <c r="G137" i="73"/>
  <c r="J48" i="59"/>
  <c r="H99" i="28"/>
  <c r="H100" i="28" s="1"/>
  <c r="H543" i="28"/>
  <c r="H36" i="28"/>
  <c r="H68" i="28" s="1"/>
  <c r="H60" i="28"/>
  <c r="H56" i="28"/>
  <c r="H557" i="28" s="1"/>
  <c r="H46" i="28"/>
  <c r="H68" i="36"/>
  <c r="H138" i="6"/>
  <c r="H140" i="6" s="1"/>
  <c r="H199" i="6" s="1"/>
  <c r="K48" i="59"/>
  <c r="K43" i="59"/>
  <c r="G12" i="49"/>
  <c r="H130" i="8"/>
  <c r="H132" i="8"/>
  <c r="H145" i="8" s="1"/>
  <c r="H131" i="8"/>
  <c r="H144" i="8" s="1"/>
  <c r="G173" i="6"/>
  <c r="H174" i="6"/>
  <c r="G145" i="6"/>
  <c r="G26" i="6"/>
  <c r="G34" i="6"/>
  <c r="H147" i="6"/>
  <c r="G214" i="6"/>
  <c r="G205" i="6"/>
  <c r="G84" i="6"/>
  <c r="H145" i="6"/>
  <c r="K15" i="59" s="1"/>
  <c r="G144" i="6"/>
  <c r="G33" i="6"/>
  <c r="G23" i="6"/>
  <c r="H144" i="6"/>
  <c r="G172" i="6"/>
  <c r="H548" i="28"/>
  <c r="H535" i="28"/>
  <c r="H542" i="28"/>
  <c r="H540" i="28"/>
  <c r="H539" i="28"/>
  <c r="H547" i="28"/>
  <c r="H74" i="28"/>
  <c r="H76" i="28"/>
  <c r="H536" i="28"/>
  <c r="H546" i="28"/>
  <c r="H544" i="28"/>
  <c r="H538" i="28"/>
  <c r="G118" i="73"/>
  <c r="G5" i="73"/>
  <c r="H69" i="36"/>
  <c r="H71" i="36" s="1"/>
  <c r="H60" i="36"/>
  <c r="G206" i="6" l="1"/>
  <c r="G203" i="6"/>
  <c r="G217" i="6"/>
  <c r="G218" i="6" s="1"/>
  <c r="G212" i="6"/>
  <c r="G204" i="6"/>
  <c r="G208" i="6"/>
  <c r="G211" i="6"/>
  <c r="G215" i="6" s="1"/>
  <c r="G213" i="6"/>
  <c r="G207" i="6"/>
  <c r="H48" i="28"/>
  <c r="H471" i="28"/>
  <c r="H502" i="28" s="1"/>
  <c r="H526" i="28" s="1"/>
  <c r="H146" i="6"/>
  <c r="H35" i="28"/>
  <c r="H133" i="8"/>
  <c r="H146" i="8" s="1"/>
  <c r="H143" i="8"/>
  <c r="G146" i="6"/>
  <c r="G174" i="6"/>
  <c r="H197" i="6"/>
  <c r="G35" i="6"/>
  <c r="H214" i="6"/>
  <c r="H212" i="6"/>
  <c r="H208" i="6"/>
  <c r="H206" i="6"/>
  <c r="H204" i="6"/>
  <c r="H209" i="6"/>
  <c r="H217" i="6"/>
  <c r="H218" i="6" s="1"/>
  <c r="H203" i="6"/>
  <c r="H205" i="6"/>
  <c r="H211" i="6"/>
  <c r="H207" i="6"/>
  <c r="H213" i="6"/>
  <c r="G210" i="6" l="1"/>
  <c r="H67" i="28"/>
  <c r="H37" i="28"/>
  <c r="G216" i="6"/>
  <c r="G219" i="6" s="1"/>
  <c r="H215" i="6"/>
  <c r="K11" i="59" s="1"/>
  <c r="H210" i="6"/>
  <c r="H216" i="6" s="1"/>
  <c r="H219" i="6" s="1"/>
  <c r="H69" i="28" l="1"/>
  <c r="H70" i="28" s="1"/>
  <c r="H558" i="28"/>
  <c r="H77" i="28"/>
  <c r="H550" i="28"/>
  <c r="G29" i="36"/>
  <c r="G28" i="36"/>
  <c r="G27" i="36"/>
  <c r="H24" i="36"/>
  <c r="K74" i="59" s="1"/>
  <c r="G23" i="36"/>
  <c r="J71" i="59" s="1"/>
  <c r="H22" i="36"/>
  <c r="K67" i="59" s="1"/>
  <c r="G22" i="36"/>
  <c r="J67" i="59" s="1"/>
  <c r="H21" i="36"/>
  <c r="K63" i="59" s="1"/>
  <c r="G21" i="36"/>
  <c r="J63" i="59" s="1"/>
  <c r="G17" i="36"/>
  <c r="G16" i="36"/>
  <c r="G13" i="36"/>
  <c r="J39" i="59" s="1"/>
  <c r="H12" i="36"/>
  <c r="K38" i="59" s="1"/>
  <c r="H11" i="36"/>
  <c r="K37" i="59" s="1"/>
  <c r="H10" i="36"/>
  <c r="H9" i="36"/>
  <c r="K10" i="59" s="1"/>
  <c r="G9" i="36"/>
  <c r="J10" i="59" s="1"/>
  <c r="H8" i="36"/>
  <c r="K9" i="59" s="1"/>
  <c r="G8" i="36"/>
  <c r="J9" i="59" s="1"/>
  <c r="H7" i="36"/>
  <c r="K8" i="59" s="1"/>
  <c r="G7" i="36"/>
  <c r="J8" i="59" s="1"/>
  <c r="G5" i="36"/>
  <c r="J6" i="59" l="1"/>
  <c r="G13" i="49"/>
  <c r="G14" i="49" s="1"/>
  <c r="G15" i="49" s="1"/>
  <c r="G16" i="49" s="1"/>
  <c r="G19" i="49" s="1"/>
  <c r="G20" i="49" s="1"/>
  <c r="G89" i="9"/>
  <c r="J53" i="59"/>
  <c r="F7" i="15"/>
  <c r="J79" i="59"/>
  <c r="G90" i="9"/>
  <c r="G19" i="9" s="1"/>
  <c r="J54" i="59"/>
  <c r="F5" i="15"/>
  <c r="J77" i="59"/>
  <c r="F6" i="15"/>
  <c r="J78" i="59"/>
  <c r="H78" i="28"/>
  <c r="H552" i="28"/>
  <c r="H529" i="28"/>
  <c r="H530" i="28"/>
  <c r="H551" i="28"/>
  <c r="H13" i="36"/>
  <c r="K39" i="59" s="1"/>
  <c r="K36" i="59"/>
  <c r="H27" i="21"/>
  <c r="G27" i="21"/>
  <c r="H26" i="21"/>
  <c r="H24" i="21"/>
  <c r="H18" i="21"/>
  <c r="H15" i="21"/>
  <c r="H12" i="21"/>
  <c r="G12" i="21"/>
  <c r="G15" i="21" s="1"/>
  <c r="G91" i="9" l="1"/>
  <c r="H25" i="21"/>
  <c r="H20" i="21"/>
  <c r="H555" i="28"/>
  <c r="H556" i="28"/>
  <c r="H28" i="21"/>
  <c r="G22" i="21"/>
  <c r="G42" i="35" l="1"/>
  <c r="G41" i="35"/>
  <c r="H40" i="35"/>
  <c r="H39" i="35"/>
  <c r="G39" i="35"/>
  <c r="H36" i="35"/>
  <c r="G36" i="35"/>
  <c r="G37" i="28" s="1"/>
  <c r="G33" i="35"/>
  <c r="H31" i="35"/>
  <c r="H30" i="35"/>
  <c r="H26" i="35"/>
  <c r="G26" i="35"/>
  <c r="G26" i="21" s="1"/>
  <c r="G28" i="21" s="1"/>
  <c r="G21" i="35"/>
  <c r="G26" i="9" s="1"/>
  <c r="G20" i="35"/>
  <c r="G19" i="35"/>
  <c r="H14" i="35"/>
  <c r="H13" i="35"/>
  <c r="H11" i="35"/>
  <c r="G10" i="35"/>
  <c r="G9" i="35"/>
  <c r="G8" i="35"/>
  <c r="H7" i="35"/>
  <c r="H6" i="6" s="1"/>
  <c r="H6" i="35"/>
  <c r="H5" i="6" s="1"/>
  <c r="G526" i="28" l="1"/>
  <c r="G31" i="28"/>
  <c r="G63" i="28" s="1"/>
  <c r="G69" i="28" s="1"/>
  <c r="G77" i="28"/>
  <c r="G14" i="35"/>
  <c r="G9" i="6"/>
  <c r="G13" i="35"/>
  <c r="G15" i="35" s="1"/>
  <c r="G8" i="6"/>
  <c r="G48" i="35"/>
  <c r="G49" i="35"/>
  <c r="H48" i="35"/>
  <c r="H7" i="6"/>
  <c r="H16" i="6"/>
  <c r="H18" i="6"/>
  <c r="H10" i="6"/>
  <c r="H8" i="35"/>
  <c r="H15" i="6"/>
  <c r="H17" i="6"/>
  <c r="H41" i="35"/>
  <c r="H15" i="35"/>
  <c r="H5" i="36"/>
  <c r="G37" i="35"/>
  <c r="G11" i="35"/>
  <c r="G10" i="6" s="1"/>
  <c r="G93" i="28" l="1"/>
  <c r="G78" i="28"/>
  <c r="G97" i="28" s="1"/>
  <c r="G55" i="35"/>
  <c r="H189" i="6"/>
  <c r="H194" i="6"/>
  <c r="H164" i="6"/>
  <c r="H19" i="6"/>
  <c r="H81" i="6" s="1"/>
  <c r="H168" i="6"/>
  <c r="H13" i="49"/>
  <c r="K6" i="59"/>
  <c r="F50" i="8"/>
  <c r="F80" i="8"/>
  <c r="H84" i="6" l="1"/>
  <c r="H38" i="6"/>
  <c r="H37" i="6"/>
  <c r="H40" i="6"/>
  <c r="H39" i="6"/>
  <c r="H41" i="6" l="1"/>
  <c r="F29" i="11"/>
  <c r="F33" i="10" l="1"/>
  <c r="F23" i="10"/>
  <c r="F56" i="10"/>
  <c r="F57" i="10"/>
  <c r="J57" i="10" l="1"/>
  <c r="J56" i="10"/>
  <c r="J23" i="10"/>
  <c r="J33" i="10"/>
  <c r="E29" i="15"/>
  <c r="G55" i="50" l="1"/>
  <c r="F34" i="35"/>
  <c r="C82" i="90"/>
  <c r="AD77" i="104" l="1"/>
  <c r="AC77" i="104"/>
  <c r="AB77" i="104"/>
  <c r="AA77" i="104"/>
  <c r="Z77" i="104"/>
  <c r="Y77" i="104"/>
  <c r="X77" i="104"/>
  <c r="E58" i="17" l="1"/>
  <c r="E37" i="27" l="1"/>
  <c r="E35" i="27"/>
  <c r="E29" i="27"/>
  <c r="E27" i="27"/>
  <c r="E28" i="27"/>
  <c r="E20" i="27"/>
  <c r="E19" i="27"/>
  <c r="E18" i="27"/>
  <c r="F103" i="9" l="1"/>
  <c r="D99" i="9"/>
  <c r="F87" i="8" l="1"/>
  <c r="F85" i="8"/>
  <c r="E80" i="77"/>
  <c r="D82" i="7" l="1"/>
  <c r="E43" i="26" l="1"/>
  <c r="I43" i="26" s="1"/>
  <c r="E128" i="26"/>
  <c r="D128" i="26"/>
  <c r="E112" i="26"/>
  <c r="D110" i="26"/>
  <c r="D108" i="26"/>
  <c r="D106" i="26"/>
  <c r="D104" i="26"/>
  <c r="D102" i="26"/>
  <c r="D100" i="26"/>
  <c r="D98" i="26"/>
  <c r="D96" i="26"/>
  <c r="E92" i="26"/>
  <c r="D89" i="26"/>
  <c r="D87" i="26"/>
  <c r="D85" i="26"/>
  <c r="D83" i="26"/>
  <c r="E81" i="26"/>
  <c r="E80" i="26"/>
  <c r="D78" i="26"/>
  <c r="D76" i="26"/>
  <c r="E73" i="26"/>
  <c r="D71" i="26"/>
  <c r="D69" i="26"/>
  <c r="D67" i="26"/>
  <c r="D65" i="26"/>
  <c r="D63" i="26"/>
  <c r="D61" i="26"/>
  <c r="D59" i="26"/>
  <c r="D57" i="26"/>
  <c r="D52" i="26"/>
  <c r="D50" i="26"/>
  <c r="E48" i="26"/>
  <c r="E54" i="26" s="1"/>
  <c r="D46" i="26"/>
  <c r="D48" i="26" s="1"/>
  <c r="D49" i="26" s="1"/>
  <c r="D41" i="26"/>
  <c r="D39" i="26"/>
  <c r="D37" i="26"/>
  <c r="D35" i="26"/>
  <c r="D33" i="26"/>
  <c r="D31" i="26"/>
  <c r="D29" i="26"/>
  <c r="D27" i="26"/>
  <c r="D25" i="26"/>
  <c r="D23" i="26"/>
  <c r="D21" i="26"/>
  <c r="D17" i="26"/>
  <c r="D15" i="26"/>
  <c r="E12" i="26"/>
  <c r="E19" i="26" s="1"/>
  <c r="D11" i="26"/>
  <c r="D9" i="26"/>
  <c r="D43" i="26" l="1"/>
  <c r="H43" i="26" s="1"/>
  <c r="D81" i="26"/>
  <c r="D92" i="26"/>
  <c r="D80" i="26"/>
  <c r="D73" i="26"/>
  <c r="BG72" i="26" s="1"/>
  <c r="D54" i="26"/>
  <c r="D112" i="26"/>
  <c r="D12" i="26"/>
  <c r="D19" i="26" s="1"/>
  <c r="D55" i="26"/>
  <c r="E55" i="26"/>
  <c r="E13" i="26"/>
  <c r="E18" i="26"/>
  <c r="E49" i="26"/>
  <c r="D18" i="26" l="1"/>
  <c r="D13" i="26"/>
  <c r="F29" i="22" l="1"/>
  <c r="F25" i="22"/>
  <c r="F27" i="22" s="1"/>
  <c r="F24" i="22"/>
  <c r="F14" i="22"/>
  <c r="F10" i="22"/>
  <c r="F9" i="22"/>
  <c r="E31" i="15"/>
  <c r="E30" i="15"/>
  <c r="E25" i="15"/>
  <c r="E24" i="15"/>
  <c r="E23" i="15"/>
  <c r="E22" i="15"/>
  <c r="E21" i="15"/>
  <c r="D19" i="15"/>
  <c r="E18" i="15"/>
  <c r="D18" i="15"/>
  <c r="E15" i="15"/>
  <c r="D12" i="15"/>
  <c r="E11" i="15"/>
  <c r="E10" i="15"/>
  <c r="E9" i="15"/>
  <c r="D9" i="15"/>
  <c r="E8" i="15"/>
  <c r="D8" i="15"/>
  <c r="E7" i="15"/>
  <c r="E6" i="15"/>
  <c r="E5" i="15"/>
  <c r="E38" i="17"/>
  <c r="I27" i="17"/>
  <c r="M27" i="17" s="1"/>
  <c r="Q27" i="17" s="1"/>
  <c r="U27" i="17" s="1"/>
  <c r="J27" i="17"/>
  <c r="N27" i="17"/>
  <c r="R27" i="17"/>
  <c r="V27" i="17"/>
  <c r="X27" i="17"/>
  <c r="Y27" i="17"/>
  <c r="AB27" i="17"/>
  <c r="AF27" i="17"/>
  <c r="AJ27" i="17"/>
  <c r="AM27" i="17"/>
  <c r="AP27" i="17"/>
  <c r="AT27" i="17"/>
  <c r="AX27" i="17"/>
  <c r="AZ27" i="17"/>
  <c r="BA27" i="17"/>
  <c r="BC27" i="17" s="1"/>
  <c r="E36" i="17"/>
  <c r="D21" i="17"/>
  <c r="F12" i="22" l="1"/>
  <c r="J16" i="22"/>
  <c r="D13" i="15"/>
  <c r="AL27" i="17"/>
  <c r="BB27" i="17" s="1"/>
  <c r="D15" i="15"/>
  <c r="AA27" i="17"/>
  <c r="AE27" i="17" s="1"/>
  <c r="AI27" i="17" s="1"/>
  <c r="AO27" i="17" s="1"/>
  <c r="AS27" i="17" s="1"/>
  <c r="AW27" i="17" s="1"/>
  <c r="BE27" i="17" s="1"/>
  <c r="E32" i="15"/>
  <c r="E36" i="15" l="1"/>
  <c r="D16" i="15"/>
  <c r="D91" i="8"/>
  <c r="E16" i="15" l="1"/>
  <c r="C49" i="72"/>
  <c r="CW30" i="71"/>
  <c r="AU50" i="71"/>
  <c r="F27" i="21"/>
  <c r="E82" i="90" l="1"/>
  <c r="E17" i="15"/>
  <c r="F442" i="28"/>
  <c r="J442" i="28" s="1"/>
  <c r="F424" i="28"/>
  <c r="J424" i="28" s="1"/>
  <c r="F39" i="28" l="1"/>
  <c r="F40" i="28" s="1"/>
  <c r="F465" i="28" l="1"/>
  <c r="E181" i="73"/>
  <c r="E92" i="77"/>
  <c r="E91" i="77"/>
  <c r="D91" i="77"/>
  <c r="E90" i="77"/>
  <c r="D90" i="77"/>
  <c r="D89" i="77" s="1"/>
  <c r="E86" i="77"/>
  <c r="D86" i="77"/>
  <c r="D84" i="77"/>
  <c r="E83" i="77"/>
  <c r="E82" i="77"/>
  <c r="E81" i="77"/>
  <c r="E71" i="77"/>
  <c r="D71" i="77"/>
  <c r="E53" i="77"/>
  <c r="D53" i="77"/>
  <c r="E36" i="77"/>
  <c r="D36" i="77"/>
  <c r="E32" i="77"/>
  <c r="D32" i="77"/>
  <c r="E26" i="77"/>
  <c r="D26" i="77"/>
  <c r="E21" i="77"/>
  <c r="D21" i="77"/>
  <c r="E13" i="77"/>
  <c r="D13" i="77"/>
  <c r="E7" i="77"/>
  <c r="D7" i="77"/>
  <c r="E242" i="73"/>
  <c r="D242" i="73"/>
  <c r="E240" i="73"/>
  <c r="D240" i="73"/>
  <c r="E229" i="73"/>
  <c r="D229" i="73"/>
  <c r="D42" i="77" s="1"/>
  <c r="D37" i="77" s="1"/>
  <c r="E227" i="73"/>
  <c r="E220" i="73"/>
  <c r="E214" i="73"/>
  <c r="D214" i="73"/>
  <c r="E209" i="73"/>
  <c r="D209" i="73"/>
  <c r="E201" i="73"/>
  <c r="D201" i="73"/>
  <c r="E198" i="73"/>
  <c r="D198" i="73"/>
  <c r="E195" i="73"/>
  <c r="D195" i="73"/>
  <c r="D190" i="73" s="1"/>
  <c r="E187" i="73"/>
  <c r="D187" i="73"/>
  <c r="D179" i="73"/>
  <c r="E168" i="73"/>
  <c r="E179" i="73" s="1"/>
  <c r="E134" i="73"/>
  <c r="D134" i="73"/>
  <c r="E132" i="73"/>
  <c r="E130" i="73"/>
  <c r="D130" i="73"/>
  <c r="E126" i="73"/>
  <c r="D126" i="73"/>
  <c r="E122" i="73"/>
  <c r="D118" i="73"/>
  <c r="E113" i="73"/>
  <c r="E12" i="15" s="1"/>
  <c r="E106" i="73"/>
  <c r="E102" i="73"/>
  <c r="F26" i="21" s="1"/>
  <c r="E62" i="73"/>
  <c r="E56" i="73"/>
  <c r="E51" i="73"/>
  <c r="E46" i="73"/>
  <c r="E35" i="73"/>
  <c r="E30" i="73"/>
  <c r="E22" i="73"/>
  <c r="D22" i="73"/>
  <c r="E20" i="73"/>
  <c r="E8" i="73"/>
  <c r="E6" i="73" s="1"/>
  <c r="D8" i="73"/>
  <c r="D6" i="73"/>
  <c r="F466" i="28" l="1"/>
  <c r="J466" i="28" s="1"/>
  <c r="J465" i="28"/>
  <c r="E13" i="15"/>
  <c r="E190" i="73"/>
  <c r="E42" i="77"/>
  <c r="E37" i="77" s="1"/>
  <c r="E89" i="77"/>
  <c r="E95" i="77" s="1"/>
  <c r="D137" i="73"/>
  <c r="E84" i="77"/>
  <c r="D95" i="77"/>
  <c r="E137" i="73"/>
  <c r="E118" i="73"/>
  <c r="E5" i="73"/>
  <c r="E14" i="15" l="1"/>
  <c r="J94" i="38"/>
  <c r="J93" i="38"/>
  <c r="J92" i="38"/>
  <c r="J91" i="38"/>
  <c r="I90" i="38"/>
  <c r="J89" i="38"/>
  <c r="I88" i="38"/>
  <c r="J86" i="38"/>
  <c r="J85" i="38"/>
  <c r="J84" i="38"/>
  <c r="J83" i="38"/>
  <c r="I82" i="38"/>
  <c r="J80" i="38"/>
  <c r="J79" i="38"/>
  <c r="J78" i="38"/>
  <c r="J77" i="38"/>
  <c r="J76" i="38"/>
  <c r="J75" i="38"/>
  <c r="J74" i="38"/>
  <c r="J73" i="38"/>
  <c r="J72" i="38"/>
  <c r="J71" i="38"/>
  <c r="J70" i="38"/>
  <c r="J69" i="38"/>
  <c r="J68" i="38"/>
  <c r="J67" i="38"/>
  <c r="I66" i="38"/>
  <c r="I65" i="38" s="1"/>
  <c r="J62" i="38"/>
  <c r="J61" i="38"/>
  <c r="I60" i="38"/>
  <c r="J59" i="38"/>
  <c r="J58" i="38"/>
  <c r="J57" i="38"/>
  <c r="J56" i="38"/>
  <c r="J55" i="38"/>
  <c r="I54" i="38"/>
  <c r="I52" i="38"/>
  <c r="J51" i="38"/>
  <c r="I51" i="38"/>
  <c r="I46" i="38"/>
  <c r="I45" i="38"/>
  <c r="I44" i="38"/>
  <c r="I43" i="38"/>
  <c r="J42" i="38"/>
  <c r="J90" i="38" s="1"/>
  <c r="I41" i="38"/>
  <c r="I40" i="38" s="1"/>
  <c r="J40" i="38"/>
  <c r="J88" i="38" s="1"/>
  <c r="I38" i="38"/>
  <c r="I37" i="38"/>
  <c r="I36" i="38"/>
  <c r="I35" i="38"/>
  <c r="J34" i="38"/>
  <c r="J82" i="38" s="1"/>
  <c r="I32" i="38"/>
  <c r="I31" i="38"/>
  <c r="I30" i="38"/>
  <c r="I29" i="38"/>
  <c r="I28" i="38"/>
  <c r="I27" i="38"/>
  <c r="I26" i="38"/>
  <c r="I25" i="38"/>
  <c r="I24" i="38"/>
  <c r="I23" i="38"/>
  <c r="I22" i="38"/>
  <c r="I21" i="38"/>
  <c r="I20" i="38"/>
  <c r="I19" i="38"/>
  <c r="J18" i="38"/>
  <c r="J66" i="38" s="1"/>
  <c r="I14" i="38"/>
  <c r="I13" i="38"/>
  <c r="J12" i="38"/>
  <c r="J60" i="38" s="1"/>
  <c r="I11" i="38"/>
  <c r="I10" i="38"/>
  <c r="I9" i="38"/>
  <c r="I8" i="38"/>
  <c r="I7" i="38"/>
  <c r="J6" i="38"/>
  <c r="J54" i="38" s="1"/>
  <c r="I12" i="38" l="1"/>
  <c r="I63" i="38"/>
  <c r="I34" i="38"/>
  <c r="I42" i="38"/>
  <c r="I39" i="38" s="1"/>
  <c r="I87" i="38"/>
  <c r="I64" i="38" s="1"/>
  <c r="I18" i="38"/>
  <c r="I6" i="38"/>
  <c r="I15" i="38" s="1"/>
  <c r="J15" i="38"/>
  <c r="J17" i="38"/>
  <c r="J39" i="38"/>
  <c r="J87" i="38" s="1"/>
  <c r="O53" i="45"/>
  <c r="S53" i="45" s="1"/>
  <c r="W53" i="45" s="1"/>
  <c r="AA53" i="45"/>
  <c r="AO53" i="45"/>
  <c r="BC53" i="45"/>
  <c r="BE53" i="45" l="1"/>
  <c r="AC53" i="45"/>
  <c r="AG53" i="45" s="1"/>
  <c r="AK53" i="45" s="1"/>
  <c r="AQ53" i="45" s="1"/>
  <c r="AU53" i="45" s="1"/>
  <c r="AY53" i="45" s="1"/>
  <c r="BG53" i="45" s="1"/>
  <c r="I17" i="38"/>
  <c r="I16" i="38"/>
  <c r="I96" i="38"/>
  <c r="J63" i="38"/>
  <c r="J65" i="38"/>
  <c r="J16" i="38"/>
  <c r="J64" i="38" s="1"/>
  <c r="I48" i="38"/>
  <c r="J96" i="38" l="1"/>
  <c r="J48" i="38"/>
  <c r="G157" i="45"/>
  <c r="G156" i="45"/>
  <c r="G154" i="45"/>
  <c r="G148" i="45"/>
  <c r="G155" i="45" s="1"/>
  <c r="G143" i="45"/>
  <c r="F143" i="45"/>
  <c r="G142" i="45"/>
  <c r="F142" i="45"/>
  <c r="G141" i="45"/>
  <c r="F141" i="45"/>
  <c r="G140" i="45"/>
  <c r="F140" i="45"/>
  <c r="G138" i="45"/>
  <c r="F138" i="45"/>
  <c r="G136" i="45"/>
  <c r="F136" i="45"/>
  <c r="G134" i="45"/>
  <c r="F134" i="45"/>
  <c r="G131" i="45"/>
  <c r="F131" i="45"/>
  <c r="G129" i="45"/>
  <c r="G126" i="45" s="1"/>
  <c r="G122" i="45"/>
  <c r="G159" i="45" s="1"/>
  <c r="G121" i="45"/>
  <c r="G123" i="45" s="1"/>
  <c r="F121" i="45"/>
  <c r="G120" i="45"/>
  <c r="G158" i="45" s="1"/>
  <c r="F190" i="10"/>
  <c r="F188" i="10"/>
  <c r="F182" i="10"/>
  <c r="F177" i="10"/>
  <c r="E177" i="10"/>
  <c r="F176" i="10"/>
  <c r="E176" i="10"/>
  <c r="F175" i="10"/>
  <c r="E175" i="10"/>
  <c r="F174" i="10"/>
  <c r="E174" i="10"/>
  <c r="F172" i="10"/>
  <c r="E172" i="10"/>
  <c r="F170" i="10"/>
  <c r="E170" i="10"/>
  <c r="F168" i="10"/>
  <c r="E168" i="10"/>
  <c r="F165" i="10"/>
  <c r="E165" i="10"/>
  <c r="E166" i="10" s="1"/>
  <c r="F160" i="10"/>
  <c r="E159" i="10"/>
  <c r="E158" i="10" s="1"/>
  <c r="F159" i="10"/>
  <c r="F189" i="10" l="1"/>
  <c r="G132" i="45"/>
  <c r="F132" i="45"/>
  <c r="F166" i="10"/>
  <c r="G160" i="45"/>
  <c r="F184" i="10"/>
  <c r="F124" i="45"/>
  <c r="E161" i="10"/>
  <c r="E178" i="10"/>
  <c r="E173" i="10"/>
  <c r="G149" i="45"/>
  <c r="F120" i="45"/>
  <c r="F123" i="45"/>
  <c r="F139" i="45"/>
  <c r="G124" i="45"/>
  <c r="G125" i="45" s="1"/>
  <c r="G139" i="45"/>
  <c r="F144" i="45"/>
  <c r="G150" i="45"/>
  <c r="G144" i="45"/>
  <c r="F178" i="10"/>
  <c r="F161" i="10"/>
  <c r="F173" i="10"/>
  <c r="F183" i="10"/>
  <c r="F192" i="10"/>
  <c r="F158" i="10"/>
  <c r="F191" i="10" l="1"/>
  <c r="F3" i="8"/>
  <c r="F193" i="10" l="1"/>
  <c r="E113" i="7" l="1"/>
  <c r="E112" i="7"/>
  <c r="E111" i="7"/>
  <c r="E110" i="7"/>
  <c r="E109" i="7"/>
  <c r="E108" i="7"/>
  <c r="E107" i="7"/>
  <c r="E106" i="7"/>
  <c r="F84" i="7"/>
  <c r="E84" i="7"/>
  <c r="F82" i="7"/>
  <c r="E82" i="7"/>
  <c r="F75" i="7"/>
  <c r="E75" i="7"/>
  <c r="F71" i="7"/>
  <c r="E71" i="7"/>
  <c r="F67" i="7"/>
  <c r="E67" i="7"/>
  <c r="E58" i="7" s="1"/>
  <c r="F21" i="7"/>
  <c r="E21" i="7"/>
  <c r="E54" i="7" l="1"/>
  <c r="E41" i="7"/>
  <c r="E81" i="7"/>
  <c r="E23" i="7"/>
  <c r="E87" i="7" s="1"/>
  <c r="F30" i="7"/>
  <c r="F94" i="7" s="1"/>
  <c r="E73" i="7"/>
  <c r="F73" i="7"/>
  <c r="F41" i="7"/>
  <c r="F81" i="7"/>
  <c r="F60" i="7"/>
  <c r="F56" i="7"/>
  <c r="F101" i="7" s="1"/>
  <c r="F36" i="7"/>
  <c r="F99" i="7" s="1"/>
  <c r="F32" i="7"/>
  <c r="F95" i="7" s="1"/>
  <c r="I34" i="59" s="1"/>
  <c r="F27" i="7"/>
  <c r="F91" i="7" s="1"/>
  <c r="F23" i="7"/>
  <c r="F87" i="7" s="1"/>
  <c r="F59" i="7"/>
  <c r="F55" i="7"/>
  <c r="F35" i="7"/>
  <c r="F98" i="7" s="1"/>
  <c r="F31" i="7"/>
  <c r="F26" i="7"/>
  <c r="F62" i="7"/>
  <c r="F58" i="7"/>
  <c r="F54" i="7"/>
  <c r="F34" i="7"/>
  <c r="F97" i="7" s="1"/>
  <c r="F29" i="7"/>
  <c r="F93" i="7" s="1"/>
  <c r="F25" i="7"/>
  <c r="F33" i="7"/>
  <c r="F96" i="7" s="1"/>
  <c r="F61" i="7"/>
  <c r="F102" i="7" s="1"/>
  <c r="F28" i="7"/>
  <c r="F92" i="7" s="1"/>
  <c r="F37" i="7"/>
  <c r="F100" i="7" s="1"/>
  <c r="F24" i="7"/>
  <c r="F57" i="7"/>
  <c r="E35" i="7"/>
  <c r="E98" i="7" s="1"/>
  <c r="E31" i="7"/>
  <c r="E26" i="7"/>
  <c r="E34" i="7"/>
  <c r="E97" i="7" s="1"/>
  <c r="E29" i="7"/>
  <c r="E93" i="7" s="1"/>
  <c r="E25" i="7"/>
  <c r="E37" i="7"/>
  <c r="E100" i="7" s="1"/>
  <c r="E33" i="7"/>
  <c r="E96" i="7" s="1"/>
  <c r="E28" i="7"/>
  <c r="E92" i="7" s="1"/>
  <c r="E24" i="7"/>
  <c r="E88" i="7" s="1"/>
  <c r="E36" i="7"/>
  <c r="E99" i="7" s="1"/>
  <c r="E32" i="7"/>
  <c r="E95" i="7" s="1"/>
  <c r="H34" i="59" s="1"/>
  <c r="E27" i="7"/>
  <c r="E91" i="7" s="1"/>
  <c r="E56" i="7"/>
  <c r="E101" i="7" s="1"/>
  <c r="E60" i="7"/>
  <c r="E62" i="7"/>
  <c r="E83" i="7"/>
  <c r="F83" i="7"/>
  <c r="E55" i="7"/>
  <c r="E57" i="7"/>
  <c r="E59" i="7"/>
  <c r="E61" i="7"/>
  <c r="E102" i="7" s="1"/>
  <c r="E68" i="7"/>
  <c r="E76" i="7"/>
  <c r="E78" i="7"/>
  <c r="F69" i="7"/>
  <c r="F76" i="7"/>
  <c r="F78" i="7"/>
  <c r="E130" i="6"/>
  <c r="E129" i="6"/>
  <c r="I129" i="6" s="1"/>
  <c r="E128" i="6"/>
  <c r="E127" i="6"/>
  <c r="E126" i="6"/>
  <c r="E125" i="6"/>
  <c r="F130" i="6"/>
  <c r="F129" i="6"/>
  <c r="J129" i="6" s="1"/>
  <c r="F128" i="6"/>
  <c r="F127" i="6"/>
  <c r="F126" i="6"/>
  <c r="F125" i="6"/>
  <c r="F88" i="7" l="1"/>
  <c r="F89" i="7"/>
  <c r="E89" i="7"/>
  <c r="E90" i="7"/>
  <c r="H32" i="59" s="1"/>
  <c r="E51" i="7"/>
  <c r="F51" i="7"/>
  <c r="F90" i="7"/>
  <c r="I32" i="59" s="1"/>
  <c r="F38" i="7"/>
  <c r="F53" i="7" s="1"/>
  <c r="F77" i="7" s="1"/>
  <c r="E38" i="7"/>
  <c r="E53" i="7" s="1"/>
  <c r="E77" i="7" s="1"/>
  <c r="E103" i="7" l="1"/>
  <c r="E63" i="7"/>
  <c r="F63" i="7"/>
  <c r="F103" i="7"/>
  <c r="D131" i="6" l="1"/>
  <c r="D130" i="6"/>
  <c r="D129" i="6"/>
  <c r="D128" i="6"/>
  <c r="D127" i="6"/>
  <c r="D126" i="6"/>
  <c r="D125" i="6"/>
  <c r="D103" i="6"/>
  <c r="D56" i="6"/>
  <c r="D55" i="6"/>
  <c r="D57" i="6" s="1"/>
  <c r="D54" i="6"/>
  <c r="D51" i="6"/>
  <c r="D48" i="6"/>
  <c r="D45" i="6"/>
  <c r="E139" i="6"/>
  <c r="I139" i="6" s="1"/>
  <c r="E56" i="6"/>
  <c r="E55" i="6"/>
  <c r="E54" i="6"/>
  <c r="E51" i="6"/>
  <c r="E48" i="6"/>
  <c r="E45" i="6"/>
  <c r="E57" i="6" l="1"/>
  <c r="BH27" i="59"/>
  <c r="BH26" i="59"/>
  <c r="BH25" i="59"/>
  <c r="BH24" i="59"/>
  <c r="BH22" i="59"/>
  <c r="BF27" i="59"/>
  <c r="BF26" i="59"/>
  <c r="BF25" i="59"/>
  <c r="BF24" i="59"/>
  <c r="BF22" i="59"/>
  <c r="BD27" i="59"/>
  <c r="BD26" i="59"/>
  <c r="BD25" i="59"/>
  <c r="BD24" i="59"/>
  <c r="BD22" i="59"/>
  <c r="AZ27" i="59"/>
  <c r="AZ26" i="59"/>
  <c r="AZ25" i="59"/>
  <c r="AZ24" i="59"/>
  <c r="AZ22" i="59"/>
  <c r="BB27" i="59"/>
  <c r="BB26" i="59"/>
  <c r="BB25" i="59"/>
  <c r="BB24" i="59"/>
  <c r="BB23" i="59"/>
  <c r="BB22" i="59"/>
  <c r="AX27" i="59"/>
  <c r="AX26" i="59"/>
  <c r="AX25" i="59"/>
  <c r="AX24" i="59"/>
  <c r="AX23" i="59"/>
  <c r="AX22" i="59"/>
  <c r="AV27" i="59"/>
  <c r="AV26" i="59"/>
  <c r="AV25" i="59"/>
  <c r="AV24" i="59"/>
  <c r="AV22" i="59"/>
  <c r="AT27" i="59"/>
  <c r="AT26" i="59"/>
  <c r="AT25" i="59"/>
  <c r="AT24" i="59"/>
  <c r="AT23" i="59"/>
  <c r="AT22" i="59"/>
  <c r="AR27" i="59"/>
  <c r="AR26" i="59"/>
  <c r="AR25" i="59"/>
  <c r="AR24" i="59"/>
  <c r="AR22" i="59"/>
  <c r="AP27" i="59"/>
  <c r="AP26" i="59"/>
  <c r="AP25" i="59"/>
  <c r="AP24" i="59"/>
  <c r="AP22" i="59"/>
  <c r="AN27" i="59"/>
  <c r="AN26" i="59"/>
  <c r="AN25" i="59"/>
  <c r="AN24" i="59"/>
  <c r="AN23" i="59"/>
  <c r="AN22" i="59"/>
  <c r="AL27" i="59"/>
  <c r="AL26" i="59"/>
  <c r="AL25" i="59"/>
  <c r="AL24" i="59"/>
  <c r="AL22" i="59"/>
  <c r="AJ27" i="59"/>
  <c r="AJ26" i="59"/>
  <c r="AJ25" i="59"/>
  <c r="AJ24" i="59"/>
  <c r="AJ23" i="59"/>
  <c r="AJ22" i="59"/>
  <c r="AH27" i="59"/>
  <c r="AH26" i="59"/>
  <c r="AH25" i="59"/>
  <c r="AH24" i="59"/>
  <c r="AH22" i="59"/>
  <c r="AF27" i="59"/>
  <c r="AF26" i="59"/>
  <c r="AF25" i="59"/>
  <c r="AF24" i="59"/>
  <c r="AF23" i="59"/>
  <c r="AF22" i="59"/>
  <c r="AD27" i="59"/>
  <c r="AD26" i="59"/>
  <c r="AD25" i="59"/>
  <c r="AD24" i="59"/>
  <c r="AD22" i="59"/>
  <c r="AB27" i="59"/>
  <c r="AB26" i="59"/>
  <c r="AB25" i="59"/>
  <c r="AB24" i="59"/>
  <c r="AB22" i="59"/>
  <c r="Z27" i="59"/>
  <c r="Z26" i="59"/>
  <c r="Z25" i="59"/>
  <c r="Z24" i="59"/>
  <c r="Z23" i="59"/>
  <c r="Z22" i="59"/>
  <c r="X27" i="59"/>
  <c r="X26" i="59"/>
  <c r="X25" i="59"/>
  <c r="X24" i="59"/>
  <c r="X22" i="59"/>
  <c r="V27" i="59"/>
  <c r="V26" i="59"/>
  <c r="V25" i="59"/>
  <c r="V24" i="59"/>
  <c r="V23" i="59"/>
  <c r="V22" i="59"/>
  <c r="T27" i="59"/>
  <c r="T26" i="59"/>
  <c r="T25" i="59"/>
  <c r="T24" i="59"/>
  <c r="T22" i="59"/>
  <c r="R27" i="59"/>
  <c r="R26" i="59"/>
  <c r="R25" i="59"/>
  <c r="R24" i="59"/>
  <c r="R23" i="59"/>
  <c r="R22" i="59"/>
  <c r="P27" i="59"/>
  <c r="P26" i="59"/>
  <c r="P25" i="59"/>
  <c r="P24" i="59"/>
  <c r="P22" i="59"/>
  <c r="N27" i="59"/>
  <c r="N26" i="59"/>
  <c r="N25" i="59"/>
  <c r="N24" i="59"/>
  <c r="N23" i="59"/>
  <c r="N22" i="59"/>
  <c r="L27" i="59"/>
  <c r="L26" i="59"/>
  <c r="L25" i="59"/>
  <c r="L24" i="59"/>
  <c r="L22" i="59"/>
  <c r="H22" i="59"/>
  <c r="H23" i="59"/>
  <c r="H24" i="59"/>
  <c r="H25" i="59"/>
  <c r="H26" i="59"/>
  <c r="H27" i="59"/>
  <c r="BH20" i="59"/>
  <c r="BH19" i="59"/>
  <c r="BH18" i="59"/>
  <c r="BH17" i="59"/>
  <c r="BH15" i="59"/>
  <c r="BF20" i="59"/>
  <c r="BF19" i="59"/>
  <c r="BF18" i="59"/>
  <c r="BF17" i="59"/>
  <c r="BF15" i="59"/>
  <c r="BD20" i="59"/>
  <c r="BD19" i="59"/>
  <c r="BD18" i="59"/>
  <c r="BD17" i="59"/>
  <c r="BD15" i="59"/>
  <c r="AZ20" i="59"/>
  <c r="AZ19" i="59"/>
  <c r="AZ18" i="59"/>
  <c r="AZ17" i="59"/>
  <c r="AZ15" i="59"/>
  <c r="AX20" i="59"/>
  <c r="AX19" i="59"/>
  <c r="AX18" i="59"/>
  <c r="AX17" i="59"/>
  <c r="AX16" i="59"/>
  <c r="AX15" i="59"/>
  <c r="AV20" i="59"/>
  <c r="AV19" i="59"/>
  <c r="AV18" i="59"/>
  <c r="AV17" i="59"/>
  <c r="AV15" i="59"/>
  <c r="AT20" i="59"/>
  <c r="AT19" i="59"/>
  <c r="AT18" i="59"/>
  <c r="AT17" i="59"/>
  <c r="AT16" i="59"/>
  <c r="AT15" i="59"/>
  <c r="AR20" i="59"/>
  <c r="AR19" i="59"/>
  <c r="AR18" i="59"/>
  <c r="AR17" i="59"/>
  <c r="AR15" i="59"/>
  <c r="AP20" i="59"/>
  <c r="AP19" i="59"/>
  <c r="AP18" i="59"/>
  <c r="AP17" i="59"/>
  <c r="AP15" i="59"/>
  <c r="AN20" i="59"/>
  <c r="AN19" i="59"/>
  <c r="AN18" i="59"/>
  <c r="AN17" i="59"/>
  <c r="AN16" i="59"/>
  <c r="AN15" i="59"/>
  <c r="AL20" i="59"/>
  <c r="AL19" i="59"/>
  <c r="AL18" i="59"/>
  <c r="AL17" i="59"/>
  <c r="AL15" i="59"/>
  <c r="AJ20" i="59"/>
  <c r="AJ19" i="59"/>
  <c r="AJ18" i="59"/>
  <c r="AJ17" i="59"/>
  <c r="AJ16" i="59"/>
  <c r="AJ15" i="59"/>
  <c r="AH20" i="59"/>
  <c r="AH19" i="59"/>
  <c r="AH18" i="59"/>
  <c r="AH17" i="59"/>
  <c r="AH15" i="59"/>
  <c r="AF20" i="59"/>
  <c r="AF19" i="59"/>
  <c r="AF18" i="59"/>
  <c r="AF17" i="59"/>
  <c r="AF16" i="59"/>
  <c r="AF15" i="59"/>
  <c r="AD20" i="59"/>
  <c r="AD19" i="59"/>
  <c r="AD18" i="59"/>
  <c r="AD17" i="59"/>
  <c r="AD15" i="59"/>
  <c r="AB20" i="59"/>
  <c r="AB19" i="59"/>
  <c r="AB18" i="59"/>
  <c r="AB17" i="59"/>
  <c r="AB15" i="59"/>
  <c r="Z20" i="59"/>
  <c r="Z19" i="59"/>
  <c r="Z18" i="59"/>
  <c r="Z17" i="59"/>
  <c r="Z16" i="59"/>
  <c r="Z15" i="59"/>
  <c r="X20" i="59"/>
  <c r="X19" i="59"/>
  <c r="X18" i="59"/>
  <c r="X17" i="59"/>
  <c r="X15" i="59"/>
  <c r="V20" i="59"/>
  <c r="V19" i="59"/>
  <c r="V18" i="59"/>
  <c r="V17" i="59"/>
  <c r="V16" i="59"/>
  <c r="V15" i="59"/>
  <c r="T20" i="59"/>
  <c r="T19" i="59"/>
  <c r="T18" i="59"/>
  <c r="T17" i="59"/>
  <c r="T15" i="59"/>
  <c r="R20" i="59"/>
  <c r="R19" i="59"/>
  <c r="R18" i="59"/>
  <c r="R17" i="59"/>
  <c r="R16" i="59"/>
  <c r="R15" i="59"/>
  <c r="P20" i="59"/>
  <c r="P19" i="59"/>
  <c r="P18" i="59"/>
  <c r="P17" i="59"/>
  <c r="P15" i="59"/>
  <c r="N20" i="59"/>
  <c r="N19" i="59"/>
  <c r="N18" i="59"/>
  <c r="N17" i="59"/>
  <c r="N16" i="59"/>
  <c r="N15" i="59"/>
  <c r="L20" i="59"/>
  <c r="L19" i="59"/>
  <c r="L18" i="59"/>
  <c r="L17" i="59"/>
  <c r="L15" i="59"/>
  <c r="H20" i="59"/>
  <c r="H19" i="59"/>
  <c r="H18" i="59"/>
  <c r="H17" i="59"/>
  <c r="J45" i="28" l="1"/>
  <c r="Y26" i="28"/>
  <c r="J26" i="28"/>
  <c r="Y18" i="28"/>
  <c r="J18" i="28"/>
  <c r="Y10" i="28"/>
  <c r="J10" i="28"/>
  <c r="AA10" i="28" l="1"/>
  <c r="BE10" i="28" s="1"/>
  <c r="AA26" i="28"/>
  <c r="BE26" i="28" s="1"/>
  <c r="AZ55" i="11"/>
  <c r="AE26" i="28" l="1"/>
  <c r="AI26" i="28" s="1"/>
  <c r="AO26" i="28" s="1"/>
  <c r="AE10" i="28"/>
  <c r="AI10" i="28" s="1"/>
  <c r="AO10" i="28" s="1"/>
  <c r="AA18" i="28"/>
  <c r="BE18" i="28" s="1"/>
  <c r="AZ92" i="11"/>
  <c r="AZ91" i="11"/>
  <c r="AZ89" i="11"/>
  <c r="AZ83" i="11"/>
  <c r="AZ84" i="11" s="1"/>
  <c r="AZ59" i="11"/>
  <c r="AZ57" i="11"/>
  <c r="AZ93" i="11" s="1"/>
  <c r="AZ56" i="11"/>
  <c r="AZ58" i="11" s="1"/>
  <c r="B18" i="107"/>
  <c r="B20" i="107" s="1"/>
  <c r="B22" i="107" s="1"/>
  <c r="B25" i="107" s="1"/>
  <c r="B13" i="107"/>
  <c r="B8" i="107"/>
  <c r="AS26" i="28" l="1"/>
  <c r="AW26" i="28" s="1"/>
  <c r="AS10" i="28"/>
  <c r="AW10" i="28" s="1"/>
  <c r="AE18" i="28"/>
  <c r="AI18" i="28" s="1"/>
  <c r="AO18" i="28" s="1"/>
  <c r="B26" i="107"/>
  <c r="B28" i="107" s="1"/>
  <c r="AZ60" i="11"/>
  <c r="AZ85" i="11"/>
  <c r="AZ90" i="11"/>
  <c r="AZ94" i="11"/>
  <c r="AS18" i="28" l="1"/>
  <c r="AW18" i="28" s="1"/>
  <c r="AZ119" i="8"/>
  <c r="BF117" i="8"/>
  <c r="AZ118" i="8" l="1"/>
  <c r="AZ117" i="8"/>
  <c r="AV119" i="8"/>
  <c r="AV118" i="8"/>
  <c r="AV117" i="8"/>
  <c r="AR119" i="8"/>
  <c r="AR118" i="8"/>
  <c r="AR117" i="8"/>
  <c r="BB119" i="8" l="1"/>
  <c r="BB118" i="8"/>
  <c r="BB117" i="8"/>
  <c r="F33" i="28"/>
  <c r="F65" i="28" s="1"/>
  <c r="F32" i="28"/>
  <c r="F64" i="28" s="1"/>
  <c r="F31" i="28"/>
  <c r="J31" i="28" s="1"/>
  <c r="N31" i="28" s="1"/>
  <c r="R31" i="28" s="1"/>
  <c r="V31" i="28" s="1"/>
  <c r="AB31" i="28" s="1"/>
  <c r="H201" i="73"/>
  <c r="J201" i="73"/>
  <c r="K201" i="73"/>
  <c r="L201" i="73"/>
  <c r="M201" i="73"/>
  <c r="N201" i="73"/>
  <c r="O201" i="73"/>
  <c r="P201" i="73"/>
  <c r="Q201" i="73"/>
  <c r="R201" i="73"/>
  <c r="S201" i="73"/>
  <c r="T201" i="73"/>
  <c r="U201" i="73"/>
  <c r="V201" i="73"/>
  <c r="W201" i="73"/>
  <c r="X201" i="73"/>
  <c r="Y201" i="73"/>
  <c r="Z201" i="73"/>
  <c r="AA201" i="73"/>
  <c r="AB201" i="73"/>
  <c r="AC201" i="73"/>
  <c r="AD201" i="73"/>
  <c r="AE201" i="73"/>
  <c r="AF201" i="73"/>
  <c r="AG201" i="73"/>
  <c r="AH201" i="73"/>
  <c r="AI201" i="73"/>
  <c r="AJ201" i="73"/>
  <c r="AK201" i="73"/>
  <c r="AL201" i="73"/>
  <c r="AM201" i="73"/>
  <c r="AN201" i="73"/>
  <c r="AO201" i="73"/>
  <c r="AP201" i="73"/>
  <c r="AQ201" i="73"/>
  <c r="AR201" i="73"/>
  <c r="AS201" i="73"/>
  <c r="AT201" i="73"/>
  <c r="AU201" i="73"/>
  <c r="AV201" i="73"/>
  <c r="AX201" i="73"/>
  <c r="AY201" i="73"/>
  <c r="AZ201" i="73"/>
  <c r="BB201" i="73"/>
  <c r="BD201" i="73"/>
  <c r="F53" i="28"/>
  <c r="J53" i="28" s="1"/>
  <c r="F47" i="28"/>
  <c r="J8" i="28"/>
  <c r="J9" i="28"/>
  <c r="J11" i="28"/>
  <c r="J12" i="28"/>
  <c r="J15" i="28"/>
  <c r="J16" i="28"/>
  <c r="J17" i="28"/>
  <c r="J19" i="28"/>
  <c r="J20" i="28"/>
  <c r="J23" i="28"/>
  <c r="J24" i="28"/>
  <c r="J25" i="28"/>
  <c r="J27" i="28"/>
  <c r="J28" i="28"/>
  <c r="J39" i="28"/>
  <c r="J40" i="28"/>
  <c r="J42" i="28"/>
  <c r="J43" i="28"/>
  <c r="J44" i="28"/>
  <c r="J50" i="28"/>
  <c r="AE34" i="28"/>
  <c r="AI34" i="28" s="1"/>
  <c r="AO34" i="28" s="1"/>
  <c r="AS34" i="28" s="1"/>
  <c r="AW34" i="28" s="1"/>
  <c r="F55" i="28"/>
  <c r="F59" i="28"/>
  <c r="F524" i="28" s="1"/>
  <c r="J524" i="28" s="1"/>
  <c r="BF31" i="28" l="1"/>
  <c r="AF31" i="28"/>
  <c r="AJ31" i="28" s="1"/>
  <c r="AP31" i="28" s="1"/>
  <c r="AT31" i="28" s="1"/>
  <c r="AX31" i="28" s="1"/>
  <c r="F512" i="28"/>
  <c r="J55" i="28"/>
  <c r="F34" i="28"/>
  <c r="F36" i="28"/>
  <c r="J59" i="28"/>
  <c r="F63" i="28"/>
  <c r="J47" i="28"/>
  <c r="F521" i="28" l="1"/>
  <c r="J521" i="28" s="1"/>
  <c r="J512" i="28"/>
  <c r="F68" i="28"/>
  <c r="F66" i="28"/>
  <c r="J36" i="28"/>
  <c r="J34" i="28"/>
  <c r="J66" i="28" l="1"/>
  <c r="K187" i="73"/>
  <c r="V187" i="73"/>
  <c r="X187" i="73"/>
  <c r="W187" i="73"/>
  <c r="M189" i="73"/>
  <c r="Q189" i="73" s="1"/>
  <c r="U189" i="73" s="1"/>
  <c r="M188" i="73"/>
  <c r="Q188" i="73" s="1"/>
  <c r="U188" i="73" s="1"/>
  <c r="Y189" i="73"/>
  <c r="Y188" i="73"/>
  <c r="AM189" i="73"/>
  <c r="AM188" i="73"/>
  <c r="BA189" i="73"/>
  <c r="BA188" i="73"/>
  <c r="AZ187" i="73"/>
  <c r="AY187" i="73"/>
  <c r="AX187" i="73"/>
  <c r="AV187" i="73"/>
  <c r="AU187" i="73"/>
  <c r="AT187" i="73"/>
  <c r="AR187" i="73"/>
  <c r="AQ187" i="73"/>
  <c r="AP187" i="73"/>
  <c r="AN187" i="73"/>
  <c r="AL187" i="73"/>
  <c r="AK187" i="73"/>
  <c r="AJ187" i="73"/>
  <c r="AH187" i="73"/>
  <c r="AG187" i="73"/>
  <c r="AF187" i="73"/>
  <c r="AD187" i="73"/>
  <c r="AC187" i="73"/>
  <c r="AB187" i="73"/>
  <c r="AM200" i="73"/>
  <c r="AM199" i="73"/>
  <c r="AM197" i="73"/>
  <c r="AM196" i="73"/>
  <c r="AM194" i="73"/>
  <c r="AM193" i="73"/>
  <c r="AM192" i="73"/>
  <c r="AM191" i="73"/>
  <c r="M200" i="73"/>
  <c r="Q200" i="73" s="1"/>
  <c r="U200" i="73" s="1"/>
  <c r="M199" i="73"/>
  <c r="Q199" i="73" s="1"/>
  <c r="U199" i="73" s="1"/>
  <c r="M197" i="73"/>
  <c r="M196" i="73"/>
  <c r="Q196" i="73" s="1"/>
  <c r="U196" i="73" s="1"/>
  <c r="M194" i="73"/>
  <c r="Q194" i="73" s="1"/>
  <c r="U194" i="73" s="1"/>
  <c r="M193" i="73"/>
  <c r="Q193" i="73" s="1"/>
  <c r="U193" i="73" s="1"/>
  <c r="M192" i="73"/>
  <c r="M191" i="73"/>
  <c r="Q191" i="73" s="1"/>
  <c r="U191" i="73" s="1"/>
  <c r="Y200" i="73"/>
  <c r="Y199" i="73"/>
  <c r="Y197" i="73"/>
  <c r="Y196" i="73"/>
  <c r="Y194" i="73"/>
  <c r="Y193" i="73"/>
  <c r="Y192" i="73"/>
  <c r="Y191" i="73"/>
  <c r="BB200" i="73"/>
  <c r="BB199" i="73" s="1"/>
  <c r="BB198" i="73" s="1"/>
  <c r="BB197" i="73" s="1"/>
  <c r="BB196" i="73" s="1"/>
  <c r="BB195" i="73" s="1"/>
  <c r="BB194" i="73" s="1"/>
  <c r="BB193" i="73" s="1"/>
  <c r="BB192" i="73" s="1"/>
  <c r="BB191" i="73" s="1"/>
  <c r="BB190" i="73" s="1"/>
  <c r="BA200" i="73"/>
  <c r="BA199" i="73"/>
  <c r="BA197" i="73"/>
  <c r="BA196" i="73"/>
  <c r="BA194" i="73"/>
  <c r="BC194" i="73" s="1"/>
  <c r="BA193" i="73"/>
  <c r="BA192" i="73"/>
  <c r="BA191" i="73"/>
  <c r="BD198" i="73"/>
  <c r="AZ198" i="73"/>
  <c r="AY198" i="73"/>
  <c r="AX198" i="73"/>
  <c r="AV198" i="73"/>
  <c r="AU198" i="73"/>
  <c r="AT198" i="73"/>
  <c r="AR198" i="73"/>
  <c r="AQ198" i="73"/>
  <c r="AP198" i="73"/>
  <c r="AN198" i="73"/>
  <c r="AL198" i="73"/>
  <c r="AK198" i="73"/>
  <c r="AJ198" i="73"/>
  <c r="AH198" i="73"/>
  <c r="AG198" i="73"/>
  <c r="AF198" i="73"/>
  <c r="AD198" i="73"/>
  <c r="AC198" i="73"/>
  <c r="AB198" i="73"/>
  <c r="Z198" i="73"/>
  <c r="X198" i="73"/>
  <c r="W198" i="73"/>
  <c r="V198" i="73"/>
  <c r="T198" i="73"/>
  <c r="S198" i="73"/>
  <c r="R198" i="73"/>
  <c r="P198" i="73"/>
  <c r="O198" i="73"/>
  <c r="N198" i="73"/>
  <c r="L198" i="73"/>
  <c r="K198" i="73"/>
  <c r="J198" i="73"/>
  <c r="I198" i="73"/>
  <c r="H198" i="73"/>
  <c r="BD195" i="73"/>
  <c r="AZ195" i="73"/>
  <c r="AY195" i="73"/>
  <c r="AX195" i="73"/>
  <c r="AV195" i="73"/>
  <c r="AU195" i="73"/>
  <c r="AT195" i="73"/>
  <c r="AR195" i="73"/>
  <c r="AQ195" i="73"/>
  <c r="AP195" i="73"/>
  <c r="AN195" i="73"/>
  <c r="AL195" i="73"/>
  <c r="AK195" i="73"/>
  <c r="AJ195" i="73"/>
  <c r="AH195" i="73"/>
  <c r="AG195" i="73"/>
  <c r="AF195" i="73"/>
  <c r="AD195" i="73"/>
  <c r="AC195" i="73"/>
  <c r="AB195" i="73"/>
  <c r="Z195" i="73"/>
  <c r="X195" i="73"/>
  <c r="W195" i="73"/>
  <c r="V195" i="73"/>
  <c r="T195" i="73"/>
  <c r="S195" i="73"/>
  <c r="R195" i="73"/>
  <c r="P195" i="73"/>
  <c r="O195" i="73"/>
  <c r="N195" i="73"/>
  <c r="L195" i="73"/>
  <c r="K195" i="73"/>
  <c r="J195" i="73"/>
  <c r="I195" i="73"/>
  <c r="H195" i="73"/>
  <c r="AH190" i="73" l="1"/>
  <c r="AN190" i="73"/>
  <c r="R190" i="73"/>
  <c r="AY190" i="73"/>
  <c r="W190" i="73"/>
  <c r="H190" i="73"/>
  <c r="L190" i="73"/>
  <c r="BC191" i="73"/>
  <c r="AL190" i="73"/>
  <c r="V190" i="73"/>
  <c r="AA192" i="73"/>
  <c r="AE192" i="73" s="1"/>
  <c r="AI192" i="73" s="1"/>
  <c r="AO192" i="73" s="1"/>
  <c r="AS192" i="73" s="1"/>
  <c r="AW192" i="73" s="1"/>
  <c r="BE192" i="73" s="1"/>
  <c r="AA199" i="73"/>
  <c r="AE199" i="73" s="1"/>
  <c r="AI199" i="73" s="1"/>
  <c r="AO199" i="73" s="1"/>
  <c r="AS199" i="73" s="1"/>
  <c r="AW199" i="73" s="1"/>
  <c r="BE199" i="73" s="1"/>
  <c r="AA200" i="73"/>
  <c r="AE200" i="73" s="1"/>
  <c r="AI200" i="73" s="1"/>
  <c r="AO200" i="73" s="1"/>
  <c r="AS200" i="73" s="1"/>
  <c r="AW200" i="73" s="1"/>
  <c r="BE200" i="73" s="1"/>
  <c r="AA194" i="73"/>
  <c r="AE194" i="73" s="1"/>
  <c r="AI194" i="73" s="1"/>
  <c r="AO194" i="73" s="1"/>
  <c r="AS194" i="73" s="1"/>
  <c r="AW194" i="73" s="1"/>
  <c r="BE194" i="73" s="1"/>
  <c r="AT190" i="73"/>
  <c r="BC197" i="73"/>
  <c r="AA191" i="73"/>
  <c r="AE191" i="73" s="1"/>
  <c r="AI191" i="73" s="1"/>
  <c r="AO191" i="73" s="1"/>
  <c r="AS191" i="73" s="1"/>
  <c r="AW191" i="73" s="1"/>
  <c r="BE191" i="73" s="1"/>
  <c r="Q192" i="73"/>
  <c r="U192" i="73" s="1"/>
  <c r="BC196" i="73"/>
  <c r="BC195" i="73" s="1"/>
  <c r="BC200" i="73"/>
  <c r="AA197" i="73"/>
  <c r="AE197" i="73" s="1"/>
  <c r="AI197" i="73" s="1"/>
  <c r="AO197" i="73" s="1"/>
  <c r="AS197" i="73" s="1"/>
  <c r="AW197" i="73" s="1"/>
  <c r="BE197" i="73" s="1"/>
  <c r="Q197" i="73"/>
  <c r="U197" i="73" s="1"/>
  <c r="K190" i="73"/>
  <c r="M190" i="73" s="1"/>
  <c r="AB190" i="73"/>
  <c r="AR190" i="73"/>
  <c r="AA196" i="73"/>
  <c r="AE196" i="73" s="1"/>
  <c r="AI196" i="73" s="1"/>
  <c r="AO196" i="73" s="1"/>
  <c r="AS196" i="73" s="1"/>
  <c r="AW196" i="73" s="1"/>
  <c r="BE196" i="73" s="1"/>
  <c r="BA198" i="73"/>
  <c r="BC192" i="73"/>
  <c r="P190" i="73"/>
  <c r="AG190" i="73"/>
  <c r="AX190" i="73"/>
  <c r="BC193" i="73"/>
  <c r="BC199" i="73"/>
  <c r="AA193" i="73"/>
  <c r="AE193" i="73" s="1"/>
  <c r="AI193" i="73" s="1"/>
  <c r="AO193" i="73" s="1"/>
  <c r="AS193" i="73" s="1"/>
  <c r="AW193" i="73" s="1"/>
  <c r="BE193" i="73" s="1"/>
  <c r="BC188" i="73"/>
  <c r="AA188" i="73"/>
  <c r="AE188" i="73" s="1"/>
  <c r="AI188" i="73" s="1"/>
  <c r="AO188" i="73" s="1"/>
  <c r="AS188" i="73" s="1"/>
  <c r="AW188" i="73" s="1"/>
  <c r="BE188" i="73" s="1"/>
  <c r="J190" i="73"/>
  <c r="T190" i="73"/>
  <c r="Z190" i="73"/>
  <c r="AF190" i="73"/>
  <c r="AK190" i="73"/>
  <c r="BA195" i="73"/>
  <c r="BC189" i="73"/>
  <c r="AA189" i="73"/>
  <c r="AE189" i="73" s="1"/>
  <c r="AI189" i="73" s="1"/>
  <c r="AO189" i="73" s="1"/>
  <c r="AS189" i="73" s="1"/>
  <c r="AW189" i="73" s="1"/>
  <c r="BE189" i="73" s="1"/>
  <c r="I190" i="73"/>
  <c r="S190" i="73"/>
  <c r="AD190" i="73"/>
  <c r="AU190" i="73"/>
  <c r="AM195" i="73"/>
  <c r="M198" i="73"/>
  <c r="Q198" i="73" s="1"/>
  <c r="U198" i="73" s="1"/>
  <c r="Y198" i="73"/>
  <c r="N190" i="73"/>
  <c r="X190" i="73"/>
  <c r="AJ190" i="73"/>
  <c r="AP190" i="73"/>
  <c r="AZ190" i="73"/>
  <c r="M195" i="73"/>
  <c r="Q195" i="73" s="1"/>
  <c r="U195" i="73" s="1"/>
  <c r="Y195" i="73"/>
  <c r="AQ190" i="73"/>
  <c r="AV190" i="73"/>
  <c r="AM198" i="73"/>
  <c r="O190" i="73"/>
  <c r="AC190" i="73"/>
  <c r="BE198" i="73" l="1"/>
  <c r="AA195" i="73"/>
  <c r="AE195" i="73" s="1"/>
  <c r="AI195" i="73" s="1"/>
  <c r="AO195" i="73" s="1"/>
  <c r="AS195" i="73" s="1"/>
  <c r="AW195" i="73" s="1"/>
  <c r="AM190" i="73"/>
  <c r="BC198" i="73"/>
  <c r="BE195" i="73"/>
  <c r="Y190" i="73"/>
  <c r="AA190" i="73" s="1"/>
  <c r="AE190" i="73" s="1"/>
  <c r="AI190" i="73" s="1"/>
  <c r="AO190" i="73" s="1"/>
  <c r="AS190" i="73" s="1"/>
  <c r="AW190" i="73" s="1"/>
  <c r="BE190" i="73" s="1"/>
  <c r="AA198" i="73"/>
  <c r="AE198" i="73" s="1"/>
  <c r="AI198" i="73" s="1"/>
  <c r="AO198" i="73" s="1"/>
  <c r="AS198" i="73" s="1"/>
  <c r="AW198" i="73" s="1"/>
  <c r="BA190" i="73"/>
  <c r="BC190" i="73" s="1"/>
  <c r="Q190" i="73"/>
  <c r="U190" i="73" s="1"/>
  <c r="N18" i="106"/>
  <c r="M18" i="106"/>
  <c r="L18" i="106"/>
  <c r="K18" i="106"/>
  <c r="J18" i="106"/>
  <c r="I18" i="106"/>
  <c r="H18" i="106"/>
  <c r="G18" i="106"/>
  <c r="F18" i="106"/>
  <c r="E18" i="106"/>
  <c r="D18" i="106"/>
  <c r="C18" i="106"/>
  <c r="BA39" i="77" l="1"/>
  <c r="BA38" i="77"/>
  <c r="AM39" i="77"/>
  <c r="BC39" i="77" s="1"/>
  <c r="AM38" i="77"/>
  <c r="AA39" i="77"/>
  <c r="AA38" i="77"/>
  <c r="Y39" i="77"/>
  <c r="Y38" i="77"/>
  <c r="M39" i="77"/>
  <c r="M38" i="77"/>
  <c r="BE39" i="77" l="1"/>
  <c r="BC38" i="77"/>
  <c r="BE38" i="77" s="1"/>
  <c r="BA41" i="77"/>
  <c r="AZ41" i="77"/>
  <c r="AW41" i="77"/>
  <c r="AS41" i="77"/>
  <c r="AO41" i="77"/>
  <c r="AM41" i="77"/>
  <c r="AL41" i="77"/>
  <c r="AI41" i="77"/>
  <c r="AE41" i="77"/>
  <c r="AA41" i="77"/>
  <c r="Y41" i="77"/>
  <c r="X41" i="77"/>
  <c r="U41" i="77"/>
  <c r="Q41" i="77"/>
  <c r="M41" i="77"/>
  <c r="L41" i="77"/>
  <c r="P41" i="77" s="1"/>
  <c r="I41" i="77"/>
  <c r="H41" i="77"/>
  <c r="F42" i="77"/>
  <c r="H42" i="77" s="1"/>
  <c r="H37" i="77" l="1"/>
  <c r="Z41" i="77"/>
  <c r="AD41" i="77" s="1"/>
  <c r="F37" i="77"/>
  <c r="T41" i="77"/>
  <c r="BB41" i="77"/>
  <c r="BC41" i="77"/>
  <c r="BE41" i="77" s="1"/>
  <c r="BA55" i="50"/>
  <c r="AZ34" i="35"/>
  <c r="AZ35" i="35"/>
  <c r="AH41" i="77" l="1"/>
  <c r="BF109" i="9"/>
  <c r="AN41" i="77" l="1"/>
  <c r="I68" i="71"/>
  <c r="O62" i="73"/>
  <c r="AK50" i="72"/>
  <c r="K50" i="72"/>
  <c r="W50" i="72"/>
  <c r="I56" i="72"/>
  <c r="AR41" i="77" l="1"/>
  <c r="Y50" i="72"/>
  <c r="AC50" i="72" s="1"/>
  <c r="AG50" i="72" s="1"/>
  <c r="AY50" i="72"/>
  <c r="BA50" i="72" s="1"/>
  <c r="AV41" i="77" l="1"/>
  <c r="I115" i="50"/>
  <c r="J115" i="50"/>
  <c r="L115" i="50"/>
  <c r="M115" i="50"/>
  <c r="Q115" i="50"/>
  <c r="R115" i="50"/>
  <c r="T115" i="50"/>
  <c r="U115" i="50"/>
  <c r="V115" i="50"/>
  <c r="X115" i="50"/>
  <c r="Y115" i="50"/>
  <c r="AE115" i="50"/>
  <c r="AF115" i="50"/>
  <c r="AH115" i="50"/>
  <c r="AI115" i="50"/>
  <c r="AL115" i="50"/>
  <c r="AM115" i="50"/>
  <c r="AR115" i="50"/>
  <c r="AS115" i="50"/>
  <c r="AV115" i="50"/>
  <c r="AW115" i="50"/>
  <c r="AZ115" i="50"/>
  <c r="BA115" i="50"/>
  <c r="G114" i="50"/>
  <c r="I114" i="50"/>
  <c r="J114" i="50"/>
  <c r="L114" i="50"/>
  <c r="M114" i="50"/>
  <c r="Q114" i="50"/>
  <c r="R114" i="50"/>
  <c r="T114" i="50"/>
  <c r="U114" i="50"/>
  <c r="V114" i="50"/>
  <c r="X114" i="50"/>
  <c r="AE114" i="50"/>
  <c r="AF114" i="50"/>
  <c r="AH114" i="50"/>
  <c r="AI114" i="50"/>
  <c r="AL114" i="50"/>
  <c r="AM114" i="50"/>
  <c r="AR114" i="50"/>
  <c r="AS114" i="50"/>
  <c r="AV114" i="50"/>
  <c r="AW114" i="50"/>
  <c r="AZ114" i="50"/>
  <c r="BA114" i="50"/>
  <c r="O114" i="50" l="1"/>
  <c r="S114" i="50" s="1"/>
  <c r="W114" i="50" s="1"/>
  <c r="K115" i="50"/>
  <c r="BC114" i="50"/>
  <c r="AO114" i="50"/>
  <c r="AA115" i="50"/>
  <c r="BD41" i="77"/>
  <c r="O115" i="50"/>
  <c r="K114" i="50"/>
  <c r="AO115" i="50"/>
  <c r="BC115" i="50"/>
  <c r="BE115" i="50" s="1"/>
  <c r="BB126" i="9"/>
  <c r="BE114" i="50" l="1"/>
  <c r="AC115" i="50"/>
  <c r="AG115" i="50" s="1"/>
  <c r="AK115" i="50" s="1"/>
  <c r="AQ115" i="50" s="1"/>
  <c r="AU115" i="50" s="1"/>
  <c r="AY115" i="50" s="1"/>
  <c r="BG115" i="50" s="1"/>
  <c r="S115" i="50"/>
  <c r="W115" i="50" s="1"/>
  <c r="AZ157" i="8"/>
  <c r="AZ156" i="8"/>
  <c r="AZ155" i="8"/>
  <c r="AZ154" i="8"/>
  <c r="AZ153" i="8"/>
  <c r="AZ152" i="8"/>
  <c r="AZ151" i="8"/>
  <c r="AZ150" i="8"/>
  <c r="AZ149" i="8"/>
  <c r="AV157" i="8"/>
  <c r="AV156" i="8"/>
  <c r="AV155" i="8"/>
  <c r="AV154" i="8"/>
  <c r="AV153" i="8"/>
  <c r="AV152" i="8"/>
  <c r="AV151" i="8"/>
  <c r="AV150" i="8"/>
  <c r="AV149" i="8"/>
  <c r="AR157" i="8"/>
  <c r="AR156" i="8"/>
  <c r="AR155" i="8"/>
  <c r="AR154" i="8"/>
  <c r="AR153" i="8"/>
  <c r="AR152" i="8"/>
  <c r="AR151" i="8"/>
  <c r="AR150" i="8"/>
  <c r="AR149" i="8"/>
  <c r="AL157" i="8"/>
  <c r="AL156" i="8"/>
  <c r="AL155" i="8"/>
  <c r="AL154" i="8"/>
  <c r="AL153" i="8"/>
  <c r="AL152" i="8"/>
  <c r="AL151" i="8"/>
  <c r="AL150" i="8"/>
  <c r="AL149" i="8"/>
  <c r="AH157" i="8"/>
  <c r="AH156" i="8"/>
  <c r="AH155" i="8"/>
  <c r="AH154" i="8"/>
  <c r="AH153" i="8"/>
  <c r="AH152" i="8"/>
  <c r="AH151" i="8"/>
  <c r="AH150" i="8"/>
  <c r="AH149" i="8"/>
  <c r="AD157" i="8"/>
  <c r="AD156" i="8"/>
  <c r="AD155" i="8"/>
  <c r="AD154" i="8"/>
  <c r="AD153" i="8"/>
  <c r="AD152" i="8"/>
  <c r="AD151" i="8"/>
  <c r="AD150" i="8"/>
  <c r="AD149" i="8"/>
  <c r="X157" i="8"/>
  <c r="X156" i="8"/>
  <c r="X155" i="8"/>
  <c r="X154" i="8"/>
  <c r="X153" i="8"/>
  <c r="X152" i="8"/>
  <c r="X151" i="8"/>
  <c r="X150" i="8"/>
  <c r="X149" i="8"/>
  <c r="T157" i="8"/>
  <c r="T156" i="8"/>
  <c r="T155" i="8"/>
  <c r="T154" i="8"/>
  <c r="T153" i="8"/>
  <c r="T152" i="8"/>
  <c r="T151" i="8"/>
  <c r="T150" i="8"/>
  <c r="T149" i="8"/>
  <c r="P157" i="8"/>
  <c r="P156" i="8"/>
  <c r="P155" i="8"/>
  <c r="P154" i="8"/>
  <c r="P153" i="8"/>
  <c r="P152" i="8"/>
  <c r="P151" i="8"/>
  <c r="P150" i="8"/>
  <c r="P149" i="8"/>
  <c r="L157" i="8"/>
  <c r="L156" i="8"/>
  <c r="L155" i="8"/>
  <c r="L154" i="8"/>
  <c r="L153" i="8"/>
  <c r="L152" i="8"/>
  <c r="L151" i="8"/>
  <c r="L150" i="8"/>
  <c r="L149" i="8"/>
  <c r="F157" i="8"/>
  <c r="F156" i="8"/>
  <c r="F155" i="8"/>
  <c r="F154" i="8"/>
  <c r="F153" i="8"/>
  <c r="F152" i="8"/>
  <c r="F151" i="8"/>
  <c r="F150" i="8"/>
  <c r="F149" i="8"/>
  <c r="Q184" i="73" l="1"/>
  <c r="U184" i="73" s="1"/>
  <c r="AE184" i="73"/>
  <c r="AI184" i="73" s="1"/>
  <c r="AO184" i="73" s="1"/>
  <c r="AS184" i="73" s="1"/>
  <c r="AW184" i="73" s="1"/>
  <c r="BE184" i="73" s="1"/>
  <c r="AM184" i="73"/>
  <c r="BA184" i="73"/>
  <c r="BC184" i="73" l="1"/>
  <c r="BB118" i="73"/>
  <c r="AZ118" i="73"/>
  <c r="AX118" i="73"/>
  <c r="AT118" i="73"/>
  <c r="AL118" i="73"/>
  <c r="AF118" i="73"/>
  <c r="AB118" i="73"/>
  <c r="Z118" i="73"/>
  <c r="X118" i="73"/>
  <c r="N118" i="73"/>
  <c r="L118" i="73"/>
  <c r="J118" i="73"/>
  <c r="I110" i="73"/>
  <c r="M110" i="73"/>
  <c r="Q110" i="73" s="1"/>
  <c r="U110" i="73" s="1"/>
  <c r="Y110" i="73"/>
  <c r="AM110" i="73"/>
  <c r="BA110" i="73"/>
  <c r="BB42" i="36"/>
  <c r="AN42" i="36"/>
  <c r="BD42" i="36" l="1"/>
  <c r="AA110" i="73"/>
  <c r="AE110" i="73" s="1"/>
  <c r="AI110" i="73" s="1"/>
  <c r="AO110" i="73" s="1"/>
  <c r="AS110" i="73" s="1"/>
  <c r="AW110" i="73" s="1"/>
  <c r="BE110" i="73" s="1"/>
  <c r="BC110" i="73"/>
  <c r="AL146" i="10" l="1"/>
  <c r="AL48" i="10"/>
  <c r="AD147" i="10"/>
  <c r="AD68" i="10"/>
  <c r="T144" i="10"/>
  <c r="T20" i="10"/>
  <c r="P91" i="10" l="1"/>
  <c r="L144" i="10" l="1"/>
  <c r="L15" i="10"/>
  <c r="AV229" i="73" l="1"/>
  <c r="AX229" i="73"/>
  <c r="AX42" i="77" s="1"/>
  <c r="AX37" i="77" s="1"/>
  <c r="AY229" i="73"/>
  <c r="AY42" i="77" s="1"/>
  <c r="AY37" i="77" s="1"/>
  <c r="AU229" i="73"/>
  <c r="AU42" i="77" s="1"/>
  <c r="BE231" i="73"/>
  <c r="BA231" i="73"/>
  <c r="BC231" i="73" s="1"/>
  <c r="AU37" i="77" l="1"/>
  <c r="AR103" i="9"/>
  <c r="AV103" i="9"/>
  <c r="AZ103" i="9"/>
  <c r="BD11" i="15" l="1"/>
  <c r="BB11" i="15"/>
  <c r="AZ11" i="15"/>
  <c r="AY128" i="26" l="1"/>
  <c r="AG95" i="45" l="1"/>
  <c r="AG80" i="45"/>
  <c r="AG81" i="45"/>
  <c r="AG82" i="45"/>
  <c r="O118" i="45"/>
  <c r="AA118" i="45"/>
  <c r="AC118" i="45" l="1"/>
  <c r="AG118" i="45" s="1"/>
  <c r="Y85" i="45"/>
  <c r="Y83" i="45"/>
  <c r="AS106" i="45" l="1"/>
  <c r="AS25" i="45"/>
  <c r="AL53" i="10"/>
  <c r="L149" i="10"/>
  <c r="L126" i="10"/>
  <c r="AZ56" i="10" l="1"/>
  <c r="AZ61" i="10"/>
  <c r="AZ57" i="10"/>
  <c r="AZ33" i="10"/>
  <c r="AZ109" i="10"/>
  <c r="AZ116" i="10"/>
  <c r="AZ114" i="10" l="1"/>
  <c r="AZ68" i="10"/>
  <c r="BA71" i="83" l="1"/>
  <c r="BC85" i="50" l="1"/>
  <c r="BC86" i="50"/>
  <c r="BC61" i="50"/>
  <c r="AM55" i="50" l="1"/>
  <c r="AI55" i="50"/>
  <c r="AE55" i="50"/>
  <c r="Y55" i="50"/>
  <c r="U55" i="50"/>
  <c r="Q55" i="50"/>
  <c r="M55" i="50"/>
  <c r="O67" i="50"/>
  <c r="S67" i="50" s="1"/>
  <c r="BC67" i="50"/>
  <c r="AA67" i="50"/>
  <c r="AO67" i="50"/>
  <c r="AC67" i="50" l="1"/>
  <c r="AG67" i="50" s="1"/>
  <c r="AK67" i="50" s="1"/>
  <c r="AQ67" i="50" s="1"/>
  <c r="AU67" i="50" s="1"/>
  <c r="AY67" i="50" s="1"/>
  <c r="BG67" i="50" s="1"/>
  <c r="BE67" i="50"/>
  <c r="BF106" i="10" l="1"/>
  <c r="BB106" i="10"/>
  <c r="BD106" i="10" s="1"/>
  <c r="BB53" i="11" l="1"/>
  <c r="BD53" i="11" s="1"/>
  <c r="BB54" i="11"/>
  <c r="BB8" i="11"/>
  <c r="BB9" i="11"/>
  <c r="BB10" i="11"/>
  <c r="BB11" i="11"/>
  <c r="BB12" i="11"/>
  <c r="BB13" i="11"/>
  <c r="BB14" i="11"/>
  <c r="BB15" i="11"/>
  <c r="BB16" i="11"/>
  <c r="BB17" i="11"/>
  <c r="BB18" i="11"/>
  <c r="BB19" i="11"/>
  <c r="BB20" i="11"/>
  <c r="BB21" i="11"/>
  <c r="BB22" i="11"/>
  <c r="BB23" i="11"/>
  <c r="BB24" i="11"/>
  <c r="BB25" i="11"/>
  <c r="BB26" i="11"/>
  <c r="BB27" i="11"/>
  <c r="BB28" i="11"/>
  <c r="BB29" i="11"/>
  <c r="BB30" i="11"/>
  <c r="BB31" i="11"/>
  <c r="BB32" i="11"/>
  <c r="BB33" i="11"/>
  <c r="BB34" i="11"/>
  <c r="BB35" i="11"/>
  <c r="BB36" i="11"/>
  <c r="BB37" i="11"/>
  <c r="BB38" i="11"/>
  <c r="BB39" i="11"/>
  <c r="BB40" i="11"/>
  <c r="BB41" i="11"/>
  <c r="BB42" i="11"/>
  <c r="AY37" i="27" l="1"/>
  <c r="AY35" i="27"/>
  <c r="AY29" i="27"/>
  <c r="AY28" i="27"/>
  <c r="AY27" i="27"/>
  <c r="AY20" i="27"/>
  <c r="AY19" i="27"/>
  <c r="AY18" i="27"/>
  <c r="BA15" i="27"/>
  <c r="AZ15" i="27"/>
  <c r="BA14" i="27"/>
  <c r="AZ14" i="27"/>
  <c r="AX33" i="27" l="1"/>
  <c r="BA129" i="45" l="1"/>
  <c r="AY95" i="45"/>
  <c r="BG95" i="45" s="1"/>
  <c r="BA244" i="73" l="1"/>
  <c r="BE243" i="73"/>
  <c r="BA243" i="73"/>
  <c r="BA241" i="73"/>
  <c r="BA239" i="73"/>
  <c r="BA238" i="73"/>
  <c r="BA237" i="73"/>
  <c r="BA236" i="73"/>
  <c r="BE235" i="73"/>
  <c r="BA235" i="73"/>
  <c r="BE234" i="73"/>
  <c r="BA234" i="73"/>
  <c r="BE233" i="73"/>
  <c r="BA233" i="73"/>
  <c r="BA232" i="73"/>
  <c r="BC232" i="73" s="1"/>
  <c r="BA230" i="73"/>
  <c r="BA228" i="73"/>
  <c r="BE226" i="73"/>
  <c r="BA226" i="73"/>
  <c r="BA225" i="73"/>
  <c r="BA224" i="73"/>
  <c r="BA223" i="73"/>
  <c r="BE222" i="73"/>
  <c r="BA222" i="73"/>
  <c r="BE221" i="73"/>
  <c r="BA221" i="73"/>
  <c r="BE219" i="73"/>
  <c r="BA219" i="73"/>
  <c r="BE218" i="73"/>
  <c r="BA218" i="73"/>
  <c r="BA217" i="73"/>
  <c r="BA216" i="73"/>
  <c r="BA215" i="73"/>
  <c r="BA213" i="73"/>
  <c r="BA212" i="73"/>
  <c r="BA211" i="73"/>
  <c r="BA210" i="73"/>
  <c r="BA161" i="73"/>
  <c r="BC161" i="73" s="1"/>
  <c r="BA159" i="73"/>
  <c r="BC159" i="73" s="1"/>
  <c r="BA153" i="73"/>
  <c r="BC153" i="73" s="1"/>
  <c r="BA152" i="73"/>
  <c r="BC152" i="73" s="1"/>
  <c r="BA151" i="73"/>
  <c r="BC151" i="73" s="1"/>
  <c r="BA133" i="73"/>
  <c r="BA129" i="73"/>
  <c r="BA112" i="73"/>
  <c r="BA11" i="15" s="1"/>
  <c r="AW74" i="73"/>
  <c r="BA58" i="73"/>
  <c r="BC58" i="73" s="1"/>
  <c r="BA43" i="73"/>
  <c r="BC43" i="73" s="1"/>
  <c r="BA39" i="73"/>
  <c r="BC39" i="73" s="1"/>
  <c r="G161" i="7" l="1"/>
  <c r="H161" i="7"/>
  <c r="K161" i="7"/>
  <c r="L161" i="7"/>
  <c r="O161" i="7"/>
  <c r="P161" i="7"/>
  <c r="S161" i="7"/>
  <c r="T161" i="7"/>
  <c r="W161" i="7"/>
  <c r="X161" i="7"/>
  <c r="AC161" i="7"/>
  <c r="AD161" i="7"/>
  <c r="AG161" i="7"/>
  <c r="AH161" i="7"/>
  <c r="AK161" i="7"/>
  <c r="AL161" i="7"/>
  <c r="AQ161" i="7"/>
  <c r="AR161" i="7"/>
  <c r="AU161" i="7"/>
  <c r="AV161" i="7"/>
  <c r="AY161" i="7"/>
  <c r="AZ161" i="7"/>
  <c r="F161" i="7"/>
  <c r="BE75" i="90" l="1"/>
  <c r="BE92" i="90"/>
  <c r="BE93" i="90"/>
  <c r="BE94" i="90"/>
  <c r="BE95" i="90"/>
  <c r="BE98" i="90"/>
  <c r="BE99" i="90"/>
  <c r="BA99" i="90"/>
  <c r="BA98" i="90"/>
  <c r="BA95" i="90"/>
  <c r="BA94" i="90"/>
  <c r="BA93" i="90"/>
  <c r="BA92" i="90"/>
  <c r="BA75" i="90"/>
  <c r="AY124" i="90"/>
  <c r="AY119" i="90"/>
  <c r="AY116" i="90"/>
  <c r="AY114" i="90"/>
  <c r="AY113" i="90"/>
  <c r="AY112" i="90"/>
  <c r="AY111" i="90"/>
  <c r="AY110" i="90"/>
  <c r="AY109" i="90"/>
  <c r="AY108" i="90"/>
  <c r="AY107" i="90"/>
  <c r="AY100" i="90"/>
  <c r="AY91" i="90"/>
  <c r="CO7" i="71"/>
  <c r="CO8" i="71"/>
  <c r="CO9" i="71"/>
  <c r="AY68" i="90" s="1"/>
  <c r="CO10" i="71"/>
  <c r="CO11" i="71"/>
  <c r="CO12" i="71"/>
  <c r="CO13" i="71"/>
  <c r="CO14" i="71"/>
  <c r="CO15" i="71"/>
  <c r="CO16" i="71"/>
  <c r="CO17" i="71"/>
  <c r="CO18" i="71"/>
  <c r="CO19" i="71"/>
  <c r="AY69" i="90" s="1"/>
  <c r="CO20" i="71"/>
  <c r="AY70" i="90" s="1"/>
  <c r="CO21" i="71"/>
  <c r="AY71" i="90" s="1"/>
  <c r="CO22" i="71"/>
  <c r="AY72" i="90" s="1"/>
  <c r="CO23" i="71"/>
  <c r="CO25" i="71"/>
  <c r="CO26" i="71"/>
  <c r="CO27" i="71"/>
  <c r="AY73" i="90" s="1"/>
  <c r="CO28" i="71"/>
  <c r="CO29" i="71"/>
  <c r="CO30" i="71"/>
  <c r="CO31" i="71"/>
  <c r="CO32" i="71"/>
  <c r="CO33" i="71"/>
  <c r="CO34" i="71"/>
  <c r="CO35" i="71"/>
  <c r="CO36" i="71"/>
  <c r="CO37" i="71"/>
  <c r="CO38" i="71"/>
  <c r="AY74" i="90" s="1"/>
  <c r="CO39" i="71"/>
  <c r="CO40" i="71"/>
  <c r="CO41" i="71"/>
  <c r="CO42" i="71"/>
  <c r="AY76" i="90" s="1"/>
  <c r="CO43" i="71"/>
  <c r="AY77" i="90" s="1"/>
  <c r="CO44" i="71"/>
  <c r="CO45" i="71"/>
  <c r="AY78" i="90" s="1"/>
  <c r="CO46" i="71"/>
  <c r="CO47" i="71"/>
  <c r="AY79" i="90" s="1"/>
  <c r="CO48" i="71"/>
  <c r="AY80" i="90" s="1"/>
  <c r="CO49" i="71"/>
  <c r="AY81" i="90" s="1"/>
  <c r="CO51" i="71"/>
  <c r="AY83" i="90" s="1"/>
  <c r="CO52" i="71"/>
  <c r="AY84" i="90" s="1"/>
  <c r="CO53" i="71"/>
  <c r="CO54" i="71"/>
  <c r="CO55" i="71"/>
  <c r="CO56" i="71"/>
  <c r="AY85" i="90" s="1"/>
  <c r="CO57" i="71"/>
  <c r="AY129" i="90" l="1"/>
  <c r="AY117" i="90"/>
  <c r="BA20" i="39"/>
  <c r="BB20" i="39"/>
  <c r="BD20" i="39"/>
  <c r="AM7" i="7"/>
  <c r="AN7" i="7"/>
  <c r="AM8" i="7"/>
  <c r="AN8" i="7"/>
  <c r="AM9" i="7"/>
  <c r="AN9" i="7"/>
  <c r="AM10" i="7"/>
  <c r="AN10" i="7"/>
  <c r="AM11" i="7"/>
  <c r="AN11" i="7"/>
  <c r="AM12" i="7"/>
  <c r="AN12" i="7"/>
  <c r="AM14" i="7"/>
  <c r="AN14" i="7"/>
  <c r="AM15" i="7"/>
  <c r="AN15" i="7"/>
  <c r="AM16" i="7"/>
  <c r="AN16" i="7"/>
  <c r="AM17" i="7"/>
  <c r="AN17" i="7"/>
  <c r="AM18" i="7"/>
  <c r="AN18" i="7"/>
  <c r="AM19" i="7"/>
  <c r="AN19" i="7"/>
  <c r="AM20" i="7"/>
  <c r="AN20" i="7"/>
  <c r="BA7" i="7"/>
  <c r="BB7" i="7"/>
  <c r="BA8" i="7"/>
  <c r="BB8" i="7"/>
  <c r="BA9" i="7"/>
  <c r="BB9" i="7"/>
  <c r="BA10" i="7"/>
  <c r="BB10" i="7"/>
  <c r="BA11" i="7"/>
  <c r="BB11" i="7"/>
  <c r="BA12" i="7"/>
  <c r="BB12" i="7"/>
  <c r="BA14" i="7"/>
  <c r="BB14" i="7"/>
  <c r="BA15" i="7"/>
  <c r="BB15" i="7"/>
  <c r="BA16" i="7"/>
  <c r="BB16" i="7"/>
  <c r="BA17" i="7"/>
  <c r="BB17" i="7"/>
  <c r="BA18" i="7"/>
  <c r="BB18" i="7"/>
  <c r="BA19" i="7"/>
  <c r="BB19" i="7"/>
  <c r="BA20" i="7"/>
  <c r="BB20" i="7"/>
  <c r="BA6" i="7"/>
  <c r="BB6" i="7"/>
  <c r="AM67" i="39"/>
  <c r="AM66" i="39"/>
  <c r="BC11" i="7" l="1"/>
  <c r="BC18" i="7"/>
  <c r="BD18" i="7"/>
  <c r="BD10" i="7"/>
  <c r="BC17" i="7"/>
  <c r="BD17" i="7"/>
  <c r="BC10" i="7"/>
  <c r="BD20" i="7"/>
  <c r="BC16" i="7"/>
  <c r="BD8" i="7"/>
  <c r="BD16" i="7"/>
  <c r="BD15" i="7"/>
  <c r="BC9" i="7"/>
  <c r="BD9" i="7"/>
  <c r="BC8" i="7"/>
  <c r="BC20" i="7"/>
  <c r="BC15" i="7"/>
  <c r="BD19" i="7"/>
  <c r="BD14" i="7"/>
  <c r="BD7" i="7"/>
  <c r="BC19" i="7"/>
  <c r="BC7" i="7"/>
  <c r="BD12" i="7"/>
  <c r="BC14" i="7"/>
  <c r="BC12" i="7"/>
  <c r="BD11" i="7"/>
  <c r="BE174" i="73"/>
  <c r="BA174" i="73"/>
  <c r="BC174" i="73" s="1"/>
  <c r="BA166" i="73"/>
  <c r="BC166" i="73" s="1"/>
  <c r="BE166" i="73"/>
  <c r="BA171" i="73"/>
  <c r="BC171" i="73" s="1"/>
  <c r="BE171" i="73"/>
  <c r="BA154" i="73"/>
  <c r="BC154" i="73" s="1"/>
  <c r="BA202" i="73"/>
  <c r="BA203" i="73"/>
  <c r="BC203" i="73" s="1"/>
  <c r="BC202" i="73" l="1"/>
  <c r="BC201" i="73" s="1"/>
  <c r="BA201" i="73"/>
  <c r="BE47" i="35"/>
  <c r="BE46" i="35"/>
  <c r="BC44" i="35"/>
  <c r="BB53" i="35"/>
  <c r="BA53" i="35"/>
  <c r="BB51" i="35"/>
  <c r="BA51" i="35"/>
  <c r="BB50" i="35"/>
  <c r="BA50" i="35"/>
  <c r="BA47" i="35"/>
  <c r="BC47" i="35" s="1"/>
  <c r="BA46" i="35"/>
  <c r="BC46" i="35" s="1"/>
  <c r="BA45" i="35"/>
  <c r="BC45" i="35" s="1"/>
  <c r="BA44" i="35"/>
  <c r="BA43" i="35"/>
  <c r="BC43" i="35" s="1"/>
  <c r="BA40" i="35"/>
  <c r="BC40" i="35" s="1"/>
  <c r="BB35" i="35"/>
  <c r="BA35" i="35"/>
  <c r="BB34" i="35"/>
  <c r="BA34" i="35"/>
  <c r="BA32" i="35"/>
  <c r="BA31" i="35"/>
  <c r="BA30" i="35"/>
  <c r="BB28" i="35"/>
  <c r="BA28" i="35"/>
  <c r="BB27" i="35"/>
  <c r="BA27" i="35"/>
  <c r="BB25" i="35"/>
  <c r="BA25" i="35"/>
  <c r="BB24" i="35"/>
  <c r="BA24" i="35"/>
  <c r="BB23" i="35"/>
  <c r="BA23" i="35"/>
  <c r="BB18" i="35"/>
  <c r="BA18" i="35"/>
  <c r="BB17" i="35"/>
  <c r="BA17" i="35"/>
  <c r="BB16" i="35"/>
  <c r="BA16" i="35"/>
  <c r="BB10" i="35"/>
  <c r="BA74" i="73" l="1"/>
  <c r="BC74" i="73" s="1"/>
  <c r="BE74" i="73"/>
  <c r="BA75" i="73"/>
  <c r="BA76" i="73"/>
  <c r="BC76" i="73" s="1"/>
  <c r="BE76" i="73"/>
  <c r="BA77" i="73"/>
  <c r="BC77" i="73" s="1"/>
  <c r="BA78" i="73"/>
  <c r="BC78" i="73" s="1"/>
  <c r="BA86" i="73"/>
  <c r="BC86" i="73" s="1"/>
  <c r="BA89" i="73"/>
  <c r="BC89" i="73" s="1"/>
  <c r="BA92" i="73"/>
  <c r="BC92" i="73" s="1"/>
  <c r="BA91" i="73"/>
  <c r="BC91" i="73" s="1"/>
  <c r="BE12" i="73" l="1"/>
  <c r="BA12" i="73"/>
  <c r="BC12" i="73" s="1"/>
  <c r="AX128" i="26" l="1"/>
  <c r="AY112" i="26"/>
  <c r="AX110" i="26"/>
  <c r="AX108" i="26"/>
  <c r="AX106" i="26"/>
  <c r="AX104" i="26"/>
  <c r="AX102" i="26"/>
  <c r="AX100" i="26"/>
  <c r="AX98" i="26"/>
  <c r="AX96" i="26"/>
  <c r="AY92" i="26"/>
  <c r="AX89" i="26"/>
  <c r="AX87" i="26"/>
  <c r="AX85" i="26"/>
  <c r="AX83" i="26"/>
  <c r="AY81" i="26"/>
  <c r="AY80" i="26"/>
  <c r="AX78" i="26"/>
  <c r="AX76" i="26"/>
  <c r="AY73" i="26"/>
  <c r="AX71" i="26"/>
  <c r="AX69" i="26"/>
  <c r="AX67" i="26"/>
  <c r="AX65" i="26"/>
  <c r="AX63" i="26"/>
  <c r="AX61" i="26"/>
  <c r="AX59" i="26"/>
  <c r="AX57" i="26"/>
  <c r="AX52" i="26"/>
  <c r="AX50" i="26"/>
  <c r="AY48" i="26"/>
  <c r="AX46" i="26"/>
  <c r="AY43" i="26"/>
  <c r="AX41" i="26"/>
  <c r="AX39" i="26"/>
  <c r="AX37" i="26"/>
  <c r="AX35" i="26"/>
  <c r="AX33" i="26"/>
  <c r="AX31" i="26"/>
  <c r="AX29" i="26"/>
  <c r="AX27" i="26"/>
  <c r="AX25" i="26"/>
  <c r="AX23" i="26"/>
  <c r="AX21" i="26"/>
  <c r="AX17" i="26"/>
  <c r="AX15" i="26"/>
  <c r="AY12" i="26"/>
  <c r="AX11" i="26"/>
  <c r="AX9" i="26"/>
  <c r="AY31" i="15"/>
  <c r="AY30" i="15"/>
  <c r="AY29" i="15"/>
  <c r="AY25" i="15"/>
  <c r="AY24" i="15"/>
  <c r="AY23" i="15"/>
  <c r="AY22" i="15"/>
  <c r="AY21" i="15"/>
  <c r="AX19" i="15"/>
  <c r="AY18" i="15"/>
  <c r="AX18" i="15"/>
  <c r="AY15" i="15"/>
  <c r="AX12" i="15"/>
  <c r="AX13" i="15" s="1"/>
  <c r="AY11" i="15"/>
  <c r="AY10" i="15"/>
  <c r="AY9" i="15"/>
  <c r="AX9" i="15"/>
  <c r="AY8" i="15"/>
  <c r="AX8" i="15"/>
  <c r="AY7" i="15"/>
  <c r="AY6" i="15"/>
  <c r="AY5" i="15"/>
  <c r="AX5" i="15"/>
  <c r="AY55" i="26" l="1"/>
  <c r="AY19" i="26"/>
  <c r="AX48" i="26"/>
  <c r="AX49" i="26" s="1"/>
  <c r="AX15" i="15"/>
  <c r="AX16" i="15" s="1"/>
  <c r="AX81" i="26"/>
  <c r="AX92" i="26"/>
  <c r="AX80" i="26"/>
  <c r="AY32" i="15"/>
  <c r="AX112" i="26"/>
  <c r="AX73" i="26"/>
  <c r="AY54" i="26"/>
  <c r="AY49" i="26"/>
  <c r="AX43" i="26"/>
  <c r="AX12" i="26"/>
  <c r="AY13" i="26"/>
  <c r="AY18" i="26"/>
  <c r="AY57" i="17"/>
  <c r="AY56" i="17"/>
  <c r="AY55" i="17"/>
  <c r="AY54" i="17"/>
  <c r="AY53" i="17"/>
  <c r="AX53" i="17"/>
  <c r="AY49" i="17"/>
  <c r="AX49" i="17"/>
  <c r="AY44" i="17"/>
  <c r="AX44" i="17"/>
  <c r="AY37" i="17"/>
  <c r="AY39" i="17" s="1"/>
  <c r="AX37" i="17"/>
  <c r="AX39" i="17" s="1"/>
  <c r="AX31" i="17"/>
  <c r="AY29" i="17"/>
  <c r="AY30" i="17" s="1"/>
  <c r="AX28" i="17"/>
  <c r="AX25" i="17"/>
  <c r="AY22" i="17"/>
  <c r="AY23" i="17" s="1"/>
  <c r="AX22" i="17"/>
  <c r="AY19" i="17"/>
  <c r="AX18" i="17"/>
  <c r="AY17" i="17"/>
  <c r="AX16" i="17"/>
  <c r="AY14" i="17"/>
  <c r="AY15" i="17" s="1"/>
  <c r="AX14" i="17"/>
  <c r="AY13" i="17"/>
  <c r="AY11" i="17"/>
  <c r="AY9" i="17"/>
  <c r="AX55" i="26" l="1"/>
  <c r="AX54" i="26"/>
  <c r="AY36" i="15"/>
  <c r="AY16" i="15" s="1"/>
  <c r="AY17" i="15" s="1"/>
  <c r="AX13" i="26"/>
  <c r="AX29" i="17"/>
  <c r="AX30" i="17" s="1"/>
  <c r="AX18" i="26"/>
  <c r="AX19" i="26"/>
  <c r="AY32" i="17"/>
  <c r="AX20" i="17"/>
  <c r="AY20" i="17"/>
  <c r="AY45" i="72"/>
  <c r="AY31" i="72"/>
  <c r="AY32" i="72"/>
  <c r="AY33" i="72"/>
  <c r="AY34" i="72"/>
  <c r="AY35" i="72"/>
  <c r="AY36" i="72"/>
  <c r="AY17" i="72"/>
  <c r="BA17" i="72" s="1"/>
  <c r="AY9" i="72"/>
  <c r="BA9" i="72" s="1"/>
  <c r="AY10" i="72"/>
  <c r="BA10" i="72" s="1"/>
  <c r="AY11" i="72"/>
  <c r="BA11" i="72" s="1"/>
  <c r="AX32" i="17" l="1"/>
  <c r="AX24" i="17"/>
  <c r="AY24" i="17"/>
  <c r="AY21" i="17"/>
  <c r="AY25" i="17" l="1"/>
  <c r="BC101" i="45" l="1"/>
  <c r="BC100" i="45"/>
  <c r="BC99" i="45"/>
  <c r="BC96" i="45"/>
  <c r="BC95" i="45"/>
  <c r="BE95" i="45" s="1"/>
  <c r="BC88" i="45"/>
  <c r="BC87" i="45"/>
  <c r="BC86" i="45"/>
  <c r="BC85" i="45"/>
  <c r="BC84" i="45"/>
  <c r="BC83" i="45"/>
  <c r="BC82" i="45"/>
  <c r="BC81" i="45"/>
  <c r="BC80" i="45"/>
  <c r="BC79" i="45"/>
  <c r="BC78" i="45"/>
  <c r="BC77" i="45"/>
  <c r="BC76" i="45"/>
  <c r="BC75" i="45"/>
  <c r="BC72" i="45"/>
  <c r="BC71" i="45"/>
  <c r="BC63" i="45"/>
  <c r="BC50" i="45"/>
  <c r="BC31" i="45"/>
  <c r="BC30" i="45"/>
  <c r="BC29" i="45"/>
  <c r="BA157" i="45"/>
  <c r="BA156" i="45"/>
  <c r="BA154" i="45"/>
  <c r="BA148" i="45"/>
  <c r="BA143" i="45"/>
  <c r="BA142" i="45"/>
  <c r="AZ142" i="45"/>
  <c r="BA141" i="45"/>
  <c r="BA140" i="45"/>
  <c r="BA138" i="45"/>
  <c r="BA136" i="45"/>
  <c r="AZ136" i="45"/>
  <c r="BA134" i="45"/>
  <c r="AZ134" i="45"/>
  <c r="BA131" i="45"/>
  <c r="AZ131" i="45"/>
  <c r="BA126" i="45"/>
  <c r="BA122" i="45"/>
  <c r="BA150" i="45" s="1"/>
  <c r="BA121" i="45"/>
  <c r="BA124" i="45" s="1"/>
  <c r="BA125" i="45" s="1"/>
  <c r="AZ121" i="45"/>
  <c r="AZ120" i="45" s="1"/>
  <c r="BA120" i="45"/>
  <c r="BA158" i="45" s="1"/>
  <c r="BB127" i="10"/>
  <c r="BB125" i="10"/>
  <c r="BB124" i="10"/>
  <c r="BB107" i="10"/>
  <c r="BB87" i="10"/>
  <c r="BB22" i="10"/>
  <c r="BB21" i="10"/>
  <c r="BB186" i="10"/>
  <c r="AZ78" i="11"/>
  <c r="AZ77" i="11"/>
  <c r="AY77" i="11"/>
  <c r="AZ76" i="11"/>
  <c r="AZ75" i="11"/>
  <c r="AZ73" i="11"/>
  <c r="AZ71" i="11"/>
  <c r="AY71" i="11"/>
  <c r="AZ69" i="11"/>
  <c r="AY69" i="11"/>
  <c r="AZ66" i="11"/>
  <c r="AZ67" i="11" s="1"/>
  <c r="AY66" i="11"/>
  <c r="AY67" i="11" s="1"/>
  <c r="AZ64" i="11"/>
  <c r="AZ61" i="11" s="1"/>
  <c r="AY56" i="11"/>
  <c r="AY55" i="11" s="1"/>
  <c r="BD21" i="10" l="1"/>
  <c r="BD22" i="10"/>
  <c r="BA149" i="45"/>
  <c r="AZ144" i="45"/>
  <c r="AZ132" i="45"/>
  <c r="BA132" i="45"/>
  <c r="AY58" i="11"/>
  <c r="BA139" i="45"/>
  <c r="AZ123" i="45"/>
  <c r="BA144" i="45"/>
  <c r="BA123" i="45"/>
  <c r="BA155" i="45"/>
  <c r="BA159" i="45"/>
  <c r="AZ124" i="45"/>
  <c r="AZ74" i="11"/>
  <c r="AY79" i="11"/>
  <c r="AY97" i="11"/>
  <c r="AZ79" i="11"/>
  <c r="BA160" i="45" l="1"/>
  <c r="AZ190" i="10"/>
  <c r="AZ188" i="10"/>
  <c r="AZ182" i="10"/>
  <c r="AZ177" i="10"/>
  <c r="AZ176" i="10"/>
  <c r="AY176" i="10"/>
  <c r="AZ175" i="10"/>
  <c r="AZ174" i="10"/>
  <c r="AZ172" i="10"/>
  <c r="AZ170" i="10"/>
  <c r="AY170" i="10"/>
  <c r="AZ168" i="10"/>
  <c r="AY168" i="10"/>
  <c r="AZ165" i="10"/>
  <c r="AY165" i="10"/>
  <c r="AZ160" i="10"/>
  <c r="AZ184" i="10" s="1"/>
  <c r="AY159" i="10"/>
  <c r="AZ158" i="10"/>
  <c r="AZ196" i="10" s="1"/>
  <c r="AZ159" i="10"/>
  <c r="AZ183" i="10" l="1"/>
  <c r="AZ166" i="10"/>
  <c r="AY166" i="10"/>
  <c r="AY158" i="10"/>
  <c r="AY161" i="10"/>
  <c r="AY178" i="10"/>
  <c r="AZ192" i="10"/>
  <c r="AZ173" i="10"/>
  <c r="AZ178" i="10"/>
  <c r="AZ161" i="10"/>
  <c r="AZ199" i="10"/>
  <c r="AZ200" i="10" s="1"/>
  <c r="AZ191" i="10"/>
  <c r="AZ189" i="10"/>
  <c r="AZ193" i="10" l="1"/>
  <c r="AY104" i="9" l="1"/>
  <c r="AY102" i="9"/>
  <c r="AY101" i="9"/>
  <c r="AZ99" i="9"/>
  <c r="AZ98" i="9"/>
  <c r="AZ97" i="9"/>
  <c r="AZ93" i="9"/>
  <c r="AY76" i="9"/>
  <c r="AY77" i="9" s="1"/>
  <c r="AY74" i="9"/>
  <c r="AZ60" i="9"/>
  <c r="AZ57" i="9"/>
  <c r="AY53" i="9"/>
  <c r="AY52" i="9"/>
  <c r="AY51" i="9"/>
  <c r="AY47" i="9"/>
  <c r="AZ46" i="9"/>
  <c r="AZ36" i="9"/>
  <c r="AZ35" i="9"/>
  <c r="AZ47" i="9" s="1"/>
  <c r="AZ34" i="9"/>
  <c r="AZ31" i="9"/>
  <c r="AZ25" i="9"/>
  <c r="AY24" i="9"/>
  <c r="AY22" i="9"/>
  <c r="AZ19" i="9"/>
  <c r="AZ10" i="9"/>
  <c r="AZ5" i="9"/>
  <c r="AY5" i="9"/>
  <c r="AZ48" i="9" l="1"/>
  <c r="AY90" i="90"/>
  <c r="AZ14" i="9"/>
  <c r="AY92" i="9"/>
  <c r="AX130" i="26"/>
  <c r="AZ96" i="9"/>
  <c r="AY130" i="26"/>
  <c r="AZ100" i="9"/>
  <c r="AZ62" i="9"/>
  <c r="AY25" i="9"/>
  <c r="AY88" i="9" s="1"/>
  <c r="AZ37" i="9"/>
  <c r="AZ49" i="9"/>
  <c r="AZ90" i="9"/>
  <c r="AY58" i="9"/>
  <c r="AZ94" i="9"/>
  <c r="AY19" i="15" s="1"/>
  <c r="AY67" i="9"/>
  <c r="AY55" i="9"/>
  <c r="AY64" i="9"/>
  <c r="AY68" i="9"/>
  <c r="AY7" i="9"/>
  <c r="AY56" i="9"/>
  <c r="AY59" i="9"/>
  <c r="AY65" i="9"/>
  <c r="AY69" i="9"/>
  <c r="AZ89" i="9"/>
  <c r="AY95" i="9"/>
  <c r="AY63" i="9"/>
  <c r="AY27" i="9"/>
  <c r="AY61" i="9"/>
  <c r="AY66" i="9"/>
  <c r="AY70" i="9"/>
  <c r="AZ109" i="8"/>
  <c r="AZ111" i="8" s="1"/>
  <c r="AZ94" i="8"/>
  <c r="AZ91" i="8"/>
  <c r="AZ89" i="8"/>
  <c r="AZ88" i="8"/>
  <c r="AY87" i="8"/>
  <c r="AY82" i="8"/>
  <c r="AZ80" i="8"/>
  <c r="AZ75" i="8"/>
  <c r="AY74" i="8"/>
  <c r="AY73" i="8"/>
  <c r="AY72" i="8"/>
  <c r="AY71" i="8"/>
  <c r="AZ68" i="8"/>
  <c r="AZ66" i="8"/>
  <c r="AZ64" i="8"/>
  <c r="AZ61" i="8"/>
  <c r="AZ58" i="8"/>
  <c r="AZ62" i="8" s="1"/>
  <c r="AY52" i="8"/>
  <c r="AZ49" i="8"/>
  <c r="AY49" i="8"/>
  <c r="AY46" i="8"/>
  <c r="AY45" i="8"/>
  <c r="AY44" i="8"/>
  <c r="AY43" i="8"/>
  <c r="AY41" i="8"/>
  <c r="AY40" i="8"/>
  <c r="AY39" i="8"/>
  <c r="AZ26" i="8"/>
  <c r="AZ17" i="8"/>
  <c r="AY17" i="8"/>
  <c r="AY15" i="8"/>
  <c r="AY14" i="8"/>
  <c r="AZ13" i="8"/>
  <c r="AY13" i="8"/>
  <c r="AZ6" i="8"/>
  <c r="AY6" i="8"/>
  <c r="AY113" i="7"/>
  <c r="AY112" i="7"/>
  <c r="AY111" i="7"/>
  <c r="AY110" i="7"/>
  <c r="AY109" i="7"/>
  <c r="AY108" i="7"/>
  <c r="AY107" i="7"/>
  <c r="AY106" i="7"/>
  <c r="AZ84" i="7"/>
  <c r="AZ82" i="7"/>
  <c r="AZ75" i="7"/>
  <c r="AY75" i="7"/>
  <c r="AZ71" i="7"/>
  <c r="AY71" i="7"/>
  <c r="AZ67" i="7"/>
  <c r="AY67" i="7"/>
  <c r="AZ21" i="7"/>
  <c r="AZ41" i="7" s="1"/>
  <c r="AZ51" i="7" s="1"/>
  <c r="AY21" i="7"/>
  <c r="AY41" i="7" s="1"/>
  <c r="AY51" i="7" s="1"/>
  <c r="AY23" i="7" l="1"/>
  <c r="AY87" i="7" s="1"/>
  <c r="AY59" i="7"/>
  <c r="AY56" i="7"/>
  <c r="AY101" i="7" s="1"/>
  <c r="AY37" i="7"/>
  <c r="AY100" i="7" s="1"/>
  <c r="AY34" i="7"/>
  <c r="AY97" i="7" s="1"/>
  <c r="AY31" i="7"/>
  <c r="AY27" i="7"/>
  <c r="AY91" i="7" s="1"/>
  <c r="AY24" i="7"/>
  <c r="AY60" i="7"/>
  <c r="AY57" i="7"/>
  <c r="AY54" i="7"/>
  <c r="AY61" i="7"/>
  <c r="AY102" i="7" s="1"/>
  <c r="AY33" i="7"/>
  <c r="AY96" i="7" s="1"/>
  <c r="AY26" i="7"/>
  <c r="AY35" i="7"/>
  <c r="AY98" i="7" s="1"/>
  <c r="AY32" i="7"/>
  <c r="AY95" i="7" s="1"/>
  <c r="AY28" i="7"/>
  <c r="AY92" i="7" s="1"/>
  <c r="AY25" i="7"/>
  <c r="AY62" i="7"/>
  <c r="AY58" i="7"/>
  <c r="AY55" i="7"/>
  <c r="AY36" i="7"/>
  <c r="AY99" i="7" s="1"/>
  <c r="AY29" i="7"/>
  <c r="AY93" i="7" s="1"/>
  <c r="AZ37" i="7"/>
  <c r="AZ100" i="7" s="1"/>
  <c r="AZ34" i="7"/>
  <c r="AZ97" i="7" s="1"/>
  <c r="AZ31" i="7"/>
  <c r="AZ27" i="7"/>
  <c r="AZ91" i="7" s="1"/>
  <c r="AZ24" i="7"/>
  <c r="AZ60" i="7"/>
  <c r="AZ57" i="7"/>
  <c r="AZ54" i="7"/>
  <c r="AZ61" i="7"/>
  <c r="AZ102" i="7" s="1"/>
  <c r="AZ35" i="7"/>
  <c r="AZ98" i="7" s="1"/>
  <c r="AZ32" i="7"/>
  <c r="AZ95" i="7" s="1"/>
  <c r="AZ28" i="7"/>
  <c r="AZ92" i="7" s="1"/>
  <c r="AZ25" i="7"/>
  <c r="AZ62" i="7"/>
  <c r="AZ58" i="7"/>
  <c r="AZ55" i="7"/>
  <c r="AZ23" i="7"/>
  <c r="AZ87" i="7" s="1"/>
  <c r="AZ36" i="7"/>
  <c r="AZ99" i="7" s="1"/>
  <c r="AZ33" i="7"/>
  <c r="AZ96" i="7" s="1"/>
  <c r="AZ29" i="7"/>
  <c r="AZ93" i="7" s="1"/>
  <c r="AZ26" i="7"/>
  <c r="AZ59" i="7"/>
  <c r="AZ56" i="7"/>
  <c r="AZ101" i="7" s="1"/>
  <c r="AZ67" i="8"/>
  <c r="AZ37" i="8" s="1"/>
  <c r="AY73" i="7"/>
  <c r="AZ16" i="8"/>
  <c r="AZ69" i="8"/>
  <c r="AZ65" i="8"/>
  <c r="AZ34" i="8" s="1"/>
  <c r="AY29" i="8"/>
  <c r="AZ86" i="8"/>
  <c r="AY16" i="8"/>
  <c r="AZ73" i="7"/>
  <c r="AY31" i="8"/>
  <c r="AY42" i="8"/>
  <c r="AY24" i="8"/>
  <c r="AY50" i="8"/>
  <c r="AY51" i="8" s="1"/>
  <c r="AY27" i="8"/>
  <c r="AZ81" i="7"/>
  <c r="AZ91" i="9"/>
  <c r="AZ40" i="8"/>
  <c r="AZ44" i="8"/>
  <c r="AZ137" i="8" s="1"/>
  <c r="AZ47" i="8"/>
  <c r="AZ46" i="8"/>
  <c r="AZ138" i="8" s="1"/>
  <c r="AZ50" i="8"/>
  <c r="AZ78" i="8" s="1"/>
  <c r="AZ82" i="8"/>
  <c r="AZ92" i="8"/>
  <c r="AY57" i="9"/>
  <c r="AY60" i="9"/>
  <c r="AZ87" i="9"/>
  <c r="AZ83" i="9"/>
  <c r="AZ78" i="9"/>
  <c r="AZ84" i="9"/>
  <c r="AZ72" i="9"/>
  <c r="AZ53" i="9"/>
  <c r="AZ86" i="9"/>
  <c r="AZ82" i="9"/>
  <c r="AZ76" i="9"/>
  <c r="AZ52" i="9"/>
  <c r="AZ80" i="9"/>
  <c r="AZ75" i="9"/>
  <c r="AZ85" i="9"/>
  <c r="AZ81" i="9"/>
  <c r="AZ73" i="9"/>
  <c r="AZ110" i="8"/>
  <c r="AZ52" i="8" s="1"/>
  <c r="AZ121" i="8" s="1"/>
  <c r="AY23" i="8"/>
  <c r="AY30" i="8"/>
  <c r="AZ59" i="8"/>
  <c r="AY25" i="8"/>
  <c r="AY28" i="8"/>
  <c r="AY85" i="8"/>
  <c r="AZ39" i="8"/>
  <c r="AZ41" i="8"/>
  <c r="AZ43" i="8"/>
  <c r="AZ136" i="8" s="1"/>
  <c r="AZ45" i="8"/>
  <c r="AY76" i="7"/>
  <c r="AZ83" i="7"/>
  <c r="AY78" i="7"/>
  <c r="AY68" i="7"/>
  <c r="AY81" i="7"/>
  <c r="AZ69" i="7"/>
  <c r="AZ76" i="7"/>
  <c r="AZ78" i="7"/>
  <c r="AZ89" i="7" l="1"/>
  <c r="AZ90" i="7"/>
  <c r="BC32" i="59" s="1"/>
  <c r="AY89" i="7"/>
  <c r="AZ88" i="7"/>
  <c r="AY88" i="7"/>
  <c r="AY90" i="7"/>
  <c r="BB32" i="59" s="1"/>
  <c r="AY6" i="26"/>
  <c r="AZ139" i="8"/>
  <c r="AZ51" i="8"/>
  <c r="AZ72" i="8"/>
  <c r="AZ36" i="8"/>
  <c r="AY59" i="8"/>
  <c r="AZ74" i="8"/>
  <c r="AZ73" i="8"/>
  <c r="AZ38" i="7"/>
  <c r="AY109" i="8"/>
  <c r="AY110" i="8" s="1"/>
  <c r="AZ112" i="8"/>
  <c r="AZ53" i="8" s="1"/>
  <c r="AZ123" i="8" s="1"/>
  <c r="AZ122" i="8" s="1"/>
  <c r="AZ126" i="8" s="1"/>
  <c r="AZ127" i="8" s="1"/>
  <c r="AZ42" i="8"/>
  <c r="AZ74" i="9"/>
  <c r="AZ77" i="9"/>
  <c r="AY62" i="9"/>
  <c r="AY67" i="8"/>
  <c r="AY26" i="8"/>
  <c r="AY65" i="8"/>
  <c r="AY69" i="8"/>
  <c r="AZ63" i="8"/>
  <c r="AY38" i="7"/>
  <c r="AY103" i="7" l="1"/>
  <c r="AZ53" i="7"/>
  <c r="AZ77" i="7" s="1"/>
  <c r="AY53" i="7"/>
  <c r="AY77" i="7" s="1"/>
  <c r="AZ130" i="8"/>
  <c r="AZ132" i="8"/>
  <c r="AZ145" i="8" s="1"/>
  <c r="AZ131" i="8"/>
  <c r="AZ144" i="8" s="1"/>
  <c r="AZ124" i="8"/>
  <c r="AZ103" i="7"/>
  <c r="AY37" i="8"/>
  <c r="AY34" i="8"/>
  <c r="AY63" i="8"/>
  <c r="AZ71" i="8"/>
  <c r="AY36" i="8"/>
  <c r="AY111" i="8"/>
  <c r="AY112" i="8" s="1"/>
  <c r="AZ79" i="9"/>
  <c r="AZ35" i="8"/>
  <c r="AZ70" i="8"/>
  <c r="AZ63" i="7" l="1"/>
  <c r="AY63" i="7"/>
  <c r="AZ133" i="8"/>
  <c r="AZ146" i="8" s="1"/>
  <c r="AZ143" i="8"/>
  <c r="AY35" i="8"/>
  <c r="AY61" i="39" l="1"/>
  <c r="AY60" i="39"/>
  <c r="AY49" i="39"/>
  <c r="AY48" i="39"/>
  <c r="AY47" i="39"/>
  <c r="AY46" i="39"/>
  <c r="AY43" i="39"/>
  <c r="AY42" i="39"/>
  <c r="AY8" i="39"/>
  <c r="AY22" i="39" l="1"/>
  <c r="AY45" i="39"/>
  <c r="AY23" i="39"/>
  <c r="AY50" i="39"/>
  <c r="AZ9" i="6"/>
  <c r="AZ8" i="6"/>
  <c r="AY7" i="6"/>
  <c r="AZ222" i="6"/>
  <c r="AY222" i="6"/>
  <c r="AZ221" i="6"/>
  <c r="AY221" i="6"/>
  <c r="AY199" i="6"/>
  <c r="AZ198" i="6"/>
  <c r="AY198" i="6"/>
  <c r="AY197" i="6"/>
  <c r="AZ193" i="6"/>
  <c r="AZ192" i="6"/>
  <c r="AZ191" i="6"/>
  <c r="AY190" i="6"/>
  <c r="AY189" i="6"/>
  <c r="AY186" i="6"/>
  <c r="AY185" i="6"/>
  <c r="AY184" i="6"/>
  <c r="AY183" i="6"/>
  <c r="AY182" i="6"/>
  <c r="AY181" i="6"/>
  <c r="AY179" i="6"/>
  <c r="AY178" i="6"/>
  <c r="AY177" i="6"/>
  <c r="AZ167" i="6"/>
  <c r="AZ166" i="6"/>
  <c r="AY165" i="6"/>
  <c r="AY164" i="6"/>
  <c r="AY161" i="6"/>
  <c r="AY160" i="6"/>
  <c r="AY159" i="6"/>
  <c r="AY158" i="6"/>
  <c r="AY157" i="6"/>
  <c r="AY156" i="6"/>
  <c r="AY154" i="6"/>
  <c r="AY153" i="6"/>
  <c r="AY149" i="6"/>
  <c r="AZ139" i="6"/>
  <c r="AZ136" i="6"/>
  <c r="AY136" i="6"/>
  <c r="AZ135" i="6"/>
  <c r="AY135" i="6"/>
  <c r="AZ134" i="6"/>
  <c r="AY134" i="6"/>
  <c r="AZ133" i="6"/>
  <c r="AY133" i="6"/>
  <c r="AZ131" i="6"/>
  <c r="AY131" i="6"/>
  <c r="AZ130" i="6"/>
  <c r="AY130" i="6"/>
  <c r="AZ128" i="6"/>
  <c r="AY128" i="6"/>
  <c r="AZ127" i="6"/>
  <c r="AY127" i="6"/>
  <c r="AZ126" i="6"/>
  <c r="AY126" i="6"/>
  <c r="AZ125" i="6"/>
  <c r="AY125" i="6"/>
  <c r="AZ120" i="6"/>
  <c r="AY120" i="6"/>
  <c r="AZ115" i="6"/>
  <c r="AY115" i="6"/>
  <c r="AZ103" i="6"/>
  <c r="AY103" i="6"/>
  <c r="AY98" i="6"/>
  <c r="AY85" i="6"/>
  <c r="AY83" i="6"/>
  <c r="AY80" i="6"/>
  <c r="AY79" i="6"/>
  <c r="AZ77" i="6"/>
  <c r="AY77" i="6"/>
  <c r="AZ69" i="6"/>
  <c r="AY69" i="6"/>
  <c r="AZ66" i="6"/>
  <c r="AY66" i="6"/>
  <c r="AZ56" i="6"/>
  <c r="AZ55" i="6"/>
  <c r="AZ54" i="6"/>
  <c r="AZ51" i="6"/>
  <c r="AZ48" i="6"/>
  <c r="AZ45" i="6"/>
  <c r="AY41" i="6"/>
  <c r="AZ34" i="6"/>
  <c r="AZ33" i="6"/>
  <c r="AZ32" i="6"/>
  <c r="AZ29" i="6"/>
  <c r="AZ26" i="6"/>
  <c r="AZ23" i="6"/>
  <c r="AY18" i="6"/>
  <c r="AY17" i="6"/>
  <c r="AY16" i="6"/>
  <c r="AY15" i="6"/>
  <c r="AY92" i="77"/>
  <c r="AY91" i="77"/>
  <c r="AX91" i="77"/>
  <c r="AY90" i="77"/>
  <c r="AX90" i="77"/>
  <c r="AY86" i="77"/>
  <c r="AX86" i="77"/>
  <c r="AX84" i="77"/>
  <c r="AY83" i="77"/>
  <c r="AY82" i="77"/>
  <c r="AY81" i="77"/>
  <c r="AY71" i="77"/>
  <c r="AX71" i="77"/>
  <c r="AY53" i="77"/>
  <c r="AX53" i="77"/>
  <c r="AY36" i="77"/>
  <c r="AX36" i="77"/>
  <c r="AY32" i="77"/>
  <c r="AX32" i="77"/>
  <c r="AY26" i="77"/>
  <c r="AX26" i="77"/>
  <c r="AY21" i="77"/>
  <c r="AX21" i="77"/>
  <c r="AY13" i="77"/>
  <c r="AX13" i="77"/>
  <c r="AY7" i="77"/>
  <c r="AX7" i="77"/>
  <c r="AX89" i="77" l="1"/>
  <c r="AZ121" i="6"/>
  <c r="AY30" i="6"/>
  <c r="AY31" i="6"/>
  <c r="AZ57" i="6"/>
  <c r="AY51" i="39"/>
  <c r="AY24" i="39"/>
  <c r="AZ35" i="6"/>
  <c r="AY89" i="77"/>
  <c r="AY95" i="77" s="1"/>
  <c r="AY34" i="39"/>
  <c r="AZ137" i="6"/>
  <c r="AY84" i="77"/>
  <c r="AX95" i="77"/>
  <c r="AY104" i="6"/>
  <c r="AY137" i="6"/>
  <c r="AY132" i="6"/>
  <c r="AY188" i="6"/>
  <c r="AY121" i="6"/>
  <c r="AZ132" i="6"/>
  <c r="AY163" i="6"/>
  <c r="AY19" i="6"/>
  <c r="AY21" i="6"/>
  <c r="AY24" i="6"/>
  <c r="AY27" i="6"/>
  <c r="AY22" i="6"/>
  <c r="AY25" i="6"/>
  <c r="AY28" i="6"/>
  <c r="AY123" i="6" l="1"/>
  <c r="AY172" i="6" s="1"/>
  <c r="AY84" i="6"/>
  <c r="AY106" i="6"/>
  <c r="AZ138" i="6"/>
  <c r="AY32" i="6"/>
  <c r="AZ123" i="6"/>
  <c r="AY138" i="6"/>
  <c r="AY26" i="6"/>
  <c r="AY34" i="6"/>
  <c r="AY29" i="6"/>
  <c r="AY33" i="6"/>
  <c r="AY23" i="6"/>
  <c r="AY81" i="6"/>
  <c r="AY173" i="6" l="1"/>
  <c r="AY147" i="6"/>
  <c r="AY140" i="6"/>
  <c r="AY205" i="6" s="1"/>
  <c r="AY144" i="6"/>
  <c r="AZ172" i="6"/>
  <c r="AZ175" i="6"/>
  <c r="AZ173" i="6"/>
  <c r="AY175" i="6"/>
  <c r="AY145" i="6"/>
  <c r="AZ140" i="6"/>
  <c r="AY174" i="6"/>
  <c r="AY35" i="6"/>
  <c r="AZ203" i="6" l="1"/>
  <c r="AZ205" i="6"/>
  <c r="AY146" i="6"/>
  <c r="AZ209" i="6"/>
  <c r="AZ217" i="6"/>
  <c r="AZ213" i="6"/>
  <c r="AZ204" i="6"/>
  <c r="AZ211" i="6"/>
  <c r="AY213" i="6"/>
  <c r="AY204" i="6"/>
  <c r="AY214" i="6"/>
  <c r="AY211" i="6"/>
  <c r="AY207" i="6"/>
  <c r="AY217" i="6"/>
  <c r="AY218" i="6" s="1"/>
  <c r="AY208" i="6"/>
  <c r="AY206" i="6"/>
  <c r="AY209" i="6"/>
  <c r="AZ174" i="6"/>
  <c r="AZ199" i="6"/>
  <c r="AZ207" i="6"/>
  <c r="AZ208" i="6"/>
  <c r="AZ206" i="6"/>
  <c r="AZ214" i="6"/>
  <c r="AY212" i="6"/>
  <c r="AZ212" i="6"/>
  <c r="AY203" i="6"/>
  <c r="AZ218" i="6" l="1"/>
  <c r="AY215" i="6"/>
  <c r="AZ215" i="6"/>
  <c r="AZ210" i="6"/>
  <c r="AY210" i="6"/>
  <c r="AZ216" i="6" l="1"/>
  <c r="AZ219" i="6" s="1"/>
  <c r="AY216" i="6"/>
  <c r="AY219" i="6" s="1"/>
  <c r="AZ17" i="49"/>
  <c r="AZ18" i="49" s="1"/>
  <c r="AY17" i="49"/>
  <c r="AY18" i="49" s="1"/>
  <c r="AZ11" i="49"/>
  <c r="AY11" i="49"/>
  <c r="AY10" i="49"/>
  <c r="AZ9" i="49"/>
  <c r="AY9" i="49"/>
  <c r="AZ8" i="49"/>
  <c r="AY8" i="49"/>
  <c r="AZ6" i="49"/>
  <c r="AY6" i="49"/>
  <c r="AY242" i="73"/>
  <c r="AX242" i="73"/>
  <c r="AY240" i="73"/>
  <c r="AX240" i="73"/>
  <c r="AY227" i="73"/>
  <c r="AY220" i="73"/>
  <c r="AY214" i="73"/>
  <c r="AX214" i="73"/>
  <c r="AY209" i="73"/>
  <c r="AX209" i="73"/>
  <c r="AY181" i="73"/>
  <c r="AX179" i="73"/>
  <c r="AY168" i="73"/>
  <c r="AY179" i="73" s="1"/>
  <c r="AY134" i="73"/>
  <c r="AX134" i="73"/>
  <c r="AY132" i="73"/>
  <c r="AY130" i="73"/>
  <c r="AX130" i="73"/>
  <c r="AY126" i="73"/>
  <c r="AX126" i="73"/>
  <c r="AY122" i="73"/>
  <c r="AY113" i="73"/>
  <c r="AY106" i="73"/>
  <c r="AY102" i="73"/>
  <c r="AY62" i="73"/>
  <c r="AY56" i="73"/>
  <c r="AY51" i="73"/>
  <c r="AY46" i="73"/>
  <c r="AY35" i="73"/>
  <c r="AY30" i="73"/>
  <c r="AY22" i="73"/>
  <c r="AX22" i="73"/>
  <c r="AY20" i="73"/>
  <c r="AY120" i="90" s="1"/>
  <c r="AY122" i="90" s="1"/>
  <c r="AY8" i="73"/>
  <c r="AX8" i="73"/>
  <c r="AX6" i="73" s="1"/>
  <c r="BC79" i="59"/>
  <c r="BC78" i="59"/>
  <c r="BC77" i="59"/>
  <c r="BB77" i="59"/>
  <c r="BB75" i="59"/>
  <c r="BC74" i="59"/>
  <c r="BB74" i="59"/>
  <c r="BC73" i="59"/>
  <c r="BB73" i="59"/>
  <c r="BC72" i="59"/>
  <c r="BB72" i="59"/>
  <c r="BC69" i="59"/>
  <c r="BB69" i="59"/>
  <c r="BC68" i="59"/>
  <c r="BB68" i="59"/>
  <c r="BC65" i="59"/>
  <c r="BB65" i="59"/>
  <c r="BC64" i="59"/>
  <c r="BB64" i="59"/>
  <c r="BC61" i="59"/>
  <c r="BB61" i="59"/>
  <c r="BC60" i="59"/>
  <c r="BB60" i="59"/>
  <c r="BC59" i="59"/>
  <c r="BC58" i="59"/>
  <c r="BB58" i="59"/>
  <c r="BC57" i="59"/>
  <c r="BB57" i="59"/>
  <c r="BB52" i="59"/>
  <c r="BC51" i="59"/>
  <c r="BB51" i="59"/>
  <c r="BC50" i="59"/>
  <c r="BB50" i="59"/>
  <c r="BC49" i="59"/>
  <c r="BB49" i="59"/>
  <c r="BC47" i="59"/>
  <c r="BB47" i="59"/>
  <c r="BC46" i="59"/>
  <c r="BB46" i="59"/>
  <c r="BC45" i="59"/>
  <c r="BB45" i="59"/>
  <c r="BC44" i="59"/>
  <c r="BB44" i="59"/>
  <c r="BC42" i="59"/>
  <c r="BB42" i="59"/>
  <c r="BC41" i="59"/>
  <c r="BB41" i="59"/>
  <c r="BC40" i="59"/>
  <c r="BB40" i="59"/>
  <c r="BB38" i="59"/>
  <c r="BB37" i="59"/>
  <c r="BB36" i="59"/>
  <c r="BC35" i="59"/>
  <c r="BC34" i="59"/>
  <c r="BB34" i="59"/>
  <c r="BC33" i="59"/>
  <c r="BB33" i="59"/>
  <c r="BC31" i="59"/>
  <c r="BB31" i="59"/>
  <c r="BC30" i="59"/>
  <c r="BB30" i="59"/>
  <c r="BC29" i="59"/>
  <c r="BB29" i="59"/>
  <c r="BC28" i="59"/>
  <c r="BB28" i="59"/>
  <c r="BC27" i="59"/>
  <c r="BC26" i="59"/>
  <c r="BC25" i="59"/>
  <c r="BC24" i="59"/>
  <c r="BC23" i="59"/>
  <c r="BC22" i="59"/>
  <c r="BC20" i="59"/>
  <c r="BC19" i="59"/>
  <c r="BC18" i="59"/>
  <c r="BC17" i="59"/>
  <c r="BC16" i="59"/>
  <c r="BB16" i="59"/>
  <c r="BB15" i="59"/>
  <c r="BC12" i="59"/>
  <c r="BB12" i="59"/>
  <c r="BC11" i="59"/>
  <c r="BB11" i="59"/>
  <c r="AY6" i="73" l="1"/>
  <c r="AY12" i="15"/>
  <c r="AY118" i="73"/>
  <c r="BB43" i="59"/>
  <c r="AX137" i="73"/>
  <c r="AY126" i="90"/>
  <c r="BB48" i="59"/>
  <c r="AY5" i="73"/>
  <c r="AY12" i="49"/>
  <c r="BC48" i="59"/>
  <c r="AY137" i="73"/>
  <c r="BC43" i="59"/>
  <c r="AY13" i="15" l="1"/>
  <c r="AY14" i="15" s="1"/>
  <c r="AY72" i="36" l="1"/>
  <c r="AY64" i="36" s="1"/>
  <c r="AY71" i="36"/>
  <c r="AY69" i="36"/>
  <c r="AY61" i="36" s="1"/>
  <c r="AY63" i="36" s="1"/>
  <c r="AY67" i="36"/>
  <c r="AY59" i="36" s="1"/>
  <c r="AY66" i="36"/>
  <c r="AZ64" i="36"/>
  <c r="AZ72" i="36" s="1"/>
  <c r="AZ62" i="36"/>
  <c r="AZ70" i="36" s="1"/>
  <c r="AZ61" i="36"/>
  <c r="AZ59" i="36"/>
  <c r="AZ67" i="36" s="1"/>
  <c r="AZ58" i="36"/>
  <c r="AZ66" i="36" s="1"/>
  <c r="AZ57" i="36"/>
  <c r="AZ17" i="36" s="1"/>
  <c r="BC54" i="59" s="1"/>
  <c r="AZ56" i="36"/>
  <c r="AZ16" i="36" s="1"/>
  <c r="AZ33" i="36"/>
  <c r="AZ40" i="36" s="1"/>
  <c r="AY33" i="36"/>
  <c r="AY29" i="36"/>
  <c r="AY28" i="36"/>
  <c r="AZ23" i="36"/>
  <c r="BC71" i="59" s="1"/>
  <c r="AY23" i="36"/>
  <c r="BB71" i="59" s="1"/>
  <c r="AZ22" i="36"/>
  <c r="BC67" i="59" s="1"/>
  <c r="AY22" i="36"/>
  <c r="BB67" i="59" s="1"/>
  <c r="AZ21" i="36"/>
  <c r="BC63" i="59" s="1"/>
  <c r="AY21" i="36"/>
  <c r="BB63" i="59" s="1"/>
  <c r="AY17" i="36"/>
  <c r="AY16" i="36"/>
  <c r="AY13" i="36"/>
  <c r="BB39" i="59" s="1"/>
  <c r="AZ12" i="36"/>
  <c r="BC38" i="59" s="1"/>
  <c r="AZ11" i="36"/>
  <c r="BC37" i="59" s="1"/>
  <c r="AZ10" i="36"/>
  <c r="AZ9" i="36"/>
  <c r="BC10" i="59" s="1"/>
  <c r="AY9" i="36"/>
  <c r="BB10" i="59" s="1"/>
  <c r="AZ8" i="36"/>
  <c r="BC9" i="59" s="1"/>
  <c r="AY8" i="36"/>
  <c r="BB9" i="59" s="1"/>
  <c r="AY7" i="36"/>
  <c r="BB8" i="59" s="1"/>
  <c r="AY5" i="36"/>
  <c r="AY68" i="36" l="1"/>
  <c r="AX7" i="15"/>
  <c r="BB79" i="59"/>
  <c r="AY56" i="36"/>
  <c r="AY89" i="9"/>
  <c r="BB53" i="59"/>
  <c r="BB6" i="59"/>
  <c r="AY13" i="49"/>
  <c r="AY14" i="49" s="1"/>
  <c r="AY15" i="49" s="1"/>
  <c r="AY16" i="49" s="1"/>
  <c r="AY19" i="49" s="1"/>
  <c r="AY20" i="49" s="1"/>
  <c r="AY57" i="36"/>
  <c r="AY90" i="9"/>
  <c r="AY19" i="9" s="1"/>
  <c r="BB54" i="59"/>
  <c r="AY58" i="36"/>
  <c r="AY60" i="36" s="1"/>
  <c r="AX6" i="15"/>
  <c r="BB78" i="59"/>
  <c r="AZ68" i="36"/>
  <c r="AZ63" i="36"/>
  <c r="AZ18" i="36"/>
  <c r="BC55" i="59" s="1"/>
  <c r="BC53" i="59"/>
  <c r="AZ13" i="36"/>
  <c r="BC39" i="59" s="1"/>
  <c r="BC36" i="59"/>
  <c r="AZ69" i="36"/>
  <c r="AZ71" i="36" s="1"/>
  <c r="AZ60" i="36"/>
  <c r="AZ28" i="21"/>
  <c r="AY27" i="21"/>
  <c r="AZ24" i="21"/>
  <c r="AZ25" i="21" s="1"/>
  <c r="AZ18" i="21"/>
  <c r="AZ15" i="21"/>
  <c r="AZ12" i="21"/>
  <c r="AY12" i="21"/>
  <c r="AY15" i="21" s="1"/>
  <c r="AZ555" i="28" l="1"/>
  <c r="AZ556" i="28"/>
  <c r="AZ19" i="36"/>
  <c r="BC56" i="59" s="1"/>
  <c r="AY91" i="9"/>
  <c r="AZ20" i="21"/>
  <c r="AY22" i="21"/>
  <c r="AY42" i="35" l="1"/>
  <c r="AY41" i="35"/>
  <c r="AZ40" i="35"/>
  <c r="AZ39" i="35"/>
  <c r="BC76" i="59" s="1"/>
  <c r="AY39" i="35"/>
  <c r="AZ36" i="35"/>
  <c r="AZ48" i="35" s="1"/>
  <c r="AY36" i="35"/>
  <c r="AY37" i="28" s="1"/>
  <c r="AY33" i="35"/>
  <c r="AZ32" i="35"/>
  <c r="AZ31" i="35"/>
  <c r="AZ30" i="35"/>
  <c r="AZ26" i="35"/>
  <c r="AZ34" i="36" s="1"/>
  <c r="AY26" i="35"/>
  <c r="AY21" i="35"/>
  <c r="AY26" i="9" s="1"/>
  <c r="AZ20" i="35"/>
  <c r="AY20" i="35"/>
  <c r="AZ19" i="35"/>
  <c r="AY19" i="35"/>
  <c r="AZ14" i="35"/>
  <c r="AZ5" i="36" s="1"/>
  <c r="AZ13" i="35"/>
  <c r="AZ11" i="35"/>
  <c r="AZ10" i="6" s="1"/>
  <c r="AY10" i="35"/>
  <c r="AY9" i="35"/>
  <c r="AY8" i="35"/>
  <c r="AZ7" i="35"/>
  <c r="AZ6" i="6" s="1"/>
  <c r="AZ6" i="35"/>
  <c r="AY526" i="28" l="1"/>
  <c r="AY31" i="28"/>
  <c r="AY63" i="28" s="1"/>
  <c r="AY69" i="28" s="1"/>
  <c r="AY77" i="28"/>
  <c r="AZ15" i="35"/>
  <c r="AY13" i="35"/>
  <c r="AY8" i="6"/>
  <c r="AY14" i="35"/>
  <c r="AY9" i="6"/>
  <c r="AY48" i="35"/>
  <c r="AY49" i="35" s="1"/>
  <c r="AY34" i="36"/>
  <c r="AY35" i="36" s="1"/>
  <c r="AY36" i="36" s="1"/>
  <c r="AY38" i="36" s="1"/>
  <c r="AY30" i="36" s="1"/>
  <c r="BB80" i="59" s="1"/>
  <c r="AY26" i="21"/>
  <c r="AY28" i="21" s="1"/>
  <c r="AZ41" i="36"/>
  <c r="AZ43" i="36" s="1"/>
  <c r="AZ31" i="36" s="1"/>
  <c r="AZ35" i="36"/>
  <c r="AZ36" i="36" s="1"/>
  <c r="AZ38" i="36" s="1"/>
  <c r="AZ30" i="36" s="1"/>
  <c r="BC80" i="59" s="1"/>
  <c r="AZ18" i="6"/>
  <c r="AZ16" i="6"/>
  <c r="AZ8" i="35"/>
  <c r="AZ5" i="6"/>
  <c r="AZ98" i="6" s="1"/>
  <c r="AZ41" i="35"/>
  <c r="AZ97" i="11"/>
  <c r="AZ33" i="35"/>
  <c r="AZ37" i="35" s="1"/>
  <c r="AZ13" i="49"/>
  <c r="BC6" i="59"/>
  <c r="AY37" i="35"/>
  <c r="AY11" i="35"/>
  <c r="AY10" i="6" s="1"/>
  <c r="G157" i="7"/>
  <c r="G159" i="7" s="1"/>
  <c r="H157" i="7"/>
  <c r="H159" i="7" s="1"/>
  <c r="K157" i="7"/>
  <c r="K159" i="7" s="1"/>
  <c r="L157" i="7"/>
  <c r="L159" i="7" s="1"/>
  <c r="O157" i="7"/>
  <c r="O159" i="7" s="1"/>
  <c r="P157" i="7"/>
  <c r="P159" i="7" s="1"/>
  <c r="S157" i="7"/>
  <c r="S159" i="7" s="1"/>
  <c r="T157" i="7"/>
  <c r="T159" i="7" s="1"/>
  <c r="W157" i="7"/>
  <c r="W159" i="7" s="1"/>
  <c r="X157" i="7"/>
  <c r="X159" i="7" s="1"/>
  <c r="AC157" i="7"/>
  <c r="AC159" i="7" s="1"/>
  <c r="AD157" i="7"/>
  <c r="AD159" i="7" s="1"/>
  <c r="AG157" i="7"/>
  <c r="AG159" i="7" s="1"/>
  <c r="AH157" i="7"/>
  <c r="AH159" i="7" s="1"/>
  <c r="AK157" i="7"/>
  <c r="AK159" i="7" s="1"/>
  <c r="AL157" i="7"/>
  <c r="AL159" i="7" s="1"/>
  <c r="AQ157" i="7"/>
  <c r="AQ159" i="7" s="1"/>
  <c r="AR157" i="7"/>
  <c r="AR159" i="7" s="1"/>
  <c r="AU157" i="7"/>
  <c r="AU159" i="7" s="1"/>
  <c r="AV157" i="7"/>
  <c r="AV159" i="7" s="1"/>
  <c r="F157" i="7"/>
  <c r="F159" i="7" s="1"/>
  <c r="AY93" i="28" l="1"/>
  <c r="AY78" i="28"/>
  <c r="AY97" i="28" s="1"/>
  <c r="AY55" i="35"/>
  <c r="AZ104" i="6"/>
  <c r="AZ106" i="6" s="1"/>
  <c r="AZ144" i="6" s="1"/>
  <c r="AY15" i="35"/>
  <c r="AZ7" i="6"/>
  <c r="AZ15" i="6"/>
  <c r="AZ17" i="6"/>
  <c r="AZ189" i="6"/>
  <c r="AZ194" i="6"/>
  <c r="F124" i="90"/>
  <c r="G124" i="90"/>
  <c r="J124" i="90"/>
  <c r="K124" i="90"/>
  <c r="N124" i="90"/>
  <c r="O124" i="90"/>
  <c r="R124" i="90"/>
  <c r="S124" i="90"/>
  <c r="V124" i="90"/>
  <c r="W124" i="90"/>
  <c r="AB124" i="90"/>
  <c r="AF124" i="90"/>
  <c r="AG124" i="90"/>
  <c r="AJ124" i="90"/>
  <c r="AK124" i="90"/>
  <c r="AP124" i="90"/>
  <c r="AQ124" i="90"/>
  <c r="AT124" i="90"/>
  <c r="AU124" i="90"/>
  <c r="BA124" i="90" s="1"/>
  <c r="AX124" i="90"/>
  <c r="F119" i="90"/>
  <c r="G119" i="90"/>
  <c r="H119" i="90"/>
  <c r="J119" i="90"/>
  <c r="K119" i="90"/>
  <c r="L119" i="90"/>
  <c r="N119" i="90"/>
  <c r="O119" i="90"/>
  <c r="P119" i="90"/>
  <c r="R119" i="90"/>
  <c r="S119" i="90"/>
  <c r="T119" i="90"/>
  <c r="V119" i="90"/>
  <c r="W119" i="90"/>
  <c r="X119" i="90"/>
  <c r="Z119" i="90"/>
  <c r="AB119" i="90"/>
  <c r="AC119" i="90"/>
  <c r="AD119" i="90"/>
  <c r="AF119" i="90"/>
  <c r="AG119" i="90"/>
  <c r="AH119" i="90"/>
  <c r="AJ119" i="90"/>
  <c r="AK119" i="90"/>
  <c r="AL119" i="90"/>
  <c r="AN119" i="90"/>
  <c r="AP119" i="90"/>
  <c r="AQ119" i="90"/>
  <c r="AR119" i="90"/>
  <c r="AT119" i="90"/>
  <c r="AU119" i="90"/>
  <c r="AV119" i="90"/>
  <c r="H120" i="90"/>
  <c r="J120" i="90"/>
  <c r="L120" i="90"/>
  <c r="N120" i="90"/>
  <c r="P120" i="90"/>
  <c r="R120" i="90"/>
  <c r="T120" i="90"/>
  <c r="V120" i="90"/>
  <c r="X120" i="90"/>
  <c r="Z120" i="90"/>
  <c r="AB120" i="90"/>
  <c r="AD120" i="90"/>
  <c r="AF120" i="90"/>
  <c r="AH120" i="90"/>
  <c r="AJ120" i="90"/>
  <c r="AL120" i="90"/>
  <c r="AN120" i="90"/>
  <c r="AP120" i="90"/>
  <c r="AR120" i="90"/>
  <c r="AT120" i="90"/>
  <c r="AV120" i="90"/>
  <c r="F107" i="90"/>
  <c r="G107" i="90"/>
  <c r="H107" i="90"/>
  <c r="J107" i="90"/>
  <c r="K107" i="90"/>
  <c r="L107" i="90"/>
  <c r="N107" i="90"/>
  <c r="O107" i="90"/>
  <c r="P107" i="90"/>
  <c r="R107" i="90"/>
  <c r="S107" i="90"/>
  <c r="T107" i="90"/>
  <c r="V107" i="90"/>
  <c r="W107" i="90"/>
  <c r="X107" i="90"/>
  <c r="Z107" i="90"/>
  <c r="AB107" i="90"/>
  <c r="AC107" i="90"/>
  <c r="AD107" i="90"/>
  <c r="AF107" i="90"/>
  <c r="AG107" i="90"/>
  <c r="AH107" i="90"/>
  <c r="AJ107" i="90"/>
  <c r="AK107" i="90"/>
  <c r="AL107" i="90"/>
  <c r="AN107" i="90"/>
  <c r="AP107" i="90"/>
  <c r="AQ107" i="90"/>
  <c r="AR107" i="90"/>
  <c r="AT107" i="90"/>
  <c r="AU107" i="90"/>
  <c r="AV107" i="90"/>
  <c r="AX107" i="90"/>
  <c r="AZ107" i="90"/>
  <c r="BB107" i="90"/>
  <c r="BD107" i="90"/>
  <c r="F108" i="90"/>
  <c r="G108" i="90"/>
  <c r="H108" i="90"/>
  <c r="J108" i="90"/>
  <c r="K108" i="90"/>
  <c r="L108" i="90"/>
  <c r="N108" i="90"/>
  <c r="O108" i="90"/>
  <c r="P108" i="90"/>
  <c r="R108" i="90"/>
  <c r="S108" i="90"/>
  <c r="T108" i="90"/>
  <c r="V108" i="90"/>
  <c r="W108" i="90"/>
  <c r="X108" i="90"/>
  <c r="Z108" i="90"/>
  <c r="AB108" i="90"/>
  <c r="AC108" i="90"/>
  <c r="AD108" i="90"/>
  <c r="AF108" i="90"/>
  <c r="AG108" i="90"/>
  <c r="AH108" i="90"/>
  <c r="AJ108" i="90"/>
  <c r="AK108" i="90"/>
  <c r="AL108" i="90"/>
  <c r="AN108" i="90"/>
  <c r="AP108" i="90"/>
  <c r="AQ108" i="90"/>
  <c r="AR108" i="90"/>
  <c r="AT108" i="90"/>
  <c r="AU108" i="90"/>
  <c r="AV108" i="90"/>
  <c r="AX108" i="90"/>
  <c r="AZ108" i="90"/>
  <c r="BB108" i="90"/>
  <c r="BD108" i="90"/>
  <c r="F109" i="90"/>
  <c r="G109" i="90"/>
  <c r="H109" i="90"/>
  <c r="I109" i="90"/>
  <c r="J109" i="90"/>
  <c r="K109" i="90"/>
  <c r="L109" i="90"/>
  <c r="M109" i="90"/>
  <c r="N109" i="90"/>
  <c r="O109" i="90"/>
  <c r="P109" i="90"/>
  <c r="Q109" i="90"/>
  <c r="R109" i="90"/>
  <c r="S109" i="90"/>
  <c r="T109" i="90"/>
  <c r="U109" i="90"/>
  <c r="V109" i="90"/>
  <c r="W109" i="90"/>
  <c r="X109" i="90"/>
  <c r="Y109" i="90"/>
  <c r="Z109" i="90"/>
  <c r="AA109" i="90"/>
  <c r="AB109" i="90"/>
  <c r="AC109" i="90"/>
  <c r="AD109" i="90"/>
  <c r="AE109" i="90"/>
  <c r="AF109" i="90"/>
  <c r="AG109" i="90"/>
  <c r="AH109" i="90"/>
  <c r="AI109" i="90"/>
  <c r="AJ109" i="90"/>
  <c r="AK109" i="90"/>
  <c r="AL109" i="90"/>
  <c r="AM109" i="90"/>
  <c r="AN109" i="90"/>
  <c r="AP109" i="90"/>
  <c r="AQ109" i="90"/>
  <c r="AR109" i="90"/>
  <c r="AT109" i="90"/>
  <c r="AU109" i="90"/>
  <c r="AV109" i="90"/>
  <c r="AX109" i="90"/>
  <c r="AZ109" i="90"/>
  <c r="BB109" i="90"/>
  <c r="BD109" i="90"/>
  <c r="F110" i="90"/>
  <c r="G110" i="90"/>
  <c r="H110" i="90"/>
  <c r="I110" i="90"/>
  <c r="J110" i="90"/>
  <c r="K110" i="90"/>
  <c r="L110" i="90"/>
  <c r="M110" i="90"/>
  <c r="N110" i="90"/>
  <c r="O110" i="90"/>
  <c r="P110" i="90"/>
  <c r="Q110" i="90"/>
  <c r="R110" i="90"/>
  <c r="S110" i="90"/>
  <c r="T110" i="90"/>
  <c r="U110" i="90"/>
  <c r="V110" i="90"/>
  <c r="W110" i="90"/>
  <c r="X110" i="90"/>
  <c r="Y110" i="90"/>
  <c r="Z110" i="90"/>
  <c r="AA110" i="90"/>
  <c r="AB110" i="90"/>
  <c r="AC110" i="90"/>
  <c r="AD110" i="90"/>
  <c r="AE110" i="90"/>
  <c r="AF110" i="90"/>
  <c r="AG110" i="90"/>
  <c r="AH110" i="90"/>
  <c r="AI110" i="90"/>
  <c r="AJ110" i="90"/>
  <c r="AK110" i="90"/>
  <c r="AL110" i="90"/>
  <c r="AM110" i="90"/>
  <c r="AN110" i="90"/>
  <c r="AP110" i="90"/>
  <c r="AQ110" i="90"/>
  <c r="AR110" i="90"/>
  <c r="AT110" i="90"/>
  <c r="AU110" i="90"/>
  <c r="BA110" i="90" s="1"/>
  <c r="AV110" i="90"/>
  <c r="AX110" i="90"/>
  <c r="AZ110" i="90"/>
  <c r="BB110" i="90"/>
  <c r="BD110" i="90"/>
  <c r="F111" i="90"/>
  <c r="G111" i="90"/>
  <c r="H111" i="90"/>
  <c r="J111" i="90"/>
  <c r="K111" i="90"/>
  <c r="L111" i="90"/>
  <c r="M111" i="90"/>
  <c r="N111" i="90"/>
  <c r="O111" i="90"/>
  <c r="P111" i="90"/>
  <c r="Q111" i="90"/>
  <c r="R111" i="90"/>
  <c r="S111" i="90"/>
  <c r="T111" i="90"/>
  <c r="U111" i="90"/>
  <c r="V111" i="90"/>
  <c r="W111" i="90"/>
  <c r="X111" i="90"/>
  <c r="Y111" i="90"/>
  <c r="Z111" i="90"/>
  <c r="AA111" i="90"/>
  <c r="AB111" i="90"/>
  <c r="AC111" i="90"/>
  <c r="AD111" i="90"/>
  <c r="AE111" i="90"/>
  <c r="AF111" i="90"/>
  <c r="AG111" i="90"/>
  <c r="AH111" i="90"/>
  <c r="AI111" i="90"/>
  <c r="AJ111" i="90"/>
  <c r="AK111" i="90"/>
  <c r="AL111" i="90"/>
  <c r="AM111" i="90"/>
  <c r="AN111" i="90"/>
  <c r="AP111" i="90"/>
  <c r="AQ111" i="90"/>
  <c r="AR111" i="90"/>
  <c r="AT111" i="90"/>
  <c r="AU111" i="90"/>
  <c r="AV111" i="90"/>
  <c r="AX111" i="90"/>
  <c r="AZ111" i="90"/>
  <c r="BB111" i="90"/>
  <c r="BD111" i="90"/>
  <c r="F112" i="90"/>
  <c r="G112" i="90"/>
  <c r="H112" i="90"/>
  <c r="J112" i="90"/>
  <c r="K112" i="90"/>
  <c r="L112" i="90"/>
  <c r="N112" i="90"/>
  <c r="O112" i="90"/>
  <c r="P112" i="90"/>
  <c r="R112" i="90"/>
  <c r="S112" i="90"/>
  <c r="T112" i="90"/>
  <c r="V112" i="90"/>
  <c r="W112" i="90"/>
  <c r="X112" i="90"/>
  <c r="Z112" i="90"/>
  <c r="AB112" i="90"/>
  <c r="AC112" i="90"/>
  <c r="AD112" i="90"/>
  <c r="AF112" i="90"/>
  <c r="AG112" i="90"/>
  <c r="AH112" i="90"/>
  <c r="AJ112" i="90"/>
  <c r="AK112" i="90"/>
  <c r="AL112" i="90"/>
  <c r="AN112" i="90"/>
  <c r="AP112" i="90"/>
  <c r="AQ112" i="90"/>
  <c r="AR112" i="90"/>
  <c r="AT112" i="90"/>
  <c r="AU112" i="90"/>
  <c r="AV112" i="90"/>
  <c r="AX112" i="90"/>
  <c r="AZ112" i="90"/>
  <c r="BB112" i="90"/>
  <c r="BD112" i="90"/>
  <c r="F113" i="90"/>
  <c r="G113" i="90"/>
  <c r="H113" i="90"/>
  <c r="J113" i="90"/>
  <c r="K113" i="90"/>
  <c r="L113" i="90"/>
  <c r="N113" i="90"/>
  <c r="O113" i="90"/>
  <c r="P113" i="90"/>
  <c r="R113" i="90"/>
  <c r="S113" i="90"/>
  <c r="T113" i="90"/>
  <c r="V113" i="90"/>
  <c r="W113" i="90"/>
  <c r="X113" i="90"/>
  <c r="Z113" i="90"/>
  <c r="AB113" i="90"/>
  <c r="AC113" i="90"/>
  <c r="AD113" i="90"/>
  <c r="AF113" i="90"/>
  <c r="AG113" i="90"/>
  <c r="AH113" i="90"/>
  <c r="AJ113" i="90"/>
  <c r="AK113" i="90"/>
  <c r="AL113" i="90"/>
  <c r="AN113" i="90"/>
  <c r="AP113" i="90"/>
  <c r="AQ113" i="90"/>
  <c r="AR113" i="90"/>
  <c r="AT113" i="90"/>
  <c r="AU113" i="90"/>
  <c r="AV113" i="90"/>
  <c r="AX113" i="90"/>
  <c r="AZ113" i="90"/>
  <c r="BB113" i="90"/>
  <c r="BD113" i="90"/>
  <c r="F114" i="90"/>
  <c r="G114" i="90"/>
  <c r="H114" i="90"/>
  <c r="J114" i="90"/>
  <c r="K114" i="90"/>
  <c r="L114" i="90"/>
  <c r="N114" i="90"/>
  <c r="O114" i="90"/>
  <c r="P114" i="90"/>
  <c r="R114" i="90"/>
  <c r="S114" i="90"/>
  <c r="T114" i="90"/>
  <c r="V114" i="90"/>
  <c r="W114" i="90"/>
  <c r="X114" i="90"/>
  <c r="Z114" i="90"/>
  <c r="AB114" i="90"/>
  <c r="AC114" i="90"/>
  <c r="AD114" i="90"/>
  <c r="AF114" i="90"/>
  <c r="AG114" i="90"/>
  <c r="AH114" i="90"/>
  <c r="AJ114" i="90"/>
  <c r="AK114" i="90"/>
  <c r="AL114" i="90"/>
  <c r="AN114" i="90"/>
  <c r="AP114" i="90"/>
  <c r="AQ114" i="90"/>
  <c r="AR114" i="90"/>
  <c r="AT114" i="90"/>
  <c r="AU114" i="90"/>
  <c r="AV114" i="90"/>
  <c r="AX114" i="90"/>
  <c r="AZ114" i="90"/>
  <c r="BB114" i="90"/>
  <c r="BD114" i="90"/>
  <c r="F116" i="90"/>
  <c r="G116" i="90"/>
  <c r="H116" i="90"/>
  <c r="J116" i="90"/>
  <c r="K116" i="90"/>
  <c r="L116" i="90"/>
  <c r="N116" i="90"/>
  <c r="O116" i="90"/>
  <c r="P116" i="90"/>
  <c r="R116" i="90"/>
  <c r="S116" i="90"/>
  <c r="T116" i="90"/>
  <c r="V116" i="90"/>
  <c r="W116" i="90"/>
  <c r="X116" i="90"/>
  <c r="Z116" i="90"/>
  <c r="AB116" i="90"/>
  <c r="AC116" i="90"/>
  <c r="AD116" i="90"/>
  <c r="AF116" i="90"/>
  <c r="AG116" i="90"/>
  <c r="AH116" i="90"/>
  <c r="AJ116" i="90"/>
  <c r="AK116" i="90"/>
  <c r="AL116" i="90"/>
  <c r="AN116" i="90"/>
  <c r="AP116" i="90"/>
  <c r="AQ116" i="90"/>
  <c r="AR116" i="90"/>
  <c r="AT116" i="90"/>
  <c r="AU116" i="90"/>
  <c r="AV116" i="90"/>
  <c r="AX116" i="90"/>
  <c r="AZ116" i="90"/>
  <c r="BB116" i="90"/>
  <c r="BD116" i="90"/>
  <c r="E108" i="90"/>
  <c r="E109" i="90"/>
  <c r="E110" i="90"/>
  <c r="E111" i="90"/>
  <c r="E112" i="90"/>
  <c r="E113" i="90"/>
  <c r="E114" i="90"/>
  <c r="E116" i="90"/>
  <c r="E107" i="90"/>
  <c r="C108" i="90"/>
  <c r="C109" i="90"/>
  <c r="C110" i="90"/>
  <c r="C111" i="90"/>
  <c r="C112" i="90"/>
  <c r="C113" i="90"/>
  <c r="C114" i="90"/>
  <c r="C107" i="90"/>
  <c r="BA119" i="90" l="1"/>
  <c r="BA108" i="90"/>
  <c r="BA107" i="90"/>
  <c r="AZ147" i="6"/>
  <c r="AZ145" i="6"/>
  <c r="AZ197" i="6"/>
  <c r="BE113" i="90"/>
  <c r="BE111" i="90"/>
  <c r="BA109" i="90"/>
  <c r="BC109" i="90" s="1"/>
  <c r="BE112" i="90"/>
  <c r="BE108" i="90"/>
  <c r="BE110" i="90"/>
  <c r="BC110" i="90"/>
  <c r="BE109" i="90"/>
  <c r="BE107" i="90"/>
  <c r="BE116" i="90"/>
  <c r="BE114" i="90"/>
  <c r="BA116" i="90"/>
  <c r="BA114" i="90"/>
  <c r="BA113" i="90"/>
  <c r="BA112" i="90"/>
  <c r="BA111" i="90"/>
  <c r="BC111" i="90" s="1"/>
  <c r="AZ164" i="6"/>
  <c r="AZ19" i="6"/>
  <c r="AZ168" i="6"/>
  <c r="AL91" i="10"/>
  <c r="AZ146" i="6" l="1"/>
  <c r="AZ7" i="36" s="1"/>
  <c r="BC8" i="59" s="1"/>
  <c r="BC15" i="59"/>
  <c r="AZ37" i="6"/>
  <c r="AZ38" i="6"/>
  <c r="AZ40" i="6"/>
  <c r="AZ39" i="6"/>
  <c r="AZ81" i="6"/>
  <c r="AZ84" i="6"/>
  <c r="AU92" i="77"/>
  <c r="AU91" i="77"/>
  <c r="AU90" i="77"/>
  <c r="AQ92" i="77"/>
  <c r="AQ91" i="77"/>
  <c r="AQ90" i="77"/>
  <c r="AK83" i="77"/>
  <c r="AK82" i="77"/>
  <c r="AK81" i="77"/>
  <c r="AK80" i="77"/>
  <c r="AG83" i="77"/>
  <c r="AG82" i="77"/>
  <c r="AG81" i="77"/>
  <c r="AG80" i="77"/>
  <c r="AC83" i="77"/>
  <c r="AC82" i="77"/>
  <c r="AC81" i="77"/>
  <c r="AC80" i="77"/>
  <c r="AU83" i="77"/>
  <c r="AU82" i="77"/>
  <c r="AU81" i="77"/>
  <c r="AU80" i="77"/>
  <c r="AQ83" i="77"/>
  <c r="AQ82" i="77"/>
  <c r="AQ81" i="77"/>
  <c r="AQ80" i="77"/>
  <c r="AZ41" i="6" l="1"/>
  <c r="AU17" i="72" l="1"/>
  <c r="BC17" i="72" s="1"/>
  <c r="AW228" i="73" l="1"/>
  <c r="BE228" i="73" s="1"/>
  <c r="AU227" i="73"/>
  <c r="BA227" i="73" s="1"/>
  <c r="AW232" i="73"/>
  <c r="BE232" i="73" s="1"/>
  <c r="AW227" i="73" l="1"/>
  <c r="BE227" i="73" s="1"/>
  <c r="BA19" i="71" l="1"/>
  <c r="AW19" i="71"/>
  <c r="AU19" i="71"/>
  <c r="AU22" i="71"/>
  <c r="P126" i="10" l="1"/>
  <c r="T76" i="10"/>
  <c r="T72" i="10"/>
  <c r="AH144" i="10"/>
  <c r="AH12" i="10"/>
  <c r="AL114" i="10"/>
  <c r="AL105" i="10"/>
  <c r="AL153" i="10"/>
  <c r="AL145" i="10"/>
  <c r="AL24" i="10"/>
  <c r="AL147" i="10"/>
  <c r="AL68" i="10"/>
  <c r="AL58" i="10" l="1"/>
  <c r="AL57" i="10"/>
  <c r="AV57" i="10"/>
  <c r="AX109" i="9" l="1"/>
  <c r="AW71" i="83" l="1"/>
  <c r="AW4" i="83"/>
  <c r="AW5" i="83"/>
  <c r="AW6" i="83"/>
  <c r="AW7" i="83"/>
  <c r="AW8" i="83"/>
  <c r="AW10" i="83"/>
  <c r="AW11" i="83"/>
  <c r="AW12" i="83"/>
  <c r="AW13" i="83"/>
  <c r="AW14" i="83"/>
  <c r="AW15" i="83"/>
  <c r="AW16" i="83"/>
  <c r="AW17" i="83"/>
  <c r="AW18" i="83"/>
  <c r="AW19" i="83"/>
  <c r="AW20" i="83"/>
  <c r="AW21" i="83"/>
  <c r="AW22" i="83"/>
  <c r="AW23" i="83"/>
  <c r="AW25" i="83"/>
  <c r="AW26" i="83"/>
  <c r="AW27" i="83"/>
  <c r="AW28" i="83"/>
  <c r="AW30" i="83"/>
  <c r="AW31" i="83"/>
  <c r="AW32" i="83"/>
  <c r="AW33" i="83"/>
  <c r="AW34" i="83"/>
  <c r="AW35" i="83"/>
  <c r="AW36" i="83"/>
  <c r="AW37" i="83"/>
  <c r="AW39" i="83"/>
  <c r="AW40" i="83"/>
  <c r="AW41" i="83"/>
  <c r="AW42" i="83"/>
  <c r="AW43" i="83"/>
  <c r="AW44" i="83"/>
  <c r="AW46" i="83"/>
  <c r="AW47" i="83"/>
  <c r="AW48" i="83"/>
  <c r="AW49" i="83"/>
  <c r="AW50" i="83"/>
  <c r="AW52" i="83"/>
  <c r="AW53" i="83"/>
  <c r="AW54" i="83"/>
  <c r="AW55" i="83"/>
  <c r="AW56" i="83"/>
  <c r="AW57" i="83"/>
  <c r="AW58" i="83"/>
  <c r="AW59" i="83"/>
  <c r="AW60" i="83"/>
  <c r="AW61" i="83"/>
  <c r="AW62" i="83"/>
  <c r="AW63" i="83"/>
  <c r="AW64" i="83"/>
  <c r="AW65" i="83"/>
  <c r="AW66" i="83"/>
  <c r="AW67" i="83"/>
  <c r="AW68" i="83"/>
  <c r="AW70" i="83"/>
  <c r="AW72" i="83"/>
  <c r="AW73" i="83"/>
  <c r="AW74" i="83"/>
  <c r="AW75" i="83"/>
  <c r="AW45" i="83" l="1"/>
  <c r="AW69" i="83"/>
  <c r="AW51" i="83"/>
  <c r="AW76" i="83"/>
  <c r="AR155" i="10" l="1"/>
  <c r="AR105" i="10"/>
  <c r="AR24" i="10"/>
  <c r="AR145" i="10"/>
  <c r="AR33" i="10"/>
  <c r="AV33" i="10" l="1"/>
  <c r="AV25" i="10"/>
  <c r="AV12" i="10"/>
  <c r="AW9" i="83" s="1"/>
  <c r="AV9" i="10"/>
  <c r="AW29" i="83" s="1"/>
  <c r="AV68" i="10"/>
  <c r="AW24" i="83" s="1"/>
  <c r="AW38" i="83" l="1"/>
  <c r="AW77" i="83" s="1"/>
  <c r="AU37" i="27"/>
  <c r="AU35" i="27"/>
  <c r="AU29" i="27"/>
  <c r="AU28" i="27"/>
  <c r="AU27" i="27"/>
  <c r="AU20" i="27"/>
  <c r="AU19" i="27"/>
  <c r="AU18" i="27"/>
  <c r="AT21" i="27"/>
  <c r="AT39" i="27" l="1"/>
  <c r="AU36" i="27"/>
  <c r="AU39" i="27" s="1"/>
  <c r="AT33" i="27"/>
  <c r="AU26" i="27"/>
  <c r="AU33" i="27" s="1"/>
  <c r="AU22" i="27"/>
  <c r="AU21" i="27"/>
  <c r="AU24" i="27"/>
  <c r="AT18" i="27"/>
  <c r="AT24" i="27" s="1"/>
  <c r="AV29" i="22" l="1"/>
  <c r="AV25" i="22"/>
  <c r="AV27" i="22" s="1"/>
  <c r="AV24" i="22"/>
  <c r="AV14" i="22"/>
  <c r="AV10" i="22"/>
  <c r="AV12" i="22" s="1"/>
  <c r="AV9" i="22"/>
  <c r="CK31" i="71" l="1"/>
  <c r="CM31" i="71" l="1"/>
  <c r="CU31" i="71"/>
  <c r="CQ31" i="71"/>
  <c r="CS31" i="71" s="1"/>
  <c r="AS77" i="73"/>
  <c r="AW77" i="73" s="1"/>
  <c r="BE77" i="73" s="1"/>
  <c r="AS78" i="73"/>
  <c r="AW78" i="73" s="1"/>
  <c r="BE78" i="73" s="1"/>
  <c r="AS58" i="73"/>
  <c r="AW58" i="73" s="1"/>
  <c r="BE58" i="73" s="1"/>
  <c r="AW89" i="73" l="1"/>
  <c r="BE89" i="73" s="1"/>
  <c r="AW86" i="73"/>
  <c r="BE86" i="73" s="1"/>
  <c r="AW39" i="73"/>
  <c r="BE39" i="73" s="1"/>
  <c r="AW225" i="73"/>
  <c r="BE225" i="73" s="1"/>
  <c r="AW152" i="73"/>
  <c r="BE152" i="73" s="1"/>
  <c r="AW202" i="73" l="1"/>
  <c r="AW203" i="73"/>
  <c r="BE203" i="73" s="1"/>
  <c r="BE202" i="73" l="1"/>
  <c r="BE201" i="73" s="1"/>
  <c r="AW201" i="73"/>
  <c r="AV64" i="11"/>
  <c r="AX21" i="10"/>
  <c r="AX22" i="10"/>
  <c r="BF22" i="10" s="1"/>
  <c r="BF21" i="10" l="1"/>
  <c r="AU72" i="36"/>
  <c r="AU71" i="36"/>
  <c r="AU69" i="36"/>
  <c r="AU61" i="36" s="1"/>
  <c r="AU63" i="36" s="1"/>
  <c r="AU67" i="36"/>
  <c r="AU59" i="36" s="1"/>
  <c r="AU66" i="36"/>
  <c r="AV64" i="36"/>
  <c r="AV72" i="36" s="1"/>
  <c r="AU64" i="36"/>
  <c r="AV62" i="36"/>
  <c r="AV70" i="36" s="1"/>
  <c r="AV61" i="36"/>
  <c r="AV59" i="36"/>
  <c r="AV67" i="36" s="1"/>
  <c r="AV58" i="36"/>
  <c r="AV66" i="36" s="1"/>
  <c r="AV56" i="36"/>
  <c r="AV33" i="36"/>
  <c r="AU33" i="36"/>
  <c r="AU29" i="36"/>
  <c r="AU28" i="36"/>
  <c r="AU23" i="36"/>
  <c r="AU22" i="36"/>
  <c r="AU21" i="36"/>
  <c r="AU17" i="36"/>
  <c r="AV16" i="36"/>
  <c r="AU16" i="36"/>
  <c r="AU13" i="36"/>
  <c r="AV12" i="36"/>
  <c r="AV11" i="36"/>
  <c r="AV10" i="36"/>
  <c r="AU9" i="36"/>
  <c r="AU8" i="36"/>
  <c r="AU7" i="36"/>
  <c r="AU5" i="36"/>
  <c r="AU68" i="36" l="1"/>
  <c r="AU56" i="36"/>
  <c r="AV63" i="36"/>
  <c r="AU57" i="36"/>
  <c r="AU58" i="36"/>
  <c r="AU60" i="36" s="1"/>
  <c r="AV13" i="36"/>
  <c r="AV68" i="36"/>
  <c r="AV69" i="36"/>
  <c r="AV71" i="36" s="1"/>
  <c r="AV40" i="36"/>
  <c r="AV60" i="36"/>
  <c r="AV19" i="36" l="1"/>
  <c r="AV109" i="8" l="1"/>
  <c r="AV110" i="8" s="1"/>
  <c r="AV94" i="8"/>
  <c r="AV91" i="8"/>
  <c r="AV89" i="8"/>
  <c r="AV88" i="8"/>
  <c r="AU87" i="8"/>
  <c r="AU82" i="8"/>
  <c r="AV80" i="8"/>
  <c r="AV75" i="8"/>
  <c r="AU74" i="8"/>
  <c r="AU73" i="8"/>
  <c r="AU72" i="8"/>
  <c r="AU71" i="8"/>
  <c r="AV68" i="8"/>
  <c r="AV66" i="8"/>
  <c r="AV64" i="8"/>
  <c r="AV61" i="8"/>
  <c r="AV58" i="8"/>
  <c r="AV62" i="8" s="1"/>
  <c r="AU52" i="8"/>
  <c r="AV49" i="8"/>
  <c r="AU49" i="8"/>
  <c r="AU46" i="8"/>
  <c r="AU45" i="8"/>
  <c r="AU44" i="8"/>
  <c r="AU43" i="8"/>
  <c r="AU41" i="8"/>
  <c r="AU40" i="8"/>
  <c r="AU39" i="8"/>
  <c r="AV26" i="8"/>
  <c r="AV17" i="8"/>
  <c r="AU17" i="8"/>
  <c r="AU15" i="8"/>
  <c r="AU14" i="8"/>
  <c r="AV13" i="8"/>
  <c r="AU13" i="8"/>
  <c r="AV6" i="8"/>
  <c r="AU6" i="8"/>
  <c r="AU27" i="8" s="1"/>
  <c r="AU23" i="8" l="1"/>
  <c r="AU24" i="8"/>
  <c r="AV16" i="8"/>
  <c r="AU16" i="8"/>
  <c r="AU42" i="8"/>
  <c r="AU50" i="8"/>
  <c r="AU51" i="8" s="1"/>
  <c r="AV65" i="8"/>
  <c r="AV67" i="8"/>
  <c r="AV37" i="8" s="1"/>
  <c r="AV69" i="8"/>
  <c r="AV36" i="8" s="1"/>
  <c r="AV59" i="8"/>
  <c r="AV82" i="8"/>
  <c r="AV92" i="8"/>
  <c r="AV52" i="8"/>
  <c r="AV121" i="8" s="1"/>
  <c r="AU25" i="8"/>
  <c r="AU28" i="8"/>
  <c r="AV47" i="8"/>
  <c r="AV50" i="8"/>
  <c r="AV78" i="8" s="1"/>
  <c r="AU65" i="8"/>
  <c r="AU85" i="8"/>
  <c r="AU29" i="8"/>
  <c r="AV39" i="8"/>
  <c r="AV41" i="8"/>
  <c r="AV43" i="8"/>
  <c r="AV136" i="8" s="1"/>
  <c r="AV45" i="8"/>
  <c r="AU59" i="8"/>
  <c r="AV86" i="8"/>
  <c r="AV111" i="8"/>
  <c r="AV112" i="8" s="1"/>
  <c r="AV53" i="8" s="1"/>
  <c r="AV123" i="8" s="1"/>
  <c r="AU30" i="8"/>
  <c r="AU31" i="8"/>
  <c r="AV40" i="8"/>
  <c r="AV44" i="8"/>
  <c r="AV137" i="8" s="1"/>
  <c r="AV46" i="8"/>
  <c r="AV138" i="8" s="1"/>
  <c r="AU128" i="26"/>
  <c r="AT128" i="26"/>
  <c r="AU112" i="26"/>
  <c r="AT110" i="26"/>
  <c r="AT108" i="26"/>
  <c r="AT106" i="26"/>
  <c r="AT104" i="26"/>
  <c r="AT102" i="26"/>
  <c r="AT100" i="26"/>
  <c r="AT98" i="26"/>
  <c r="AT96" i="26"/>
  <c r="AU92" i="26"/>
  <c r="AT89" i="26"/>
  <c r="AT87" i="26"/>
  <c r="AT85" i="26"/>
  <c r="AT83" i="26"/>
  <c r="AU81" i="26"/>
  <c r="AU80" i="26"/>
  <c r="AT78" i="26"/>
  <c r="AT76" i="26"/>
  <c r="AU73" i="26"/>
  <c r="AT71" i="26"/>
  <c r="AT69" i="26"/>
  <c r="AT67" i="26"/>
  <c r="AT65" i="26"/>
  <c r="AT63" i="26"/>
  <c r="AT61" i="26"/>
  <c r="AT59" i="26"/>
  <c r="AT57" i="26"/>
  <c r="AT52" i="26"/>
  <c r="AT50" i="26"/>
  <c r="AU48" i="26"/>
  <c r="AT46" i="26"/>
  <c r="AU43" i="26"/>
  <c r="AT41" i="26"/>
  <c r="AT39" i="26"/>
  <c r="AT37" i="26"/>
  <c r="AT35" i="26"/>
  <c r="AT33" i="26"/>
  <c r="AT31" i="26"/>
  <c r="AT29" i="26"/>
  <c r="AT27" i="26"/>
  <c r="AT25" i="26"/>
  <c r="AT23" i="26"/>
  <c r="AT21" i="26"/>
  <c r="AT17" i="26"/>
  <c r="AT15" i="26"/>
  <c r="AU12" i="26"/>
  <c r="AT11" i="26"/>
  <c r="AT9" i="26"/>
  <c r="AU31" i="15"/>
  <c r="AU30" i="15"/>
  <c r="AU29" i="15"/>
  <c r="AU25" i="15"/>
  <c r="AU24" i="15"/>
  <c r="AU23" i="15"/>
  <c r="AU22" i="15"/>
  <c r="AU21" i="15"/>
  <c r="AT19" i="15"/>
  <c r="AU18" i="15"/>
  <c r="AT18" i="15"/>
  <c r="AU15" i="15"/>
  <c r="AT12" i="15"/>
  <c r="AT13" i="15" s="1"/>
  <c r="AU11" i="15"/>
  <c r="AU10" i="15"/>
  <c r="AU9" i="15"/>
  <c r="AT9" i="15"/>
  <c r="AU8" i="15"/>
  <c r="AT8" i="15"/>
  <c r="AU7" i="15"/>
  <c r="AT7" i="15"/>
  <c r="AU6" i="15"/>
  <c r="AT6" i="15"/>
  <c r="AU5" i="15"/>
  <c r="AT5" i="15"/>
  <c r="AV122" i="8" l="1"/>
  <c r="AV126" i="8"/>
  <c r="AV127" i="8" s="1"/>
  <c r="AV139" i="8"/>
  <c r="AV124" i="8"/>
  <c r="AV73" i="8"/>
  <c r="AV51" i="8"/>
  <c r="AU63" i="8"/>
  <c r="AU89" i="8"/>
  <c r="AU109" i="8"/>
  <c r="AU110" i="8" s="1"/>
  <c r="AV63" i="8"/>
  <c r="AV35" i="8" s="1"/>
  <c r="AT48" i="26"/>
  <c r="AT55" i="26" s="1"/>
  <c r="AU88" i="8"/>
  <c r="AU55" i="26"/>
  <c r="AU34" i="8"/>
  <c r="AV74" i="8"/>
  <c r="AU19" i="26"/>
  <c r="AV72" i="8"/>
  <c r="AT15" i="15"/>
  <c r="AT16" i="15" s="1"/>
  <c r="AV34" i="8"/>
  <c r="AU32" i="15"/>
  <c r="AU36" i="15" s="1"/>
  <c r="AU16" i="15" s="1"/>
  <c r="AU17" i="15" s="1"/>
  <c r="AU26" i="8"/>
  <c r="AV42" i="8"/>
  <c r="AU69" i="8"/>
  <c r="AU67" i="8"/>
  <c r="AT92" i="26"/>
  <c r="AT81" i="26"/>
  <c r="AT80" i="26"/>
  <c r="AT112" i="26"/>
  <c r="AT73" i="26"/>
  <c r="AT43" i="26"/>
  <c r="AT12" i="26"/>
  <c r="AU13" i="26"/>
  <c r="AU18" i="26"/>
  <c r="AU49" i="26"/>
  <c r="AU54" i="26"/>
  <c r="AT44" i="17"/>
  <c r="AT54" i="26" l="1"/>
  <c r="AV71" i="8"/>
  <c r="AT49" i="26"/>
  <c r="AV70" i="8"/>
  <c r="AV131" i="8"/>
  <c r="AV144" i="8" s="1"/>
  <c r="AV130" i="8"/>
  <c r="AV132" i="8"/>
  <c r="AV145" i="8" s="1"/>
  <c r="AU111" i="8"/>
  <c r="AU112" i="8" s="1"/>
  <c r="AU37" i="8"/>
  <c r="AU35" i="8"/>
  <c r="AU36" i="8"/>
  <c r="AT13" i="26"/>
  <c r="AT19" i="26"/>
  <c r="AT18" i="26"/>
  <c r="AU57" i="17"/>
  <c r="AU56" i="17"/>
  <c r="AU55" i="17"/>
  <c r="AU54" i="17"/>
  <c r="AU53" i="17"/>
  <c r="AT53" i="17"/>
  <c r="AU49" i="17"/>
  <c r="AT49" i="17"/>
  <c r="AU44" i="17"/>
  <c r="AU37" i="17"/>
  <c r="AU39" i="17" s="1"/>
  <c r="AT37" i="17"/>
  <c r="AT39" i="17" s="1"/>
  <c r="AT31" i="17"/>
  <c r="AU29" i="17"/>
  <c r="AU30" i="17" s="1"/>
  <c r="AT28" i="17"/>
  <c r="AT25" i="17"/>
  <c r="AU22" i="17"/>
  <c r="AU23" i="17" s="1"/>
  <c r="AT22" i="17"/>
  <c r="AU19" i="17"/>
  <c r="AT18" i="17"/>
  <c r="AU17" i="17"/>
  <c r="AT16" i="17"/>
  <c r="AU14" i="17"/>
  <c r="AU15" i="17" s="1"/>
  <c r="AT14" i="17"/>
  <c r="AU13" i="17"/>
  <c r="AU11" i="17"/>
  <c r="AU9" i="17"/>
  <c r="AT29" i="17" l="1"/>
  <c r="AV133" i="8"/>
  <c r="AV146" i="8" s="1"/>
  <c r="AV143" i="8"/>
  <c r="AT20" i="17"/>
  <c r="AT30" i="17"/>
  <c r="AT32" i="17"/>
  <c r="AU20" i="17"/>
  <c r="AU32" i="17"/>
  <c r="AZ94" i="38"/>
  <c r="AZ93" i="38"/>
  <c r="AZ92" i="38"/>
  <c r="AZ91" i="38"/>
  <c r="AY90" i="38"/>
  <c r="AZ89" i="38"/>
  <c r="AY88" i="38"/>
  <c r="AZ86" i="38"/>
  <c r="AZ85" i="38"/>
  <c r="AZ84" i="38"/>
  <c r="AZ83" i="38"/>
  <c r="AY82" i="38"/>
  <c r="AZ80" i="38"/>
  <c r="AZ79" i="38"/>
  <c r="AZ78" i="38"/>
  <c r="AZ77" i="38"/>
  <c r="AZ76" i="38"/>
  <c r="AZ75" i="38"/>
  <c r="AZ74" i="38"/>
  <c r="AZ73" i="38"/>
  <c r="AZ72" i="38"/>
  <c r="AZ71" i="38"/>
  <c r="AZ70" i="38"/>
  <c r="AZ69" i="38"/>
  <c r="AZ68" i="38"/>
  <c r="AZ67" i="38"/>
  <c r="AY66" i="38"/>
  <c r="AZ62" i="38"/>
  <c r="AZ61" i="38"/>
  <c r="AY60" i="38"/>
  <c r="AZ59" i="38"/>
  <c r="AZ58" i="38"/>
  <c r="AZ57" i="38"/>
  <c r="AZ56" i="38"/>
  <c r="AZ55" i="38"/>
  <c r="AY54" i="38"/>
  <c r="AY52" i="38"/>
  <c r="AZ51" i="38"/>
  <c r="AY51" i="38"/>
  <c r="AY46" i="38"/>
  <c r="AY45" i="38"/>
  <c r="AY44" i="38"/>
  <c r="AY43" i="38"/>
  <c r="AZ42" i="38"/>
  <c r="AZ90" i="38" s="1"/>
  <c r="AY41" i="38"/>
  <c r="AY40" i="38" s="1"/>
  <c r="AZ40" i="38"/>
  <c r="AZ88" i="38" s="1"/>
  <c r="AY38" i="38"/>
  <c r="AY37" i="38"/>
  <c r="AY36" i="38"/>
  <c r="AY35" i="38"/>
  <c r="AZ34" i="38"/>
  <c r="AZ82" i="38" s="1"/>
  <c r="AY32" i="38"/>
  <c r="AY31" i="38"/>
  <c r="AY30" i="38"/>
  <c r="AY29" i="38"/>
  <c r="AY28" i="38"/>
  <c r="AY27" i="38"/>
  <c r="AY26" i="38"/>
  <c r="AY25" i="38"/>
  <c r="AY24" i="38"/>
  <c r="AY23" i="38"/>
  <c r="AY22" i="38"/>
  <c r="AU91" i="8" s="1"/>
  <c r="AU92" i="8" s="1"/>
  <c r="AY21" i="38"/>
  <c r="AY20" i="38"/>
  <c r="AY19" i="38"/>
  <c r="AZ18" i="38"/>
  <c r="AY14" i="38"/>
  <c r="AY13" i="38"/>
  <c r="AZ12" i="38"/>
  <c r="AY11" i="38"/>
  <c r="AY10" i="38"/>
  <c r="AY9" i="38"/>
  <c r="AY8" i="38"/>
  <c r="AY7" i="38"/>
  <c r="AZ6" i="38"/>
  <c r="AZ54" i="38" s="1"/>
  <c r="AS48" i="72"/>
  <c r="AS40" i="72"/>
  <c r="AS27" i="72"/>
  <c r="AS20" i="72"/>
  <c r="CK57" i="71"/>
  <c r="CK56" i="71"/>
  <c r="AU85" i="90" s="1"/>
  <c r="CK55" i="71"/>
  <c r="CK54" i="71"/>
  <c r="CK53" i="71"/>
  <c r="CK52" i="71"/>
  <c r="AU84" i="90" s="1"/>
  <c r="CK51" i="71"/>
  <c r="AU83" i="90" s="1"/>
  <c r="CK49" i="71"/>
  <c r="AU81" i="90" s="1"/>
  <c r="CK48" i="71"/>
  <c r="AU80" i="90" s="1"/>
  <c r="CK47" i="71"/>
  <c r="AU79" i="90" s="1"/>
  <c r="CK46" i="71"/>
  <c r="CK45" i="71"/>
  <c r="AU78" i="90" s="1"/>
  <c r="CK44" i="71"/>
  <c r="CK43" i="71"/>
  <c r="AU77" i="90" s="1"/>
  <c r="CK42" i="71"/>
  <c r="AU76" i="90" s="1"/>
  <c r="CK41" i="71"/>
  <c r="CK40" i="71"/>
  <c r="CK39" i="71"/>
  <c r="CK38" i="71"/>
  <c r="AU74" i="90" s="1"/>
  <c r="CK37" i="71"/>
  <c r="CK36" i="71"/>
  <c r="CK35" i="71"/>
  <c r="CK34" i="71"/>
  <c r="CK33" i="71"/>
  <c r="CK32" i="71"/>
  <c r="CK30" i="71"/>
  <c r="CK29" i="71"/>
  <c r="CK28" i="71"/>
  <c r="CK27" i="71"/>
  <c r="AU73" i="90" s="1"/>
  <c r="CK26" i="71"/>
  <c r="CK25" i="71"/>
  <c r="CK23" i="71"/>
  <c r="CK22" i="71"/>
  <c r="AU72" i="90" s="1"/>
  <c r="CK21" i="71"/>
  <c r="AU71" i="90" s="1"/>
  <c r="CK20" i="71"/>
  <c r="AU70" i="90" s="1"/>
  <c r="CK19" i="71"/>
  <c r="AU69" i="90" s="1"/>
  <c r="CK18" i="71"/>
  <c r="CK17" i="71"/>
  <c r="CK16" i="71"/>
  <c r="CK15" i="71"/>
  <c r="CK14" i="71"/>
  <c r="CK13" i="71"/>
  <c r="CK12" i="71"/>
  <c r="CK11" i="71"/>
  <c r="CK10" i="71"/>
  <c r="CK9" i="71"/>
  <c r="AU68" i="90" s="1"/>
  <c r="CK8" i="71"/>
  <c r="CK7" i="71"/>
  <c r="AY42" i="38" l="1"/>
  <c r="AT24" i="17"/>
  <c r="AZ66" i="38"/>
  <c r="AZ60" i="38"/>
  <c r="AY34" i="38"/>
  <c r="AY12" i="38"/>
  <c r="AY18" i="38"/>
  <c r="AY17" i="38" s="1"/>
  <c r="AU24" i="17"/>
  <c r="AU21" i="17"/>
  <c r="AY87" i="38"/>
  <c r="AY39" i="38"/>
  <c r="AY65" i="38"/>
  <c r="AY63" i="38"/>
  <c r="AY6" i="38"/>
  <c r="AZ39" i="38"/>
  <c r="AZ87" i="38" s="1"/>
  <c r="AZ17" i="38"/>
  <c r="AZ15" i="38"/>
  <c r="AS51" i="72"/>
  <c r="AS53" i="72" s="1"/>
  <c r="AY64" i="38" l="1"/>
  <c r="AY16" i="38"/>
  <c r="AV26" i="36"/>
  <c r="AY15" i="38"/>
  <c r="AZ65" i="38"/>
  <c r="AU25" i="17"/>
  <c r="AY96" i="38"/>
  <c r="AY48" i="38"/>
  <c r="AZ16" i="38"/>
  <c r="AZ48" i="38" s="1"/>
  <c r="AZ63" i="38"/>
  <c r="AZ64" i="38" l="1"/>
  <c r="AZ96" i="38" s="1"/>
  <c r="AW157" i="45"/>
  <c r="AW156" i="45"/>
  <c r="AW154" i="45"/>
  <c r="AW148" i="45"/>
  <c r="AW143" i="45"/>
  <c r="AW142" i="45"/>
  <c r="AV142" i="45"/>
  <c r="AW141" i="45"/>
  <c r="AW140" i="45"/>
  <c r="AW138" i="45"/>
  <c r="AV138" i="45"/>
  <c r="AW136" i="45"/>
  <c r="AV136" i="45"/>
  <c r="AW134" i="45"/>
  <c r="AV134" i="45"/>
  <c r="AW131" i="45"/>
  <c r="AV131" i="45"/>
  <c r="AW129" i="45"/>
  <c r="AW126" i="45" s="1"/>
  <c r="AW122" i="45"/>
  <c r="AW159" i="45" s="1"/>
  <c r="AW121" i="45"/>
  <c r="AW123" i="45" s="1"/>
  <c r="AV23" i="36" s="1"/>
  <c r="AV121" i="45"/>
  <c r="AW120" i="45"/>
  <c r="AW158" i="45" s="1"/>
  <c r="AW160" i="45" s="1"/>
  <c r="AV91" i="11"/>
  <c r="AV89" i="11"/>
  <c r="AV83" i="11"/>
  <c r="AV78" i="11"/>
  <c r="AV77" i="11"/>
  <c r="AU77" i="11"/>
  <c r="AV76" i="11"/>
  <c r="AV75" i="11"/>
  <c r="AV73" i="11"/>
  <c r="AU73" i="11"/>
  <c r="AV71" i="11"/>
  <c r="AU71" i="11"/>
  <c r="AV69" i="11"/>
  <c r="AU69" i="11"/>
  <c r="AV66" i="11"/>
  <c r="AU66" i="11"/>
  <c r="AV61" i="11"/>
  <c r="AV59" i="11"/>
  <c r="AV57" i="11"/>
  <c r="AV93" i="11" s="1"/>
  <c r="AV56" i="11"/>
  <c r="AU56" i="11"/>
  <c r="AU58" i="11" s="1"/>
  <c r="AV55" i="11"/>
  <c r="AV92" i="11" s="1"/>
  <c r="AU55" i="11" l="1"/>
  <c r="AU74" i="11"/>
  <c r="AW155" i="45"/>
  <c r="AV132" i="45"/>
  <c r="AW132" i="45"/>
  <c r="AV123" i="45"/>
  <c r="AV84" i="11"/>
  <c r="AV67" i="11"/>
  <c r="AV58" i="11"/>
  <c r="AV22" i="36" s="1"/>
  <c r="AU67" i="11"/>
  <c r="AV120" i="45"/>
  <c r="AV139" i="45"/>
  <c r="AV60" i="11"/>
  <c r="AW139" i="45"/>
  <c r="AV124" i="45"/>
  <c r="AW149" i="45"/>
  <c r="AW124" i="45"/>
  <c r="AW125" i="45" s="1"/>
  <c r="AV144" i="45"/>
  <c r="AW150" i="45"/>
  <c r="AW144" i="45"/>
  <c r="AV74" i="11"/>
  <c r="AV94" i="11"/>
  <c r="AU79" i="11"/>
  <c r="AV85" i="11"/>
  <c r="AU97" i="11"/>
  <c r="AV79" i="11"/>
  <c r="AV90" i="11"/>
  <c r="AV190" i="10" l="1"/>
  <c r="AV188" i="10"/>
  <c r="AV182" i="10"/>
  <c r="AV177" i="10"/>
  <c r="AV176" i="10"/>
  <c r="AU176" i="10"/>
  <c r="AV175" i="10"/>
  <c r="AV174" i="10"/>
  <c r="AV172" i="10"/>
  <c r="AU172" i="10"/>
  <c r="AV170" i="10"/>
  <c r="AU170" i="10"/>
  <c r="AV168" i="10"/>
  <c r="AU168" i="10"/>
  <c r="AV165" i="10"/>
  <c r="AU165" i="10"/>
  <c r="AV160" i="10"/>
  <c r="AU159" i="10"/>
  <c r="AV158" i="10"/>
  <c r="AV210" i="10" s="1"/>
  <c r="AU104" i="9"/>
  <c r="AU102" i="9"/>
  <c r="AU101" i="9"/>
  <c r="AV99" i="9"/>
  <c r="AU99" i="9"/>
  <c r="AV98" i="9"/>
  <c r="AV97" i="9"/>
  <c r="AV93" i="9"/>
  <c r="AU90" i="9"/>
  <c r="AU89" i="9"/>
  <c r="AU76" i="9"/>
  <c r="AU77" i="9" s="1"/>
  <c r="AU74" i="9"/>
  <c r="AV60" i="9"/>
  <c r="AV57" i="9"/>
  <c r="AU53" i="9"/>
  <c r="AU52" i="9"/>
  <c r="AU51" i="9"/>
  <c r="AU47" i="9"/>
  <c r="AV46" i="9"/>
  <c r="AV36" i="9"/>
  <c r="AV48" i="9" s="1"/>
  <c r="AV35" i="9"/>
  <c r="AV47" i="9" s="1"/>
  <c r="AV34" i="9"/>
  <c r="AV31" i="9"/>
  <c r="AV25" i="9"/>
  <c r="AU24" i="9"/>
  <c r="AU22" i="9"/>
  <c r="AV19" i="9"/>
  <c r="AV57" i="36" s="1"/>
  <c r="AV17" i="36" s="1"/>
  <c r="AV18" i="36" s="1"/>
  <c r="AV10" i="9"/>
  <c r="AV5" i="9"/>
  <c r="AV34" i="22" s="1"/>
  <c r="AU5" i="9"/>
  <c r="AU166" i="10" l="1"/>
  <c r="AV183" i="10"/>
  <c r="AV166" i="10"/>
  <c r="AU203" i="10"/>
  <c r="AU91" i="9"/>
  <c r="AU67" i="9"/>
  <c r="AU34" i="22"/>
  <c r="AT130" i="26"/>
  <c r="AU100" i="9"/>
  <c r="AV192" i="10"/>
  <c r="AU158" i="10"/>
  <c r="AU161" i="10"/>
  <c r="AU173" i="10"/>
  <c r="AV49" i="9"/>
  <c r="AV84" i="9" s="1"/>
  <c r="AV14" i="9"/>
  <c r="AV100" i="9"/>
  <c r="AV96" i="9"/>
  <c r="AU130" i="26"/>
  <c r="AV90" i="9"/>
  <c r="AV196" i="10"/>
  <c r="AV191" i="10"/>
  <c r="AV159" i="10"/>
  <c r="AV189" i="10"/>
  <c r="AV199" i="10"/>
  <c r="AU178" i="10"/>
  <c r="AV184" i="10"/>
  <c r="AV62" i="9"/>
  <c r="AU25" i="9"/>
  <c r="AU88" i="9" s="1"/>
  <c r="AV37" i="9"/>
  <c r="AU19" i="9"/>
  <c r="AU27" i="9"/>
  <c r="AU55" i="9"/>
  <c r="AU58" i="9"/>
  <c r="AU61" i="9"/>
  <c r="AU64" i="9"/>
  <c r="AU68" i="9"/>
  <c r="AV94" i="9"/>
  <c r="AU19" i="15" s="1"/>
  <c r="AU7" i="9"/>
  <c r="AU56" i="9"/>
  <c r="AU59" i="9"/>
  <c r="AU65" i="9"/>
  <c r="AU69" i="9"/>
  <c r="AV89" i="9"/>
  <c r="AU95" i="9"/>
  <c r="AU66" i="9"/>
  <c r="AU70" i="9"/>
  <c r="AU92" i="9"/>
  <c r="AU63" i="9"/>
  <c r="AV91" i="9" l="1"/>
  <c r="AV85" i="9"/>
  <c r="AV52" i="9"/>
  <c r="AV76" i="9"/>
  <c r="AV82" i="9"/>
  <c r="AV83" i="9"/>
  <c r="AV87" i="9"/>
  <c r="AV86" i="9"/>
  <c r="AV73" i="9"/>
  <c r="AV75" i="9"/>
  <c r="AV53" i="9"/>
  <c r="AV72" i="9"/>
  <c r="AV74" i="9" s="1"/>
  <c r="AV78" i="9"/>
  <c r="AV80" i="9"/>
  <c r="AU22" i="22"/>
  <c r="AU23" i="22" s="1"/>
  <c r="AU25" i="22" s="1"/>
  <c r="AU26" i="22" s="1"/>
  <c r="AU28" i="22" s="1"/>
  <c r="AU7" i="22"/>
  <c r="AU8" i="22" s="1"/>
  <c r="AU10" i="22" s="1"/>
  <c r="AU11" i="22" s="1"/>
  <c r="AU13" i="22" s="1"/>
  <c r="AV193" i="10"/>
  <c r="AV81" i="9"/>
  <c r="AV178" i="10"/>
  <c r="AV161" i="10"/>
  <c r="AV21" i="36" s="1"/>
  <c r="AV200" i="10"/>
  <c r="AV173" i="10"/>
  <c r="AU57" i="9"/>
  <c r="AU60" i="9"/>
  <c r="AV77" i="9" l="1"/>
  <c r="AU62" i="9"/>
  <c r="AV79" i="9"/>
  <c r="AU6" i="26" l="1"/>
  <c r="AU61" i="39" l="1"/>
  <c r="AV44" i="22" s="1"/>
  <c r="AU60" i="39"/>
  <c r="AV43" i="22" s="1"/>
  <c r="AU48" i="39"/>
  <c r="AU47" i="39"/>
  <c r="AU46" i="39"/>
  <c r="AU43" i="39"/>
  <c r="AU42" i="39"/>
  <c r="AU8" i="39"/>
  <c r="AV222" i="6"/>
  <c r="AU222" i="6"/>
  <c r="AV221" i="6"/>
  <c r="AU221" i="6"/>
  <c r="AU199" i="6"/>
  <c r="AV198" i="6"/>
  <c r="AU198" i="6"/>
  <c r="AU197" i="6"/>
  <c r="AV193" i="6"/>
  <c r="AU193" i="6"/>
  <c r="AV192" i="6"/>
  <c r="AV191" i="6"/>
  <c r="AU190" i="6"/>
  <c r="AU189" i="6"/>
  <c r="AU186" i="6"/>
  <c r="AU185" i="6"/>
  <c r="AU184" i="6"/>
  <c r="AU183" i="6"/>
  <c r="AU182" i="6"/>
  <c r="AU181" i="6"/>
  <c r="AU179" i="6"/>
  <c r="AU178" i="6"/>
  <c r="AU177" i="6"/>
  <c r="AV167" i="6"/>
  <c r="AU167" i="6"/>
  <c r="AV166" i="6"/>
  <c r="AU165" i="6"/>
  <c r="AU164" i="6"/>
  <c r="AU161" i="6"/>
  <c r="AU160" i="6"/>
  <c r="AU159" i="6"/>
  <c r="AU158" i="6"/>
  <c r="AU157" i="6"/>
  <c r="AU156" i="6"/>
  <c r="AU154" i="6"/>
  <c r="AU153" i="6"/>
  <c r="AU149" i="6"/>
  <c r="AV139" i="6"/>
  <c r="AV136" i="6"/>
  <c r="AU136" i="6"/>
  <c r="AV135" i="6"/>
  <c r="AU135" i="6"/>
  <c r="AV134" i="6"/>
  <c r="AU134" i="6"/>
  <c r="AV133" i="6"/>
  <c r="AU133" i="6"/>
  <c r="AV131" i="6"/>
  <c r="AU131" i="6"/>
  <c r="AV130" i="6"/>
  <c r="AU130" i="6"/>
  <c r="AV128" i="6"/>
  <c r="AU128" i="6"/>
  <c r="AV127" i="6"/>
  <c r="AU127" i="6"/>
  <c r="AV126" i="6"/>
  <c r="AU126" i="6"/>
  <c r="AV125" i="6"/>
  <c r="AU125" i="6"/>
  <c r="AV120" i="6"/>
  <c r="AU120" i="6"/>
  <c r="AV115" i="6"/>
  <c r="AU115" i="6"/>
  <c r="AV103" i="6"/>
  <c r="AU103" i="6"/>
  <c r="AU98" i="6"/>
  <c r="AU85" i="6"/>
  <c r="AU83" i="6"/>
  <c r="AU82" i="6"/>
  <c r="AU80" i="6"/>
  <c r="AU79" i="6"/>
  <c r="AV77" i="6"/>
  <c r="AU77" i="6"/>
  <c r="AV69" i="6"/>
  <c r="AU69" i="6"/>
  <c r="AV66" i="6"/>
  <c r="AU66" i="6"/>
  <c r="AV56" i="6"/>
  <c r="AV55" i="6"/>
  <c r="AV54" i="6"/>
  <c r="AV51" i="6"/>
  <c r="AV48" i="6"/>
  <c r="AV45" i="6"/>
  <c r="AU41" i="6"/>
  <c r="AV34" i="6"/>
  <c r="AV33" i="6"/>
  <c r="AV32" i="6"/>
  <c r="AV29" i="6"/>
  <c r="AV26" i="6"/>
  <c r="AV23" i="6"/>
  <c r="AU18" i="6"/>
  <c r="AU17" i="6"/>
  <c r="AU16" i="6"/>
  <c r="AU15" i="6"/>
  <c r="AV9" i="6"/>
  <c r="AV8" i="6"/>
  <c r="AU7" i="6"/>
  <c r="AT91" i="77"/>
  <c r="AT90" i="77"/>
  <c r="AU86" i="77"/>
  <c r="AT86" i="77"/>
  <c r="AU84" i="77"/>
  <c r="AT84" i="77"/>
  <c r="AU71" i="77"/>
  <c r="AT71" i="77"/>
  <c r="AU53" i="77"/>
  <c r="AT53" i="77"/>
  <c r="AU36" i="77"/>
  <c r="AT36" i="77"/>
  <c r="AU32" i="77"/>
  <c r="AT32" i="77"/>
  <c r="AU26" i="77"/>
  <c r="AT26" i="77"/>
  <c r="AU21" i="77"/>
  <c r="AT21" i="77"/>
  <c r="AU13" i="77"/>
  <c r="AT13" i="77"/>
  <c r="AU7" i="77"/>
  <c r="AT7" i="77"/>
  <c r="AT89" i="77" l="1"/>
  <c r="AU22" i="39"/>
  <c r="AU34" i="39"/>
  <c r="AU137" i="6"/>
  <c r="AV137" i="6"/>
  <c r="AU30" i="6"/>
  <c r="AU31" i="6"/>
  <c r="AV35" i="6"/>
  <c r="AU89" i="77"/>
  <c r="AU95" i="77" s="1"/>
  <c r="AT95" i="77"/>
  <c r="AV121" i="6"/>
  <c r="AU50" i="39"/>
  <c r="AU23" i="39"/>
  <c r="AU45" i="39"/>
  <c r="AU163" i="6"/>
  <c r="AV57" i="6"/>
  <c r="AU188" i="6"/>
  <c r="AU168" i="6"/>
  <c r="AU19" i="6"/>
  <c r="AU104" i="6"/>
  <c r="AU121" i="6"/>
  <c r="AU132" i="6"/>
  <c r="AV132" i="6"/>
  <c r="AU21" i="6"/>
  <c r="AU24" i="6"/>
  <c r="AU27" i="6"/>
  <c r="AU194" i="6"/>
  <c r="AU22" i="6"/>
  <c r="AU25" i="6"/>
  <c r="AU28" i="6"/>
  <c r="AU24" i="39" l="1"/>
  <c r="AU123" i="6"/>
  <c r="AU138" i="6"/>
  <c r="AV123" i="6"/>
  <c r="AV138" i="6"/>
  <c r="AU106" i="6"/>
  <c r="AU81" i="6"/>
  <c r="AU32" i="6"/>
  <c r="AU29" i="6"/>
  <c r="AU34" i="6"/>
  <c r="AU26" i="6"/>
  <c r="AU33" i="6"/>
  <c r="AU23" i="6"/>
  <c r="AU84" i="6"/>
  <c r="AU145" i="6" l="1"/>
  <c r="AU140" i="6"/>
  <c r="AU205" i="6" s="1"/>
  <c r="AU175" i="6"/>
  <c r="AU35" i="6"/>
  <c r="AU147" i="6"/>
  <c r="AU173" i="6"/>
  <c r="AU172" i="6"/>
  <c r="AV140" i="6"/>
  <c r="AV205" i="6" s="1"/>
  <c r="AU144" i="6"/>
  <c r="AU146" i="6" s="1"/>
  <c r="AV175" i="6"/>
  <c r="AV173" i="6"/>
  <c r="AV172" i="6"/>
  <c r="AV174" i="6" l="1"/>
  <c r="AV8" i="36" s="1"/>
  <c r="AU174" i="6"/>
  <c r="AV204" i="6"/>
  <c r="AV206" i="6"/>
  <c r="AV212" i="6"/>
  <c r="AV217" i="6"/>
  <c r="AV209" i="6"/>
  <c r="AV203" i="6"/>
  <c r="AV213" i="6"/>
  <c r="AV211" i="6"/>
  <c r="AV214" i="6"/>
  <c r="AV208" i="6"/>
  <c r="AV207" i="6"/>
  <c r="AU206" i="6"/>
  <c r="AU203" i="6"/>
  <c r="AU208" i="6"/>
  <c r="AU212" i="6"/>
  <c r="AU217" i="6"/>
  <c r="AU218" i="6" s="1"/>
  <c r="AU207" i="6"/>
  <c r="AU211" i="6"/>
  <c r="AU209" i="6"/>
  <c r="AU204" i="6"/>
  <c r="AU214" i="6"/>
  <c r="AU213" i="6"/>
  <c r="AV199" i="6"/>
  <c r="AV215" i="6" l="1"/>
  <c r="AV210" i="6"/>
  <c r="AV216" i="6" s="1"/>
  <c r="AV218" i="6"/>
  <c r="AU215" i="6"/>
  <c r="AU210" i="6"/>
  <c r="AV219" i="6" l="1"/>
  <c r="AV9" i="36"/>
  <c r="AU216" i="6"/>
  <c r="AU219" i="6" s="1"/>
  <c r="AV17" i="49"/>
  <c r="AV18" i="49" s="1"/>
  <c r="AU17" i="49"/>
  <c r="AU18" i="49" s="1"/>
  <c r="AV11" i="49"/>
  <c r="AU11" i="49"/>
  <c r="AU10" i="49"/>
  <c r="AV9" i="49"/>
  <c r="AU9" i="49"/>
  <c r="AV8" i="49"/>
  <c r="AU8" i="49"/>
  <c r="AV6" i="49"/>
  <c r="AU6" i="49"/>
  <c r="AU242" i="73"/>
  <c r="AU240" i="73"/>
  <c r="AU220" i="73"/>
  <c r="AU214" i="73"/>
  <c r="AU209" i="73"/>
  <c r="AU181" i="73"/>
  <c r="AU168" i="73"/>
  <c r="AU179" i="73" s="1"/>
  <c r="AU134" i="73"/>
  <c r="AU132" i="73"/>
  <c r="AU130" i="73"/>
  <c r="AU126" i="73"/>
  <c r="AU122" i="73"/>
  <c r="AU113" i="73"/>
  <c r="AU106" i="73"/>
  <c r="AU102" i="73"/>
  <c r="AU62" i="73"/>
  <c r="AU56" i="73"/>
  <c r="AU51" i="73"/>
  <c r="AU46" i="73"/>
  <c r="AU35" i="73"/>
  <c r="AU30" i="73"/>
  <c r="AU22" i="73"/>
  <c r="AU20" i="73"/>
  <c r="AU120" i="90" s="1"/>
  <c r="AU8" i="73"/>
  <c r="AY79" i="59"/>
  <c r="AX79" i="59"/>
  <c r="AY78" i="59"/>
  <c r="AX78" i="59"/>
  <c r="AY77" i="59"/>
  <c r="AX77" i="59"/>
  <c r="AX75" i="59"/>
  <c r="AY74" i="59"/>
  <c r="AX74" i="59"/>
  <c r="AY72" i="59"/>
  <c r="AX72" i="59"/>
  <c r="AX71" i="59"/>
  <c r="AY68" i="59"/>
  <c r="AX68" i="59"/>
  <c r="AX67" i="59"/>
  <c r="AY64" i="59"/>
  <c r="AX64" i="59"/>
  <c r="AX63" i="59"/>
  <c r="AY61" i="59"/>
  <c r="AX61" i="59"/>
  <c r="AY60" i="59"/>
  <c r="AX60" i="59"/>
  <c r="AY58" i="59"/>
  <c r="AX58" i="59"/>
  <c r="AY57" i="59"/>
  <c r="AX57" i="59"/>
  <c r="AX53" i="59"/>
  <c r="AX52" i="59"/>
  <c r="AY51" i="59"/>
  <c r="AX51" i="59"/>
  <c r="AY50" i="59"/>
  <c r="AX50" i="59"/>
  <c r="AY49" i="59"/>
  <c r="AX49" i="59"/>
  <c r="AY47" i="59"/>
  <c r="AX47" i="59"/>
  <c r="AY46" i="59"/>
  <c r="AX46" i="59"/>
  <c r="AY45" i="59"/>
  <c r="AX45" i="59"/>
  <c r="AY44" i="59"/>
  <c r="AX44" i="59"/>
  <c r="AY42" i="59"/>
  <c r="AX42" i="59"/>
  <c r="AY41" i="59"/>
  <c r="AX41" i="59"/>
  <c r="AY40" i="59"/>
  <c r="AX40" i="59"/>
  <c r="AX39" i="59"/>
  <c r="AX38" i="59"/>
  <c r="AX37" i="59"/>
  <c r="AX36" i="59"/>
  <c r="AY27" i="59"/>
  <c r="AY26" i="59"/>
  <c r="AY25" i="59"/>
  <c r="AY24" i="59"/>
  <c r="AY23" i="59"/>
  <c r="AY22" i="59"/>
  <c r="AY20" i="59"/>
  <c r="AY19" i="59"/>
  <c r="AY18" i="59"/>
  <c r="AY17" i="59"/>
  <c r="AY16" i="59"/>
  <c r="AY12" i="59"/>
  <c r="AX12" i="59"/>
  <c r="AY11" i="59"/>
  <c r="AX11" i="59"/>
  <c r="AX10" i="59"/>
  <c r="AX9" i="59"/>
  <c r="AX8" i="59"/>
  <c r="AY54" i="59"/>
  <c r="AY38" i="59"/>
  <c r="AY37" i="59"/>
  <c r="AY10" i="59"/>
  <c r="AY9" i="59"/>
  <c r="AU13" i="49"/>
  <c r="AV28" i="21"/>
  <c r="AU27" i="21"/>
  <c r="AV24" i="21"/>
  <c r="AV25" i="21" s="1"/>
  <c r="AV18" i="21"/>
  <c r="AV15" i="21"/>
  <c r="AV12" i="21"/>
  <c r="AU12" i="21"/>
  <c r="AU22" i="21" s="1"/>
  <c r="AV555" i="28" l="1"/>
  <c r="AV556" i="28"/>
  <c r="AU6" i="73"/>
  <c r="AX43" i="59"/>
  <c r="AU118" i="73"/>
  <c r="AU12" i="15"/>
  <c r="AU13" i="15" s="1"/>
  <c r="AU14" i="15" s="1"/>
  <c r="AX48" i="59"/>
  <c r="AU12" i="49"/>
  <c r="AU14" i="49" s="1"/>
  <c r="AU15" i="49" s="1"/>
  <c r="AU16" i="49" s="1"/>
  <c r="AU19" i="49" s="1"/>
  <c r="AU20" i="49" s="1"/>
  <c r="AU137" i="73"/>
  <c r="AV20" i="21"/>
  <c r="AX54" i="59"/>
  <c r="AY39" i="59"/>
  <c r="AX6" i="59"/>
  <c r="AY55" i="59"/>
  <c r="AY53" i="59"/>
  <c r="AY48" i="59"/>
  <c r="AY43" i="59"/>
  <c r="AY36" i="59"/>
  <c r="AU5" i="73"/>
  <c r="AY56" i="59"/>
  <c r="AU15" i="21"/>
  <c r="AU42" i="35" l="1"/>
  <c r="AU41" i="35"/>
  <c r="AV39" i="35"/>
  <c r="AY76" i="59" s="1"/>
  <c r="AU39" i="35"/>
  <c r="AV36" i="35"/>
  <c r="AV48" i="35" s="1"/>
  <c r="AU36" i="35"/>
  <c r="AU37" i="28" s="1"/>
  <c r="AU33" i="35"/>
  <c r="AV26" i="35"/>
  <c r="AV34" i="36" s="1"/>
  <c r="AU26" i="35"/>
  <c r="AU21" i="35"/>
  <c r="AU26" i="9" s="1"/>
  <c r="AV20" i="35"/>
  <c r="AU20" i="35"/>
  <c r="AV19" i="35"/>
  <c r="AU19" i="35"/>
  <c r="AV14" i="35"/>
  <c r="AV5" i="36" s="1"/>
  <c r="AV13" i="35"/>
  <c r="AV11" i="35"/>
  <c r="AV10" i="6" s="1"/>
  <c r="AU10" i="35"/>
  <c r="AU9" i="35"/>
  <c r="AU8" i="35"/>
  <c r="AV7" i="35"/>
  <c r="AV6" i="6" s="1"/>
  <c r="AV6" i="35"/>
  <c r="AV5" i="6" s="1"/>
  <c r="AV98" i="6" s="1"/>
  <c r="AU526" i="28" l="1"/>
  <c r="AU31" i="28"/>
  <c r="AU63" i="28" s="1"/>
  <c r="AU69" i="28" s="1"/>
  <c r="AU77" i="28"/>
  <c r="AV15" i="35"/>
  <c r="AV104" i="6"/>
  <c r="AV106" i="6" s="1"/>
  <c r="AV144" i="6" s="1"/>
  <c r="AU48" i="35"/>
  <c r="AU49" i="35" s="1"/>
  <c r="AU34" i="36"/>
  <c r="AU35" i="36" s="1"/>
  <c r="AU36" i="36" s="1"/>
  <c r="AU38" i="36" s="1"/>
  <c r="AU30" i="36" s="1"/>
  <c r="AX80" i="59" s="1"/>
  <c r="AU26" i="21"/>
  <c r="AU28" i="21" s="1"/>
  <c r="AU14" i="35"/>
  <c r="AU9" i="6"/>
  <c r="AV41" i="36"/>
  <c r="AV43" i="36" s="1"/>
  <c r="AV31" i="36" s="1"/>
  <c r="AV35" i="36"/>
  <c r="AV36" i="36" s="1"/>
  <c r="AV38" i="36" s="1"/>
  <c r="AV30" i="36" s="1"/>
  <c r="AY80" i="59" s="1"/>
  <c r="AU11" i="35"/>
  <c r="AU10" i="6" s="1"/>
  <c r="AU8" i="6"/>
  <c r="AV18" i="6"/>
  <c r="AV16" i="6"/>
  <c r="AV17" i="6"/>
  <c r="AV7" i="6"/>
  <c r="AV15" i="6"/>
  <c r="AV13" i="49"/>
  <c r="AY6" i="59"/>
  <c r="AU37" i="35"/>
  <c r="AV8" i="35"/>
  <c r="AU13" i="35"/>
  <c r="AU93" i="28" l="1"/>
  <c r="AU78" i="28"/>
  <c r="AU97" i="28" s="1"/>
  <c r="AV145" i="6"/>
  <c r="AY15" i="59" s="1"/>
  <c r="AV147" i="6"/>
  <c r="AV197" i="6"/>
  <c r="AU15" i="35"/>
  <c r="AV164" i="6"/>
  <c r="AV168" i="6"/>
  <c r="AV19" i="6"/>
  <c r="AV81" i="6"/>
  <c r="AV189" i="6"/>
  <c r="AV194" i="6"/>
  <c r="AU55" i="35"/>
  <c r="AV146" i="6" l="1"/>
  <c r="AV7" i="36" s="1"/>
  <c r="AY8" i="59" s="1"/>
  <c r="AV37" i="6"/>
  <c r="AV40" i="6"/>
  <c r="AV38" i="6"/>
  <c r="AV39" i="6"/>
  <c r="AV84" i="6"/>
  <c r="AV41" i="6" l="1"/>
  <c r="AS71" i="83" l="1"/>
  <c r="AU71" i="83" l="1"/>
  <c r="AY71" i="83" s="1"/>
  <c r="BG71" i="83" s="1"/>
  <c r="BC71" i="83"/>
  <c r="BE71" i="83" s="1"/>
  <c r="AD1" i="35"/>
  <c r="AL119" i="8" l="1"/>
  <c r="AH119" i="8"/>
  <c r="AD119" i="8"/>
  <c r="AN119" i="8" s="1"/>
  <c r="BD119" i="8" s="1"/>
  <c r="AL118" i="8"/>
  <c r="AH118" i="8"/>
  <c r="AD118" i="8"/>
  <c r="AL117" i="8"/>
  <c r="AH117" i="8"/>
  <c r="AD117" i="8"/>
  <c r="X119" i="8"/>
  <c r="X118" i="8"/>
  <c r="X117" i="8"/>
  <c r="T119" i="8"/>
  <c r="T118" i="8"/>
  <c r="T117" i="8"/>
  <c r="P119" i="8"/>
  <c r="P118" i="8"/>
  <c r="P117" i="8"/>
  <c r="L119" i="8"/>
  <c r="L118" i="8"/>
  <c r="L117" i="8"/>
  <c r="F119" i="8"/>
  <c r="F118" i="8"/>
  <c r="F117" i="8"/>
  <c r="AN118" i="8" l="1"/>
  <c r="BD118" i="8" s="1"/>
  <c r="AN117" i="8"/>
  <c r="BD117" i="8" s="1"/>
  <c r="N118" i="8"/>
  <c r="N117" i="8"/>
  <c r="N119" i="8"/>
  <c r="AS91" i="73"/>
  <c r="AW91" i="73" s="1"/>
  <c r="BE91" i="73" s="1"/>
  <c r="AS92" i="73"/>
  <c r="AW92" i="73" s="1"/>
  <c r="BE92" i="73" s="1"/>
  <c r="AS43" i="73"/>
  <c r="AW43" i="73" s="1"/>
  <c r="BE43" i="73" s="1"/>
  <c r="AL11" i="15"/>
  <c r="AM11" i="15"/>
  <c r="AN11" i="15"/>
  <c r="AR11" i="15" s="1"/>
  <c r="AV11" i="15" s="1"/>
  <c r="AO11" i="15"/>
  <c r="AQ11" i="15"/>
  <c r="AO112" i="73"/>
  <c r="AS112" i="73" s="1"/>
  <c r="AW112" i="73" s="1"/>
  <c r="BE112" i="73" s="1"/>
  <c r="AM112" i="73"/>
  <c r="BC112" i="73" s="1"/>
  <c r="BC11" i="15" s="1"/>
  <c r="AS154" i="73"/>
  <c r="AW154" i="73" s="1"/>
  <c r="BE154" i="73" s="1"/>
  <c r="AS153" i="73"/>
  <c r="AW153" i="73" s="1"/>
  <c r="BE153" i="73" s="1"/>
  <c r="AS161" i="73"/>
  <c r="AW161" i="73" s="1"/>
  <c r="BE161" i="73" s="1"/>
  <c r="AS159" i="73"/>
  <c r="AW159" i="73" s="1"/>
  <c r="BE159" i="73" s="1"/>
  <c r="AS151" i="73"/>
  <c r="AW151" i="73" s="1"/>
  <c r="BE151" i="73" s="1"/>
  <c r="BE11" i="15" l="1"/>
  <c r="AS11" i="15"/>
  <c r="AW11" i="15" s="1"/>
  <c r="AQ5" i="15"/>
  <c r="AQ6" i="15"/>
  <c r="AQ7" i="15"/>
  <c r="AQ8" i="15"/>
  <c r="AQ9" i="15"/>
  <c r="AQ10" i="15"/>
  <c r="AQ15" i="15"/>
  <c r="AQ18" i="15"/>
  <c r="AQ21" i="15"/>
  <c r="AQ22" i="15"/>
  <c r="AQ23" i="15"/>
  <c r="AQ24" i="15"/>
  <c r="AO85" i="50" l="1"/>
  <c r="BE85" i="50" s="1"/>
  <c r="AO86" i="50"/>
  <c r="BE86" i="50" s="1"/>
  <c r="AQ85" i="50"/>
  <c r="AU85" i="50" s="1"/>
  <c r="AY85" i="50" s="1"/>
  <c r="BG85" i="50" s="1"/>
  <c r="AQ86" i="50"/>
  <c r="AU86" i="50" s="1"/>
  <c r="AY86" i="50" s="1"/>
  <c r="BG86" i="50" s="1"/>
  <c r="AQ37" i="27" l="1"/>
  <c r="AQ35" i="27"/>
  <c r="AQ27" i="27"/>
  <c r="AQ29" i="27"/>
  <c r="AQ20" i="27"/>
  <c r="AQ19" i="27"/>
  <c r="AQ18" i="27"/>
  <c r="AP27" i="26" l="1"/>
  <c r="AQ128" i="26" l="1"/>
  <c r="AP128" i="26"/>
  <c r="AQ112" i="26"/>
  <c r="AP110" i="26"/>
  <c r="AP108" i="26"/>
  <c r="AP106" i="26"/>
  <c r="AP104" i="26"/>
  <c r="AP102" i="26"/>
  <c r="AP100" i="26"/>
  <c r="AP98" i="26"/>
  <c r="AP96" i="26"/>
  <c r="AQ92" i="26"/>
  <c r="AP89" i="26"/>
  <c r="AP87" i="26"/>
  <c r="AP85" i="26"/>
  <c r="AP83" i="26"/>
  <c r="AQ81" i="26"/>
  <c r="AQ80" i="26"/>
  <c r="AP78" i="26"/>
  <c r="AP76" i="26"/>
  <c r="AQ73" i="26"/>
  <c r="AP71" i="26"/>
  <c r="AP69" i="26"/>
  <c r="AP67" i="26"/>
  <c r="AP65" i="26"/>
  <c r="AP63" i="26"/>
  <c r="AP61" i="26"/>
  <c r="AP59" i="26"/>
  <c r="AP57" i="26"/>
  <c r="AP52" i="26"/>
  <c r="AP50" i="26"/>
  <c r="AQ48" i="26"/>
  <c r="AP46" i="26"/>
  <c r="AQ43" i="26"/>
  <c r="AP41" i="26"/>
  <c r="AP39" i="26"/>
  <c r="AP37" i="26"/>
  <c r="AP35" i="26"/>
  <c r="AP33" i="26"/>
  <c r="AP31" i="26"/>
  <c r="AP29" i="26"/>
  <c r="AP25" i="26"/>
  <c r="AP23" i="26"/>
  <c r="AP21" i="26"/>
  <c r="AP17" i="26"/>
  <c r="AP15" i="26"/>
  <c r="AQ12" i="26"/>
  <c r="AP11" i="26"/>
  <c r="AP9" i="26"/>
  <c r="AP21" i="27"/>
  <c r="AP18" i="27"/>
  <c r="AP24" i="27" s="1"/>
  <c r="AP39" i="27"/>
  <c r="AQ36" i="27"/>
  <c r="AQ39" i="27"/>
  <c r="AP33" i="27"/>
  <c r="AQ28" i="27"/>
  <c r="AQ26" i="27"/>
  <c r="AQ22" i="27"/>
  <c r="AQ21" i="27"/>
  <c r="AQ55" i="26" l="1"/>
  <c r="AQ19" i="26"/>
  <c r="AP48" i="26"/>
  <c r="AQ24" i="27"/>
  <c r="AQ33" i="27"/>
  <c r="AP112" i="26"/>
  <c r="AP80" i="26"/>
  <c r="AP73" i="26"/>
  <c r="AP81" i="26"/>
  <c r="AP92" i="26"/>
  <c r="AP43" i="26"/>
  <c r="AP12" i="26"/>
  <c r="AQ18" i="26"/>
  <c r="AQ13" i="26"/>
  <c r="AQ49" i="26"/>
  <c r="AQ54" i="26"/>
  <c r="AP13" i="26" l="1"/>
  <c r="AP54" i="26"/>
  <c r="AP49" i="26"/>
  <c r="AP55" i="26"/>
  <c r="AP19" i="26"/>
  <c r="AP18" i="26"/>
  <c r="AR131" i="10"/>
  <c r="AR25" i="10"/>
  <c r="AR61" i="10" l="1"/>
  <c r="AR49" i="10"/>
  <c r="AR109" i="10"/>
  <c r="AH145" i="10" l="1"/>
  <c r="AH25" i="10"/>
  <c r="T17" i="10"/>
  <c r="L145" i="10"/>
  <c r="L24" i="10"/>
  <c r="AM55" i="45"/>
  <c r="AM50" i="72" l="1"/>
  <c r="AQ50" i="72" s="1"/>
  <c r="AU50" i="72" s="1"/>
  <c r="BC50" i="72" s="1"/>
  <c r="AM9" i="72"/>
  <c r="AM10" i="72"/>
  <c r="AM11" i="72"/>
  <c r="CG8" i="71"/>
  <c r="CQ8" i="71" s="1"/>
  <c r="CG9" i="71"/>
  <c r="CG10" i="71"/>
  <c r="CQ10" i="71" s="1"/>
  <c r="CG11" i="71"/>
  <c r="CG12" i="71"/>
  <c r="CG13" i="71"/>
  <c r="CQ13" i="71" s="1"/>
  <c r="CG14" i="71"/>
  <c r="CG15" i="71"/>
  <c r="CG16" i="71"/>
  <c r="CG17" i="71"/>
  <c r="CQ17" i="71" s="1"/>
  <c r="CG18" i="71"/>
  <c r="CG19" i="71"/>
  <c r="CG20" i="71"/>
  <c r="AQ70" i="90" s="1"/>
  <c r="BA70" i="90" s="1"/>
  <c r="CG21" i="71"/>
  <c r="AQ71" i="90" s="1"/>
  <c r="BA71" i="90" s="1"/>
  <c r="CG22" i="71"/>
  <c r="AQ72" i="90" s="1"/>
  <c r="BA72" i="90" s="1"/>
  <c r="CG23" i="71"/>
  <c r="CG25" i="71"/>
  <c r="CG26" i="71"/>
  <c r="CG27" i="71"/>
  <c r="AQ73" i="90" s="1"/>
  <c r="BA73" i="90" s="1"/>
  <c r="CG28" i="71"/>
  <c r="CG29" i="71"/>
  <c r="CG30" i="71"/>
  <c r="CG32" i="71"/>
  <c r="CQ32" i="71" s="1"/>
  <c r="CG33" i="71"/>
  <c r="CG34" i="71"/>
  <c r="CG35" i="71"/>
  <c r="CG36" i="71"/>
  <c r="CG37" i="71"/>
  <c r="CG38" i="71"/>
  <c r="AQ74" i="90" s="1"/>
  <c r="BA74" i="90" s="1"/>
  <c r="CG39" i="71"/>
  <c r="CG40" i="71"/>
  <c r="CG41" i="71"/>
  <c r="CG42" i="71"/>
  <c r="CG43" i="71"/>
  <c r="AQ77" i="90" s="1"/>
  <c r="BA77" i="90" s="1"/>
  <c r="CG44" i="71"/>
  <c r="CG45" i="71"/>
  <c r="AQ78" i="90" s="1"/>
  <c r="BA78" i="90" s="1"/>
  <c r="CG46" i="71"/>
  <c r="CG47" i="71"/>
  <c r="CG48" i="71"/>
  <c r="CG49" i="71"/>
  <c r="CG51" i="71"/>
  <c r="AQ83" i="90" s="1"/>
  <c r="BA83" i="90" s="1"/>
  <c r="CG52" i="71"/>
  <c r="AQ84" i="90" s="1"/>
  <c r="BA84" i="90" s="1"/>
  <c r="CG53" i="71"/>
  <c r="CG54" i="71"/>
  <c r="CG55" i="71"/>
  <c r="CG56" i="71"/>
  <c r="CG57" i="71"/>
  <c r="AQ11" i="72" l="1"/>
  <c r="AO111" i="90"/>
  <c r="AQ10" i="72"/>
  <c r="AO110" i="90"/>
  <c r="AQ9" i="72"/>
  <c r="AO109" i="90"/>
  <c r="AQ81" i="90"/>
  <c r="BA81" i="90" s="1"/>
  <c r="CQ49" i="71"/>
  <c r="AQ69" i="90"/>
  <c r="BA69" i="90" s="1"/>
  <c r="CQ19" i="71"/>
  <c r="AQ80" i="90"/>
  <c r="BA80" i="90" s="1"/>
  <c r="CQ48" i="71"/>
  <c r="AQ68" i="90"/>
  <c r="CQ9" i="71"/>
  <c r="AQ85" i="90"/>
  <c r="BA85" i="90" s="1"/>
  <c r="CQ56" i="71"/>
  <c r="AQ79" i="90"/>
  <c r="CQ47" i="71"/>
  <c r="AQ76" i="90"/>
  <c r="BA76" i="90" s="1"/>
  <c r="CQ42" i="71"/>
  <c r="AR29" i="22"/>
  <c r="AR25" i="22"/>
  <c r="AR24" i="22"/>
  <c r="AR14" i="22"/>
  <c r="AR10" i="22"/>
  <c r="AR9" i="22"/>
  <c r="AQ31" i="15"/>
  <c r="AQ30" i="15"/>
  <c r="AQ29" i="15"/>
  <c r="AQ25" i="15"/>
  <c r="AQ32" i="15" s="1"/>
  <c r="AP19" i="15"/>
  <c r="AP18" i="15"/>
  <c r="AP12" i="15"/>
  <c r="AP13" i="15" s="1"/>
  <c r="AP9" i="15"/>
  <c r="AP8" i="15"/>
  <c r="AP5" i="15"/>
  <c r="BA79" i="90" l="1"/>
  <c r="AU9" i="72"/>
  <c r="AS109" i="90"/>
  <c r="AU10" i="72"/>
  <c r="AS110" i="90"/>
  <c r="AU11" i="72"/>
  <c r="AS111" i="90"/>
  <c r="AP15" i="15"/>
  <c r="AP16" i="15" s="1"/>
  <c r="AR12" i="22"/>
  <c r="AR27" i="22"/>
  <c r="AQ36" i="15"/>
  <c r="AQ16" i="15" s="1"/>
  <c r="AQ17" i="15" s="1"/>
  <c r="BC11" i="72" l="1"/>
  <c r="AW111" i="90"/>
  <c r="BC10" i="72"/>
  <c r="AW110" i="90"/>
  <c r="BC9" i="72"/>
  <c r="AW109" i="90"/>
  <c r="AQ57" i="17"/>
  <c r="AP57" i="17"/>
  <c r="AQ56" i="17"/>
  <c r="AP56" i="17"/>
  <c r="AQ55" i="17"/>
  <c r="AP55" i="17"/>
  <c r="AQ54" i="17"/>
  <c r="AP54" i="17"/>
  <c r="AQ53" i="17"/>
  <c r="AP53" i="17"/>
  <c r="AQ49" i="17"/>
  <c r="AP49" i="17"/>
  <c r="AQ44" i="17"/>
  <c r="AP44" i="17"/>
  <c r="AQ37" i="17"/>
  <c r="AQ39" i="17" s="1"/>
  <c r="AP37" i="17"/>
  <c r="AP39" i="17" s="1"/>
  <c r="AP31" i="17"/>
  <c r="AQ29" i="17"/>
  <c r="AQ30" i="17" s="1"/>
  <c r="AP28" i="17"/>
  <c r="AP25" i="17"/>
  <c r="AQ22" i="17"/>
  <c r="AP22" i="17"/>
  <c r="AQ19" i="17"/>
  <c r="AP18" i="17"/>
  <c r="AQ17" i="17"/>
  <c r="AP16" i="17"/>
  <c r="AQ14" i="17"/>
  <c r="AQ15" i="17" s="1"/>
  <c r="AP14" i="17"/>
  <c r="AQ13" i="17"/>
  <c r="AQ11" i="17"/>
  <c r="AQ9" i="17"/>
  <c r="AP29" i="17" l="1"/>
  <c r="AQ32" i="17"/>
  <c r="AP20" i="17"/>
  <c r="AP24" i="17" s="1"/>
  <c r="AP30" i="17"/>
  <c r="AP32" i="17"/>
  <c r="AQ20" i="17"/>
  <c r="AQ23" i="17"/>
  <c r="AQ24" i="17" l="1"/>
  <c r="AQ21" i="17"/>
  <c r="AQ25" i="17" l="1"/>
  <c r="AT109" i="9" l="1"/>
  <c r="AK46" i="39" l="1"/>
  <c r="AK47" i="39"/>
  <c r="AK48" i="39"/>
  <c r="AK23" i="39" l="1"/>
  <c r="AR95" i="9"/>
  <c r="AV94" i="38" l="1"/>
  <c r="AV93" i="38"/>
  <c r="AV92" i="38"/>
  <c r="AV91" i="38"/>
  <c r="AU90" i="38"/>
  <c r="AV89" i="38"/>
  <c r="AU88" i="38"/>
  <c r="AU87" i="38" s="1"/>
  <c r="AV86" i="38"/>
  <c r="AV85" i="38"/>
  <c r="AV84" i="38"/>
  <c r="AV83" i="38"/>
  <c r="AU82" i="38"/>
  <c r="AV80" i="38"/>
  <c r="AV79" i="38"/>
  <c r="AV78" i="38"/>
  <c r="AV77" i="38"/>
  <c r="AV76" i="38"/>
  <c r="AV75" i="38"/>
  <c r="AV74" i="38"/>
  <c r="AV73" i="38"/>
  <c r="AV72" i="38"/>
  <c r="AV71" i="38"/>
  <c r="AV70" i="38"/>
  <c r="AV69" i="38"/>
  <c r="AV68" i="38"/>
  <c r="AV67" i="38"/>
  <c r="AU66" i="38"/>
  <c r="AV62" i="38"/>
  <c r="AV61" i="38"/>
  <c r="AU60" i="38"/>
  <c r="AV59" i="38"/>
  <c r="AV58" i="38"/>
  <c r="AV57" i="38"/>
  <c r="AV56" i="38"/>
  <c r="AV55" i="38"/>
  <c r="AU54" i="38"/>
  <c r="AU46" i="38"/>
  <c r="AU45" i="38"/>
  <c r="AU44" i="38"/>
  <c r="AU43" i="38"/>
  <c r="AV42" i="38"/>
  <c r="AV90" i="38" s="1"/>
  <c r="AU41" i="38"/>
  <c r="AU40" i="38" s="1"/>
  <c r="AV40" i="38"/>
  <c r="AV88" i="38" s="1"/>
  <c r="AU38" i="38"/>
  <c r="AU37" i="38"/>
  <c r="AU36" i="38"/>
  <c r="AU35" i="38"/>
  <c r="AU34" i="38" s="1"/>
  <c r="AV34" i="38"/>
  <c r="AV82" i="38" s="1"/>
  <c r="AU32" i="38"/>
  <c r="AU31" i="38"/>
  <c r="AU30" i="38"/>
  <c r="AU29" i="38"/>
  <c r="AU28" i="38"/>
  <c r="AU27" i="38"/>
  <c r="AU26" i="38"/>
  <c r="AU25" i="38"/>
  <c r="AU24" i="38"/>
  <c r="AU23" i="38"/>
  <c r="AU22" i="38"/>
  <c r="AU21" i="38"/>
  <c r="AU20" i="38"/>
  <c r="AU19" i="38"/>
  <c r="AV18" i="38"/>
  <c r="AU14" i="38"/>
  <c r="AU13" i="38"/>
  <c r="AU12" i="38" s="1"/>
  <c r="AV12" i="38"/>
  <c r="AV60" i="38" s="1"/>
  <c r="AU11" i="38"/>
  <c r="AU10" i="38"/>
  <c r="AU9" i="38"/>
  <c r="AU8" i="38"/>
  <c r="AU7" i="38"/>
  <c r="AV6" i="38"/>
  <c r="AV17" i="38" l="1"/>
  <c r="AU63" i="38"/>
  <c r="AU42" i="38"/>
  <c r="AU39" i="38" s="1"/>
  <c r="AU65" i="38"/>
  <c r="AU64" i="38" s="1"/>
  <c r="AV39" i="38"/>
  <c r="AV87" i="38" s="1"/>
  <c r="AV66" i="38"/>
  <c r="AV65" i="38"/>
  <c r="AV15" i="38"/>
  <c r="AV63" i="38" s="1"/>
  <c r="AV54" i="38"/>
  <c r="AU18" i="38"/>
  <c r="AU17" i="38" s="1"/>
  <c r="AU6" i="38"/>
  <c r="AU15" i="38" s="1"/>
  <c r="AS157" i="45"/>
  <c r="AS156" i="45"/>
  <c r="AS154" i="45"/>
  <c r="AS148" i="45"/>
  <c r="AS143" i="45"/>
  <c r="AR143" i="45"/>
  <c r="AS142" i="45"/>
  <c r="AR142" i="45"/>
  <c r="AS141" i="45"/>
  <c r="AR141" i="45"/>
  <c r="AS140" i="45"/>
  <c r="AR140" i="45"/>
  <c r="AS138" i="45"/>
  <c r="AR138" i="45"/>
  <c r="AS136" i="45"/>
  <c r="AR136" i="45"/>
  <c r="AS134" i="45"/>
  <c r="AR134" i="45"/>
  <c r="AS131" i="45"/>
  <c r="AR131" i="45"/>
  <c r="AS129" i="45"/>
  <c r="AS122" i="45"/>
  <c r="AS121" i="45"/>
  <c r="AR121" i="45"/>
  <c r="AS120" i="45"/>
  <c r="AR91" i="11"/>
  <c r="AR89" i="11"/>
  <c r="AR83" i="11"/>
  <c r="AR78" i="11"/>
  <c r="AQ78" i="11"/>
  <c r="AR77" i="11"/>
  <c r="AQ77" i="11"/>
  <c r="AR76" i="11"/>
  <c r="AQ76" i="11"/>
  <c r="AR75" i="11"/>
  <c r="AQ75" i="11"/>
  <c r="AR73" i="11"/>
  <c r="AQ73" i="11"/>
  <c r="AR71" i="11"/>
  <c r="AQ71" i="11"/>
  <c r="AR69" i="11"/>
  <c r="AQ69" i="11"/>
  <c r="AR66" i="11"/>
  <c r="AQ66" i="11"/>
  <c r="AR64" i="11"/>
  <c r="AR59" i="11"/>
  <c r="AR57" i="11"/>
  <c r="AR56" i="11"/>
  <c r="AQ56" i="11"/>
  <c r="AQ97" i="11" s="1"/>
  <c r="AR55" i="11"/>
  <c r="AR123" i="45" l="1"/>
  <c r="AR132" i="45"/>
  <c r="AS159" i="45"/>
  <c r="AS158" i="45"/>
  <c r="AS144" i="45"/>
  <c r="AQ55" i="11"/>
  <c r="AS149" i="45"/>
  <c r="AQ74" i="11"/>
  <c r="AS132" i="45"/>
  <c r="AR120" i="45"/>
  <c r="AR139" i="45"/>
  <c r="AS126" i="45"/>
  <c r="AR61" i="11"/>
  <c r="AQ67" i="11"/>
  <c r="AR90" i="11"/>
  <c r="AR93" i="11"/>
  <c r="AR67" i="11"/>
  <c r="AR92" i="11"/>
  <c r="AR60" i="11"/>
  <c r="AU16" i="38"/>
  <c r="AV16" i="38"/>
  <c r="AV64" i="38" s="1"/>
  <c r="AS150" i="45"/>
  <c r="AS139" i="45"/>
  <c r="AS155" i="45"/>
  <c r="AS123" i="45"/>
  <c r="AR124" i="45"/>
  <c r="AS124" i="45"/>
  <c r="AR144" i="45"/>
  <c r="AR84" i="11"/>
  <c r="AR74" i="11"/>
  <c r="AQ58" i="11"/>
  <c r="AR58" i="11"/>
  <c r="AQ79" i="11"/>
  <c r="AR85" i="11"/>
  <c r="AR79" i="11"/>
  <c r="AS160" i="45" l="1"/>
  <c r="AS125" i="45"/>
  <c r="AR94" i="11"/>
  <c r="AR109" i="8"/>
  <c r="AR94" i="8"/>
  <c r="AR91" i="8"/>
  <c r="AQ91" i="8"/>
  <c r="AR89" i="8"/>
  <c r="AQ89" i="8"/>
  <c r="AR88" i="8"/>
  <c r="AQ88" i="8"/>
  <c r="AQ87" i="8"/>
  <c r="AQ82" i="8"/>
  <c r="AR80" i="8"/>
  <c r="AR75" i="8"/>
  <c r="AQ74" i="8"/>
  <c r="AQ73" i="8"/>
  <c r="AQ72" i="8"/>
  <c r="AQ71" i="8"/>
  <c r="AR68" i="8"/>
  <c r="AR66" i="8"/>
  <c r="AR64" i="8"/>
  <c r="AR61" i="8"/>
  <c r="AR58" i="8"/>
  <c r="AR62" i="8" s="1"/>
  <c r="AQ52" i="8"/>
  <c r="AR49" i="8"/>
  <c r="AQ49" i="8"/>
  <c r="AQ46" i="8"/>
  <c r="AQ45" i="8"/>
  <c r="AQ44" i="8"/>
  <c r="AQ43" i="8"/>
  <c r="AQ41" i="8"/>
  <c r="AQ40" i="8"/>
  <c r="AQ39" i="8"/>
  <c r="AR26" i="8"/>
  <c r="AR17" i="8"/>
  <c r="AQ17" i="8"/>
  <c r="AQ15" i="8"/>
  <c r="AQ14" i="8"/>
  <c r="AR13" i="8"/>
  <c r="AQ13" i="8"/>
  <c r="AR6" i="8"/>
  <c r="AQ6" i="8"/>
  <c r="AQ16" i="8" l="1"/>
  <c r="AR16" i="8"/>
  <c r="AR67" i="8"/>
  <c r="AR69" i="8"/>
  <c r="AR74" i="8" s="1"/>
  <c r="AQ50" i="8"/>
  <c r="AQ51" i="8" s="1"/>
  <c r="AR82" i="8"/>
  <c r="AQ42" i="8"/>
  <c r="AR65" i="8"/>
  <c r="AR34" i="8" s="1"/>
  <c r="AR110" i="8"/>
  <c r="AR52" i="8" s="1"/>
  <c r="AR121" i="8" s="1"/>
  <c r="AR92" i="8"/>
  <c r="AR50" i="8"/>
  <c r="AR78" i="8" s="1"/>
  <c r="AR47" i="8"/>
  <c r="AQ85" i="8"/>
  <c r="AR45" i="8"/>
  <c r="AQ92" i="8"/>
  <c r="AR111" i="8"/>
  <c r="AQ25" i="8"/>
  <c r="AQ29" i="8"/>
  <c r="AR39" i="8"/>
  <c r="AR43" i="8"/>
  <c r="AR136" i="8" s="1"/>
  <c r="AR86" i="8"/>
  <c r="AQ23" i="8"/>
  <c r="AQ30" i="8"/>
  <c r="AR59" i="8"/>
  <c r="AQ28" i="8"/>
  <c r="AR41" i="8"/>
  <c r="AQ24" i="8"/>
  <c r="AQ27" i="8"/>
  <c r="AQ31" i="8"/>
  <c r="AR40" i="8"/>
  <c r="AR44" i="8"/>
  <c r="AR137" i="8" s="1"/>
  <c r="AR46" i="8"/>
  <c r="AR138" i="8" s="1"/>
  <c r="AR139" i="8" l="1"/>
  <c r="AR51" i="8"/>
  <c r="AR36" i="8"/>
  <c r="AR37" i="8"/>
  <c r="AR73" i="8"/>
  <c r="AR72" i="8"/>
  <c r="AR112" i="8"/>
  <c r="AR53" i="8" s="1"/>
  <c r="AR123" i="8" s="1"/>
  <c r="AR122" i="8" s="1"/>
  <c r="AR126" i="8" s="1"/>
  <c r="AR127" i="8" s="1"/>
  <c r="AR42" i="8"/>
  <c r="AQ67" i="8"/>
  <c r="AQ69" i="8"/>
  <c r="AQ26" i="8"/>
  <c r="AQ65" i="8"/>
  <c r="AR63" i="8"/>
  <c r="AQ59" i="8"/>
  <c r="AQ109" i="8"/>
  <c r="AQ111" i="8" s="1"/>
  <c r="AR132" i="8" l="1"/>
  <c r="AR145" i="8" s="1"/>
  <c r="AR131" i="8"/>
  <c r="AR144" i="8" s="1"/>
  <c r="AR130" i="8"/>
  <c r="AR124" i="8"/>
  <c r="AQ36" i="8"/>
  <c r="AQ37" i="8"/>
  <c r="AQ34" i="8"/>
  <c r="AQ63" i="8"/>
  <c r="AR71" i="8"/>
  <c r="AQ110" i="8"/>
  <c r="AQ112" i="8" s="1"/>
  <c r="AR35" i="8"/>
  <c r="AR70" i="8"/>
  <c r="AR133" i="8" l="1"/>
  <c r="AR146" i="8" s="1"/>
  <c r="AR143" i="8"/>
  <c r="AQ35" i="8"/>
  <c r="AQ113" i="7"/>
  <c r="AQ112" i="7"/>
  <c r="AQ111" i="7"/>
  <c r="AQ110" i="7"/>
  <c r="AQ109" i="7"/>
  <c r="AQ108" i="7"/>
  <c r="AQ107" i="7"/>
  <c r="AQ106" i="7"/>
  <c r="AQ85" i="7"/>
  <c r="AR84" i="7"/>
  <c r="AQ84" i="7"/>
  <c r="AR82" i="7"/>
  <c r="AQ82" i="7"/>
  <c r="AR75" i="7"/>
  <c r="AQ75" i="7"/>
  <c r="AR71" i="7"/>
  <c r="AR73" i="7" s="1"/>
  <c r="AQ71" i="7"/>
  <c r="AQ73" i="7" s="1"/>
  <c r="AR67" i="7"/>
  <c r="AQ67" i="7"/>
  <c r="AR21" i="7"/>
  <c r="AR41" i="7" s="1"/>
  <c r="AR51" i="7" s="1"/>
  <c r="AQ21" i="7"/>
  <c r="AQ41" i="7" s="1"/>
  <c r="AQ51" i="7" s="1"/>
  <c r="AQ61" i="39"/>
  <c r="AR44" i="22" s="1"/>
  <c r="AQ60" i="39"/>
  <c r="AR43" i="22" s="1"/>
  <c r="AP50" i="39"/>
  <c r="AP51" i="39" s="1"/>
  <c r="AQ48" i="39"/>
  <c r="AQ47" i="39"/>
  <c r="AQ46" i="39"/>
  <c r="AP45" i="39"/>
  <c r="AQ43" i="39"/>
  <c r="AQ42" i="39"/>
  <c r="AQ8" i="39"/>
  <c r="AP8" i="39"/>
  <c r="AP22" i="39" s="1"/>
  <c r="AP24" i="39" s="1"/>
  <c r="AR222" i="6"/>
  <c r="AQ222" i="6"/>
  <c r="AR221" i="6"/>
  <c r="AQ221" i="6"/>
  <c r="AQ199" i="6"/>
  <c r="AR198" i="6"/>
  <c r="AQ198" i="6"/>
  <c r="AQ197" i="6"/>
  <c r="AR193" i="6"/>
  <c r="AQ193" i="6"/>
  <c r="AR192" i="6"/>
  <c r="AQ192" i="6"/>
  <c r="AR191" i="6"/>
  <c r="AQ191" i="6"/>
  <c r="AQ190" i="6"/>
  <c r="AQ189" i="6"/>
  <c r="AQ186" i="6"/>
  <c r="AQ185" i="6"/>
  <c r="AQ184" i="6"/>
  <c r="AQ183" i="6"/>
  <c r="AQ182" i="6"/>
  <c r="AQ181" i="6"/>
  <c r="AQ179" i="6"/>
  <c r="AQ178" i="6"/>
  <c r="AQ177" i="6"/>
  <c r="AR167" i="6"/>
  <c r="AQ167" i="6"/>
  <c r="AR166" i="6"/>
  <c r="AQ166" i="6"/>
  <c r="AQ165" i="6"/>
  <c r="AQ164" i="6"/>
  <c r="AQ161" i="6"/>
  <c r="AQ160" i="6"/>
  <c r="AQ159" i="6"/>
  <c r="AQ158" i="6"/>
  <c r="AQ157" i="6"/>
  <c r="AQ156" i="6"/>
  <c r="AQ154" i="6"/>
  <c r="AQ153" i="6"/>
  <c r="AQ149" i="6"/>
  <c r="AR139" i="6"/>
  <c r="AR136" i="6"/>
  <c r="AQ136" i="6"/>
  <c r="AR135" i="6"/>
  <c r="AQ135" i="6"/>
  <c r="AR134" i="6"/>
  <c r="AQ134" i="6"/>
  <c r="AR133" i="6"/>
  <c r="AQ133" i="6"/>
  <c r="AR131" i="6"/>
  <c r="AQ131" i="6"/>
  <c r="AR130" i="6"/>
  <c r="AQ130" i="6"/>
  <c r="AR128" i="6"/>
  <c r="AQ128" i="6"/>
  <c r="AR127" i="6"/>
  <c r="AQ127" i="6"/>
  <c r="AR126" i="6"/>
  <c r="AQ126" i="6"/>
  <c r="AR125" i="6"/>
  <c r="AQ125" i="6"/>
  <c r="AR120" i="6"/>
  <c r="AQ120" i="6"/>
  <c r="AR115" i="6"/>
  <c r="AQ115" i="6"/>
  <c r="AR103" i="6"/>
  <c r="AQ103" i="6"/>
  <c r="AQ98" i="6"/>
  <c r="AQ85" i="6"/>
  <c r="AQ83" i="6"/>
  <c r="AQ82" i="6"/>
  <c r="AQ80" i="6"/>
  <c r="AQ79" i="6"/>
  <c r="AR77" i="6"/>
  <c r="AQ77" i="6"/>
  <c r="AR69" i="6"/>
  <c r="AQ69" i="6"/>
  <c r="AR66" i="6"/>
  <c r="AQ66" i="6"/>
  <c r="AR56" i="6"/>
  <c r="AR55" i="6"/>
  <c r="AR54" i="6"/>
  <c r="AR51" i="6"/>
  <c r="AR48" i="6"/>
  <c r="AR45" i="6"/>
  <c r="AQ41" i="6"/>
  <c r="AR34" i="6"/>
  <c r="AR33" i="6"/>
  <c r="AR32" i="6"/>
  <c r="AR29" i="6"/>
  <c r="AR26" i="6"/>
  <c r="AR23" i="6"/>
  <c r="AQ18" i="6"/>
  <c r="AQ17" i="6"/>
  <c r="AQ16" i="6"/>
  <c r="AQ15" i="6"/>
  <c r="AR9" i="6"/>
  <c r="AR8" i="6"/>
  <c r="AQ7" i="6"/>
  <c r="AP91" i="77"/>
  <c r="AP90" i="77"/>
  <c r="AQ86" i="77"/>
  <c r="AP86" i="77"/>
  <c r="AP84" i="77"/>
  <c r="AQ71" i="77"/>
  <c r="AP71" i="77"/>
  <c r="AQ53" i="77"/>
  <c r="AP53" i="77"/>
  <c r="AQ36" i="77"/>
  <c r="AP36" i="77"/>
  <c r="AQ32" i="77"/>
  <c r="AP32" i="77"/>
  <c r="AQ26" i="77"/>
  <c r="AP26" i="77"/>
  <c r="AQ21" i="77"/>
  <c r="AP21" i="77"/>
  <c r="AQ13" i="77"/>
  <c r="AP13" i="77"/>
  <c r="AQ7" i="77"/>
  <c r="AP7" i="77"/>
  <c r="AQ28" i="7" l="1"/>
  <c r="AQ92" i="7" s="1"/>
  <c r="AQ36" i="7"/>
  <c r="AQ99" i="7" s="1"/>
  <c r="AQ33" i="7"/>
  <c r="AQ96" i="7" s="1"/>
  <c r="AQ29" i="7"/>
  <c r="AQ93" i="7" s="1"/>
  <c r="AQ26" i="7"/>
  <c r="AQ59" i="7"/>
  <c r="AQ56" i="7"/>
  <c r="AQ101" i="7" s="1"/>
  <c r="AQ32" i="7"/>
  <c r="AQ95" i="7" s="1"/>
  <c r="AQ58" i="7"/>
  <c r="AQ23" i="7"/>
  <c r="AQ87" i="7" s="1"/>
  <c r="AQ37" i="7"/>
  <c r="AQ100" i="7" s="1"/>
  <c r="AQ34" i="7"/>
  <c r="AQ97" i="7" s="1"/>
  <c r="AQ31" i="7"/>
  <c r="AQ27" i="7"/>
  <c r="AQ91" i="7" s="1"/>
  <c r="AQ24" i="7"/>
  <c r="AQ60" i="7"/>
  <c r="AQ57" i="7"/>
  <c r="AQ54" i="7"/>
  <c r="AQ55" i="7"/>
  <c r="AQ61" i="7"/>
  <c r="AQ102" i="7" s="1"/>
  <c r="AQ35" i="7"/>
  <c r="AQ98" i="7" s="1"/>
  <c r="AQ25" i="7"/>
  <c r="AQ89" i="7" s="1"/>
  <c r="AQ62" i="7"/>
  <c r="AR81" i="7"/>
  <c r="AR36" i="7"/>
  <c r="AR99" i="7" s="1"/>
  <c r="AR33" i="7"/>
  <c r="AR96" i="7" s="1"/>
  <c r="AR29" i="7"/>
  <c r="AR93" i="7" s="1"/>
  <c r="AR26" i="7"/>
  <c r="AR59" i="7"/>
  <c r="AR56" i="7"/>
  <c r="AR101" i="7" s="1"/>
  <c r="AR23" i="7"/>
  <c r="AR87" i="7" s="1"/>
  <c r="AR37" i="7"/>
  <c r="AR100" i="7" s="1"/>
  <c r="AR34" i="7"/>
  <c r="AR97" i="7" s="1"/>
  <c r="AR31" i="7"/>
  <c r="AR27" i="7"/>
  <c r="AR91" i="7" s="1"/>
  <c r="AR24" i="7"/>
  <c r="AR60" i="7"/>
  <c r="AR57" i="7"/>
  <c r="AR54" i="7"/>
  <c r="AR61" i="7"/>
  <c r="AR102" i="7" s="1"/>
  <c r="AR35" i="7"/>
  <c r="AR98" i="7" s="1"/>
  <c r="AR32" i="7"/>
  <c r="AR95" i="7" s="1"/>
  <c r="AR28" i="7"/>
  <c r="AR92" i="7" s="1"/>
  <c r="AR25" i="7"/>
  <c r="AR62" i="7"/>
  <c r="AR58" i="7"/>
  <c r="AR55" i="7"/>
  <c r="AQ22" i="39"/>
  <c r="AQ31" i="6"/>
  <c r="AR137" i="6"/>
  <c r="AQ89" i="77"/>
  <c r="AQ95" i="77" s="1"/>
  <c r="AP89" i="77"/>
  <c r="AP95" i="77" s="1"/>
  <c r="AQ137" i="6"/>
  <c r="AQ34" i="39"/>
  <c r="AQ84" i="77"/>
  <c r="AQ45" i="39"/>
  <c r="AQ49" i="39"/>
  <c r="AQ83" i="7"/>
  <c r="AR83" i="7"/>
  <c r="AQ50" i="39"/>
  <c r="AQ68" i="7"/>
  <c r="AQ76" i="7"/>
  <c r="AQ78" i="7"/>
  <c r="AQ81" i="7"/>
  <c r="AR69" i="7"/>
  <c r="AR76" i="7"/>
  <c r="AR78" i="7"/>
  <c r="AQ23" i="39"/>
  <c r="AQ132" i="6"/>
  <c r="AQ19" i="6"/>
  <c r="AR57" i="6"/>
  <c r="AR35" i="6"/>
  <c r="AQ188" i="6"/>
  <c r="AQ168" i="6"/>
  <c r="AQ194" i="6"/>
  <c r="AR121" i="6"/>
  <c r="AR132" i="6"/>
  <c r="AQ163" i="6"/>
  <c r="AQ21" i="6"/>
  <c r="AQ24" i="6"/>
  <c r="AQ27" i="6"/>
  <c r="AQ30" i="6"/>
  <c r="AQ22" i="6"/>
  <c r="AQ25" i="6"/>
  <c r="AQ28" i="6"/>
  <c r="AQ104" i="6"/>
  <c r="AQ121" i="6"/>
  <c r="AR90" i="7" l="1"/>
  <c r="AU32" i="59" s="1"/>
  <c r="AR88" i="7"/>
  <c r="AR89" i="7"/>
  <c r="AQ90" i="7"/>
  <c r="AT32" i="59" s="1"/>
  <c r="AQ88" i="7"/>
  <c r="AQ84" i="6"/>
  <c r="BA30" i="6"/>
  <c r="AQ24" i="39"/>
  <c r="AQ81" i="6"/>
  <c r="AR123" i="6"/>
  <c r="AR172" i="6" s="1"/>
  <c r="AQ106" i="6"/>
  <c r="AQ145" i="6" s="1"/>
  <c r="AQ123" i="6"/>
  <c r="AR103" i="7"/>
  <c r="AR138" i="6"/>
  <c r="AQ32" i="6"/>
  <c r="AQ138" i="6"/>
  <c r="AQ51" i="39"/>
  <c r="AR38" i="7"/>
  <c r="AR53" i="7" s="1"/>
  <c r="AQ38" i="7"/>
  <c r="AQ53" i="7" s="1"/>
  <c r="AQ29" i="6"/>
  <c r="AQ34" i="6"/>
  <c r="AQ26" i="6"/>
  <c r="AQ23" i="6"/>
  <c r="AQ33" i="6"/>
  <c r="AQ103" i="7" l="1"/>
  <c r="AQ144" i="6"/>
  <c r="AR140" i="6"/>
  <c r="AR173" i="6"/>
  <c r="AR174" i="6" s="1"/>
  <c r="AQ175" i="6"/>
  <c r="AQ140" i="6"/>
  <c r="AQ205" i="6" s="1"/>
  <c r="AQ147" i="6"/>
  <c r="AQ173" i="6"/>
  <c r="AQ172" i="6"/>
  <c r="AR175" i="6"/>
  <c r="AQ35" i="6"/>
  <c r="AQ77" i="7"/>
  <c r="AQ63" i="7"/>
  <c r="AR63" i="7"/>
  <c r="AR77" i="7"/>
  <c r="AQ146" i="6"/>
  <c r="AR208" i="6" l="1"/>
  <c r="AR205" i="6"/>
  <c r="AR212" i="6"/>
  <c r="AR204" i="6"/>
  <c r="AR209" i="6"/>
  <c r="AQ174" i="6"/>
  <c r="AR206" i="6"/>
  <c r="AR217" i="6"/>
  <c r="AR207" i="6"/>
  <c r="AR214" i="6"/>
  <c r="AR211" i="6"/>
  <c r="AR203" i="6"/>
  <c r="AR213" i="6"/>
  <c r="AR199" i="6"/>
  <c r="AQ207" i="6"/>
  <c r="AQ206" i="6"/>
  <c r="AQ203" i="6"/>
  <c r="AQ213" i="6"/>
  <c r="AQ212" i="6"/>
  <c r="AQ204" i="6"/>
  <c r="AQ217" i="6"/>
  <c r="AQ218" i="6" s="1"/>
  <c r="AQ211" i="6"/>
  <c r="AQ208" i="6"/>
  <c r="AQ214" i="6"/>
  <c r="AQ209" i="6"/>
  <c r="AR215" i="6" l="1"/>
  <c r="AR210" i="6"/>
  <c r="AR216" i="6" s="1"/>
  <c r="AR218" i="6"/>
  <c r="AQ215" i="6"/>
  <c r="AQ210" i="6"/>
  <c r="AR17" i="49"/>
  <c r="AR18" i="49" s="1"/>
  <c r="AQ17" i="49"/>
  <c r="AQ18" i="49" s="1"/>
  <c r="AR11" i="49"/>
  <c r="AQ11" i="49"/>
  <c r="AQ10" i="49"/>
  <c r="AR9" i="49"/>
  <c r="AQ9" i="49"/>
  <c r="AR8" i="49"/>
  <c r="AQ8" i="49"/>
  <c r="AR6" i="49"/>
  <c r="AQ6" i="49"/>
  <c r="AQ242" i="73"/>
  <c r="BA242" i="73" s="1"/>
  <c r="AP242" i="73"/>
  <c r="AQ240" i="73"/>
  <c r="BA240" i="73" s="1"/>
  <c r="AP240" i="73"/>
  <c r="AQ229" i="73"/>
  <c r="AP229" i="73"/>
  <c r="AP42" i="77" s="1"/>
  <c r="AQ220" i="73"/>
  <c r="BA220" i="73" s="1"/>
  <c r="AQ214" i="73"/>
  <c r="BA214" i="73" s="1"/>
  <c r="AP214" i="73"/>
  <c r="AQ209" i="73"/>
  <c r="BA209" i="73" s="1"/>
  <c r="AP209" i="73"/>
  <c r="AQ181" i="73"/>
  <c r="AP179" i="73"/>
  <c r="AQ168" i="73"/>
  <c r="AQ179" i="73" s="1"/>
  <c r="AQ134" i="73"/>
  <c r="AP134" i="73"/>
  <c r="AQ132" i="73"/>
  <c r="BA132" i="73" s="1"/>
  <c r="AQ130" i="73"/>
  <c r="AP130" i="73"/>
  <c r="AQ126" i="73"/>
  <c r="AP126" i="73"/>
  <c r="AQ122" i="73"/>
  <c r="AQ113" i="73"/>
  <c r="AQ12" i="15" s="1"/>
  <c r="AQ13" i="15" s="1"/>
  <c r="AQ14" i="15" s="1"/>
  <c r="AQ106" i="73"/>
  <c r="AP106" i="73"/>
  <c r="AP118" i="73" s="1"/>
  <c r="AQ102" i="73"/>
  <c r="AQ62" i="73"/>
  <c r="AQ56" i="73"/>
  <c r="AQ51" i="73"/>
  <c r="AQ46" i="73"/>
  <c r="AQ35" i="73"/>
  <c r="AQ30" i="73"/>
  <c r="AQ22" i="73"/>
  <c r="AP22" i="73"/>
  <c r="AQ20" i="73"/>
  <c r="AQ120" i="90" s="1"/>
  <c r="BA120" i="90" s="1"/>
  <c r="AQ8" i="73"/>
  <c r="AP8" i="73"/>
  <c r="AP6" i="73" s="1"/>
  <c r="AU79" i="59"/>
  <c r="AU78" i="59"/>
  <c r="AU77" i="59"/>
  <c r="AT77" i="59"/>
  <c r="AT75" i="59"/>
  <c r="AT74" i="59"/>
  <c r="AU73" i="59"/>
  <c r="AT73" i="59"/>
  <c r="AU72" i="59"/>
  <c r="AT72" i="59"/>
  <c r="AT61" i="59"/>
  <c r="AT60" i="59"/>
  <c r="AU58" i="59"/>
  <c r="AT52" i="59"/>
  <c r="AU51" i="59"/>
  <c r="AT51" i="59"/>
  <c r="AU50" i="59"/>
  <c r="AT50" i="59"/>
  <c r="AU49" i="59"/>
  <c r="AT49" i="59"/>
  <c r="AU47" i="59"/>
  <c r="AT47" i="59"/>
  <c r="AU46" i="59"/>
  <c r="AT46" i="59"/>
  <c r="AU45" i="59"/>
  <c r="AT45" i="59"/>
  <c r="AU44" i="59"/>
  <c r="AT44" i="59"/>
  <c r="AU42" i="59"/>
  <c r="AT42" i="59"/>
  <c r="AU41" i="59"/>
  <c r="AT41" i="59"/>
  <c r="AU40" i="59"/>
  <c r="AT40" i="59"/>
  <c r="AT38" i="59"/>
  <c r="AT37" i="59"/>
  <c r="AT36" i="59"/>
  <c r="AU35" i="59"/>
  <c r="AT35" i="59"/>
  <c r="AU34" i="59"/>
  <c r="AT34" i="59"/>
  <c r="AU33" i="59"/>
  <c r="AT33" i="59"/>
  <c r="AU31" i="59"/>
  <c r="AT31" i="59"/>
  <c r="AU30" i="59"/>
  <c r="AT30" i="59"/>
  <c r="AU29" i="59"/>
  <c r="AT29" i="59"/>
  <c r="AU28" i="59"/>
  <c r="AT28" i="59"/>
  <c r="AU27" i="59"/>
  <c r="AU26" i="59"/>
  <c r="AU25" i="59"/>
  <c r="AU24" i="59"/>
  <c r="AU23" i="59"/>
  <c r="AU22" i="59"/>
  <c r="AU20" i="59"/>
  <c r="AU19" i="59"/>
  <c r="AU18" i="59"/>
  <c r="AU17" i="59"/>
  <c r="AU16" i="59"/>
  <c r="AU12" i="59"/>
  <c r="AT12" i="59"/>
  <c r="AU11" i="59"/>
  <c r="AT11" i="59"/>
  <c r="AQ72" i="36"/>
  <c r="AQ64" i="36" s="1"/>
  <c r="AQ71" i="36"/>
  <c r="AQ69" i="36"/>
  <c r="AQ61" i="36" s="1"/>
  <c r="AQ63" i="36" s="1"/>
  <c r="AQ67" i="36"/>
  <c r="AQ59" i="36" s="1"/>
  <c r="AQ66" i="36"/>
  <c r="AQ58" i="36" s="1"/>
  <c r="AR64" i="36"/>
  <c r="AR72" i="36" s="1"/>
  <c r="AR62" i="36"/>
  <c r="AR70" i="36" s="1"/>
  <c r="AR61" i="36"/>
  <c r="AR59" i="36"/>
  <c r="AR67" i="36" s="1"/>
  <c r="AR58" i="36"/>
  <c r="AR66" i="36" s="1"/>
  <c r="AR56" i="36"/>
  <c r="AR16" i="36" s="1"/>
  <c r="AR33" i="36"/>
  <c r="AQ33" i="36"/>
  <c r="AQ29" i="36"/>
  <c r="AP7" i="15" s="1"/>
  <c r="AQ28" i="36"/>
  <c r="AP6" i="15" s="1"/>
  <c r="AR26" i="36"/>
  <c r="AU74" i="59"/>
  <c r="AR23" i="36"/>
  <c r="AU71" i="59" s="1"/>
  <c r="AQ23" i="36"/>
  <c r="AT71" i="59" s="1"/>
  <c r="AQ22" i="36"/>
  <c r="AT67" i="59" s="1"/>
  <c r="AQ21" i="36"/>
  <c r="AT63" i="59" s="1"/>
  <c r="AQ17" i="36"/>
  <c r="AQ16" i="36"/>
  <c r="AQ13" i="36"/>
  <c r="AT39" i="59" s="1"/>
  <c r="AR12" i="36"/>
  <c r="AU38" i="59" s="1"/>
  <c r="AR11" i="36"/>
  <c r="AU37" i="59" s="1"/>
  <c r="AR10" i="36"/>
  <c r="AR9" i="36"/>
  <c r="AU10" i="59" s="1"/>
  <c r="AQ9" i="36"/>
  <c r="AT10" i="59" s="1"/>
  <c r="AR8" i="36"/>
  <c r="AU9" i="59" s="1"/>
  <c r="AQ8" i="36"/>
  <c r="AT9" i="59" s="1"/>
  <c r="AQ7" i="36"/>
  <c r="AT8" i="59" s="1"/>
  <c r="AQ5" i="36"/>
  <c r="AQ13" i="49" s="1"/>
  <c r="AR28" i="21"/>
  <c r="AQ27" i="21"/>
  <c r="AR24" i="21"/>
  <c r="AR25" i="21" s="1"/>
  <c r="AR18" i="21"/>
  <c r="AR15" i="21"/>
  <c r="AR12" i="21"/>
  <c r="AQ12" i="21"/>
  <c r="AQ15" i="21" s="1"/>
  <c r="AR555" i="28" l="1"/>
  <c r="BB555" i="28" s="1"/>
  <c r="AR556" i="28"/>
  <c r="BB556" i="28" s="1"/>
  <c r="AQ216" i="6"/>
  <c r="AQ219" i="6" s="1"/>
  <c r="AQ6" i="73"/>
  <c r="AQ5" i="73" s="1"/>
  <c r="AP37" i="77"/>
  <c r="BA229" i="73"/>
  <c r="AQ42" i="77"/>
  <c r="AR219" i="6"/>
  <c r="AQ118" i="73"/>
  <c r="AQ137" i="73"/>
  <c r="AQ56" i="36"/>
  <c r="AQ57" i="36"/>
  <c r="AQ12" i="49"/>
  <c r="AQ14" i="49" s="1"/>
  <c r="AQ15" i="49" s="1"/>
  <c r="AQ16" i="49" s="1"/>
  <c r="AQ19" i="49" s="1"/>
  <c r="AQ20" i="49" s="1"/>
  <c r="AT53" i="59"/>
  <c r="AT6" i="59"/>
  <c r="AT54" i="59"/>
  <c r="AQ60" i="36"/>
  <c r="AP137" i="73"/>
  <c r="AT78" i="59"/>
  <c r="AT79" i="59"/>
  <c r="AQ68" i="36"/>
  <c r="AT48" i="59"/>
  <c r="AR20" i="21"/>
  <c r="AU43" i="59"/>
  <c r="AR13" i="36"/>
  <c r="AU39" i="59" s="1"/>
  <c r="AR63" i="36"/>
  <c r="AR68" i="36"/>
  <c r="AR69" i="36"/>
  <c r="AR71" i="36" s="1"/>
  <c r="AU53" i="59"/>
  <c r="AT43" i="59"/>
  <c r="AU36" i="59"/>
  <c r="AU48" i="59"/>
  <c r="AR40" i="36"/>
  <c r="AR60" i="36"/>
  <c r="AQ22" i="21"/>
  <c r="BA42" i="77" l="1"/>
  <c r="AQ37" i="77"/>
  <c r="BA37" i="77" s="1"/>
  <c r="AR19" i="36"/>
  <c r="AU56" i="59" s="1"/>
  <c r="AQ42" i="35"/>
  <c r="BA42" i="35" s="1"/>
  <c r="AQ41" i="35"/>
  <c r="BA41" i="35" s="1"/>
  <c r="AQ39" i="35"/>
  <c r="BA39" i="35" s="1"/>
  <c r="AR36" i="35"/>
  <c r="AR48" i="35" s="1"/>
  <c r="BB48" i="35" s="1"/>
  <c r="AQ36" i="35"/>
  <c r="AQ37" i="28" s="1"/>
  <c r="AQ33" i="35"/>
  <c r="AR32" i="35"/>
  <c r="AR26" i="35"/>
  <c r="AR34" i="36" s="1"/>
  <c r="AR35" i="36" s="1"/>
  <c r="AR36" i="36" s="1"/>
  <c r="AR38" i="36" s="1"/>
  <c r="AQ26" i="35"/>
  <c r="AQ21" i="35"/>
  <c r="AQ20" i="35"/>
  <c r="BA20" i="35" s="1"/>
  <c r="AQ19" i="35"/>
  <c r="BA19" i="35" s="1"/>
  <c r="AR14" i="35"/>
  <c r="AR5" i="36" s="1"/>
  <c r="AR13" i="35"/>
  <c r="AR11" i="35"/>
  <c r="AR10" i="6" s="1"/>
  <c r="AQ10" i="35"/>
  <c r="BA10" i="35" s="1"/>
  <c r="AQ9" i="35"/>
  <c r="AQ8" i="35"/>
  <c r="AR7" i="35"/>
  <c r="AR6" i="6" s="1"/>
  <c r="AR6" i="35"/>
  <c r="AQ526" i="28" l="1"/>
  <c r="BA526" i="28" s="1"/>
  <c r="AQ31" i="28"/>
  <c r="BA37" i="28"/>
  <c r="AQ77" i="28"/>
  <c r="AR15" i="35"/>
  <c r="AQ34" i="36"/>
  <c r="AQ35" i="36" s="1"/>
  <c r="AQ36" i="36" s="1"/>
  <c r="AQ38" i="36" s="1"/>
  <c r="AQ30" i="36" s="1"/>
  <c r="AT80" i="59" s="1"/>
  <c r="AQ26" i="21"/>
  <c r="AQ28" i="21" s="1"/>
  <c r="AQ48" i="35"/>
  <c r="BA48" i="35" s="1"/>
  <c r="AQ11" i="35"/>
  <c r="AQ10" i="6" s="1"/>
  <c r="AQ8" i="6"/>
  <c r="AQ14" i="35"/>
  <c r="AQ9" i="6"/>
  <c r="AR8" i="35"/>
  <c r="AR5" i="6"/>
  <c r="AR98" i="6" s="1"/>
  <c r="AR18" i="6"/>
  <c r="AR16" i="6"/>
  <c r="AR41" i="36"/>
  <c r="AR43" i="36" s="1"/>
  <c r="AR31" i="36" s="1"/>
  <c r="AR30" i="36"/>
  <c r="AU80" i="59" s="1"/>
  <c r="AU6" i="59"/>
  <c r="AR13" i="49"/>
  <c r="AQ37" i="35"/>
  <c r="AQ13" i="35"/>
  <c r="AQ85" i="17"/>
  <c r="AP85" i="17"/>
  <c r="AK49" i="17"/>
  <c r="AJ49" i="17"/>
  <c r="AG49" i="17"/>
  <c r="AF49" i="17"/>
  <c r="AC49" i="17"/>
  <c r="AB49" i="17"/>
  <c r="W49" i="17"/>
  <c r="V49" i="17"/>
  <c r="S49" i="17"/>
  <c r="R49" i="17"/>
  <c r="O49" i="17"/>
  <c r="N49" i="17"/>
  <c r="BA552" i="28" l="1"/>
  <c r="BA31" i="28"/>
  <c r="AQ63" i="28"/>
  <c r="AQ93" i="28"/>
  <c r="BA93" i="28" s="1"/>
  <c r="BA551" i="28" s="1"/>
  <c r="BA77" i="28"/>
  <c r="AQ78" i="28"/>
  <c r="BA530" i="28"/>
  <c r="BA529" i="28"/>
  <c r="AR104" i="6"/>
  <c r="AR106" i="6" s="1"/>
  <c r="AR144" i="6" s="1"/>
  <c r="AQ49" i="35"/>
  <c r="AQ55" i="35" s="1"/>
  <c r="AQ15" i="35"/>
  <c r="AR189" i="6"/>
  <c r="AR194" i="6"/>
  <c r="AR17" i="6"/>
  <c r="AR15" i="6"/>
  <c r="AR7" i="6"/>
  <c r="AL116" i="10"/>
  <c r="AL109" i="10"/>
  <c r="AL90" i="10"/>
  <c r="AL61" i="10"/>
  <c r="AL56" i="10"/>
  <c r="AL12" i="10"/>
  <c r="AH36" i="10"/>
  <c r="AQ97" i="28" l="1"/>
  <c r="BA97" i="28" s="1"/>
  <c r="BA78" i="28"/>
  <c r="AQ69" i="28"/>
  <c r="BA69" i="28" s="1"/>
  <c r="BA63" i="28"/>
  <c r="BA550" i="28"/>
  <c r="AR147" i="6"/>
  <c r="AR145" i="6"/>
  <c r="AU15" i="59" s="1"/>
  <c r="AR197" i="6"/>
  <c r="AR19" i="6"/>
  <c r="AR164" i="6"/>
  <c r="AR168" i="6"/>
  <c r="AO56" i="50"/>
  <c r="AO57" i="50"/>
  <c r="AO58" i="50"/>
  <c r="AO59" i="50"/>
  <c r="AO60" i="50"/>
  <c r="AO61" i="50"/>
  <c r="BE61" i="50" s="1"/>
  <c r="AO62" i="50"/>
  <c r="AO63" i="50"/>
  <c r="AO64" i="50"/>
  <c r="AO65" i="50"/>
  <c r="AO66" i="50"/>
  <c r="AO68" i="50"/>
  <c r="AO69" i="50"/>
  <c r="AO70" i="50"/>
  <c r="AO71" i="50"/>
  <c r="AO72" i="50"/>
  <c r="AO73" i="50"/>
  <c r="AO74" i="50"/>
  <c r="AO75" i="50"/>
  <c r="AO76" i="50"/>
  <c r="AO77" i="50"/>
  <c r="AO78" i="50"/>
  <c r="AA56" i="50"/>
  <c r="AA57" i="50"/>
  <c r="AA58" i="50"/>
  <c r="AA59" i="50"/>
  <c r="AA60" i="50"/>
  <c r="AA61" i="50"/>
  <c r="AA62" i="50"/>
  <c r="AA63" i="50"/>
  <c r="AA64" i="50"/>
  <c r="AA65" i="50"/>
  <c r="AA66" i="50"/>
  <c r="AA68" i="50"/>
  <c r="AA69" i="50"/>
  <c r="AA70" i="50"/>
  <c r="AA71" i="50"/>
  <c r="AA72" i="50"/>
  <c r="AA73" i="50"/>
  <c r="AA74" i="50"/>
  <c r="AA75" i="50"/>
  <c r="AA76" i="50"/>
  <c r="AA77" i="50"/>
  <c r="AA78" i="50"/>
  <c r="O78" i="50"/>
  <c r="O56" i="50"/>
  <c r="O57" i="50"/>
  <c r="O58" i="50"/>
  <c r="O59" i="50"/>
  <c r="O60" i="50"/>
  <c r="O61" i="50"/>
  <c r="O62" i="50"/>
  <c r="O63" i="50"/>
  <c r="O64" i="50"/>
  <c r="O65" i="50"/>
  <c r="O66" i="50"/>
  <c r="O68" i="50"/>
  <c r="O69" i="50"/>
  <c r="O70" i="50"/>
  <c r="O71" i="50"/>
  <c r="O72" i="50"/>
  <c r="O73" i="50"/>
  <c r="O74" i="50"/>
  <c r="O75" i="50"/>
  <c r="O76" i="50"/>
  <c r="O77" i="50"/>
  <c r="AD64" i="104"/>
  <c r="AC64" i="104"/>
  <c r="AB64" i="104"/>
  <c r="AA64" i="104"/>
  <c r="Z64" i="104"/>
  <c r="Y64" i="104"/>
  <c r="X64" i="104"/>
  <c r="BF119" i="8" s="1"/>
  <c r="AR146" i="6" l="1"/>
  <c r="AR7" i="36" s="1"/>
  <c r="AU8" i="59" s="1"/>
  <c r="AR38" i="6"/>
  <c r="AR37" i="6"/>
  <c r="AR40" i="6"/>
  <c r="AR39" i="6"/>
  <c r="AR81" i="6"/>
  <c r="AR84" i="6"/>
  <c r="AP109" i="9"/>
  <c r="AR41" i="6" l="1"/>
  <c r="AJ86" i="77"/>
  <c r="AG86" i="77"/>
  <c r="AF86" i="77"/>
  <c r="AD86" i="77"/>
  <c r="AC86" i="77"/>
  <c r="AB86" i="77"/>
  <c r="Z86" i="77"/>
  <c r="X86" i="77"/>
  <c r="W86" i="77"/>
  <c r="V86" i="77"/>
  <c r="S86" i="77"/>
  <c r="R86" i="77"/>
  <c r="O86" i="77"/>
  <c r="N86" i="77"/>
  <c r="L86" i="77"/>
  <c r="K86" i="77"/>
  <c r="J86" i="77"/>
  <c r="AM210" i="73"/>
  <c r="BC210" i="73" s="1"/>
  <c r="AM211" i="73"/>
  <c r="BC211" i="73" s="1"/>
  <c r="AM212" i="73"/>
  <c r="BC212" i="73" s="1"/>
  <c r="AM213" i="73"/>
  <c r="BC213" i="73" s="1"/>
  <c r="AM215" i="73"/>
  <c r="BC215" i="73" s="1"/>
  <c r="AM216" i="73"/>
  <c r="BC216" i="73" s="1"/>
  <c r="AM217" i="73"/>
  <c r="BC217" i="73" s="1"/>
  <c r="AM218" i="73"/>
  <c r="BC218" i="73" s="1"/>
  <c r="AM219" i="73"/>
  <c r="BC219" i="73" s="1"/>
  <c r="AM221" i="73"/>
  <c r="BC221" i="73" s="1"/>
  <c r="AM222" i="73"/>
  <c r="BC222" i="73" s="1"/>
  <c r="AM223" i="73"/>
  <c r="BC223" i="73" s="1"/>
  <c r="AM224" i="73"/>
  <c r="BC224" i="73" s="1"/>
  <c r="AM225" i="73"/>
  <c r="BC225" i="73" s="1"/>
  <c r="AM226" i="73"/>
  <c r="BC226" i="73" s="1"/>
  <c r="AM227" i="73"/>
  <c r="BC227" i="73" s="1"/>
  <c r="AM228" i="73"/>
  <c r="BC228" i="73" s="1"/>
  <c r="AM230" i="73"/>
  <c r="BC230" i="73" s="1"/>
  <c r="AM233" i="73"/>
  <c r="BC233" i="73" s="1"/>
  <c r="AM234" i="73"/>
  <c r="BC234" i="73" s="1"/>
  <c r="AM235" i="73"/>
  <c r="BC235" i="73" s="1"/>
  <c r="AM236" i="73"/>
  <c r="BC236" i="73" s="1"/>
  <c r="AM237" i="73"/>
  <c r="BC237" i="73" s="1"/>
  <c r="AM238" i="73"/>
  <c r="BC238" i="73" s="1"/>
  <c r="AM239" i="73"/>
  <c r="BC239" i="73" s="1"/>
  <c r="AM241" i="73"/>
  <c r="BC241" i="73" s="1"/>
  <c r="AM243" i="73"/>
  <c r="BC243" i="73" s="1"/>
  <c r="AM244" i="73"/>
  <c r="BC244" i="73" s="1"/>
  <c r="AM245" i="73"/>
  <c r="AM246" i="73"/>
  <c r="AM247" i="73"/>
  <c r="AM248" i="73"/>
  <c r="AL103" i="9" l="1"/>
  <c r="X91" i="26"/>
  <c r="AL91" i="26"/>
  <c r="AZ84" i="26"/>
  <c r="AZ85" i="26"/>
  <c r="AZ86" i="26"/>
  <c r="AZ87" i="26"/>
  <c r="AZ88" i="26"/>
  <c r="AZ89" i="26"/>
  <c r="AZ90" i="26"/>
  <c r="AZ91" i="26"/>
  <c r="AL163" i="6"/>
  <c r="AD89" i="77" l="1"/>
  <c r="AB89" i="77"/>
  <c r="Z89" i="77"/>
  <c r="X89" i="77"/>
  <c r="V89" i="77"/>
  <c r="R89" i="77"/>
  <c r="N89" i="77"/>
  <c r="L89" i="77"/>
  <c r="J89" i="77"/>
  <c r="BD92" i="77"/>
  <c r="BB92" i="77"/>
  <c r="AZ92" i="77"/>
  <c r="BA92" i="77"/>
  <c r="AV92" i="77"/>
  <c r="AR92" i="77"/>
  <c r="AN92" i="77"/>
  <c r="AL92" i="77"/>
  <c r="AK92" i="77"/>
  <c r="AJ92" i="77"/>
  <c r="AH92" i="77"/>
  <c r="AG92" i="77"/>
  <c r="AF92" i="77"/>
  <c r="AC92" i="77"/>
  <c r="W92" i="77"/>
  <c r="S92" i="77"/>
  <c r="P92" i="77"/>
  <c r="T92" i="77" s="1"/>
  <c r="O92" i="77"/>
  <c r="K92" i="77"/>
  <c r="H92" i="77"/>
  <c r="AZ214" i="73"/>
  <c r="AV214" i="73"/>
  <c r="AT214" i="73"/>
  <c r="AR214" i="73"/>
  <c r="AN214" i="73"/>
  <c r="AL214" i="73"/>
  <c r="AJ214" i="73"/>
  <c r="AH214" i="73"/>
  <c r="AG214" i="73"/>
  <c r="AF214" i="73"/>
  <c r="AD214" i="73"/>
  <c r="AC214" i="73"/>
  <c r="AB214" i="73"/>
  <c r="Z214" i="73"/>
  <c r="X214" i="73"/>
  <c r="W214" i="73"/>
  <c r="V214" i="73"/>
  <c r="T214" i="73"/>
  <c r="S214" i="73"/>
  <c r="R214" i="73"/>
  <c r="P214" i="73"/>
  <c r="O214" i="73"/>
  <c r="N214" i="73"/>
  <c r="L214" i="73"/>
  <c r="K214" i="73"/>
  <c r="J214" i="73"/>
  <c r="H214" i="73"/>
  <c r="AK214" i="73"/>
  <c r="AM214" i="73" l="1"/>
  <c r="BC214" i="73" s="1"/>
  <c r="Q92" i="77"/>
  <c r="I92" i="77"/>
  <c r="AM92" i="77"/>
  <c r="BC92" i="77" s="1"/>
  <c r="M92" i="77"/>
  <c r="AI92" i="77"/>
  <c r="Y92" i="77"/>
  <c r="AA92" i="77"/>
  <c r="U92" i="77"/>
  <c r="AO92" i="77"/>
  <c r="AE92" i="77"/>
  <c r="AS92" i="77"/>
  <c r="BE92" i="77" l="1"/>
  <c r="AL29" i="22"/>
  <c r="AL25" i="22"/>
  <c r="AL24" i="22"/>
  <c r="AL14" i="22"/>
  <c r="AL10" i="22"/>
  <c r="AL9" i="22"/>
  <c r="AK37" i="27"/>
  <c r="AK35" i="27"/>
  <c r="AK27" i="27"/>
  <c r="AK29" i="27"/>
  <c r="AK28" i="27"/>
  <c r="AK26" i="27"/>
  <c r="AK20" i="27"/>
  <c r="AK19" i="27"/>
  <c r="AK18" i="27"/>
  <c r="AL6" i="27"/>
  <c r="AL27" i="22" l="1"/>
  <c r="AL12" i="22"/>
  <c r="AJ37" i="27"/>
  <c r="AJ21" i="27"/>
  <c r="AJ39" i="27" l="1"/>
  <c r="AK36" i="27"/>
  <c r="AK39" i="27" s="1"/>
  <c r="AJ33" i="27"/>
  <c r="AK33" i="27"/>
  <c r="AJ24" i="27"/>
  <c r="AK22" i="27"/>
  <c r="AK21" i="27"/>
  <c r="AK24" i="27" l="1"/>
  <c r="AK128" i="26"/>
  <c r="AJ128" i="26"/>
  <c r="AK112" i="26"/>
  <c r="AJ110" i="26"/>
  <c r="AJ108" i="26"/>
  <c r="AJ106" i="26"/>
  <c r="AJ104" i="26"/>
  <c r="AJ102" i="26"/>
  <c r="AJ100" i="26"/>
  <c r="AJ98" i="26"/>
  <c r="AJ96" i="26"/>
  <c r="AK92" i="26"/>
  <c r="AJ89" i="26"/>
  <c r="AJ87" i="26"/>
  <c r="AJ85" i="26"/>
  <c r="AJ83" i="26"/>
  <c r="AK81" i="26"/>
  <c r="AK80" i="26"/>
  <c r="AJ78" i="26"/>
  <c r="AJ76" i="26"/>
  <c r="AK73" i="26"/>
  <c r="AJ71" i="26"/>
  <c r="AJ69" i="26"/>
  <c r="AJ67" i="26"/>
  <c r="AJ65" i="26"/>
  <c r="AJ63" i="26"/>
  <c r="AJ61" i="26"/>
  <c r="AJ59" i="26"/>
  <c r="AJ57" i="26"/>
  <c r="AJ52" i="26"/>
  <c r="AJ50" i="26"/>
  <c r="AK48" i="26"/>
  <c r="AJ46" i="26"/>
  <c r="AK43" i="26"/>
  <c r="AJ41" i="26"/>
  <c r="AJ39" i="26"/>
  <c r="AJ37" i="26"/>
  <c r="AJ35" i="26"/>
  <c r="AJ33" i="26"/>
  <c r="AJ31" i="26"/>
  <c r="AJ29" i="26"/>
  <c r="AJ27" i="26"/>
  <c r="AJ25" i="26"/>
  <c r="AJ23" i="26"/>
  <c r="AJ21" i="26"/>
  <c r="AJ17" i="26"/>
  <c r="AJ15" i="26"/>
  <c r="AK12" i="26"/>
  <c r="AJ11" i="26"/>
  <c r="AJ9" i="26"/>
  <c r="AK54" i="26" l="1"/>
  <c r="AJ48" i="26"/>
  <c r="AJ54" i="26" s="1"/>
  <c r="AK18" i="26"/>
  <c r="AJ81" i="26"/>
  <c r="AJ92" i="26"/>
  <c r="AJ112" i="26"/>
  <c r="AJ80" i="26"/>
  <c r="AJ73" i="26"/>
  <c r="AJ43" i="26"/>
  <c r="AJ12" i="26"/>
  <c r="AK13" i="26"/>
  <c r="AK19" i="26"/>
  <c r="AK49" i="26"/>
  <c r="AK55" i="26"/>
  <c r="AJ13" i="26" l="1"/>
  <c r="AJ55" i="26"/>
  <c r="AJ49" i="26"/>
  <c r="AJ19" i="26"/>
  <c r="AJ18" i="26"/>
  <c r="AM80" i="17" l="1"/>
  <c r="AM81" i="17"/>
  <c r="AK57" i="17" l="1"/>
  <c r="AJ57" i="17"/>
  <c r="AK56" i="17"/>
  <c r="AJ56" i="17"/>
  <c r="AK55" i="17"/>
  <c r="AJ55" i="17"/>
  <c r="AK54" i="17"/>
  <c r="AJ54" i="17"/>
  <c r="AK53" i="17"/>
  <c r="AJ53" i="17"/>
  <c r="AK44" i="17"/>
  <c r="AJ44" i="17"/>
  <c r="AK37" i="17"/>
  <c r="AK39" i="17" s="1"/>
  <c r="AJ37" i="17"/>
  <c r="AJ39" i="17" s="1"/>
  <c r="AJ31" i="17"/>
  <c r="AK29" i="17"/>
  <c r="AK30" i="17" s="1"/>
  <c r="AJ28" i="17"/>
  <c r="AJ25" i="17"/>
  <c r="AK22" i="17"/>
  <c r="AK23" i="17" s="1"/>
  <c r="AJ22" i="17"/>
  <c r="AK19" i="17"/>
  <c r="AJ18" i="17"/>
  <c r="AK17" i="17"/>
  <c r="AJ16" i="17"/>
  <c r="AK14" i="17"/>
  <c r="AK20" i="17" s="1"/>
  <c r="AJ14" i="17"/>
  <c r="AK13" i="17"/>
  <c r="AK11" i="17"/>
  <c r="AK9" i="17"/>
  <c r="AK8" i="72"/>
  <c r="AM108" i="90" s="1"/>
  <c r="BC108" i="90" s="1"/>
  <c r="AK12" i="72"/>
  <c r="AK13" i="72"/>
  <c r="AK14" i="72"/>
  <c r="AK18" i="72"/>
  <c r="AK19" i="72"/>
  <c r="AM116" i="90" s="1"/>
  <c r="BC116" i="90" s="1"/>
  <c r="AK21" i="72"/>
  <c r="AK22" i="72"/>
  <c r="AK23" i="72"/>
  <c r="AK24" i="72"/>
  <c r="AK25" i="72"/>
  <c r="AK26" i="72"/>
  <c r="AK28" i="72"/>
  <c r="AK29" i="72"/>
  <c r="AK30" i="72"/>
  <c r="AK31" i="72"/>
  <c r="BA31" i="72" s="1"/>
  <c r="AK32" i="72"/>
  <c r="BA32" i="72" s="1"/>
  <c r="AK33" i="72"/>
  <c r="BA33" i="72" s="1"/>
  <c r="AK34" i="72"/>
  <c r="BA34" i="72" s="1"/>
  <c r="AK35" i="72"/>
  <c r="BA35" i="72" s="1"/>
  <c r="AK36" i="72"/>
  <c r="BA36" i="72" s="1"/>
  <c r="AK37" i="72"/>
  <c r="AK38" i="72"/>
  <c r="AK39" i="72"/>
  <c r="AK41" i="72"/>
  <c r="AK42" i="72"/>
  <c r="AK43" i="72"/>
  <c r="AK44" i="72"/>
  <c r="AK45" i="72"/>
  <c r="BA45" i="72" s="1"/>
  <c r="AK46" i="72"/>
  <c r="AK47" i="72"/>
  <c r="AK49" i="72"/>
  <c r="AU44" i="71"/>
  <c r="AW44" i="71"/>
  <c r="BA44" i="71"/>
  <c r="BE44" i="71"/>
  <c r="BI44" i="71"/>
  <c r="BM44" i="71"/>
  <c r="BS44" i="71"/>
  <c r="BW44" i="71"/>
  <c r="CA44" i="71"/>
  <c r="CQ44" i="71"/>
  <c r="AK57" i="71"/>
  <c r="AK7" i="71"/>
  <c r="AK8" i="71"/>
  <c r="AK9" i="71"/>
  <c r="AK10" i="71"/>
  <c r="AK11" i="71"/>
  <c r="AK12" i="71"/>
  <c r="AK13" i="71"/>
  <c r="AK14" i="71"/>
  <c r="AK15" i="71"/>
  <c r="AK16" i="71"/>
  <c r="AK17" i="71"/>
  <c r="AK18" i="71"/>
  <c r="AK19" i="71"/>
  <c r="AK20" i="71"/>
  <c r="AK21" i="71"/>
  <c r="AK22" i="71"/>
  <c r="AK23" i="71"/>
  <c r="AK25" i="71"/>
  <c r="AK26" i="71"/>
  <c r="AK27" i="71"/>
  <c r="AK28" i="71"/>
  <c r="AK29" i="71"/>
  <c r="AK30" i="71"/>
  <c r="AK32" i="71"/>
  <c r="AK33" i="71"/>
  <c r="AK34" i="71"/>
  <c r="AK35" i="71"/>
  <c r="AK36" i="71"/>
  <c r="AK37" i="71"/>
  <c r="AK38" i="71"/>
  <c r="AK39" i="71"/>
  <c r="AK40" i="71"/>
  <c r="AK41" i="71"/>
  <c r="AK42" i="71"/>
  <c r="AK43" i="71"/>
  <c r="AK44" i="71"/>
  <c r="AK45" i="71"/>
  <c r="AK46" i="71"/>
  <c r="AK47" i="71"/>
  <c r="AK48" i="71"/>
  <c r="AK49" i="71"/>
  <c r="AK51" i="71"/>
  <c r="AK52" i="71"/>
  <c r="AK53" i="71"/>
  <c r="AK54" i="71"/>
  <c r="AK55" i="71"/>
  <c r="AK56" i="71"/>
  <c r="AF7" i="71"/>
  <c r="AF8" i="71"/>
  <c r="AF9" i="71"/>
  <c r="AF10" i="71"/>
  <c r="AF11" i="71"/>
  <c r="AF12" i="71"/>
  <c r="AF13" i="71"/>
  <c r="AF14" i="71"/>
  <c r="AF15" i="71"/>
  <c r="AF16" i="71"/>
  <c r="AF17" i="71"/>
  <c r="AF18" i="71"/>
  <c r="AF19" i="71"/>
  <c r="AF20" i="71"/>
  <c r="AF21" i="71"/>
  <c r="AF22" i="71"/>
  <c r="AF23" i="71"/>
  <c r="AF25" i="71"/>
  <c r="AF26" i="71"/>
  <c r="AF27" i="71"/>
  <c r="AF28" i="71"/>
  <c r="AF29" i="71"/>
  <c r="AF30" i="71"/>
  <c r="AF32" i="71"/>
  <c r="AF33" i="71"/>
  <c r="AF34" i="71"/>
  <c r="AF35" i="71"/>
  <c r="AF36" i="71"/>
  <c r="AF37" i="71"/>
  <c r="AF38" i="71"/>
  <c r="AF39" i="71"/>
  <c r="AF40" i="71"/>
  <c r="AF41" i="71"/>
  <c r="AF42" i="71"/>
  <c r="AF43" i="71"/>
  <c r="AF44" i="71"/>
  <c r="AF45" i="71"/>
  <c r="AF46" i="71"/>
  <c r="AF47" i="71"/>
  <c r="AF48" i="71"/>
  <c r="AF49" i="71"/>
  <c r="AF51" i="71"/>
  <c r="AF52" i="71"/>
  <c r="AF53" i="71"/>
  <c r="AF54" i="71"/>
  <c r="AF55" i="71"/>
  <c r="AF56" i="71"/>
  <c r="AF57" i="71"/>
  <c r="AB7" i="71"/>
  <c r="AG7" i="71" s="1"/>
  <c r="AB8" i="71"/>
  <c r="AG8" i="71" s="1"/>
  <c r="AB9" i="71"/>
  <c r="AB10" i="71"/>
  <c r="AG10" i="71" s="1"/>
  <c r="AB11" i="71"/>
  <c r="AG11" i="71" s="1"/>
  <c r="AB12" i="71"/>
  <c r="AB13" i="71"/>
  <c r="AG13" i="71" s="1"/>
  <c r="AB14" i="71"/>
  <c r="AG14" i="71" s="1"/>
  <c r="AB15" i="71"/>
  <c r="AB16" i="71"/>
  <c r="AG16" i="71" s="1"/>
  <c r="AB17" i="71"/>
  <c r="AB18" i="71"/>
  <c r="AB19" i="71"/>
  <c r="AB20" i="71"/>
  <c r="AG20" i="71" s="1"/>
  <c r="AB21" i="71"/>
  <c r="AB22" i="71"/>
  <c r="AG22" i="71" s="1"/>
  <c r="AB23" i="71"/>
  <c r="AG23" i="71" s="1"/>
  <c r="AB25" i="71"/>
  <c r="AG25" i="71" s="1"/>
  <c r="AB26" i="71"/>
  <c r="AB27" i="71"/>
  <c r="AG27" i="71" s="1"/>
  <c r="AB28" i="71"/>
  <c r="AB29" i="71"/>
  <c r="AG29" i="71" s="1"/>
  <c r="AB30" i="71"/>
  <c r="AG30" i="71" s="1"/>
  <c r="AB32" i="71"/>
  <c r="AB33" i="71"/>
  <c r="AG33" i="71" s="1"/>
  <c r="AB34" i="71"/>
  <c r="AG34" i="71" s="1"/>
  <c r="AB35" i="71"/>
  <c r="AB36" i="71"/>
  <c r="AG36" i="71" s="1"/>
  <c r="AB37" i="71"/>
  <c r="AG37" i="71" s="1"/>
  <c r="AB38" i="71"/>
  <c r="AG38" i="71" s="1"/>
  <c r="AB39" i="71"/>
  <c r="AG39" i="71" s="1"/>
  <c r="AB40" i="71"/>
  <c r="AG40" i="71" s="1"/>
  <c r="AB41" i="71"/>
  <c r="AB42" i="71"/>
  <c r="AG42" i="71" s="1"/>
  <c r="AB43" i="71"/>
  <c r="AG43" i="71" s="1"/>
  <c r="AB44" i="71"/>
  <c r="AB45" i="71"/>
  <c r="AG45" i="71" s="1"/>
  <c r="AB46" i="71"/>
  <c r="AG46" i="71" s="1"/>
  <c r="AB47" i="71"/>
  <c r="AB48" i="71"/>
  <c r="AG48" i="71" s="1"/>
  <c r="AB49" i="71"/>
  <c r="AG49" i="71" s="1"/>
  <c r="AB51" i="71"/>
  <c r="AG51" i="71" s="1"/>
  <c r="AB52" i="71"/>
  <c r="AB53" i="71"/>
  <c r="AG53" i="71" s="1"/>
  <c r="AB54" i="71"/>
  <c r="AB55" i="71"/>
  <c r="AG55" i="71" s="1"/>
  <c r="AB56" i="71"/>
  <c r="AB57" i="71"/>
  <c r="CQ23" i="71"/>
  <c r="AU23" i="71"/>
  <c r="AW23" i="71"/>
  <c r="BA23" i="71"/>
  <c r="BE23" i="71"/>
  <c r="BI23" i="71"/>
  <c r="BM23" i="71"/>
  <c r="BS23" i="71"/>
  <c r="BW23" i="71"/>
  <c r="CA23" i="71"/>
  <c r="AO32" i="71"/>
  <c r="AO23" i="71"/>
  <c r="CA7" i="71"/>
  <c r="CA8" i="71"/>
  <c r="CA9" i="71"/>
  <c r="AK68" i="90" s="1"/>
  <c r="CA10" i="71"/>
  <c r="CA11" i="71"/>
  <c r="CA12" i="71"/>
  <c r="CA13" i="71"/>
  <c r="CA14" i="71"/>
  <c r="CA15" i="71"/>
  <c r="CA16" i="71"/>
  <c r="CA17" i="71"/>
  <c r="CA18" i="71"/>
  <c r="CA19" i="71"/>
  <c r="AK69" i="90" s="1"/>
  <c r="CA20" i="71"/>
  <c r="AK70" i="90" s="1"/>
  <c r="CA21" i="71"/>
  <c r="AK71" i="90" s="1"/>
  <c r="CA22" i="71"/>
  <c r="AK72" i="90" s="1"/>
  <c r="CA25" i="71"/>
  <c r="CA26" i="71"/>
  <c r="CA27" i="71"/>
  <c r="AK73" i="90" s="1"/>
  <c r="CA28" i="71"/>
  <c r="CA29" i="71"/>
  <c r="CA30" i="71"/>
  <c r="CA32" i="71"/>
  <c r="CA33" i="71"/>
  <c r="CA34" i="71"/>
  <c r="CA35" i="71"/>
  <c r="CA36" i="71"/>
  <c r="CA37" i="71"/>
  <c r="CA38" i="71"/>
  <c r="AK74" i="90" s="1"/>
  <c r="CA39" i="71"/>
  <c r="CA40" i="71"/>
  <c r="CA41" i="71"/>
  <c r="CA42" i="71"/>
  <c r="AK76" i="90" s="1"/>
  <c r="CA43" i="71"/>
  <c r="AK77" i="90" s="1"/>
  <c r="CA45" i="71"/>
  <c r="AK78" i="90" s="1"/>
  <c r="CA46" i="71"/>
  <c r="CA47" i="71"/>
  <c r="AK79" i="90" s="1"/>
  <c r="CA48" i="71"/>
  <c r="AK80" i="90" s="1"/>
  <c r="CA49" i="71"/>
  <c r="AK81" i="90" s="1"/>
  <c r="CA51" i="71"/>
  <c r="AK83" i="90" s="1"/>
  <c r="CA52" i="71"/>
  <c r="AK84" i="90" s="1"/>
  <c r="CA53" i="71"/>
  <c r="CA54" i="71"/>
  <c r="CA55" i="71"/>
  <c r="CA56" i="71"/>
  <c r="AK85" i="90" s="1"/>
  <c r="CA57" i="71"/>
  <c r="AG19" i="71" l="1"/>
  <c r="AG44" i="71"/>
  <c r="AG32" i="71"/>
  <c r="AG56" i="71"/>
  <c r="AG17" i="71"/>
  <c r="AJ85" i="17"/>
  <c r="AG52" i="71"/>
  <c r="AM112" i="90"/>
  <c r="BC112" i="90" s="1"/>
  <c r="AM113" i="90"/>
  <c r="BC113" i="90" s="1"/>
  <c r="AM114" i="90"/>
  <c r="BC114" i="90" s="1"/>
  <c r="AG26" i="71"/>
  <c r="AP32" i="71"/>
  <c r="CC23" i="71"/>
  <c r="CS23" i="71" s="1"/>
  <c r="CC44" i="71"/>
  <c r="CS44" i="71" s="1"/>
  <c r="AK85" i="17"/>
  <c r="AJ29" i="17"/>
  <c r="AJ32" i="17" s="1"/>
  <c r="AK32" i="17"/>
  <c r="AJ20" i="17"/>
  <c r="AK21" i="17"/>
  <c r="AK25" i="17" s="1"/>
  <c r="AK24" i="17"/>
  <c r="AK15" i="17"/>
  <c r="BO23" i="71"/>
  <c r="BC23" i="71"/>
  <c r="BG23" i="71" s="1"/>
  <c r="BK23" i="71" s="1"/>
  <c r="CU23" i="71"/>
  <c r="AG54" i="71"/>
  <c r="AG47" i="71"/>
  <c r="AG41" i="71"/>
  <c r="AG35" i="71"/>
  <c r="AG28" i="71"/>
  <c r="AG21" i="71"/>
  <c r="AG15" i="71"/>
  <c r="AG9" i="71"/>
  <c r="BO44" i="71"/>
  <c r="AG18" i="71"/>
  <c r="AG12" i="71"/>
  <c r="AP23" i="71"/>
  <c r="BC44" i="71"/>
  <c r="BG44" i="71" s="1"/>
  <c r="BK44" i="71" s="1"/>
  <c r="CU44" i="71"/>
  <c r="AJ30" i="17" l="1"/>
  <c r="BQ44" i="71"/>
  <c r="BU44" i="71" s="1"/>
  <c r="BY44" i="71" s="1"/>
  <c r="CE44" i="71" s="1"/>
  <c r="AJ24" i="17"/>
  <c r="BQ23" i="71"/>
  <c r="BU23" i="71" s="1"/>
  <c r="BY23" i="71" s="1"/>
  <c r="CE23" i="71" s="1"/>
  <c r="CI23" i="71" l="1"/>
  <c r="CM23" i="71" s="1"/>
  <c r="CI44" i="71"/>
  <c r="CM44" i="71" s="1"/>
  <c r="AQ82" i="45"/>
  <c r="AU82" i="45" s="1"/>
  <c r="AY82" i="45" s="1"/>
  <c r="BG82" i="45" s="1"/>
  <c r="AQ87" i="45"/>
  <c r="AU87" i="45" s="1"/>
  <c r="AY87" i="45" s="1"/>
  <c r="BG87" i="45" s="1"/>
  <c r="AO9" i="45"/>
  <c r="AO10" i="45"/>
  <c r="AO11" i="45"/>
  <c r="AO12" i="45"/>
  <c r="AO13" i="45"/>
  <c r="AO14" i="45"/>
  <c r="AO15" i="45"/>
  <c r="AO16" i="45"/>
  <c r="AO17" i="45"/>
  <c r="AO18" i="45"/>
  <c r="AO19" i="45"/>
  <c r="AO20" i="45"/>
  <c r="AO21" i="45"/>
  <c r="AO22" i="45"/>
  <c r="AO23" i="45"/>
  <c r="AO24" i="45"/>
  <c r="AO25" i="45"/>
  <c r="AO27" i="45"/>
  <c r="AO28" i="45"/>
  <c r="AO29" i="45"/>
  <c r="BE29" i="45" s="1"/>
  <c r="AO30" i="45"/>
  <c r="BE30" i="45" s="1"/>
  <c r="AO31" i="45"/>
  <c r="BE31" i="45" s="1"/>
  <c r="AO32" i="45"/>
  <c r="AO33" i="45"/>
  <c r="AO34" i="45"/>
  <c r="AO35" i="45"/>
  <c r="AO36" i="45"/>
  <c r="AO37" i="45"/>
  <c r="AO38" i="45"/>
  <c r="AO39" i="45"/>
  <c r="AO40" i="45"/>
  <c r="AO41" i="45"/>
  <c r="AO42" i="45"/>
  <c r="AO43" i="45"/>
  <c r="AO44" i="45"/>
  <c r="AO45" i="45"/>
  <c r="AO46" i="45"/>
  <c r="AO47" i="45"/>
  <c r="AO48" i="45"/>
  <c r="AO49" i="45"/>
  <c r="AO50" i="45"/>
  <c r="BE50" i="45" s="1"/>
  <c r="AO51" i="45"/>
  <c r="AO52" i="45"/>
  <c r="AO54" i="45"/>
  <c r="AO55" i="45"/>
  <c r="AO56" i="45"/>
  <c r="AO57" i="45"/>
  <c r="AO58" i="45"/>
  <c r="AO59" i="45"/>
  <c r="AO60" i="45"/>
  <c r="AO61" i="45"/>
  <c r="AO62" i="45"/>
  <c r="AO63" i="45"/>
  <c r="BE63" i="45" s="1"/>
  <c r="AO64" i="45"/>
  <c r="AO65" i="45"/>
  <c r="AO66" i="45"/>
  <c r="AO67" i="45"/>
  <c r="AO68" i="45"/>
  <c r="AO69" i="45"/>
  <c r="AO70" i="45"/>
  <c r="AO71" i="45"/>
  <c r="BE71" i="45" s="1"/>
  <c r="AO72" i="45"/>
  <c r="BE72" i="45" s="1"/>
  <c r="AO73" i="45"/>
  <c r="AO74" i="45"/>
  <c r="AO75" i="45"/>
  <c r="BE75" i="45" s="1"/>
  <c r="AO76" i="45"/>
  <c r="BE76" i="45" s="1"/>
  <c r="AO77" i="45"/>
  <c r="BE77" i="45" s="1"/>
  <c r="AO78" i="45"/>
  <c r="BE78" i="45" s="1"/>
  <c r="AO79" i="45"/>
  <c r="BE79" i="45" s="1"/>
  <c r="AO80" i="45"/>
  <c r="BE80" i="45" s="1"/>
  <c r="AO81" i="45"/>
  <c r="BE81" i="45" s="1"/>
  <c r="AO82" i="45"/>
  <c r="BE82" i="45" s="1"/>
  <c r="AO83" i="45"/>
  <c r="BE83" i="45" s="1"/>
  <c r="AO84" i="45"/>
  <c r="BE84" i="45" s="1"/>
  <c r="AO85" i="45"/>
  <c r="BE85" i="45" s="1"/>
  <c r="AO86" i="45"/>
  <c r="BE86" i="45" s="1"/>
  <c r="AO87" i="45"/>
  <c r="BE87" i="45" s="1"/>
  <c r="AO88" i="45"/>
  <c r="BE88" i="45" s="1"/>
  <c r="AO89" i="45"/>
  <c r="AO90" i="45"/>
  <c r="AO91" i="45"/>
  <c r="AO92" i="45"/>
  <c r="AO93" i="45"/>
  <c r="AO94" i="45"/>
  <c r="AO96" i="45"/>
  <c r="BE96" i="45" s="1"/>
  <c r="AO97" i="45"/>
  <c r="AO98" i="45"/>
  <c r="AO99" i="45"/>
  <c r="BE99" i="45" s="1"/>
  <c r="AO100" i="45"/>
  <c r="BE100" i="45" s="1"/>
  <c r="AO101" i="45"/>
  <c r="BE101" i="45" s="1"/>
  <c r="AO102" i="45"/>
  <c r="AO103" i="45"/>
  <c r="AO104" i="45"/>
  <c r="AO105" i="45"/>
  <c r="AO106" i="45"/>
  <c r="AO107" i="45"/>
  <c r="AO108" i="45"/>
  <c r="AO109" i="45"/>
  <c r="AO110" i="45"/>
  <c r="AO111" i="45"/>
  <c r="AO112" i="45"/>
  <c r="AO113" i="45"/>
  <c r="AO114" i="45"/>
  <c r="AO115" i="45"/>
  <c r="AO116" i="45"/>
  <c r="AO117" i="45"/>
  <c r="AP94" i="38" l="1"/>
  <c r="AP93" i="38"/>
  <c r="AP92" i="38"/>
  <c r="AP91" i="38"/>
  <c r="AO90" i="38"/>
  <c r="AP89" i="38"/>
  <c r="AO88" i="38"/>
  <c r="AP86" i="38"/>
  <c r="AP85" i="38"/>
  <c r="AP84" i="38"/>
  <c r="AP83" i="38"/>
  <c r="AO82" i="38"/>
  <c r="AP80" i="38"/>
  <c r="AP79" i="38"/>
  <c r="AP78" i="38"/>
  <c r="AP77" i="38"/>
  <c r="AP76" i="38"/>
  <c r="AP75" i="38"/>
  <c r="AP74" i="38"/>
  <c r="AP73" i="38"/>
  <c r="AP72" i="38"/>
  <c r="AP71" i="38"/>
  <c r="AP70" i="38"/>
  <c r="AP69" i="38"/>
  <c r="AP68" i="38"/>
  <c r="AP67" i="38"/>
  <c r="AO66" i="38"/>
  <c r="AP62" i="38"/>
  <c r="AP61" i="38"/>
  <c r="AO60" i="38"/>
  <c r="AP59" i="38"/>
  <c r="AP58" i="38"/>
  <c r="AP57" i="38"/>
  <c r="AP56" i="38"/>
  <c r="AP55" i="38"/>
  <c r="AO54" i="38"/>
  <c r="AO52" i="38"/>
  <c r="AP51" i="38"/>
  <c r="AO51" i="38"/>
  <c r="AO46" i="38"/>
  <c r="AO45" i="38"/>
  <c r="AO44" i="38"/>
  <c r="AO43" i="38"/>
  <c r="AP42" i="38"/>
  <c r="AP90" i="38" s="1"/>
  <c r="AO41" i="38"/>
  <c r="AO40" i="38" s="1"/>
  <c r="AP40" i="38"/>
  <c r="AP88" i="38" s="1"/>
  <c r="AO38" i="38"/>
  <c r="AO37" i="38"/>
  <c r="AO36" i="38"/>
  <c r="AO35" i="38"/>
  <c r="AP34" i="38"/>
  <c r="AP82" i="38" s="1"/>
  <c r="AO32" i="38"/>
  <c r="AO31" i="38"/>
  <c r="AO30" i="38"/>
  <c r="AO29" i="38"/>
  <c r="AO28" i="38"/>
  <c r="AO27" i="38"/>
  <c r="AO26" i="38"/>
  <c r="AO25" i="38"/>
  <c r="AO24" i="38"/>
  <c r="AO23" i="38"/>
  <c r="AO22" i="38"/>
  <c r="AO21" i="38"/>
  <c r="AO20" i="38"/>
  <c r="AO19" i="38"/>
  <c r="AP18" i="38"/>
  <c r="AP66" i="38" s="1"/>
  <c r="AO14" i="38"/>
  <c r="AO13" i="38"/>
  <c r="AP12" i="38"/>
  <c r="AP60" i="38" s="1"/>
  <c r="AO11" i="38"/>
  <c r="AO10" i="38"/>
  <c r="AO9" i="38"/>
  <c r="AO8" i="38"/>
  <c r="AO7" i="38"/>
  <c r="AP6" i="38"/>
  <c r="AO12" i="38" l="1"/>
  <c r="AO63" i="38"/>
  <c r="AP15" i="38"/>
  <c r="AO65" i="38"/>
  <c r="AP17" i="38"/>
  <c r="AP65" i="38" s="1"/>
  <c r="AO87" i="38"/>
  <c r="AO42" i="38"/>
  <c r="AO39" i="38" s="1"/>
  <c r="AO34" i="38"/>
  <c r="AO18" i="38"/>
  <c r="AO6" i="38"/>
  <c r="AO15" i="38" s="1"/>
  <c r="AP54" i="38"/>
  <c r="AP63" i="38"/>
  <c r="AP39" i="38"/>
  <c r="BC117" i="45"/>
  <c r="BE117" i="45" s="1"/>
  <c r="AO118" i="45"/>
  <c r="BC118" i="45"/>
  <c r="AO119" i="45"/>
  <c r="BC119" i="45"/>
  <c r="AN8" i="11"/>
  <c r="BD8" i="11" s="1"/>
  <c r="AN9" i="11"/>
  <c r="BD9" i="11" s="1"/>
  <c r="AN10" i="11"/>
  <c r="BD10" i="11" s="1"/>
  <c r="AN11" i="11"/>
  <c r="BD11" i="11" s="1"/>
  <c r="AN12" i="11"/>
  <c r="BD12" i="11" s="1"/>
  <c r="AN13" i="11"/>
  <c r="BD13" i="11" s="1"/>
  <c r="AN14" i="11"/>
  <c r="BD14" i="11" s="1"/>
  <c r="AN15" i="11"/>
  <c r="BD15" i="11" s="1"/>
  <c r="AN16" i="11"/>
  <c r="BD16" i="11" s="1"/>
  <c r="AN17" i="11"/>
  <c r="BD17" i="11" s="1"/>
  <c r="AN18" i="11"/>
  <c r="BD18" i="11" s="1"/>
  <c r="AN19" i="11"/>
  <c r="BD19" i="11" s="1"/>
  <c r="AN20" i="11"/>
  <c r="BD20" i="11" s="1"/>
  <c r="AN21" i="11"/>
  <c r="BD21" i="11" s="1"/>
  <c r="AN22" i="11"/>
  <c r="BD22" i="11" s="1"/>
  <c r="AN23" i="11"/>
  <c r="BD23" i="11" s="1"/>
  <c r="AN24" i="11"/>
  <c r="BD24" i="11" s="1"/>
  <c r="AN25" i="11"/>
  <c r="BD25" i="11" s="1"/>
  <c r="AN26" i="11"/>
  <c r="BD26" i="11" s="1"/>
  <c r="AN27" i="11"/>
  <c r="BD27" i="11" s="1"/>
  <c r="AN28" i="11"/>
  <c r="BD28" i="11" s="1"/>
  <c r="AN29" i="11"/>
  <c r="BD29" i="11" s="1"/>
  <c r="AN30" i="11"/>
  <c r="BD30" i="11" s="1"/>
  <c r="AN31" i="11"/>
  <c r="BD31" i="11" s="1"/>
  <c r="AN32" i="11"/>
  <c r="BD32" i="11" s="1"/>
  <c r="AN33" i="11"/>
  <c r="BD33" i="11" s="1"/>
  <c r="AN34" i="11"/>
  <c r="BD34" i="11" s="1"/>
  <c r="AN35" i="11"/>
  <c r="BD35" i="11" s="1"/>
  <c r="AN36" i="11"/>
  <c r="BD36" i="11" s="1"/>
  <c r="AN37" i="11"/>
  <c r="BD37" i="11" s="1"/>
  <c r="AN38" i="11"/>
  <c r="BD38" i="11" s="1"/>
  <c r="AN39" i="11"/>
  <c r="BD39" i="11" s="1"/>
  <c r="AN40" i="11"/>
  <c r="BD40" i="11" s="1"/>
  <c r="AN41" i="11"/>
  <c r="BD41" i="11" s="1"/>
  <c r="AN8" i="10"/>
  <c r="AN9" i="10"/>
  <c r="AN10" i="10"/>
  <c r="AN11" i="10"/>
  <c r="AN12" i="10"/>
  <c r="AN14" i="10"/>
  <c r="AN15" i="10"/>
  <c r="AN16" i="10"/>
  <c r="AN17" i="10"/>
  <c r="AN18" i="10"/>
  <c r="AN19" i="10"/>
  <c r="AN20" i="10"/>
  <c r="AN23" i="10"/>
  <c r="AN25" i="10"/>
  <c r="AN26" i="10"/>
  <c r="AN27" i="10"/>
  <c r="AN28" i="10"/>
  <c r="AN29" i="10"/>
  <c r="AN30" i="10"/>
  <c r="AN32" i="10"/>
  <c r="AN34" i="10"/>
  <c r="AN35" i="10"/>
  <c r="AN37" i="10"/>
  <c r="AN38" i="10"/>
  <c r="AN39" i="10"/>
  <c r="AN41" i="10"/>
  <c r="AN42" i="10"/>
  <c r="AN43" i="10"/>
  <c r="AN44" i="10"/>
  <c r="AN45" i="10"/>
  <c r="AN46" i="10"/>
  <c r="AN47" i="10"/>
  <c r="AN49" i="10"/>
  <c r="AN50" i="10"/>
  <c r="AN51" i="10"/>
  <c r="AN52" i="10"/>
  <c r="AN53" i="10"/>
  <c r="AN54" i="10"/>
  <c r="AN55" i="10"/>
  <c r="AN58" i="10"/>
  <c r="AN59" i="10"/>
  <c r="AN60" i="10"/>
  <c r="AN62" i="10"/>
  <c r="AN63" i="10"/>
  <c r="AN64" i="10"/>
  <c r="AN65" i="10"/>
  <c r="AN66" i="10"/>
  <c r="AN67" i="10"/>
  <c r="AN69" i="10"/>
  <c r="AN70" i="10"/>
  <c r="AN71" i="10"/>
  <c r="AN72" i="10"/>
  <c r="AN73" i="10"/>
  <c r="AN74" i="10"/>
  <c r="AN75" i="10"/>
  <c r="AN76" i="10"/>
  <c r="AN77" i="10"/>
  <c r="AN78" i="10"/>
  <c r="AN79" i="10"/>
  <c r="AN80" i="10"/>
  <c r="AN81" i="10"/>
  <c r="AN82" i="10"/>
  <c r="AN83" i="10"/>
  <c r="AN84" i="10"/>
  <c r="AN85" i="10"/>
  <c r="AN86" i="10"/>
  <c r="AN87" i="10"/>
  <c r="BD87" i="10" s="1"/>
  <c r="AN88" i="10"/>
  <c r="AN89" i="10"/>
  <c r="AN90" i="10"/>
  <c r="AN92" i="10"/>
  <c r="AN93" i="10"/>
  <c r="AN94" i="10"/>
  <c r="AN95" i="10"/>
  <c r="AN96" i="10"/>
  <c r="AN97" i="10"/>
  <c r="AN98" i="10"/>
  <c r="AN99" i="10"/>
  <c r="AN100" i="10"/>
  <c r="AN101" i="10"/>
  <c r="AN102" i="10"/>
  <c r="AN103" i="10"/>
  <c r="AN104" i="10"/>
  <c r="AN105" i="10"/>
  <c r="AN107" i="10"/>
  <c r="BD107" i="10" s="1"/>
  <c r="AN108" i="10"/>
  <c r="AN109" i="10"/>
  <c r="AN110" i="10"/>
  <c r="AN111" i="10"/>
  <c r="AN112" i="10"/>
  <c r="AN113" i="10"/>
  <c r="AN114" i="10"/>
  <c r="AN115" i="10"/>
  <c r="AN116" i="10"/>
  <c r="AN117" i="10"/>
  <c r="AN118" i="10"/>
  <c r="AN119" i="10"/>
  <c r="AN120" i="10"/>
  <c r="AN121" i="10"/>
  <c r="AN122" i="10"/>
  <c r="AN123" i="10"/>
  <c r="AN124" i="10"/>
  <c r="BD124" i="10" s="1"/>
  <c r="AN125" i="10"/>
  <c r="BD125" i="10" s="1"/>
  <c r="AN126" i="10"/>
  <c r="AN127" i="10"/>
  <c r="BD127" i="10" s="1"/>
  <c r="AN128" i="10"/>
  <c r="AN186" i="10"/>
  <c r="BD186" i="10" s="1"/>
  <c r="AJ115" i="10"/>
  <c r="AP115" i="10" s="1"/>
  <c r="AT115" i="10" s="1"/>
  <c r="BB115" i="10"/>
  <c r="AM167" i="45"/>
  <c r="AL167" i="45"/>
  <c r="AM166" i="45"/>
  <c r="AL166" i="45"/>
  <c r="AM165" i="45"/>
  <c r="AL165" i="45"/>
  <c r="AM164" i="45"/>
  <c r="AL164" i="45"/>
  <c r="AM163" i="45"/>
  <c r="AL163" i="45"/>
  <c r="AM162" i="45"/>
  <c r="AL162" i="45"/>
  <c r="AM157" i="45"/>
  <c r="AM156" i="45"/>
  <c r="AM154" i="45"/>
  <c r="AM148" i="45"/>
  <c r="AM143" i="45"/>
  <c r="AL143" i="45"/>
  <c r="AM142" i="45"/>
  <c r="AL142" i="45"/>
  <c r="AM141" i="45"/>
  <c r="AL141" i="45"/>
  <c r="AM140" i="45"/>
  <c r="AL140" i="45"/>
  <c r="AM138" i="45"/>
  <c r="AL138" i="45"/>
  <c r="AM136" i="45"/>
  <c r="AL136" i="45"/>
  <c r="AM134" i="45"/>
  <c r="AL134" i="45"/>
  <c r="AM131" i="45"/>
  <c r="AL131" i="45"/>
  <c r="AM129" i="45"/>
  <c r="AM122" i="45"/>
  <c r="AM121" i="45"/>
  <c r="AM120" i="45"/>
  <c r="AN7" i="45"/>
  <c r="AN137" i="45" s="1"/>
  <c r="AN133" i="45"/>
  <c r="AN135" i="45"/>
  <c r="AN162" i="45"/>
  <c r="AN163" i="45"/>
  <c r="AN164" i="45"/>
  <c r="AN165" i="45"/>
  <c r="AN166" i="45"/>
  <c r="AN167" i="45"/>
  <c r="AL91" i="11"/>
  <c r="AL89" i="11"/>
  <c r="AL83" i="11"/>
  <c r="AL78" i="11"/>
  <c r="AK78" i="11"/>
  <c r="AL77" i="11"/>
  <c r="AK77" i="11"/>
  <c r="AL76" i="11"/>
  <c r="AK76" i="11"/>
  <c r="AL75" i="11"/>
  <c r="AK75" i="11"/>
  <c r="AL73" i="11"/>
  <c r="AK73" i="11"/>
  <c r="AL71" i="11"/>
  <c r="AK71" i="11"/>
  <c r="AL69" i="11"/>
  <c r="AK69" i="11"/>
  <c r="AL66" i="11"/>
  <c r="AK66" i="11"/>
  <c r="AL64" i="11"/>
  <c r="AL59" i="11"/>
  <c r="AL57" i="11"/>
  <c r="AL56" i="11"/>
  <c r="AK56" i="11"/>
  <c r="AK55" i="11" s="1"/>
  <c r="AL55" i="11"/>
  <c r="AL190" i="10"/>
  <c r="AL188" i="10"/>
  <c r="AL182" i="10"/>
  <c r="AL189" i="10" s="1"/>
  <c r="AL177" i="10"/>
  <c r="AK177" i="10"/>
  <c r="AL176" i="10"/>
  <c r="AK176" i="10"/>
  <c r="AL175" i="10"/>
  <c r="AK175" i="10"/>
  <c r="AL174" i="10"/>
  <c r="AK174" i="10"/>
  <c r="AL172" i="10"/>
  <c r="AK172" i="10"/>
  <c r="AL170" i="10"/>
  <c r="AK170" i="10"/>
  <c r="AL168" i="10"/>
  <c r="AK168" i="10"/>
  <c r="AL165" i="10"/>
  <c r="AL166" i="10" s="1"/>
  <c r="AK165" i="10"/>
  <c r="AK166" i="10" s="1"/>
  <c r="AL160" i="10"/>
  <c r="AK159" i="10"/>
  <c r="AK203" i="10" s="1"/>
  <c r="AL199" i="10"/>
  <c r="AO64" i="38" l="1"/>
  <c r="AO96" i="38" s="1"/>
  <c r="BD115" i="10"/>
  <c r="AL132" i="45"/>
  <c r="AM132" i="45"/>
  <c r="AL192" i="10"/>
  <c r="AK67" i="11"/>
  <c r="AX115" i="10"/>
  <c r="AK97" i="11"/>
  <c r="AN168" i="45"/>
  <c r="AL168" i="45"/>
  <c r="AK79" i="11"/>
  <c r="AK173" i="10"/>
  <c r="AK74" i="11"/>
  <c r="AM155" i="45"/>
  <c r="AM126" i="45"/>
  <c r="AL85" i="11"/>
  <c r="AL92" i="11"/>
  <c r="AL61" i="11"/>
  <c r="AL67" i="11"/>
  <c r="AL84" i="11"/>
  <c r="AL58" i="11"/>
  <c r="AM159" i="45"/>
  <c r="AM158" i="45"/>
  <c r="AM123" i="45"/>
  <c r="BE118" i="45"/>
  <c r="BE119" i="45"/>
  <c r="AO17" i="38"/>
  <c r="AO16" i="38" s="1"/>
  <c r="AO48" i="38" s="1"/>
  <c r="AP16" i="38"/>
  <c r="AP87" i="38"/>
  <c r="AM144" i="45"/>
  <c r="AM124" i="45"/>
  <c r="AL79" i="11"/>
  <c r="AM168" i="45"/>
  <c r="AM139" i="45"/>
  <c r="AM149" i="45"/>
  <c r="AM150" i="45"/>
  <c r="AN134" i="45"/>
  <c r="AN136" i="45"/>
  <c r="AL90" i="11"/>
  <c r="AL60" i="11"/>
  <c r="AL74" i="11"/>
  <c r="AL93" i="11"/>
  <c r="AK58" i="11"/>
  <c r="AL184" i="10"/>
  <c r="AL158" i="10"/>
  <c r="AL210" i="10" s="1"/>
  <c r="AL159" i="10"/>
  <c r="AL183" i="10"/>
  <c r="AK178" i="10"/>
  <c r="AK161" i="10"/>
  <c r="AK158" i="10"/>
  <c r="AK210" i="10" s="1"/>
  <c r="BF115" i="10" l="1"/>
  <c r="AM160" i="45"/>
  <c r="AL94" i="11"/>
  <c r="AM125" i="45"/>
  <c r="AP64" i="38"/>
  <c r="AP96" i="38" s="1"/>
  <c r="AP48" i="38"/>
  <c r="AL196" i="10"/>
  <c r="AL191" i="10"/>
  <c r="AL178" i="10"/>
  <c r="AL161" i="10"/>
  <c r="AL200" i="10"/>
  <c r="AL173" i="10"/>
  <c r="AL193" i="10" l="1"/>
  <c r="AO93" i="77" l="1"/>
  <c r="AO88" i="77"/>
  <c r="AO87" i="77"/>
  <c r="AO86" i="77" l="1"/>
  <c r="AL3" i="8"/>
  <c r="AL95" i="9"/>
  <c r="AM133" i="73"/>
  <c r="BC133" i="73" s="1"/>
  <c r="AM129" i="73"/>
  <c r="BC129" i="73" s="1"/>
  <c r="AK31" i="15"/>
  <c r="AK30" i="15"/>
  <c r="AK29" i="15"/>
  <c r="AK25" i="15"/>
  <c r="AK24" i="15"/>
  <c r="AK23" i="15"/>
  <c r="AK22" i="15"/>
  <c r="AK21" i="15"/>
  <c r="AJ19" i="15"/>
  <c r="AK18" i="15"/>
  <c r="AK15" i="15"/>
  <c r="AJ12" i="15"/>
  <c r="AJ13" i="15" s="1"/>
  <c r="AK10" i="15"/>
  <c r="AK9" i="15"/>
  <c r="AJ9" i="15"/>
  <c r="AK8" i="15"/>
  <c r="AJ8" i="15"/>
  <c r="AK7" i="15"/>
  <c r="AK6" i="15"/>
  <c r="AK5" i="15"/>
  <c r="AK32" i="15" l="1"/>
  <c r="AK36" i="15" s="1"/>
  <c r="AK16" i="15" s="1"/>
  <c r="AK17" i="15" s="1"/>
  <c r="AO37" i="36" l="1"/>
  <c r="AK34" i="35"/>
  <c r="AK48" i="28" s="1"/>
  <c r="AK32" i="35"/>
  <c r="AK18" i="35"/>
  <c r="AJ18" i="15" s="1"/>
  <c r="AJ15" i="15" s="1"/>
  <c r="AJ16" i="15" s="1"/>
  <c r="AK16" i="35"/>
  <c r="AL121" i="45" l="1"/>
  <c r="AK29" i="28"/>
  <c r="AK502" i="28"/>
  <c r="AK42" i="28"/>
  <c r="AL144" i="45"/>
  <c r="AL124" i="45"/>
  <c r="AL123" i="45"/>
  <c r="AL139" i="45"/>
  <c r="AL120" i="45"/>
  <c r="AK101" i="9"/>
  <c r="AL99" i="9"/>
  <c r="AK99" i="9"/>
  <c r="AL98" i="9"/>
  <c r="AK98" i="9"/>
  <c r="AL97" i="9"/>
  <c r="AK97" i="9"/>
  <c r="AL93" i="9"/>
  <c r="AK76" i="9"/>
  <c r="AK77" i="9" s="1"/>
  <c r="AK74" i="9"/>
  <c r="AL60" i="9"/>
  <c r="AL57" i="9"/>
  <c r="AK53" i="9"/>
  <c r="AK52" i="9"/>
  <c r="AK47" i="9"/>
  <c r="AL46" i="9"/>
  <c r="AL36" i="9"/>
  <c r="AL48" i="9" s="1"/>
  <c r="AL35" i="9"/>
  <c r="AL47" i="9" s="1"/>
  <c r="AL34" i="9"/>
  <c r="AL31" i="9"/>
  <c r="AL25" i="9"/>
  <c r="AK24" i="9"/>
  <c r="AK22" i="9"/>
  <c r="AL19" i="9"/>
  <c r="AL10" i="9"/>
  <c r="AL14" i="9" s="1"/>
  <c r="AL5" i="9"/>
  <c r="AK5" i="9"/>
  <c r="AK45" i="8"/>
  <c r="AL109" i="8"/>
  <c r="AL110" i="8" s="1"/>
  <c r="AL52" i="8" s="1"/>
  <c r="AL121" i="8" s="1"/>
  <c r="AL94" i="8"/>
  <c r="AL91" i="8"/>
  <c r="AK91" i="8"/>
  <c r="AL89" i="8"/>
  <c r="AK89" i="8"/>
  <c r="AL88" i="8"/>
  <c r="AK88" i="8"/>
  <c r="AK87" i="8"/>
  <c r="AK82" i="8"/>
  <c r="AL80" i="8"/>
  <c r="AL75" i="8"/>
  <c r="AK74" i="8"/>
  <c r="AK73" i="8"/>
  <c r="AK72" i="8"/>
  <c r="AK71" i="8"/>
  <c r="AL68" i="8"/>
  <c r="AL66" i="8"/>
  <c r="AL64" i="8"/>
  <c r="AL61" i="8"/>
  <c r="AL58" i="8"/>
  <c r="AL62" i="8" s="1"/>
  <c r="AK52" i="8"/>
  <c r="AL49" i="8"/>
  <c r="AK49" i="8"/>
  <c r="AK46" i="8"/>
  <c r="AK44" i="8"/>
  <c r="AK43" i="8"/>
  <c r="AK41" i="8"/>
  <c r="AK40" i="8"/>
  <c r="AK39" i="8"/>
  <c r="AL26" i="8"/>
  <c r="AL17" i="8"/>
  <c r="AK17" i="8"/>
  <c r="AK15" i="8"/>
  <c r="AK14" i="8"/>
  <c r="AL13" i="8"/>
  <c r="AK13" i="8"/>
  <c r="AL6" i="8"/>
  <c r="AK6" i="8"/>
  <c r="AK113" i="7"/>
  <c r="AK112" i="7"/>
  <c r="AK111" i="7"/>
  <c r="AK110" i="7"/>
  <c r="AK109" i="7"/>
  <c r="AK108" i="7"/>
  <c r="AK107" i="7"/>
  <c r="AK106" i="7"/>
  <c r="AK85" i="7"/>
  <c r="AL84" i="7"/>
  <c r="AK84" i="7"/>
  <c r="AL82" i="7"/>
  <c r="AK82" i="7"/>
  <c r="AL75" i="7"/>
  <c r="AK75" i="7"/>
  <c r="AL71" i="7"/>
  <c r="AL73" i="7" s="1"/>
  <c r="AK71" i="7"/>
  <c r="AK73" i="7" s="1"/>
  <c r="AL67" i="7"/>
  <c r="AK67" i="7"/>
  <c r="AL21" i="7"/>
  <c r="AL41" i="7" s="1"/>
  <c r="AL51" i="7" s="1"/>
  <c r="AK21" i="7"/>
  <c r="AK41" i="7" s="1"/>
  <c r="AK51" i="7" s="1"/>
  <c r="AM20" i="39"/>
  <c r="BC20" i="39" s="1"/>
  <c r="AN20" i="39"/>
  <c r="AK61" i="39"/>
  <c r="AL44" i="22" s="1"/>
  <c r="AK60" i="39"/>
  <c r="AL43" i="22" s="1"/>
  <c r="AK43" i="39"/>
  <c r="AK42" i="39"/>
  <c r="AK8" i="39"/>
  <c r="AL222" i="6"/>
  <c r="AK222" i="6"/>
  <c r="AL221" i="6"/>
  <c r="AK221" i="6"/>
  <c r="AK199" i="6"/>
  <c r="AL198" i="6"/>
  <c r="AK198" i="6"/>
  <c r="AK197" i="6"/>
  <c r="AL193" i="6"/>
  <c r="AK193" i="6"/>
  <c r="AL192" i="6"/>
  <c r="AK192" i="6"/>
  <c r="AL191" i="6"/>
  <c r="AK191" i="6"/>
  <c r="AK190" i="6"/>
  <c r="AK189" i="6"/>
  <c r="AK186" i="6"/>
  <c r="AK185" i="6"/>
  <c r="AK184" i="6"/>
  <c r="AK183" i="6"/>
  <c r="AK182" i="6"/>
  <c r="AK181" i="6"/>
  <c r="AK179" i="6"/>
  <c r="AK178" i="6"/>
  <c r="AK177" i="6"/>
  <c r="AL167" i="6"/>
  <c r="AK167" i="6"/>
  <c r="AL166" i="6"/>
  <c r="AK166" i="6"/>
  <c r="AK165" i="6"/>
  <c r="AK164" i="6"/>
  <c r="AK161" i="6"/>
  <c r="AK160" i="6"/>
  <c r="AK159" i="6"/>
  <c r="AK158" i="6"/>
  <c r="AK157" i="6"/>
  <c r="AK156" i="6"/>
  <c r="AK154" i="6"/>
  <c r="AK153" i="6"/>
  <c r="AK149" i="6"/>
  <c r="AL139" i="6"/>
  <c r="AL136" i="6"/>
  <c r="AK136" i="6"/>
  <c r="AL135" i="6"/>
  <c r="AK135" i="6"/>
  <c r="AL134" i="6"/>
  <c r="AK134" i="6"/>
  <c r="AL133" i="6"/>
  <c r="AK133" i="6"/>
  <c r="AL131" i="6"/>
  <c r="AK131" i="6"/>
  <c r="AL130" i="6"/>
  <c r="AK130" i="6"/>
  <c r="AL128" i="6"/>
  <c r="AK128" i="6"/>
  <c r="AL127" i="6"/>
  <c r="AK127" i="6"/>
  <c r="AL126" i="6"/>
  <c r="AK126" i="6"/>
  <c r="AL125" i="6"/>
  <c r="AK125" i="6"/>
  <c r="AL120" i="6"/>
  <c r="AK120" i="6"/>
  <c r="AL115" i="6"/>
  <c r="AK115" i="6"/>
  <c r="AL103" i="6"/>
  <c r="AK103" i="6"/>
  <c r="AK98" i="6"/>
  <c r="AK85" i="6"/>
  <c r="AK83" i="6"/>
  <c r="AK82" i="6"/>
  <c r="AK80" i="6"/>
  <c r="AK79" i="6"/>
  <c r="AL77" i="6"/>
  <c r="AK77" i="6"/>
  <c r="AL69" i="6"/>
  <c r="AK69" i="6"/>
  <c r="AL66" i="6"/>
  <c r="AK66" i="6"/>
  <c r="AL56" i="6"/>
  <c r="AL55" i="6"/>
  <c r="AL54" i="6"/>
  <c r="AL51" i="6"/>
  <c r="AL48" i="6"/>
  <c r="AL45" i="6"/>
  <c r="AK41" i="6"/>
  <c r="AL34" i="6"/>
  <c r="AL33" i="6"/>
  <c r="AL32" i="6"/>
  <c r="AL29" i="6"/>
  <c r="AL26" i="6"/>
  <c r="AL23" i="6"/>
  <c r="AK18" i="6"/>
  <c r="AK17" i="6"/>
  <c r="AK16" i="6"/>
  <c r="AK15" i="6"/>
  <c r="AL9" i="6"/>
  <c r="AL8" i="6"/>
  <c r="AK7" i="6"/>
  <c r="AK76" i="28" l="1"/>
  <c r="AK23" i="28"/>
  <c r="AM23" i="28" s="1"/>
  <c r="BC23" i="28" s="1"/>
  <c r="AM29" i="28"/>
  <c r="AK78" i="7"/>
  <c r="AK35" i="7"/>
  <c r="AK98" i="7" s="1"/>
  <c r="AK32" i="7"/>
  <c r="AK95" i="7" s="1"/>
  <c r="AK28" i="7"/>
  <c r="AK92" i="7" s="1"/>
  <c r="AK25" i="7"/>
  <c r="AK62" i="7"/>
  <c r="AK58" i="7"/>
  <c r="AK55" i="7"/>
  <c r="AK36" i="7"/>
  <c r="AK99" i="7" s="1"/>
  <c r="AK33" i="7"/>
  <c r="AK96" i="7" s="1"/>
  <c r="AK29" i="7"/>
  <c r="AK93" i="7" s="1"/>
  <c r="AN33" i="59" s="1"/>
  <c r="AK26" i="7"/>
  <c r="AK59" i="7"/>
  <c r="AK56" i="7"/>
  <c r="AK101" i="7" s="1"/>
  <c r="AK61" i="7"/>
  <c r="AK102" i="7" s="1"/>
  <c r="AK37" i="7"/>
  <c r="AK100" i="7" s="1"/>
  <c r="AK34" i="7"/>
  <c r="AK97" i="7" s="1"/>
  <c r="AK31" i="7"/>
  <c r="AK27" i="7"/>
  <c r="AK91" i="7" s="1"/>
  <c r="AK24" i="7"/>
  <c r="AK23" i="7"/>
  <c r="AK87" i="7" s="1"/>
  <c r="AN29" i="59" s="1"/>
  <c r="AK60" i="7"/>
  <c r="AK57" i="7"/>
  <c r="AK54" i="7"/>
  <c r="AL78" i="7"/>
  <c r="AL32" i="7"/>
  <c r="AL95" i="7" s="1"/>
  <c r="AL36" i="7"/>
  <c r="AL99" i="7" s="1"/>
  <c r="AL33" i="7"/>
  <c r="AL96" i="7" s="1"/>
  <c r="AL29" i="7"/>
  <c r="AL93" i="7" s="1"/>
  <c r="AO33" i="59" s="1"/>
  <c r="AL26" i="7"/>
  <c r="AL59" i="7"/>
  <c r="AL56" i="7"/>
  <c r="AL101" i="7" s="1"/>
  <c r="AL35" i="7"/>
  <c r="AL98" i="7" s="1"/>
  <c r="AL58" i="7"/>
  <c r="AL28" i="7"/>
  <c r="AL92" i="7" s="1"/>
  <c r="AL25" i="7"/>
  <c r="AL89" i="7" s="1"/>
  <c r="AL62" i="7"/>
  <c r="AL55" i="7"/>
  <c r="AL37" i="7"/>
  <c r="AL100" i="7" s="1"/>
  <c r="AL34" i="7"/>
  <c r="AL97" i="7" s="1"/>
  <c r="AL31" i="7"/>
  <c r="AL27" i="7"/>
  <c r="AL91" i="7" s="1"/>
  <c r="AL24" i="7"/>
  <c r="AL23" i="7"/>
  <c r="AL87" i="7" s="1"/>
  <c r="AO29" i="59" s="1"/>
  <c r="AL60" i="7"/>
  <c r="AL57" i="7"/>
  <c r="AL54" i="7"/>
  <c r="AL61" i="7"/>
  <c r="AL102" i="7" s="1"/>
  <c r="AK42" i="8"/>
  <c r="AL65" i="8"/>
  <c r="AL34" i="8" s="1"/>
  <c r="AL67" i="8"/>
  <c r="AL69" i="8"/>
  <c r="AL36" i="8" s="1"/>
  <c r="AK22" i="39"/>
  <c r="AL16" i="8"/>
  <c r="AL47" i="8"/>
  <c r="AK34" i="39"/>
  <c r="AK25" i="6"/>
  <c r="AK24" i="6"/>
  <c r="AL39" i="8"/>
  <c r="AK30" i="8"/>
  <c r="AK95" i="9"/>
  <c r="AK34" i="22"/>
  <c r="AJ130" i="26"/>
  <c r="AL94" i="9"/>
  <c r="AK19" i="15" s="1"/>
  <c r="AL182" i="9"/>
  <c r="AL34" i="22"/>
  <c r="AK130" i="26"/>
  <c r="AL90" i="9"/>
  <c r="AK83" i="7"/>
  <c r="AN35" i="59" s="1"/>
  <c r="AL83" i="7"/>
  <c r="AO35" i="59" s="1"/>
  <c r="AK49" i="39"/>
  <c r="AL57" i="6"/>
  <c r="AL37" i="9"/>
  <c r="AL100" i="9"/>
  <c r="AL43" i="8"/>
  <c r="AL136" i="8" s="1"/>
  <c r="AL45" i="8"/>
  <c r="AL82" i="8"/>
  <c r="AO51" i="59" s="1"/>
  <c r="AL92" i="8"/>
  <c r="AK121" i="6"/>
  <c r="AK137" i="6"/>
  <c r="AK22" i="6"/>
  <c r="AK7" i="9"/>
  <c r="AK68" i="9"/>
  <c r="AK58" i="9"/>
  <c r="AK69" i="9"/>
  <c r="AK92" i="9"/>
  <c r="AK27" i="9"/>
  <c r="AK59" i="9"/>
  <c r="AK100" i="9"/>
  <c r="AK63" i="9"/>
  <c r="AK67" i="9"/>
  <c r="AK16" i="8"/>
  <c r="AK29" i="8"/>
  <c r="AK28" i="8"/>
  <c r="AK23" i="8"/>
  <c r="AK8" i="49" s="1"/>
  <c r="AK24" i="8"/>
  <c r="AL62" i="9"/>
  <c r="AK25" i="9"/>
  <c r="AK88" i="9" s="1"/>
  <c r="AL49" i="9"/>
  <c r="AK61" i="9"/>
  <c r="AK66" i="9"/>
  <c r="AL96" i="9"/>
  <c r="AL89" i="9"/>
  <c r="AK55" i="9"/>
  <c r="AK64" i="9"/>
  <c r="AK70" i="9"/>
  <c r="AK56" i="9"/>
  <c r="AK65" i="9"/>
  <c r="AL111" i="8"/>
  <c r="AL112" i="8" s="1"/>
  <c r="AL53" i="8" s="1"/>
  <c r="AK25" i="8"/>
  <c r="AK50" i="8"/>
  <c r="AK51" i="8" s="1"/>
  <c r="AK31" i="8"/>
  <c r="AL40" i="8"/>
  <c r="AL46" i="8"/>
  <c r="AL50" i="8"/>
  <c r="AL51" i="8" s="1"/>
  <c r="AL59" i="8"/>
  <c r="AK85" i="8"/>
  <c r="AL86" i="8"/>
  <c r="AK27" i="8"/>
  <c r="AL37" i="8"/>
  <c r="AL41" i="8"/>
  <c r="AL44" i="8"/>
  <c r="AK92" i="8"/>
  <c r="AL76" i="7"/>
  <c r="AK76" i="7"/>
  <c r="AK24" i="39"/>
  <c r="AK81" i="7"/>
  <c r="AL81" i="7"/>
  <c r="AO28" i="59" s="1"/>
  <c r="AK50" i="39"/>
  <c r="AN34" i="59"/>
  <c r="AK68" i="7"/>
  <c r="AK45" i="39"/>
  <c r="AO34" i="59"/>
  <c r="AL69" i="7"/>
  <c r="AL137" i="6"/>
  <c r="AL35" i="6"/>
  <c r="AK188" i="6"/>
  <c r="AK27" i="6"/>
  <c r="AK168" i="6"/>
  <c r="AK163" i="6"/>
  <c r="AK31" i="6"/>
  <c r="AL121" i="6"/>
  <c r="AK21" i="6"/>
  <c r="AK30" i="6"/>
  <c r="AK104" i="6"/>
  <c r="AK132" i="6"/>
  <c r="AK19" i="6"/>
  <c r="AL132" i="6"/>
  <c r="AK194" i="6"/>
  <c r="AK28" i="6"/>
  <c r="AK91" i="77"/>
  <c r="AK90" i="77"/>
  <c r="AK86" i="77"/>
  <c r="AK71" i="77"/>
  <c r="AK53" i="77"/>
  <c r="AK36" i="77"/>
  <c r="AK32" i="77"/>
  <c r="AK26" i="77"/>
  <c r="AK21" i="77"/>
  <c r="AK13" i="77"/>
  <c r="AK7" i="77"/>
  <c r="AL17" i="49"/>
  <c r="AL18" i="49" s="1"/>
  <c r="AL11" i="49"/>
  <c r="AK11" i="49"/>
  <c r="AL9" i="49"/>
  <c r="AL8" i="49"/>
  <c r="AL6" i="49"/>
  <c r="AK6" i="49"/>
  <c r="AK242" i="73"/>
  <c r="AK240" i="73"/>
  <c r="AK229" i="73"/>
  <c r="AK42" i="77" s="1"/>
  <c r="AK220" i="73"/>
  <c r="AK209" i="73"/>
  <c r="AK181" i="73"/>
  <c r="AK168" i="73"/>
  <c r="AK179" i="73" s="1"/>
  <c r="AK134" i="73"/>
  <c r="AK132" i="73"/>
  <c r="AK130" i="73"/>
  <c r="AK126" i="73"/>
  <c r="AK122" i="73"/>
  <c r="AK113" i="73"/>
  <c r="AK12" i="15" s="1"/>
  <c r="AK13" i="15" s="1"/>
  <c r="AK14" i="15" s="1"/>
  <c r="AK106" i="73"/>
  <c r="AK102" i="73"/>
  <c r="AK62" i="73"/>
  <c r="AK56" i="73"/>
  <c r="AK51" i="73"/>
  <c r="AK46" i="73"/>
  <c r="AK35" i="73"/>
  <c r="AK30" i="73"/>
  <c r="AK22" i="73"/>
  <c r="AK20" i="73"/>
  <c r="AK120" i="90" s="1"/>
  <c r="AK8" i="73"/>
  <c r="AO79" i="59"/>
  <c r="AO78" i="59"/>
  <c r="AO77" i="59"/>
  <c r="AN75" i="59"/>
  <c r="AN74" i="59"/>
  <c r="AO73" i="59"/>
  <c r="AO72" i="59"/>
  <c r="AN72" i="59"/>
  <c r="AO69" i="59"/>
  <c r="AO68" i="59"/>
  <c r="AN68" i="59"/>
  <c r="AO65" i="59"/>
  <c r="AO64" i="59"/>
  <c r="AN64" i="59"/>
  <c r="AN61" i="59"/>
  <c r="AN60" i="59"/>
  <c r="AO59" i="59"/>
  <c r="AO58" i="59"/>
  <c r="AN58" i="59"/>
  <c r="AN57" i="59"/>
  <c r="AN52" i="59"/>
  <c r="AN51" i="59"/>
  <c r="AO50" i="59"/>
  <c r="AN50" i="59"/>
  <c r="AO49" i="59"/>
  <c r="AN49" i="59"/>
  <c r="AN47" i="59"/>
  <c r="AN46" i="59"/>
  <c r="AO45" i="59"/>
  <c r="AN45" i="59"/>
  <c r="AO44" i="59"/>
  <c r="AN44" i="59"/>
  <c r="AN42" i="59"/>
  <c r="AO41" i="59"/>
  <c r="AN41" i="59"/>
  <c r="AO40" i="59"/>
  <c r="AN40" i="59"/>
  <c r="AN38" i="59"/>
  <c r="AN37" i="59"/>
  <c r="AN36" i="59"/>
  <c r="AN28" i="59"/>
  <c r="AO27" i="59"/>
  <c r="AO26" i="59"/>
  <c r="AO25" i="59"/>
  <c r="AO24" i="59"/>
  <c r="AO23" i="59"/>
  <c r="AO20" i="59"/>
  <c r="AO19" i="59"/>
  <c r="AO18" i="59"/>
  <c r="AO17" i="59"/>
  <c r="AO16" i="59"/>
  <c r="AO12" i="59"/>
  <c r="AN12" i="59"/>
  <c r="AN11" i="59"/>
  <c r="AL24" i="36"/>
  <c r="AO74" i="59" s="1"/>
  <c r="AK72" i="36"/>
  <c r="AK64" i="36" s="1"/>
  <c r="AK71" i="36"/>
  <c r="AK69" i="36"/>
  <c r="AK61" i="36" s="1"/>
  <c r="AK63" i="36" s="1"/>
  <c r="AK67" i="36"/>
  <c r="AK59" i="36" s="1"/>
  <c r="AK66" i="36"/>
  <c r="AK58" i="36" s="1"/>
  <c r="AL64" i="36"/>
  <c r="AL72" i="36" s="1"/>
  <c r="AL62" i="36"/>
  <c r="AL61" i="36"/>
  <c r="AL69" i="36" s="1"/>
  <c r="AL59" i="36"/>
  <c r="AL67" i="36" s="1"/>
  <c r="AL58" i="36"/>
  <c r="AL66" i="36" s="1"/>
  <c r="AL57" i="36"/>
  <c r="AL17" i="36" s="1"/>
  <c r="AO54" i="59" s="1"/>
  <c r="AL56" i="36"/>
  <c r="AL16" i="36" s="1"/>
  <c r="AL33" i="36"/>
  <c r="AK33" i="36"/>
  <c r="AK29" i="36"/>
  <c r="AJ7" i="15" s="1"/>
  <c r="AK28" i="36"/>
  <c r="AJ6" i="15" s="1"/>
  <c r="AK27" i="36"/>
  <c r="AJ5" i="15" s="1"/>
  <c r="AL26" i="36"/>
  <c r="AL23" i="36"/>
  <c r="AO71" i="59" s="1"/>
  <c r="AK23" i="36"/>
  <c r="AN71" i="59" s="1"/>
  <c r="AL22" i="36"/>
  <c r="AO67" i="59" s="1"/>
  <c r="AK22" i="36"/>
  <c r="AN67" i="59" s="1"/>
  <c r="AL21" i="36"/>
  <c r="AO63" i="59" s="1"/>
  <c r="AK21" i="36"/>
  <c r="AN63" i="59" s="1"/>
  <c r="AK17" i="36"/>
  <c r="AK90" i="9" s="1"/>
  <c r="AK19" i="9" s="1"/>
  <c r="AK16" i="36"/>
  <c r="AK89" i="9" s="1"/>
  <c r="AK13" i="36"/>
  <c r="AN39" i="59" s="1"/>
  <c r="AL12" i="36"/>
  <c r="AO38" i="59" s="1"/>
  <c r="AL11" i="36"/>
  <c r="AO37" i="59" s="1"/>
  <c r="AL10" i="36"/>
  <c r="AO36" i="59" s="1"/>
  <c r="AK9" i="36"/>
  <c r="AN10" i="59" s="1"/>
  <c r="AK8" i="36"/>
  <c r="AN9" i="59" s="1"/>
  <c r="AK7" i="36"/>
  <c r="AN8" i="59" s="1"/>
  <c r="AK5" i="36"/>
  <c r="AK13" i="49" s="1"/>
  <c r="AL28" i="21"/>
  <c r="AK27" i="21"/>
  <c r="AL24" i="21"/>
  <c r="AL25" i="21" s="1"/>
  <c r="AL18" i="21"/>
  <c r="AL15" i="21"/>
  <c r="AL12" i="21"/>
  <c r="AK12" i="21"/>
  <c r="AK22" i="21" s="1"/>
  <c r="AL47" i="35"/>
  <c r="AL46" i="35"/>
  <c r="AL45" i="35"/>
  <c r="AL44" i="35"/>
  <c r="AL43" i="35"/>
  <c r="AL42" i="35"/>
  <c r="AK42" i="35"/>
  <c r="AK41" i="35"/>
  <c r="AL40" i="35"/>
  <c r="AL39" i="35"/>
  <c r="AO76" i="59" s="1"/>
  <c r="AK39" i="35"/>
  <c r="AL36" i="35"/>
  <c r="AL48" i="35" s="1"/>
  <c r="AK36" i="35"/>
  <c r="AK33" i="35"/>
  <c r="AL32" i="35"/>
  <c r="AL31" i="35"/>
  <c r="AL30" i="35"/>
  <c r="AL26" i="35"/>
  <c r="AL34" i="36" s="1"/>
  <c r="AL41" i="36" s="1"/>
  <c r="AK26" i="35"/>
  <c r="AK26" i="21" s="1"/>
  <c r="AK21" i="35"/>
  <c r="AK26" i="9" s="1"/>
  <c r="AL20" i="35"/>
  <c r="AK20" i="35"/>
  <c r="AL19" i="35"/>
  <c r="AK19" i="35"/>
  <c r="AL14" i="35"/>
  <c r="AL13" i="35"/>
  <c r="AL11" i="35"/>
  <c r="AL10" i="6" s="1"/>
  <c r="AK10" i="35"/>
  <c r="AK9" i="6" s="1"/>
  <c r="AK9" i="35"/>
  <c r="AK8" i="35"/>
  <c r="AL7" i="35"/>
  <c r="AL6" i="6" s="1"/>
  <c r="AL6" i="35"/>
  <c r="AL74" i="8" l="1"/>
  <c r="AL72" i="8"/>
  <c r="AL555" i="28"/>
  <c r="AL556" i="28"/>
  <c r="BC29" i="28"/>
  <c r="AK48" i="35"/>
  <c r="AK37" i="28"/>
  <c r="AK89" i="28"/>
  <c r="AM76" i="28"/>
  <c r="BC76" i="28" s="1"/>
  <c r="AK90" i="7"/>
  <c r="AN32" i="59" s="1"/>
  <c r="AK88" i="7"/>
  <c r="AN30" i="59" s="1"/>
  <c r="AL88" i="7"/>
  <c r="AL90" i="7"/>
  <c r="AO32" i="59" s="1"/>
  <c r="AK89" i="7"/>
  <c r="AN31" i="59" s="1"/>
  <c r="AK60" i="36"/>
  <c r="AK6" i="73"/>
  <c r="AK5" i="73" s="1"/>
  <c r="AK37" i="77"/>
  <c r="AN48" i="59"/>
  <c r="AK118" i="73"/>
  <c r="AK65" i="8"/>
  <c r="AK34" i="8" s="1"/>
  <c r="AK69" i="8"/>
  <c r="AK67" i="8"/>
  <c r="AL73" i="8"/>
  <c r="AK9" i="49"/>
  <c r="AK29" i="6"/>
  <c r="AK81" i="6"/>
  <c r="AK138" i="6"/>
  <c r="AK106" i="6"/>
  <c r="AK145" i="6" s="1"/>
  <c r="AL123" i="6"/>
  <c r="AL172" i="6" s="1"/>
  <c r="AK26" i="6"/>
  <c r="AL91" i="9"/>
  <c r="AK123" i="6"/>
  <c r="AN54" i="59"/>
  <c r="AO42" i="59"/>
  <c r="AO43" i="59" s="1"/>
  <c r="AL123" i="8"/>
  <c r="AO46" i="59"/>
  <c r="AL138" i="8"/>
  <c r="AO47" i="59"/>
  <c r="AL137" i="8"/>
  <c r="AL40" i="36"/>
  <c r="AL43" i="36" s="1"/>
  <c r="AL31" i="36" s="1"/>
  <c r="AN79" i="59"/>
  <c r="AK68" i="36"/>
  <c r="AK51" i="39"/>
  <c r="AO30" i="59"/>
  <c r="AN6" i="59"/>
  <c r="AN77" i="59"/>
  <c r="AO31" i="59"/>
  <c r="AK91" i="9"/>
  <c r="AK22" i="22"/>
  <c r="AK7" i="22"/>
  <c r="AK28" i="21"/>
  <c r="AN53" i="59"/>
  <c r="AN78" i="59"/>
  <c r="AK26" i="8"/>
  <c r="AK57" i="9"/>
  <c r="AK137" i="73"/>
  <c r="AK89" i="77"/>
  <c r="AL78" i="8"/>
  <c r="AK6" i="26"/>
  <c r="AK84" i="77"/>
  <c r="AL41" i="35"/>
  <c r="AL49" i="35" s="1"/>
  <c r="AL97" i="11"/>
  <c r="AL33" i="35"/>
  <c r="AL37" i="35" s="1"/>
  <c r="AL25" i="36" s="1"/>
  <c r="AO75" i="59" s="1"/>
  <c r="AL203" i="10"/>
  <c r="AL138" i="6"/>
  <c r="AL16" i="6"/>
  <c r="AL18" i="6"/>
  <c r="AL8" i="35"/>
  <c r="AL5" i="6"/>
  <c r="AL98" i="6" s="1"/>
  <c r="AL104" i="6" s="1"/>
  <c r="AL106" i="6" s="1"/>
  <c r="AL68" i="36"/>
  <c r="AL42" i="8"/>
  <c r="AK37" i="35"/>
  <c r="AK56" i="36"/>
  <c r="AK57" i="36"/>
  <c r="AK60" i="9"/>
  <c r="AK34" i="36"/>
  <c r="AK35" i="36" s="1"/>
  <c r="AK36" i="36" s="1"/>
  <c r="AK38" i="36" s="1"/>
  <c r="AK30" i="36" s="1"/>
  <c r="AN80" i="59" s="1"/>
  <c r="AK13" i="35"/>
  <c r="AK8" i="6"/>
  <c r="AL63" i="36"/>
  <c r="AL18" i="36"/>
  <c r="AO55" i="59" s="1"/>
  <c r="AO53" i="59"/>
  <c r="AL60" i="36"/>
  <c r="AL70" i="36"/>
  <c r="AL71" i="36" s="1"/>
  <c r="AL86" i="9"/>
  <c r="AL80" i="9"/>
  <c r="AL76" i="9"/>
  <c r="AL72" i="9"/>
  <c r="AL84" i="9"/>
  <c r="AL53" i="9"/>
  <c r="AL85" i="9"/>
  <c r="AL75" i="9"/>
  <c r="AL83" i="9"/>
  <c r="AL82" i="9"/>
  <c r="AO61" i="59" s="1"/>
  <c r="AL52" i="9"/>
  <c r="AO57" i="59" s="1"/>
  <c r="AL87" i="9"/>
  <c r="AO60" i="59" s="1"/>
  <c r="AL81" i="9"/>
  <c r="AL73" i="9"/>
  <c r="AL78" i="9"/>
  <c r="AL13" i="36"/>
  <c r="AO39" i="59" s="1"/>
  <c r="AK59" i="8"/>
  <c r="AK109" i="8"/>
  <c r="AK111" i="8" s="1"/>
  <c r="AL63" i="8"/>
  <c r="AN43" i="59"/>
  <c r="AK17" i="49"/>
  <c r="AK18" i="49" s="1"/>
  <c r="AL38" i="7"/>
  <c r="AL53" i="7" s="1"/>
  <c r="AK38" i="7"/>
  <c r="AK53" i="7" s="1"/>
  <c r="AK32" i="6"/>
  <c r="AK34" i="6"/>
  <c r="AL15" i="35"/>
  <c r="AL5" i="36"/>
  <c r="AK23" i="6"/>
  <c r="AK33" i="6"/>
  <c r="AK84" i="6"/>
  <c r="AL35" i="36"/>
  <c r="AL36" i="36" s="1"/>
  <c r="AL38" i="36" s="1"/>
  <c r="AL30" i="36" s="1"/>
  <c r="AO80" i="59" s="1"/>
  <c r="AL20" i="21"/>
  <c r="AK15" i="21"/>
  <c r="AK49" i="35"/>
  <c r="AK11" i="35"/>
  <c r="AK10" i="6" s="1"/>
  <c r="AK14" i="35"/>
  <c r="J128" i="26"/>
  <c r="K128" i="26"/>
  <c r="L128" i="26"/>
  <c r="M128" i="26"/>
  <c r="N128" i="26"/>
  <c r="O128" i="26"/>
  <c r="P128" i="26"/>
  <c r="Q128" i="26"/>
  <c r="R128" i="26"/>
  <c r="S128" i="26"/>
  <c r="T128" i="26"/>
  <c r="U128" i="26"/>
  <c r="V128" i="26"/>
  <c r="W128" i="26"/>
  <c r="X128" i="26"/>
  <c r="Y128" i="26"/>
  <c r="Z128" i="26"/>
  <c r="AA128" i="26"/>
  <c r="AB128" i="26"/>
  <c r="AC128" i="26"/>
  <c r="AD128" i="26"/>
  <c r="AE128" i="26"/>
  <c r="AF128" i="26"/>
  <c r="AG128" i="26"/>
  <c r="AH128" i="26"/>
  <c r="AI128" i="26"/>
  <c r="AK144" i="6" l="1"/>
  <c r="AL173" i="6"/>
  <c r="AO22" i="59" s="1"/>
  <c r="AK445" i="28"/>
  <c r="AM89" i="28"/>
  <c r="AK526" i="28"/>
  <c r="AK31" i="28"/>
  <c r="AK63" i="28" s="1"/>
  <c r="AK69" i="28" s="1"/>
  <c r="AK77" i="28"/>
  <c r="AK55" i="35"/>
  <c r="AL140" i="6"/>
  <c r="AL217" i="6" s="1"/>
  <c r="AL144" i="6"/>
  <c r="AL71" i="8"/>
  <c r="AK37" i="8"/>
  <c r="AK36" i="8"/>
  <c r="AK63" i="8"/>
  <c r="AK10" i="49"/>
  <c r="AK12" i="49" s="1"/>
  <c r="AK14" i="49" s="1"/>
  <c r="AK15" i="49" s="1"/>
  <c r="AK16" i="49" s="1"/>
  <c r="AK19" i="49" s="1"/>
  <c r="AK20" i="49" s="1"/>
  <c r="AL139" i="8"/>
  <c r="AK15" i="35"/>
  <c r="AK175" i="6"/>
  <c r="AK140" i="6"/>
  <c r="AK205" i="6" s="1"/>
  <c r="AL175" i="6"/>
  <c r="AK173" i="6"/>
  <c r="AL147" i="6"/>
  <c r="AL145" i="6"/>
  <c r="AO15" i="59" s="1"/>
  <c r="AK147" i="6"/>
  <c r="AK172" i="6"/>
  <c r="AK62" i="9"/>
  <c r="AO48" i="59"/>
  <c r="AL124" i="8"/>
  <c r="AL122" i="8"/>
  <c r="AL126" i="8" s="1"/>
  <c r="AL127" i="8" s="1"/>
  <c r="AL19" i="36"/>
  <c r="AO56" i="59" s="1"/>
  <c r="AK8" i="22"/>
  <c r="AK10" i="22" s="1"/>
  <c r="AK11" i="22" s="1"/>
  <c r="AK13" i="22" s="1"/>
  <c r="AK23" i="22"/>
  <c r="AK25" i="22" s="1"/>
  <c r="AK26" i="22" s="1"/>
  <c r="AK28" i="22" s="1"/>
  <c r="AL103" i="7"/>
  <c r="AK95" i="77"/>
  <c r="AL55" i="35"/>
  <c r="AL189" i="6"/>
  <c r="AL194" i="6"/>
  <c r="AL7" i="6"/>
  <c r="AL15" i="6"/>
  <c r="AL17" i="6"/>
  <c r="AK103" i="7"/>
  <c r="AK146" i="6"/>
  <c r="AK35" i="6"/>
  <c r="AK110" i="8"/>
  <c r="AK112" i="8" s="1"/>
  <c r="AL77" i="9"/>
  <c r="AL74" i="9"/>
  <c r="AL35" i="8"/>
  <c r="AL70" i="8"/>
  <c r="AL63" i="7"/>
  <c r="AL77" i="7"/>
  <c r="AK63" i="7"/>
  <c r="AK77" i="7"/>
  <c r="AL174" i="6"/>
  <c r="AL8" i="36" s="1"/>
  <c r="AO9" i="59" s="1"/>
  <c r="AL213" i="6"/>
  <c r="AL13" i="49"/>
  <c r="AO6" i="59"/>
  <c r="N64" i="104"/>
  <c r="M64" i="104"/>
  <c r="L64" i="104"/>
  <c r="BF118" i="8" s="1"/>
  <c r="H64" i="104"/>
  <c r="G64" i="104"/>
  <c r="F64" i="104"/>
  <c r="N50" i="104"/>
  <c r="M50" i="104"/>
  <c r="L50" i="104"/>
  <c r="H50" i="104"/>
  <c r="G50" i="104"/>
  <c r="F50" i="104"/>
  <c r="U37" i="104"/>
  <c r="T37" i="104"/>
  <c r="S37" i="104"/>
  <c r="R37" i="104"/>
  <c r="U35" i="104"/>
  <c r="T35" i="104"/>
  <c r="S35" i="104"/>
  <c r="R35" i="104"/>
  <c r="N35" i="104"/>
  <c r="M35" i="104"/>
  <c r="L35" i="104"/>
  <c r="H35" i="104"/>
  <c r="G35" i="104"/>
  <c r="F35" i="104"/>
  <c r="AL206" i="6" l="1"/>
  <c r="AL208" i="6"/>
  <c r="AL209" i="6"/>
  <c r="AL204" i="6"/>
  <c r="AL207" i="6"/>
  <c r="AL212" i="6"/>
  <c r="AL197" i="6"/>
  <c r="AK93" i="28"/>
  <c r="AK78" i="28"/>
  <c r="BC89" i="28"/>
  <c r="AM546" i="28"/>
  <c r="AM445" i="28"/>
  <c r="AL199" i="6"/>
  <c r="AL205" i="6"/>
  <c r="AL211" i="6"/>
  <c r="AL203" i="6"/>
  <c r="AL214" i="6"/>
  <c r="AK35" i="8"/>
  <c r="AK207" i="6"/>
  <c r="AK208" i="6"/>
  <c r="AK214" i="6"/>
  <c r="AK206" i="6"/>
  <c r="AK212" i="6"/>
  <c r="AK209" i="6"/>
  <c r="AK213" i="6"/>
  <c r="AK204" i="6"/>
  <c r="AK203" i="6"/>
  <c r="AK211" i="6"/>
  <c r="AK217" i="6"/>
  <c r="AK218" i="6" s="1"/>
  <c r="AK174" i="6"/>
  <c r="AL146" i="6"/>
  <c r="AL7" i="36" s="1"/>
  <c r="AO8" i="59" s="1"/>
  <c r="AL132" i="8"/>
  <c r="AL145" i="8" s="1"/>
  <c r="AL130" i="8"/>
  <c r="AL131" i="8"/>
  <c r="AL144" i="8" s="1"/>
  <c r="AL19" i="6"/>
  <c r="AL84" i="6" s="1"/>
  <c r="AL168" i="6"/>
  <c r="AL164" i="6"/>
  <c r="AL79" i="9"/>
  <c r="AL218" i="6"/>
  <c r="AL210" i="6" l="1"/>
  <c r="AK97" i="28"/>
  <c r="BC546" i="28"/>
  <c r="BC445" i="28"/>
  <c r="BC548" i="28" s="1"/>
  <c r="AM548" i="28"/>
  <c r="AM547" i="28"/>
  <c r="AL215" i="6"/>
  <c r="AO11" i="59" s="1"/>
  <c r="AL216" i="6"/>
  <c r="AL219" i="6" s="1"/>
  <c r="AK215" i="6"/>
  <c r="AL81" i="6"/>
  <c r="AK210" i="6"/>
  <c r="AL133" i="8"/>
  <c r="AL146" i="8" s="1"/>
  <c r="AL143" i="8"/>
  <c r="AL40" i="6"/>
  <c r="AL39" i="6"/>
  <c r="AL37" i="6"/>
  <c r="AL38" i="6"/>
  <c r="AL9" i="36" l="1"/>
  <c r="AO10" i="59" s="1"/>
  <c r="BC547" i="28"/>
  <c r="AK216" i="6"/>
  <c r="AK219" i="6" s="1"/>
  <c r="AL41" i="6"/>
  <c r="AJ37" i="36" l="1"/>
  <c r="AI94" i="90" l="1"/>
  <c r="AI128" i="45"/>
  <c r="AI37" i="36" l="1"/>
  <c r="AH48" i="10" l="1"/>
  <c r="AN48" i="10" s="1"/>
  <c r="AH68" i="10"/>
  <c r="AH57" i="10"/>
  <c r="AH24" i="10"/>
  <c r="AH13" i="10"/>
  <c r="AN13" i="10" s="1"/>
  <c r="AD133" i="10"/>
  <c r="AN68" i="10"/>
  <c r="AI4" i="83" l="1"/>
  <c r="AI5" i="83"/>
  <c r="AI6" i="83"/>
  <c r="AI7" i="83"/>
  <c r="AI8" i="83"/>
  <c r="AI9" i="83"/>
  <c r="AI10" i="83"/>
  <c r="AI11" i="83"/>
  <c r="AI12" i="83"/>
  <c r="AI13" i="83"/>
  <c r="AI14" i="83"/>
  <c r="AI15" i="83"/>
  <c r="AI16" i="83"/>
  <c r="AI17" i="83"/>
  <c r="AI18" i="83"/>
  <c r="AI19" i="83"/>
  <c r="AI20" i="83"/>
  <c r="AI21" i="83"/>
  <c r="AI22" i="83"/>
  <c r="AI23" i="83"/>
  <c r="AI24" i="83"/>
  <c r="AI25" i="83"/>
  <c r="AI26" i="83"/>
  <c r="AI27" i="83"/>
  <c r="AI28" i="83"/>
  <c r="AI29" i="83"/>
  <c r="AI30" i="83"/>
  <c r="AI31" i="83"/>
  <c r="AI32" i="83"/>
  <c r="AI33" i="83"/>
  <c r="AI34" i="83"/>
  <c r="AI35" i="83"/>
  <c r="AI36" i="83"/>
  <c r="AI37" i="83"/>
  <c r="AI39" i="83"/>
  <c r="AI40" i="83"/>
  <c r="AI41" i="83"/>
  <c r="AI42" i="83"/>
  <c r="AI43" i="83"/>
  <c r="AI44" i="83"/>
  <c r="AI46" i="83"/>
  <c r="AI47" i="83"/>
  <c r="AI48" i="83"/>
  <c r="AI49" i="83"/>
  <c r="AI50" i="83"/>
  <c r="AI52" i="83"/>
  <c r="AI53" i="83"/>
  <c r="AI54" i="83"/>
  <c r="AI55" i="83"/>
  <c r="AI56" i="83"/>
  <c r="AI57" i="83"/>
  <c r="AI58" i="83"/>
  <c r="AI59" i="83"/>
  <c r="AI60" i="83"/>
  <c r="AI61" i="83"/>
  <c r="AI62" i="83"/>
  <c r="AI63" i="83"/>
  <c r="AI64" i="83"/>
  <c r="AI65" i="83"/>
  <c r="AI66" i="83"/>
  <c r="AI67" i="83"/>
  <c r="AI68" i="83"/>
  <c r="AI70" i="83"/>
  <c r="AI72" i="83"/>
  <c r="AI73" i="83"/>
  <c r="AI74" i="83"/>
  <c r="AI75" i="83"/>
  <c r="AI69" i="83" l="1"/>
  <c r="AI51" i="83"/>
  <c r="AI76" i="83"/>
  <c r="AI45" i="83"/>
  <c r="AI38" i="83"/>
  <c r="AI77" i="83" l="1"/>
  <c r="AH103" i="9"/>
  <c r="AG112" i="26" l="1"/>
  <c r="AF110" i="26"/>
  <c r="AF108" i="26"/>
  <c r="AF106" i="26"/>
  <c r="AF104" i="26"/>
  <c r="AF102" i="26"/>
  <c r="AF100" i="26"/>
  <c r="AF98" i="26"/>
  <c r="AF96" i="26"/>
  <c r="AG92" i="26"/>
  <c r="AF89" i="26"/>
  <c r="AF87" i="26"/>
  <c r="AF85" i="26"/>
  <c r="AF83" i="26"/>
  <c r="AG81" i="26"/>
  <c r="AG80" i="26"/>
  <c r="AF78" i="26"/>
  <c r="AF76" i="26"/>
  <c r="AG73" i="26"/>
  <c r="AF71" i="26"/>
  <c r="AF69" i="26"/>
  <c r="AF67" i="26"/>
  <c r="AF65" i="26"/>
  <c r="AF63" i="26"/>
  <c r="AF61" i="26"/>
  <c r="AF59" i="26"/>
  <c r="AF57" i="26"/>
  <c r="AF52" i="26"/>
  <c r="AF50" i="26"/>
  <c r="AG48" i="26"/>
  <c r="AF46" i="26"/>
  <c r="AG43" i="26"/>
  <c r="AF41" i="26"/>
  <c r="AF39" i="26"/>
  <c r="AF37" i="26"/>
  <c r="AF35" i="26"/>
  <c r="AF33" i="26"/>
  <c r="AF31" i="26"/>
  <c r="AF29" i="26"/>
  <c r="AF27" i="26"/>
  <c r="AF25" i="26"/>
  <c r="AF23" i="26"/>
  <c r="AF21" i="26"/>
  <c r="AF17" i="26"/>
  <c r="AF15" i="26"/>
  <c r="AG12" i="26"/>
  <c r="AF11" i="26"/>
  <c r="AF9" i="26"/>
  <c r="AF48" i="26" l="1"/>
  <c r="AG54" i="26"/>
  <c r="AG18" i="26"/>
  <c r="AF81" i="26"/>
  <c r="AF112" i="26"/>
  <c r="AF92" i="26"/>
  <c r="AF80" i="26"/>
  <c r="AF73" i="26"/>
  <c r="AF54" i="26"/>
  <c r="AF49" i="26"/>
  <c r="AF55" i="26"/>
  <c r="AG55" i="26"/>
  <c r="AF43" i="26"/>
  <c r="AF12" i="26"/>
  <c r="AG49" i="26"/>
  <c r="AG13" i="26"/>
  <c r="AG19" i="26"/>
  <c r="M80" i="17"/>
  <c r="M81" i="17"/>
  <c r="I80" i="17"/>
  <c r="I81" i="17"/>
  <c r="AG37" i="27"/>
  <c r="AG35" i="27"/>
  <c r="AG27" i="27"/>
  <c r="AG20" i="27"/>
  <c r="AG29" i="27"/>
  <c r="AG28" i="27"/>
  <c r="AG19" i="27"/>
  <c r="AG18" i="27"/>
  <c r="AF19" i="26" l="1"/>
  <c r="AF18" i="26"/>
  <c r="AF13" i="26"/>
  <c r="AF20" i="27"/>
  <c r="AH29" i="22" l="1"/>
  <c r="AH25" i="22"/>
  <c r="AH24" i="22"/>
  <c r="AH14" i="22"/>
  <c r="AH10" i="22"/>
  <c r="AH9" i="22"/>
  <c r="AG100" i="90"/>
  <c r="AG91" i="90"/>
  <c r="AG129" i="90" l="1"/>
  <c r="AH27" i="22"/>
  <c r="AH12" i="22"/>
  <c r="AK80" i="45"/>
  <c r="AQ80" i="45" s="1"/>
  <c r="AU80" i="45" s="1"/>
  <c r="AY80" i="45" s="1"/>
  <c r="BG80" i="45" s="1"/>
  <c r="AK81" i="45"/>
  <c r="AQ81" i="45" s="1"/>
  <c r="AU81" i="45" s="1"/>
  <c r="AY81" i="45" s="1"/>
  <c r="BG81" i="45" s="1"/>
  <c r="AK118" i="45"/>
  <c r="AQ118" i="45" s="1"/>
  <c r="AU118" i="45" s="1"/>
  <c r="AY118" i="45" s="1"/>
  <c r="BG118" i="45" s="1"/>
  <c r="J124" i="10"/>
  <c r="J125" i="10"/>
  <c r="J126" i="10"/>
  <c r="AP93" i="8"/>
  <c r="AT93" i="8"/>
  <c r="AX93" i="8"/>
  <c r="BD93" i="8"/>
  <c r="BF93" i="8"/>
  <c r="AJ93" i="8" l="1"/>
  <c r="AH3" i="8"/>
  <c r="AH1" i="35" l="1"/>
  <c r="Y5" i="50"/>
  <c r="Y7" i="50"/>
  <c r="Y8" i="50"/>
  <c r="Y10" i="50"/>
  <c r="Y11" i="50"/>
  <c r="Y12" i="50"/>
  <c r="Y13" i="50"/>
  <c r="Y14" i="50"/>
  <c r="Y15" i="50"/>
  <c r="Y16" i="50"/>
  <c r="Y17" i="50"/>
  <c r="Y18" i="50"/>
  <c r="Y19" i="50"/>
  <c r="Y20" i="50"/>
  <c r="Y21" i="50"/>
  <c r="Y22" i="50"/>
  <c r="Y23" i="50"/>
  <c r="Y24" i="50"/>
  <c r="Y25" i="50"/>
  <c r="Y26" i="50"/>
  <c r="Y28" i="50"/>
  <c r="Y30" i="50"/>
  <c r="Y31" i="50"/>
  <c r="Y32" i="50"/>
  <c r="Y33" i="50"/>
  <c r="Y34" i="50"/>
  <c r="Y35" i="50"/>
  <c r="Y36" i="50"/>
  <c r="Y37" i="50"/>
  <c r="AF39" i="27" l="1"/>
  <c r="AG36" i="27"/>
  <c r="AG39" i="27" s="1"/>
  <c r="AF33" i="27"/>
  <c r="AG26" i="27"/>
  <c r="AG33" i="27" s="1"/>
  <c r="AF24" i="27"/>
  <c r="AG22" i="27"/>
  <c r="AG21" i="27"/>
  <c r="AG31" i="15"/>
  <c r="AG30" i="15"/>
  <c r="AG29" i="15"/>
  <c r="AG25" i="15"/>
  <c r="AG24" i="15"/>
  <c r="AG23" i="15"/>
  <c r="AG22" i="15"/>
  <c r="AG21" i="15"/>
  <c r="AF19" i="15"/>
  <c r="AG18" i="15"/>
  <c r="AG15" i="15"/>
  <c r="AF12" i="15"/>
  <c r="AF13" i="15" s="1"/>
  <c r="AG10" i="15"/>
  <c r="AG9" i="15"/>
  <c r="AF9" i="15"/>
  <c r="AG8" i="15"/>
  <c r="AF8" i="15"/>
  <c r="AG7" i="15"/>
  <c r="AG6" i="15"/>
  <c r="AG5" i="15"/>
  <c r="AG57" i="17"/>
  <c r="AF57" i="17"/>
  <c r="AG56" i="17"/>
  <c r="AF56" i="17"/>
  <c r="AG55" i="17"/>
  <c r="AF55" i="17"/>
  <c r="AG54" i="17"/>
  <c r="AF54" i="17"/>
  <c r="AG53" i="17"/>
  <c r="AF53" i="17"/>
  <c r="AG44" i="17"/>
  <c r="AF44" i="17"/>
  <c r="AG37" i="17"/>
  <c r="AG39" i="17" s="1"/>
  <c r="AF37" i="17"/>
  <c r="AF39" i="17" s="1"/>
  <c r="AF31" i="17"/>
  <c r="AG29" i="17"/>
  <c r="AG32" i="17" s="1"/>
  <c r="AF28" i="17"/>
  <c r="AF25" i="17"/>
  <c r="AG22" i="17"/>
  <c r="AG23" i="17" s="1"/>
  <c r="AF22" i="17"/>
  <c r="AG19" i="17"/>
  <c r="AF18" i="17"/>
  <c r="AG17" i="17"/>
  <c r="AF16" i="17"/>
  <c r="AG14" i="17"/>
  <c r="AG20" i="17" s="1"/>
  <c r="AF14" i="17"/>
  <c r="AG13" i="17"/>
  <c r="AG11" i="17"/>
  <c r="AG9" i="17"/>
  <c r="AG24" i="27" l="1"/>
  <c r="AF29" i="17"/>
  <c r="AF85" i="17"/>
  <c r="AG32" i="15"/>
  <c r="AG36" i="15" s="1"/>
  <c r="AG16" i="15" s="1"/>
  <c r="AG85" i="17"/>
  <c r="AG30" i="17"/>
  <c r="AF20" i="17"/>
  <c r="AG21" i="17"/>
  <c r="AG24" i="17"/>
  <c r="AF30" i="17"/>
  <c r="AF32" i="17"/>
  <c r="AG15" i="17"/>
  <c r="AF24" i="17" l="1"/>
  <c r="AG17" i="15"/>
  <c r="AG25" i="17"/>
  <c r="AK60" i="38" l="1"/>
  <c r="AL94" i="38" l="1"/>
  <c r="AL93" i="38"/>
  <c r="AL92" i="38"/>
  <c r="AL91" i="38"/>
  <c r="AK90" i="38"/>
  <c r="AL89" i="38"/>
  <c r="AK88" i="38"/>
  <c r="AL86" i="38"/>
  <c r="AL85" i="38"/>
  <c r="AL84" i="38"/>
  <c r="AL83" i="38"/>
  <c r="AK82" i="38"/>
  <c r="AL80" i="38"/>
  <c r="AL79" i="38"/>
  <c r="AL78" i="38"/>
  <c r="AL77" i="38"/>
  <c r="AL76" i="38"/>
  <c r="AL75" i="38"/>
  <c r="AL74" i="38"/>
  <c r="AL73" i="38"/>
  <c r="AL72" i="38"/>
  <c r="AL71" i="38"/>
  <c r="AL70" i="38"/>
  <c r="AL69" i="38"/>
  <c r="AL68" i="38"/>
  <c r="AL67" i="38"/>
  <c r="AK66" i="38"/>
  <c r="AL62" i="38"/>
  <c r="AL61" i="38"/>
  <c r="AL59" i="38"/>
  <c r="AL58" i="38"/>
  <c r="AL57" i="38"/>
  <c r="AL56" i="38"/>
  <c r="AL55" i="38"/>
  <c r="AK54" i="38"/>
  <c r="AK63" i="38" s="1"/>
  <c r="AK52" i="38"/>
  <c r="AL51" i="38"/>
  <c r="AK51" i="38"/>
  <c r="AK46" i="38"/>
  <c r="AK45" i="38"/>
  <c r="AK44" i="38"/>
  <c r="AK43" i="38"/>
  <c r="AL42" i="38"/>
  <c r="AL90" i="38" s="1"/>
  <c r="AK41" i="38"/>
  <c r="AK40" i="38" s="1"/>
  <c r="AL40" i="38"/>
  <c r="AL88" i="38" s="1"/>
  <c r="AK38" i="38"/>
  <c r="AK37" i="38"/>
  <c r="AK36" i="38"/>
  <c r="AK35" i="38"/>
  <c r="AL34" i="38"/>
  <c r="AL82" i="38" s="1"/>
  <c r="AK32" i="38"/>
  <c r="AK31" i="38"/>
  <c r="AK30" i="38"/>
  <c r="AK29" i="38"/>
  <c r="AK28" i="38"/>
  <c r="AK27" i="38"/>
  <c r="AK26" i="38"/>
  <c r="AK25" i="38"/>
  <c r="AK24" i="38"/>
  <c r="AK23" i="38"/>
  <c r="AK22" i="38"/>
  <c r="AK21" i="38"/>
  <c r="AK20" i="38"/>
  <c r="AK19" i="38"/>
  <c r="AL18" i="38"/>
  <c r="AK14" i="38"/>
  <c r="AK13" i="38"/>
  <c r="AL12" i="38"/>
  <c r="AK11" i="38"/>
  <c r="AK10" i="38"/>
  <c r="AK9" i="38"/>
  <c r="AK8" i="38"/>
  <c r="AK7" i="38"/>
  <c r="AL6" i="38"/>
  <c r="AL60" i="38" l="1"/>
  <c r="AL66" i="38"/>
  <c r="AK12" i="38"/>
  <c r="AK65" i="38"/>
  <c r="AL17" i="38"/>
  <c r="AL15" i="38"/>
  <c r="AL54" i="38"/>
  <c r="AK42" i="38"/>
  <c r="AK39" i="38" s="1"/>
  <c r="AK87" i="38"/>
  <c r="AK34" i="38"/>
  <c r="AK18" i="38"/>
  <c r="AK6" i="38"/>
  <c r="AL39" i="38"/>
  <c r="AL63" i="38" l="1"/>
  <c r="AL65" i="38"/>
  <c r="AK64" i="38"/>
  <c r="AK96" i="38" s="1"/>
  <c r="AK17" i="38"/>
  <c r="AK16" i="38" s="1"/>
  <c r="AK15" i="38"/>
  <c r="AL87" i="38"/>
  <c r="AL16" i="38"/>
  <c r="AK48" i="38" l="1"/>
  <c r="AL64" i="38"/>
  <c r="AL96" i="38" s="1"/>
  <c r="AL48" i="38"/>
  <c r="AC31" i="45" l="1"/>
  <c r="AG31" i="45" s="1"/>
  <c r="AK31" i="45" s="1"/>
  <c r="AQ31" i="45" s="1"/>
  <c r="AU31" i="45" s="1"/>
  <c r="AY31" i="45" s="1"/>
  <c r="BG31" i="45" s="1"/>
  <c r="N107" i="10"/>
  <c r="Z107" i="10"/>
  <c r="AB107" i="10" l="1"/>
  <c r="AF107" i="10" s="1"/>
  <c r="AJ107" i="10" s="1"/>
  <c r="AP107" i="10" s="1"/>
  <c r="AT107" i="10" s="1"/>
  <c r="AX107" i="10" s="1"/>
  <c r="BW32" i="71"/>
  <c r="BU32" i="71"/>
  <c r="BF107" i="10" l="1"/>
  <c r="CC32" i="71"/>
  <c r="CS32" i="71" s="1"/>
  <c r="CU32" i="71"/>
  <c r="BY32" i="71"/>
  <c r="CE32" i="71" s="1"/>
  <c r="CI32" i="71" s="1"/>
  <c r="CM32" i="71" s="1"/>
  <c r="AI92" i="90"/>
  <c r="AI93" i="90"/>
  <c r="AI95" i="90"/>
  <c r="AI98" i="90"/>
  <c r="AI99" i="90"/>
  <c r="AF102" i="90"/>
  <c r="AH102" i="90"/>
  <c r="AF106" i="90"/>
  <c r="AG106" i="90"/>
  <c r="AH106" i="90"/>
  <c r="AI106" i="90"/>
  <c r="AG117" i="90"/>
  <c r="AF126" i="90"/>
  <c r="AF131" i="90"/>
  <c r="AH131" i="90"/>
  <c r="BW7" i="71"/>
  <c r="BW8" i="71"/>
  <c r="BW9" i="71"/>
  <c r="AG68" i="90" s="1"/>
  <c r="BW10" i="71"/>
  <c r="BW11" i="71"/>
  <c r="BW12" i="71"/>
  <c r="BW13" i="71"/>
  <c r="BW14" i="71"/>
  <c r="BW15" i="71"/>
  <c r="BW16" i="71"/>
  <c r="BW17" i="71"/>
  <c r="BW18" i="71"/>
  <c r="BW19" i="71"/>
  <c r="AG69" i="90" s="1"/>
  <c r="BW20" i="71"/>
  <c r="AG70" i="90" s="1"/>
  <c r="BW21" i="71"/>
  <c r="AG71" i="90" s="1"/>
  <c r="BW22" i="71"/>
  <c r="AG72" i="90" s="1"/>
  <c r="BW25" i="71"/>
  <c r="BW26" i="71"/>
  <c r="BW27" i="71"/>
  <c r="AG73" i="90" s="1"/>
  <c r="BW28" i="71"/>
  <c r="BW29" i="71"/>
  <c r="BW30" i="71"/>
  <c r="BW33" i="71"/>
  <c r="BW34" i="71"/>
  <c r="BW35" i="71"/>
  <c r="BW36" i="71"/>
  <c r="BW37" i="71"/>
  <c r="BW38" i="71"/>
  <c r="AG74" i="90" s="1"/>
  <c r="BW39" i="71"/>
  <c r="BW40" i="71"/>
  <c r="BW41" i="71"/>
  <c r="BW42" i="71"/>
  <c r="AG76" i="90" s="1"/>
  <c r="BW43" i="71"/>
  <c r="AG77" i="90" s="1"/>
  <c r="BW45" i="71"/>
  <c r="AG78" i="90" s="1"/>
  <c r="BW46" i="71"/>
  <c r="BW47" i="71"/>
  <c r="AG79" i="90" s="1"/>
  <c r="BW48" i="71"/>
  <c r="AG80" i="90" s="1"/>
  <c r="BW49" i="71"/>
  <c r="AG81" i="90" s="1"/>
  <c r="BW51" i="71"/>
  <c r="AG83" i="90" s="1"/>
  <c r="BW52" i="71"/>
  <c r="AG84" i="90" s="1"/>
  <c r="BW53" i="71"/>
  <c r="BW54" i="71"/>
  <c r="BW55" i="71"/>
  <c r="BW56" i="71"/>
  <c r="AG85" i="90" s="1"/>
  <c r="BW57" i="71"/>
  <c r="AI157" i="45"/>
  <c r="AI156" i="45"/>
  <c r="AI154" i="45"/>
  <c r="AI148" i="45"/>
  <c r="AI143" i="45"/>
  <c r="AH143" i="45"/>
  <c r="AI142" i="45"/>
  <c r="AH142" i="45"/>
  <c r="AI141" i="45"/>
  <c r="AH141" i="45"/>
  <c r="AI140" i="45"/>
  <c r="AH140" i="45"/>
  <c r="AI138" i="45"/>
  <c r="AH138" i="45"/>
  <c r="AI136" i="45"/>
  <c r="AH136" i="45"/>
  <c r="AI134" i="45"/>
  <c r="AH134" i="45"/>
  <c r="AI131" i="45"/>
  <c r="AH131" i="45"/>
  <c r="AI129" i="45"/>
  <c r="AI122" i="45"/>
  <c r="AI150" i="45" s="1"/>
  <c r="AI121" i="45"/>
  <c r="AI124" i="45" s="1"/>
  <c r="AI125" i="45" s="1"/>
  <c r="AH121" i="45"/>
  <c r="AI120" i="45"/>
  <c r="AI158" i="45" s="1"/>
  <c r="AH91" i="11"/>
  <c r="AH89" i="11"/>
  <c r="AH83" i="11"/>
  <c r="AH78" i="11"/>
  <c r="AG78" i="11"/>
  <c r="AH77" i="11"/>
  <c r="AG77" i="11"/>
  <c r="AH76" i="11"/>
  <c r="AG76" i="11"/>
  <c r="AH75" i="11"/>
  <c r="AG75" i="11"/>
  <c r="AH73" i="11"/>
  <c r="AG73" i="11"/>
  <c r="AH71" i="11"/>
  <c r="AG71" i="11"/>
  <c r="AH69" i="11"/>
  <c r="AG69" i="11"/>
  <c r="AH66" i="11"/>
  <c r="AG66" i="11"/>
  <c r="AH64" i="11"/>
  <c r="AH59" i="11"/>
  <c r="AH57" i="11"/>
  <c r="AH56" i="11"/>
  <c r="AG56" i="11"/>
  <c r="AG58" i="11" s="1"/>
  <c r="AH55" i="11"/>
  <c r="AH190" i="10"/>
  <c r="AH188" i="10"/>
  <c r="AH182" i="10"/>
  <c r="AH183" i="10" s="1"/>
  <c r="AH177" i="10"/>
  <c r="AG177" i="10"/>
  <c r="AH176" i="10"/>
  <c r="AG176" i="10"/>
  <c r="AH175" i="10"/>
  <c r="AG175" i="10"/>
  <c r="AH174" i="10"/>
  <c r="AG174" i="10"/>
  <c r="AH172" i="10"/>
  <c r="AG172" i="10"/>
  <c r="AH170" i="10"/>
  <c r="AG170" i="10"/>
  <c r="AH168" i="10"/>
  <c r="AG168" i="10"/>
  <c r="AH165" i="10"/>
  <c r="AH166" i="10" s="1"/>
  <c r="AG165" i="10"/>
  <c r="AG166" i="10" s="1"/>
  <c r="AH160" i="10"/>
  <c r="AH184" i="10" s="1"/>
  <c r="AG159" i="10"/>
  <c r="AG161" i="10" s="1"/>
  <c r="AH158" i="10"/>
  <c r="AH210" i="10" s="1"/>
  <c r="AH159" i="10"/>
  <c r="AH132" i="45" l="1"/>
  <c r="AH144" i="45"/>
  <c r="AG79" i="11"/>
  <c r="AI149" i="45"/>
  <c r="AI132" i="45"/>
  <c r="AI126" i="45"/>
  <c r="AH92" i="11"/>
  <c r="AH79" i="11"/>
  <c r="AG67" i="11"/>
  <c r="AH93" i="11"/>
  <c r="AH67" i="11"/>
  <c r="AH90" i="11"/>
  <c r="AG55" i="11"/>
  <c r="AG74" i="11"/>
  <c r="AG97" i="11"/>
  <c r="AG178" i="10"/>
  <c r="AG203" i="10"/>
  <c r="AH61" i="11"/>
  <c r="AH120" i="45"/>
  <c r="AH139" i="45"/>
  <c r="AH124" i="45"/>
  <c r="AH84" i="11"/>
  <c r="AH74" i="11"/>
  <c r="AH58" i="11"/>
  <c r="AH60" i="11"/>
  <c r="AG173" i="10"/>
  <c r="AG158" i="10"/>
  <c r="AG210" i="10" s="1"/>
  <c r="AI155" i="45"/>
  <c r="AI159" i="45"/>
  <c r="AI160" i="45" s="1"/>
  <c r="AI123" i="45"/>
  <c r="AI139" i="45"/>
  <c r="AI144" i="45"/>
  <c r="AH123" i="45"/>
  <c r="AH85" i="11"/>
  <c r="AH189" i="10"/>
  <c r="AH173" i="10"/>
  <c r="AH178" i="10"/>
  <c r="AH161" i="10"/>
  <c r="AH191" i="10"/>
  <c r="AH196" i="10"/>
  <c r="AH199" i="10"/>
  <c r="AH192" i="10"/>
  <c r="AH94" i="11" l="1"/>
  <c r="AH200" i="10"/>
  <c r="AH193" i="10"/>
  <c r="AH95" i="9"/>
  <c r="AG34" i="35" l="1"/>
  <c r="AG48" i="28" s="1"/>
  <c r="AG18" i="35"/>
  <c r="AF18" i="15" s="1"/>
  <c r="AF15" i="15" s="1"/>
  <c r="AF16" i="15" s="1"/>
  <c r="AG16" i="35"/>
  <c r="AG502" i="28" l="1"/>
  <c r="AG42" i="28"/>
  <c r="AG101" i="9"/>
  <c r="AH99" i="9"/>
  <c r="AG99" i="9"/>
  <c r="AH98" i="9"/>
  <c r="AG98" i="9"/>
  <c r="AH97" i="9"/>
  <c r="AG97" i="9"/>
  <c r="AH93" i="9"/>
  <c r="AG76" i="9"/>
  <c r="AG77" i="9" s="1"/>
  <c r="AG74" i="9"/>
  <c r="AH60" i="9"/>
  <c r="AH57" i="9"/>
  <c r="AG53" i="9"/>
  <c r="AG52" i="9"/>
  <c r="AG47" i="9"/>
  <c r="AH46" i="9"/>
  <c r="AH20" i="35" s="1"/>
  <c r="AH36" i="9"/>
  <c r="AG90" i="90" s="1"/>
  <c r="AH35" i="9"/>
  <c r="AH47" i="9" s="1"/>
  <c r="AH34" i="9"/>
  <c r="AH31" i="9"/>
  <c r="AH25" i="9"/>
  <c r="AG24" i="9"/>
  <c r="AG22" i="9"/>
  <c r="AH19" i="9"/>
  <c r="AH57" i="36" s="1"/>
  <c r="AH17" i="36" s="1"/>
  <c r="AK54" i="59" s="1"/>
  <c r="AH10" i="9"/>
  <c r="AH5" i="9"/>
  <c r="AG5" i="9"/>
  <c r="AH109" i="8"/>
  <c r="AH111" i="8" s="1"/>
  <c r="AH94" i="8"/>
  <c r="AH91" i="8"/>
  <c r="AG91" i="8"/>
  <c r="AH89" i="8"/>
  <c r="AG89" i="8"/>
  <c r="AH88" i="8"/>
  <c r="AG88" i="8"/>
  <c r="AG87" i="8"/>
  <c r="AG82" i="8"/>
  <c r="AH80" i="8"/>
  <c r="AH75" i="8"/>
  <c r="AG74" i="8"/>
  <c r="AG73" i="8"/>
  <c r="AG72" i="8"/>
  <c r="AG71" i="8"/>
  <c r="AH68" i="8"/>
  <c r="AH66" i="8"/>
  <c r="AH64" i="8"/>
  <c r="AH61" i="8"/>
  <c r="AH58" i="8"/>
  <c r="AH59" i="8" s="1"/>
  <c r="AG52" i="8"/>
  <c r="AH49" i="8"/>
  <c r="AG49" i="8"/>
  <c r="AG46" i="8"/>
  <c r="AJ46" i="59" s="1"/>
  <c r="AG45" i="8"/>
  <c r="AG44" i="8"/>
  <c r="AJ47" i="59" s="1"/>
  <c r="AG43" i="8"/>
  <c r="AJ45" i="59" s="1"/>
  <c r="AG41" i="8"/>
  <c r="AG40" i="8"/>
  <c r="AG39" i="8"/>
  <c r="AH26" i="8"/>
  <c r="AH17" i="8"/>
  <c r="AG17" i="8"/>
  <c r="AG15" i="8"/>
  <c r="AG14" i="8"/>
  <c r="AH13" i="8"/>
  <c r="AG13" i="8"/>
  <c r="AH6" i="8"/>
  <c r="AG6" i="8"/>
  <c r="AG113" i="7"/>
  <c r="AG112" i="7"/>
  <c r="AG111" i="7"/>
  <c r="AG110" i="7"/>
  <c r="AG109" i="7"/>
  <c r="AG108" i="7"/>
  <c r="AG107" i="7"/>
  <c r="AG106" i="7"/>
  <c r="AG85" i="7"/>
  <c r="AH84" i="7"/>
  <c r="AG84" i="7"/>
  <c r="AH82" i="7"/>
  <c r="AG82" i="7"/>
  <c r="AH75" i="7"/>
  <c r="AG75" i="7"/>
  <c r="AH71" i="7"/>
  <c r="AH73" i="7" s="1"/>
  <c r="AG71" i="7"/>
  <c r="AG73" i="7" s="1"/>
  <c r="AH67" i="7"/>
  <c r="AG67" i="7"/>
  <c r="AH21" i="7"/>
  <c r="AH41" i="7" s="1"/>
  <c r="AH51" i="7" s="1"/>
  <c r="AG21" i="7"/>
  <c r="AG41" i="7" s="1"/>
  <c r="AG51" i="7" s="1"/>
  <c r="AG61" i="39"/>
  <c r="AH44" i="22" s="1"/>
  <c r="AG60" i="39"/>
  <c r="AH43" i="22" s="1"/>
  <c r="AG48" i="39"/>
  <c r="AG47" i="39"/>
  <c r="AG46" i="39"/>
  <c r="AG43" i="39"/>
  <c r="AG42" i="39"/>
  <c r="AG8" i="39"/>
  <c r="AH222" i="6"/>
  <c r="AG222" i="6"/>
  <c r="AH221" i="6"/>
  <c r="AG221" i="6"/>
  <c r="AG199" i="6"/>
  <c r="AH198" i="6"/>
  <c r="AG198" i="6"/>
  <c r="AG197" i="6"/>
  <c r="AH193" i="6"/>
  <c r="AG193" i="6"/>
  <c r="AH192" i="6"/>
  <c r="AG192" i="6"/>
  <c r="AH191" i="6"/>
  <c r="AG191" i="6"/>
  <c r="AG190" i="6"/>
  <c r="AG189" i="6"/>
  <c r="AG186" i="6"/>
  <c r="AG185" i="6"/>
  <c r="AG184" i="6"/>
  <c r="AG183" i="6"/>
  <c r="AG182" i="6"/>
  <c r="AG181" i="6"/>
  <c r="AG179" i="6"/>
  <c r="AG178" i="6"/>
  <c r="AG177" i="6"/>
  <c r="AH167" i="6"/>
  <c r="AG167" i="6"/>
  <c r="AH166" i="6"/>
  <c r="AG166" i="6"/>
  <c r="AG165" i="6"/>
  <c r="AG164" i="6"/>
  <c r="AG161" i="6"/>
  <c r="AG160" i="6"/>
  <c r="AG159" i="6"/>
  <c r="AG158" i="6"/>
  <c r="AG157" i="6"/>
  <c r="AG156" i="6"/>
  <c r="AG154" i="6"/>
  <c r="AG153" i="6"/>
  <c r="AG149" i="6"/>
  <c r="AH139" i="6"/>
  <c r="AH136" i="6"/>
  <c r="AG136" i="6"/>
  <c r="AH135" i="6"/>
  <c r="AG135" i="6"/>
  <c r="AH134" i="6"/>
  <c r="AG134" i="6"/>
  <c r="AH133" i="6"/>
  <c r="AG133" i="6"/>
  <c r="AH131" i="6"/>
  <c r="AG131" i="6"/>
  <c r="AH130" i="6"/>
  <c r="AG130" i="6"/>
  <c r="AH128" i="6"/>
  <c r="AG128" i="6"/>
  <c r="AH127" i="6"/>
  <c r="AG127" i="6"/>
  <c r="AH126" i="6"/>
  <c r="AG126" i="6"/>
  <c r="AH125" i="6"/>
  <c r="AG125" i="6"/>
  <c r="AH120" i="6"/>
  <c r="AG120" i="6"/>
  <c r="AH115" i="6"/>
  <c r="AG115" i="6"/>
  <c r="AH103" i="6"/>
  <c r="AG103" i="6"/>
  <c r="AG98" i="6"/>
  <c r="AG85" i="6"/>
  <c r="AG83" i="6"/>
  <c r="AG82" i="6"/>
  <c r="AG80" i="6"/>
  <c r="AG79" i="6"/>
  <c r="AH77" i="6"/>
  <c r="AG77" i="6"/>
  <c r="AH69" i="6"/>
  <c r="AG69" i="6"/>
  <c r="AH66" i="6"/>
  <c r="AG66" i="6"/>
  <c r="AH56" i="6"/>
  <c r="AH55" i="6"/>
  <c r="AH54" i="6"/>
  <c r="AH51" i="6"/>
  <c r="AH48" i="6"/>
  <c r="AH45" i="6"/>
  <c r="AG41" i="6"/>
  <c r="AH34" i="6"/>
  <c r="AH33" i="6"/>
  <c r="AH32" i="6"/>
  <c r="AH29" i="6"/>
  <c r="AH26" i="6"/>
  <c r="AH23" i="6"/>
  <c r="AG18" i="6"/>
  <c r="AG17" i="6"/>
  <c r="AG16" i="6"/>
  <c r="AG15" i="6"/>
  <c r="AH9" i="6"/>
  <c r="AH8" i="6"/>
  <c r="AG7" i="6"/>
  <c r="AI93" i="77"/>
  <c r="AI88" i="77"/>
  <c r="AI87" i="77"/>
  <c r="AI77" i="77"/>
  <c r="AI76" i="77"/>
  <c r="AI75" i="77"/>
  <c r="AI74" i="77"/>
  <c r="AI73" i="77"/>
  <c r="AI72" i="77"/>
  <c r="AI70" i="77"/>
  <c r="AI69" i="77"/>
  <c r="AI68" i="77"/>
  <c r="AI67" i="77"/>
  <c r="AI66" i="77"/>
  <c r="AI65" i="77"/>
  <c r="AI64" i="77"/>
  <c r="AI63" i="77"/>
  <c r="AI62" i="77"/>
  <c r="AI61" i="77"/>
  <c r="AI60" i="77"/>
  <c r="AI58" i="77"/>
  <c r="AI57" i="77"/>
  <c r="AI56" i="77"/>
  <c r="AI55" i="77"/>
  <c r="AI54" i="77"/>
  <c r="AI52" i="77"/>
  <c r="AI51" i="77"/>
  <c r="AI50" i="77"/>
  <c r="AI49" i="77"/>
  <c r="AI48" i="77"/>
  <c r="AI47" i="77"/>
  <c r="AI46" i="77"/>
  <c r="AI45" i="77"/>
  <c r="AI44" i="77"/>
  <c r="AI43" i="77"/>
  <c r="AI35" i="77"/>
  <c r="AI34" i="77"/>
  <c r="AI33" i="77"/>
  <c r="AI31" i="77"/>
  <c r="AI30" i="77"/>
  <c r="AI29" i="77"/>
  <c r="AI28" i="77"/>
  <c r="AI27" i="77"/>
  <c r="AI25" i="77"/>
  <c r="AI24" i="77"/>
  <c r="AI23" i="77"/>
  <c r="AI22" i="77"/>
  <c r="AI20" i="77"/>
  <c r="AI19" i="77"/>
  <c r="AI18" i="77"/>
  <c r="AI17" i="77"/>
  <c r="AI16" i="77"/>
  <c r="AI15" i="77"/>
  <c r="AI14" i="77"/>
  <c r="AI12" i="77"/>
  <c r="AI11" i="77"/>
  <c r="AI10" i="77"/>
  <c r="AI9" i="77"/>
  <c r="AI8" i="77"/>
  <c r="AI6" i="77"/>
  <c r="AI5" i="77"/>
  <c r="AG91" i="77"/>
  <c r="AG90" i="77"/>
  <c r="AG71" i="77"/>
  <c r="AG53" i="77"/>
  <c r="AG36" i="77"/>
  <c r="AG32" i="77"/>
  <c r="AG26" i="77"/>
  <c r="AG21" i="77"/>
  <c r="AG13" i="77"/>
  <c r="AG7" i="77"/>
  <c r="AH17" i="49"/>
  <c r="AH18" i="49" s="1"/>
  <c r="AH11" i="49"/>
  <c r="AG11" i="49"/>
  <c r="AH9" i="49"/>
  <c r="AH8" i="49"/>
  <c r="AI42" i="73"/>
  <c r="AO42" i="73" s="1"/>
  <c r="AG8" i="73"/>
  <c r="AG242" i="73"/>
  <c r="AG240" i="73"/>
  <c r="AG229" i="73"/>
  <c r="AG42" i="77" s="1"/>
  <c r="AG220" i="73"/>
  <c r="AG209" i="73"/>
  <c r="AG181" i="73"/>
  <c r="AG168" i="73"/>
  <c r="AG179" i="73" s="1"/>
  <c r="AG134" i="73"/>
  <c r="AG132" i="73"/>
  <c r="AG130" i="73"/>
  <c r="AG126" i="73"/>
  <c r="AG122" i="73"/>
  <c r="AG113" i="73"/>
  <c r="AG106" i="73"/>
  <c r="AG102" i="73"/>
  <c r="AG62" i="73"/>
  <c r="AG56" i="73"/>
  <c r="AG51" i="73"/>
  <c r="AG46" i="73"/>
  <c r="AG35" i="73"/>
  <c r="AG30" i="73"/>
  <c r="AG22" i="73"/>
  <c r="AG20" i="73"/>
  <c r="AG120" i="90" s="1"/>
  <c r="AK79" i="59"/>
  <c r="AK78" i="59"/>
  <c r="AK77" i="59"/>
  <c r="AJ75" i="59"/>
  <c r="AJ74" i="59"/>
  <c r="AK73" i="59"/>
  <c r="AK72" i="59"/>
  <c r="AJ72" i="59"/>
  <c r="AK69" i="59"/>
  <c r="AK68" i="59"/>
  <c r="AJ68" i="59"/>
  <c r="AK65" i="59"/>
  <c r="AK64" i="59"/>
  <c r="AJ64" i="59"/>
  <c r="AJ61" i="59"/>
  <c r="AJ60" i="59"/>
  <c r="AK58" i="59"/>
  <c r="AJ58" i="59"/>
  <c r="AJ57" i="59"/>
  <c r="AJ52" i="59"/>
  <c r="AJ51" i="59"/>
  <c r="AK50" i="59"/>
  <c r="AJ50" i="59"/>
  <c r="AK49" i="59"/>
  <c r="AJ49" i="59"/>
  <c r="AK44" i="59"/>
  <c r="AJ44" i="59"/>
  <c r="AJ42" i="59"/>
  <c r="AJ41" i="59"/>
  <c r="AK40" i="59"/>
  <c r="AJ40" i="59"/>
  <c r="AJ38" i="59"/>
  <c r="AJ37" i="59"/>
  <c r="AJ36" i="59"/>
  <c r="AK27" i="59"/>
  <c r="AK26" i="59"/>
  <c r="AK25" i="59"/>
  <c r="AK24" i="59"/>
  <c r="AK23" i="59"/>
  <c r="AK20" i="59"/>
  <c r="AK19" i="59"/>
  <c r="AK18" i="59"/>
  <c r="AK17" i="59"/>
  <c r="AK16" i="59"/>
  <c r="AK12" i="59"/>
  <c r="AJ12" i="59"/>
  <c r="AJ11" i="59"/>
  <c r="AI72" i="36"/>
  <c r="AI71" i="36"/>
  <c r="AI69" i="36"/>
  <c r="AI67" i="36"/>
  <c r="AI66" i="36"/>
  <c r="AI29" i="36"/>
  <c r="AI28" i="36"/>
  <c r="AI27" i="36"/>
  <c r="AI23" i="36"/>
  <c r="AI22" i="36"/>
  <c r="AI21" i="36"/>
  <c r="AG72" i="36"/>
  <c r="AG64" i="36" s="1"/>
  <c r="AG71" i="36"/>
  <c r="AG69" i="36"/>
  <c r="AG61" i="36" s="1"/>
  <c r="AG63" i="36" s="1"/>
  <c r="AG67" i="36"/>
  <c r="AG59" i="36" s="1"/>
  <c r="AG66" i="36"/>
  <c r="AG58" i="36" s="1"/>
  <c r="AH64" i="36"/>
  <c r="AH72" i="36" s="1"/>
  <c r="AH62" i="36"/>
  <c r="AH70" i="36" s="1"/>
  <c r="AH61" i="36"/>
  <c r="AH69" i="36" s="1"/>
  <c r="AH59" i="36"/>
  <c r="AH67" i="36" s="1"/>
  <c r="AH58" i="36"/>
  <c r="AH66" i="36" s="1"/>
  <c r="AH56" i="36"/>
  <c r="AH16" i="36" s="1"/>
  <c r="AH33" i="36"/>
  <c r="AH40" i="36" s="1"/>
  <c r="AG33" i="36"/>
  <c r="AG29" i="36"/>
  <c r="AF7" i="15" s="1"/>
  <c r="AG28" i="36"/>
  <c r="AF6" i="15" s="1"/>
  <c r="AG27" i="36"/>
  <c r="AF5" i="15" s="1"/>
  <c r="AH26" i="36"/>
  <c r="AH24" i="36"/>
  <c r="AK74" i="59" s="1"/>
  <c r="AH23" i="36"/>
  <c r="AK71" i="59" s="1"/>
  <c r="AG23" i="36"/>
  <c r="AJ71" i="59" s="1"/>
  <c r="AH22" i="36"/>
  <c r="AK67" i="59" s="1"/>
  <c r="AG22" i="36"/>
  <c r="AJ67" i="59" s="1"/>
  <c r="AH21" i="36"/>
  <c r="AK63" i="59" s="1"/>
  <c r="AG21" i="36"/>
  <c r="AJ63" i="59" s="1"/>
  <c r="AG17" i="36"/>
  <c r="AJ54" i="59" s="1"/>
  <c r="AG16" i="36"/>
  <c r="AJ53" i="59" s="1"/>
  <c r="AG13" i="36"/>
  <c r="AJ39" i="59" s="1"/>
  <c r="AH12" i="36"/>
  <c r="AK38" i="59" s="1"/>
  <c r="AH11" i="36"/>
  <c r="AK37" i="59" s="1"/>
  <c r="AH10" i="36"/>
  <c r="AG9" i="36"/>
  <c r="AJ10" i="59" s="1"/>
  <c r="AG8" i="36"/>
  <c r="AJ9" i="59" s="1"/>
  <c r="AG7" i="36"/>
  <c r="AJ8" i="59" s="1"/>
  <c r="AG5" i="36"/>
  <c r="AG13" i="49" s="1"/>
  <c r="AH28" i="21"/>
  <c r="AG27" i="21"/>
  <c r="AH24" i="21"/>
  <c r="AH25" i="21" s="1"/>
  <c r="AH18" i="21"/>
  <c r="AH15" i="21"/>
  <c r="AH12" i="21"/>
  <c r="AG12" i="21"/>
  <c r="AG15" i="21" s="1"/>
  <c r="AG42" i="35"/>
  <c r="AG41" i="35"/>
  <c r="AH40" i="35"/>
  <c r="AH39" i="35"/>
  <c r="AK76" i="59" s="1"/>
  <c r="AG39" i="35"/>
  <c r="AG36" i="35"/>
  <c r="AH36" i="35"/>
  <c r="AH48" i="35" s="1"/>
  <c r="AG33" i="35"/>
  <c r="AH32" i="35"/>
  <c r="AH31" i="35"/>
  <c r="AH30" i="35"/>
  <c r="AH203" i="10" s="1"/>
  <c r="AH26" i="35"/>
  <c r="AH34" i="36" s="1"/>
  <c r="AG26" i="35"/>
  <c r="AG26" i="21" s="1"/>
  <c r="AH21" i="35"/>
  <c r="AH26" i="9" s="1"/>
  <c r="AG21" i="35"/>
  <c r="AG26" i="9" s="1"/>
  <c r="AG20" i="35"/>
  <c r="AG19" i="35"/>
  <c r="AH14" i="35"/>
  <c r="AH5" i="36" s="1"/>
  <c r="AH13" i="35"/>
  <c r="AH11" i="35"/>
  <c r="AH10" i="6" s="1"/>
  <c r="AG10" i="35"/>
  <c r="AG14" i="35" s="1"/>
  <c r="AG9" i="35"/>
  <c r="AG13" i="35" s="1"/>
  <c r="AG8" i="35"/>
  <c r="AH7" i="35"/>
  <c r="AH6" i="6" s="1"/>
  <c r="AH6" i="35"/>
  <c r="AH555" i="28" l="1"/>
  <c r="AH556" i="28"/>
  <c r="AG48" i="35"/>
  <c r="AG37" i="28"/>
  <c r="AG78" i="7"/>
  <c r="AG61" i="7"/>
  <c r="AG102" i="7" s="1"/>
  <c r="AG31" i="7"/>
  <c r="AG23" i="7"/>
  <c r="AG87" i="7" s="1"/>
  <c r="AG60" i="7"/>
  <c r="AG35" i="7"/>
  <c r="AG98" i="7" s="1"/>
  <c r="AG32" i="7"/>
  <c r="AG95" i="7" s="1"/>
  <c r="AG28" i="7"/>
  <c r="AG92" i="7" s="1"/>
  <c r="AG25" i="7"/>
  <c r="AG62" i="7"/>
  <c r="AG58" i="7"/>
  <c r="AG55" i="7"/>
  <c r="AG27" i="7"/>
  <c r="AG91" i="7" s="1"/>
  <c r="AG24" i="7"/>
  <c r="AG37" i="7"/>
  <c r="AG100" i="7" s="1"/>
  <c r="AG36" i="7"/>
  <c r="AG99" i="7" s="1"/>
  <c r="AG33" i="7"/>
  <c r="AG96" i="7" s="1"/>
  <c r="AG29" i="7"/>
  <c r="AG93" i="7" s="1"/>
  <c r="AJ33" i="59" s="1"/>
  <c r="AG26" i="7"/>
  <c r="AG59" i="7"/>
  <c r="AG56" i="7"/>
  <c r="AG101" i="7" s="1"/>
  <c r="AG34" i="7"/>
  <c r="AG97" i="7" s="1"/>
  <c r="AG54" i="7"/>
  <c r="AG57" i="7"/>
  <c r="AH81" i="7"/>
  <c r="AK28" i="59" s="1"/>
  <c r="AH35" i="7"/>
  <c r="AH98" i="7" s="1"/>
  <c r="AH32" i="7"/>
  <c r="AH95" i="7" s="1"/>
  <c r="AH28" i="7"/>
  <c r="AH92" i="7" s="1"/>
  <c r="AH25" i="7"/>
  <c r="AH62" i="7"/>
  <c r="AH58" i="7"/>
  <c r="AH55" i="7"/>
  <c r="AH36" i="7"/>
  <c r="AH99" i="7" s="1"/>
  <c r="AH33" i="7"/>
  <c r="AH96" i="7" s="1"/>
  <c r="AH29" i="7"/>
  <c r="AH93" i="7" s="1"/>
  <c r="AK33" i="59" s="1"/>
  <c r="AH26" i="7"/>
  <c r="AH90" i="7" s="1"/>
  <c r="AK32" i="59" s="1"/>
  <c r="AH59" i="7"/>
  <c r="AH56" i="7"/>
  <c r="AH101" i="7" s="1"/>
  <c r="AH61" i="7"/>
  <c r="AH102" i="7" s="1"/>
  <c r="AH37" i="7"/>
  <c r="AH100" i="7" s="1"/>
  <c r="AH34" i="7"/>
  <c r="AH97" i="7" s="1"/>
  <c r="AH31" i="7"/>
  <c r="AH27" i="7"/>
  <c r="AH91" i="7" s="1"/>
  <c r="AH24" i="7"/>
  <c r="AH23" i="7"/>
  <c r="AH87" i="7" s="1"/>
  <c r="AH60" i="7"/>
  <c r="AH57" i="7"/>
  <c r="AH54" i="7"/>
  <c r="AG6" i="73"/>
  <c r="AG37" i="77"/>
  <c r="AG118" i="73"/>
  <c r="AH67" i="8"/>
  <c r="AH37" i="8" s="1"/>
  <c r="AH65" i="8"/>
  <c r="AH72" i="8" s="1"/>
  <c r="AH69" i="8"/>
  <c r="AH74" i="8" s="1"/>
  <c r="AG6" i="49"/>
  <c r="AH16" i="8"/>
  <c r="AG22" i="39"/>
  <c r="AH86" i="8"/>
  <c r="AG28" i="21"/>
  <c r="AI68" i="36"/>
  <c r="AG24" i="6"/>
  <c r="AG25" i="6"/>
  <c r="AI86" i="77"/>
  <c r="AG5" i="73"/>
  <c r="AG89" i="77"/>
  <c r="AH35" i="36"/>
  <c r="AH36" i="36" s="1"/>
  <c r="AH38" i="36" s="1"/>
  <c r="AH30" i="36" s="1"/>
  <c r="AK80" i="59" s="1"/>
  <c r="AH41" i="36"/>
  <c r="AH43" i="36" s="1"/>
  <c r="AH31" i="36" s="1"/>
  <c r="AH35" i="6"/>
  <c r="AG137" i="73"/>
  <c r="AG68" i="36"/>
  <c r="AJ77" i="59"/>
  <c r="AJ6" i="59"/>
  <c r="AG89" i="9"/>
  <c r="AJ78" i="59"/>
  <c r="AG90" i="9"/>
  <c r="AG19" i="9" s="1"/>
  <c r="AJ79" i="59"/>
  <c r="AG16" i="8"/>
  <c r="AG12" i="15"/>
  <c r="AG13" i="15" s="1"/>
  <c r="AG14" i="15" s="1"/>
  <c r="AG66" i="9"/>
  <c r="AF130" i="26"/>
  <c r="AG34" i="22"/>
  <c r="AG130" i="26"/>
  <c r="AH34" i="22"/>
  <c r="AH48" i="9"/>
  <c r="AH49" i="9" s="1"/>
  <c r="AH76" i="9" s="1"/>
  <c r="AG122" i="90"/>
  <c r="AG57" i="36"/>
  <c r="AG84" i="77"/>
  <c r="AH20" i="21"/>
  <c r="AH33" i="35"/>
  <c r="AH37" i="35" s="1"/>
  <c r="AH25" i="36" s="1"/>
  <c r="AK75" i="59" s="1"/>
  <c r="AH41" i="35"/>
  <c r="AH97" i="11"/>
  <c r="AH71" i="36"/>
  <c r="AH37" i="9"/>
  <c r="AH19" i="35" s="1"/>
  <c r="AH90" i="9"/>
  <c r="AH18" i="36"/>
  <c r="AK55" i="59" s="1"/>
  <c r="AH68" i="36"/>
  <c r="AH100" i="9"/>
  <c r="AJ48" i="59"/>
  <c r="AH13" i="36"/>
  <c r="AK39" i="59" s="1"/>
  <c r="AG23" i="39"/>
  <c r="AG49" i="39"/>
  <c r="AH121" i="6"/>
  <c r="AH137" i="6"/>
  <c r="AG34" i="39"/>
  <c r="AH16" i="6"/>
  <c r="AH18" i="6"/>
  <c r="AH8" i="35"/>
  <c r="AH5" i="6"/>
  <c r="AG121" i="6"/>
  <c r="AG137" i="6"/>
  <c r="AG104" i="6"/>
  <c r="AG188" i="6"/>
  <c r="AG27" i="6"/>
  <c r="AG42" i="8"/>
  <c r="AG34" i="36"/>
  <c r="AG59" i="9"/>
  <c r="AG68" i="9"/>
  <c r="AG69" i="9"/>
  <c r="AG7" i="9"/>
  <c r="AG55" i="9"/>
  <c r="AG63" i="9"/>
  <c r="AG70" i="9"/>
  <c r="AG92" i="9"/>
  <c r="AG56" i="9"/>
  <c r="AG64" i="9"/>
  <c r="AG56" i="36"/>
  <c r="AG27" i="9"/>
  <c r="AG65" i="9"/>
  <c r="AG95" i="9"/>
  <c r="AG58" i="9"/>
  <c r="AG67" i="9"/>
  <c r="AG100" i="9"/>
  <c r="AG8" i="6"/>
  <c r="AG9" i="6"/>
  <c r="AH62" i="9"/>
  <c r="AG25" i="9"/>
  <c r="AG88" i="9" s="1"/>
  <c r="AH14" i="9"/>
  <c r="AK53" i="59"/>
  <c r="AK59" i="59"/>
  <c r="AG61" i="9"/>
  <c r="AH96" i="9"/>
  <c r="AH89" i="9"/>
  <c r="AH94" i="9"/>
  <c r="AG19" i="15" s="1"/>
  <c r="AH110" i="8"/>
  <c r="AH112" i="8" s="1"/>
  <c r="AH53" i="8" s="1"/>
  <c r="AK36" i="59"/>
  <c r="AH34" i="8"/>
  <c r="AH63" i="8"/>
  <c r="AH6" i="49"/>
  <c r="AG27" i="8"/>
  <c r="AH41" i="8"/>
  <c r="AH44" i="8"/>
  <c r="AH47" i="8"/>
  <c r="AH62" i="8"/>
  <c r="AG23" i="8"/>
  <c r="AG28" i="8"/>
  <c r="AG92" i="8"/>
  <c r="AG24" i="8"/>
  <c r="AG29" i="8"/>
  <c r="AH39" i="8"/>
  <c r="AH45" i="8"/>
  <c r="AH92" i="8"/>
  <c r="AG25" i="8"/>
  <c r="AG30" i="8"/>
  <c r="AG50" i="8"/>
  <c r="AG51" i="8" s="1"/>
  <c r="AH82" i="8"/>
  <c r="AK51" i="59" s="1"/>
  <c r="AG31" i="8"/>
  <c r="AH40" i="8"/>
  <c r="AH43" i="8"/>
  <c r="AH46" i="8"/>
  <c r="AH50" i="8"/>
  <c r="AH51" i="8" s="1"/>
  <c r="AG85" i="8"/>
  <c r="AJ43" i="59"/>
  <c r="AG45" i="39"/>
  <c r="AK34" i="59"/>
  <c r="AH69" i="7"/>
  <c r="AH78" i="7"/>
  <c r="AG76" i="7"/>
  <c r="AG83" i="7"/>
  <c r="AJ35" i="59" s="1"/>
  <c r="AG50" i="39"/>
  <c r="AH76" i="7"/>
  <c r="AH83" i="7"/>
  <c r="AK35" i="59" s="1"/>
  <c r="AG81" i="7"/>
  <c r="AJ28" i="59" s="1"/>
  <c r="AJ34" i="59"/>
  <c r="AG68" i="7"/>
  <c r="AH132" i="6"/>
  <c r="AH57" i="6"/>
  <c r="AG163" i="6"/>
  <c r="AG168" i="6"/>
  <c r="AH13" i="49"/>
  <c r="AK6" i="59"/>
  <c r="AH15" i="35"/>
  <c r="AG21" i="6"/>
  <c r="AG30" i="6"/>
  <c r="AG132" i="6"/>
  <c r="AG22" i="6"/>
  <c r="AG31" i="6"/>
  <c r="AG194" i="6"/>
  <c r="AG28" i="6"/>
  <c r="AG19" i="6"/>
  <c r="AG60" i="36"/>
  <c r="AH63" i="36"/>
  <c r="AH60" i="36"/>
  <c r="AG22" i="21"/>
  <c r="AG37" i="35"/>
  <c r="AG49" i="35"/>
  <c r="AG15" i="35"/>
  <c r="AG11" i="35"/>
  <c r="AG10" i="6" s="1"/>
  <c r="F71" i="77"/>
  <c r="G71" i="77"/>
  <c r="J71" i="77"/>
  <c r="K71" i="77"/>
  <c r="N71" i="77"/>
  <c r="O71" i="77"/>
  <c r="R71" i="77"/>
  <c r="S71" i="77"/>
  <c r="V71" i="77"/>
  <c r="W71" i="77"/>
  <c r="AB71" i="77"/>
  <c r="AC71" i="77"/>
  <c r="AF71" i="77"/>
  <c r="AJ71" i="77"/>
  <c r="F53" i="77"/>
  <c r="G53" i="77"/>
  <c r="J53" i="77"/>
  <c r="K53" i="77"/>
  <c r="N53" i="77"/>
  <c r="O53" i="77"/>
  <c r="R53" i="77"/>
  <c r="S53" i="77"/>
  <c r="V53" i="77"/>
  <c r="W53" i="77"/>
  <c r="AB53" i="77"/>
  <c r="AC53" i="77"/>
  <c r="AF53" i="77"/>
  <c r="AJ53" i="77"/>
  <c r="F36" i="77"/>
  <c r="G36" i="77"/>
  <c r="J36" i="77"/>
  <c r="K36" i="77"/>
  <c r="N36" i="77"/>
  <c r="O36" i="77"/>
  <c r="R36" i="77"/>
  <c r="S36" i="77"/>
  <c r="V36" i="77"/>
  <c r="W36" i="77"/>
  <c r="AB36" i="77"/>
  <c r="AC36" i="77"/>
  <c r="AF36" i="77"/>
  <c r="AJ36" i="77"/>
  <c r="F32" i="77"/>
  <c r="G32" i="77"/>
  <c r="J32" i="77"/>
  <c r="K32" i="77"/>
  <c r="N32" i="77"/>
  <c r="O32" i="77"/>
  <c r="R32" i="77"/>
  <c r="S32" i="77"/>
  <c r="V32" i="77"/>
  <c r="W32" i="77"/>
  <c r="AB32" i="77"/>
  <c r="AC32" i="77"/>
  <c r="AF32" i="77"/>
  <c r="AJ32" i="77"/>
  <c r="F26" i="77"/>
  <c r="G26" i="77"/>
  <c r="J26" i="77"/>
  <c r="K26" i="77"/>
  <c r="N26" i="77"/>
  <c r="O26" i="77"/>
  <c r="R26" i="77"/>
  <c r="S26" i="77"/>
  <c r="V26" i="77"/>
  <c r="W26" i="77"/>
  <c r="AB26" i="77"/>
  <c r="AC26" i="77"/>
  <c r="AF26" i="77"/>
  <c r="AJ26" i="77"/>
  <c r="F21" i="77"/>
  <c r="G21" i="77"/>
  <c r="J21" i="77"/>
  <c r="K21" i="77"/>
  <c r="N21" i="77"/>
  <c r="O21" i="77"/>
  <c r="R21" i="77"/>
  <c r="S21" i="77"/>
  <c r="V21" i="77"/>
  <c r="W21" i="77"/>
  <c r="AB21" i="77"/>
  <c r="AC21" i="77"/>
  <c r="AF21" i="77"/>
  <c r="AJ21" i="77"/>
  <c r="F13" i="77"/>
  <c r="G13" i="77"/>
  <c r="J13" i="77"/>
  <c r="K13" i="77"/>
  <c r="N13" i="77"/>
  <c r="O13" i="77"/>
  <c r="R13" i="77"/>
  <c r="S13" i="77"/>
  <c r="V13" i="77"/>
  <c r="W13" i="77"/>
  <c r="AB13" i="77"/>
  <c r="AC13" i="77"/>
  <c r="AF13" i="77"/>
  <c r="AJ13" i="77"/>
  <c r="F7" i="77"/>
  <c r="G7" i="77"/>
  <c r="J7" i="77"/>
  <c r="K7" i="77"/>
  <c r="N7" i="77"/>
  <c r="O7" i="77"/>
  <c r="R7" i="77"/>
  <c r="S7" i="77"/>
  <c r="V7" i="77"/>
  <c r="W7" i="77"/>
  <c r="AB7" i="77"/>
  <c r="AC7" i="77"/>
  <c r="AF7" i="77"/>
  <c r="AJ7" i="77"/>
  <c r="L95" i="77"/>
  <c r="AD95" i="77"/>
  <c r="J95" i="77"/>
  <c r="N95" i="77"/>
  <c r="J84" i="77"/>
  <c r="L84" i="77"/>
  <c r="N84" i="77"/>
  <c r="R84" i="77"/>
  <c r="V84" i="77"/>
  <c r="X84" i="77"/>
  <c r="Z84" i="77"/>
  <c r="AB84" i="77"/>
  <c r="AD84" i="77"/>
  <c r="BA93" i="77"/>
  <c r="BA88" i="77"/>
  <c r="BA87" i="77"/>
  <c r="BA82" i="77"/>
  <c r="AW93" i="77"/>
  <c r="AW88" i="77"/>
  <c r="AW87" i="77"/>
  <c r="AS93" i="77"/>
  <c r="AS88" i="77"/>
  <c r="AS87" i="77"/>
  <c r="AM93" i="77"/>
  <c r="AM88" i="77"/>
  <c r="AM87" i="77"/>
  <c r="AE93" i="77"/>
  <c r="AE88" i="77"/>
  <c r="AE87" i="77"/>
  <c r="AA93" i="77"/>
  <c r="AA88" i="77"/>
  <c r="AA87" i="77"/>
  <c r="Y93" i="77"/>
  <c r="Y88" i="77"/>
  <c r="Y87" i="77"/>
  <c r="U93" i="77"/>
  <c r="U88" i="77"/>
  <c r="U87" i="77"/>
  <c r="U82" i="77"/>
  <c r="Q93" i="77"/>
  <c r="Q88" i="77"/>
  <c r="Q87" i="77"/>
  <c r="Q82" i="77"/>
  <c r="M93" i="77"/>
  <c r="M88" i="77"/>
  <c r="M87" i="77"/>
  <c r="M82" i="77"/>
  <c r="I93" i="77"/>
  <c r="I88" i="77"/>
  <c r="I87" i="77"/>
  <c r="I82" i="77"/>
  <c r="AG526" i="28" l="1"/>
  <c r="AG31" i="28"/>
  <c r="AG63" i="28" s="1"/>
  <c r="AG69" i="28" s="1"/>
  <c r="AG77" i="28"/>
  <c r="AG89" i="7"/>
  <c r="AJ31" i="59" s="1"/>
  <c r="AH88" i="7"/>
  <c r="AK30" i="59" s="1"/>
  <c r="AG90" i="7"/>
  <c r="AJ32" i="59" s="1"/>
  <c r="AH89" i="7"/>
  <c r="AK31" i="59" s="1"/>
  <c r="AG88" i="7"/>
  <c r="AJ30" i="59" s="1"/>
  <c r="AH7" i="6"/>
  <c r="AH98" i="6"/>
  <c r="AH104" i="6" s="1"/>
  <c r="AH106" i="6" s="1"/>
  <c r="AE86" i="77"/>
  <c r="AH36" i="8"/>
  <c r="AG17" i="49"/>
  <c r="AG18" i="49" s="1"/>
  <c r="AG26" i="6"/>
  <c r="AH35" i="8"/>
  <c r="AH73" i="8"/>
  <c r="AG9" i="49"/>
  <c r="I86" i="77"/>
  <c r="U86" i="77"/>
  <c r="AG24" i="39"/>
  <c r="Y86" i="77"/>
  <c r="AS86" i="77"/>
  <c r="AH91" i="9"/>
  <c r="AH138" i="6"/>
  <c r="AG106" i="6"/>
  <c r="AH123" i="6"/>
  <c r="AG123" i="6"/>
  <c r="AG173" i="6" s="1"/>
  <c r="AG81" i="6"/>
  <c r="M86" i="77"/>
  <c r="AG29" i="6"/>
  <c r="AH194" i="6"/>
  <c r="AK46" i="59"/>
  <c r="AH138" i="8"/>
  <c r="AK45" i="59"/>
  <c r="AH136" i="8"/>
  <c r="AK42" i="59"/>
  <c r="AH123" i="8"/>
  <c r="AK47" i="59"/>
  <c r="AH137" i="8"/>
  <c r="Q86" i="77"/>
  <c r="AM86" i="77"/>
  <c r="AH19" i="36"/>
  <c r="AK56" i="59" s="1"/>
  <c r="AA86" i="77"/>
  <c r="BC88" i="77"/>
  <c r="BE88" i="77" s="1"/>
  <c r="BA86" i="77"/>
  <c r="AW86" i="77"/>
  <c r="AG95" i="77"/>
  <c r="BC93" i="77"/>
  <c r="BE93" i="77" s="1"/>
  <c r="R95" i="77"/>
  <c r="AH189" i="6"/>
  <c r="AG91" i="9"/>
  <c r="AH78" i="8"/>
  <c r="AG6" i="26"/>
  <c r="AG126" i="90"/>
  <c r="V95" i="77"/>
  <c r="AG60" i="9"/>
  <c r="AG22" i="22"/>
  <c r="AG7" i="22"/>
  <c r="AB95" i="77"/>
  <c r="AG55" i="35"/>
  <c r="AH42" i="8"/>
  <c r="AG51" i="39"/>
  <c r="AH17" i="6"/>
  <c r="AH15" i="6"/>
  <c r="AG57" i="9"/>
  <c r="AG138" i="6"/>
  <c r="AG35" i="36"/>
  <c r="AH87" i="9"/>
  <c r="AK60" i="59" s="1"/>
  <c r="AH81" i="9"/>
  <c r="AH78" i="9"/>
  <c r="AH84" i="9"/>
  <c r="AH85" i="9"/>
  <c r="AH75" i="9"/>
  <c r="AH77" i="9" s="1"/>
  <c r="AH52" i="9"/>
  <c r="AK57" i="59" s="1"/>
  <c r="AH82" i="9"/>
  <c r="AK61" i="59" s="1"/>
  <c r="AH72" i="9"/>
  <c r="AH80" i="9"/>
  <c r="AH53" i="9"/>
  <c r="AH86" i="9"/>
  <c r="AH73" i="9"/>
  <c r="AH83" i="9"/>
  <c r="AH52" i="8"/>
  <c r="AG67" i="8"/>
  <c r="AH71" i="8"/>
  <c r="AG65" i="8"/>
  <c r="AG26" i="8"/>
  <c r="AG8" i="49"/>
  <c r="AG109" i="8"/>
  <c r="AG111" i="8" s="1"/>
  <c r="AG59" i="8"/>
  <c r="AH70" i="8"/>
  <c r="AG69" i="8"/>
  <c r="AH38" i="7"/>
  <c r="AH53" i="7" s="1"/>
  <c r="AJ29" i="59"/>
  <c r="AG38" i="7"/>
  <c r="AG53" i="7" s="1"/>
  <c r="AG84" i="6"/>
  <c r="AG32" i="6"/>
  <c r="AG34" i="6"/>
  <c r="AG23" i="6"/>
  <c r="AG33" i="6"/>
  <c r="X95" i="77"/>
  <c r="Z95" i="77"/>
  <c r="BC87" i="77"/>
  <c r="AG93" i="28" l="1"/>
  <c r="AG78" i="28"/>
  <c r="AG97" i="28" s="1"/>
  <c r="AG172" i="6"/>
  <c r="AG174" i="6" s="1"/>
  <c r="BC86" i="77"/>
  <c r="AG10" i="49"/>
  <c r="AG12" i="49" s="1"/>
  <c r="AG14" i="49" s="1"/>
  <c r="AG15" i="49" s="1"/>
  <c r="AG16" i="49" s="1"/>
  <c r="AG19" i="49" s="1"/>
  <c r="AG20" i="49" s="1"/>
  <c r="AH147" i="6"/>
  <c r="AG63" i="8"/>
  <c r="AG36" i="8"/>
  <c r="AG37" i="8"/>
  <c r="AK48" i="59"/>
  <c r="AH145" i="6"/>
  <c r="AK15" i="59" s="1"/>
  <c r="AH144" i="6"/>
  <c r="AH173" i="6"/>
  <c r="AK22" i="59" s="1"/>
  <c r="AG140" i="6"/>
  <c r="AH175" i="6"/>
  <c r="AH172" i="6"/>
  <c r="AG147" i="6"/>
  <c r="AG144" i="6"/>
  <c r="AG145" i="6"/>
  <c r="AG175" i="6"/>
  <c r="AH140" i="6"/>
  <c r="AH205" i="6" s="1"/>
  <c r="AH139" i="8"/>
  <c r="AK41" i="59"/>
  <c r="AK43" i="59" s="1"/>
  <c r="AH121" i="8"/>
  <c r="AG23" i="22"/>
  <c r="AG8" i="22"/>
  <c r="AG62" i="9"/>
  <c r="AH168" i="6"/>
  <c r="AH19" i="6"/>
  <c r="AH164" i="6"/>
  <c r="AG103" i="7"/>
  <c r="AG36" i="36"/>
  <c r="AG34" i="8"/>
  <c r="AG110" i="8"/>
  <c r="AG112" i="8" s="1"/>
  <c r="AH74" i="9"/>
  <c r="AH79" i="9" s="1"/>
  <c r="AG77" i="7"/>
  <c r="AG63" i="7"/>
  <c r="AH103" i="7"/>
  <c r="AK29" i="59"/>
  <c r="AH77" i="7"/>
  <c r="AH63" i="7"/>
  <c r="AG35" i="6"/>
  <c r="BE87" i="77"/>
  <c r="BE86" i="77" s="1"/>
  <c r="AG204" i="6" l="1"/>
  <c r="AG205" i="6"/>
  <c r="AH174" i="6"/>
  <c r="AH8" i="36" s="1"/>
  <c r="AK9" i="59" s="1"/>
  <c r="AH146" i="6"/>
  <c r="AH7" i="36" s="1"/>
  <c r="AK8" i="59" s="1"/>
  <c r="AG35" i="8"/>
  <c r="AG217" i="6"/>
  <c r="AG218" i="6" s="1"/>
  <c r="AG206" i="6"/>
  <c r="AG209" i="6"/>
  <c r="AG213" i="6"/>
  <c r="AG203" i="6"/>
  <c r="AG207" i="6"/>
  <c r="AG214" i="6"/>
  <c r="AG212" i="6"/>
  <c r="AG146" i="6"/>
  <c r="AH199" i="6"/>
  <c r="AH206" i="6"/>
  <c r="AH207" i="6"/>
  <c r="AH204" i="6"/>
  <c r="AH214" i="6"/>
  <c r="AH211" i="6"/>
  <c r="AH208" i="6"/>
  <c r="AH217" i="6"/>
  <c r="AH203" i="6"/>
  <c r="AH212" i="6"/>
  <c r="AH209" i="6"/>
  <c r="AH213" i="6"/>
  <c r="AH197" i="6"/>
  <c r="AG211" i="6"/>
  <c r="AG208" i="6"/>
  <c r="AH122" i="8"/>
  <c r="AH126" i="8" s="1"/>
  <c r="AH127" i="8" s="1"/>
  <c r="AH124" i="8"/>
  <c r="AG10" i="22"/>
  <c r="AG25" i="22"/>
  <c r="AH38" i="6"/>
  <c r="AH40" i="6"/>
  <c r="AH39" i="6"/>
  <c r="AH81" i="6"/>
  <c r="AH84" i="6"/>
  <c r="AH37" i="6"/>
  <c r="AG38" i="36"/>
  <c r="AG30" i="36" s="1"/>
  <c r="AJ80" i="59" s="1"/>
  <c r="BA5" i="77"/>
  <c r="BA6" i="77"/>
  <c r="BA8" i="77"/>
  <c r="BA9" i="77"/>
  <c r="BA10" i="77"/>
  <c r="BA11" i="77"/>
  <c r="BA12" i="77"/>
  <c r="BA14" i="77"/>
  <c r="BA15" i="77"/>
  <c r="BA16" i="77"/>
  <c r="BA17" i="77"/>
  <c r="BA18" i="77"/>
  <c r="BA19" i="77"/>
  <c r="BA20" i="77"/>
  <c r="BA22" i="77"/>
  <c r="BA23" i="77"/>
  <c r="BA24" i="77"/>
  <c r="BA25" i="77"/>
  <c r="BA27" i="77"/>
  <c r="BA28" i="77"/>
  <c r="BA29" i="77"/>
  <c r="BA30" i="77"/>
  <c r="BA31" i="77"/>
  <c r="BA33" i="77"/>
  <c r="BA34" i="77"/>
  <c r="BA35" i="77"/>
  <c r="BA43" i="77"/>
  <c r="BA44" i="77"/>
  <c r="BA45" i="77"/>
  <c r="BA46" i="77"/>
  <c r="BA47" i="77"/>
  <c r="BA48" i="77"/>
  <c r="BA49" i="77"/>
  <c r="BA50" i="77"/>
  <c r="BA51" i="77"/>
  <c r="BA52" i="77"/>
  <c r="BA54" i="77"/>
  <c r="BA55" i="77"/>
  <c r="BA56" i="77"/>
  <c r="BA57" i="77"/>
  <c r="BA58" i="77"/>
  <c r="BA60" i="77"/>
  <c r="BA61" i="77"/>
  <c r="BA62" i="77"/>
  <c r="BA63" i="77"/>
  <c r="BA64" i="77"/>
  <c r="BA65" i="77"/>
  <c r="BA66" i="77"/>
  <c r="BA67" i="77"/>
  <c r="BA68" i="77"/>
  <c r="BA69" i="77"/>
  <c r="BA70" i="77"/>
  <c r="BA72" i="77"/>
  <c r="BA73" i="77"/>
  <c r="BA74" i="77"/>
  <c r="BA75" i="77"/>
  <c r="BA76" i="77"/>
  <c r="BA77" i="77"/>
  <c r="AW5" i="77"/>
  <c r="AW6" i="77"/>
  <c r="AW8" i="77"/>
  <c r="AW9" i="77"/>
  <c r="AW10" i="77"/>
  <c r="AW11" i="77"/>
  <c r="AW12" i="77"/>
  <c r="AW14" i="77"/>
  <c r="AW15" i="77"/>
  <c r="AW16" i="77"/>
  <c r="AW17" i="77"/>
  <c r="AW18" i="77"/>
  <c r="AW19" i="77"/>
  <c r="AW20" i="77"/>
  <c r="AW22" i="77"/>
  <c r="AW23" i="77"/>
  <c r="AW24" i="77"/>
  <c r="AW25" i="77"/>
  <c r="AW27" i="77"/>
  <c r="AW28" i="77"/>
  <c r="AW29" i="77"/>
  <c r="AW30" i="77"/>
  <c r="AW31" i="77"/>
  <c r="AW33" i="77"/>
  <c r="AW34" i="77"/>
  <c r="AW35" i="77"/>
  <c r="AW43" i="77"/>
  <c r="AW44" i="77"/>
  <c r="AW45" i="77"/>
  <c r="AW46" i="77"/>
  <c r="AW47" i="77"/>
  <c r="AW48" i="77"/>
  <c r="AW49" i="77"/>
  <c r="AW50" i="77"/>
  <c r="AW51" i="77"/>
  <c r="AW52" i="77"/>
  <c r="AW54" i="77"/>
  <c r="AW55" i="77"/>
  <c r="AW56" i="77"/>
  <c r="AW57" i="77"/>
  <c r="AW58" i="77"/>
  <c r="AW60" i="77"/>
  <c r="AW61" i="77"/>
  <c r="AW62" i="77"/>
  <c r="AW63" i="77"/>
  <c r="AW64" i="77"/>
  <c r="AW65" i="77"/>
  <c r="AW66" i="77"/>
  <c r="AW67" i="77"/>
  <c r="AW68" i="77"/>
  <c r="AW69" i="77"/>
  <c r="AW70" i="77"/>
  <c r="AW72" i="77"/>
  <c r="AW73" i="77"/>
  <c r="AW74" i="77"/>
  <c r="AW75" i="77"/>
  <c r="AW76" i="77"/>
  <c r="AW77" i="77"/>
  <c r="AW4" i="77"/>
  <c r="AS5" i="77"/>
  <c r="AS6" i="77"/>
  <c r="AS8" i="77"/>
  <c r="AS9" i="77"/>
  <c r="AS10" i="77"/>
  <c r="AS11" i="77"/>
  <c r="AS12" i="77"/>
  <c r="AS14" i="77"/>
  <c r="AS15" i="77"/>
  <c r="AS16" i="77"/>
  <c r="AS17" i="77"/>
  <c r="AS18" i="77"/>
  <c r="AS19" i="77"/>
  <c r="AS20" i="77"/>
  <c r="AS22" i="77"/>
  <c r="AS23" i="77"/>
  <c r="AS24" i="77"/>
  <c r="AS25" i="77"/>
  <c r="AS27" i="77"/>
  <c r="AS28" i="77"/>
  <c r="AS29" i="77"/>
  <c r="AS30" i="77"/>
  <c r="AS31" i="77"/>
  <c r="AS33" i="77"/>
  <c r="AS34" i="77"/>
  <c r="AS35" i="77"/>
  <c r="AS43" i="77"/>
  <c r="AS44" i="77"/>
  <c r="AS45" i="77"/>
  <c r="AS46" i="77"/>
  <c r="AS47" i="77"/>
  <c r="AS48" i="77"/>
  <c r="AS49" i="77"/>
  <c r="AS50" i="77"/>
  <c r="AS51" i="77"/>
  <c r="AS52" i="77"/>
  <c r="AS54" i="77"/>
  <c r="AS55" i="77"/>
  <c r="AS56" i="77"/>
  <c r="AS57" i="77"/>
  <c r="AS58" i="77"/>
  <c r="AS60" i="77"/>
  <c r="AS61" i="77"/>
  <c r="AS62" i="77"/>
  <c r="AS63" i="77"/>
  <c r="AS64" i="77"/>
  <c r="AS65" i="77"/>
  <c r="AS66" i="77"/>
  <c r="AS67" i="77"/>
  <c r="AS68" i="77"/>
  <c r="AS69" i="77"/>
  <c r="AS70" i="77"/>
  <c r="AS72" i="77"/>
  <c r="AS73" i="77"/>
  <c r="AS74" i="77"/>
  <c r="AS75" i="77"/>
  <c r="AS76" i="77"/>
  <c r="AS77" i="77"/>
  <c r="AS4" i="77"/>
  <c r="AO5" i="77"/>
  <c r="AO6" i="77"/>
  <c r="AO8" i="77"/>
  <c r="AO9" i="77"/>
  <c r="AO10" i="77"/>
  <c r="AO11" i="77"/>
  <c r="AO12" i="77"/>
  <c r="AO14" i="77"/>
  <c r="AO15" i="77"/>
  <c r="AO16" i="77"/>
  <c r="AO17" i="77"/>
  <c r="AO18" i="77"/>
  <c r="AO19" i="77"/>
  <c r="AO20" i="77"/>
  <c r="AO22" i="77"/>
  <c r="AO23" i="77"/>
  <c r="AO24" i="77"/>
  <c r="AO25" i="77"/>
  <c r="AO27" i="77"/>
  <c r="AO28" i="77"/>
  <c r="AO29" i="77"/>
  <c r="AO30" i="77"/>
  <c r="AO31" i="77"/>
  <c r="AO33" i="77"/>
  <c r="AO34" i="77"/>
  <c r="AO35" i="77"/>
  <c r="AO43" i="77"/>
  <c r="AO44" i="77"/>
  <c r="AO45" i="77"/>
  <c r="AO46" i="77"/>
  <c r="AO47" i="77"/>
  <c r="AO48" i="77"/>
  <c r="AO49" i="77"/>
  <c r="AO50" i="77"/>
  <c r="AO51" i="77"/>
  <c r="AO52" i="77"/>
  <c r="AO54" i="77"/>
  <c r="AO55" i="77"/>
  <c r="AO56" i="77"/>
  <c r="AO57" i="77"/>
  <c r="AO58" i="77"/>
  <c r="AO60" i="77"/>
  <c r="AO61" i="77"/>
  <c r="AO62" i="77"/>
  <c r="AO63" i="77"/>
  <c r="AO64" i="77"/>
  <c r="AO65" i="77"/>
  <c r="AO66" i="77"/>
  <c r="AO67" i="77"/>
  <c r="AO68" i="77"/>
  <c r="AO69" i="77"/>
  <c r="AO70" i="77"/>
  <c r="AO72" i="77"/>
  <c r="AO73" i="77"/>
  <c r="AO74" i="77"/>
  <c r="AO75" i="77"/>
  <c r="AO76" i="77"/>
  <c r="AO77" i="77"/>
  <c r="AM5" i="77"/>
  <c r="AM6" i="77"/>
  <c r="AM8" i="77"/>
  <c r="AM9" i="77"/>
  <c r="BC9" i="77" s="1"/>
  <c r="AM10" i="77"/>
  <c r="AM11" i="77"/>
  <c r="BC11" i="77" s="1"/>
  <c r="AM12" i="77"/>
  <c r="AM14" i="77"/>
  <c r="AM15" i="77"/>
  <c r="AM16" i="77"/>
  <c r="AM17" i="77"/>
  <c r="AM18" i="77"/>
  <c r="AM19" i="77"/>
  <c r="AM20" i="77"/>
  <c r="AM22" i="77"/>
  <c r="AM23" i="77"/>
  <c r="BC23" i="77" s="1"/>
  <c r="AM24" i="77"/>
  <c r="AM25" i="77"/>
  <c r="BC25" i="77" s="1"/>
  <c r="AM27" i="77"/>
  <c r="AM28" i="77"/>
  <c r="AM29" i="77"/>
  <c r="AM30" i="77"/>
  <c r="AM31" i="77"/>
  <c r="AM33" i="77"/>
  <c r="AM34" i="77"/>
  <c r="AM35" i="77"/>
  <c r="AM43" i="77"/>
  <c r="AM44" i="77"/>
  <c r="BC44" i="77" s="1"/>
  <c r="AM45" i="77"/>
  <c r="AM46" i="77"/>
  <c r="BC46" i="77" s="1"/>
  <c r="AM47" i="77"/>
  <c r="AM48" i="77"/>
  <c r="AM49" i="77"/>
  <c r="AM50" i="77"/>
  <c r="AM51" i="77"/>
  <c r="AM52" i="77"/>
  <c r="AM54" i="77"/>
  <c r="AM55" i="77"/>
  <c r="AM56" i="77"/>
  <c r="AM57" i="77"/>
  <c r="BC57" i="77" s="1"/>
  <c r="AM58" i="77"/>
  <c r="AM60" i="77"/>
  <c r="BC60" i="77" s="1"/>
  <c r="AM61" i="77"/>
  <c r="AM62" i="77"/>
  <c r="AM63" i="77"/>
  <c r="AM64" i="77"/>
  <c r="AM65" i="77"/>
  <c r="AM66" i="77"/>
  <c r="AM67" i="77"/>
  <c r="AM68" i="77"/>
  <c r="AM69" i="77"/>
  <c r="AM70" i="77"/>
  <c r="BC70" i="77" s="1"/>
  <c r="AM72" i="77"/>
  <c r="AM73" i="77"/>
  <c r="BC73" i="77" s="1"/>
  <c r="AM74" i="77"/>
  <c r="AM75" i="77"/>
  <c r="AM76" i="77"/>
  <c r="AM77" i="77"/>
  <c r="AI4" i="77"/>
  <c r="AO4" i="77"/>
  <c r="AE5" i="77"/>
  <c r="AE6" i="77"/>
  <c r="AE8" i="77"/>
  <c r="AE9" i="77"/>
  <c r="AE10" i="77"/>
  <c r="AE11" i="77"/>
  <c r="AE12" i="77"/>
  <c r="AE14" i="77"/>
  <c r="AE15" i="77"/>
  <c r="AE16" i="77"/>
  <c r="AE17" i="77"/>
  <c r="AE18" i="77"/>
  <c r="AE19" i="77"/>
  <c r="AE20" i="77"/>
  <c r="AE22" i="77"/>
  <c r="AE23" i="77"/>
  <c r="AE24" i="77"/>
  <c r="AE25" i="77"/>
  <c r="AE27" i="77"/>
  <c r="AE28" i="77"/>
  <c r="AE29" i="77"/>
  <c r="AE30" i="77"/>
  <c r="AE31" i="77"/>
  <c r="AE33" i="77"/>
  <c r="AE34" i="77"/>
  <c r="AE35" i="77"/>
  <c r="AE43" i="77"/>
  <c r="AE44" i="77"/>
  <c r="AE45" i="77"/>
  <c r="AE46" i="77"/>
  <c r="AE47" i="77"/>
  <c r="AE48" i="77"/>
  <c r="AE49" i="77"/>
  <c r="AE50" i="77"/>
  <c r="AE51" i="77"/>
  <c r="AE52" i="77"/>
  <c r="AE54" i="77"/>
  <c r="AE55" i="77"/>
  <c r="AE56" i="77"/>
  <c r="AE57" i="77"/>
  <c r="AE58" i="77"/>
  <c r="AE60" i="77"/>
  <c r="AE61" i="77"/>
  <c r="AE62" i="77"/>
  <c r="AE63" i="77"/>
  <c r="AE64" i="77"/>
  <c r="AE65" i="77"/>
  <c r="AE66" i="77"/>
  <c r="AE67" i="77"/>
  <c r="AE68" i="77"/>
  <c r="AE69" i="77"/>
  <c r="AE70" i="77"/>
  <c r="AE72" i="77"/>
  <c r="AE73" i="77"/>
  <c r="AE74" i="77"/>
  <c r="AE75" i="77"/>
  <c r="AE76" i="77"/>
  <c r="AE77" i="77"/>
  <c r="AE4" i="77"/>
  <c r="AA5" i="77"/>
  <c r="AA6" i="77"/>
  <c r="AA8" i="77"/>
  <c r="AA9" i="77"/>
  <c r="AA10" i="77"/>
  <c r="AA11" i="77"/>
  <c r="AA12" i="77"/>
  <c r="AA14" i="77"/>
  <c r="AA15" i="77"/>
  <c r="AA16" i="77"/>
  <c r="AA17" i="77"/>
  <c r="AA18" i="77"/>
  <c r="AA19" i="77"/>
  <c r="AA20" i="77"/>
  <c r="AA22" i="77"/>
  <c r="AA23" i="77"/>
  <c r="AA24" i="77"/>
  <c r="AA25" i="77"/>
  <c r="AA27" i="77"/>
  <c r="AA28" i="77"/>
  <c r="AA29" i="77"/>
  <c r="AA30" i="77"/>
  <c r="AA31" i="77"/>
  <c r="AA33" i="77"/>
  <c r="AA34" i="77"/>
  <c r="AA35" i="77"/>
  <c r="AA43" i="77"/>
  <c r="AA44" i="77"/>
  <c r="AA45" i="77"/>
  <c r="AA46" i="77"/>
  <c r="AA47" i="77"/>
  <c r="AA48" i="77"/>
  <c r="AA49" i="77"/>
  <c r="AA50" i="77"/>
  <c r="AA51" i="77"/>
  <c r="AA52" i="77"/>
  <c r="AA54" i="77"/>
  <c r="AA55" i="77"/>
  <c r="AA56" i="77"/>
  <c r="AA57" i="77"/>
  <c r="AA58" i="77"/>
  <c r="AA60" i="77"/>
  <c r="AA61" i="77"/>
  <c r="AA62" i="77"/>
  <c r="AA63" i="77"/>
  <c r="AA64" i="77"/>
  <c r="AA65" i="77"/>
  <c r="AA66" i="77"/>
  <c r="AA67" i="77"/>
  <c r="AA68" i="77"/>
  <c r="AA69" i="77"/>
  <c r="AA70" i="77"/>
  <c r="AA72" i="77"/>
  <c r="AA73" i="77"/>
  <c r="AA74" i="77"/>
  <c r="AA75" i="77"/>
  <c r="AA76" i="77"/>
  <c r="AA77" i="77"/>
  <c r="AA4" i="77"/>
  <c r="Y5" i="77"/>
  <c r="Y6" i="77"/>
  <c r="Y8" i="77"/>
  <c r="Y9" i="77"/>
  <c r="Y10" i="77"/>
  <c r="Y11" i="77"/>
  <c r="Y12" i="77"/>
  <c r="Y14" i="77"/>
  <c r="Y15" i="77"/>
  <c r="Y16" i="77"/>
  <c r="Y17" i="77"/>
  <c r="Y18" i="77"/>
  <c r="Y19" i="77"/>
  <c r="Y20" i="77"/>
  <c r="Y22" i="77"/>
  <c r="Y23" i="77"/>
  <c r="Y24" i="77"/>
  <c r="Y25" i="77"/>
  <c r="Y27" i="77"/>
  <c r="Y28" i="77"/>
  <c r="Y29" i="77"/>
  <c r="Y30" i="77"/>
  <c r="Y31" i="77"/>
  <c r="Y33" i="77"/>
  <c r="Y34" i="77"/>
  <c r="Y35" i="77"/>
  <c r="Y43" i="77"/>
  <c r="Y44" i="77"/>
  <c r="Y45" i="77"/>
  <c r="Y46" i="77"/>
  <c r="Y47" i="77"/>
  <c r="Y48" i="77"/>
  <c r="Y49" i="77"/>
  <c r="Y50" i="77"/>
  <c r="Y51" i="77"/>
  <c r="Y52" i="77"/>
  <c r="Y54" i="77"/>
  <c r="Y55" i="77"/>
  <c r="Y56" i="77"/>
  <c r="Y57" i="77"/>
  <c r="Y58" i="77"/>
  <c r="Y60" i="77"/>
  <c r="Y61" i="77"/>
  <c r="Y62" i="77"/>
  <c r="Y63" i="77"/>
  <c r="Y64" i="77"/>
  <c r="Y65" i="77"/>
  <c r="Y66" i="77"/>
  <c r="Y67" i="77"/>
  <c r="Y68" i="77"/>
  <c r="Y69" i="77"/>
  <c r="Y70" i="77"/>
  <c r="Y72" i="77"/>
  <c r="Y73" i="77"/>
  <c r="Y74" i="77"/>
  <c r="Y75" i="77"/>
  <c r="Y76" i="77"/>
  <c r="Y77" i="77"/>
  <c r="Y4" i="77"/>
  <c r="U5" i="77"/>
  <c r="U6" i="77"/>
  <c r="U8" i="77"/>
  <c r="U9" i="77"/>
  <c r="U10" i="77"/>
  <c r="U11" i="77"/>
  <c r="U12" i="77"/>
  <c r="U14" i="77"/>
  <c r="U15" i="77"/>
  <c r="U16" i="77"/>
  <c r="U17" i="77"/>
  <c r="U18" i="77"/>
  <c r="U19" i="77"/>
  <c r="U20" i="77"/>
  <c r="U22" i="77"/>
  <c r="U23" i="77"/>
  <c r="U24" i="77"/>
  <c r="U25" i="77"/>
  <c r="U27" i="77"/>
  <c r="U28" i="77"/>
  <c r="U29" i="77"/>
  <c r="U30" i="77"/>
  <c r="U31" i="77"/>
  <c r="U33" i="77"/>
  <c r="U34" i="77"/>
  <c r="U35" i="77"/>
  <c r="U43" i="77"/>
  <c r="U44" i="77"/>
  <c r="U45" i="77"/>
  <c r="U46" i="77"/>
  <c r="U47" i="77"/>
  <c r="U48" i="77"/>
  <c r="U49" i="77"/>
  <c r="U50" i="77"/>
  <c r="U51" i="77"/>
  <c r="U52" i="77"/>
  <c r="U54" i="77"/>
  <c r="U55" i="77"/>
  <c r="U56" i="77"/>
  <c r="U57" i="77"/>
  <c r="U58" i="77"/>
  <c r="U60" i="77"/>
  <c r="U61" i="77"/>
  <c r="U62" i="77"/>
  <c r="U63" i="77"/>
  <c r="U64" i="77"/>
  <c r="U65" i="77"/>
  <c r="U66" i="77"/>
  <c r="U67" i="77"/>
  <c r="U68" i="77"/>
  <c r="U69" i="77"/>
  <c r="U70" i="77"/>
  <c r="U72" i="77"/>
  <c r="U73" i="77"/>
  <c r="U74" i="77"/>
  <c r="U75" i="77"/>
  <c r="U76" i="77"/>
  <c r="U77" i="77"/>
  <c r="U4" i="77"/>
  <c r="Q5" i="77"/>
  <c r="Q6" i="77"/>
  <c r="Q8" i="77"/>
  <c r="Q9" i="77"/>
  <c r="Q10" i="77"/>
  <c r="Q11" i="77"/>
  <c r="Q12" i="77"/>
  <c r="Q14" i="77"/>
  <c r="Q15" i="77"/>
  <c r="Q16" i="77"/>
  <c r="Q17" i="77"/>
  <c r="Q18" i="77"/>
  <c r="Q19" i="77"/>
  <c r="Q20" i="77"/>
  <c r="Q22" i="77"/>
  <c r="Q23" i="77"/>
  <c r="Q24" i="77"/>
  <c r="Q25" i="77"/>
  <c r="Q27" i="77"/>
  <c r="Q28" i="77"/>
  <c r="Q29" i="77"/>
  <c r="Q30" i="77"/>
  <c r="Q31" i="77"/>
  <c r="Q33" i="77"/>
  <c r="Q34" i="77"/>
  <c r="Q35" i="77"/>
  <c r="Q43" i="77"/>
  <c r="Q44" i="77"/>
  <c r="Q45" i="77"/>
  <c r="Q46" i="77"/>
  <c r="Q47" i="77"/>
  <c r="Q48" i="77"/>
  <c r="Q49" i="77"/>
  <c r="Q50" i="77"/>
  <c r="Q51" i="77"/>
  <c r="Q52" i="77"/>
  <c r="Q54" i="77"/>
  <c r="Q55" i="77"/>
  <c r="Q56" i="77"/>
  <c r="Q57" i="77"/>
  <c r="Q58" i="77"/>
  <c r="Q60" i="77"/>
  <c r="Q61" i="77"/>
  <c r="Q62" i="77"/>
  <c r="Q63" i="77"/>
  <c r="Q64" i="77"/>
  <c r="Q65" i="77"/>
  <c r="Q66" i="77"/>
  <c r="Q67" i="77"/>
  <c r="Q68" i="77"/>
  <c r="Q69" i="77"/>
  <c r="Q70" i="77"/>
  <c r="Q72" i="77"/>
  <c r="Q73" i="77"/>
  <c r="Q74" i="77"/>
  <c r="Q75" i="77"/>
  <c r="Q76" i="77"/>
  <c r="Q77" i="77"/>
  <c r="Q4" i="77"/>
  <c r="M5" i="77"/>
  <c r="M6" i="77"/>
  <c r="M8" i="77"/>
  <c r="M9" i="77"/>
  <c r="M10" i="77"/>
  <c r="M11" i="77"/>
  <c r="M12" i="77"/>
  <c r="M14" i="77"/>
  <c r="M15" i="77"/>
  <c r="M16" i="77"/>
  <c r="M17" i="77"/>
  <c r="M18" i="77"/>
  <c r="M19" i="77"/>
  <c r="M20" i="77"/>
  <c r="M22" i="77"/>
  <c r="M23" i="77"/>
  <c r="M24" i="77"/>
  <c r="M25" i="77"/>
  <c r="M27" i="77"/>
  <c r="M28" i="77"/>
  <c r="M29" i="77"/>
  <c r="M30" i="77"/>
  <c r="M31" i="77"/>
  <c r="M33" i="77"/>
  <c r="M34" i="77"/>
  <c r="M35" i="77"/>
  <c r="M43" i="77"/>
  <c r="M44" i="77"/>
  <c r="M45" i="77"/>
  <c r="M46" i="77"/>
  <c r="M47" i="77"/>
  <c r="M48" i="77"/>
  <c r="M49" i="77"/>
  <c r="M50" i="77"/>
  <c r="M51" i="77"/>
  <c r="M52" i="77"/>
  <c r="M54" i="77"/>
  <c r="M55" i="77"/>
  <c r="M56" i="77"/>
  <c r="M57" i="77"/>
  <c r="M58" i="77"/>
  <c r="M60" i="77"/>
  <c r="M61" i="77"/>
  <c r="M62" i="77"/>
  <c r="M63" i="77"/>
  <c r="M64" i="77"/>
  <c r="M65" i="77"/>
  <c r="M66" i="77"/>
  <c r="M67" i="77"/>
  <c r="M68" i="77"/>
  <c r="M69" i="77"/>
  <c r="M70" i="77"/>
  <c r="M72" i="77"/>
  <c r="M73" i="77"/>
  <c r="M74" i="77"/>
  <c r="M75" i="77"/>
  <c r="M76" i="77"/>
  <c r="M77" i="77"/>
  <c r="I5" i="77"/>
  <c r="I6" i="77"/>
  <c r="I8" i="77"/>
  <c r="I9" i="77"/>
  <c r="I10" i="77"/>
  <c r="I11" i="77"/>
  <c r="I12" i="77"/>
  <c r="I14" i="77"/>
  <c r="I15" i="77"/>
  <c r="I16" i="77"/>
  <c r="I17" i="77"/>
  <c r="I18" i="77"/>
  <c r="I19" i="77"/>
  <c r="I20" i="77"/>
  <c r="I22" i="77"/>
  <c r="I23" i="77"/>
  <c r="I24" i="77"/>
  <c r="I25" i="77"/>
  <c r="I27" i="77"/>
  <c r="I28" i="77"/>
  <c r="I29" i="77"/>
  <c r="I30" i="77"/>
  <c r="I31" i="77"/>
  <c r="I33" i="77"/>
  <c r="I34" i="77"/>
  <c r="I35" i="77"/>
  <c r="I43" i="77"/>
  <c r="I44" i="77"/>
  <c r="I45" i="77"/>
  <c r="I46" i="77"/>
  <c r="I47" i="77"/>
  <c r="I48" i="77"/>
  <c r="I49" i="77"/>
  <c r="I50" i="77"/>
  <c r="I51" i="77"/>
  <c r="I52" i="77"/>
  <c r="I54" i="77"/>
  <c r="I55" i="77"/>
  <c r="I56" i="77"/>
  <c r="I57" i="77"/>
  <c r="I58" i="77"/>
  <c r="I60" i="77"/>
  <c r="I61" i="77"/>
  <c r="I62" i="77"/>
  <c r="I63" i="77"/>
  <c r="I64" i="77"/>
  <c r="I65" i="77"/>
  <c r="I66" i="77"/>
  <c r="I67" i="77"/>
  <c r="I68" i="77"/>
  <c r="I69" i="77"/>
  <c r="I70" i="77"/>
  <c r="I72" i="77"/>
  <c r="I73" i="77"/>
  <c r="I74" i="77"/>
  <c r="I75" i="77"/>
  <c r="I76" i="77"/>
  <c r="I77" i="77"/>
  <c r="AC100" i="90"/>
  <c r="AC91" i="90"/>
  <c r="AG215" i="6" l="1"/>
  <c r="BC66" i="77"/>
  <c r="BC52" i="77"/>
  <c r="BC33" i="77"/>
  <c r="BC18" i="77"/>
  <c r="BC69" i="77"/>
  <c r="BC56" i="77"/>
  <c r="BC8" i="77"/>
  <c r="BC68" i="77"/>
  <c r="BC55" i="77"/>
  <c r="BC35" i="77"/>
  <c r="BC20" i="77"/>
  <c r="BE20" i="77" s="1"/>
  <c r="BC6" i="77"/>
  <c r="BE6" i="77" s="1"/>
  <c r="BC67" i="77"/>
  <c r="BC54" i="77"/>
  <c r="BC34" i="77"/>
  <c r="BE34" i="77" s="1"/>
  <c r="BC5" i="77"/>
  <c r="BE5" i="77" s="1"/>
  <c r="AG210" i="6"/>
  <c r="AG216" i="6" s="1"/>
  <c r="AG219" i="6" s="1"/>
  <c r="BC74" i="77"/>
  <c r="BE74" i="77" s="1"/>
  <c r="BC61" i="77"/>
  <c r="BE61" i="77" s="1"/>
  <c r="BC47" i="77"/>
  <c r="BE47" i="77" s="1"/>
  <c r="BC12" i="77"/>
  <c r="BE12" i="77" s="1"/>
  <c r="BC72" i="77"/>
  <c r="BE72" i="77" s="1"/>
  <c r="BC58" i="77"/>
  <c r="BE58" i="77" s="1"/>
  <c r="BC45" i="77"/>
  <c r="BE45" i="77" s="1"/>
  <c r="BC24" i="77"/>
  <c r="BE24" i="77" s="1"/>
  <c r="BC65" i="77"/>
  <c r="BE65" i="77" s="1"/>
  <c r="BC51" i="77"/>
  <c r="BE51" i="77" s="1"/>
  <c r="BC17" i="77"/>
  <c r="BE17" i="77" s="1"/>
  <c r="AH210" i="6"/>
  <c r="AH218" i="6"/>
  <c r="AH215" i="6"/>
  <c r="Q21" i="77"/>
  <c r="BC76" i="77"/>
  <c r="BE76" i="77" s="1"/>
  <c r="BC63" i="77"/>
  <c r="BE63" i="77" s="1"/>
  <c r="BC49" i="77"/>
  <c r="BE49" i="77" s="1"/>
  <c r="BC29" i="77"/>
  <c r="BE29" i="77" s="1"/>
  <c r="BC15" i="77"/>
  <c r="BE15" i="77" s="1"/>
  <c r="BC31" i="77"/>
  <c r="BE31" i="77" s="1"/>
  <c r="AH41" i="6"/>
  <c r="AH130" i="8"/>
  <c r="AH132" i="8"/>
  <c r="AH145" i="8" s="1"/>
  <c r="AH131" i="8"/>
  <c r="AH144" i="8" s="1"/>
  <c r="Q13" i="77"/>
  <c r="AE21" i="77"/>
  <c r="Y21" i="77"/>
  <c r="AA36" i="77"/>
  <c r="AE7" i="77"/>
  <c r="BC75" i="77"/>
  <c r="BE75" i="77" s="1"/>
  <c r="BC62" i="77"/>
  <c r="BE62" i="77" s="1"/>
  <c r="BC48" i="77"/>
  <c r="BE48" i="77" s="1"/>
  <c r="BC28" i="77"/>
  <c r="BE28" i="77" s="1"/>
  <c r="BC14" i="77"/>
  <c r="BE14" i="77" s="1"/>
  <c r="AG26" i="22"/>
  <c r="AG11" i="22"/>
  <c r="Y13" i="77"/>
  <c r="Y26" i="77"/>
  <c r="BE70" i="77"/>
  <c r="BE57" i="77"/>
  <c r="BE44" i="77"/>
  <c r="BE23" i="77"/>
  <c r="BE9" i="77"/>
  <c r="BE69" i="77"/>
  <c r="BE56" i="77"/>
  <c r="BE8" i="77"/>
  <c r="BE68" i="77"/>
  <c r="BE55" i="77"/>
  <c r="BE35" i="77"/>
  <c r="Y53" i="77"/>
  <c r="BE67" i="77"/>
  <c r="BE54" i="77"/>
  <c r="BE66" i="77"/>
  <c r="BE52" i="77"/>
  <c r="BE18" i="77"/>
  <c r="BA13" i="77"/>
  <c r="BA53" i="77"/>
  <c r="BA21" i="77"/>
  <c r="AC117" i="90"/>
  <c r="BE73" i="77"/>
  <c r="BE60" i="77"/>
  <c r="BE46" i="77"/>
  <c r="BE25" i="77"/>
  <c r="BE11" i="77"/>
  <c r="AW26" i="77"/>
  <c r="AS21" i="77"/>
  <c r="AW53" i="77"/>
  <c r="AO13" i="77"/>
  <c r="AW32" i="77"/>
  <c r="AW21" i="77"/>
  <c r="AW36" i="77"/>
  <c r="BC77" i="77"/>
  <c r="BE77" i="77" s="1"/>
  <c r="BC64" i="77"/>
  <c r="BE64" i="77" s="1"/>
  <c r="BC50" i="77"/>
  <c r="BE50" i="77" s="1"/>
  <c r="BC30" i="77"/>
  <c r="BE30" i="77" s="1"/>
  <c r="BC16" i="77"/>
  <c r="BE16" i="77" s="1"/>
  <c r="AO71" i="77"/>
  <c r="AW13" i="77"/>
  <c r="I53" i="77"/>
  <c r="I26" i="77"/>
  <c r="M21" i="77"/>
  <c r="Q36" i="77"/>
  <c r="U7" i="77"/>
  <c r="AS53" i="77"/>
  <c r="AS26" i="77"/>
  <c r="BA36" i="77"/>
  <c r="Y7" i="77"/>
  <c r="Q7" i="77"/>
  <c r="AE71" i="77"/>
  <c r="AE32" i="77"/>
  <c r="AM13" i="77"/>
  <c r="AO53" i="77"/>
  <c r="AO26" i="77"/>
  <c r="I21" i="77"/>
  <c r="AA71" i="77"/>
  <c r="AA32" i="77"/>
  <c r="AM32" i="77"/>
  <c r="I36" i="77"/>
  <c r="Y71" i="77"/>
  <c r="Y32" i="77"/>
  <c r="AE13" i="77"/>
  <c r="AM53" i="77"/>
  <c r="AM26" i="77"/>
  <c r="AO21" i="77"/>
  <c r="AS36" i="77"/>
  <c r="AW7" i="77"/>
  <c r="M36" i="77"/>
  <c r="U71" i="77"/>
  <c r="U32" i="77"/>
  <c r="AA13" i="77"/>
  <c r="AO36" i="77"/>
  <c r="AS7" i="77"/>
  <c r="BC27" i="77"/>
  <c r="AM71" i="77"/>
  <c r="Q71" i="77"/>
  <c r="Q32" i="77"/>
  <c r="AE53" i="77"/>
  <c r="AE26" i="77"/>
  <c r="AM21" i="77"/>
  <c r="BA71" i="77"/>
  <c r="BA32" i="77"/>
  <c r="Q26" i="77"/>
  <c r="U36" i="77"/>
  <c r="M71" i="77"/>
  <c r="M32" i="77"/>
  <c r="U13" i="77"/>
  <c r="AA53" i="77"/>
  <c r="AA26" i="77"/>
  <c r="AO7" i="77"/>
  <c r="AM36" i="77"/>
  <c r="BC10" i="77"/>
  <c r="AW71" i="77"/>
  <c r="I71" i="77"/>
  <c r="I32" i="77"/>
  <c r="M13" i="77"/>
  <c r="U53" i="77"/>
  <c r="U26" i="77"/>
  <c r="AA21" i="77"/>
  <c r="AE36" i="77"/>
  <c r="AS71" i="77"/>
  <c r="AS32" i="77"/>
  <c r="BC43" i="77"/>
  <c r="BC22" i="77"/>
  <c r="Q53" i="77"/>
  <c r="AO32" i="77"/>
  <c r="BA26" i="77"/>
  <c r="I13" i="77"/>
  <c r="M53" i="77"/>
  <c r="M26" i="77"/>
  <c r="U21" i="77"/>
  <c r="Y36" i="77"/>
  <c r="AA7" i="77"/>
  <c r="AS13" i="77"/>
  <c r="BC19" i="77"/>
  <c r="BE33" i="77"/>
  <c r="BC36" i="77" l="1"/>
  <c r="AK11" i="59"/>
  <c r="AH216" i="6"/>
  <c r="AH133" i="8"/>
  <c r="AH146" i="8" s="1"/>
  <c r="AH143" i="8"/>
  <c r="BE36" i="77"/>
  <c r="AG13" i="22"/>
  <c r="AG28" i="22"/>
  <c r="BE71" i="77"/>
  <c r="BC71" i="77"/>
  <c r="BC32" i="77"/>
  <c r="BE27" i="77"/>
  <c r="BE32" i="77" s="1"/>
  <c r="BC26" i="77"/>
  <c r="BE22" i="77"/>
  <c r="BE26" i="77" s="1"/>
  <c r="BC13" i="77"/>
  <c r="BE10" i="77"/>
  <c r="BE13" i="77" s="1"/>
  <c r="BC21" i="77"/>
  <c r="BE19" i="77"/>
  <c r="BE21" i="77" s="1"/>
  <c r="BC53" i="77"/>
  <c r="BE43" i="77"/>
  <c r="BE53" i="77" s="1"/>
  <c r="AD56" i="10"/>
  <c r="AN56" i="10" s="1"/>
  <c r="AH219" i="6" l="1"/>
  <c r="AH9" i="36"/>
  <c r="AK10" i="59" s="1"/>
  <c r="AD40" i="10"/>
  <c r="AN40" i="10" s="1"/>
  <c r="AD91" i="10"/>
  <c r="AN91" i="10" s="1"/>
  <c r="AD57" i="10"/>
  <c r="AN57" i="10" s="1"/>
  <c r="AD24" i="10"/>
  <c r="AD61" i="10"/>
  <c r="AN61" i="10" s="1"/>
  <c r="AD33" i="10"/>
  <c r="AN33" i="10" s="1"/>
  <c r="AD36" i="10"/>
  <c r="AN36" i="10" s="1"/>
  <c r="AD199" i="10" l="1"/>
  <c r="AN24" i="10"/>
  <c r="AD103" i="9"/>
  <c r="AE129" i="45" l="1"/>
  <c r="AD64" i="11" l="1"/>
  <c r="AD35" i="35" l="1"/>
  <c r="AC124" i="90" s="1"/>
  <c r="AC129" i="90" l="1"/>
  <c r="AF109" i="9"/>
  <c r="AJ109" i="9" s="1"/>
  <c r="AC20" i="27" l="1"/>
  <c r="AC19" i="27"/>
  <c r="AC37" i="27" l="1"/>
  <c r="AC35" i="27"/>
  <c r="AC29" i="27"/>
  <c r="AC28" i="27"/>
  <c r="AC27" i="27"/>
  <c r="AC18" i="27"/>
  <c r="BF167" i="45" l="1"/>
  <c r="BE167" i="45"/>
  <c r="BD167" i="45"/>
  <c r="BC167" i="45"/>
  <c r="BB167" i="45"/>
  <c r="BA167" i="45"/>
  <c r="AZ47" i="35" s="1"/>
  <c r="AZ167" i="45"/>
  <c r="AX167" i="45"/>
  <c r="AW167" i="45"/>
  <c r="AV47" i="35" s="1"/>
  <c r="AV167" i="45"/>
  <c r="AT167" i="45"/>
  <c r="AS167" i="45"/>
  <c r="AR47" i="35" s="1"/>
  <c r="AR167" i="45"/>
  <c r="AP167" i="45"/>
  <c r="AO167" i="45"/>
  <c r="AJ167" i="45"/>
  <c r="AI167" i="45"/>
  <c r="AH47" i="35" s="1"/>
  <c r="AH167" i="45"/>
  <c r="AF167" i="45"/>
  <c r="AD167" i="45"/>
  <c r="AB167" i="45"/>
  <c r="Z167" i="45"/>
  <c r="Y167" i="45"/>
  <c r="X167" i="45"/>
  <c r="V167" i="45"/>
  <c r="U167" i="45"/>
  <c r="T167" i="45"/>
  <c r="R167" i="45"/>
  <c r="Q167" i="45"/>
  <c r="P167" i="45"/>
  <c r="N167" i="45"/>
  <c r="M167" i="45"/>
  <c r="L167" i="45"/>
  <c r="J167" i="45"/>
  <c r="I167" i="45"/>
  <c r="H47" i="35" s="1"/>
  <c r="H167" i="45"/>
  <c r="G167" i="45"/>
  <c r="BF166" i="45"/>
  <c r="BE166" i="45"/>
  <c r="BD166" i="45"/>
  <c r="BC166" i="45"/>
  <c r="BB166" i="45"/>
  <c r="BA166" i="45"/>
  <c r="AZ46" i="35" s="1"/>
  <c r="AZ166" i="45"/>
  <c r="AX166" i="45"/>
  <c r="AW166" i="45"/>
  <c r="AV46" i="35" s="1"/>
  <c r="AV166" i="45"/>
  <c r="AT166" i="45"/>
  <c r="AS166" i="45"/>
  <c r="AR46" i="35" s="1"/>
  <c r="AR166" i="45"/>
  <c r="AP166" i="45"/>
  <c r="AO166" i="45"/>
  <c r="AJ166" i="45"/>
  <c r="AI166" i="45"/>
  <c r="AH46" i="35" s="1"/>
  <c r="AH166" i="45"/>
  <c r="AF166" i="45"/>
  <c r="AD166" i="45"/>
  <c r="AB166" i="45"/>
  <c r="Z166" i="45"/>
  <c r="Y166" i="45"/>
  <c r="X166" i="45"/>
  <c r="V166" i="45"/>
  <c r="U166" i="45"/>
  <c r="T166" i="45"/>
  <c r="R166" i="45"/>
  <c r="Q166" i="45"/>
  <c r="P166" i="45"/>
  <c r="N166" i="45"/>
  <c r="M166" i="45"/>
  <c r="L166" i="45"/>
  <c r="K166" i="45"/>
  <c r="J166" i="45"/>
  <c r="I166" i="45"/>
  <c r="H46" i="35" s="1"/>
  <c r="H166" i="45"/>
  <c r="G166" i="45"/>
  <c r="F46" i="35" s="1"/>
  <c r="BF165" i="45"/>
  <c r="BD165" i="45"/>
  <c r="BB165" i="45"/>
  <c r="BA165" i="45"/>
  <c r="AZ45" i="35" s="1"/>
  <c r="AZ165" i="45"/>
  <c r="AX165" i="45"/>
  <c r="AW165" i="45"/>
  <c r="AV45" i="35" s="1"/>
  <c r="AV165" i="45"/>
  <c r="AT165" i="45"/>
  <c r="AS165" i="45"/>
  <c r="AR45" i="35" s="1"/>
  <c r="AR165" i="45"/>
  <c r="AP165" i="45"/>
  <c r="AJ165" i="45"/>
  <c r="AI165" i="45"/>
  <c r="AH45" i="35" s="1"/>
  <c r="AH165" i="45"/>
  <c r="AF165" i="45"/>
  <c r="AD165" i="45"/>
  <c r="AB165" i="45"/>
  <c r="Z165" i="45"/>
  <c r="Y165" i="45"/>
  <c r="X165" i="45"/>
  <c r="V165" i="45"/>
  <c r="U165" i="45"/>
  <c r="T165" i="45"/>
  <c r="R165" i="45"/>
  <c r="Q165" i="45"/>
  <c r="P165" i="45"/>
  <c r="N165" i="45"/>
  <c r="M165" i="45"/>
  <c r="L165" i="45"/>
  <c r="J165" i="45"/>
  <c r="I165" i="45"/>
  <c r="H45" i="35" s="1"/>
  <c r="H165" i="45"/>
  <c r="G165" i="45"/>
  <c r="BF164" i="45"/>
  <c r="BD164" i="45"/>
  <c r="BB164" i="45"/>
  <c r="BA164" i="45"/>
  <c r="AZ44" i="35" s="1"/>
  <c r="AZ164" i="45"/>
  <c r="AX164" i="45"/>
  <c r="AW164" i="45"/>
  <c r="AV44" i="35" s="1"/>
  <c r="AV164" i="45"/>
  <c r="AT164" i="45"/>
  <c r="AS164" i="45"/>
  <c r="AR44" i="35" s="1"/>
  <c r="AR164" i="45"/>
  <c r="AP164" i="45"/>
  <c r="AJ164" i="45"/>
  <c r="AI164" i="45"/>
  <c r="AH44" i="35" s="1"/>
  <c r="AH164" i="45"/>
  <c r="AF164" i="45"/>
  <c r="AD164" i="45"/>
  <c r="AB164" i="45"/>
  <c r="Z164" i="45"/>
  <c r="Y164" i="45"/>
  <c r="X164" i="45"/>
  <c r="V164" i="45"/>
  <c r="U164" i="45"/>
  <c r="T164" i="45"/>
  <c r="R164" i="45"/>
  <c r="Q164" i="45"/>
  <c r="P164" i="45"/>
  <c r="N164" i="45"/>
  <c r="M164" i="45"/>
  <c r="L164" i="45"/>
  <c r="J164" i="45"/>
  <c r="I164" i="45"/>
  <c r="H44" i="35" s="1"/>
  <c r="H164" i="45"/>
  <c r="G164" i="45"/>
  <c r="BF163" i="45"/>
  <c r="BD163" i="45"/>
  <c r="BB163" i="45"/>
  <c r="BA163" i="45"/>
  <c r="AZ43" i="35" s="1"/>
  <c r="AZ163" i="45"/>
  <c r="AX163" i="45"/>
  <c r="AW163" i="45"/>
  <c r="AV43" i="35" s="1"/>
  <c r="AV163" i="45"/>
  <c r="AT163" i="45"/>
  <c r="AS163" i="45"/>
  <c r="AR43" i="35" s="1"/>
  <c r="AR163" i="45"/>
  <c r="AP163" i="45"/>
  <c r="AJ163" i="45"/>
  <c r="AI163" i="45"/>
  <c r="AH43" i="35" s="1"/>
  <c r="AH163" i="45"/>
  <c r="AF163" i="45"/>
  <c r="AD163" i="45"/>
  <c r="AB163" i="45"/>
  <c r="Z163" i="45"/>
  <c r="Y163" i="45"/>
  <c r="X163" i="45"/>
  <c r="V163" i="45"/>
  <c r="U163" i="45"/>
  <c r="T163" i="45"/>
  <c r="R163" i="45"/>
  <c r="Q163" i="45"/>
  <c r="P163" i="45"/>
  <c r="N163" i="45"/>
  <c r="M163" i="45"/>
  <c r="L163" i="45"/>
  <c r="J163" i="45"/>
  <c r="I163" i="45"/>
  <c r="H43" i="35" s="1"/>
  <c r="H163" i="45"/>
  <c r="G163" i="45"/>
  <c r="BF162" i="45"/>
  <c r="BD162" i="45"/>
  <c r="BB162" i="45"/>
  <c r="BA162" i="45"/>
  <c r="AZ42" i="35" s="1"/>
  <c r="AZ162" i="45"/>
  <c r="AX162" i="45"/>
  <c r="AW162" i="45"/>
  <c r="AV42" i="35" s="1"/>
  <c r="AV162" i="45"/>
  <c r="AT162" i="45"/>
  <c r="AS162" i="45"/>
  <c r="AR42" i="35" s="1"/>
  <c r="AR162" i="45"/>
  <c r="AP162" i="45"/>
  <c r="AJ162" i="45"/>
  <c r="AI162" i="45"/>
  <c r="AH42" i="35" s="1"/>
  <c r="AH162" i="45"/>
  <c r="AF162" i="45"/>
  <c r="AD162" i="45"/>
  <c r="AB162" i="45"/>
  <c r="Z162" i="45"/>
  <c r="Y162" i="45"/>
  <c r="X162" i="45"/>
  <c r="V162" i="45"/>
  <c r="U162" i="45"/>
  <c r="T162" i="45"/>
  <c r="R162" i="45"/>
  <c r="Q162" i="45"/>
  <c r="P162" i="45"/>
  <c r="N162" i="45"/>
  <c r="M162" i="45"/>
  <c r="L162" i="45"/>
  <c r="J162" i="45"/>
  <c r="I162" i="45"/>
  <c r="H42" i="35" s="1"/>
  <c r="H162" i="45"/>
  <c r="G162" i="45"/>
  <c r="AE166" i="45"/>
  <c r="O119" i="45"/>
  <c r="AA119" i="45"/>
  <c r="AA86" i="45"/>
  <c r="AC86" i="45" s="1"/>
  <c r="AG86" i="45" s="1"/>
  <c r="AK86" i="45" s="1"/>
  <c r="AQ86" i="45" s="1"/>
  <c r="AU86" i="45" s="1"/>
  <c r="AY86" i="45" s="1"/>
  <c r="BG86" i="45" s="1"/>
  <c r="AA88" i="45"/>
  <c r="AC88" i="45" s="1"/>
  <c r="AG88" i="45" s="1"/>
  <c r="AK88" i="45" s="1"/>
  <c r="AQ88" i="45" s="1"/>
  <c r="AU88" i="45" s="1"/>
  <c r="AY88" i="45" s="1"/>
  <c r="BG88" i="45" s="1"/>
  <c r="AA99" i="45"/>
  <c r="AC99" i="45" s="1"/>
  <c r="AG99" i="45" s="1"/>
  <c r="AK99" i="45" s="1"/>
  <c r="AQ99" i="45" s="1"/>
  <c r="AU99" i="45" s="1"/>
  <c r="AY99" i="45" s="1"/>
  <c r="BG99" i="45" s="1"/>
  <c r="AA100" i="45"/>
  <c r="AA101" i="45"/>
  <c r="O100" i="45"/>
  <c r="O101" i="45"/>
  <c r="AA21" i="45"/>
  <c r="AC21" i="45" s="1"/>
  <c r="AG21" i="45" s="1"/>
  <c r="BC21" i="45"/>
  <c r="BE21" i="45" s="1"/>
  <c r="H49" i="35" l="1"/>
  <c r="J46" i="35"/>
  <c r="BB43" i="35"/>
  <c r="BB42" i="35"/>
  <c r="BB45" i="35"/>
  <c r="BB46" i="35"/>
  <c r="BB44" i="35"/>
  <c r="BB47" i="35"/>
  <c r="AZ49" i="35"/>
  <c r="AZ55" i="35" s="1"/>
  <c r="I168" i="45"/>
  <c r="AB168" i="45"/>
  <c r="P168" i="45"/>
  <c r="Z168" i="45"/>
  <c r="G168" i="45"/>
  <c r="AT168" i="45"/>
  <c r="N168" i="45"/>
  <c r="BA168" i="45"/>
  <c r="U168" i="45"/>
  <c r="AC119" i="45"/>
  <c r="AG119" i="45" s="1"/>
  <c r="AK119" i="45" s="1"/>
  <c r="AQ119" i="45" s="1"/>
  <c r="BF168" i="45"/>
  <c r="AK21" i="45"/>
  <c r="AH168" i="45"/>
  <c r="AH49" i="35"/>
  <c r="AH55" i="35" s="1"/>
  <c r="AZ168" i="45"/>
  <c r="Q168" i="45"/>
  <c r="AP168" i="45"/>
  <c r="BB168" i="45"/>
  <c r="R168" i="45"/>
  <c r="AD168" i="45"/>
  <c r="AF168" i="45"/>
  <c r="AR168" i="45"/>
  <c r="BD168" i="45"/>
  <c r="AC100" i="45"/>
  <c r="AG100" i="45" s="1"/>
  <c r="AK100" i="45" s="1"/>
  <c r="AQ100" i="45" s="1"/>
  <c r="AU100" i="45" s="1"/>
  <c r="AY100" i="45" s="1"/>
  <c r="BG100" i="45" s="1"/>
  <c r="H168" i="45"/>
  <c r="T168" i="45"/>
  <c r="AS168" i="45"/>
  <c r="J168" i="45"/>
  <c r="V168" i="45"/>
  <c r="AI168" i="45"/>
  <c r="AJ168" i="45"/>
  <c r="AV168" i="45"/>
  <c r="L168" i="45"/>
  <c r="X168" i="45"/>
  <c r="AW168" i="45"/>
  <c r="M168" i="45"/>
  <c r="Y168" i="45"/>
  <c r="AX168" i="45"/>
  <c r="AD95" i="9"/>
  <c r="AU119" i="45" l="1"/>
  <c r="AY119" i="45" s="1"/>
  <c r="BG119" i="45" s="1"/>
  <c r="AQ21" i="45"/>
  <c r="AU21" i="45" s="1"/>
  <c r="AY21" i="45" s="1"/>
  <c r="BG21" i="45" s="1"/>
  <c r="AB37" i="27"/>
  <c r="AB20" i="27"/>
  <c r="AB24" i="27" s="1"/>
  <c r="AB39" i="27" l="1"/>
  <c r="AC36" i="27"/>
  <c r="AC26" i="27"/>
  <c r="AC33" i="27" s="1"/>
  <c r="AB33" i="27"/>
  <c r="AC22" i="27"/>
  <c r="AC21" i="27"/>
  <c r="AD29" i="22"/>
  <c r="AD25" i="22"/>
  <c r="AD24" i="22"/>
  <c r="AD14" i="22"/>
  <c r="AD10" i="22"/>
  <c r="AD9" i="22"/>
  <c r="AC112" i="26"/>
  <c r="AB110" i="26"/>
  <c r="AB108" i="26"/>
  <c r="AB106" i="26"/>
  <c r="AB104" i="26"/>
  <c r="AB102" i="26"/>
  <c r="AB100" i="26"/>
  <c r="AB98" i="26"/>
  <c r="AB96" i="26"/>
  <c r="AC92" i="26"/>
  <c r="AB89" i="26"/>
  <c r="AB87" i="26"/>
  <c r="AB85" i="26"/>
  <c r="AB83" i="26"/>
  <c r="AC81" i="26"/>
  <c r="AC80" i="26"/>
  <c r="AB78" i="26"/>
  <c r="AB76" i="26"/>
  <c r="AC73" i="26"/>
  <c r="AB71" i="26"/>
  <c r="AB69" i="26"/>
  <c r="AB67" i="26"/>
  <c r="AB65" i="26"/>
  <c r="AB63" i="26"/>
  <c r="AB61" i="26"/>
  <c r="AB59" i="26"/>
  <c r="AB57" i="26"/>
  <c r="AB52" i="26"/>
  <c r="AB50" i="26"/>
  <c r="AC48" i="26"/>
  <c r="AB46" i="26"/>
  <c r="AC43" i="26"/>
  <c r="AB41" i="26"/>
  <c r="AB39" i="26"/>
  <c r="AB37" i="26"/>
  <c r="AB35" i="26"/>
  <c r="AB33" i="26"/>
  <c r="AB31" i="26"/>
  <c r="AB29" i="26"/>
  <c r="AB27" i="26"/>
  <c r="AB25" i="26"/>
  <c r="AB23" i="26"/>
  <c r="AB21" i="26"/>
  <c r="AB17" i="26"/>
  <c r="AB15" i="26"/>
  <c r="AC12" i="26"/>
  <c r="AB11" i="26"/>
  <c r="AB9" i="26"/>
  <c r="AC31" i="15"/>
  <c r="AC30" i="15"/>
  <c r="AC29" i="15"/>
  <c r="AC25" i="15"/>
  <c r="AC24" i="15"/>
  <c r="AC23" i="15"/>
  <c r="AC22" i="15"/>
  <c r="AC21" i="15"/>
  <c r="AB19" i="15"/>
  <c r="AC18" i="15"/>
  <c r="AC15" i="15"/>
  <c r="AB12" i="15"/>
  <c r="AB13" i="15" s="1"/>
  <c r="AC10" i="15"/>
  <c r="AC9" i="15"/>
  <c r="AB9" i="15"/>
  <c r="AC8" i="15"/>
  <c r="AB8" i="15"/>
  <c r="AC7" i="15"/>
  <c r="AC6" i="15"/>
  <c r="AC5" i="15"/>
  <c r="AC57" i="17"/>
  <c r="AC56" i="17"/>
  <c r="AC55" i="17"/>
  <c r="AB55" i="17"/>
  <c r="AC54" i="17"/>
  <c r="AC53" i="17"/>
  <c r="AB53" i="17"/>
  <c r="AC44" i="17"/>
  <c r="AB44" i="17"/>
  <c r="AC37" i="17"/>
  <c r="AC39" i="17" s="1"/>
  <c r="AB37" i="17"/>
  <c r="AB39" i="17" s="1"/>
  <c r="AB31" i="17"/>
  <c r="AC29" i="17"/>
  <c r="AC32" i="17" s="1"/>
  <c r="AB28" i="17"/>
  <c r="AB29" i="17" s="1"/>
  <c r="AB25" i="17"/>
  <c r="AC22" i="17"/>
  <c r="AC23" i="17" s="1"/>
  <c r="AB22" i="17"/>
  <c r="AC19" i="17"/>
  <c r="AB18" i="17"/>
  <c r="AC17" i="17"/>
  <c r="AB16" i="17"/>
  <c r="AC14" i="17"/>
  <c r="AC20" i="17" s="1"/>
  <c r="AB14" i="17"/>
  <c r="AC13" i="17"/>
  <c r="AC11" i="17"/>
  <c r="AC9" i="17"/>
  <c r="AH94" i="38"/>
  <c r="AH93" i="38"/>
  <c r="AH92" i="38"/>
  <c r="AH91" i="38"/>
  <c r="AG90" i="38"/>
  <c r="AH89" i="38"/>
  <c r="AG88" i="38"/>
  <c r="AH86" i="38"/>
  <c r="AH85" i="38"/>
  <c r="AH84" i="38"/>
  <c r="AH83" i="38"/>
  <c r="AG82" i="38"/>
  <c r="AH80" i="38"/>
  <c r="AH79" i="38"/>
  <c r="AH78" i="38"/>
  <c r="AH77" i="38"/>
  <c r="AH76" i="38"/>
  <c r="AH75" i="38"/>
  <c r="AH74" i="38"/>
  <c r="AH73" i="38"/>
  <c r="AH72" i="38"/>
  <c r="AH71" i="38"/>
  <c r="AH70" i="38"/>
  <c r="AH69" i="38"/>
  <c r="AH68" i="38"/>
  <c r="AH67" i="38"/>
  <c r="AG66" i="38"/>
  <c r="AH62" i="38"/>
  <c r="AH61" i="38"/>
  <c r="AG60" i="38"/>
  <c r="AH59" i="38"/>
  <c r="AH58" i="38"/>
  <c r="AH57" i="38"/>
  <c r="AH56" i="38"/>
  <c r="AH55" i="38"/>
  <c r="AG54" i="38"/>
  <c r="AG52" i="38"/>
  <c r="AH51" i="38"/>
  <c r="AG51" i="38"/>
  <c r="AG46" i="38"/>
  <c r="AG45" i="38"/>
  <c r="AG44" i="38"/>
  <c r="AG43" i="38"/>
  <c r="AH42" i="38"/>
  <c r="AH90" i="38" s="1"/>
  <c r="AG41" i="38"/>
  <c r="AG40" i="38" s="1"/>
  <c r="AH40" i="38"/>
  <c r="AH88" i="38" s="1"/>
  <c r="AG38" i="38"/>
  <c r="AG37" i="38"/>
  <c r="AG36" i="38"/>
  <c r="AG35" i="38"/>
  <c r="AH34" i="38"/>
  <c r="AH82" i="38" s="1"/>
  <c r="AG32" i="38"/>
  <c r="AG31" i="38"/>
  <c r="AG30" i="38"/>
  <c r="AG29" i="38"/>
  <c r="AG28" i="38"/>
  <c r="AG27" i="38"/>
  <c r="AG26" i="38"/>
  <c r="AG25" i="38"/>
  <c r="AG24" i="38"/>
  <c r="AG23" i="38"/>
  <c r="AG22" i="38"/>
  <c r="AG21" i="38"/>
  <c r="AG20" i="38"/>
  <c r="AG19" i="38"/>
  <c r="AH18" i="38"/>
  <c r="AH66" i="38" s="1"/>
  <c r="AG14" i="38"/>
  <c r="AG13" i="38"/>
  <c r="AH12" i="38"/>
  <c r="AH60" i="38" s="1"/>
  <c r="AG11" i="38"/>
  <c r="AG10" i="38"/>
  <c r="AG9" i="38"/>
  <c r="AG8" i="38"/>
  <c r="AG7" i="38"/>
  <c r="AH6" i="38"/>
  <c r="AH54" i="38" s="1"/>
  <c r="AA48" i="72"/>
  <c r="AA40" i="72"/>
  <c r="AA27" i="72"/>
  <c r="AA20" i="72"/>
  <c r="AA51" i="72" l="1"/>
  <c r="AB57" i="17"/>
  <c r="AB48" i="26"/>
  <c r="AB54" i="26" s="1"/>
  <c r="AL87" i="26"/>
  <c r="AL89" i="26"/>
  <c r="AC54" i="26"/>
  <c r="AB54" i="17"/>
  <c r="AC18" i="26"/>
  <c r="AL83" i="26"/>
  <c r="AL85" i="26"/>
  <c r="AD27" i="22"/>
  <c r="AG12" i="38"/>
  <c r="AB85" i="17"/>
  <c r="AC85" i="17"/>
  <c r="AD12" i="22"/>
  <c r="AB20" i="17"/>
  <c r="AG65" i="38"/>
  <c r="AC30" i="17"/>
  <c r="AH39" i="38"/>
  <c r="AH87" i="38" s="1"/>
  <c r="AH17" i="38"/>
  <c r="AC32" i="15"/>
  <c r="AC36" i="15" s="1"/>
  <c r="AC16" i="15" s="1"/>
  <c r="AC17" i="15" s="1"/>
  <c r="AC24" i="27"/>
  <c r="AC39" i="27"/>
  <c r="AB92" i="26"/>
  <c r="AB81" i="26"/>
  <c r="AB80" i="26"/>
  <c r="AB73" i="26"/>
  <c r="AB43" i="26"/>
  <c r="AB12" i="26"/>
  <c r="AC19" i="26"/>
  <c r="AC13" i="26"/>
  <c r="AG42" i="38"/>
  <c r="AG39" i="38" s="1"/>
  <c r="AG34" i="38"/>
  <c r="AG63" i="38"/>
  <c r="AB55" i="26"/>
  <c r="AB49" i="26"/>
  <c r="AB56" i="17"/>
  <c r="AC49" i="26"/>
  <c r="AC55" i="26"/>
  <c r="AB112" i="26"/>
  <c r="AC21" i="17"/>
  <c r="AC25" i="17" s="1"/>
  <c r="AC24" i="17"/>
  <c r="AB32" i="17"/>
  <c r="AB30" i="17"/>
  <c r="AC15" i="17"/>
  <c r="AG87" i="38"/>
  <c r="AG18" i="38"/>
  <c r="AG6" i="38"/>
  <c r="AG15" i="38" s="1"/>
  <c r="AH15" i="38"/>
  <c r="AA53" i="72"/>
  <c r="BS7" i="71"/>
  <c r="CC7" i="71" s="1"/>
  <c r="BS8" i="71"/>
  <c r="CC8" i="71" s="1"/>
  <c r="CS8" i="71" s="1"/>
  <c r="BS9" i="71"/>
  <c r="BS10" i="71"/>
  <c r="CC10" i="71" s="1"/>
  <c r="CS10" i="71" s="1"/>
  <c r="BS11" i="71"/>
  <c r="CC11" i="71" s="1"/>
  <c r="BS12" i="71"/>
  <c r="CC12" i="71" s="1"/>
  <c r="BS13" i="71"/>
  <c r="CC13" i="71" s="1"/>
  <c r="CS13" i="71" s="1"/>
  <c r="BS14" i="71"/>
  <c r="CC14" i="71" s="1"/>
  <c r="BS15" i="71"/>
  <c r="CC15" i="71" s="1"/>
  <c r="BS16" i="71"/>
  <c r="CC16" i="71" s="1"/>
  <c r="BS17" i="71"/>
  <c r="CC17" i="71" s="1"/>
  <c r="CS17" i="71" s="1"/>
  <c r="BS18" i="71"/>
  <c r="CC18" i="71" s="1"/>
  <c r="BS19" i="71"/>
  <c r="BS20" i="71"/>
  <c r="CC20" i="71" s="1"/>
  <c r="BS21" i="71"/>
  <c r="BS22" i="71"/>
  <c r="CC22" i="71" s="1"/>
  <c r="BS25" i="71"/>
  <c r="CC25" i="71" s="1"/>
  <c r="BS26" i="71"/>
  <c r="CC26" i="71" s="1"/>
  <c r="BS27" i="71"/>
  <c r="BS28" i="71"/>
  <c r="CC28" i="71" s="1"/>
  <c r="BS29" i="71"/>
  <c r="CC29" i="71" s="1"/>
  <c r="BS30" i="71"/>
  <c r="CC30" i="71" s="1"/>
  <c r="BS33" i="71"/>
  <c r="CC33" i="71" s="1"/>
  <c r="BS34" i="71"/>
  <c r="CC34" i="71" s="1"/>
  <c r="BS35" i="71"/>
  <c r="CC35" i="71" s="1"/>
  <c r="BS36" i="71"/>
  <c r="CC36" i="71" s="1"/>
  <c r="BS37" i="71"/>
  <c r="CC37" i="71" s="1"/>
  <c r="BS38" i="71"/>
  <c r="CC38" i="71" s="1"/>
  <c r="BS39" i="71"/>
  <c r="CC39" i="71" s="1"/>
  <c r="BS40" i="71"/>
  <c r="CC40" i="71" s="1"/>
  <c r="BS41" i="71"/>
  <c r="CC41" i="71" s="1"/>
  <c r="BS42" i="71"/>
  <c r="CC42" i="71" s="1"/>
  <c r="CS42" i="71" s="1"/>
  <c r="BS43" i="71"/>
  <c r="BS45" i="71"/>
  <c r="CC45" i="71" s="1"/>
  <c r="BS46" i="71"/>
  <c r="CC46" i="71" s="1"/>
  <c r="BS47" i="71"/>
  <c r="CC47" i="71" s="1"/>
  <c r="CS47" i="71" s="1"/>
  <c r="BS48" i="71"/>
  <c r="BS49" i="71"/>
  <c r="CC49" i="71" s="1"/>
  <c r="CS49" i="71" s="1"/>
  <c r="BS51" i="71"/>
  <c r="CC51" i="71" s="1"/>
  <c r="BS52" i="71"/>
  <c r="CC52" i="71" s="1"/>
  <c r="BS53" i="71"/>
  <c r="CC53" i="71" s="1"/>
  <c r="BS54" i="71"/>
  <c r="CC54" i="71" s="1"/>
  <c r="BS55" i="71"/>
  <c r="CC55" i="71" s="1"/>
  <c r="BS56" i="71"/>
  <c r="AE157" i="45"/>
  <c r="AE156" i="45"/>
  <c r="AE154" i="45"/>
  <c r="AE148" i="45"/>
  <c r="AE143" i="45"/>
  <c r="AD143" i="45"/>
  <c r="AE142" i="45"/>
  <c r="AD142" i="45"/>
  <c r="AE141" i="45"/>
  <c r="AD141" i="45"/>
  <c r="AE140" i="45"/>
  <c r="AD140" i="45"/>
  <c r="AE138" i="45"/>
  <c r="AD138" i="45"/>
  <c r="AN138" i="45" s="1"/>
  <c r="AE136" i="45"/>
  <c r="AD136" i="45"/>
  <c r="AE134" i="45"/>
  <c r="AD134" i="45"/>
  <c r="AE131" i="45"/>
  <c r="AD131" i="45"/>
  <c r="AE126" i="45"/>
  <c r="AE122" i="45"/>
  <c r="AE150" i="45" s="1"/>
  <c r="AE121" i="45"/>
  <c r="AE123" i="45" s="1"/>
  <c r="AD121" i="45"/>
  <c r="AE120" i="45"/>
  <c r="AE158" i="45" s="1"/>
  <c r="AD91" i="11"/>
  <c r="AD89" i="11"/>
  <c r="AD83" i="11"/>
  <c r="AD78" i="11"/>
  <c r="AC78" i="11"/>
  <c r="AD77" i="11"/>
  <c r="AC77" i="11"/>
  <c r="AD76" i="11"/>
  <c r="AC76" i="11"/>
  <c r="AD75" i="11"/>
  <c r="AC75" i="11"/>
  <c r="AD73" i="11"/>
  <c r="AC73" i="11"/>
  <c r="AD71" i="11"/>
  <c r="AC71" i="11"/>
  <c r="AD69" i="11"/>
  <c r="AC69" i="11"/>
  <c r="AD66" i="11"/>
  <c r="AC66" i="11"/>
  <c r="AD61" i="11"/>
  <c r="AD59" i="11"/>
  <c r="AD57" i="11"/>
  <c r="AD56" i="11"/>
  <c r="AC56" i="11"/>
  <c r="AC79" i="11" s="1"/>
  <c r="AD55" i="11"/>
  <c r="AD190" i="10"/>
  <c r="AD188" i="10"/>
  <c r="AD182" i="10"/>
  <c r="AD189" i="10" s="1"/>
  <c r="AD177" i="10"/>
  <c r="AC177" i="10"/>
  <c r="AD176" i="10"/>
  <c r="AC176" i="10"/>
  <c r="AD175" i="10"/>
  <c r="AC175" i="10"/>
  <c r="AD174" i="10"/>
  <c r="AC174" i="10"/>
  <c r="AD172" i="10"/>
  <c r="AC172" i="10"/>
  <c r="AD170" i="10"/>
  <c r="AC170" i="10"/>
  <c r="AD168" i="10"/>
  <c r="AC168" i="10"/>
  <c r="AD165" i="10"/>
  <c r="AD166" i="10" s="1"/>
  <c r="AC165" i="10"/>
  <c r="AC166" i="10" s="1"/>
  <c r="AD160" i="10"/>
  <c r="AC159" i="10"/>
  <c r="AD158" i="10"/>
  <c r="AH16" i="38" l="1"/>
  <c r="AH64" i="38" s="1"/>
  <c r="AB18" i="26"/>
  <c r="AD124" i="45"/>
  <c r="AD184" i="10"/>
  <c r="AD196" i="10"/>
  <c r="AD210" i="10"/>
  <c r="AB24" i="17"/>
  <c r="AG64" i="38"/>
  <c r="AG96" i="38" s="1"/>
  <c r="AE132" i="45"/>
  <c r="AD132" i="45"/>
  <c r="AN131" i="45"/>
  <c r="AN132" i="45" s="1"/>
  <c r="AE149" i="45"/>
  <c r="AD92" i="11"/>
  <c r="AD79" i="11"/>
  <c r="AC67" i="11"/>
  <c r="AD84" i="11"/>
  <c r="AD93" i="11"/>
  <c r="AD67" i="11"/>
  <c r="AC77" i="90"/>
  <c r="CC43" i="71"/>
  <c r="AC85" i="90"/>
  <c r="CC56" i="71"/>
  <c r="CS56" i="71" s="1"/>
  <c r="AC71" i="90"/>
  <c r="CC21" i="71"/>
  <c r="AC68" i="90"/>
  <c r="CC9" i="71"/>
  <c r="CS9" i="71" s="1"/>
  <c r="AC80" i="90"/>
  <c r="CC48" i="71"/>
  <c r="CS48" i="71" s="1"/>
  <c r="AC73" i="90"/>
  <c r="CC27" i="71"/>
  <c r="AC69" i="90"/>
  <c r="CC19" i="71"/>
  <c r="CS19" i="71" s="1"/>
  <c r="AC55" i="11"/>
  <c r="AC158" i="10"/>
  <c r="AC210" i="10" s="1"/>
  <c r="AC203" i="10"/>
  <c r="AG17" i="38"/>
  <c r="AG16" i="38" s="1"/>
  <c r="AG48" i="38" s="1"/>
  <c r="AB13" i="26"/>
  <c r="AB19" i="26"/>
  <c r="AC74" i="11"/>
  <c r="AC81" i="90"/>
  <c r="AC70" i="90"/>
  <c r="AC97" i="11"/>
  <c r="AC79" i="90"/>
  <c r="AC72" i="90"/>
  <c r="AC58" i="11"/>
  <c r="AC83" i="90"/>
  <c r="AC78" i="90"/>
  <c r="AC76" i="90"/>
  <c r="AC74" i="90"/>
  <c r="AC173" i="10"/>
  <c r="AC84" i="90"/>
  <c r="AH65" i="38"/>
  <c r="AE155" i="45"/>
  <c r="AD139" i="45"/>
  <c r="AD60" i="11"/>
  <c r="AD74" i="11"/>
  <c r="AD58" i="11"/>
  <c r="AH48" i="38"/>
  <c r="AH63" i="38"/>
  <c r="AH96" i="38" s="1"/>
  <c r="AE159" i="45"/>
  <c r="AE160" i="45" s="1"/>
  <c r="AE124" i="45"/>
  <c r="AE125" i="45" s="1"/>
  <c r="AE144" i="45"/>
  <c r="AD144" i="45"/>
  <c r="AD123" i="45"/>
  <c r="AE139" i="45"/>
  <c r="AD120" i="45"/>
  <c r="AD90" i="11"/>
  <c r="AD85" i="11"/>
  <c r="AD183" i="10"/>
  <c r="AD191" i="10"/>
  <c r="AD192" i="10"/>
  <c r="AD159" i="10"/>
  <c r="AC161" i="10"/>
  <c r="AC178" i="10"/>
  <c r="AD94" i="11" l="1"/>
  <c r="AD200" i="10"/>
  <c r="AD193" i="10"/>
  <c r="AD178" i="10"/>
  <c r="AD161" i="10"/>
  <c r="AD173" i="10"/>
  <c r="AC6" i="21" l="1"/>
  <c r="AC101" i="9" l="1"/>
  <c r="AD99" i="9"/>
  <c r="AC99" i="9"/>
  <c r="AD98" i="9"/>
  <c r="AC98" i="9"/>
  <c r="AD97" i="9"/>
  <c r="AC97" i="9"/>
  <c r="AD93" i="9"/>
  <c r="AC76" i="9"/>
  <c r="AC77" i="9" s="1"/>
  <c r="AC74" i="9"/>
  <c r="AD60" i="9"/>
  <c r="AD57" i="9"/>
  <c r="AC53" i="9"/>
  <c r="AC52" i="9"/>
  <c r="AC47" i="9"/>
  <c r="AD46" i="9"/>
  <c r="AD36" i="9"/>
  <c r="AD35" i="9"/>
  <c r="AD47" i="9" s="1"/>
  <c r="AD34" i="9"/>
  <c r="AD31" i="9"/>
  <c r="AD25" i="9"/>
  <c r="AC24" i="9"/>
  <c r="AC22" i="9"/>
  <c r="AD19" i="9"/>
  <c r="AD10" i="9"/>
  <c r="AD5" i="9"/>
  <c r="AD109" i="8"/>
  <c r="AD111" i="8" s="1"/>
  <c r="AD94" i="8"/>
  <c r="AD91" i="8"/>
  <c r="AC91" i="8"/>
  <c r="AD89" i="8"/>
  <c r="AC89" i="8"/>
  <c r="AD88" i="8"/>
  <c r="AC88" i="8"/>
  <c r="AC87" i="8"/>
  <c r="AC82" i="8"/>
  <c r="AD80" i="8"/>
  <c r="AD75" i="8"/>
  <c r="AC74" i="8"/>
  <c r="AC73" i="8"/>
  <c r="AC72" i="8"/>
  <c r="AC71" i="8"/>
  <c r="AD68" i="8"/>
  <c r="AD66" i="8"/>
  <c r="AD64" i="8"/>
  <c r="AD61" i="8"/>
  <c r="AD58" i="8"/>
  <c r="AD62" i="8" s="1"/>
  <c r="AC52" i="8"/>
  <c r="AD49" i="8"/>
  <c r="AC49" i="8"/>
  <c r="AC46" i="8"/>
  <c r="AC45" i="8"/>
  <c r="AC44" i="8"/>
  <c r="AC43" i="8"/>
  <c r="AC41" i="8"/>
  <c r="AC40" i="8"/>
  <c r="AC39" i="8"/>
  <c r="AD26" i="8"/>
  <c r="AD17" i="8"/>
  <c r="AC17" i="8"/>
  <c r="AC15" i="8"/>
  <c r="AC14" i="8"/>
  <c r="AD13" i="8"/>
  <c r="AC13" i="8"/>
  <c r="AD6" i="8"/>
  <c r="AC6" i="8"/>
  <c r="AC113" i="7"/>
  <c r="AC112" i="7"/>
  <c r="AC111" i="7"/>
  <c r="AC110" i="7"/>
  <c r="AC109" i="7"/>
  <c r="AC108" i="7"/>
  <c r="AC107" i="7"/>
  <c r="AC106" i="7"/>
  <c r="AC85" i="7"/>
  <c r="AD84" i="7"/>
  <c r="AC84" i="7"/>
  <c r="AD82" i="7"/>
  <c r="AC82" i="7"/>
  <c r="AD75" i="7"/>
  <c r="AC75" i="7"/>
  <c r="AD71" i="7"/>
  <c r="AD73" i="7" s="1"/>
  <c r="AC71" i="7"/>
  <c r="AC73" i="7" s="1"/>
  <c r="AD67" i="7"/>
  <c r="AC67" i="7"/>
  <c r="AD21" i="7"/>
  <c r="AC49" i="39" s="1"/>
  <c r="AC21" i="7"/>
  <c r="AC41" i="7" s="1"/>
  <c r="AC51" i="7" s="1"/>
  <c r="AC61" i="39"/>
  <c r="AD44" i="22" s="1"/>
  <c r="AC60" i="39"/>
  <c r="AD43" i="22" s="1"/>
  <c r="AC48" i="39"/>
  <c r="AC47" i="39"/>
  <c r="AC46" i="39"/>
  <c r="AC43" i="39"/>
  <c r="AC42" i="39"/>
  <c r="AC8" i="39"/>
  <c r="AD222" i="6"/>
  <c r="AC222" i="6"/>
  <c r="AD221" i="6"/>
  <c r="AC221" i="6"/>
  <c r="AC199" i="6"/>
  <c r="AD198" i="6"/>
  <c r="AC198" i="6"/>
  <c r="AC197" i="6"/>
  <c r="AD193" i="6"/>
  <c r="AC193" i="6"/>
  <c r="AD192" i="6"/>
  <c r="AC192" i="6"/>
  <c r="AD191" i="6"/>
  <c r="AC191" i="6"/>
  <c r="AC190" i="6"/>
  <c r="AC189" i="6"/>
  <c r="AC186" i="6"/>
  <c r="AC185" i="6"/>
  <c r="AC184" i="6"/>
  <c r="AC183" i="6"/>
  <c r="AC182" i="6"/>
  <c r="AC181" i="6"/>
  <c r="AC179" i="6"/>
  <c r="AC178" i="6"/>
  <c r="AC177" i="6"/>
  <c r="AD167" i="6"/>
  <c r="AC167" i="6"/>
  <c r="AD166" i="6"/>
  <c r="AC166" i="6"/>
  <c r="AC165" i="6"/>
  <c r="AC164" i="6"/>
  <c r="AC161" i="6"/>
  <c r="AC160" i="6"/>
  <c r="AC159" i="6"/>
  <c r="AC158" i="6"/>
  <c r="AC157" i="6"/>
  <c r="AC156" i="6"/>
  <c r="AC154" i="6"/>
  <c r="AC153" i="6"/>
  <c r="AC149" i="6"/>
  <c r="AD139" i="6"/>
  <c r="AD136" i="6"/>
  <c r="AC136" i="6"/>
  <c r="AD135" i="6"/>
  <c r="AC135" i="6"/>
  <c r="AD134" i="6"/>
  <c r="AC134" i="6"/>
  <c r="AD133" i="6"/>
  <c r="AC133" i="6"/>
  <c r="AD131" i="6"/>
  <c r="AC131" i="6"/>
  <c r="AD130" i="6"/>
  <c r="AC130" i="6"/>
  <c r="AD128" i="6"/>
  <c r="AC128" i="6"/>
  <c r="AD127" i="6"/>
  <c r="AC127" i="6"/>
  <c r="AD126" i="6"/>
  <c r="AC126" i="6"/>
  <c r="AD125" i="6"/>
  <c r="AC125" i="6"/>
  <c r="AD120" i="6"/>
  <c r="AC120" i="6"/>
  <c r="AD115" i="6"/>
  <c r="AC115" i="6"/>
  <c r="AD103" i="6"/>
  <c r="AC103" i="6"/>
  <c r="AC98" i="6"/>
  <c r="AC85" i="6"/>
  <c r="AC83" i="6"/>
  <c r="AC82" i="6"/>
  <c r="AC80" i="6"/>
  <c r="AC79" i="6"/>
  <c r="AD77" i="6"/>
  <c r="AC77" i="6"/>
  <c r="AD69" i="6"/>
  <c r="AC69" i="6"/>
  <c r="AD66" i="6"/>
  <c r="AC66" i="6"/>
  <c r="AD56" i="6"/>
  <c r="AD55" i="6"/>
  <c r="AD54" i="6"/>
  <c r="AD51" i="6"/>
  <c r="AD48" i="6"/>
  <c r="AD45" i="6"/>
  <c r="AC41" i="6"/>
  <c r="AD34" i="6"/>
  <c r="AD33" i="6"/>
  <c r="AD32" i="6"/>
  <c r="AD29" i="6"/>
  <c r="AD26" i="6"/>
  <c r="AD23" i="6"/>
  <c r="AC18" i="6"/>
  <c r="AC17" i="6"/>
  <c r="AC16" i="6"/>
  <c r="AC15" i="6"/>
  <c r="AD9" i="6"/>
  <c r="AD8" i="6"/>
  <c r="AC7" i="6"/>
  <c r="AE78" i="77"/>
  <c r="AD78" i="77"/>
  <c r="AC91" i="77"/>
  <c r="AC90" i="77"/>
  <c r="AD81" i="7" l="1"/>
  <c r="AD61" i="7"/>
  <c r="AD102" i="7" s="1"/>
  <c r="AD37" i="7"/>
  <c r="AD100" i="7" s="1"/>
  <c r="AD27" i="7"/>
  <c r="AD91" i="7" s="1"/>
  <c r="AD54" i="7"/>
  <c r="AD35" i="7"/>
  <c r="AD98" i="7" s="1"/>
  <c r="AD32" i="7"/>
  <c r="AD95" i="7" s="1"/>
  <c r="AD28" i="7"/>
  <c r="AD92" i="7" s="1"/>
  <c r="AD25" i="7"/>
  <c r="AD62" i="7"/>
  <c r="AD58" i="7"/>
  <c r="AD55" i="7"/>
  <c r="AD23" i="7"/>
  <c r="AD87" i="7" s="1"/>
  <c r="AD34" i="7"/>
  <c r="AD97" i="7" s="1"/>
  <c r="AD57" i="7"/>
  <c r="AD36" i="7"/>
  <c r="AD99" i="7" s="1"/>
  <c r="AD33" i="7"/>
  <c r="AD96" i="7" s="1"/>
  <c r="AD29" i="7"/>
  <c r="AD93" i="7" s="1"/>
  <c r="AD26" i="7"/>
  <c r="AD59" i="7"/>
  <c r="AD56" i="7"/>
  <c r="AD101" i="7" s="1"/>
  <c r="AD24" i="7"/>
  <c r="AD88" i="7" s="1"/>
  <c r="AD31" i="7"/>
  <c r="AD60" i="7"/>
  <c r="AC81" i="7"/>
  <c r="AC37" i="7"/>
  <c r="AC100" i="7" s="1"/>
  <c r="AC34" i="7"/>
  <c r="AC97" i="7" s="1"/>
  <c r="AC31" i="7"/>
  <c r="AC27" i="7"/>
  <c r="AC91" i="7" s="1"/>
  <c r="AC24" i="7"/>
  <c r="AC23" i="7"/>
  <c r="AC87" i="7" s="1"/>
  <c r="AC60" i="7"/>
  <c r="AC57" i="7"/>
  <c r="AC54" i="7"/>
  <c r="AC61" i="7"/>
  <c r="AC102" i="7" s="1"/>
  <c r="AC35" i="7"/>
  <c r="AC98" i="7" s="1"/>
  <c r="AC32" i="7"/>
  <c r="AC95" i="7" s="1"/>
  <c r="AC28" i="7"/>
  <c r="AC92" i="7" s="1"/>
  <c r="AC25" i="7"/>
  <c r="AC62" i="7"/>
  <c r="AC58" i="7"/>
  <c r="AC55" i="7"/>
  <c r="AC36" i="7"/>
  <c r="AC99" i="7" s="1"/>
  <c r="AC33" i="7"/>
  <c r="AC96" i="7" s="1"/>
  <c r="AC29" i="7"/>
  <c r="AC93" i="7" s="1"/>
  <c r="AC26" i="7"/>
  <c r="AC90" i="7" s="1"/>
  <c r="AF32" i="59" s="1"/>
  <c r="AC59" i="7"/>
  <c r="AC56" i="7"/>
  <c r="AC101" i="7" s="1"/>
  <c r="AC22" i="39"/>
  <c r="AD65" i="8"/>
  <c r="AD72" i="8" s="1"/>
  <c r="AD67" i="8"/>
  <c r="AD37" i="8" s="1"/>
  <c r="AD16" i="8"/>
  <c r="AD69" i="8"/>
  <c r="AD74" i="8" s="1"/>
  <c r="AD86" i="8"/>
  <c r="AC34" i="39"/>
  <c r="AC30" i="6"/>
  <c r="AC28" i="6"/>
  <c r="AC89" i="77"/>
  <c r="AC42" i="8"/>
  <c r="AC25" i="8"/>
  <c r="AC84" i="77"/>
  <c r="AM82" i="77"/>
  <c r="BC82" i="77" s="1"/>
  <c r="AC24" i="8"/>
  <c r="AD48" i="9"/>
  <c r="AD49" i="9" s="1"/>
  <c r="AC90" i="90"/>
  <c r="AC29" i="8"/>
  <c r="AD78" i="7"/>
  <c r="AC50" i="39"/>
  <c r="AD62" i="9"/>
  <c r="AD37" i="9"/>
  <c r="AD94" i="9"/>
  <c r="AC19" i="15" s="1"/>
  <c r="AD34" i="22"/>
  <c r="AC130" i="26"/>
  <c r="AD100" i="9"/>
  <c r="AD90" i="9"/>
  <c r="AD132" i="6"/>
  <c r="AD35" i="6"/>
  <c r="AD39" i="8"/>
  <c r="AD45" i="8"/>
  <c r="AC25" i="9"/>
  <c r="AC88" i="9" s="1"/>
  <c r="AC121" i="6"/>
  <c r="AC104" i="6"/>
  <c r="AC24" i="6"/>
  <c r="AC16" i="8"/>
  <c r="AD14" i="9"/>
  <c r="AD96" i="9"/>
  <c r="AD89" i="9"/>
  <c r="AD110" i="8"/>
  <c r="AD112" i="8" s="1"/>
  <c r="AD53" i="8" s="1"/>
  <c r="AD123" i="8" s="1"/>
  <c r="AC31" i="8"/>
  <c r="AD40" i="8"/>
  <c r="AD43" i="8"/>
  <c r="AD136" i="8" s="1"/>
  <c r="AD50" i="8"/>
  <c r="AD51" i="8" s="1"/>
  <c r="AD59" i="8"/>
  <c r="AC85" i="8"/>
  <c r="AC27" i="8"/>
  <c r="AD41" i="8"/>
  <c r="AD44" i="8"/>
  <c r="AD137" i="8" s="1"/>
  <c r="AD47" i="8"/>
  <c r="AC23" i="8"/>
  <c r="AC28" i="8"/>
  <c r="AC92" i="8"/>
  <c r="AD92" i="8"/>
  <c r="AC30" i="8"/>
  <c r="AC50" i="8"/>
  <c r="AC51" i="8" s="1"/>
  <c r="AD82" i="8"/>
  <c r="AD46" i="8"/>
  <c r="AD138" i="8" s="1"/>
  <c r="AC83" i="7"/>
  <c r="AD83" i="7"/>
  <c r="AD69" i="7"/>
  <c r="AD76" i="7"/>
  <c r="AC68" i="7"/>
  <c r="AC78" i="7"/>
  <c r="AC45" i="39"/>
  <c r="AD41" i="7"/>
  <c r="AD51" i="7" s="1"/>
  <c r="AC76" i="7"/>
  <c r="AC23" i="39"/>
  <c r="AD121" i="6"/>
  <c r="AC132" i="6"/>
  <c r="AD57" i="6"/>
  <c r="AC27" i="6"/>
  <c r="AC163" i="6"/>
  <c r="AC168" i="6"/>
  <c r="AC137" i="6"/>
  <c r="AC188" i="6"/>
  <c r="AD137" i="6"/>
  <c r="AC21" i="6"/>
  <c r="AC25" i="6"/>
  <c r="AC22" i="6"/>
  <c r="AC31" i="6"/>
  <c r="AC194" i="6"/>
  <c r="AC19" i="6"/>
  <c r="AC34" i="35"/>
  <c r="AC48" i="28" s="1"/>
  <c r="AC18" i="35"/>
  <c r="AC16" i="35"/>
  <c r="AD90" i="7" l="1"/>
  <c r="AG32" i="59" s="1"/>
  <c r="AD34" i="8"/>
  <c r="AC502" i="28"/>
  <c r="AM48" i="28"/>
  <c r="BC48" i="28" s="1"/>
  <c r="AC42" i="28"/>
  <c r="AM42" i="28" s="1"/>
  <c r="BC42" i="28" s="1"/>
  <c r="AD89" i="7"/>
  <c r="AC88" i="7"/>
  <c r="AF30" i="59" s="1"/>
  <c r="AC89" i="7"/>
  <c r="AF31" i="59" s="1"/>
  <c r="AD73" i="8"/>
  <c r="AD36" i="8"/>
  <c r="AC51" i="39"/>
  <c r="AC24" i="39"/>
  <c r="AC29" i="6"/>
  <c r="AC106" i="6"/>
  <c r="AC32" i="6"/>
  <c r="AC123" i="6"/>
  <c r="AD123" i="6"/>
  <c r="AC84" i="6"/>
  <c r="AD139" i="8"/>
  <c r="AC26" i="6"/>
  <c r="AD84" i="9"/>
  <c r="AD85" i="9"/>
  <c r="AC95" i="77"/>
  <c r="AD52" i="8"/>
  <c r="AB18" i="15"/>
  <c r="AB15" i="15" s="1"/>
  <c r="AB16" i="15" s="1"/>
  <c r="AC5" i="9"/>
  <c r="AD38" i="7"/>
  <c r="AD82" i="9"/>
  <c r="AG61" i="59" s="1"/>
  <c r="AD91" i="9"/>
  <c r="AD138" i="6"/>
  <c r="AD78" i="8"/>
  <c r="AC6" i="26"/>
  <c r="AD42" i="8"/>
  <c r="AD78" i="9"/>
  <c r="AD72" i="9"/>
  <c r="AD73" i="9"/>
  <c r="AD83" i="9"/>
  <c r="AD76" i="9"/>
  <c r="AD81" i="9"/>
  <c r="AD53" i="9"/>
  <c r="AD80" i="9"/>
  <c r="AD87" i="9"/>
  <c r="AG60" i="59" s="1"/>
  <c r="AD75" i="9"/>
  <c r="AD86" i="9"/>
  <c r="AD52" i="9"/>
  <c r="AG57" i="59" s="1"/>
  <c r="AC26" i="8"/>
  <c r="AC65" i="8"/>
  <c r="AC109" i="8"/>
  <c r="AC111" i="8" s="1"/>
  <c r="AC59" i="8"/>
  <c r="AC67" i="8"/>
  <c r="AD63" i="8"/>
  <c r="AC69" i="8"/>
  <c r="AC38" i="7"/>
  <c r="AC53" i="7" s="1"/>
  <c r="AC138" i="6"/>
  <c r="AC81" i="6"/>
  <c r="AC23" i="6"/>
  <c r="AC33" i="6"/>
  <c r="AC34" i="6"/>
  <c r="AD17" i="49"/>
  <c r="AD18" i="49" s="1"/>
  <c r="AD11" i="49"/>
  <c r="AC11" i="49"/>
  <c r="AD9" i="49"/>
  <c r="AD8" i="49"/>
  <c r="AD6" i="49"/>
  <c r="AC242" i="73"/>
  <c r="AC240" i="73"/>
  <c r="AC229" i="73"/>
  <c r="AC42" i="77" s="1"/>
  <c r="AC220" i="73"/>
  <c r="AC209" i="73"/>
  <c r="AC181" i="73"/>
  <c r="AC168" i="73"/>
  <c r="AC179" i="73" s="1"/>
  <c r="AC134" i="73"/>
  <c r="AC132" i="73"/>
  <c r="AC130" i="73"/>
  <c r="AC126" i="73"/>
  <c r="AC122" i="73"/>
  <c r="AC113" i="73"/>
  <c r="AC106" i="73"/>
  <c r="AC102" i="73"/>
  <c r="AC62" i="73"/>
  <c r="AC56" i="73"/>
  <c r="AC51" i="73"/>
  <c r="AC46" i="73"/>
  <c r="AC35" i="73"/>
  <c r="AC30" i="73"/>
  <c r="AC22" i="73"/>
  <c r="AC20" i="73"/>
  <c r="AC120" i="90" s="1"/>
  <c r="AC8" i="73"/>
  <c r="AG79" i="59"/>
  <c r="AG78" i="59"/>
  <c r="AG77" i="59"/>
  <c r="AF75" i="59"/>
  <c r="AF74" i="59"/>
  <c r="AG73" i="59"/>
  <c r="AG72" i="59"/>
  <c r="AF72" i="59"/>
  <c r="AG69" i="59"/>
  <c r="AG68" i="59"/>
  <c r="AF68" i="59"/>
  <c r="AG65" i="59"/>
  <c r="AG64" i="59"/>
  <c r="AF64" i="59"/>
  <c r="AF61" i="59"/>
  <c r="AF60" i="59"/>
  <c r="AG59" i="59"/>
  <c r="AG58" i="59"/>
  <c r="AF58" i="59"/>
  <c r="AF57" i="59"/>
  <c r="AF52" i="59"/>
  <c r="AG51" i="59"/>
  <c r="AF51" i="59"/>
  <c r="AG50" i="59"/>
  <c r="AF50" i="59"/>
  <c r="AG49" i="59"/>
  <c r="AF49" i="59"/>
  <c r="AG47" i="59"/>
  <c r="AF47" i="59"/>
  <c r="AG46" i="59"/>
  <c r="AF46" i="59"/>
  <c r="AG45" i="59"/>
  <c r="AF45" i="59"/>
  <c r="AG44" i="59"/>
  <c r="AF44" i="59"/>
  <c r="AG42" i="59"/>
  <c r="AF42" i="59"/>
  <c r="AF41" i="59"/>
  <c r="AG40" i="59"/>
  <c r="AF40" i="59"/>
  <c r="AF38" i="59"/>
  <c r="AF37" i="59"/>
  <c r="AF36" i="59"/>
  <c r="AG35" i="59"/>
  <c r="AF35" i="59"/>
  <c r="AG34" i="59"/>
  <c r="AF34" i="59"/>
  <c r="AG33" i="59"/>
  <c r="AF33" i="59"/>
  <c r="AG30" i="59"/>
  <c r="AG29" i="59"/>
  <c r="AG28" i="59"/>
  <c r="AF28" i="59"/>
  <c r="AG27" i="59"/>
  <c r="AG26" i="59"/>
  <c r="AG25" i="59"/>
  <c r="AG24" i="59"/>
  <c r="AG23" i="59"/>
  <c r="AG20" i="59"/>
  <c r="AG19" i="59"/>
  <c r="AG18" i="59"/>
  <c r="AG17" i="59"/>
  <c r="AG16" i="59"/>
  <c r="AG12" i="59"/>
  <c r="AF12" i="59"/>
  <c r="AF11" i="59"/>
  <c r="AC72" i="36"/>
  <c r="AC64" i="36" s="1"/>
  <c r="AC71" i="36"/>
  <c r="AC69" i="36"/>
  <c r="AC61" i="36" s="1"/>
  <c r="AC63" i="36" s="1"/>
  <c r="AC67" i="36"/>
  <c r="AC59" i="36" s="1"/>
  <c r="AC66" i="36"/>
  <c r="AC58" i="36" s="1"/>
  <c r="AD64" i="36"/>
  <c r="AD72" i="36" s="1"/>
  <c r="AD62" i="36"/>
  <c r="AD70" i="36" s="1"/>
  <c r="AD61" i="36"/>
  <c r="AD69" i="36" s="1"/>
  <c r="AD59" i="36"/>
  <c r="AD67" i="36" s="1"/>
  <c r="AD58" i="36"/>
  <c r="AD66" i="36" s="1"/>
  <c r="AD57" i="36"/>
  <c r="AD17" i="36" s="1"/>
  <c r="AG54" i="59" s="1"/>
  <c r="AD56" i="36"/>
  <c r="AD16" i="36" s="1"/>
  <c r="AD33" i="36"/>
  <c r="AD40" i="36" s="1"/>
  <c r="AC33" i="36"/>
  <c r="AC29" i="36"/>
  <c r="AB7" i="15" s="1"/>
  <c r="AC28" i="36"/>
  <c r="AB6" i="15" s="1"/>
  <c r="AC27" i="36"/>
  <c r="AB5" i="15" s="1"/>
  <c r="AD26" i="36"/>
  <c r="AD24" i="36"/>
  <c r="AG74" i="59" s="1"/>
  <c r="AD23" i="36"/>
  <c r="AG71" i="59" s="1"/>
  <c r="AC23" i="36"/>
  <c r="AF71" i="59" s="1"/>
  <c r="AD22" i="36"/>
  <c r="AG67" i="59" s="1"/>
  <c r="AC22" i="36"/>
  <c r="AF67" i="59" s="1"/>
  <c r="AD21" i="36"/>
  <c r="AG63" i="59" s="1"/>
  <c r="AC21" i="36"/>
  <c r="AF63" i="59" s="1"/>
  <c r="AC17" i="36"/>
  <c r="AC90" i="9" s="1"/>
  <c r="AC16" i="36"/>
  <c r="AC13" i="36"/>
  <c r="AF39" i="59" s="1"/>
  <c r="AD12" i="36"/>
  <c r="AG38" i="59" s="1"/>
  <c r="AD11" i="36"/>
  <c r="AG37" i="59" s="1"/>
  <c r="AD10" i="36"/>
  <c r="AG36" i="59" s="1"/>
  <c r="AC9" i="36"/>
  <c r="AF10" i="59" s="1"/>
  <c r="AC8" i="36"/>
  <c r="AF9" i="59" s="1"/>
  <c r="AC7" i="36"/>
  <c r="AF8" i="59" s="1"/>
  <c r="AC5" i="36"/>
  <c r="AC13" i="49" s="1"/>
  <c r="AD28" i="21"/>
  <c r="AC27" i="21"/>
  <c r="AD24" i="21"/>
  <c r="AD25" i="21" s="1"/>
  <c r="AD18" i="21"/>
  <c r="AD15" i="21"/>
  <c r="AD12" i="21"/>
  <c r="AC12" i="21"/>
  <c r="AD30" i="35"/>
  <c r="AD203" i="10" s="1"/>
  <c r="AC42" i="35"/>
  <c r="AD40" i="35"/>
  <c r="AD39" i="35"/>
  <c r="AG76" i="59" s="1"/>
  <c r="AC39" i="35"/>
  <c r="AD36" i="35"/>
  <c r="AD48" i="35" s="1"/>
  <c r="AC36" i="35"/>
  <c r="AC37" i="28" s="1"/>
  <c r="AD32" i="35"/>
  <c r="AD31" i="35"/>
  <c r="AC33" i="35"/>
  <c r="AD26" i="35"/>
  <c r="AD34" i="36" s="1"/>
  <c r="AC26" i="35"/>
  <c r="AC34" i="36" s="1"/>
  <c r="AC35" i="36" s="1"/>
  <c r="AC21" i="35"/>
  <c r="AC26" i="9" s="1"/>
  <c r="AD20" i="35"/>
  <c r="AC20" i="35"/>
  <c r="AD19" i="35"/>
  <c r="AC19" i="35"/>
  <c r="AD14" i="35"/>
  <c r="AD5" i="36" s="1"/>
  <c r="AD13" i="35"/>
  <c r="AD11" i="35"/>
  <c r="AD10" i="6" s="1"/>
  <c r="AC10" i="35"/>
  <c r="AC9" i="35"/>
  <c r="AC8" i="35"/>
  <c r="AD7" i="35"/>
  <c r="AD6" i="6" s="1"/>
  <c r="AD6" i="35"/>
  <c r="AD5" i="6" s="1"/>
  <c r="AD98" i="6" s="1"/>
  <c r="AD104" i="6" s="1"/>
  <c r="AD106" i="6" s="1"/>
  <c r="AD145" i="6" s="1"/>
  <c r="AG15" i="59" s="1"/>
  <c r="AD555" i="28" l="1"/>
  <c r="AN555" i="28" s="1"/>
  <c r="BD555" i="28" s="1"/>
  <c r="AD556" i="28"/>
  <c r="AN556" i="28" s="1"/>
  <c r="BD556" i="28" s="1"/>
  <c r="AC526" i="28"/>
  <c r="AM526" i="28" s="1"/>
  <c r="AC31" i="28"/>
  <c r="AM37" i="28"/>
  <c r="AC77" i="28"/>
  <c r="AM502" i="28"/>
  <c r="AD53" i="7"/>
  <c r="AD77" i="7" s="1"/>
  <c r="AD144" i="6"/>
  <c r="AC6" i="73"/>
  <c r="AC37" i="77"/>
  <c r="AM37" i="77" s="1"/>
  <c r="BC37" i="77" s="1"/>
  <c r="AM42" i="77"/>
  <c r="BC42" i="77" s="1"/>
  <c r="AD147" i="6"/>
  <c r="AC118" i="73"/>
  <c r="AC34" i="8"/>
  <c r="AD175" i="6"/>
  <c r="AC172" i="6"/>
  <c r="AD71" i="8"/>
  <c r="AC37" i="8"/>
  <c r="AC36" i="8"/>
  <c r="AC63" i="8"/>
  <c r="AC145" i="6"/>
  <c r="AD103" i="7"/>
  <c r="AG31" i="59"/>
  <c r="AM209" i="73"/>
  <c r="BC209" i="73" s="1"/>
  <c r="AM229" i="73"/>
  <c r="BC229" i="73" s="1"/>
  <c r="AM240" i="73"/>
  <c r="BC240" i="73" s="1"/>
  <c r="AD172" i="6"/>
  <c r="AM242" i="73"/>
  <c r="BC242" i="73" s="1"/>
  <c r="AC140" i="6"/>
  <c r="AC205" i="6" s="1"/>
  <c r="AC147" i="6"/>
  <c r="AC144" i="6"/>
  <c r="AD140" i="6"/>
  <c r="AD205" i="6" s="1"/>
  <c r="AC175" i="6"/>
  <c r="AC173" i="6"/>
  <c r="AD173" i="6"/>
  <c r="AG22" i="59" s="1"/>
  <c r="AM132" i="73"/>
  <c r="BC132" i="73" s="1"/>
  <c r="AM220" i="73"/>
  <c r="BC220" i="73" s="1"/>
  <c r="AG41" i="59"/>
  <c r="AG43" i="59" s="1"/>
  <c r="AD121" i="8"/>
  <c r="AC103" i="7"/>
  <c r="AD35" i="36"/>
  <c r="AD36" i="36" s="1"/>
  <c r="AD38" i="36" s="1"/>
  <c r="AD30" i="36" s="1"/>
  <c r="AG80" i="59" s="1"/>
  <c r="AD41" i="36"/>
  <c r="AD43" i="36" s="1"/>
  <c r="AD31" i="36" s="1"/>
  <c r="AC122" i="90"/>
  <c r="AC12" i="15"/>
  <c r="AC13" i="15" s="1"/>
  <c r="AC14" i="15" s="1"/>
  <c r="AC60" i="36"/>
  <c r="AC68" i="36"/>
  <c r="AC110" i="8"/>
  <c r="AC112" i="8" s="1"/>
  <c r="AF6" i="59"/>
  <c r="AC11" i="35"/>
  <c r="AC10" i="6" s="1"/>
  <c r="AC8" i="6"/>
  <c r="AF77" i="59"/>
  <c r="AC14" i="35"/>
  <c r="AC9" i="6"/>
  <c r="AC56" i="36"/>
  <c r="AC89" i="9"/>
  <c r="AC91" i="9" s="1"/>
  <c r="AF53" i="59"/>
  <c r="AF54" i="59"/>
  <c r="AF78" i="59"/>
  <c r="AC57" i="36"/>
  <c r="AF79" i="59"/>
  <c r="AC95" i="9"/>
  <c r="AB130" i="26"/>
  <c r="AC34" i="22"/>
  <c r="AC69" i="9"/>
  <c r="AC68" i="9"/>
  <c r="AC63" i="9"/>
  <c r="AC27" i="9"/>
  <c r="AC7" i="9"/>
  <c r="AC59" i="9"/>
  <c r="AC58" i="9"/>
  <c r="AC56" i="9"/>
  <c r="AC61" i="9"/>
  <c r="AC65" i="9"/>
  <c r="AC66" i="9"/>
  <c r="AC67" i="9"/>
  <c r="AC92" i="9"/>
  <c r="AC100" i="9"/>
  <c r="AC55" i="9"/>
  <c r="AC19" i="9"/>
  <c r="AC64" i="9"/>
  <c r="AC70" i="9"/>
  <c r="AC137" i="73"/>
  <c r="AC5" i="73"/>
  <c r="AC48" i="35"/>
  <c r="AD71" i="36"/>
  <c r="AD63" i="36"/>
  <c r="AD68" i="36"/>
  <c r="AD77" i="9"/>
  <c r="AD16" i="6"/>
  <c r="AD18" i="6"/>
  <c r="AD17" i="6"/>
  <c r="AD15" i="6"/>
  <c r="AD7" i="6"/>
  <c r="AD8" i="35"/>
  <c r="AD41" i="35"/>
  <c r="AD97" i="11"/>
  <c r="AD33" i="35"/>
  <c r="AD37" i="35" s="1"/>
  <c r="AC26" i="21"/>
  <c r="AC28" i="21" s="1"/>
  <c r="AC22" i="21"/>
  <c r="AD74" i="9"/>
  <c r="AG53" i="59"/>
  <c r="AD18" i="36"/>
  <c r="AG55" i="59" s="1"/>
  <c r="AD60" i="36"/>
  <c r="AG48" i="59"/>
  <c r="AD13" i="36"/>
  <c r="AG39" i="59" s="1"/>
  <c r="AD35" i="8"/>
  <c r="AD70" i="8"/>
  <c r="AF43" i="59"/>
  <c r="AF48" i="59"/>
  <c r="AF29" i="59"/>
  <c r="AC77" i="7"/>
  <c r="AC63" i="7"/>
  <c r="AD13" i="49"/>
  <c r="AG6" i="59"/>
  <c r="AC35" i="6"/>
  <c r="AD146" i="6"/>
  <c r="AD7" i="36" s="1"/>
  <c r="AG8" i="59" s="1"/>
  <c r="AD15" i="35"/>
  <c r="AC36" i="36"/>
  <c r="AC38" i="36" s="1"/>
  <c r="AC30" i="36" s="1"/>
  <c r="AF80" i="59" s="1"/>
  <c r="AD20" i="21"/>
  <c r="AC15" i="21"/>
  <c r="AC13" i="35"/>
  <c r="AC37" i="35"/>
  <c r="AC41" i="35"/>
  <c r="AC212" i="6" l="1"/>
  <c r="AC217" i="6"/>
  <c r="AC218" i="6" s="1"/>
  <c r="AC204" i="6"/>
  <c r="AD63" i="7"/>
  <c r="AM558" i="28"/>
  <c r="BC502" i="28"/>
  <c r="AC93" i="28"/>
  <c r="AM93" i="28" s="1"/>
  <c r="AM77" i="28"/>
  <c r="BC77" i="28" s="1"/>
  <c r="AC78" i="28"/>
  <c r="AM552" i="28"/>
  <c r="BC37" i="28"/>
  <c r="AM550" i="28"/>
  <c r="AC63" i="28"/>
  <c r="AM31" i="28"/>
  <c r="BC31" i="28" s="1"/>
  <c r="AM529" i="28"/>
  <c r="AM530" i="28"/>
  <c r="BC526" i="28"/>
  <c r="AC146" i="6"/>
  <c r="AC174" i="6"/>
  <c r="AD207" i="6"/>
  <c r="AC211" i="6"/>
  <c r="AC35" i="8"/>
  <c r="AC206" i="6"/>
  <c r="AD213" i="6"/>
  <c r="AD203" i="6"/>
  <c r="AD214" i="6"/>
  <c r="AC208" i="6"/>
  <c r="AC214" i="6"/>
  <c r="AD208" i="6"/>
  <c r="AC203" i="6"/>
  <c r="AD197" i="6"/>
  <c r="AD204" i="6"/>
  <c r="AD174" i="6"/>
  <c r="AD8" i="36" s="1"/>
  <c r="AG9" i="59" s="1"/>
  <c r="AD211" i="6"/>
  <c r="AD212" i="6"/>
  <c r="AD206" i="6"/>
  <c r="AD209" i="6"/>
  <c r="AC207" i="6"/>
  <c r="AD217" i="6"/>
  <c r="AC209" i="6"/>
  <c r="AC213" i="6"/>
  <c r="AC49" i="35"/>
  <c r="AC55" i="35" s="1"/>
  <c r="AD199" i="6"/>
  <c r="AD124" i="8"/>
  <c r="AD122" i="8"/>
  <c r="AD126" i="8" s="1"/>
  <c r="AD127" i="8" s="1"/>
  <c r="AC15" i="35"/>
  <c r="AC57" i="9"/>
  <c r="AC126" i="90"/>
  <c r="AD19" i="36"/>
  <c r="AG56" i="59" s="1"/>
  <c r="AC60" i="9"/>
  <c r="AC22" i="22"/>
  <c r="AC7" i="22"/>
  <c r="AD79" i="9"/>
  <c r="AD194" i="6"/>
  <c r="AD189" i="6"/>
  <c r="AD168" i="6"/>
  <c r="AD164" i="6"/>
  <c r="AD19" i="6"/>
  <c r="AD25" i="36"/>
  <c r="AG75" i="59" s="1"/>
  <c r="W82" i="77"/>
  <c r="AI82" i="77" s="1"/>
  <c r="AC69" i="28" l="1"/>
  <c r="AM69" i="28" s="1"/>
  <c r="AM63" i="28"/>
  <c r="BC63" i="28" s="1"/>
  <c r="AC62" i="9"/>
  <c r="AM551" i="28"/>
  <c r="BC93" i="28"/>
  <c r="BC551" i="28" s="1"/>
  <c r="BC550" i="28"/>
  <c r="BC552" i="28"/>
  <c r="AC97" i="28"/>
  <c r="AM97" i="28" s="1"/>
  <c r="BC97" i="28" s="1"/>
  <c r="AM78" i="28"/>
  <c r="BC558" i="28"/>
  <c r="BC529" i="28"/>
  <c r="AC215" i="6"/>
  <c r="AD210" i="6"/>
  <c r="AC210" i="6"/>
  <c r="AC216" i="6" s="1"/>
  <c r="AC219" i="6" s="1"/>
  <c r="AD218" i="6"/>
  <c r="AD215" i="6"/>
  <c r="AG11" i="59" s="1"/>
  <c r="AD81" i="6"/>
  <c r="AD130" i="8"/>
  <c r="AD131" i="8"/>
  <c r="AD144" i="8" s="1"/>
  <c r="AD132" i="8"/>
  <c r="AD145" i="8" s="1"/>
  <c r="AC8" i="22"/>
  <c r="AC23" i="22"/>
  <c r="AA82" i="77"/>
  <c r="BE82" i="77" s="1"/>
  <c r="Y82" i="77"/>
  <c r="AO82" i="77"/>
  <c r="AS82" i="77"/>
  <c r="AE82" i="77"/>
  <c r="AW82" i="77"/>
  <c r="AD84" i="6"/>
  <c r="AD38" i="6"/>
  <c r="AD40" i="6"/>
  <c r="AD39" i="6"/>
  <c r="AD37" i="6"/>
  <c r="T82" i="77"/>
  <c r="BC78" i="28" l="1"/>
  <c r="BC530" i="28"/>
  <c r="BC69" i="28"/>
  <c r="AD216" i="6"/>
  <c r="AD219" i="6" s="1"/>
  <c r="AD133" i="8"/>
  <c r="AD146" i="8" s="1"/>
  <c r="AD143" i="8"/>
  <c r="AC25" i="22"/>
  <c r="AC10" i="22"/>
  <c r="AD41" i="6"/>
  <c r="AD9" i="36" l="1"/>
  <c r="AG10" i="59" s="1"/>
  <c r="AC11" i="22"/>
  <c r="AC26" i="22"/>
  <c r="L55" i="6"/>
  <c r="L56" i="6"/>
  <c r="AC28" i="22" l="1"/>
  <c r="AC13" i="22"/>
  <c r="F56" i="6"/>
  <c r="F55" i="6"/>
  <c r="Z186" i="10" l="1"/>
  <c r="AB186" i="10" s="1"/>
  <c r="AF186" i="10" s="1"/>
  <c r="AJ186" i="10" s="1"/>
  <c r="AP186" i="10" s="1"/>
  <c r="AT186" i="10" s="1"/>
  <c r="AX186" i="10" s="1"/>
  <c r="BF186" i="10" l="1"/>
  <c r="X77" i="77"/>
  <c r="X76" i="77"/>
  <c r="X75" i="77"/>
  <c r="X74" i="77"/>
  <c r="X73" i="77"/>
  <c r="X72" i="77"/>
  <c r="X70" i="77"/>
  <c r="X69" i="77"/>
  <c r="X68" i="77"/>
  <c r="X67" i="77"/>
  <c r="X66" i="77"/>
  <c r="X65" i="77"/>
  <c r="X64" i="77"/>
  <c r="X63" i="77"/>
  <c r="X62" i="77"/>
  <c r="Z62" i="77" s="1"/>
  <c r="AD62" i="77" s="1"/>
  <c r="X61" i="77"/>
  <c r="X60" i="77"/>
  <c r="X58" i="77"/>
  <c r="X57" i="77"/>
  <c r="X56" i="77"/>
  <c r="X55" i="77"/>
  <c r="X54" i="77"/>
  <c r="X52" i="77"/>
  <c r="X51" i="77"/>
  <c r="X50" i="77"/>
  <c r="X49" i="77"/>
  <c r="X48" i="77"/>
  <c r="X47" i="77"/>
  <c r="X46" i="77"/>
  <c r="X45" i="77"/>
  <c r="X44" i="77"/>
  <c r="Z44" i="77" s="1"/>
  <c r="AD44" i="77" s="1"/>
  <c r="X43" i="77"/>
  <c r="X35" i="77"/>
  <c r="X34" i="77"/>
  <c r="X33" i="77"/>
  <c r="X31" i="77"/>
  <c r="X30" i="77"/>
  <c r="X29" i="77"/>
  <c r="X28" i="77"/>
  <c r="X27" i="77"/>
  <c r="X25" i="77"/>
  <c r="X24" i="77"/>
  <c r="X23" i="77"/>
  <c r="X22" i="77"/>
  <c r="X20" i="77"/>
  <c r="X19" i="77"/>
  <c r="X21" i="77" s="1"/>
  <c r="X18" i="77"/>
  <c r="X17" i="77"/>
  <c r="X16" i="77"/>
  <c r="X15" i="77"/>
  <c r="X14" i="77"/>
  <c r="X12" i="77"/>
  <c r="X11" i="77"/>
  <c r="X10" i="77"/>
  <c r="X13" i="77" s="1"/>
  <c r="X9" i="77"/>
  <c r="X8" i="77"/>
  <c r="X6" i="77"/>
  <c r="X5" i="77"/>
  <c r="X26" i="77" l="1"/>
  <c r="X36" i="77"/>
  <c r="X71" i="77"/>
  <c r="X53" i="77"/>
  <c r="X32" i="77"/>
  <c r="G28" i="83"/>
  <c r="I28" i="83"/>
  <c r="M28" i="83"/>
  <c r="Q28" i="83"/>
  <c r="U28" i="83"/>
  <c r="Y28" i="83"/>
  <c r="AE28" i="83"/>
  <c r="AM28" i="83"/>
  <c r="AS28" i="83"/>
  <c r="BA28" i="83"/>
  <c r="Y20" i="39"/>
  <c r="Z20" i="39"/>
  <c r="AO28" i="83" l="1"/>
  <c r="BC28" i="83"/>
  <c r="AA28" i="83"/>
  <c r="K28" i="83"/>
  <c r="O28" i="83"/>
  <c r="Y244" i="73"/>
  <c r="Y243" i="73"/>
  <c r="Y241" i="73"/>
  <c r="Y239" i="73"/>
  <c r="Y238" i="73"/>
  <c r="Y237" i="73"/>
  <c r="Y236" i="73"/>
  <c r="Y235" i="73"/>
  <c r="Y234" i="73"/>
  <c r="Y233" i="73"/>
  <c r="Y230" i="73"/>
  <c r="Y228" i="73"/>
  <c r="Y227" i="73"/>
  <c r="Y226" i="73"/>
  <c r="Y225" i="73"/>
  <c r="Y224" i="73"/>
  <c r="Y223" i="73"/>
  <c r="Y222" i="73"/>
  <c r="Y221" i="73"/>
  <c r="Y219" i="73"/>
  <c r="Y218" i="73"/>
  <c r="Y217" i="73"/>
  <c r="Y216" i="73"/>
  <c r="Y215" i="73"/>
  <c r="Y213" i="73"/>
  <c r="Y212" i="73"/>
  <c r="Y211" i="73"/>
  <c r="Y210" i="73"/>
  <c r="Y133" i="73"/>
  <c r="Y93" i="73"/>
  <c r="Y214" i="73" l="1"/>
  <c r="AC28" i="83"/>
  <c r="AG28" i="83" s="1"/>
  <c r="AK28" i="83" s="1"/>
  <c r="AQ28" i="83" s="1"/>
  <c r="AU28" i="83" s="1"/>
  <c r="AY28" i="83" s="1"/>
  <c r="BG28" i="83" s="1"/>
  <c r="BE28" i="83"/>
  <c r="S28" i="83"/>
  <c r="W28" i="83" s="1"/>
  <c r="X103" i="9" l="1"/>
  <c r="Y81" i="17"/>
  <c r="AA81" i="17" s="1"/>
  <c r="AE81" i="17" s="1"/>
  <c r="AI81" i="17" s="1"/>
  <c r="AO81" i="17" s="1"/>
  <c r="AS81" i="17" s="1"/>
  <c r="AW81" i="17" s="1"/>
  <c r="Y80" i="17"/>
  <c r="AA80" i="17" s="1"/>
  <c r="AE80" i="17" s="1"/>
  <c r="AI80" i="17" s="1"/>
  <c r="AO80" i="17" s="1"/>
  <c r="AS80" i="17" s="1"/>
  <c r="AW80" i="17" s="1"/>
  <c r="W57" i="17"/>
  <c r="W56" i="17"/>
  <c r="W55" i="17"/>
  <c r="W54" i="17"/>
  <c r="W53" i="17"/>
  <c r="V53" i="17"/>
  <c r="W44" i="17"/>
  <c r="V44" i="17"/>
  <c r="W37" i="17"/>
  <c r="W39" i="17" s="1"/>
  <c r="V37" i="17"/>
  <c r="V39" i="17" s="1"/>
  <c r="V31" i="17"/>
  <c r="W29" i="17"/>
  <c r="W30" i="17" s="1"/>
  <c r="V28" i="17"/>
  <c r="V25" i="17"/>
  <c r="W22" i="17"/>
  <c r="W23" i="17" s="1"/>
  <c r="V22" i="17"/>
  <c r="W19" i="17"/>
  <c r="V18" i="17"/>
  <c r="W17" i="17"/>
  <c r="V16" i="17"/>
  <c r="W14" i="17"/>
  <c r="W20" i="17" s="1"/>
  <c r="V14" i="17"/>
  <c r="W13" i="17"/>
  <c r="W11" i="17"/>
  <c r="W9" i="17"/>
  <c r="V85" i="17" l="1"/>
  <c r="W85" i="17"/>
  <c r="W32" i="17"/>
  <c r="V29" i="17"/>
  <c r="V32" i="17" s="1"/>
  <c r="V20" i="17"/>
  <c r="W24" i="17"/>
  <c r="W21" i="17"/>
  <c r="W25" i="17" s="1"/>
  <c r="W15" i="17"/>
  <c r="V30" i="17" l="1"/>
  <c r="V24" i="17"/>
  <c r="Y129" i="73" l="1"/>
  <c r="T85" i="10" l="1"/>
  <c r="T136" i="10"/>
  <c r="V15" i="26"/>
  <c r="X23" i="10" l="1"/>
  <c r="X30" i="10"/>
  <c r="X25" i="10"/>
  <c r="Y29" i="50" s="1"/>
  <c r="X24" i="10"/>
  <c r="Y27" i="50" s="1"/>
  <c r="X28" i="10"/>
  <c r="Y114" i="50" s="1"/>
  <c r="AA114" i="50" s="1"/>
  <c r="AC114" i="50" s="1"/>
  <c r="AG114" i="50" s="1"/>
  <c r="AK114" i="50" s="1"/>
  <c r="AQ114" i="50" s="1"/>
  <c r="AU114" i="50" s="1"/>
  <c r="AY114" i="50" s="1"/>
  <c r="BG114" i="50" s="1"/>
  <c r="X33" i="10"/>
  <c r="X14" i="10"/>
  <c r="Y6" i="50" s="1"/>
  <c r="X12" i="10"/>
  <c r="O6" i="45"/>
  <c r="W6" i="45"/>
  <c r="AA6" i="45"/>
  <c r="Y5" i="45"/>
  <c r="U5" i="45"/>
  <c r="W5" i="45" s="1"/>
  <c r="Q5" i="45"/>
  <c r="M5" i="45"/>
  <c r="I5" i="45"/>
  <c r="G5" i="45"/>
  <c r="AA5" i="45" l="1"/>
  <c r="AC6" i="45"/>
  <c r="O5" i="45"/>
  <c r="AC5" i="45" s="1"/>
  <c r="X199" i="10"/>
  <c r="Y9" i="50"/>
  <c r="W100" i="90" l="1"/>
  <c r="W91" i="90"/>
  <c r="W117" i="90" l="1"/>
  <c r="W129" i="90"/>
  <c r="V27" i="27"/>
  <c r="V26" i="27"/>
  <c r="V21" i="27"/>
  <c r="V18" i="27"/>
  <c r="V20" i="27"/>
  <c r="V19" i="27"/>
  <c r="W37" i="27"/>
  <c r="W35" i="27"/>
  <c r="W27" i="27"/>
  <c r="W29" i="27"/>
  <c r="W28" i="27"/>
  <c r="W20" i="27"/>
  <c r="W19" i="27"/>
  <c r="W18" i="27"/>
  <c r="W36" i="27" l="1"/>
  <c r="W39" i="27" s="1"/>
  <c r="V39" i="27"/>
  <c r="V33" i="27"/>
  <c r="W26" i="27"/>
  <c r="W33" i="27" s="1"/>
  <c r="W22" i="27"/>
  <c r="W21" i="27"/>
  <c r="V24" i="27"/>
  <c r="W31" i="15"/>
  <c r="W30" i="15"/>
  <c r="W29" i="15"/>
  <c r="W25" i="15"/>
  <c r="W24" i="15"/>
  <c r="W23" i="15"/>
  <c r="W22" i="15"/>
  <c r="W21" i="15"/>
  <c r="V19" i="15"/>
  <c r="W18" i="15"/>
  <c r="W15" i="15"/>
  <c r="V12" i="15"/>
  <c r="V13" i="15" s="1"/>
  <c r="W10" i="15"/>
  <c r="W9" i="15"/>
  <c r="V9" i="15"/>
  <c r="W8" i="15"/>
  <c r="V8" i="15"/>
  <c r="W7" i="15"/>
  <c r="W6" i="15"/>
  <c r="W5" i="15"/>
  <c r="W24" i="27" l="1"/>
  <c r="W32" i="15"/>
  <c r="X29" i="22"/>
  <c r="X25" i="22"/>
  <c r="X24" i="22"/>
  <c r="X14" i="22"/>
  <c r="X10" i="22"/>
  <c r="X9" i="22"/>
  <c r="X12" i="22" l="1"/>
  <c r="X27" i="22"/>
  <c r="AB94" i="38"/>
  <c r="AB93" i="38"/>
  <c r="AB92" i="38"/>
  <c r="AB91" i="38"/>
  <c r="AA90" i="38"/>
  <c r="AB89" i="38"/>
  <c r="AA88" i="38"/>
  <c r="AB86" i="38"/>
  <c r="AB85" i="38"/>
  <c r="AB84" i="38"/>
  <c r="AB83" i="38"/>
  <c r="AA82" i="38"/>
  <c r="AB80" i="38"/>
  <c r="AB79" i="38"/>
  <c r="AB78" i="38"/>
  <c r="AB77" i="38"/>
  <c r="AB76" i="38"/>
  <c r="AB75" i="38"/>
  <c r="AB74" i="38"/>
  <c r="AB73" i="38"/>
  <c r="AB72" i="38"/>
  <c r="AB71" i="38"/>
  <c r="AB70" i="38"/>
  <c r="AB69" i="38"/>
  <c r="AB68" i="38"/>
  <c r="AB67" i="38"/>
  <c r="AA66" i="38"/>
  <c r="AB62" i="38"/>
  <c r="AB61" i="38"/>
  <c r="AA60" i="38"/>
  <c r="AB59" i="38"/>
  <c r="AB58" i="38"/>
  <c r="AB57" i="38"/>
  <c r="AB56" i="38"/>
  <c r="AB55" i="38"/>
  <c r="AA54" i="38"/>
  <c r="AA52" i="38"/>
  <c r="AB51" i="38"/>
  <c r="AA51" i="38"/>
  <c r="AA46" i="38"/>
  <c r="AA45" i="38"/>
  <c r="AA44" i="38"/>
  <c r="AA43" i="38"/>
  <c r="AB42" i="38"/>
  <c r="AB90" i="38" s="1"/>
  <c r="AA41" i="38"/>
  <c r="AA40" i="38" s="1"/>
  <c r="AB40" i="38"/>
  <c r="AB88" i="38" s="1"/>
  <c r="AA38" i="38"/>
  <c r="AA37" i="38"/>
  <c r="AA36" i="38"/>
  <c r="AA35" i="38"/>
  <c r="AB34" i="38"/>
  <c r="AB82" i="38" s="1"/>
  <c r="AA32" i="38"/>
  <c r="AA31" i="38"/>
  <c r="AA30" i="38"/>
  <c r="AA29" i="38"/>
  <c r="AA28" i="38"/>
  <c r="AA27" i="38"/>
  <c r="AA26" i="38"/>
  <c r="AA25" i="38"/>
  <c r="AA24" i="38"/>
  <c r="AA23" i="38"/>
  <c r="AA22" i="38"/>
  <c r="AA21" i="38"/>
  <c r="AA20" i="38"/>
  <c r="AA19" i="38"/>
  <c r="AB18" i="38"/>
  <c r="AB66" i="38" s="1"/>
  <c r="AA14" i="38"/>
  <c r="AA13" i="38"/>
  <c r="AB12" i="38"/>
  <c r="AB60" i="38" s="1"/>
  <c r="AA11" i="38"/>
  <c r="AA10" i="38"/>
  <c r="AA9" i="38"/>
  <c r="AA8" i="38"/>
  <c r="AA7" i="38"/>
  <c r="AB6" i="38"/>
  <c r="W112" i="26"/>
  <c r="V110" i="26"/>
  <c r="V108" i="26"/>
  <c r="V106" i="26"/>
  <c r="V104" i="26"/>
  <c r="V102" i="26"/>
  <c r="V100" i="26"/>
  <c r="V98" i="26"/>
  <c r="V96" i="26"/>
  <c r="W92" i="26"/>
  <c r="V89" i="26"/>
  <c r="V87" i="26"/>
  <c r="V85" i="26"/>
  <c r="V83" i="26"/>
  <c r="W81" i="26"/>
  <c r="W80" i="26"/>
  <c r="V78" i="26"/>
  <c r="V76" i="26"/>
  <c r="W73" i="26"/>
  <c r="V71" i="26"/>
  <c r="V69" i="26"/>
  <c r="V67" i="26"/>
  <c r="V65" i="26"/>
  <c r="V63" i="26"/>
  <c r="V61" i="26"/>
  <c r="V59" i="26"/>
  <c r="V57" i="26"/>
  <c r="V52" i="26"/>
  <c r="V50" i="26"/>
  <c r="W48" i="26"/>
  <c r="V46" i="26"/>
  <c r="W43" i="26"/>
  <c r="V41" i="26"/>
  <c r="V39" i="26"/>
  <c r="V37" i="26"/>
  <c r="V35" i="26"/>
  <c r="V33" i="26"/>
  <c r="V31" i="26"/>
  <c r="V29" i="26"/>
  <c r="V27" i="26"/>
  <c r="V25" i="26"/>
  <c r="V23" i="26"/>
  <c r="V21" i="26"/>
  <c r="V17" i="26"/>
  <c r="W12" i="26"/>
  <c r="V11" i="26"/>
  <c r="V9" i="26"/>
  <c r="AA9" i="45"/>
  <c r="AA10" i="45"/>
  <c r="AA11" i="45"/>
  <c r="AA12" i="45"/>
  <c r="AA13" i="45"/>
  <c r="AA14" i="45"/>
  <c r="AA15" i="45"/>
  <c r="AA16" i="45"/>
  <c r="AA17" i="45"/>
  <c r="AA18" i="45"/>
  <c r="AA19" i="45"/>
  <c r="AA20" i="45"/>
  <c r="AA22" i="45"/>
  <c r="AA23" i="45"/>
  <c r="AA24" i="45"/>
  <c r="AA25" i="45"/>
  <c r="AA27" i="45"/>
  <c r="AA28" i="45"/>
  <c r="AA29" i="45"/>
  <c r="AA30" i="45"/>
  <c r="AA32" i="45"/>
  <c r="AA33" i="45"/>
  <c r="AA34" i="45"/>
  <c r="AA35" i="45"/>
  <c r="AA36" i="45"/>
  <c r="AA37" i="45"/>
  <c r="AA38" i="45"/>
  <c r="AA39" i="45"/>
  <c r="AA40" i="45"/>
  <c r="AA41" i="45"/>
  <c r="AA42" i="45"/>
  <c r="AA43" i="45"/>
  <c r="AA44" i="45"/>
  <c r="AA45" i="45"/>
  <c r="AA46" i="45"/>
  <c r="AA47" i="45"/>
  <c r="AA48" i="45"/>
  <c r="AA49" i="45"/>
  <c r="AA50" i="45"/>
  <c r="AA51" i="45"/>
  <c r="AA52" i="45"/>
  <c r="AA54" i="45"/>
  <c r="AA55" i="45"/>
  <c r="AA56" i="45"/>
  <c r="AA57" i="45"/>
  <c r="AA58" i="45"/>
  <c r="AA59" i="45"/>
  <c r="AA60" i="45"/>
  <c r="AA61" i="45"/>
  <c r="AA62" i="45"/>
  <c r="AA63" i="45"/>
  <c r="AA64" i="45"/>
  <c r="AA65" i="45"/>
  <c r="AA66" i="45"/>
  <c r="AA67" i="45"/>
  <c r="AA68" i="45"/>
  <c r="AA69" i="45"/>
  <c r="AA70" i="45"/>
  <c r="AA71" i="45"/>
  <c r="AA72" i="45"/>
  <c r="AA73" i="45"/>
  <c r="AA74" i="45"/>
  <c r="AA75" i="45"/>
  <c r="AA76" i="45"/>
  <c r="AA77" i="45"/>
  <c r="AA78" i="45"/>
  <c r="AA79" i="45"/>
  <c r="AA83" i="45"/>
  <c r="AC83" i="45" s="1"/>
  <c r="AG83" i="45" s="1"/>
  <c r="AK83" i="45" s="1"/>
  <c r="AQ83" i="45" s="1"/>
  <c r="AU83" i="45" s="1"/>
  <c r="AY83" i="45" s="1"/>
  <c r="BG83" i="45" s="1"/>
  <c r="AA84" i="45"/>
  <c r="AC84" i="45" s="1"/>
  <c r="AG84" i="45" s="1"/>
  <c r="AK84" i="45" s="1"/>
  <c r="AQ84" i="45" s="1"/>
  <c r="AU84" i="45" s="1"/>
  <c r="AY84" i="45" s="1"/>
  <c r="BG84" i="45" s="1"/>
  <c r="AA85" i="45"/>
  <c r="AC85" i="45" s="1"/>
  <c r="AG85" i="45" s="1"/>
  <c r="AK85" i="45" s="1"/>
  <c r="AQ85" i="45" s="1"/>
  <c r="AU85" i="45" s="1"/>
  <c r="AY85" i="45" s="1"/>
  <c r="BG85" i="45" s="1"/>
  <c r="AA89" i="45"/>
  <c r="AA90" i="45"/>
  <c r="AA91" i="45"/>
  <c r="AA92" i="45"/>
  <c r="AA93" i="45"/>
  <c r="AA94" i="45"/>
  <c r="AA96" i="45"/>
  <c r="AC96" i="45" s="1"/>
  <c r="AG96" i="45" s="1"/>
  <c r="AK96" i="45" s="1"/>
  <c r="AQ96" i="45" s="1"/>
  <c r="AU96" i="45" s="1"/>
  <c r="AY96" i="45" s="1"/>
  <c r="BG96" i="45" s="1"/>
  <c r="AA97" i="45"/>
  <c r="AA98" i="45"/>
  <c r="AC101" i="45"/>
  <c r="AG101" i="45" s="1"/>
  <c r="AK101" i="45" s="1"/>
  <c r="AQ101" i="45" s="1"/>
  <c r="AU101" i="45" s="1"/>
  <c r="AY101" i="45" s="1"/>
  <c r="BG101" i="45" s="1"/>
  <c r="AA102" i="45"/>
  <c r="AA103" i="45"/>
  <c r="AA104" i="45"/>
  <c r="AA105" i="45"/>
  <c r="AA106" i="45"/>
  <c r="AA107" i="45"/>
  <c r="AA108" i="45"/>
  <c r="AA109" i="45"/>
  <c r="AA110" i="45"/>
  <c r="AA111" i="45"/>
  <c r="AA112" i="45"/>
  <c r="AA113" i="45"/>
  <c r="AA114" i="45"/>
  <c r="AA115" i="45"/>
  <c r="AA116" i="45"/>
  <c r="AA117" i="45"/>
  <c r="X3" i="8"/>
  <c r="V54" i="17" l="1"/>
  <c r="W19" i="26"/>
  <c r="V57" i="17"/>
  <c r="V55" i="17"/>
  <c r="V48" i="26"/>
  <c r="V49" i="26" s="1"/>
  <c r="W55" i="26"/>
  <c r="AA12" i="38"/>
  <c r="V56" i="17"/>
  <c r="AA166" i="45"/>
  <c r="AB17" i="38"/>
  <c r="AB65" i="38" s="1"/>
  <c r="AB15" i="38"/>
  <c r="AB63" i="38" s="1"/>
  <c r="AA165" i="45"/>
  <c r="AC75" i="45"/>
  <c r="AA167" i="45"/>
  <c r="AA164" i="45"/>
  <c r="AA163" i="45"/>
  <c r="V81" i="26"/>
  <c r="V12" i="26"/>
  <c r="V80" i="26"/>
  <c r="V92" i="26"/>
  <c r="V73" i="26"/>
  <c r="V112" i="26"/>
  <c r="V43" i="26"/>
  <c r="AA65" i="38"/>
  <c r="AA87" i="38"/>
  <c r="AA42" i="38"/>
  <c r="AA39" i="38" s="1"/>
  <c r="AA34" i="38"/>
  <c r="AA18" i="38"/>
  <c r="AA63" i="38"/>
  <c r="AA6" i="38"/>
  <c r="AB54" i="38"/>
  <c r="AB39" i="38"/>
  <c r="W18" i="26"/>
  <c r="W54" i="26"/>
  <c r="W13" i="26"/>
  <c r="W49" i="26"/>
  <c r="AE167" i="45"/>
  <c r="AD47" i="35" s="1"/>
  <c r="AN47" i="35" s="1"/>
  <c r="BD47" i="35" s="1"/>
  <c r="AD46" i="35"/>
  <c r="AN46" i="35" s="1"/>
  <c r="BD46" i="35" s="1"/>
  <c r="AE165" i="45"/>
  <c r="AD45" i="35" s="1"/>
  <c r="AE164" i="45"/>
  <c r="AD44" i="35" s="1"/>
  <c r="AE163" i="45"/>
  <c r="AD43" i="35" s="1"/>
  <c r="AE162" i="45"/>
  <c r="AD42" i="35" s="1"/>
  <c r="W31" i="72"/>
  <c r="W32" i="72"/>
  <c r="W33" i="72"/>
  <c r="W34" i="72"/>
  <c r="W35" i="72"/>
  <c r="W36" i="72"/>
  <c r="W37" i="72"/>
  <c r="K45" i="72"/>
  <c r="S45" i="72"/>
  <c r="W45" i="72"/>
  <c r="AU58" i="71"/>
  <c r="AW58" i="71"/>
  <c r="G86" i="90" s="1"/>
  <c r="BA58" i="71"/>
  <c r="K86" i="90" s="1"/>
  <c r="BE58" i="71"/>
  <c r="O86" i="90" s="1"/>
  <c r="BI58" i="71"/>
  <c r="S86" i="90" s="1"/>
  <c r="BM58" i="71"/>
  <c r="BS58" i="71"/>
  <c r="AC86" i="90" s="1"/>
  <c r="BW58" i="71"/>
  <c r="AG86" i="90" s="1"/>
  <c r="CA58" i="71"/>
  <c r="AK86" i="90" s="1"/>
  <c r="CG58" i="71"/>
  <c r="AQ86" i="90" s="1"/>
  <c r="CK58" i="71"/>
  <c r="AU86" i="90" s="1"/>
  <c r="CO58" i="71"/>
  <c r="AY86" i="90" s="1"/>
  <c r="AO7" i="71"/>
  <c r="AO8" i="71"/>
  <c r="AO9" i="71"/>
  <c r="AO10" i="71"/>
  <c r="AO11" i="71"/>
  <c r="AO12" i="71"/>
  <c r="AO13" i="71"/>
  <c r="AO14" i="71"/>
  <c r="AO15" i="71"/>
  <c r="AO16" i="71"/>
  <c r="AO17" i="71"/>
  <c r="AO18" i="71"/>
  <c r="AO19" i="71"/>
  <c r="AO20" i="71"/>
  <c r="AO21" i="71"/>
  <c r="AO22" i="71"/>
  <c r="AO25" i="71"/>
  <c r="AO26" i="71"/>
  <c r="AO27" i="71"/>
  <c r="AO28" i="71"/>
  <c r="AO29" i="71"/>
  <c r="AO30" i="71"/>
  <c r="AO33" i="71"/>
  <c r="AO34" i="71"/>
  <c r="AO35" i="71"/>
  <c r="AO36" i="71"/>
  <c r="AO37" i="71"/>
  <c r="AO38" i="71"/>
  <c r="AO39" i="71"/>
  <c r="AO40" i="71"/>
  <c r="AO41" i="71"/>
  <c r="AO42" i="71"/>
  <c r="AO43" i="71"/>
  <c r="AO45" i="71"/>
  <c r="AO46" i="71"/>
  <c r="AO47" i="71"/>
  <c r="AO48" i="71"/>
  <c r="AO49" i="71"/>
  <c r="AO51" i="71"/>
  <c r="AO52" i="71"/>
  <c r="AO53" i="71"/>
  <c r="AO54" i="71"/>
  <c r="AO55" i="71"/>
  <c r="AO56" i="71"/>
  <c r="AF58" i="71"/>
  <c r="AK58" i="71"/>
  <c r="AO58" i="71"/>
  <c r="E86" i="90" l="1"/>
  <c r="V54" i="26"/>
  <c r="AA15" i="38"/>
  <c r="V55" i="26"/>
  <c r="V19" i="26"/>
  <c r="BA86" i="90"/>
  <c r="AA17" i="38"/>
  <c r="AP58" i="71"/>
  <c r="AP17" i="71"/>
  <c r="AP43" i="71"/>
  <c r="AP12" i="71"/>
  <c r="AP19" i="71"/>
  <c r="AP25" i="71"/>
  <c r="AP45" i="71"/>
  <c r="AP35" i="71"/>
  <c r="AP10" i="71"/>
  <c r="AP46" i="71"/>
  <c r="AP34" i="71"/>
  <c r="AP7" i="71"/>
  <c r="AP30" i="71"/>
  <c r="AP33" i="71"/>
  <c r="AP42" i="71"/>
  <c r="AA64" i="38"/>
  <c r="AA96" i="38" s="1"/>
  <c r="BC58" i="71"/>
  <c r="BG58" i="71" s="1"/>
  <c r="BK58" i="71" s="1"/>
  <c r="AP28" i="71"/>
  <c r="AP41" i="71"/>
  <c r="V13" i="26"/>
  <c r="AP40" i="71"/>
  <c r="AP37" i="71"/>
  <c r="V18" i="26"/>
  <c r="AP39" i="71"/>
  <c r="Y45" i="72"/>
  <c r="AC45" i="72" s="1"/>
  <c r="AG45" i="72" s="1"/>
  <c r="AM45" i="72" s="1"/>
  <c r="AQ45" i="72" s="1"/>
  <c r="AU45" i="72" s="1"/>
  <c r="BC45" i="72" s="1"/>
  <c r="AP51" i="71"/>
  <c r="AP22" i="71"/>
  <c r="AP9" i="71"/>
  <c r="AP16" i="71"/>
  <c r="AP14" i="71"/>
  <c r="AP38" i="71"/>
  <c r="AP36" i="71"/>
  <c r="AP29" i="71"/>
  <c r="AP27" i="71"/>
  <c r="AP52" i="71"/>
  <c r="AP49" i="71"/>
  <c r="AP47" i="71"/>
  <c r="AP8" i="71"/>
  <c r="AP26" i="71"/>
  <c r="AP13" i="71"/>
  <c r="AP11" i="71"/>
  <c r="U86" i="90"/>
  <c r="AM86" i="90"/>
  <c r="BO58" i="71"/>
  <c r="W86" i="90"/>
  <c r="Y86" i="90" s="1"/>
  <c r="AP21" i="71"/>
  <c r="AP18" i="71"/>
  <c r="AA16" i="38"/>
  <c r="AA48" i="38" s="1"/>
  <c r="AP53" i="71"/>
  <c r="AP48" i="71"/>
  <c r="AP15" i="71"/>
  <c r="AP56" i="71"/>
  <c r="AP55" i="71"/>
  <c r="AP20" i="71"/>
  <c r="AG75" i="45"/>
  <c r="AK75" i="45" s="1"/>
  <c r="AQ75" i="45" s="1"/>
  <c r="AU75" i="45" s="1"/>
  <c r="AY75" i="45" s="1"/>
  <c r="BG75" i="45" s="1"/>
  <c r="AP54" i="71"/>
  <c r="AG58" i="71"/>
  <c r="AD49" i="35"/>
  <c r="AD55" i="35" s="1"/>
  <c r="AB87" i="38"/>
  <c r="AB16" i="38"/>
  <c r="CU58" i="71"/>
  <c r="CC58" i="71"/>
  <c r="CQ58" i="71"/>
  <c r="BM7" i="71"/>
  <c r="BM8" i="71"/>
  <c r="BM9" i="71"/>
  <c r="W68" i="90" s="1"/>
  <c r="BM10" i="71"/>
  <c r="BM11" i="71"/>
  <c r="BM12" i="71"/>
  <c r="BM13" i="71"/>
  <c r="BM14" i="71"/>
  <c r="BM15" i="71"/>
  <c r="BM16" i="71"/>
  <c r="BM17" i="71"/>
  <c r="BM18" i="71"/>
  <c r="BM19" i="71"/>
  <c r="W69" i="90" s="1"/>
  <c r="BM20" i="71"/>
  <c r="W70" i="90" s="1"/>
  <c r="BM21" i="71"/>
  <c r="W71" i="90" s="1"/>
  <c r="BM22" i="71"/>
  <c r="W72" i="90" s="1"/>
  <c r="BM25" i="71"/>
  <c r="BM26" i="71"/>
  <c r="BM27" i="71"/>
  <c r="W73" i="90" s="1"/>
  <c r="BM28" i="71"/>
  <c r="BM29" i="71"/>
  <c r="BM30" i="71"/>
  <c r="BM33" i="71"/>
  <c r="BM34" i="71"/>
  <c r="BM35" i="71"/>
  <c r="BM36" i="71"/>
  <c r="BM37" i="71"/>
  <c r="BM38" i="71"/>
  <c r="W74" i="90" s="1"/>
  <c r="BM39" i="71"/>
  <c r="BM40" i="71"/>
  <c r="BM41" i="71"/>
  <c r="BM42" i="71"/>
  <c r="W76" i="90" s="1"/>
  <c r="BM43" i="71"/>
  <c r="W77" i="90" s="1"/>
  <c r="BM45" i="71"/>
  <c r="W78" i="90" s="1"/>
  <c r="BM46" i="71"/>
  <c r="BM47" i="71"/>
  <c r="W79" i="90" s="1"/>
  <c r="BM48" i="71"/>
  <c r="W80" i="90" s="1"/>
  <c r="BM49" i="71"/>
  <c r="W81" i="90" s="1"/>
  <c r="BM51" i="71"/>
  <c r="W83" i="90" s="1"/>
  <c r="BM52" i="71"/>
  <c r="W84" i="90" s="1"/>
  <c r="BM53" i="71"/>
  <c r="BM54" i="71"/>
  <c r="BM55" i="71"/>
  <c r="BM56" i="71"/>
  <c r="W85" i="90" s="1"/>
  <c r="BM57" i="71"/>
  <c r="BC86" i="90" l="1"/>
  <c r="BE86" i="90"/>
  <c r="BQ58" i="71"/>
  <c r="BU58" i="71" s="1"/>
  <c r="BY58" i="71" s="1"/>
  <c r="CE58" i="71" s="1"/>
  <c r="AA86" i="90"/>
  <c r="AI86" i="90"/>
  <c r="AO86" i="90"/>
  <c r="AS86" i="90" s="1"/>
  <c r="AW86" i="90" s="1"/>
  <c r="AE86" i="90"/>
  <c r="CS58" i="71"/>
  <c r="AB64" i="38"/>
  <c r="AB96" i="38" s="1"/>
  <c r="AB48" i="38"/>
  <c r="Z17" i="11"/>
  <c r="AB17" i="11" s="1"/>
  <c r="AF17" i="11" s="1"/>
  <c r="AJ17" i="11" s="1"/>
  <c r="AP17" i="11" s="1"/>
  <c r="AT17" i="11" s="1"/>
  <c r="AX17" i="11" s="1"/>
  <c r="BF17" i="11" s="1"/>
  <c r="G28" i="50"/>
  <c r="I28" i="50"/>
  <c r="M28" i="50"/>
  <c r="Q28" i="50"/>
  <c r="U28" i="50"/>
  <c r="AE28" i="50"/>
  <c r="AI28" i="50"/>
  <c r="AM28" i="50"/>
  <c r="AS28" i="50"/>
  <c r="AW28" i="50"/>
  <c r="BA28" i="50"/>
  <c r="K28" i="50" l="1"/>
  <c r="CI58" i="71"/>
  <c r="CM58" i="71" s="1"/>
  <c r="O28" i="50"/>
  <c r="S28" i="50" s="1"/>
  <c r="W28" i="50" s="1"/>
  <c r="AO28" i="50"/>
  <c r="BC28" i="50"/>
  <c r="AA28" i="50"/>
  <c r="AC28" i="50" l="1"/>
  <c r="AG28" i="50" s="1"/>
  <c r="AK28" i="50" s="1"/>
  <c r="AQ28" i="50" s="1"/>
  <c r="AU28" i="50" s="1"/>
  <c r="AY28" i="50" s="1"/>
  <c r="BG28" i="50" s="1"/>
  <c r="BE28" i="50"/>
  <c r="Y157" i="45"/>
  <c r="Y156" i="45"/>
  <c r="Y154" i="45"/>
  <c r="Y148" i="45"/>
  <c r="Y143" i="45"/>
  <c r="X143" i="45"/>
  <c r="Y142" i="45"/>
  <c r="X142" i="45"/>
  <c r="Y141" i="45"/>
  <c r="X141" i="45"/>
  <c r="Y140" i="45"/>
  <c r="X140" i="45"/>
  <c r="Y138" i="45"/>
  <c r="X138" i="45"/>
  <c r="Y136" i="45"/>
  <c r="X136" i="45"/>
  <c r="Y134" i="45"/>
  <c r="X134" i="45"/>
  <c r="Y131" i="45"/>
  <c r="X131" i="45"/>
  <c r="X132" i="45" s="1"/>
  <c r="Y129" i="45"/>
  <c r="Y122" i="45"/>
  <c r="Y159" i="45" s="1"/>
  <c r="Y121" i="45"/>
  <c r="Y144" i="45" s="1"/>
  <c r="X121" i="45"/>
  <c r="X144" i="45" s="1"/>
  <c r="Y120" i="45"/>
  <c r="Y158" i="45" s="1"/>
  <c r="Z45" i="11"/>
  <c r="Z46" i="11"/>
  <c r="Z47" i="11"/>
  <c r="Z48" i="11"/>
  <c r="Z49" i="11"/>
  <c r="Z50" i="11"/>
  <c r="Z51" i="11"/>
  <c r="Z52" i="11"/>
  <c r="Z53" i="11"/>
  <c r="Z54" i="11"/>
  <c r="Z8" i="11"/>
  <c r="Z9" i="11"/>
  <c r="Z10" i="11"/>
  <c r="Z11" i="11"/>
  <c r="Z12" i="11"/>
  <c r="Z13" i="11"/>
  <c r="Z14" i="11"/>
  <c r="Z15" i="11"/>
  <c r="Z16" i="11"/>
  <c r="Z18" i="11"/>
  <c r="Z19" i="11"/>
  <c r="Z20" i="11"/>
  <c r="Z21" i="11"/>
  <c r="Z22" i="11"/>
  <c r="Z23" i="11"/>
  <c r="Z24" i="11"/>
  <c r="Z25" i="11"/>
  <c r="Z26" i="11"/>
  <c r="Z27" i="11"/>
  <c r="Z28" i="11"/>
  <c r="Z29" i="11"/>
  <c r="Z30" i="11"/>
  <c r="Z31" i="11"/>
  <c r="Z32" i="11"/>
  <c r="Z33" i="11"/>
  <c r="Z34" i="11"/>
  <c r="Z35" i="11"/>
  <c r="Z36" i="11"/>
  <c r="Z37" i="11"/>
  <c r="Z38" i="11"/>
  <c r="Z39" i="11"/>
  <c r="Z40" i="11"/>
  <c r="Z41" i="11"/>
  <c r="Z42" i="11"/>
  <c r="X91" i="11"/>
  <c r="X89" i="11"/>
  <c r="X83" i="11"/>
  <c r="X78" i="11"/>
  <c r="W78" i="11"/>
  <c r="X77" i="11"/>
  <c r="W77" i="11"/>
  <c r="X76" i="11"/>
  <c r="W76" i="11"/>
  <c r="X75" i="11"/>
  <c r="W75" i="11"/>
  <c r="X73" i="11"/>
  <c r="W73" i="11"/>
  <c r="X71" i="11"/>
  <c r="W71" i="11"/>
  <c r="X69" i="11"/>
  <c r="W69" i="11"/>
  <c r="X66" i="11"/>
  <c r="W66" i="11"/>
  <c r="X64" i="11"/>
  <c r="X59" i="11"/>
  <c r="X57" i="11"/>
  <c r="X56" i="11"/>
  <c r="X55" i="11"/>
  <c r="Z8" i="10"/>
  <c r="Z9" i="10"/>
  <c r="Z10" i="10"/>
  <c r="Z11" i="10"/>
  <c r="Z13" i="10"/>
  <c r="Z14" i="10"/>
  <c r="Z15" i="10"/>
  <c r="Z16" i="10"/>
  <c r="Z17" i="10"/>
  <c r="Z18" i="10"/>
  <c r="Z19" i="10"/>
  <c r="Z20" i="10"/>
  <c r="Z23" i="10"/>
  <c r="Z26" i="10"/>
  <c r="Z27" i="10"/>
  <c r="Z28" i="10"/>
  <c r="Z29" i="10"/>
  <c r="Z30" i="10"/>
  <c r="Z32" i="10"/>
  <c r="Z34" i="10"/>
  <c r="Z35" i="10"/>
  <c r="Z36" i="10"/>
  <c r="Z37" i="10"/>
  <c r="Z38" i="10"/>
  <c r="Z39" i="10"/>
  <c r="Z41" i="10"/>
  <c r="Z42" i="10"/>
  <c r="Z43" i="10"/>
  <c r="Z44" i="10"/>
  <c r="Z45" i="10"/>
  <c r="Z46" i="10"/>
  <c r="Z47" i="10"/>
  <c r="Z48" i="10"/>
  <c r="Z49" i="10"/>
  <c r="Z50" i="10"/>
  <c r="Z51" i="10"/>
  <c r="Z52" i="10"/>
  <c r="Z53" i="10"/>
  <c r="Z54" i="10"/>
  <c r="Z56" i="10"/>
  <c r="Z57" i="10"/>
  <c r="Z58" i="10"/>
  <c r="Z59" i="10"/>
  <c r="Z60" i="10"/>
  <c r="Z61" i="10"/>
  <c r="Z62" i="10"/>
  <c r="Z63" i="10"/>
  <c r="Z64" i="10"/>
  <c r="Z65" i="10"/>
  <c r="Z66" i="10"/>
  <c r="Z67" i="10"/>
  <c r="Z69" i="10"/>
  <c r="Z70" i="10"/>
  <c r="Z71" i="10"/>
  <c r="Z73" i="10"/>
  <c r="Z74" i="10"/>
  <c r="Z75" i="10"/>
  <c r="Z76" i="10"/>
  <c r="Z77" i="10"/>
  <c r="Z78" i="10"/>
  <c r="Z79" i="10"/>
  <c r="Z80" i="10"/>
  <c r="Z81" i="10"/>
  <c r="Z82" i="10"/>
  <c r="Z83" i="10"/>
  <c r="Z84" i="10"/>
  <c r="Z85" i="10"/>
  <c r="Z86" i="10"/>
  <c r="Z87" i="10"/>
  <c r="Z88" i="10"/>
  <c r="Z89" i="10"/>
  <c r="Z91" i="10"/>
  <c r="Z92" i="10"/>
  <c r="Z93" i="10"/>
  <c r="Z94" i="10"/>
  <c r="Z95" i="10"/>
  <c r="Z96" i="10"/>
  <c r="Z97" i="10"/>
  <c r="Z98" i="10"/>
  <c r="Z99" i="10"/>
  <c r="Z100" i="10"/>
  <c r="Z101" i="10"/>
  <c r="Z102" i="10"/>
  <c r="Z103" i="10"/>
  <c r="Z104" i="10"/>
  <c r="Z105" i="10"/>
  <c r="Z108" i="10"/>
  <c r="Z110" i="10"/>
  <c r="Z111" i="10"/>
  <c r="Z112" i="10"/>
  <c r="Z113" i="10"/>
  <c r="Z114" i="10"/>
  <c r="Z116" i="10"/>
  <c r="Z117" i="10"/>
  <c r="Z118" i="10"/>
  <c r="Z119" i="10"/>
  <c r="Z120" i="10"/>
  <c r="Z121" i="10"/>
  <c r="Z122" i="10"/>
  <c r="Z123" i="10"/>
  <c r="Z124" i="10"/>
  <c r="Z125" i="10"/>
  <c r="Z126" i="10"/>
  <c r="Z127" i="10"/>
  <c r="Z128" i="10"/>
  <c r="Z130" i="10"/>
  <c r="Z131" i="10"/>
  <c r="Z132" i="10"/>
  <c r="Z133" i="10"/>
  <c r="Z134" i="10"/>
  <c r="Z135" i="10"/>
  <c r="Z136" i="10"/>
  <c r="Z137" i="10"/>
  <c r="Z138" i="10"/>
  <c r="Z139" i="10"/>
  <c r="Z140" i="10"/>
  <c r="Z141" i="10"/>
  <c r="Z142" i="10"/>
  <c r="Z144" i="10"/>
  <c r="Z145" i="10"/>
  <c r="Z146" i="10"/>
  <c r="Z147" i="10"/>
  <c r="Z148" i="10"/>
  <c r="Z149" i="10"/>
  <c r="Z150" i="10"/>
  <c r="Z151" i="10"/>
  <c r="Z152" i="10"/>
  <c r="X190" i="10"/>
  <c r="X188" i="10"/>
  <c r="X182" i="10"/>
  <c r="X189" i="10" s="1"/>
  <c r="X177" i="10"/>
  <c r="W177" i="10"/>
  <c r="X176" i="10"/>
  <c r="W176" i="10"/>
  <c r="X175" i="10"/>
  <c r="W175" i="10"/>
  <c r="X174" i="10"/>
  <c r="W174" i="10"/>
  <c r="X172" i="10"/>
  <c r="W172" i="10"/>
  <c r="X170" i="10"/>
  <c r="W170" i="10"/>
  <c r="X168" i="10"/>
  <c r="W168" i="10"/>
  <c r="X165" i="10"/>
  <c r="X166" i="10" s="1"/>
  <c r="W165" i="10"/>
  <c r="W166" i="10" s="1"/>
  <c r="X160" i="10"/>
  <c r="X192" i="10" s="1"/>
  <c r="W159" i="10"/>
  <c r="X159" i="10"/>
  <c r="X158" i="10"/>
  <c r="X95" i="9"/>
  <c r="X196" i="10" l="1"/>
  <c r="X210" i="10"/>
  <c r="Y132" i="45"/>
  <c r="Y155" i="45"/>
  <c r="Y126" i="45"/>
  <c r="X92" i="11"/>
  <c r="X61" i="11"/>
  <c r="X58" i="11"/>
  <c r="W67" i="11"/>
  <c r="X84" i="11"/>
  <c r="X93" i="11"/>
  <c r="X67" i="11"/>
  <c r="W173" i="10"/>
  <c r="W178" i="10"/>
  <c r="W203" i="10"/>
  <c r="X200" i="10"/>
  <c r="W158" i="10"/>
  <c r="W210" i="10" s="1"/>
  <c r="W161" i="10"/>
  <c r="X139" i="45"/>
  <c r="X124" i="45"/>
  <c r="Y123" i="45"/>
  <c r="Y124" i="45"/>
  <c r="Y125" i="45" s="1"/>
  <c r="Y139" i="45"/>
  <c r="X90" i="11"/>
  <c r="X85" i="11"/>
  <c r="X74" i="11"/>
  <c r="Y160" i="45"/>
  <c r="X123" i="45"/>
  <c r="Y149" i="45"/>
  <c r="X120" i="45"/>
  <c r="Y150" i="45"/>
  <c r="X79" i="11"/>
  <c r="X60" i="11"/>
  <c r="X183" i="10"/>
  <c r="X184" i="10"/>
  <c r="X173" i="10"/>
  <c r="X178" i="10"/>
  <c r="X161" i="10"/>
  <c r="X191" i="10"/>
  <c r="X193" i="10" s="1"/>
  <c r="W52" i="9"/>
  <c r="W101" i="9"/>
  <c r="X99" i="9"/>
  <c r="W99" i="9"/>
  <c r="X98" i="9"/>
  <c r="W98" i="9"/>
  <c r="X97" i="9"/>
  <c r="W97" i="9"/>
  <c r="X93" i="9"/>
  <c r="W76" i="9"/>
  <c r="W77" i="9" s="1"/>
  <c r="W74" i="9"/>
  <c r="X60" i="9"/>
  <c r="X57" i="9"/>
  <c r="W53" i="9"/>
  <c r="W47" i="9"/>
  <c r="X46" i="9"/>
  <c r="X36" i="9"/>
  <c r="X35" i="9"/>
  <c r="X47" i="9" s="1"/>
  <c r="X34" i="9"/>
  <c r="X31" i="9"/>
  <c r="X25" i="9"/>
  <c r="W24" i="9"/>
  <c r="W22" i="9"/>
  <c r="X19" i="9"/>
  <c r="X10" i="9"/>
  <c r="X5" i="9"/>
  <c r="X94" i="11" l="1"/>
  <c r="X90" i="9"/>
  <c r="X96" i="9"/>
  <c r="X34" i="22"/>
  <c r="W130" i="26"/>
  <c r="X48" i="9"/>
  <c r="X49" i="9" s="1"/>
  <c r="X87" i="9" s="1"/>
  <c r="W90" i="90"/>
  <c r="X37" i="9"/>
  <c r="X62" i="9"/>
  <c r="W25" i="9"/>
  <c r="W88" i="9" s="1"/>
  <c r="X14" i="9"/>
  <c r="X100" i="9"/>
  <c r="X89" i="9"/>
  <c r="X94" i="9"/>
  <c r="W19" i="15" s="1"/>
  <c r="X91" i="9" l="1"/>
  <c r="X83" i="9"/>
  <c r="X76" i="9"/>
  <c r="X52" i="9"/>
  <c r="X53" i="9"/>
  <c r="X73" i="9"/>
  <c r="X75" i="9"/>
  <c r="X84" i="9"/>
  <c r="X82" i="9"/>
  <c r="X81" i="9"/>
  <c r="X80" i="9"/>
  <c r="X86" i="9"/>
  <c r="X85" i="9"/>
  <c r="X78" i="9"/>
  <c r="X72" i="9"/>
  <c r="X77" i="9" l="1"/>
  <c r="X74" i="9"/>
  <c r="X79" i="9" l="1"/>
  <c r="Z18" i="7"/>
  <c r="Y18" i="7" l="1"/>
  <c r="W34" i="35" l="1"/>
  <c r="W48" i="28" s="1"/>
  <c r="W31" i="35"/>
  <c r="W23" i="35"/>
  <c r="W25" i="35"/>
  <c r="W18" i="35"/>
  <c r="W16" i="35"/>
  <c r="W56" i="11" l="1"/>
  <c r="W21" i="28"/>
  <c r="W502" i="28"/>
  <c r="W42" i="28"/>
  <c r="V18" i="15"/>
  <c r="V15" i="15" s="1"/>
  <c r="V16" i="15" s="1"/>
  <c r="W5" i="9"/>
  <c r="W97" i="11"/>
  <c r="W55" i="11"/>
  <c r="W74" i="11"/>
  <c r="W58" i="11"/>
  <c r="W79" i="11"/>
  <c r="X109" i="8"/>
  <c r="X111" i="8" s="1"/>
  <c r="X94" i="8"/>
  <c r="X91" i="8"/>
  <c r="W91" i="8"/>
  <c r="X89" i="8"/>
  <c r="W89" i="8"/>
  <c r="X88" i="8"/>
  <c r="W88" i="8"/>
  <c r="W87" i="8"/>
  <c r="W82" i="8"/>
  <c r="X80" i="8"/>
  <c r="X75" i="8"/>
  <c r="W74" i="8"/>
  <c r="W73" i="8"/>
  <c r="W72" i="8"/>
  <c r="W71" i="8"/>
  <c r="X68" i="8"/>
  <c r="X66" i="8"/>
  <c r="X64" i="8"/>
  <c r="X61" i="8"/>
  <c r="X58" i="8"/>
  <c r="X62" i="8" s="1"/>
  <c r="W52" i="8"/>
  <c r="X49" i="8"/>
  <c r="W49" i="8"/>
  <c r="W46" i="8"/>
  <c r="W45" i="8"/>
  <c r="W44" i="8"/>
  <c r="W43" i="8"/>
  <c r="W41" i="8"/>
  <c r="W40" i="8"/>
  <c r="W39" i="8"/>
  <c r="X26" i="8"/>
  <c r="X17" i="8"/>
  <c r="W17" i="8"/>
  <c r="W15" i="8"/>
  <c r="W14" i="8"/>
  <c r="X13" i="8"/>
  <c r="W13" i="8"/>
  <c r="X6" i="8"/>
  <c r="X6" i="49" s="1"/>
  <c r="W6" i="8"/>
  <c r="W113" i="7"/>
  <c r="W112" i="7"/>
  <c r="W111" i="7"/>
  <c r="W110" i="7"/>
  <c r="W109" i="7"/>
  <c r="W108" i="7"/>
  <c r="W107" i="7"/>
  <c r="W106" i="7"/>
  <c r="W85" i="7"/>
  <c r="X84" i="7"/>
  <c r="W84" i="7"/>
  <c r="X82" i="7"/>
  <c r="W82" i="7"/>
  <c r="X75" i="7"/>
  <c r="W75" i="7"/>
  <c r="X71" i="7"/>
  <c r="X73" i="7" s="1"/>
  <c r="W71" i="7"/>
  <c r="W73" i="7" s="1"/>
  <c r="X67" i="7"/>
  <c r="W67" i="7"/>
  <c r="X21" i="7"/>
  <c r="X41" i="7" s="1"/>
  <c r="X51" i="7" s="1"/>
  <c r="W21" i="7"/>
  <c r="W41" i="7" s="1"/>
  <c r="W51" i="7" s="1"/>
  <c r="W61" i="39"/>
  <c r="X44" i="22" s="1"/>
  <c r="W60" i="39"/>
  <c r="X43" i="22" s="1"/>
  <c r="W48" i="39"/>
  <c r="W47" i="39"/>
  <c r="W46" i="39"/>
  <c r="W43" i="39"/>
  <c r="W42" i="39"/>
  <c r="W8" i="39"/>
  <c r="X222" i="6"/>
  <c r="W222" i="6"/>
  <c r="X221" i="6"/>
  <c r="W221" i="6"/>
  <c r="W199" i="6"/>
  <c r="X198" i="6"/>
  <c r="W198" i="6"/>
  <c r="W197" i="6"/>
  <c r="X193" i="6"/>
  <c r="W193" i="6"/>
  <c r="X192" i="6"/>
  <c r="W192" i="6"/>
  <c r="X191" i="6"/>
  <c r="W191" i="6"/>
  <c r="W190" i="6"/>
  <c r="W189" i="6"/>
  <c r="W186" i="6"/>
  <c r="W185" i="6"/>
  <c r="W184" i="6"/>
  <c r="W183" i="6"/>
  <c r="W182" i="6"/>
  <c r="W181" i="6"/>
  <c r="W179" i="6"/>
  <c r="W178" i="6"/>
  <c r="W177" i="6"/>
  <c r="X167" i="6"/>
  <c r="W167" i="6"/>
  <c r="X166" i="6"/>
  <c r="W166" i="6"/>
  <c r="W165" i="6"/>
  <c r="W164" i="6"/>
  <c r="W161" i="6"/>
  <c r="W160" i="6"/>
  <c r="W159" i="6"/>
  <c r="W158" i="6"/>
  <c r="W157" i="6"/>
  <c r="W156" i="6"/>
  <c r="W154" i="6"/>
  <c r="W153" i="6"/>
  <c r="W149" i="6"/>
  <c r="X139" i="6"/>
  <c r="X136" i="6"/>
  <c r="W136" i="6"/>
  <c r="X135" i="6"/>
  <c r="W135" i="6"/>
  <c r="X134" i="6"/>
  <c r="W134" i="6"/>
  <c r="X133" i="6"/>
  <c r="W133" i="6"/>
  <c r="X131" i="6"/>
  <c r="W131" i="6"/>
  <c r="X130" i="6"/>
  <c r="W130" i="6"/>
  <c r="X128" i="6"/>
  <c r="W128" i="6"/>
  <c r="X127" i="6"/>
  <c r="W127" i="6"/>
  <c r="X126" i="6"/>
  <c r="W126" i="6"/>
  <c r="X125" i="6"/>
  <c r="W125" i="6"/>
  <c r="X120" i="6"/>
  <c r="W120" i="6"/>
  <c r="X115" i="6"/>
  <c r="W115" i="6"/>
  <c r="X103" i="6"/>
  <c r="W103" i="6"/>
  <c r="W98" i="6"/>
  <c r="W85" i="6"/>
  <c r="W83" i="6"/>
  <c r="W82" i="6"/>
  <c r="W80" i="6"/>
  <c r="W79" i="6"/>
  <c r="X77" i="6"/>
  <c r="W77" i="6"/>
  <c r="X69" i="6"/>
  <c r="W69" i="6"/>
  <c r="X66" i="6"/>
  <c r="W66" i="6"/>
  <c r="X56" i="6"/>
  <c r="X55" i="6"/>
  <c r="X54" i="6"/>
  <c r="X51" i="6"/>
  <c r="X48" i="6"/>
  <c r="X45" i="6"/>
  <c r="W41" i="6"/>
  <c r="X34" i="6"/>
  <c r="X33" i="6"/>
  <c r="X32" i="6"/>
  <c r="X29" i="6"/>
  <c r="X26" i="6"/>
  <c r="X23" i="6"/>
  <c r="W18" i="6"/>
  <c r="W17" i="6"/>
  <c r="W16" i="6"/>
  <c r="W15" i="6"/>
  <c r="X9" i="6"/>
  <c r="X8" i="6"/>
  <c r="W7" i="6"/>
  <c r="W91" i="77"/>
  <c r="W90" i="77"/>
  <c r="W83" i="77"/>
  <c r="W81" i="77"/>
  <c r="W80" i="77"/>
  <c r="X17" i="49"/>
  <c r="X18" i="49" s="1"/>
  <c r="X11" i="49"/>
  <c r="W11" i="49"/>
  <c r="X9" i="49"/>
  <c r="X8" i="49"/>
  <c r="Y131" i="73"/>
  <c r="Y135" i="73"/>
  <c r="Y136" i="73"/>
  <c r="W242" i="73"/>
  <c r="W240" i="73"/>
  <c r="W229" i="73"/>
  <c r="W42" i="77" s="1"/>
  <c r="W220" i="73"/>
  <c r="W209" i="73"/>
  <c r="W181" i="73"/>
  <c r="W168" i="73"/>
  <c r="W179" i="73" s="1"/>
  <c r="W134" i="73"/>
  <c r="W132" i="73"/>
  <c r="W130" i="73"/>
  <c r="W126" i="73"/>
  <c r="W122" i="73"/>
  <c r="W113" i="73"/>
  <c r="W106" i="73"/>
  <c r="W102" i="73"/>
  <c r="W62" i="73"/>
  <c r="W56" i="73"/>
  <c r="W51" i="73"/>
  <c r="W46" i="73"/>
  <c r="W35" i="73"/>
  <c r="W30" i="73"/>
  <c r="W22" i="73"/>
  <c r="W20" i="73"/>
  <c r="W120" i="90" s="1"/>
  <c r="W8" i="73"/>
  <c r="W15" i="28" l="1"/>
  <c r="W75" i="28"/>
  <c r="W81" i="7"/>
  <c r="W36" i="7"/>
  <c r="W99" i="7" s="1"/>
  <c r="W26" i="7"/>
  <c r="W37" i="7"/>
  <c r="W100" i="7" s="1"/>
  <c r="W34" i="7"/>
  <c r="W97" i="7" s="1"/>
  <c r="W31" i="7"/>
  <c r="W27" i="7"/>
  <c r="W91" i="7" s="1"/>
  <c r="W24" i="7"/>
  <c r="W60" i="7"/>
  <c r="W57" i="7"/>
  <c r="W54" i="7"/>
  <c r="W59" i="7"/>
  <c r="W23" i="7"/>
  <c r="W87" i="7" s="1"/>
  <c r="Z29" i="59" s="1"/>
  <c r="W56" i="7"/>
  <c r="W101" i="7" s="1"/>
  <c r="W33" i="7"/>
  <c r="W96" i="7" s="1"/>
  <c r="W35" i="7"/>
  <c r="W98" i="7" s="1"/>
  <c r="W32" i="7"/>
  <c r="W95" i="7" s="1"/>
  <c r="W28" i="7"/>
  <c r="W92" i="7" s="1"/>
  <c r="W25" i="7"/>
  <c r="W62" i="7"/>
  <c r="W61" i="7"/>
  <c r="W102" i="7" s="1"/>
  <c r="W58" i="7"/>
  <c r="W55" i="7"/>
  <c r="W29" i="7"/>
  <c r="W93" i="7" s="1"/>
  <c r="Z33" i="59" s="1"/>
  <c r="X81" i="7"/>
  <c r="X37" i="7"/>
  <c r="X100" i="7" s="1"/>
  <c r="X34" i="7"/>
  <c r="X97" i="7" s="1"/>
  <c r="X31" i="7"/>
  <c r="X27" i="7"/>
  <c r="X91" i="7" s="1"/>
  <c r="X24" i="7"/>
  <c r="X60" i="7"/>
  <c r="X57" i="7"/>
  <c r="X54" i="7"/>
  <c r="X23" i="7"/>
  <c r="X87" i="7" s="1"/>
  <c r="X35" i="7"/>
  <c r="X98" i="7" s="1"/>
  <c r="X32" i="7"/>
  <c r="X95" i="7" s="1"/>
  <c r="X28" i="7"/>
  <c r="X92" i="7" s="1"/>
  <c r="X25" i="7"/>
  <c r="X62" i="7"/>
  <c r="X61" i="7"/>
  <c r="X102" i="7" s="1"/>
  <c r="X58" i="7"/>
  <c r="X55" i="7"/>
  <c r="X36" i="7"/>
  <c r="X99" i="7" s="1"/>
  <c r="X33" i="7"/>
  <c r="X96" i="7" s="1"/>
  <c r="X29" i="7"/>
  <c r="X93" i="7" s="1"/>
  <c r="AA33" i="59" s="1"/>
  <c r="X26" i="7"/>
  <c r="X90" i="7" s="1"/>
  <c r="AA32" i="59" s="1"/>
  <c r="X59" i="7"/>
  <c r="X56" i="7"/>
  <c r="X101" i="7" s="1"/>
  <c r="W6" i="73"/>
  <c r="W5" i="73" s="1"/>
  <c r="W37" i="77"/>
  <c r="W118" i="73"/>
  <c r="W85" i="8"/>
  <c r="X16" i="8"/>
  <c r="W22" i="39"/>
  <c r="X65" i="8"/>
  <c r="X67" i="8"/>
  <c r="X69" i="8"/>
  <c r="X74" i="8" s="1"/>
  <c r="X86" i="8"/>
  <c r="W34" i="39"/>
  <c r="W30" i="6"/>
  <c r="W25" i="6"/>
  <c r="W42" i="8"/>
  <c r="W6" i="49"/>
  <c r="W89" i="77"/>
  <c r="W12" i="15"/>
  <c r="W13" i="15" s="1"/>
  <c r="W14" i="15" s="1"/>
  <c r="W122" i="90"/>
  <c r="W126" i="90" s="1"/>
  <c r="W84" i="77"/>
  <c r="W66" i="9"/>
  <c r="W34" i="22"/>
  <c r="V130" i="26"/>
  <c r="W68" i="9"/>
  <c r="W67" i="9"/>
  <c r="W69" i="9"/>
  <c r="W64" i="9"/>
  <c r="W63" i="9"/>
  <c r="W7" i="9"/>
  <c r="W92" i="9"/>
  <c r="W27" i="9"/>
  <c r="W58" i="9"/>
  <c r="W55" i="9"/>
  <c r="W70" i="9"/>
  <c r="W100" i="9"/>
  <c r="W65" i="9"/>
  <c r="W61" i="9"/>
  <c r="W59" i="9"/>
  <c r="W56" i="9"/>
  <c r="W95" i="9"/>
  <c r="X59" i="8"/>
  <c r="X137" i="6"/>
  <c r="X35" i="6"/>
  <c r="X82" i="8"/>
  <c r="AA51" i="59" s="1"/>
  <c r="AA29" i="59"/>
  <c r="W23" i="39"/>
  <c r="W78" i="7"/>
  <c r="W68" i="7"/>
  <c r="W121" i="6"/>
  <c r="W27" i="6"/>
  <c r="W168" i="6"/>
  <c r="W163" i="6"/>
  <c r="W16" i="8"/>
  <c r="X110" i="8"/>
  <c r="X112" i="8" s="1"/>
  <c r="X53" i="8" s="1"/>
  <c r="X72" i="8"/>
  <c r="X34" i="8"/>
  <c r="X43" i="8"/>
  <c r="X136" i="8" s="1"/>
  <c r="X46" i="8"/>
  <c r="X50" i="8"/>
  <c r="X51" i="8" s="1"/>
  <c r="W27" i="8"/>
  <c r="X41" i="8"/>
  <c r="X44" i="8"/>
  <c r="X137" i="8" s="1"/>
  <c r="X47" i="8"/>
  <c r="W23" i="8"/>
  <c r="W28" i="8"/>
  <c r="W92" i="8"/>
  <c r="W30" i="8"/>
  <c r="W24" i="8"/>
  <c r="W29" i="8"/>
  <c r="X39" i="8"/>
  <c r="X45" i="8"/>
  <c r="X92" i="8"/>
  <c r="W25" i="8"/>
  <c r="W50" i="8"/>
  <c r="W51" i="8" s="1"/>
  <c r="W31" i="8"/>
  <c r="X40" i="8"/>
  <c r="X69" i="7"/>
  <c r="AA34" i="59"/>
  <c r="X78" i="7"/>
  <c r="W83" i="7"/>
  <c r="Z35" i="59" s="1"/>
  <c r="X83" i="7"/>
  <c r="AA35" i="59" s="1"/>
  <c r="W45" i="39"/>
  <c r="W49" i="39"/>
  <c r="W76" i="7"/>
  <c r="W50" i="39"/>
  <c r="X76" i="7"/>
  <c r="W137" i="6"/>
  <c r="W132" i="6"/>
  <c r="X57" i="6"/>
  <c r="W22" i="6"/>
  <c r="W31" i="6"/>
  <c r="W24" i="6"/>
  <c r="X121" i="6"/>
  <c r="W19" i="6"/>
  <c r="W21" i="6"/>
  <c r="W104" i="6"/>
  <c r="X132" i="6"/>
  <c r="W194" i="6"/>
  <c r="W28" i="6"/>
  <c r="W188" i="6"/>
  <c r="W137" i="73"/>
  <c r="AA79" i="59"/>
  <c r="AA78" i="59"/>
  <c r="AA77" i="59"/>
  <c r="Z75" i="59"/>
  <c r="Z74" i="59"/>
  <c r="AA73" i="59"/>
  <c r="AA72" i="59"/>
  <c r="Z72" i="59"/>
  <c r="AA69" i="59"/>
  <c r="AA68" i="59"/>
  <c r="Z68" i="59"/>
  <c r="AA65" i="59"/>
  <c r="AA64" i="59"/>
  <c r="Z64" i="59"/>
  <c r="AA61" i="59"/>
  <c r="Z61" i="59"/>
  <c r="AA60" i="59"/>
  <c r="Z60" i="59"/>
  <c r="AA59" i="59"/>
  <c r="AA58" i="59"/>
  <c r="Z58" i="59"/>
  <c r="AA57" i="59"/>
  <c r="Z57" i="59"/>
  <c r="Z52" i="59"/>
  <c r="Z51" i="59"/>
  <c r="AA50" i="59"/>
  <c r="Z50" i="59"/>
  <c r="AA49" i="59"/>
  <c r="Z49" i="59"/>
  <c r="Z47" i="59"/>
  <c r="Z46" i="59"/>
  <c r="Z45" i="59"/>
  <c r="AA44" i="59"/>
  <c r="Z44" i="59"/>
  <c r="Z42" i="59"/>
  <c r="Z41" i="59"/>
  <c r="AA40" i="59"/>
  <c r="Z40" i="59"/>
  <c r="Z38" i="59"/>
  <c r="Z37" i="59"/>
  <c r="Z36" i="59"/>
  <c r="Z34" i="59"/>
  <c r="AA28" i="59"/>
  <c r="Z28" i="59"/>
  <c r="AA27" i="59"/>
  <c r="AA26" i="59"/>
  <c r="AA25" i="59"/>
  <c r="AA24" i="59"/>
  <c r="AA23" i="59"/>
  <c r="AA20" i="59"/>
  <c r="AA19" i="59"/>
  <c r="AA18" i="59"/>
  <c r="AA17" i="59"/>
  <c r="AA16" i="59"/>
  <c r="AA12" i="59"/>
  <c r="Z12" i="59"/>
  <c r="Z11" i="59"/>
  <c r="W85" i="28" l="1"/>
  <c r="W327" i="28" s="1"/>
  <c r="W88" i="7"/>
  <c r="W89" i="7"/>
  <c r="X88" i="7"/>
  <c r="W90" i="7"/>
  <c r="Z32" i="59" s="1"/>
  <c r="X89" i="7"/>
  <c r="AA31" i="59" s="1"/>
  <c r="Z31" i="59"/>
  <c r="AA47" i="59"/>
  <c r="X36" i="8"/>
  <c r="W9" i="49"/>
  <c r="X63" i="8"/>
  <c r="X71" i="8" s="1"/>
  <c r="X73" i="8"/>
  <c r="X37" i="8"/>
  <c r="W17" i="49"/>
  <c r="W18" i="49" s="1"/>
  <c r="W24" i="39"/>
  <c r="W123" i="6"/>
  <c r="X123" i="6"/>
  <c r="X173" i="6" s="1"/>
  <c r="AA22" i="59" s="1"/>
  <c r="W29" i="6"/>
  <c r="W26" i="6"/>
  <c r="X138" i="6"/>
  <c r="W32" i="6"/>
  <c r="W106" i="6"/>
  <c r="Z48" i="59"/>
  <c r="AA45" i="59"/>
  <c r="W81" i="6"/>
  <c r="AA42" i="59"/>
  <c r="X123" i="8"/>
  <c r="AA46" i="59"/>
  <c r="X138" i="8"/>
  <c r="X139" i="8" s="1"/>
  <c r="W38" i="7"/>
  <c r="W60" i="9"/>
  <c r="W95" i="77"/>
  <c r="W7" i="22"/>
  <c r="W22" i="22"/>
  <c r="W34" i="6"/>
  <c r="W57" i="9"/>
  <c r="X78" i="8"/>
  <c r="W6" i="26"/>
  <c r="X42" i="8"/>
  <c r="X38" i="7"/>
  <c r="W51" i="39"/>
  <c r="W138" i="6"/>
  <c r="X52" i="8"/>
  <c r="W69" i="8"/>
  <c r="W8" i="49"/>
  <c r="W65" i="8"/>
  <c r="W26" i="8"/>
  <c r="W59" i="8"/>
  <c r="W109" i="8"/>
  <c r="W111" i="8" s="1"/>
  <c r="Z43" i="59"/>
  <c r="W67" i="8"/>
  <c r="AA30" i="59"/>
  <c r="W84" i="6"/>
  <c r="W33" i="6"/>
  <c r="W23" i="6"/>
  <c r="W72" i="36"/>
  <c r="W64" i="36" s="1"/>
  <c r="W71" i="36"/>
  <c r="W69" i="36"/>
  <c r="W61" i="36" s="1"/>
  <c r="W63" i="36" s="1"/>
  <c r="W67" i="36"/>
  <c r="W59" i="36" s="1"/>
  <c r="W66" i="36"/>
  <c r="W58" i="36" s="1"/>
  <c r="X64" i="36"/>
  <c r="X72" i="36" s="1"/>
  <c r="X62" i="36"/>
  <c r="X70" i="36" s="1"/>
  <c r="X61" i="36"/>
  <c r="X69" i="36" s="1"/>
  <c r="X59" i="36"/>
  <c r="X67" i="36" s="1"/>
  <c r="X58" i="36"/>
  <c r="X66" i="36" s="1"/>
  <c r="X57" i="36"/>
  <c r="X17" i="36" s="1"/>
  <c r="AA54" i="59" s="1"/>
  <c r="X56" i="36"/>
  <c r="X16" i="36" s="1"/>
  <c r="AA53" i="59" s="1"/>
  <c r="X33" i="36"/>
  <c r="X40" i="36" s="1"/>
  <c r="W33" i="36"/>
  <c r="W29" i="36"/>
  <c r="W28" i="36"/>
  <c r="W27" i="36"/>
  <c r="X26" i="36"/>
  <c r="X24" i="36"/>
  <c r="AA74" i="59" s="1"/>
  <c r="X23" i="36"/>
  <c r="AA71" i="59" s="1"/>
  <c r="W23" i="36"/>
  <c r="Z71" i="59" s="1"/>
  <c r="X22" i="36"/>
  <c r="AA67" i="59" s="1"/>
  <c r="W22" i="36"/>
  <c r="Z67" i="59" s="1"/>
  <c r="X21" i="36"/>
  <c r="AA63" i="59" s="1"/>
  <c r="W21" i="36"/>
  <c r="Z63" i="59" s="1"/>
  <c r="W17" i="36"/>
  <c r="W16" i="36"/>
  <c r="W13" i="36"/>
  <c r="Z39" i="59" s="1"/>
  <c r="X12" i="36"/>
  <c r="AA38" i="59" s="1"/>
  <c r="X11" i="36"/>
  <c r="AA37" i="59" s="1"/>
  <c r="X10" i="36"/>
  <c r="AA36" i="59" s="1"/>
  <c r="W9" i="36"/>
  <c r="Z10" i="59" s="1"/>
  <c r="W8" i="36"/>
  <c r="Z9" i="59" s="1"/>
  <c r="W7" i="36"/>
  <c r="Z8" i="59" s="1"/>
  <c r="W5" i="36"/>
  <c r="X28" i="21"/>
  <c r="W27" i="21"/>
  <c r="X24" i="21"/>
  <c r="X25" i="21" s="1"/>
  <c r="X18" i="21"/>
  <c r="X15" i="21"/>
  <c r="X12" i="21"/>
  <c r="W12" i="21"/>
  <c r="W22" i="21" s="1"/>
  <c r="X47" i="35"/>
  <c r="X46" i="35"/>
  <c r="X45" i="35"/>
  <c r="X44" i="35"/>
  <c r="X43" i="35"/>
  <c r="X42" i="35"/>
  <c r="W42" i="35"/>
  <c r="W41" i="35"/>
  <c r="X40" i="35"/>
  <c r="X39" i="35"/>
  <c r="AA76" i="59" s="1"/>
  <c r="W39" i="35"/>
  <c r="X36" i="35"/>
  <c r="X48" i="35" s="1"/>
  <c r="W36" i="35"/>
  <c r="W37" i="28" s="1"/>
  <c r="W33" i="35"/>
  <c r="X32" i="35"/>
  <c r="X31" i="35"/>
  <c r="X30" i="35"/>
  <c r="X203" i="10" s="1"/>
  <c r="X26" i="35"/>
  <c r="X34" i="36" s="1"/>
  <c r="W26" i="35"/>
  <c r="W26" i="21" s="1"/>
  <c r="W21" i="35"/>
  <c r="W26" i="9" s="1"/>
  <c r="X20" i="35"/>
  <c r="W20" i="35"/>
  <c r="X19" i="35"/>
  <c r="W19" i="35"/>
  <c r="X14" i="35"/>
  <c r="X5" i="36" s="1"/>
  <c r="X13" i="35"/>
  <c r="X11" i="35"/>
  <c r="X10" i="6" s="1"/>
  <c r="W10" i="35"/>
  <c r="W9" i="35"/>
  <c r="W8" i="6" s="1"/>
  <c r="W8" i="35"/>
  <c r="X7" i="35"/>
  <c r="X6" i="6" s="1"/>
  <c r="X6" i="35"/>
  <c r="X555" i="28" l="1"/>
  <c r="X556" i="28"/>
  <c r="W526" i="28"/>
  <c r="W31" i="28"/>
  <c r="W63" i="28" s="1"/>
  <c r="W69" i="28" s="1"/>
  <c r="W77" i="28"/>
  <c r="X53" i="7"/>
  <c r="X63" i="7" s="1"/>
  <c r="W53" i="7"/>
  <c r="W77" i="7" s="1"/>
  <c r="X70" i="8"/>
  <c r="W28" i="21"/>
  <c r="W10" i="49"/>
  <c r="W12" i="49" s="1"/>
  <c r="W36" i="8"/>
  <c r="W103" i="7"/>
  <c r="W144" i="6"/>
  <c r="X35" i="8"/>
  <c r="W37" i="8"/>
  <c r="X140" i="6"/>
  <c r="X205" i="6" s="1"/>
  <c r="W63" i="8"/>
  <c r="Z30" i="59"/>
  <c r="W62" i="9"/>
  <c r="AA48" i="59"/>
  <c r="W147" i="6"/>
  <c r="W140" i="6"/>
  <c r="X175" i="6"/>
  <c r="W145" i="6"/>
  <c r="X172" i="6"/>
  <c r="X174" i="6" s="1"/>
  <c r="X8" i="36" s="1"/>
  <c r="AA9" i="59" s="1"/>
  <c r="W175" i="6"/>
  <c r="W173" i="6"/>
  <c r="W172" i="6"/>
  <c r="AA41" i="59"/>
  <c r="AA43" i="59" s="1"/>
  <c r="X121" i="8"/>
  <c r="W35" i="6"/>
  <c r="W8" i="22"/>
  <c r="X35" i="36"/>
  <c r="X36" i="36" s="1"/>
  <c r="X38" i="36" s="1"/>
  <c r="X30" i="36" s="1"/>
  <c r="AA80" i="59" s="1"/>
  <c r="X41" i="36"/>
  <c r="X71" i="36"/>
  <c r="W68" i="36"/>
  <c r="W90" i="9"/>
  <c r="W19" i="9" s="1"/>
  <c r="Z54" i="59"/>
  <c r="V6" i="15"/>
  <c r="Z78" i="59"/>
  <c r="V5" i="15"/>
  <c r="Z77" i="59"/>
  <c r="V7" i="15"/>
  <c r="Z79" i="59"/>
  <c r="W13" i="49"/>
  <c r="Z6" i="59"/>
  <c r="W57" i="36"/>
  <c r="X77" i="7"/>
  <c r="W89" i="9"/>
  <c r="Z53" i="59"/>
  <c r="W23" i="22"/>
  <c r="W60" i="36"/>
  <c r="X33" i="35"/>
  <c r="X37" i="35" s="1"/>
  <c r="X25" i="36" s="1"/>
  <c r="AA75" i="59" s="1"/>
  <c r="X41" i="35"/>
  <c r="X49" i="35" s="1"/>
  <c r="X97" i="11"/>
  <c r="X68" i="36"/>
  <c r="X18" i="36"/>
  <c r="AA55" i="59" s="1"/>
  <c r="X63" i="36"/>
  <c r="X60" i="36"/>
  <c r="X15" i="35"/>
  <c r="X16" i="6"/>
  <c r="X18" i="6"/>
  <c r="X8" i="35"/>
  <c r="X5" i="6"/>
  <c r="X98" i="6" s="1"/>
  <c r="X104" i="6" s="1"/>
  <c r="X106" i="6" s="1"/>
  <c r="X147" i="6" s="1"/>
  <c r="W34" i="36"/>
  <c r="W35" i="36" s="1"/>
  <c r="W36" i="36" s="1"/>
  <c r="W38" i="36" s="1"/>
  <c r="W30" i="36" s="1"/>
  <c r="Z80" i="59" s="1"/>
  <c r="W56" i="36"/>
  <c r="W110" i="8"/>
  <c r="W112" i="8" s="1"/>
  <c r="W11" i="35"/>
  <c r="W10" i="6" s="1"/>
  <c r="W9" i="6"/>
  <c r="W13" i="35"/>
  <c r="W14" i="35"/>
  <c r="X13" i="36"/>
  <c r="AA39" i="59" s="1"/>
  <c r="W34" i="8"/>
  <c r="X103" i="7"/>
  <c r="X13" i="49"/>
  <c r="AA6" i="59"/>
  <c r="X20" i="21"/>
  <c r="W15" i="21"/>
  <c r="W48" i="35"/>
  <c r="W49" i="35" s="1"/>
  <c r="W37" i="35"/>
  <c r="V109" i="9"/>
  <c r="W93" i="28" l="1"/>
  <c r="W78" i="28"/>
  <c r="W97" i="28" s="1"/>
  <c r="W63" i="7"/>
  <c r="W214" i="6"/>
  <c r="W205" i="6"/>
  <c r="W174" i="6"/>
  <c r="X145" i="6"/>
  <c r="AA15" i="59" s="1"/>
  <c r="X144" i="6"/>
  <c r="X146" i="6" s="1"/>
  <c r="X7" i="36" s="1"/>
  <c r="AA8" i="59" s="1"/>
  <c r="X197" i="6"/>
  <c r="X206" i="6"/>
  <c r="W91" i="9"/>
  <c r="X212" i="6"/>
  <c r="W35" i="8"/>
  <c r="X209" i="6"/>
  <c r="W208" i="6"/>
  <c r="X207" i="6"/>
  <c r="X199" i="6"/>
  <c r="X211" i="6"/>
  <c r="X217" i="6"/>
  <c r="W209" i="6"/>
  <c r="X204" i="6"/>
  <c r="X213" i="6"/>
  <c r="X203" i="6"/>
  <c r="X208" i="6"/>
  <c r="W217" i="6"/>
  <c r="W218" i="6" s="1"/>
  <c r="W146" i="6"/>
  <c r="X214" i="6"/>
  <c r="W204" i="6"/>
  <c r="W213" i="6"/>
  <c r="W212" i="6"/>
  <c r="W211" i="6"/>
  <c r="X19" i="36"/>
  <c r="AA56" i="59" s="1"/>
  <c r="W206" i="6"/>
  <c r="W207" i="6"/>
  <c r="W203" i="6"/>
  <c r="X122" i="8"/>
  <c r="X126" i="8" s="1"/>
  <c r="X127" i="8" s="1"/>
  <c r="X124" i="8"/>
  <c r="W15" i="35"/>
  <c r="W25" i="22"/>
  <c r="W10" i="22"/>
  <c r="W14" i="49"/>
  <c r="W15" i="49" s="1"/>
  <c r="W16" i="49" s="1"/>
  <c r="W19" i="49" s="1"/>
  <c r="W20" i="49" s="1"/>
  <c r="X55" i="35"/>
  <c r="X189" i="6"/>
  <c r="X194" i="6"/>
  <c r="X17" i="6"/>
  <c r="X7" i="6"/>
  <c r="X15" i="6"/>
  <c r="W55" i="35"/>
  <c r="T77" i="77"/>
  <c r="S83" i="77"/>
  <c r="X215" i="6" l="1"/>
  <c r="AA11" i="59" s="1"/>
  <c r="W215" i="6"/>
  <c r="W210" i="6"/>
  <c r="W216" i="6" s="1"/>
  <c r="W219" i="6" s="1"/>
  <c r="X210" i="6"/>
  <c r="X216" i="6" s="1"/>
  <c r="X218" i="6"/>
  <c r="X131" i="8"/>
  <c r="X144" i="8" s="1"/>
  <c r="X132" i="8"/>
  <c r="X145" i="8" s="1"/>
  <c r="X130" i="8"/>
  <c r="W11" i="22"/>
  <c r="W26" i="22"/>
  <c r="X19" i="6"/>
  <c r="X168" i="6"/>
  <c r="X164" i="6"/>
  <c r="AZ209" i="73"/>
  <c r="AV209" i="73"/>
  <c r="AT209" i="73"/>
  <c r="AR209" i="73"/>
  <c r="AN209" i="73"/>
  <c r="AL209" i="73"/>
  <c r="AJ209" i="73"/>
  <c r="AH209" i="73"/>
  <c r="AF209" i="73"/>
  <c r="AD209" i="73"/>
  <c r="AB209" i="73"/>
  <c r="X209" i="73"/>
  <c r="V209" i="73"/>
  <c r="T209" i="73"/>
  <c r="S209" i="73"/>
  <c r="R209" i="73"/>
  <c r="P209" i="73"/>
  <c r="O209" i="73"/>
  <c r="N209" i="73"/>
  <c r="L209" i="73"/>
  <c r="K209" i="73"/>
  <c r="J209" i="73"/>
  <c r="H209" i="73"/>
  <c r="Z72" i="10"/>
  <c r="T55" i="10"/>
  <c r="Z55" i="10" s="1"/>
  <c r="T40" i="10"/>
  <c r="T25" i="10"/>
  <c r="Z25" i="10" s="1"/>
  <c r="T24" i="10"/>
  <c r="T33" i="10"/>
  <c r="T12" i="10"/>
  <c r="X219" i="6" l="1"/>
  <c r="X84" i="6"/>
  <c r="Y209" i="73"/>
  <c r="X81" i="6"/>
  <c r="X133" i="8"/>
  <c r="X146" i="8" s="1"/>
  <c r="X143" i="8"/>
  <c r="T199" i="10"/>
  <c r="W28" i="22"/>
  <c r="W13" i="22"/>
  <c r="Z12" i="10"/>
  <c r="X37" i="6"/>
  <c r="X38" i="6"/>
  <c r="X39" i="6"/>
  <c r="X40" i="6"/>
  <c r="X9" i="36"/>
  <c r="AA10" i="59" s="1"/>
  <c r="X41" i="6" l="1"/>
  <c r="J81" i="28"/>
  <c r="J82" i="28"/>
  <c r="J85" i="28"/>
  <c r="J86" i="28"/>
  <c r="J89" i="28"/>
  <c r="J90" i="28"/>
  <c r="J93" i="28"/>
  <c r="J94" i="28"/>
  <c r="J102" i="28"/>
  <c r="J103" i="28"/>
  <c r="J105" i="28"/>
  <c r="J106" i="28"/>
  <c r="J107" i="28"/>
  <c r="J108" i="28"/>
  <c r="J109" i="28"/>
  <c r="J110" i="28"/>
  <c r="J111" i="28"/>
  <c r="J113" i="28"/>
  <c r="J114" i="28"/>
  <c r="J115" i="28"/>
  <c r="J117" i="28"/>
  <c r="J118" i="28"/>
  <c r="J119" i="28"/>
  <c r="J120" i="28"/>
  <c r="J129" i="28"/>
  <c r="J130" i="28"/>
  <c r="J131" i="28"/>
  <c r="J132" i="28"/>
  <c r="J133" i="28"/>
  <c r="J134" i="28"/>
  <c r="J135" i="28"/>
  <c r="J136" i="28"/>
  <c r="J138" i="28"/>
  <c r="J139" i="28"/>
  <c r="J140" i="28"/>
  <c r="J141" i="28"/>
  <c r="J142" i="28"/>
  <c r="J143" i="28"/>
  <c r="J144" i="28"/>
  <c r="J146" i="28"/>
  <c r="J147" i="28"/>
  <c r="J149" i="28"/>
  <c r="J151" i="28"/>
  <c r="J152" i="28"/>
  <c r="J154" i="28"/>
  <c r="J155" i="28"/>
  <c r="J156" i="28"/>
  <c r="J169" i="28"/>
  <c r="J171" i="28"/>
  <c r="J172" i="28"/>
  <c r="J173" i="28"/>
  <c r="J174" i="28"/>
  <c r="J175" i="28"/>
  <c r="J188" i="28"/>
  <c r="J189" i="28"/>
  <c r="J191" i="28"/>
  <c r="J192" i="28"/>
  <c r="J193" i="28"/>
  <c r="J194" i="28"/>
  <c r="J195" i="28"/>
  <c r="J196" i="28"/>
  <c r="J197" i="28"/>
  <c r="J198" i="28"/>
  <c r="J199" i="28"/>
  <c r="J200" i="28"/>
  <c r="J201" i="28"/>
  <c r="J202" i="28"/>
  <c r="J203" i="28"/>
  <c r="J205" i="28"/>
  <c r="J206" i="28"/>
  <c r="J207" i="28"/>
  <c r="J208" i="28"/>
  <c r="J209" i="28"/>
  <c r="J210" i="28"/>
  <c r="J211" i="28"/>
  <c r="J212" i="28"/>
  <c r="J213" i="28"/>
  <c r="J214" i="28"/>
  <c r="J215" i="28"/>
  <c r="J216" i="28"/>
  <c r="J217" i="28"/>
  <c r="J218" i="28"/>
  <c r="J219" i="28"/>
  <c r="J220" i="28"/>
  <c r="J221" i="28"/>
  <c r="J222" i="28"/>
  <c r="J223" i="28"/>
  <c r="J224" i="28"/>
  <c r="J225" i="28"/>
  <c r="J226" i="28"/>
  <c r="J227" i="28"/>
  <c r="J228" i="28"/>
  <c r="J229" i="28"/>
  <c r="J230" i="28"/>
  <c r="J231" i="28"/>
  <c r="J232" i="28"/>
  <c r="J233" i="28"/>
  <c r="J234" i="28"/>
  <c r="J235" i="28"/>
  <c r="J236" i="28"/>
  <c r="J237" i="28"/>
  <c r="J238" i="28"/>
  <c r="J239" i="28"/>
  <c r="J242" i="28"/>
  <c r="J243" i="28"/>
  <c r="J244" i="28"/>
  <c r="J245" i="28"/>
  <c r="J246" i="28"/>
  <c r="J247" i="28"/>
  <c r="J248" i="28"/>
  <c r="J249" i="28"/>
  <c r="J250" i="28"/>
  <c r="J252" i="28"/>
  <c r="J253" i="28"/>
  <c r="J254" i="28"/>
  <c r="J255" i="28"/>
  <c r="J263" i="28"/>
  <c r="J273" i="28"/>
  <c r="J275" i="28"/>
  <c r="J277" i="28"/>
  <c r="J279" i="28"/>
  <c r="J281" i="28"/>
  <c r="J283" i="28"/>
  <c r="J287" i="28"/>
  <c r="J290" i="28"/>
  <c r="J291" i="28"/>
  <c r="J292" i="28"/>
  <c r="J293" i="28"/>
  <c r="J294" i="28"/>
  <c r="J295" i="28"/>
  <c r="J296" i="28"/>
  <c r="J298" i="28"/>
  <c r="J299" i="28"/>
  <c r="J300" i="28"/>
  <c r="J301" i="28"/>
  <c r="J302" i="28"/>
  <c r="J303" i="28"/>
  <c r="J304" i="28"/>
  <c r="J305" i="28"/>
  <c r="J306" i="28"/>
  <c r="J307" i="28"/>
  <c r="J308" i="28"/>
  <c r="J309" i="28"/>
  <c r="J310" i="28"/>
  <c r="J311" i="28"/>
  <c r="J312" i="28"/>
  <c r="J313" i="28"/>
  <c r="J314" i="28"/>
  <c r="J315" i="28"/>
  <c r="J316" i="28"/>
  <c r="J317" i="28"/>
  <c r="J318" i="28"/>
  <c r="J319" i="28"/>
  <c r="J320" i="28"/>
  <c r="J321" i="28"/>
  <c r="J322" i="28"/>
  <c r="J324" i="28"/>
  <c r="J328" i="28"/>
  <c r="J329" i="28"/>
  <c r="J330" i="28"/>
  <c r="J331" i="28"/>
  <c r="J336" i="28"/>
  <c r="J447" i="28"/>
  <c r="J448" i="28"/>
  <c r="J449" i="28"/>
  <c r="J450" i="28"/>
  <c r="J451" i="28"/>
  <c r="J452" i="28"/>
  <c r="J453" i="28"/>
  <c r="J454" i="28"/>
  <c r="J455" i="28"/>
  <c r="J456" i="28"/>
  <c r="J457" i="28"/>
  <c r="J458" i="28"/>
  <c r="J459" i="28"/>
  <c r="J627" i="28"/>
  <c r="J628" i="28"/>
  <c r="J629" i="28"/>
  <c r="T103" i="9" l="1"/>
  <c r="S80" i="26"/>
  <c r="S112" i="26" l="1"/>
  <c r="R110" i="26"/>
  <c r="R108" i="26"/>
  <c r="R106" i="26"/>
  <c r="R104" i="26"/>
  <c r="R102" i="26"/>
  <c r="R100" i="26"/>
  <c r="R98" i="26"/>
  <c r="R96" i="26"/>
  <c r="S92" i="26"/>
  <c r="R89" i="26"/>
  <c r="R87" i="26"/>
  <c r="R85" i="26"/>
  <c r="R83" i="26"/>
  <c r="S81" i="26"/>
  <c r="R78" i="26"/>
  <c r="R76" i="26"/>
  <c r="S73" i="26"/>
  <c r="R71" i="26"/>
  <c r="R69" i="26"/>
  <c r="R67" i="26"/>
  <c r="R65" i="26"/>
  <c r="R63" i="26"/>
  <c r="R61" i="26"/>
  <c r="R59" i="26"/>
  <c r="R57" i="26"/>
  <c r="R52" i="26"/>
  <c r="R50" i="26"/>
  <c r="S48" i="26"/>
  <c r="R46" i="26"/>
  <c r="S43" i="26"/>
  <c r="R41" i="26"/>
  <c r="R39" i="26"/>
  <c r="R37" i="26"/>
  <c r="R35" i="26"/>
  <c r="R33" i="26"/>
  <c r="R31" i="26"/>
  <c r="R29" i="26"/>
  <c r="R27" i="26"/>
  <c r="R25" i="26"/>
  <c r="R23" i="26"/>
  <c r="R21" i="26"/>
  <c r="R17" i="26"/>
  <c r="R15" i="26"/>
  <c r="S12" i="26"/>
  <c r="R11" i="26"/>
  <c r="R9" i="26"/>
  <c r="S18" i="26" l="1"/>
  <c r="R48" i="26"/>
  <c r="R54" i="26" s="1"/>
  <c r="S55" i="26"/>
  <c r="R81" i="26"/>
  <c r="R92" i="26"/>
  <c r="R80" i="26"/>
  <c r="R112" i="26"/>
  <c r="R73" i="26"/>
  <c r="R43" i="26"/>
  <c r="R12" i="26"/>
  <c r="S13" i="26"/>
  <c r="S19" i="26"/>
  <c r="S54" i="26"/>
  <c r="S49" i="26"/>
  <c r="U80" i="17"/>
  <c r="R18" i="26" l="1"/>
  <c r="R49" i="26"/>
  <c r="R55" i="26"/>
  <c r="R19" i="26"/>
  <c r="R13" i="26"/>
  <c r="S37" i="27"/>
  <c r="S35" i="27"/>
  <c r="S27" i="27"/>
  <c r="S29" i="27"/>
  <c r="S28" i="27"/>
  <c r="S20" i="27"/>
  <c r="S19" i="27"/>
  <c r="S18" i="27"/>
  <c r="S36" i="27" l="1"/>
  <c r="S39" i="27" s="1"/>
  <c r="R36" i="27"/>
  <c r="R39" i="27" s="1"/>
  <c r="R27" i="27"/>
  <c r="R33" i="27" s="1"/>
  <c r="S26" i="27"/>
  <c r="S33" i="27" s="1"/>
  <c r="S22" i="27"/>
  <c r="S21" i="27"/>
  <c r="S24" i="27" s="1"/>
  <c r="R21" i="27"/>
  <c r="R20" i="27"/>
  <c r="R19" i="27"/>
  <c r="R18" i="27"/>
  <c r="R24" i="27" l="1"/>
  <c r="S57" i="17"/>
  <c r="R57" i="17"/>
  <c r="S56" i="17"/>
  <c r="R56" i="17"/>
  <c r="S55" i="17"/>
  <c r="R55" i="17"/>
  <c r="S54" i="17"/>
  <c r="R54" i="17"/>
  <c r="S53" i="17"/>
  <c r="R53" i="17"/>
  <c r="S44" i="17"/>
  <c r="R44" i="17"/>
  <c r="S37" i="17"/>
  <c r="S39" i="17" s="1"/>
  <c r="R37" i="17"/>
  <c r="R39" i="17" s="1"/>
  <c r="R31" i="17"/>
  <c r="S29" i="17"/>
  <c r="S30" i="17" s="1"/>
  <c r="R28" i="17"/>
  <c r="R25" i="17"/>
  <c r="S22" i="17"/>
  <c r="S23" i="17" s="1"/>
  <c r="R22" i="17"/>
  <c r="S19" i="17"/>
  <c r="R18" i="17"/>
  <c r="S17" i="17"/>
  <c r="R16" i="17"/>
  <c r="S14" i="17"/>
  <c r="S15" i="17" s="1"/>
  <c r="R14" i="17"/>
  <c r="S13" i="17"/>
  <c r="S11" i="17"/>
  <c r="S9" i="17"/>
  <c r="S85" i="17" l="1"/>
  <c r="R85" i="17"/>
  <c r="R29" i="17"/>
  <c r="R32" i="17" s="1"/>
  <c r="R20" i="17"/>
  <c r="S32" i="17"/>
  <c r="S20" i="17"/>
  <c r="T17" i="49"/>
  <c r="T18" i="49" s="1"/>
  <c r="T11" i="49"/>
  <c r="S11" i="49"/>
  <c r="T9" i="49"/>
  <c r="T8" i="49"/>
  <c r="R30" i="17" l="1"/>
  <c r="R24" i="17"/>
  <c r="S24" i="17"/>
  <c r="S21" i="17"/>
  <c r="S25" i="17" l="1"/>
  <c r="S100" i="90"/>
  <c r="S91" i="90"/>
  <c r="S117" i="90" l="1"/>
  <c r="S129" i="90"/>
  <c r="S31" i="15"/>
  <c r="S30" i="15"/>
  <c r="S29" i="15"/>
  <c r="S25" i="15"/>
  <c r="S24" i="15"/>
  <c r="S23" i="15"/>
  <c r="S22" i="15"/>
  <c r="S21" i="15"/>
  <c r="R19" i="15"/>
  <c r="S18" i="15"/>
  <c r="S15" i="15"/>
  <c r="R12" i="15"/>
  <c r="R13" i="15" s="1"/>
  <c r="S10" i="15"/>
  <c r="S9" i="15"/>
  <c r="R9" i="15"/>
  <c r="S8" i="15"/>
  <c r="R8" i="15"/>
  <c r="S7" i="15"/>
  <c r="S6" i="15"/>
  <c r="S5" i="15"/>
  <c r="U4" i="50"/>
  <c r="U5" i="50"/>
  <c r="U6" i="50"/>
  <c r="U7" i="50"/>
  <c r="U8" i="50"/>
  <c r="U9" i="50"/>
  <c r="U10" i="50"/>
  <c r="U11" i="50"/>
  <c r="U12" i="50"/>
  <c r="U13" i="50"/>
  <c r="U14" i="50"/>
  <c r="U15" i="50"/>
  <c r="U16" i="50"/>
  <c r="U17" i="50"/>
  <c r="U18" i="50"/>
  <c r="U19" i="50"/>
  <c r="U20" i="50"/>
  <c r="U21" i="50"/>
  <c r="U22" i="50"/>
  <c r="U23" i="50"/>
  <c r="U24" i="50"/>
  <c r="U25" i="50"/>
  <c r="U26" i="50"/>
  <c r="U27" i="50"/>
  <c r="U29" i="50"/>
  <c r="U30" i="50"/>
  <c r="U31" i="50"/>
  <c r="U32" i="50"/>
  <c r="U33" i="50"/>
  <c r="U34" i="50"/>
  <c r="U35" i="50"/>
  <c r="U36" i="50"/>
  <c r="U37" i="50"/>
  <c r="U39" i="50"/>
  <c r="U40" i="50"/>
  <c r="U41" i="50"/>
  <c r="U42" i="50"/>
  <c r="U43" i="50"/>
  <c r="U44" i="50"/>
  <c r="U45" i="50"/>
  <c r="U47" i="50"/>
  <c r="U48" i="50"/>
  <c r="U49" i="50"/>
  <c r="U50" i="50"/>
  <c r="U51" i="50"/>
  <c r="U52" i="50"/>
  <c r="U53" i="50"/>
  <c r="U79" i="50"/>
  <c r="U129" i="50" s="1"/>
  <c r="U94" i="50"/>
  <c r="U139" i="50" s="1"/>
  <c r="U102" i="50"/>
  <c r="U103" i="50"/>
  <c r="U112" i="50"/>
  <c r="U113" i="50"/>
  <c r="U116" i="50"/>
  <c r="U128" i="50"/>
  <c r="U138" i="50"/>
  <c r="U142" i="50"/>
  <c r="U143" i="50"/>
  <c r="U145" i="50"/>
  <c r="O33" i="72"/>
  <c r="S33" i="72" s="1"/>
  <c r="K33" i="72"/>
  <c r="Y33" i="72" s="1"/>
  <c r="AC33" i="72" s="1"/>
  <c r="AG33" i="72" s="1"/>
  <c r="AM33" i="72" s="1"/>
  <c r="AQ33" i="72" s="1"/>
  <c r="AU33" i="72" s="1"/>
  <c r="BC33" i="72" s="1"/>
  <c r="K34" i="72"/>
  <c r="Y34" i="72" s="1"/>
  <c r="AC34" i="72" s="1"/>
  <c r="AG34" i="72" s="1"/>
  <c r="AM34" i="72" s="1"/>
  <c r="AQ34" i="72" s="1"/>
  <c r="AU34" i="72" s="1"/>
  <c r="BC34" i="72" s="1"/>
  <c r="AU35" i="71"/>
  <c r="AW35" i="71"/>
  <c r="BA35" i="71"/>
  <c r="BE35" i="71"/>
  <c r="BI35" i="71"/>
  <c r="CQ35" i="71"/>
  <c r="CS35" i="71" s="1"/>
  <c r="BC35" i="71" l="1"/>
  <c r="CU35" i="71"/>
  <c r="BO35" i="71"/>
  <c r="U140" i="50"/>
  <c r="U54" i="50"/>
  <c r="U125" i="50" s="1"/>
  <c r="U46" i="50"/>
  <c r="U121" i="50" s="1"/>
  <c r="U38" i="50"/>
  <c r="U109" i="50" s="1"/>
  <c r="U117" i="50"/>
  <c r="U141" i="50"/>
  <c r="S32" i="15"/>
  <c r="U130" i="50"/>
  <c r="U131" i="50"/>
  <c r="BG35" i="71"/>
  <c r="BK35" i="71" s="1"/>
  <c r="BI7" i="71"/>
  <c r="BI8" i="71"/>
  <c r="BI9" i="71"/>
  <c r="S68" i="90" s="1"/>
  <c r="BI10" i="71"/>
  <c r="BI11" i="71"/>
  <c r="BI12" i="71"/>
  <c r="BI13" i="71"/>
  <c r="BI14" i="71"/>
  <c r="BI15" i="71"/>
  <c r="BI16" i="71"/>
  <c r="BI17" i="71"/>
  <c r="BI18" i="71"/>
  <c r="BI19" i="71"/>
  <c r="S69" i="90" s="1"/>
  <c r="BI20" i="71"/>
  <c r="S70" i="90" s="1"/>
  <c r="BI21" i="71"/>
  <c r="S71" i="90" s="1"/>
  <c r="BI22" i="71"/>
  <c r="S72" i="90" s="1"/>
  <c r="BI25" i="71"/>
  <c r="BI26" i="71"/>
  <c r="BI27" i="71"/>
  <c r="S73" i="90" s="1"/>
  <c r="BI28" i="71"/>
  <c r="BI29" i="71"/>
  <c r="BI30" i="71"/>
  <c r="BI33" i="71"/>
  <c r="BI34" i="71"/>
  <c r="BI36" i="71"/>
  <c r="BI37" i="71"/>
  <c r="BI38" i="71"/>
  <c r="S74" i="90" s="1"/>
  <c r="BI39" i="71"/>
  <c r="BI40" i="71"/>
  <c r="BI41" i="71"/>
  <c r="BI42" i="71"/>
  <c r="S76" i="90" s="1"/>
  <c r="BI43" i="71"/>
  <c r="S77" i="90" s="1"/>
  <c r="BI45" i="71"/>
  <c r="S78" i="90" s="1"/>
  <c r="BI46" i="71"/>
  <c r="BI47" i="71"/>
  <c r="S79" i="90" s="1"/>
  <c r="BI48" i="71"/>
  <c r="S80" i="90" s="1"/>
  <c r="BI49" i="71"/>
  <c r="S81" i="90" s="1"/>
  <c r="BI51" i="71"/>
  <c r="S83" i="90" s="1"/>
  <c r="BI52" i="71"/>
  <c r="S84" i="90" s="1"/>
  <c r="BI53" i="71"/>
  <c r="BI54" i="71"/>
  <c r="BI55" i="71"/>
  <c r="BI56" i="71"/>
  <c r="S85" i="90" s="1"/>
  <c r="BI57" i="71"/>
  <c r="AE168" i="45"/>
  <c r="X94" i="38"/>
  <c r="X93" i="38"/>
  <c r="X92" i="38"/>
  <c r="X91" i="38"/>
  <c r="W90" i="38"/>
  <c r="X89" i="38"/>
  <c r="W88" i="38"/>
  <c r="X86" i="38"/>
  <c r="X85" i="38"/>
  <c r="X84" i="38"/>
  <c r="X83" i="38"/>
  <c r="W82" i="38"/>
  <c r="X80" i="38"/>
  <c r="X79" i="38"/>
  <c r="X78" i="38"/>
  <c r="X77" i="38"/>
  <c r="X76" i="38"/>
  <c r="X75" i="38"/>
  <c r="X74" i="38"/>
  <c r="X73" i="38"/>
  <c r="X72" i="38"/>
  <c r="X71" i="38"/>
  <c r="X70" i="38"/>
  <c r="X69" i="38"/>
  <c r="X68" i="38"/>
  <c r="X67" i="38"/>
  <c r="W66" i="38"/>
  <c r="X62" i="38"/>
  <c r="X61" i="38"/>
  <c r="W60" i="38"/>
  <c r="X59" i="38"/>
  <c r="X58" i="38"/>
  <c r="X57" i="38"/>
  <c r="X56" i="38"/>
  <c r="X55" i="38"/>
  <c r="W54" i="38"/>
  <c r="W52" i="38"/>
  <c r="X51" i="38"/>
  <c r="W51" i="38"/>
  <c r="W46" i="38"/>
  <c r="W45" i="38"/>
  <c r="W44" i="38"/>
  <c r="W43" i="38"/>
  <c r="X42" i="38"/>
  <c r="X90" i="38" s="1"/>
  <c r="W41" i="38"/>
  <c r="W40" i="38" s="1"/>
  <c r="X40" i="38"/>
  <c r="W38" i="38"/>
  <c r="W37" i="38"/>
  <c r="W36" i="38"/>
  <c r="W35" i="38"/>
  <c r="X34" i="38"/>
  <c r="X82" i="38" s="1"/>
  <c r="W32" i="38"/>
  <c r="W31" i="38"/>
  <c r="W30" i="38"/>
  <c r="W29" i="38"/>
  <c r="W28" i="38"/>
  <c r="W27" i="38"/>
  <c r="W26" i="38"/>
  <c r="W25" i="38"/>
  <c r="W24" i="38"/>
  <c r="W23" i="38"/>
  <c r="W22" i="38"/>
  <c r="W21" i="38"/>
  <c r="W20" i="38"/>
  <c r="W19" i="38"/>
  <c r="X18" i="38"/>
  <c r="W14" i="38"/>
  <c r="W13" i="38"/>
  <c r="X12" i="38"/>
  <c r="X60" i="38" s="1"/>
  <c r="W11" i="38"/>
  <c r="W10" i="38"/>
  <c r="W9" i="38"/>
  <c r="W8" i="38"/>
  <c r="W7" i="38"/>
  <c r="X6" i="38"/>
  <c r="BQ35" i="71" l="1"/>
  <c r="BU35" i="71" s="1"/>
  <c r="BY35" i="71" s="1"/>
  <c r="CE35" i="71"/>
  <c r="W34" i="38"/>
  <c r="W12" i="38"/>
  <c r="W42" i="38"/>
  <c r="W39" i="38" s="1"/>
  <c r="W87" i="38"/>
  <c r="X39" i="38"/>
  <c r="X87" i="38" s="1"/>
  <c r="X17" i="38"/>
  <c r="X65" i="38" s="1"/>
  <c r="U95" i="50"/>
  <c r="W65" i="38"/>
  <c r="W64" i="38" s="1"/>
  <c r="X88" i="38"/>
  <c r="X15" i="38"/>
  <c r="X63" i="38" s="1"/>
  <c r="X54" i="38"/>
  <c r="W18" i="38"/>
  <c r="W63" i="38"/>
  <c r="W6" i="38"/>
  <c r="W15" i="38" s="1"/>
  <c r="X66" i="38"/>
  <c r="W17" i="38" l="1"/>
  <c r="CI35" i="71"/>
  <c r="CM35" i="71" s="1"/>
  <c r="X16" i="38"/>
  <c r="X64" i="38" s="1"/>
  <c r="X96" i="38" s="1"/>
  <c r="W16" i="38"/>
  <c r="W48" i="38" s="1"/>
  <c r="W96" i="38"/>
  <c r="X48" i="38" l="1"/>
  <c r="T29" i="22"/>
  <c r="T25" i="22"/>
  <c r="T24" i="22"/>
  <c r="T14" i="22"/>
  <c r="T10" i="22"/>
  <c r="T9" i="22"/>
  <c r="S75" i="45"/>
  <c r="S96" i="45"/>
  <c r="W96" i="45" s="1"/>
  <c r="S101" i="45"/>
  <c r="W101" i="45" s="1"/>
  <c r="T12" i="22" l="1"/>
  <c r="T27" i="22"/>
  <c r="W75" i="45"/>
  <c r="N19" i="11"/>
  <c r="R19" i="11" l="1"/>
  <c r="V19" i="11" s="1"/>
  <c r="AB19" i="11"/>
  <c r="AF19" i="11" s="1"/>
  <c r="AJ19" i="11" s="1"/>
  <c r="AP19" i="11" s="1"/>
  <c r="AT19" i="11" s="1"/>
  <c r="AX19" i="11" s="1"/>
  <c r="BF19" i="11" s="1"/>
  <c r="U126" i="45"/>
  <c r="U157" i="45"/>
  <c r="U156" i="45"/>
  <c r="U154" i="45"/>
  <c r="U148" i="45"/>
  <c r="U143" i="45"/>
  <c r="T143" i="45"/>
  <c r="U142" i="45"/>
  <c r="T142" i="45"/>
  <c r="U141" i="45"/>
  <c r="T141" i="45"/>
  <c r="U140" i="45"/>
  <c r="T140" i="45"/>
  <c r="U138" i="45"/>
  <c r="T138" i="45"/>
  <c r="U136" i="45"/>
  <c r="T136" i="45"/>
  <c r="U134" i="45"/>
  <c r="T134" i="45"/>
  <c r="U131" i="45"/>
  <c r="T131" i="45"/>
  <c r="T132" i="45" s="1"/>
  <c r="U122" i="45"/>
  <c r="U159" i="45" s="1"/>
  <c r="U121" i="45"/>
  <c r="T121" i="45"/>
  <c r="T144" i="45" s="1"/>
  <c r="U120" i="45"/>
  <c r="U158" i="45" s="1"/>
  <c r="T91" i="11"/>
  <c r="T89" i="11"/>
  <c r="T83" i="11"/>
  <c r="T78" i="11"/>
  <c r="S78" i="11"/>
  <c r="T77" i="11"/>
  <c r="S77" i="11"/>
  <c r="T76" i="11"/>
  <c r="S76" i="11"/>
  <c r="T75" i="11"/>
  <c r="S75" i="11"/>
  <c r="T73" i="11"/>
  <c r="S73" i="11"/>
  <c r="T71" i="11"/>
  <c r="S71" i="11"/>
  <c r="T69" i="11"/>
  <c r="S69" i="11"/>
  <c r="T66" i="11"/>
  <c r="S66" i="11"/>
  <c r="T64" i="11"/>
  <c r="T59" i="11"/>
  <c r="T57" i="11"/>
  <c r="T56" i="11"/>
  <c r="S56" i="11"/>
  <c r="S58" i="11" s="1"/>
  <c r="T55" i="11"/>
  <c r="T190" i="10"/>
  <c r="T188" i="10"/>
  <c r="T182" i="10"/>
  <c r="T183" i="10" s="1"/>
  <c r="T177" i="10"/>
  <c r="S177" i="10"/>
  <c r="T176" i="10"/>
  <c r="S176" i="10"/>
  <c r="T175" i="10"/>
  <c r="S175" i="10"/>
  <c r="T174" i="10"/>
  <c r="S174" i="10"/>
  <c r="T172" i="10"/>
  <c r="S172" i="10"/>
  <c r="T170" i="10"/>
  <c r="S170" i="10"/>
  <c r="T168" i="10"/>
  <c r="S168" i="10"/>
  <c r="T165" i="10"/>
  <c r="T166" i="10" s="1"/>
  <c r="S165" i="10"/>
  <c r="S166" i="10" s="1"/>
  <c r="T160" i="10"/>
  <c r="S159" i="10"/>
  <c r="T159" i="10"/>
  <c r="T158" i="10"/>
  <c r="T192" i="10" l="1"/>
  <c r="T196" i="10"/>
  <c r="T210" i="10"/>
  <c r="T139" i="45"/>
  <c r="U155" i="45"/>
  <c r="U132" i="45"/>
  <c r="T92" i="11"/>
  <c r="T61" i="11"/>
  <c r="S67" i="11"/>
  <c r="T84" i="11"/>
  <c r="T85" i="11"/>
  <c r="T67" i="11"/>
  <c r="S161" i="10"/>
  <c r="S203" i="10"/>
  <c r="T200" i="10"/>
  <c r="S178" i="10"/>
  <c r="S173" i="10"/>
  <c r="U108" i="50"/>
  <c r="U111" i="50" s="1"/>
  <c r="U118" i="50" s="1"/>
  <c r="S158" i="10"/>
  <c r="S210" i="10" s="1"/>
  <c r="U124" i="45"/>
  <c r="U125" i="45" s="1"/>
  <c r="U124" i="50"/>
  <c r="U126" i="50" s="1"/>
  <c r="T58" i="11"/>
  <c r="U120" i="50"/>
  <c r="U122" i="50" s="1"/>
  <c r="T123" i="45"/>
  <c r="U160" i="45"/>
  <c r="S55" i="11"/>
  <c r="S79" i="11"/>
  <c r="S74" i="11"/>
  <c r="S97" i="11"/>
  <c r="T79" i="11"/>
  <c r="U144" i="45"/>
  <c r="U139" i="45"/>
  <c r="U123" i="45"/>
  <c r="T120" i="45"/>
  <c r="U149" i="45"/>
  <c r="T124" i="45"/>
  <c r="U150" i="45"/>
  <c r="T90" i="11"/>
  <c r="T60" i="11"/>
  <c r="T74" i="11"/>
  <c r="T93" i="11"/>
  <c r="T189" i="10"/>
  <c r="T184" i="10"/>
  <c r="T173" i="10"/>
  <c r="T191" i="10"/>
  <c r="T193" i="10" s="1"/>
  <c r="T178" i="10"/>
  <c r="T161" i="10"/>
  <c r="T3" i="8"/>
  <c r="T94" i="11" l="1"/>
  <c r="U110" i="50"/>
  <c r="T147" i="9"/>
  <c r="T148" i="9" s="1"/>
  <c r="S101" i="9"/>
  <c r="T99" i="9"/>
  <c r="S99" i="9"/>
  <c r="T98" i="9"/>
  <c r="S98" i="9"/>
  <c r="T97" i="9"/>
  <c r="S97" i="9"/>
  <c r="T93" i="9"/>
  <c r="S76" i="9"/>
  <c r="S74" i="9"/>
  <c r="T60" i="9"/>
  <c r="T57" i="9"/>
  <c r="S53" i="9"/>
  <c r="S52" i="9"/>
  <c r="S47" i="9"/>
  <c r="T46" i="9"/>
  <c r="T36" i="9"/>
  <c r="T35" i="9"/>
  <c r="T47" i="9" s="1"/>
  <c r="T34" i="9"/>
  <c r="T31" i="9"/>
  <c r="T25" i="9"/>
  <c r="S24" i="9"/>
  <c r="S22" i="9"/>
  <c r="T19" i="9"/>
  <c r="T10" i="9"/>
  <c r="T5" i="9"/>
  <c r="S25" i="9" l="1"/>
  <c r="S88" i="9" s="1"/>
  <c r="T62" i="9"/>
  <c r="T48" i="9"/>
  <c r="T49" i="9" s="1"/>
  <c r="T72" i="9" s="1"/>
  <c r="S90" i="90"/>
  <c r="U134" i="50"/>
  <c r="T89" i="9"/>
  <c r="S130" i="26"/>
  <c r="T34" i="22"/>
  <c r="T37" i="9"/>
  <c r="T100" i="9"/>
  <c r="T94" i="9"/>
  <c r="S19" i="15" s="1"/>
  <c r="T90" i="9"/>
  <c r="T91" i="9" s="1"/>
  <c r="T96" i="9"/>
  <c r="T14" i="9"/>
  <c r="S77" i="9"/>
  <c r="T87" i="9" l="1"/>
  <c r="T83" i="9"/>
  <c r="T52" i="9"/>
  <c r="T85" i="9"/>
  <c r="T82" i="9"/>
  <c r="T53" i="9"/>
  <c r="T86" i="9"/>
  <c r="T75" i="9"/>
  <c r="T80" i="9"/>
  <c r="T73" i="9"/>
  <c r="T74" i="9" s="1"/>
  <c r="T84" i="9"/>
  <c r="T81" i="9"/>
  <c r="T78" i="9"/>
  <c r="T76" i="9"/>
  <c r="T77" i="9" l="1"/>
  <c r="T79" i="9" s="1"/>
  <c r="T109" i="8" l="1"/>
  <c r="T110" i="8" s="1"/>
  <c r="T52" i="8" s="1"/>
  <c r="T121" i="8" s="1"/>
  <c r="T94" i="8"/>
  <c r="T91" i="8"/>
  <c r="S91" i="8"/>
  <c r="T89" i="8"/>
  <c r="S89" i="8"/>
  <c r="T88" i="8"/>
  <c r="S88" i="8"/>
  <c r="S87" i="8"/>
  <c r="S82" i="8"/>
  <c r="T80" i="8"/>
  <c r="T75" i="8"/>
  <c r="S74" i="8"/>
  <c r="S73" i="8"/>
  <c r="S72" i="8"/>
  <c r="S71" i="8"/>
  <c r="T68" i="8"/>
  <c r="T66" i="8"/>
  <c r="T64" i="8"/>
  <c r="T61" i="8"/>
  <c r="T58" i="8"/>
  <c r="T62" i="8" s="1"/>
  <c r="S52" i="8"/>
  <c r="T49" i="8"/>
  <c r="S49" i="8"/>
  <c r="S46" i="8"/>
  <c r="S45" i="8"/>
  <c r="S44" i="8"/>
  <c r="S43" i="8"/>
  <c r="S41" i="8"/>
  <c r="S40" i="8"/>
  <c r="S39" i="8"/>
  <c r="T26" i="8"/>
  <c r="T17" i="8"/>
  <c r="S17" i="8"/>
  <c r="S15" i="8"/>
  <c r="S14" i="8"/>
  <c r="T13" i="8"/>
  <c r="T6" i="8"/>
  <c r="S6" i="8"/>
  <c r="S42" i="8" l="1"/>
  <c r="S28" i="8"/>
  <c r="T65" i="8"/>
  <c r="T16" i="8"/>
  <c r="T67" i="8"/>
  <c r="T37" i="8" s="1"/>
  <c r="T69" i="8"/>
  <c r="S24" i="8"/>
  <c r="S27" i="8"/>
  <c r="S59" i="8" s="1"/>
  <c r="S6" i="49"/>
  <c r="S29" i="8"/>
  <c r="S92" i="8"/>
  <c r="T47" i="8"/>
  <c r="T6" i="49"/>
  <c r="S23" i="8"/>
  <c r="T82" i="8"/>
  <c r="T39" i="8"/>
  <c r="T45" i="8"/>
  <c r="T92" i="8"/>
  <c r="T111" i="8"/>
  <c r="T112" i="8" s="1"/>
  <c r="T53" i="8" s="1"/>
  <c r="T123" i="8" s="1"/>
  <c r="T122" i="8" s="1"/>
  <c r="T126" i="8" s="1"/>
  <c r="T127" i="8" s="1"/>
  <c r="T34" i="8"/>
  <c r="S25" i="8"/>
  <c r="S30" i="8"/>
  <c r="S50" i="8"/>
  <c r="S51" i="8" s="1"/>
  <c r="S31" i="8"/>
  <c r="T40" i="8"/>
  <c r="T43" i="8"/>
  <c r="T136" i="8" s="1"/>
  <c r="T46" i="8"/>
  <c r="T138" i="8" s="1"/>
  <c r="T50" i="8"/>
  <c r="T51" i="8" s="1"/>
  <c r="T59" i="8"/>
  <c r="S85" i="8"/>
  <c r="T86" i="8"/>
  <c r="T41" i="8"/>
  <c r="T44" i="8"/>
  <c r="T137" i="8" s="1"/>
  <c r="S69" i="8" l="1"/>
  <c r="S63" i="8"/>
  <c r="S9" i="49"/>
  <c r="T73" i="8"/>
  <c r="T74" i="8"/>
  <c r="S8" i="49"/>
  <c r="T36" i="8"/>
  <c r="T10" i="49"/>
  <c r="T12" i="49" s="1"/>
  <c r="T72" i="8"/>
  <c r="T131" i="8"/>
  <c r="T144" i="8" s="1"/>
  <c r="T130" i="8"/>
  <c r="T143" i="8" s="1"/>
  <c r="T132" i="8"/>
  <c r="T145" i="8" s="1"/>
  <c r="T124" i="8"/>
  <c r="T139" i="8"/>
  <c r="S26" i="8"/>
  <c r="S17" i="49"/>
  <c r="S18" i="49" s="1"/>
  <c r="S65" i="8"/>
  <c r="T78" i="8"/>
  <c r="S6" i="26"/>
  <c r="T42" i="8"/>
  <c r="S67" i="8"/>
  <c r="T63" i="8"/>
  <c r="S109" i="8"/>
  <c r="S35" i="8" l="1"/>
  <c r="S37" i="8"/>
  <c r="S36" i="8"/>
  <c r="T133" i="8"/>
  <c r="T146" i="8" s="1"/>
  <c r="S34" i="8"/>
  <c r="S10" i="49"/>
  <c r="S12" i="49" s="1"/>
  <c r="S111" i="8"/>
  <c r="S110" i="8"/>
  <c r="T35" i="8"/>
  <c r="T70" i="8"/>
  <c r="T71" i="8"/>
  <c r="S112" i="8" l="1"/>
  <c r="S113" i="7" l="1"/>
  <c r="S112" i="7"/>
  <c r="S111" i="7"/>
  <c r="S110" i="7"/>
  <c r="S109" i="7"/>
  <c r="S108" i="7"/>
  <c r="S107" i="7"/>
  <c r="S106" i="7"/>
  <c r="S85" i="7"/>
  <c r="T84" i="7"/>
  <c r="S84" i="7"/>
  <c r="T82" i="7"/>
  <c r="S82" i="7"/>
  <c r="T75" i="7"/>
  <c r="S75" i="7"/>
  <c r="T71" i="7"/>
  <c r="T73" i="7" s="1"/>
  <c r="S71" i="7"/>
  <c r="S73" i="7" s="1"/>
  <c r="T67" i="7"/>
  <c r="S67" i="7"/>
  <c r="T21" i="7"/>
  <c r="S49" i="39" s="1"/>
  <c r="S21" i="7"/>
  <c r="S41" i="7" s="1"/>
  <c r="S51" i="7" s="1"/>
  <c r="S61" i="39"/>
  <c r="T44" i="22" s="1"/>
  <c r="S60" i="39"/>
  <c r="T43" i="22" s="1"/>
  <c r="S48" i="39"/>
  <c r="S47" i="39"/>
  <c r="S46" i="39"/>
  <c r="S43" i="39"/>
  <c r="S42" i="39"/>
  <c r="S8" i="39"/>
  <c r="T81" i="7" l="1"/>
  <c r="T26" i="7"/>
  <c r="T36" i="7"/>
  <c r="T99" i="7" s="1"/>
  <c r="T37" i="7"/>
  <c r="T100" i="7" s="1"/>
  <c r="T34" i="7"/>
  <c r="T97" i="7" s="1"/>
  <c r="T31" i="7"/>
  <c r="T27" i="7"/>
  <c r="T91" i="7" s="1"/>
  <c r="T24" i="7"/>
  <c r="T60" i="7"/>
  <c r="T57" i="7"/>
  <c r="T54" i="7"/>
  <c r="T29" i="7"/>
  <c r="T93" i="7" s="1"/>
  <c r="T33" i="7"/>
  <c r="T96" i="7" s="1"/>
  <c r="T56" i="7"/>
  <c r="T101" i="7" s="1"/>
  <c r="T23" i="7"/>
  <c r="T87" i="7" s="1"/>
  <c r="T35" i="7"/>
  <c r="T98" i="7" s="1"/>
  <c r="T32" i="7"/>
  <c r="T95" i="7" s="1"/>
  <c r="T28" i="7"/>
  <c r="T92" i="7" s="1"/>
  <c r="T25" i="7"/>
  <c r="T62" i="7"/>
  <c r="T61" i="7"/>
  <c r="T102" i="7" s="1"/>
  <c r="T58" i="7"/>
  <c r="T55" i="7"/>
  <c r="T59" i="7"/>
  <c r="S81" i="7"/>
  <c r="S36" i="7"/>
  <c r="S99" i="7" s="1"/>
  <c r="S33" i="7"/>
  <c r="S96" i="7" s="1"/>
  <c r="S29" i="7"/>
  <c r="S93" i="7" s="1"/>
  <c r="S26" i="7"/>
  <c r="S59" i="7"/>
  <c r="S56" i="7"/>
  <c r="S101" i="7" s="1"/>
  <c r="S37" i="7"/>
  <c r="S100" i="7" s="1"/>
  <c r="S34" i="7"/>
  <c r="S97" i="7" s="1"/>
  <c r="S31" i="7"/>
  <c r="S27" i="7"/>
  <c r="S91" i="7" s="1"/>
  <c r="S24" i="7"/>
  <c r="S60" i="7"/>
  <c r="S57" i="7"/>
  <c r="S54" i="7"/>
  <c r="S23" i="7"/>
  <c r="S87" i="7" s="1"/>
  <c r="S35" i="7"/>
  <c r="S98" i="7" s="1"/>
  <c r="S32" i="7"/>
  <c r="S95" i="7" s="1"/>
  <c r="S28" i="7"/>
  <c r="S92" i="7" s="1"/>
  <c r="S25" i="7"/>
  <c r="S62" i="7"/>
  <c r="S61" i="7"/>
  <c r="S102" i="7" s="1"/>
  <c r="S58" i="7"/>
  <c r="S55" i="7"/>
  <c r="S22" i="39"/>
  <c r="S68" i="7"/>
  <c r="S78" i="7"/>
  <c r="T83" i="7"/>
  <c r="T69" i="7"/>
  <c r="T76" i="7"/>
  <c r="T78" i="7"/>
  <c r="S83" i="7"/>
  <c r="S23" i="39"/>
  <c r="T41" i="7"/>
  <c r="T51" i="7" s="1"/>
  <c r="S76" i="7"/>
  <c r="S50" i="39"/>
  <c r="S45" i="39"/>
  <c r="S90" i="7" l="1"/>
  <c r="V32" i="59" s="1"/>
  <c r="S88" i="7"/>
  <c r="T89" i="7"/>
  <c r="T88" i="7"/>
  <c r="S89" i="7"/>
  <c r="T90" i="7"/>
  <c r="W32" i="59" s="1"/>
  <c r="S51" i="39"/>
  <c r="S24" i="39"/>
  <c r="T38" i="7"/>
  <c r="S38" i="7"/>
  <c r="S53" i="7" s="1"/>
  <c r="T53" i="7" l="1"/>
  <c r="T77" i="7" s="1"/>
  <c r="T63" i="7"/>
  <c r="T103" i="7"/>
  <c r="S103" i="7"/>
  <c r="S77" i="7"/>
  <c r="S63" i="7"/>
  <c r="T222" i="6" l="1"/>
  <c r="S222" i="6"/>
  <c r="T221" i="6"/>
  <c r="S221" i="6"/>
  <c r="S199" i="6"/>
  <c r="T198" i="6"/>
  <c r="S198" i="6"/>
  <c r="S197" i="6"/>
  <c r="T193" i="6"/>
  <c r="S193" i="6"/>
  <c r="T192" i="6"/>
  <c r="S192" i="6"/>
  <c r="T191" i="6"/>
  <c r="S191" i="6"/>
  <c r="S190" i="6"/>
  <c r="S189" i="6"/>
  <c r="S186" i="6"/>
  <c r="S185" i="6"/>
  <c r="S184" i="6"/>
  <c r="S183" i="6"/>
  <c r="S182" i="6"/>
  <c r="S181" i="6"/>
  <c r="S179" i="6"/>
  <c r="S178" i="6"/>
  <c r="S177" i="6"/>
  <c r="T167" i="6"/>
  <c r="S167" i="6"/>
  <c r="T166" i="6"/>
  <c r="S166" i="6"/>
  <c r="S165" i="6"/>
  <c r="S164" i="6"/>
  <c r="S161" i="6"/>
  <c r="S160" i="6"/>
  <c r="S159" i="6"/>
  <c r="S158" i="6"/>
  <c r="S157" i="6"/>
  <c r="S156" i="6"/>
  <c r="S154" i="6"/>
  <c r="S153" i="6"/>
  <c r="S149" i="6"/>
  <c r="T139" i="6"/>
  <c r="T136" i="6"/>
  <c r="S136" i="6"/>
  <c r="T135" i="6"/>
  <c r="S135" i="6"/>
  <c r="T134" i="6"/>
  <c r="S134" i="6"/>
  <c r="T133" i="6"/>
  <c r="S133" i="6"/>
  <c r="T131" i="6"/>
  <c r="S131" i="6"/>
  <c r="T130" i="6"/>
  <c r="S130" i="6"/>
  <c r="T128" i="6"/>
  <c r="S128" i="6"/>
  <c r="T127" i="6"/>
  <c r="S127" i="6"/>
  <c r="T126" i="6"/>
  <c r="S126" i="6"/>
  <c r="T125" i="6"/>
  <c r="S125" i="6"/>
  <c r="T120" i="6"/>
  <c r="S120" i="6"/>
  <c r="T115" i="6"/>
  <c r="S115" i="6"/>
  <c r="T103" i="6"/>
  <c r="S103" i="6"/>
  <c r="S98" i="6"/>
  <c r="S85" i="6"/>
  <c r="S83" i="6"/>
  <c r="S82" i="6"/>
  <c r="S80" i="6"/>
  <c r="S79" i="6"/>
  <c r="T77" i="6"/>
  <c r="S77" i="6"/>
  <c r="T69" i="6"/>
  <c r="S69" i="6"/>
  <c r="T66" i="6"/>
  <c r="S66" i="6"/>
  <c r="T56" i="6"/>
  <c r="T55" i="6"/>
  <c r="T54" i="6"/>
  <c r="T51" i="6"/>
  <c r="T48" i="6"/>
  <c r="T45" i="6"/>
  <c r="S41" i="6"/>
  <c r="T34" i="6"/>
  <c r="T33" i="6"/>
  <c r="T32" i="6"/>
  <c r="T29" i="6"/>
  <c r="T26" i="6"/>
  <c r="T23" i="6"/>
  <c r="S18" i="6"/>
  <c r="S17" i="6"/>
  <c r="S24" i="6" s="1"/>
  <c r="S16" i="6"/>
  <c r="S15" i="6"/>
  <c r="T9" i="6"/>
  <c r="T8" i="6"/>
  <c r="S7" i="6"/>
  <c r="S34" i="39" l="1"/>
  <c r="S168" i="6"/>
  <c r="S25" i="6"/>
  <c r="T121" i="6"/>
  <c r="S121" i="6"/>
  <c r="S137" i="6"/>
  <c r="S132" i="6"/>
  <c r="T137" i="6"/>
  <c r="T57" i="6"/>
  <c r="T35" i="6"/>
  <c r="S27" i="6"/>
  <c r="S163" i="6"/>
  <c r="S21" i="6"/>
  <c r="S30" i="6"/>
  <c r="S104" i="6"/>
  <c r="S19" i="6"/>
  <c r="S22" i="6"/>
  <c r="S31" i="6"/>
  <c r="T132" i="6"/>
  <c r="S194" i="6"/>
  <c r="S28" i="6"/>
  <c r="S188" i="6"/>
  <c r="S91" i="77"/>
  <c r="S90" i="77"/>
  <c r="S81" i="77"/>
  <c r="S80" i="77"/>
  <c r="S242" i="73"/>
  <c r="S240" i="73"/>
  <c r="S229" i="73"/>
  <c r="S42" i="77" s="1"/>
  <c r="S220" i="73"/>
  <c r="S181" i="73"/>
  <c r="S168" i="73"/>
  <c r="S179" i="73" s="1"/>
  <c r="S134" i="73"/>
  <c r="S132" i="73"/>
  <c r="S130" i="73"/>
  <c r="S126" i="73"/>
  <c r="S122" i="73"/>
  <c r="S113" i="73"/>
  <c r="S106" i="73"/>
  <c r="S102" i="73"/>
  <c r="S62" i="73"/>
  <c r="S56" i="73"/>
  <c r="S51" i="73"/>
  <c r="S46" i="73"/>
  <c r="S35" i="73"/>
  <c r="S30" i="73"/>
  <c r="S22" i="73"/>
  <c r="S20" i="73"/>
  <c r="S120" i="90" s="1"/>
  <c r="S8" i="73"/>
  <c r="W79" i="59"/>
  <c r="W78" i="59"/>
  <c r="W77" i="59"/>
  <c r="V75" i="59"/>
  <c r="V74" i="59"/>
  <c r="W73" i="59"/>
  <c r="V73" i="59"/>
  <c r="W72" i="59"/>
  <c r="V72" i="59"/>
  <c r="W69" i="59"/>
  <c r="V69" i="59"/>
  <c r="W68" i="59"/>
  <c r="V68" i="59"/>
  <c r="W65" i="59"/>
  <c r="V65" i="59"/>
  <c r="W64" i="59"/>
  <c r="V64" i="59"/>
  <c r="W61" i="59"/>
  <c r="V61" i="59"/>
  <c r="W60" i="59"/>
  <c r="V60" i="59"/>
  <c r="W59" i="59"/>
  <c r="W58" i="59"/>
  <c r="V58" i="59"/>
  <c r="W57" i="59"/>
  <c r="V57" i="59"/>
  <c r="V52" i="59"/>
  <c r="W51" i="59"/>
  <c r="V51" i="59"/>
  <c r="W50" i="59"/>
  <c r="V50" i="59"/>
  <c r="W49" i="59"/>
  <c r="V49" i="59"/>
  <c r="W47" i="59"/>
  <c r="V47" i="59"/>
  <c r="W46" i="59"/>
  <c r="V46" i="59"/>
  <c r="W45" i="59"/>
  <c r="V45" i="59"/>
  <c r="W44" i="59"/>
  <c r="V44" i="59"/>
  <c r="W42" i="59"/>
  <c r="V42" i="59"/>
  <c r="W41" i="59"/>
  <c r="V41" i="59"/>
  <c r="W40" i="59"/>
  <c r="V40" i="59"/>
  <c r="V38" i="59"/>
  <c r="V37" i="59"/>
  <c r="V36" i="59"/>
  <c r="W35" i="59"/>
  <c r="V35" i="59"/>
  <c r="W34" i="59"/>
  <c r="V34" i="59"/>
  <c r="W33" i="59"/>
  <c r="V33" i="59"/>
  <c r="W31" i="59"/>
  <c r="V31" i="59"/>
  <c r="W30" i="59"/>
  <c r="V30" i="59"/>
  <c r="W29" i="59"/>
  <c r="V29" i="59"/>
  <c r="W28" i="59"/>
  <c r="V28" i="59"/>
  <c r="W27" i="59"/>
  <c r="W26" i="59"/>
  <c r="W25" i="59"/>
  <c r="W24" i="59"/>
  <c r="W23" i="59"/>
  <c r="W20" i="59"/>
  <c r="W19" i="59"/>
  <c r="W18" i="59"/>
  <c r="W17" i="59"/>
  <c r="W16" i="59"/>
  <c r="W12" i="59"/>
  <c r="V12" i="59"/>
  <c r="V11" i="59"/>
  <c r="S72" i="36"/>
  <c r="S71" i="36"/>
  <c r="S69" i="36"/>
  <c r="S67" i="36"/>
  <c r="S66" i="36"/>
  <c r="T64" i="36"/>
  <c r="T72" i="36" s="1"/>
  <c r="T62" i="36"/>
  <c r="T70" i="36" s="1"/>
  <c r="T61" i="36"/>
  <c r="T69" i="36" s="1"/>
  <c r="T59" i="36"/>
  <c r="T67" i="36" s="1"/>
  <c r="T58" i="36"/>
  <c r="T66" i="36" s="1"/>
  <c r="T57" i="36"/>
  <c r="T17" i="36" s="1"/>
  <c r="W54" i="59" s="1"/>
  <c r="T56" i="36"/>
  <c r="T16" i="36" s="1"/>
  <c r="T33" i="36"/>
  <c r="T40" i="36" s="1"/>
  <c r="S29" i="36"/>
  <c r="R7" i="15" s="1"/>
  <c r="S28" i="36"/>
  <c r="R6" i="15" s="1"/>
  <c r="S27" i="36"/>
  <c r="R5" i="15" s="1"/>
  <c r="T26" i="36"/>
  <c r="T24" i="36"/>
  <c r="W74" i="59" s="1"/>
  <c r="T23" i="36"/>
  <c r="W71" i="59" s="1"/>
  <c r="S23" i="36"/>
  <c r="V71" i="59" s="1"/>
  <c r="T22" i="36"/>
  <c r="W67" i="59" s="1"/>
  <c r="S22" i="36"/>
  <c r="V67" i="59" s="1"/>
  <c r="T21" i="36"/>
  <c r="W63" i="59" s="1"/>
  <c r="S21" i="36"/>
  <c r="V63" i="59" s="1"/>
  <c r="S17" i="36"/>
  <c r="S90" i="9" s="1"/>
  <c r="S16" i="36"/>
  <c r="V53" i="59" s="1"/>
  <c r="S13" i="36"/>
  <c r="V39" i="59" s="1"/>
  <c r="T12" i="36"/>
  <c r="W38" i="59" s="1"/>
  <c r="T11" i="36"/>
  <c r="W37" i="59" s="1"/>
  <c r="T10" i="36"/>
  <c r="S9" i="36"/>
  <c r="V10" i="59" s="1"/>
  <c r="S8" i="36"/>
  <c r="V9" i="59" s="1"/>
  <c r="S7" i="36"/>
  <c r="V8" i="59" s="1"/>
  <c r="S5" i="36"/>
  <c r="S13" i="49" s="1"/>
  <c r="S14" i="49" s="1"/>
  <c r="S15" i="49" s="1"/>
  <c r="S16" i="49" s="1"/>
  <c r="S19" i="49" s="1"/>
  <c r="S20" i="49" s="1"/>
  <c r="T28" i="21"/>
  <c r="S27" i="21"/>
  <c r="T24" i="21"/>
  <c r="T25" i="21" s="1"/>
  <c r="T18" i="21"/>
  <c r="T15" i="21"/>
  <c r="T12" i="21"/>
  <c r="S12" i="21"/>
  <c r="S15" i="21" s="1"/>
  <c r="S34" i="35"/>
  <c r="S23" i="35"/>
  <c r="S13" i="8" s="1"/>
  <c r="S18" i="35"/>
  <c r="S33" i="36" s="1"/>
  <c r="S16" i="35"/>
  <c r="T555" i="28" l="1"/>
  <c r="T556" i="28"/>
  <c r="U101" i="50"/>
  <c r="U104" i="50" s="1"/>
  <c r="U105" i="50" s="1"/>
  <c r="S48" i="28"/>
  <c r="V43" i="59"/>
  <c r="S68" i="36"/>
  <c r="S6" i="73"/>
  <c r="S37" i="77"/>
  <c r="S118" i="73"/>
  <c r="S26" i="6"/>
  <c r="S16" i="8"/>
  <c r="S81" i="6"/>
  <c r="S106" i="6"/>
  <c r="S123" i="6"/>
  <c r="T123" i="6"/>
  <c r="S89" i="77"/>
  <c r="S57" i="36"/>
  <c r="S61" i="36"/>
  <c r="S63" i="36" s="1"/>
  <c r="S12" i="15"/>
  <c r="S13" i="15" s="1"/>
  <c r="S14" i="15" s="1"/>
  <c r="S84" i="77"/>
  <c r="R18" i="15"/>
  <c r="R15" i="15" s="1"/>
  <c r="R16" i="15" s="1"/>
  <c r="S5" i="9"/>
  <c r="S19" i="9" s="1"/>
  <c r="S64" i="36"/>
  <c r="V54" i="59"/>
  <c r="V77" i="59"/>
  <c r="S58" i="36"/>
  <c r="V78" i="59"/>
  <c r="S59" i="36"/>
  <c r="S56" i="36"/>
  <c r="S89" i="9"/>
  <c r="S91" i="9" s="1"/>
  <c r="V6" i="59"/>
  <c r="V79" i="59"/>
  <c r="S84" i="6"/>
  <c r="S137" i="73"/>
  <c r="S5" i="73"/>
  <c r="U144" i="50"/>
  <c r="U146" i="50" s="1"/>
  <c r="U147" i="50" s="1"/>
  <c r="T68" i="36"/>
  <c r="T18" i="36"/>
  <c r="W55" i="59" s="1"/>
  <c r="T71" i="36"/>
  <c r="W48" i="59"/>
  <c r="T13" i="36"/>
  <c r="W39" i="59" s="1"/>
  <c r="T138" i="6"/>
  <c r="W53" i="59"/>
  <c r="T63" i="36"/>
  <c r="T60" i="36"/>
  <c r="W36" i="59"/>
  <c r="W43" i="59"/>
  <c r="V48" i="59"/>
  <c r="S138" i="6"/>
  <c r="S32" i="6"/>
  <c r="S29" i="6"/>
  <c r="S34" i="6"/>
  <c r="S33" i="6"/>
  <c r="S23" i="6"/>
  <c r="T20" i="21"/>
  <c r="S22" i="21"/>
  <c r="S502" i="28" l="1"/>
  <c r="S42" i="28"/>
  <c r="S144" i="6"/>
  <c r="S146" i="6" s="1"/>
  <c r="S145" i="6"/>
  <c r="S175" i="6"/>
  <c r="S172" i="6"/>
  <c r="S173" i="6"/>
  <c r="S147" i="6"/>
  <c r="T140" i="6"/>
  <c r="S140" i="6"/>
  <c r="T173" i="6"/>
  <c r="W22" i="59" s="1"/>
  <c r="T175" i="6"/>
  <c r="T172" i="6"/>
  <c r="S122" i="90"/>
  <c r="S126" i="90" s="1"/>
  <c r="S95" i="77"/>
  <c r="S60" i="36"/>
  <c r="S69" i="9"/>
  <c r="R130" i="26"/>
  <c r="S34" i="22"/>
  <c r="S95" i="9"/>
  <c r="S56" i="9"/>
  <c r="S55" i="9"/>
  <c r="S70" i="9"/>
  <c r="S65" i="9"/>
  <c r="S64" i="9"/>
  <c r="S100" i="9"/>
  <c r="S92" i="9"/>
  <c r="S66" i="9"/>
  <c r="S63" i="9"/>
  <c r="S67" i="9"/>
  <c r="S68" i="9"/>
  <c r="S58" i="9"/>
  <c r="S61" i="9"/>
  <c r="S59" i="9"/>
  <c r="S27" i="9"/>
  <c r="S7" i="9"/>
  <c r="S35" i="6"/>
  <c r="T19" i="36"/>
  <c r="W56" i="59" s="1"/>
  <c r="S208" i="6" l="1"/>
  <c r="S205" i="6"/>
  <c r="T207" i="6"/>
  <c r="T205" i="6"/>
  <c r="T174" i="6"/>
  <c r="T8" i="36" s="1"/>
  <c r="W9" i="59" s="1"/>
  <c r="T208" i="6"/>
  <c r="T203" i="6"/>
  <c r="T206" i="6"/>
  <c r="T204" i="6"/>
  <c r="S212" i="6"/>
  <c r="T211" i="6"/>
  <c r="T213" i="6"/>
  <c r="T214" i="6"/>
  <c r="T217" i="6"/>
  <c r="T212" i="6"/>
  <c r="S204" i="6"/>
  <c r="S209" i="6"/>
  <c r="S213" i="6"/>
  <c r="S211" i="6"/>
  <c r="S217" i="6"/>
  <c r="S218" i="6" s="1"/>
  <c r="T209" i="6"/>
  <c r="S203" i="6"/>
  <c r="S206" i="6"/>
  <c r="S214" i="6"/>
  <c r="S174" i="6"/>
  <c r="S207" i="6"/>
  <c r="T199" i="6"/>
  <c r="S57" i="9"/>
  <c r="S60" i="9"/>
  <c r="S22" i="22"/>
  <c r="S7" i="22"/>
  <c r="T215" i="6" l="1"/>
  <c r="W11" i="59" s="1"/>
  <c r="T210" i="6"/>
  <c r="T216" i="6" s="1"/>
  <c r="S215" i="6"/>
  <c r="T218" i="6"/>
  <c r="S210" i="6"/>
  <c r="S62" i="9"/>
  <c r="S8" i="22"/>
  <c r="S23" i="22"/>
  <c r="T219" i="6" l="1"/>
  <c r="S216" i="6"/>
  <c r="S219" i="6" s="1"/>
  <c r="S25" i="22"/>
  <c r="S10" i="22"/>
  <c r="T9" i="36"/>
  <c r="W10" i="59" s="1"/>
  <c r="T47" i="35"/>
  <c r="T46" i="35"/>
  <c r="T45" i="35"/>
  <c r="T44" i="35"/>
  <c r="T43" i="35"/>
  <c r="T42" i="35"/>
  <c r="S42" i="35"/>
  <c r="S41" i="35"/>
  <c r="T40" i="35"/>
  <c r="T39" i="35"/>
  <c r="W76" i="59" s="1"/>
  <c r="S39" i="35"/>
  <c r="T36" i="35"/>
  <c r="T48" i="35" s="1"/>
  <c r="S36" i="35"/>
  <c r="S37" i="28" s="1"/>
  <c r="S33" i="35"/>
  <c r="T32" i="35"/>
  <c r="T31" i="35"/>
  <c r="T30" i="35"/>
  <c r="T203" i="10" s="1"/>
  <c r="T26" i="35"/>
  <c r="S26" i="35"/>
  <c r="S21" i="35"/>
  <c r="S26" i="9" s="1"/>
  <c r="T20" i="35"/>
  <c r="S20" i="35"/>
  <c r="T19" i="35"/>
  <c r="S19" i="35"/>
  <c r="T14" i="35"/>
  <c r="T5" i="36" s="1"/>
  <c r="T13" i="49" s="1"/>
  <c r="T14" i="49" s="1"/>
  <c r="T13" i="35"/>
  <c r="T11" i="35"/>
  <c r="T10" i="6" s="1"/>
  <c r="S10" i="35"/>
  <c r="S9" i="35"/>
  <c r="S8" i="35"/>
  <c r="T7" i="35"/>
  <c r="T6" i="6" s="1"/>
  <c r="T6" i="35"/>
  <c r="T5" i="6" s="1"/>
  <c r="T98" i="6" s="1"/>
  <c r="S526" i="28" l="1"/>
  <c r="S31" i="28"/>
  <c r="S63" i="28" s="1"/>
  <c r="S69" i="28" s="1"/>
  <c r="S77" i="28"/>
  <c r="T104" i="6"/>
  <c r="T106" i="6" s="1"/>
  <c r="T144" i="6" s="1"/>
  <c r="S11" i="22"/>
  <c r="S26" i="22"/>
  <c r="S26" i="21"/>
  <c r="S28" i="21" s="1"/>
  <c r="S34" i="36"/>
  <c r="S35" i="36" s="1"/>
  <c r="S36" i="36" s="1"/>
  <c r="S38" i="36" s="1"/>
  <c r="S30" i="36" s="1"/>
  <c r="V80" i="59" s="1"/>
  <c r="S14" i="35"/>
  <c r="S9" i="6"/>
  <c r="S48" i="35"/>
  <c r="S49" i="35" s="1"/>
  <c r="S11" i="35"/>
  <c r="S10" i="6" s="1"/>
  <c r="S8" i="6"/>
  <c r="T33" i="35"/>
  <c r="T37" i="35" s="1"/>
  <c r="T97" i="11"/>
  <c r="T34" i="36"/>
  <c r="T16" i="6"/>
  <c r="T18" i="6"/>
  <c r="T17" i="6"/>
  <c r="T15" i="6"/>
  <c r="T7" i="6"/>
  <c r="T15" i="35"/>
  <c r="W6" i="59"/>
  <c r="S37" i="35"/>
  <c r="T8" i="35"/>
  <c r="S13" i="35"/>
  <c r="T41" i="35"/>
  <c r="T49" i="35" s="1"/>
  <c r="K69" i="90"/>
  <c r="G69" i="90"/>
  <c r="E69" i="90"/>
  <c r="S55" i="35" l="1"/>
  <c r="S93" i="28"/>
  <c r="S78" i="28"/>
  <c r="S97" i="28" s="1"/>
  <c r="T147" i="6"/>
  <c r="T145" i="6"/>
  <c r="W15" i="59" s="1"/>
  <c r="T197" i="6"/>
  <c r="T15" i="49" s="1"/>
  <c r="T16" i="49" s="1"/>
  <c r="T19" i="49" s="1"/>
  <c r="T20" i="49" s="1"/>
  <c r="S15" i="35"/>
  <c r="S28" i="22"/>
  <c r="S13" i="22"/>
  <c r="T35" i="36"/>
  <c r="T36" i="36" s="1"/>
  <c r="T38" i="36" s="1"/>
  <c r="T30" i="36" s="1"/>
  <c r="W80" i="59" s="1"/>
  <c r="T41" i="36"/>
  <c r="T25" i="36"/>
  <c r="W75" i="59" s="1"/>
  <c r="U98" i="50"/>
  <c r="U96" i="50" s="1"/>
  <c r="T55" i="35"/>
  <c r="T194" i="6"/>
  <c r="T189" i="6"/>
  <c r="T164" i="6"/>
  <c r="T168" i="6"/>
  <c r="T19" i="6"/>
  <c r="T146" i="6" l="1"/>
  <c r="T7" i="36" s="1"/>
  <c r="W8" i="59" s="1"/>
  <c r="T40" i="6"/>
  <c r="T39" i="6"/>
  <c r="T38" i="6"/>
  <c r="T37" i="6"/>
  <c r="T84" i="6"/>
  <c r="T81" i="6"/>
  <c r="Q128" i="45"/>
  <c r="P109" i="10"/>
  <c r="Z109" i="10" s="1"/>
  <c r="P90" i="10"/>
  <c r="Z90" i="10" s="1"/>
  <c r="P68" i="10"/>
  <c r="Z68" i="10" s="1"/>
  <c r="P24" i="10"/>
  <c r="P33" i="10"/>
  <c r="Z33" i="10" s="1"/>
  <c r="P40" i="10"/>
  <c r="Z40" i="10" s="1"/>
  <c r="P199" i="10" l="1"/>
  <c r="Z24" i="10"/>
  <c r="T41" i="6"/>
  <c r="AZ229" i="73" l="1"/>
  <c r="AT229" i="73"/>
  <c r="AT42" i="77" s="1"/>
  <c r="AR229" i="73"/>
  <c r="AN229" i="73"/>
  <c r="AL229" i="73"/>
  <c r="AJ229" i="73"/>
  <c r="AJ42" i="77" s="1"/>
  <c r="AJ37" i="77" s="1"/>
  <c r="AH229" i="73"/>
  <c r="AF229" i="73"/>
  <c r="AF42" i="77" s="1"/>
  <c r="AF37" i="77" s="1"/>
  <c r="AD229" i="73"/>
  <c r="AB229" i="73"/>
  <c r="AB42" i="77" s="1"/>
  <c r="X229" i="73"/>
  <c r="V229" i="73"/>
  <c r="V42" i="77" s="1"/>
  <c r="V37" i="77" s="1"/>
  <c r="T229" i="73"/>
  <c r="R229" i="73"/>
  <c r="R42" i="77" s="1"/>
  <c r="R37" i="77" s="1"/>
  <c r="P229" i="73"/>
  <c r="O229" i="73"/>
  <c r="O42" i="77" s="1"/>
  <c r="N229" i="73"/>
  <c r="N42" i="77" s="1"/>
  <c r="L229" i="73"/>
  <c r="K229" i="73"/>
  <c r="K42" i="77" s="1"/>
  <c r="K37" i="77" s="1"/>
  <c r="J229" i="73"/>
  <c r="J42" i="77" s="1"/>
  <c r="H229" i="73"/>
  <c r="G42" i="77"/>
  <c r="AZ242" i="73"/>
  <c r="AV242" i="73"/>
  <c r="AT242" i="73"/>
  <c r="AR242" i="73"/>
  <c r="AN242" i="73"/>
  <c r="AL242" i="73"/>
  <c r="AJ242" i="73"/>
  <c r="AH242" i="73"/>
  <c r="AF242" i="73"/>
  <c r="AD242" i="73"/>
  <c r="AB242" i="73"/>
  <c r="X242" i="73"/>
  <c r="V242" i="73"/>
  <c r="T242" i="73"/>
  <c r="R242" i="73"/>
  <c r="P242" i="73"/>
  <c r="O242" i="73"/>
  <c r="N242" i="73"/>
  <c r="L242" i="73"/>
  <c r="K242" i="73"/>
  <c r="J242" i="73"/>
  <c r="H242" i="73"/>
  <c r="G242" i="73"/>
  <c r="AZ240" i="73"/>
  <c r="AV240" i="73"/>
  <c r="AT240" i="73"/>
  <c r="AR240" i="73"/>
  <c r="AN240" i="73"/>
  <c r="AL240" i="73"/>
  <c r="AJ240" i="73"/>
  <c r="AH240" i="73"/>
  <c r="AF240" i="73"/>
  <c r="AD240" i="73"/>
  <c r="AB240" i="73"/>
  <c r="X240" i="73"/>
  <c r="V240" i="73"/>
  <c r="T240" i="73"/>
  <c r="R240" i="73"/>
  <c r="P240" i="73"/>
  <c r="O240" i="73"/>
  <c r="N240" i="73"/>
  <c r="L240" i="73"/>
  <c r="K240" i="73"/>
  <c r="J240" i="73"/>
  <c r="H240" i="73"/>
  <c r="J37" i="77" l="1"/>
  <c r="L42" i="77"/>
  <c r="O37" i="77"/>
  <c r="Y42" i="77"/>
  <c r="AE42" i="77"/>
  <c r="AE37" i="77" s="1"/>
  <c r="AA42" i="77"/>
  <c r="BE42" i="77" s="1"/>
  <c r="AS42" i="77"/>
  <c r="AS37" i="77" s="1"/>
  <c r="AO42" i="77"/>
  <c r="AO37" i="77" s="1"/>
  <c r="AI42" i="77"/>
  <c r="AI37" i="77" s="1"/>
  <c r="AW42" i="77"/>
  <c r="AW37" i="77" s="1"/>
  <c r="U42" i="77"/>
  <c r="U37" i="77" s="1"/>
  <c r="M42" i="77"/>
  <c r="Q42" i="77"/>
  <c r="Q37" i="77" s="1"/>
  <c r="G37" i="77"/>
  <c r="I42" i="77"/>
  <c r="I37" i="77" s="1"/>
  <c r="AB37" i="77"/>
  <c r="AL42" i="77"/>
  <c r="AT37" i="77"/>
  <c r="AZ42" i="77"/>
  <c r="AZ37" i="77" s="1"/>
  <c r="N37" i="77"/>
  <c r="X42" i="77"/>
  <c r="X37" i="77" s="1"/>
  <c r="Y242" i="73"/>
  <c r="Y240" i="73"/>
  <c r="Y229" i="73"/>
  <c r="Q4" i="83"/>
  <c r="Q5" i="83"/>
  <c r="Q6" i="83"/>
  <c r="Q7" i="83"/>
  <c r="Q8" i="83"/>
  <c r="Q9" i="83"/>
  <c r="Q10" i="83"/>
  <c r="Q11" i="83"/>
  <c r="Q12" i="83"/>
  <c r="Q13" i="83"/>
  <c r="Q14" i="83"/>
  <c r="Q15" i="83"/>
  <c r="Q16" i="83"/>
  <c r="Q17" i="83"/>
  <c r="Q18" i="83"/>
  <c r="Q19" i="83"/>
  <c r="Q20" i="83"/>
  <c r="Q21" i="83"/>
  <c r="Q22" i="83"/>
  <c r="Q23" i="83"/>
  <c r="Q24" i="83"/>
  <c r="Q25" i="83"/>
  <c r="Q26" i="83"/>
  <c r="Q27" i="83"/>
  <c r="Q29" i="83"/>
  <c r="Q30" i="83"/>
  <c r="Q31" i="83"/>
  <c r="Q32" i="83"/>
  <c r="Q33" i="83"/>
  <c r="Q34" i="83"/>
  <c r="Q35" i="83"/>
  <c r="Q36" i="83"/>
  <c r="Q37" i="83"/>
  <c r="Q39" i="83"/>
  <c r="Q40" i="83"/>
  <c r="Q41" i="83"/>
  <c r="Q42" i="83"/>
  <c r="Q43" i="83"/>
  <c r="Q44" i="83"/>
  <c r="Q46" i="83"/>
  <c r="Q47" i="83"/>
  <c r="Q48" i="83"/>
  <c r="Q49" i="83"/>
  <c r="Q50" i="83"/>
  <c r="Q52" i="83"/>
  <c r="Q53" i="83"/>
  <c r="Q54" i="83"/>
  <c r="Q55" i="83"/>
  <c r="Q56" i="83"/>
  <c r="Q57" i="83"/>
  <c r="Q58" i="83"/>
  <c r="Q59" i="83"/>
  <c r="Q60" i="83"/>
  <c r="Q61" i="83"/>
  <c r="Q62" i="83"/>
  <c r="Q63" i="83"/>
  <c r="Q64" i="83"/>
  <c r="Q65" i="83"/>
  <c r="Q66" i="83"/>
  <c r="Q67" i="83"/>
  <c r="Q68" i="83"/>
  <c r="Q70" i="83"/>
  <c r="Q72" i="83"/>
  <c r="Q73" i="83"/>
  <c r="Q74" i="83"/>
  <c r="Q75" i="83"/>
  <c r="M37" i="77" l="1"/>
  <c r="Y37" i="77"/>
  <c r="AA37" i="77"/>
  <c r="BE37" i="77" s="1"/>
  <c r="AL37" i="77"/>
  <c r="BB42" i="77"/>
  <c r="BB37" i="77" s="1"/>
  <c r="P42" i="77"/>
  <c r="L37" i="77"/>
  <c r="Z42" i="77"/>
  <c r="Q69" i="83"/>
  <c r="Q76" i="83"/>
  <c r="Q51" i="83"/>
  <c r="Q38" i="83"/>
  <c r="Q45" i="83"/>
  <c r="P147" i="9"/>
  <c r="P148" i="9" s="1"/>
  <c r="AD42" i="77" l="1"/>
  <c r="Z37" i="77"/>
  <c r="T42" i="77"/>
  <c r="T37" i="77" s="1"/>
  <c r="P37" i="77"/>
  <c r="Q77" i="83"/>
  <c r="R109" i="9"/>
  <c r="AH42" i="77" l="1"/>
  <c r="AD37" i="77"/>
  <c r="P62" i="77"/>
  <c r="T62" i="77" s="1"/>
  <c r="P44" i="77"/>
  <c r="T44" i="77" s="1"/>
  <c r="AN42" i="77" l="1"/>
  <c r="AH37" i="77"/>
  <c r="P16" i="52"/>
  <c r="O16" i="52"/>
  <c r="P103" i="9"/>
  <c r="AN37" i="77" l="1"/>
  <c r="AR42" i="77"/>
  <c r="O80" i="26"/>
  <c r="AV42" i="77" l="1"/>
  <c r="AR37" i="77"/>
  <c r="O31" i="15"/>
  <c r="O30" i="15"/>
  <c r="O29" i="15"/>
  <c r="O25" i="15"/>
  <c r="O24" i="15"/>
  <c r="O23" i="15"/>
  <c r="O22" i="15"/>
  <c r="O21" i="15"/>
  <c r="N19" i="15"/>
  <c r="O18" i="15"/>
  <c r="O15" i="15"/>
  <c r="N12" i="15"/>
  <c r="N13" i="15" s="1"/>
  <c r="O10" i="15"/>
  <c r="O9" i="15"/>
  <c r="N9" i="15"/>
  <c r="O8" i="15"/>
  <c r="N8" i="15"/>
  <c r="O7" i="15"/>
  <c r="O6" i="15"/>
  <c r="O5" i="15"/>
  <c r="BD42" i="77" l="1"/>
  <c r="BD37" i="77" s="1"/>
  <c r="AV37" i="77"/>
  <c r="O32" i="15"/>
  <c r="O36" i="15" s="1"/>
  <c r="O16" i="15" s="1"/>
  <c r="O17" i="15" s="1"/>
  <c r="O57" i="17"/>
  <c r="O56" i="17"/>
  <c r="O55" i="17"/>
  <c r="O54" i="17"/>
  <c r="O53" i="17"/>
  <c r="N53" i="17"/>
  <c r="O44" i="17"/>
  <c r="N44" i="17"/>
  <c r="O37" i="17"/>
  <c r="O39" i="17" s="1"/>
  <c r="N37" i="17"/>
  <c r="N39" i="17" s="1"/>
  <c r="N31" i="17"/>
  <c r="O29" i="17"/>
  <c r="O30" i="17" s="1"/>
  <c r="N28" i="17"/>
  <c r="N25" i="17"/>
  <c r="O22" i="17"/>
  <c r="O23" i="17" s="1"/>
  <c r="N22" i="17"/>
  <c r="O19" i="17"/>
  <c r="N18" i="17"/>
  <c r="O17" i="17"/>
  <c r="N16" i="17"/>
  <c r="O14" i="17"/>
  <c r="O20" i="17" s="1"/>
  <c r="N14" i="17"/>
  <c r="O13" i="17"/>
  <c r="O11" i="17"/>
  <c r="O9" i="17"/>
  <c r="O47" i="72"/>
  <c r="K35" i="72"/>
  <c r="Y35" i="72" s="1"/>
  <c r="AC35" i="72" s="1"/>
  <c r="AG35" i="72" s="1"/>
  <c r="AM35" i="72" s="1"/>
  <c r="AQ35" i="72" s="1"/>
  <c r="AU35" i="72" s="1"/>
  <c r="BC35" i="72" s="1"/>
  <c r="O35" i="72"/>
  <c r="S35" i="72" s="1"/>
  <c r="BE7" i="71"/>
  <c r="BO7" i="71" s="1"/>
  <c r="BE8" i="71"/>
  <c r="BO8" i="71" s="1"/>
  <c r="BE9" i="71"/>
  <c r="BE10" i="71"/>
  <c r="BO10" i="71" s="1"/>
  <c r="BE11" i="71"/>
  <c r="BO11" i="71" s="1"/>
  <c r="BE12" i="71"/>
  <c r="BO12" i="71" s="1"/>
  <c r="BE13" i="71"/>
  <c r="BO13" i="71" s="1"/>
  <c r="BE14" i="71"/>
  <c r="BO14" i="71" s="1"/>
  <c r="BE15" i="71"/>
  <c r="BO15" i="71" s="1"/>
  <c r="BE16" i="71"/>
  <c r="BO16" i="71" s="1"/>
  <c r="BE17" i="71"/>
  <c r="BE18" i="71"/>
  <c r="BO18" i="71" s="1"/>
  <c r="BE19" i="71"/>
  <c r="CU19" i="71" s="1"/>
  <c r="BE20" i="71"/>
  <c r="BE21" i="71"/>
  <c r="BE22" i="71"/>
  <c r="BE25" i="71"/>
  <c r="BO25" i="71" s="1"/>
  <c r="BE26" i="71"/>
  <c r="BO26" i="71" s="1"/>
  <c r="BE27" i="71"/>
  <c r="BE28" i="71"/>
  <c r="BO28" i="71" s="1"/>
  <c r="BE29" i="71"/>
  <c r="BO29" i="71" s="1"/>
  <c r="BE30" i="71"/>
  <c r="BO30" i="71" s="1"/>
  <c r="BE33" i="71"/>
  <c r="BO33" i="71" s="1"/>
  <c r="BE34" i="71"/>
  <c r="BO34" i="71" s="1"/>
  <c r="BE36" i="71"/>
  <c r="BO36" i="71" s="1"/>
  <c r="BE37" i="71"/>
  <c r="BO37" i="71" s="1"/>
  <c r="BE38" i="71"/>
  <c r="BE39" i="71"/>
  <c r="BO39" i="71" s="1"/>
  <c r="BE40" i="71"/>
  <c r="BO40" i="71" s="1"/>
  <c r="BE41" i="71"/>
  <c r="BO41" i="71" s="1"/>
  <c r="BE42" i="71"/>
  <c r="BE43" i="71"/>
  <c r="BE45" i="71"/>
  <c r="BE46" i="71"/>
  <c r="BO46" i="71" s="1"/>
  <c r="BE47" i="71"/>
  <c r="BE48" i="71"/>
  <c r="BE49" i="71"/>
  <c r="BE51" i="71"/>
  <c r="BE52" i="71"/>
  <c r="BE53" i="71"/>
  <c r="BO53" i="71" s="1"/>
  <c r="BE54" i="71"/>
  <c r="BO54" i="71" s="1"/>
  <c r="BE55" i="71"/>
  <c r="BO55" i="71" s="1"/>
  <c r="BE56" i="71"/>
  <c r="BE57" i="71"/>
  <c r="BC19" i="71"/>
  <c r="BC17" i="71"/>
  <c r="N29" i="17" l="1"/>
  <c r="O85" i="17"/>
  <c r="BG17" i="71"/>
  <c r="BK17" i="71" s="1"/>
  <c r="N85" i="17"/>
  <c r="BO17" i="71"/>
  <c r="BQ17" i="71" s="1"/>
  <c r="BU17" i="71" s="1"/>
  <c r="BY17" i="71" s="1"/>
  <c r="CE17" i="71" s="1"/>
  <c r="CI17" i="71" s="1"/>
  <c r="CM17" i="71" s="1"/>
  <c r="CU17" i="71"/>
  <c r="O83" i="90"/>
  <c r="BO51" i="71"/>
  <c r="O76" i="90"/>
  <c r="BO42" i="71"/>
  <c r="O73" i="90"/>
  <c r="BO27" i="71"/>
  <c r="O69" i="90"/>
  <c r="BO19" i="71"/>
  <c r="BQ19" i="71" s="1"/>
  <c r="BU19" i="71" s="1"/>
  <c r="BY19" i="71" s="1"/>
  <c r="CE19" i="71" s="1"/>
  <c r="CI19" i="71" s="1"/>
  <c r="CM19" i="71" s="1"/>
  <c r="O74" i="90"/>
  <c r="BO38" i="71"/>
  <c r="O68" i="90"/>
  <c r="BO9" i="71"/>
  <c r="O81" i="90"/>
  <c r="BO49" i="71"/>
  <c r="O79" i="90"/>
  <c r="BO47" i="71"/>
  <c r="O70" i="90"/>
  <c r="BO20" i="71"/>
  <c r="O77" i="90"/>
  <c r="BO43" i="71"/>
  <c r="O71" i="90"/>
  <c r="BO21" i="71"/>
  <c r="O85" i="90"/>
  <c r="BO56" i="71"/>
  <c r="O80" i="90"/>
  <c r="BO48" i="71"/>
  <c r="BG19" i="71"/>
  <c r="BK19" i="71" s="1"/>
  <c r="O84" i="90"/>
  <c r="BO52" i="71"/>
  <c r="O78" i="90"/>
  <c r="BO45" i="71"/>
  <c r="O72" i="90"/>
  <c r="BO22" i="71"/>
  <c r="O32" i="17"/>
  <c r="N20" i="17"/>
  <c r="N32" i="17"/>
  <c r="N30" i="17"/>
  <c r="O24" i="17"/>
  <c r="O21" i="17"/>
  <c r="O25" i="17" s="1"/>
  <c r="O15" i="17"/>
  <c r="AI69" i="90" l="1"/>
  <c r="BE69" i="90"/>
  <c r="N24" i="17"/>
  <c r="O112" i="26" l="1"/>
  <c r="N110" i="26"/>
  <c r="N108" i="26"/>
  <c r="N106" i="26"/>
  <c r="N104" i="26"/>
  <c r="N102" i="26"/>
  <c r="N100" i="26"/>
  <c r="N98" i="26"/>
  <c r="N96" i="26"/>
  <c r="O92" i="26"/>
  <c r="N89" i="26"/>
  <c r="N87" i="26"/>
  <c r="N85" i="26"/>
  <c r="N83" i="26"/>
  <c r="O81" i="26"/>
  <c r="N78" i="26"/>
  <c r="N76" i="26"/>
  <c r="O73" i="26"/>
  <c r="N71" i="26"/>
  <c r="N69" i="26"/>
  <c r="N67" i="26"/>
  <c r="N65" i="26"/>
  <c r="N63" i="26"/>
  <c r="N61" i="26"/>
  <c r="N59" i="26"/>
  <c r="N57" i="26"/>
  <c r="N52" i="26"/>
  <c r="N50" i="26"/>
  <c r="O48" i="26"/>
  <c r="N46" i="26"/>
  <c r="O43" i="26"/>
  <c r="N41" i="26"/>
  <c r="N39" i="26"/>
  <c r="N37" i="26"/>
  <c r="N35" i="26"/>
  <c r="N33" i="26"/>
  <c r="N31" i="26"/>
  <c r="N29" i="26"/>
  <c r="N27" i="26"/>
  <c r="N25" i="26"/>
  <c r="N23" i="26"/>
  <c r="N21" i="26"/>
  <c r="N17" i="26"/>
  <c r="N15" i="26"/>
  <c r="O12" i="26"/>
  <c r="N11" i="26"/>
  <c r="N9" i="26"/>
  <c r="X89" i="26" l="1"/>
  <c r="N48" i="26"/>
  <c r="N54" i="26" s="1"/>
  <c r="O55" i="26"/>
  <c r="N54" i="17"/>
  <c r="X85" i="26"/>
  <c r="O19" i="26"/>
  <c r="N55" i="17"/>
  <c r="X87" i="26"/>
  <c r="N56" i="17"/>
  <c r="X83" i="26"/>
  <c r="N112" i="26"/>
  <c r="N57" i="17"/>
  <c r="N81" i="26"/>
  <c r="N80" i="26"/>
  <c r="N92" i="26"/>
  <c r="N73" i="26"/>
  <c r="N43" i="26"/>
  <c r="N12" i="26"/>
  <c r="O18" i="26"/>
  <c r="O54" i="26"/>
  <c r="O13" i="26"/>
  <c r="O49" i="26"/>
  <c r="N49" i="26" l="1"/>
  <c r="N55" i="26"/>
  <c r="N19" i="26"/>
  <c r="N13" i="26"/>
  <c r="N18" i="26"/>
  <c r="O37" i="27"/>
  <c r="O35" i="27"/>
  <c r="O27" i="27"/>
  <c r="O29" i="27"/>
  <c r="O28" i="27"/>
  <c r="O20" i="27"/>
  <c r="O19" i="27"/>
  <c r="O18" i="27"/>
  <c r="N36" i="27" l="1"/>
  <c r="N27" i="27"/>
  <c r="N21" i="27"/>
  <c r="N18" i="27"/>
  <c r="N20" i="27"/>
  <c r="N19" i="27"/>
  <c r="N39" i="27"/>
  <c r="O36" i="27"/>
  <c r="O39" i="27" s="1"/>
  <c r="N33" i="27"/>
  <c r="O26" i="27"/>
  <c r="O33" i="27" s="1"/>
  <c r="O22" i="27"/>
  <c r="O21" i="27"/>
  <c r="O24" i="27" l="1"/>
  <c r="N24" i="27"/>
  <c r="P29" i="22" l="1"/>
  <c r="P25" i="22"/>
  <c r="P24" i="22"/>
  <c r="P14" i="22"/>
  <c r="P10" i="22"/>
  <c r="P9" i="22"/>
  <c r="P46" i="35"/>
  <c r="Z46" i="35" s="1"/>
  <c r="L46" i="35"/>
  <c r="N46" i="35" s="1"/>
  <c r="P12" i="22" l="1"/>
  <c r="P27" i="22"/>
  <c r="R46" i="35"/>
  <c r="V46" i="35" s="1"/>
  <c r="AB46" i="35"/>
  <c r="AF46" i="35" s="1"/>
  <c r="AJ46" i="35" s="1"/>
  <c r="AP46" i="35" s="1"/>
  <c r="AT46" i="35" s="1"/>
  <c r="AX46" i="35" s="1"/>
  <c r="BF46" i="35" s="1"/>
  <c r="O79" i="45" l="1"/>
  <c r="O166" i="45" s="1"/>
  <c r="O71" i="45"/>
  <c r="AC71" i="45" s="1"/>
  <c r="AG71" i="45" s="1"/>
  <c r="AK71" i="45" s="1"/>
  <c r="AQ71" i="45" s="1"/>
  <c r="AU71" i="45" s="1"/>
  <c r="AY71" i="45" s="1"/>
  <c r="BG71" i="45" s="1"/>
  <c r="O72" i="45"/>
  <c r="AC72" i="45" s="1"/>
  <c r="AG72" i="45" s="1"/>
  <c r="AK72" i="45" s="1"/>
  <c r="AQ72" i="45" s="1"/>
  <c r="AU72" i="45" s="1"/>
  <c r="AY72" i="45" s="1"/>
  <c r="BG72" i="45" s="1"/>
  <c r="O73" i="45"/>
  <c r="AC73" i="45" s="1"/>
  <c r="AG73" i="45" s="1"/>
  <c r="AK73" i="45" s="1"/>
  <c r="AQ73" i="45" s="1"/>
  <c r="AU73" i="45" s="1"/>
  <c r="AY73" i="45" s="1"/>
  <c r="BG73" i="45" s="1"/>
  <c r="S71" i="45" l="1"/>
  <c r="W71" i="45" s="1"/>
  <c r="AC79" i="45"/>
  <c r="S72" i="45"/>
  <c r="W72" i="45" s="1"/>
  <c r="S79" i="45"/>
  <c r="S166" i="45" s="1"/>
  <c r="O34" i="35"/>
  <c r="O48" i="28" s="1"/>
  <c r="O502" i="28" l="1"/>
  <c r="Y48" i="28"/>
  <c r="O42" i="28"/>
  <c r="Y42" i="28" s="1"/>
  <c r="AG79" i="45"/>
  <c r="AK79" i="45" s="1"/>
  <c r="AC166" i="45"/>
  <c r="W79" i="45"/>
  <c r="W166" i="45" s="1"/>
  <c r="T94" i="38"/>
  <c r="T93" i="38"/>
  <c r="T92" i="38"/>
  <c r="T91" i="38"/>
  <c r="S90" i="38"/>
  <c r="T89" i="38"/>
  <c r="S88" i="38"/>
  <c r="T86" i="38"/>
  <c r="T85" i="38"/>
  <c r="T84" i="38"/>
  <c r="T83" i="38"/>
  <c r="S82" i="38"/>
  <c r="T80" i="38"/>
  <c r="T79" i="38"/>
  <c r="T78" i="38"/>
  <c r="T77" i="38"/>
  <c r="T76" i="38"/>
  <c r="T75" i="38"/>
  <c r="T74" i="38"/>
  <c r="T73" i="38"/>
  <c r="T72" i="38"/>
  <c r="T71" i="38"/>
  <c r="T70" i="38"/>
  <c r="T69" i="38"/>
  <c r="T68" i="38"/>
  <c r="T67" i="38"/>
  <c r="S66" i="38"/>
  <c r="S65" i="38" s="1"/>
  <c r="T62" i="38"/>
  <c r="T61" i="38"/>
  <c r="S60" i="38"/>
  <c r="T59" i="38"/>
  <c r="T58" i="38"/>
  <c r="T57" i="38"/>
  <c r="T56" i="38"/>
  <c r="T55" i="38"/>
  <c r="S54" i="38"/>
  <c r="S52" i="38"/>
  <c r="T51" i="38"/>
  <c r="S51" i="38"/>
  <c r="S46" i="38"/>
  <c r="S45" i="38"/>
  <c r="S44" i="38"/>
  <c r="S43" i="38"/>
  <c r="T42" i="38"/>
  <c r="T90" i="38" s="1"/>
  <c r="S41" i="38"/>
  <c r="S40" i="38" s="1"/>
  <c r="T40" i="38"/>
  <c r="T88" i="38" s="1"/>
  <c r="S38" i="38"/>
  <c r="S37" i="38"/>
  <c r="S36" i="38"/>
  <c r="S35" i="38"/>
  <c r="T34" i="38"/>
  <c r="T82" i="38" s="1"/>
  <c r="S32" i="38"/>
  <c r="S31" i="38"/>
  <c r="S30" i="38"/>
  <c r="S29" i="38"/>
  <c r="S28" i="38"/>
  <c r="S27" i="38"/>
  <c r="P138" i="45" s="1"/>
  <c r="S26" i="38"/>
  <c r="S25" i="38"/>
  <c r="S24" i="38"/>
  <c r="S23" i="38"/>
  <c r="S22" i="38"/>
  <c r="S21" i="38"/>
  <c r="S20" i="38"/>
  <c r="S19" i="38"/>
  <c r="T18" i="38"/>
  <c r="T66" i="38" s="1"/>
  <c r="S14" i="38"/>
  <c r="S13" i="38"/>
  <c r="T12" i="38"/>
  <c r="T60" i="38" s="1"/>
  <c r="S11" i="38"/>
  <c r="S10" i="38"/>
  <c r="S9" i="38"/>
  <c r="S8" i="38"/>
  <c r="S7" i="38"/>
  <c r="T6" i="38"/>
  <c r="T54" i="38" s="1"/>
  <c r="O31" i="72"/>
  <c r="S31" i="72" s="1"/>
  <c r="O32" i="72"/>
  <c r="S32" i="72" s="1"/>
  <c r="O34" i="72"/>
  <c r="S34" i="72" s="1"/>
  <c r="O36" i="72"/>
  <c r="S36" i="72" s="1"/>
  <c r="O37" i="72"/>
  <c r="Q157" i="45"/>
  <c r="Q156" i="45"/>
  <c r="Q154" i="45"/>
  <c r="Q148" i="45"/>
  <c r="Q143" i="45"/>
  <c r="P143" i="45"/>
  <c r="Q142" i="45"/>
  <c r="P142" i="45"/>
  <c r="Q141" i="45"/>
  <c r="P141" i="45"/>
  <c r="Q140" i="45"/>
  <c r="P140" i="45"/>
  <c r="Q138" i="45"/>
  <c r="Q136" i="45"/>
  <c r="P136" i="45"/>
  <c r="Q134" i="45"/>
  <c r="P134" i="45"/>
  <c r="Q131" i="45"/>
  <c r="P131" i="45"/>
  <c r="P132" i="45" s="1"/>
  <c r="Q129" i="45"/>
  <c r="Q122" i="45"/>
  <c r="Q159" i="45" s="1"/>
  <c r="Q121" i="45"/>
  <c r="Q144" i="45" s="1"/>
  <c r="P121" i="45"/>
  <c r="P144" i="45" s="1"/>
  <c r="Q120" i="45"/>
  <c r="Q158" i="45" s="1"/>
  <c r="R43" i="11"/>
  <c r="P91" i="11"/>
  <c r="P89" i="11"/>
  <c r="P83" i="11"/>
  <c r="P78" i="11"/>
  <c r="O78" i="11"/>
  <c r="P77" i="11"/>
  <c r="O77" i="11"/>
  <c r="P76" i="11"/>
  <c r="O76" i="11"/>
  <c r="P75" i="11"/>
  <c r="O75" i="11"/>
  <c r="P73" i="11"/>
  <c r="O73" i="11"/>
  <c r="P71" i="11"/>
  <c r="O71" i="11"/>
  <c r="P69" i="11"/>
  <c r="O69" i="11"/>
  <c r="P66" i="11"/>
  <c r="O66" i="11"/>
  <c r="P64" i="11"/>
  <c r="P59" i="11"/>
  <c r="P57" i="11"/>
  <c r="P56" i="11"/>
  <c r="O56" i="11"/>
  <c r="O55" i="11" s="1"/>
  <c r="P55" i="11"/>
  <c r="P190" i="10"/>
  <c r="P188" i="10"/>
  <c r="P182" i="10"/>
  <c r="P183" i="10" s="1"/>
  <c r="P177" i="10"/>
  <c r="O177" i="10"/>
  <c r="P176" i="10"/>
  <c r="O176" i="10"/>
  <c r="P175" i="10"/>
  <c r="O175" i="10"/>
  <c r="P174" i="10"/>
  <c r="O174" i="10"/>
  <c r="P172" i="10"/>
  <c r="O172" i="10"/>
  <c r="P170" i="10"/>
  <c r="O170" i="10"/>
  <c r="P168" i="10"/>
  <c r="O168" i="10"/>
  <c r="P165" i="10"/>
  <c r="P166" i="10" s="1"/>
  <c r="O165" i="10"/>
  <c r="O166" i="10" s="1"/>
  <c r="P160" i="10"/>
  <c r="P159" i="10"/>
  <c r="O159" i="10"/>
  <c r="P158" i="10"/>
  <c r="P210" i="10" s="1"/>
  <c r="O101" i="9"/>
  <c r="P99" i="9"/>
  <c r="O99" i="9"/>
  <c r="P98" i="9"/>
  <c r="O98" i="9"/>
  <c r="P97" i="9"/>
  <c r="O97" i="9"/>
  <c r="P93" i="9"/>
  <c r="O76" i="9"/>
  <c r="O77" i="9" s="1"/>
  <c r="O74" i="9"/>
  <c r="P60" i="9"/>
  <c r="P57" i="9"/>
  <c r="O53" i="9"/>
  <c r="O52" i="9"/>
  <c r="O47" i="9"/>
  <c r="P46" i="9"/>
  <c r="P36" i="9"/>
  <c r="P48" i="9" s="1"/>
  <c r="P35" i="9"/>
  <c r="P47" i="9" s="1"/>
  <c r="P34" i="9"/>
  <c r="P31" i="9"/>
  <c r="P25" i="9"/>
  <c r="O24" i="9"/>
  <c r="O22" i="9"/>
  <c r="P19" i="9"/>
  <c r="P10" i="9"/>
  <c r="P5" i="9"/>
  <c r="P109" i="8"/>
  <c r="P111" i="8" s="1"/>
  <c r="P94" i="8"/>
  <c r="P91" i="8"/>
  <c r="O91" i="8"/>
  <c r="P89" i="8"/>
  <c r="O89" i="8"/>
  <c r="P88" i="8"/>
  <c r="O88" i="8"/>
  <c r="O87" i="8"/>
  <c r="O82" i="8"/>
  <c r="P80" i="8"/>
  <c r="P75" i="8"/>
  <c r="O74" i="8"/>
  <c r="O73" i="8"/>
  <c r="O72" i="8"/>
  <c r="O71" i="8"/>
  <c r="P68" i="8"/>
  <c r="P66" i="8"/>
  <c r="P64" i="8"/>
  <c r="P61" i="8"/>
  <c r="P58" i="8"/>
  <c r="P62" i="8" s="1"/>
  <c r="O52" i="8"/>
  <c r="P49" i="8"/>
  <c r="O49" i="8"/>
  <c r="O46" i="8"/>
  <c r="O45" i="8"/>
  <c r="O44" i="8"/>
  <c r="O43" i="8"/>
  <c r="O41" i="8"/>
  <c r="O40" i="8"/>
  <c r="O39" i="8"/>
  <c r="P26" i="8"/>
  <c r="P17" i="8"/>
  <c r="O17" i="8"/>
  <c r="O15" i="8"/>
  <c r="O14" i="8"/>
  <c r="P13" i="8"/>
  <c r="O13" i="8"/>
  <c r="P6" i="8"/>
  <c r="O6" i="8"/>
  <c r="O113" i="7"/>
  <c r="O112" i="7"/>
  <c r="O111" i="7"/>
  <c r="O110" i="7"/>
  <c r="O109" i="7"/>
  <c r="O108" i="7"/>
  <c r="O107" i="7"/>
  <c r="O106" i="7"/>
  <c r="O85" i="7"/>
  <c r="P84" i="7"/>
  <c r="O84" i="7"/>
  <c r="P82" i="7"/>
  <c r="O82" i="7"/>
  <c r="P75" i="7"/>
  <c r="O75" i="7"/>
  <c r="P71" i="7"/>
  <c r="P73" i="7" s="1"/>
  <c r="O71" i="7"/>
  <c r="O73" i="7" s="1"/>
  <c r="P67" i="7"/>
  <c r="O67" i="7"/>
  <c r="P21" i="7"/>
  <c r="O49" i="39" s="1"/>
  <c r="O21" i="7"/>
  <c r="O41" i="7" s="1"/>
  <c r="O51" i="7" s="1"/>
  <c r="O61" i="39"/>
  <c r="P44" i="22" s="1"/>
  <c r="O60" i="39"/>
  <c r="P43" i="22" s="1"/>
  <c r="O48" i="39"/>
  <c r="O47" i="39"/>
  <c r="O46" i="39"/>
  <c r="O43" i="39"/>
  <c r="O42" i="39"/>
  <c r="O8" i="39"/>
  <c r="P222" i="6"/>
  <c r="O222" i="6"/>
  <c r="P221" i="6"/>
  <c r="O221" i="6"/>
  <c r="O199" i="6"/>
  <c r="P198" i="6"/>
  <c r="O198" i="6"/>
  <c r="O197" i="6"/>
  <c r="P193" i="6"/>
  <c r="O193" i="6"/>
  <c r="P192" i="6"/>
  <c r="O192" i="6"/>
  <c r="P191" i="6"/>
  <c r="O191" i="6"/>
  <c r="O190" i="6"/>
  <c r="O189" i="6"/>
  <c r="O186" i="6"/>
  <c r="O185" i="6"/>
  <c r="O184" i="6"/>
  <c r="O183" i="6"/>
  <c r="O182" i="6"/>
  <c r="O181" i="6"/>
  <c r="O179" i="6"/>
  <c r="O178" i="6"/>
  <c r="O177" i="6"/>
  <c r="P167" i="6"/>
  <c r="O167" i="6"/>
  <c r="P166" i="6"/>
  <c r="O166" i="6"/>
  <c r="O165" i="6"/>
  <c r="O164" i="6"/>
  <c r="O161" i="6"/>
  <c r="O160" i="6"/>
  <c r="O159" i="6"/>
  <c r="O158" i="6"/>
  <c r="O157" i="6"/>
  <c r="O156" i="6"/>
  <c r="O154" i="6"/>
  <c r="O153" i="6"/>
  <c r="O149" i="6"/>
  <c r="P139" i="6"/>
  <c r="P136" i="6"/>
  <c r="O136" i="6"/>
  <c r="P135" i="6"/>
  <c r="O135" i="6"/>
  <c r="P134" i="6"/>
  <c r="O134" i="6"/>
  <c r="P133" i="6"/>
  <c r="O133" i="6"/>
  <c r="P131" i="6"/>
  <c r="O131" i="6"/>
  <c r="P130" i="6"/>
  <c r="O130" i="6"/>
  <c r="P128" i="6"/>
  <c r="O128" i="6"/>
  <c r="P127" i="6"/>
  <c r="O127" i="6"/>
  <c r="P126" i="6"/>
  <c r="O126" i="6"/>
  <c r="P125" i="6"/>
  <c r="O125" i="6"/>
  <c r="P120" i="6"/>
  <c r="O120" i="6"/>
  <c r="P115" i="6"/>
  <c r="O115" i="6"/>
  <c r="P103" i="6"/>
  <c r="O103" i="6"/>
  <c r="O98" i="6"/>
  <c r="O85" i="6"/>
  <c r="O83" i="6"/>
  <c r="O82" i="6"/>
  <c r="O80" i="6"/>
  <c r="O79" i="6"/>
  <c r="P77" i="6"/>
  <c r="O77" i="6"/>
  <c r="P69" i="6"/>
  <c r="O69" i="6"/>
  <c r="P66" i="6"/>
  <c r="O66" i="6"/>
  <c r="P56" i="6"/>
  <c r="P55" i="6"/>
  <c r="P54" i="6"/>
  <c r="P51" i="6"/>
  <c r="P48" i="6"/>
  <c r="P45" i="6"/>
  <c r="O41" i="6"/>
  <c r="P34" i="6"/>
  <c r="P33" i="6"/>
  <c r="P32" i="6"/>
  <c r="P29" i="6"/>
  <c r="P26" i="6"/>
  <c r="P23" i="6"/>
  <c r="O18" i="6"/>
  <c r="O17" i="6"/>
  <c r="O16" i="6"/>
  <c r="O15" i="6"/>
  <c r="P9" i="6"/>
  <c r="P8" i="6"/>
  <c r="O7" i="6"/>
  <c r="O91" i="77"/>
  <c r="O90" i="77"/>
  <c r="O83" i="77"/>
  <c r="O81" i="77"/>
  <c r="O80" i="77"/>
  <c r="Y502" i="28" l="1"/>
  <c r="P81" i="7"/>
  <c r="P36" i="7"/>
  <c r="P99" i="7" s="1"/>
  <c r="P33" i="7"/>
  <c r="P96" i="7" s="1"/>
  <c r="P29" i="7"/>
  <c r="P93" i="7" s="1"/>
  <c r="P26" i="7"/>
  <c r="P59" i="7"/>
  <c r="P56" i="7"/>
  <c r="P101" i="7" s="1"/>
  <c r="P37" i="7"/>
  <c r="P100" i="7" s="1"/>
  <c r="P34" i="7"/>
  <c r="P97" i="7" s="1"/>
  <c r="P31" i="7"/>
  <c r="P27" i="7"/>
  <c r="P91" i="7" s="1"/>
  <c r="P24" i="7"/>
  <c r="P60" i="7"/>
  <c r="P57" i="7"/>
  <c r="P54" i="7"/>
  <c r="P23" i="7"/>
  <c r="P87" i="7" s="1"/>
  <c r="P35" i="7"/>
  <c r="P98" i="7" s="1"/>
  <c r="P32" i="7"/>
  <c r="P95" i="7" s="1"/>
  <c r="P28" i="7"/>
  <c r="P92" i="7" s="1"/>
  <c r="P25" i="7"/>
  <c r="P62" i="7"/>
  <c r="P61" i="7"/>
  <c r="P102" i="7" s="1"/>
  <c r="P58" i="7"/>
  <c r="P55" i="7"/>
  <c r="O78" i="7"/>
  <c r="O32" i="7"/>
  <c r="O95" i="7" s="1"/>
  <c r="O36" i="7"/>
  <c r="O99" i="7" s="1"/>
  <c r="O33" i="7"/>
  <c r="O96" i="7" s="1"/>
  <c r="O29" i="7"/>
  <c r="O93" i="7" s="1"/>
  <c r="O26" i="7"/>
  <c r="O59" i="7"/>
  <c r="O56" i="7"/>
  <c r="O101" i="7" s="1"/>
  <c r="O62" i="7"/>
  <c r="O55" i="7"/>
  <c r="O25" i="7"/>
  <c r="O61" i="7"/>
  <c r="O102" i="7" s="1"/>
  <c r="O37" i="7"/>
  <c r="O100" i="7" s="1"/>
  <c r="O34" i="7"/>
  <c r="O97" i="7" s="1"/>
  <c r="O31" i="7"/>
  <c r="O27" i="7"/>
  <c r="O91" i="7" s="1"/>
  <c r="O24" i="7"/>
  <c r="O60" i="7"/>
  <c r="O57" i="7"/>
  <c r="O54" i="7"/>
  <c r="O23" i="7"/>
  <c r="O87" i="7" s="1"/>
  <c r="O28" i="7"/>
  <c r="O92" i="7" s="1"/>
  <c r="O35" i="7"/>
  <c r="O98" i="7" s="1"/>
  <c r="O58" i="7"/>
  <c r="P65" i="8"/>
  <c r="P67" i="8"/>
  <c r="O29" i="8"/>
  <c r="P16" i="8"/>
  <c r="P69" i="8"/>
  <c r="P74" i="8" s="1"/>
  <c r="O22" i="39"/>
  <c r="P192" i="10"/>
  <c r="P196" i="10"/>
  <c r="P40" i="8"/>
  <c r="O30" i="6"/>
  <c r="O19" i="6"/>
  <c r="O84" i="6" s="1"/>
  <c r="Q132" i="45"/>
  <c r="S34" i="38"/>
  <c r="Q155" i="45"/>
  <c r="S12" i="38"/>
  <c r="AQ79" i="45"/>
  <c r="AU79" i="45" s="1"/>
  <c r="AY79" i="45" s="1"/>
  <c r="BG79" i="45" s="1"/>
  <c r="Q126" i="45"/>
  <c r="P93" i="11"/>
  <c r="P67" i="11"/>
  <c r="P92" i="11"/>
  <c r="P61" i="11"/>
  <c r="O67" i="11"/>
  <c r="P84" i="11"/>
  <c r="O89" i="77"/>
  <c r="P14" i="9"/>
  <c r="O158" i="10"/>
  <c r="O210" i="10" s="1"/>
  <c r="O203" i="10"/>
  <c r="P200" i="10"/>
  <c r="AG166" i="45"/>
  <c r="AK166" i="45"/>
  <c r="Y80" i="77"/>
  <c r="O84" i="77"/>
  <c r="Y81" i="77"/>
  <c r="Y83" i="77"/>
  <c r="Y90" i="77"/>
  <c r="Y91" i="77"/>
  <c r="P94" i="9"/>
  <c r="O19" i="15" s="1"/>
  <c r="O130" i="26"/>
  <c r="P34" i="22"/>
  <c r="O42" i="8"/>
  <c r="O97" i="11"/>
  <c r="S87" i="38"/>
  <c r="S64" i="38" s="1"/>
  <c r="S63" i="38"/>
  <c r="O31" i="8"/>
  <c r="O24" i="8"/>
  <c r="O85" i="8"/>
  <c r="O92" i="8"/>
  <c r="O27" i="8"/>
  <c r="Q139" i="45"/>
  <c r="P184" i="10"/>
  <c r="P173" i="10"/>
  <c r="P62" i="9"/>
  <c r="P96" i="9"/>
  <c r="P90" i="9"/>
  <c r="P89" i="9"/>
  <c r="P100" i="9"/>
  <c r="P37" i="9"/>
  <c r="P59" i="8"/>
  <c r="P132" i="6"/>
  <c r="O34" i="39"/>
  <c r="P92" i="8"/>
  <c r="O83" i="7"/>
  <c r="O168" i="6"/>
  <c r="O163" i="6"/>
  <c r="O27" i="6"/>
  <c r="O50" i="8"/>
  <c r="O51" i="8" s="1"/>
  <c r="O58" i="11"/>
  <c r="O79" i="11"/>
  <c r="O74" i="11"/>
  <c r="O178" i="10"/>
  <c r="O161" i="10"/>
  <c r="O173" i="10"/>
  <c r="O16" i="8"/>
  <c r="S42" i="38"/>
  <c r="S39" i="38" s="1"/>
  <c r="S18" i="38"/>
  <c r="S17" i="38" s="1"/>
  <c r="S6" i="38"/>
  <c r="S15" i="38" s="1"/>
  <c r="T17" i="38"/>
  <c r="T39" i="38"/>
  <c r="T87" i="38" s="1"/>
  <c r="T15" i="38"/>
  <c r="Q160" i="45"/>
  <c r="Q150" i="45"/>
  <c r="Q123" i="45"/>
  <c r="Q124" i="45"/>
  <c r="Q125" i="45" s="1"/>
  <c r="P123" i="45"/>
  <c r="P139" i="45"/>
  <c r="P120" i="45"/>
  <c r="Q149" i="45"/>
  <c r="P124" i="45"/>
  <c r="P90" i="11"/>
  <c r="P85" i="11"/>
  <c r="P74" i="11"/>
  <c r="P60" i="11"/>
  <c r="P58" i="11"/>
  <c r="P79" i="11"/>
  <c r="P189" i="10"/>
  <c r="P191" i="10"/>
  <c r="P161" i="10"/>
  <c r="P178" i="10"/>
  <c r="O25" i="9"/>
  <c r="O88" i="9" s="1"/>
  <c r="P49" i="9"/>
  <c r="P72" i="9" s="1"/>
  <c r="P72" i="8"/>
  <c r="P73" i="8"/>
  <c r="P37" i="8"/>
  <c r="P43" i="8"/>
  <c r="P136" i="8" s="1"/>
  <c r="P50" i="8"/>
  <c r="P51" i="8" s="1"/>
  <c r="P86" i="8"/>
  <c r="P41" i="8"/>
  <c r="P44" i="8"/>
  <c r="P137" i="8" s="1"/>
  <c r="P47" i="8"/>
  <c r="O23" i="8"/>
  <c r="O28" i="8"/>
  <c r="P110" i="8"/>
  <c r="P46" i="8"/>
  <c r="P138" i="8" s="1"/>
  <c r="P39" i="8"/>
  <c r="P45" i="8"/>
  <c r="O25" i="8"/>
  <c r="O30" i="8"/>
  <c r="P82" i="8"/>
  <c r="P69" i="7"/>
  <c r="P78" i="7"/>
  <c r="P83" i="7"/>
  <c r="O76" i="7"/>
  <c r="P41" i="7"/>
  <c r="P51" i="7" s="1"/>
  <c r="P76" i="7"/>
  <c r="O81" i="7"/>
  <c r="O23" i="39"/>
  <c r="O68" i="7"/>
  <c r="O50" i="39"/>
  <c r="O45" i="39"/>
  <c r="P137" i="6"/>
  <c r="O121" i="6"/>
  <c r="P121" i="6"/>
  <c r="O132" i="6"/>
  <c r="P57" i="6"/>
  <c r="P35" i="6"/>
  <c r="O31" i="6"/>
  <c r="O22" i="6"/>
  <c r="O24" i="6"/>
  <c r="O137" i="6"/>
  <c r="O188" i="6"/>
  <c r="O25" i="6"/>
  <c r="O21" i="6"/>
  <c r="O104" i="6"/>
  <c r="O194" i="6"/>
  <c r="O28" i="6"/>
  <c r="P90" i="7" l="1"/>
  <c r="S32" i="59" s="1"/>
  <c r="P88" i="7"/>
  <c r="P36" i="8"/>
  <c r="O89" i="7"/>
  <c r="P89" i="7"/>
  <c r="O90" i="7"/>
  <c r="R32" i="59" s="1"/>
  <c r="O88" i="7"/>
  <c r="O81" i="6"/>
  <c r="O59" i="8"/>
  <c r="P63" i="8"/>
  <c r="P71" i="8" s="1"/>
  <c r="P34" i="8"/>
  <c r="O51" i="39"/>
  <c r="O24" i="39"/>
  <c r="AY166" i="45"/>
  <c r="BG166" i="45"/>
  <c r="P91" i="9"/>
  <c r="P94" i="11"/>
  <c r="P138" i="6"/>
  <c r="O32" i="6"/>
  <c r="O29" i="6"/>
  <c r="O106" i="6"/>
  <c r="P123" i="6"/>
  <c r="O123" i="6"/>
  <c r="AQ166" i="45"/>
  <c r="P139" i="8"/>
  <c r="AU166" i="45"/>
  <c r="Y89" i="77"/>
  <c r="Y95" i="77" s="1"/>
  <c r="O95" i="77"/>
  <c r="Y84" i="77"/>
  <c r="P78" i="8"/>
  <c r="O6" i="26"/>
  <c r="S16" i="38"/>
  <c r="S48" i="38" s="1"/>
  <c r="P73" i="9"/>
  <c r="P74" i="9" s="1"/>
  <c r="P42" i="8"/>
  <c r="T63" i="38"/>
  <c r="T16" i="38"/>
  <c r="T64" i="38" s="1"/>
  <c r="T65" i="38"/>
  <c r="P193" i="10"/>
  <c r="P83" i="9"/>
  <c r="P81" i="9"/>
  <c r="P53" i="9"/>
  <c r="P87" i="9"/>
  <c r="P75" i="9"/>
  <c r="P76" i="9"/>
  <c r="P52" i="9"/>
  <c r="P80" i="9"/>
  <c r="P82" i="9"/>
  <c r="P85" i="9"/>
  <c r="P86" i="9"/>
  <c r="P78" i="9"/>
  <c r="P52" i="8"/>
  <c r="P121" i="8" s="1"/>
  <c r="P112" i="8"/>
  <c r="P53" i="8" s="1"/>
  <c r="P123" i="8" s="1"/>
  <c r="O67" i="8"/>
  <c r="O109" i="8"/>
  <c r="O110" i="8" s="1"/>
  <c r="O69" i="8"/>
  <c r="O65" i="8"/>
  <c r="O26" i="8"/>
  <c r="P38" i="7"/>
  <c r="P53" i="7" s="1"/>
  <c r="O38" i="7"/>
  <c r="O53" i="7" s="1"/>
  <c r="O138" i="6"/>
  <c r="O34" i="6"/>
  <c r="O33" i="6"/>
  <c r="O23" i="6"/>
  <c r="O26" i="6"/>
  <c r="P70" i="8" l="1"/>
  <c r="O34" i="8"/>
  <c r="O36" i="8"/>
  <c r="O63" i="8"/>
  <c r="P172" i="6"/>
  <c r="P35" i="8"/>
  <c r="O144" i="6"/>
  <c r="O173" i="6"/>
  <c r="O37" i="8"/>
  <c r="P173" i="6"/>
  <c r="O175" i="6"/>
  <c r="P175" i="6"/>
  <c r="P140" i="6"/>
  <c r="P205" i="6" s="1"/>
  <c r="O147" i="6"/>
  <c r="O145" i="6"/>
  <c r="O172" i="6"/>
  <c r="O140" i="6"/>
  <c r="O205" i="6" s="1"/>
  <c r="P124" i="8"/>
  <c r="P122" i="8"/>
  <c r="P126" i="8" s="1"/>
  <c r="P127" i="8" s="1"/>
  <c r="O103" i="7"/>
  <c r="T48" i="38"/>
  <c r="P77" i="9"/>
  <c r="P79" i="9" s="1"/>
  <c r="O111" i="8"/>
  <c r="O112" i="8" s="1"/>
  <c r="P77" i="7"/>
  <c r="P63" i="7"/>
  <c r="O77" i="7"/>
  <c r="O63" i="7"/>
  <c r="P103" i="7"/>
  <c r="O35" i="6"/>
  <c r="P174" i="6" l="1"/>
  <c r="O35" i="8"/>
  <c r="O174" i="6"/>
  <c r="O212" i="6"/>
  <c r="O146" i="6"/>
  <c r="O209" i="6"/>
  <c r="O207" i="6"/>
  <c r="O206" i="6"/>
  <c r="O204" i="6"/>
  <c r="O211" i="6"/>
  <c r="O203" i="6"/>
  <c r="O217" i="6"/>
  <c r="O218" i="6" s="1"/>
  <c r="P199" i="6"/>
  <c r="P208" i="6"/>
  <c r="P213" i="6"/>
  <c r="P209" i="6"/>
  <c r="P211" i="6"/>
  <c r="P207" i="6"/>
  <c r="P212" i="6"/>
  <c r="P206" i="6"/>
  <c r="P203" i="6"/>
  <c r="P214" i="6"/>
  <c r="P217" i="6"/>
  <c r="P204" i="6"/>
  <c r="O214" i="6"/>
  <c r="O213" i="6"/>
  <c r="O208" i="6"/>
  <c r="P130" i="8"/>
  <c r="P132" i="8"/>
  <c r="P145" i="8" s="1"/>
  <c r="P131" i="8"/>
  <c r="P144" i="8" s="1"/>
  <c r="O210" i="6" l="1"/>
  <c r="O215" i="6"/>
  <c r="O216" i="6" s="1"/>
  <c r="O219" i="6" s="1"/>
  <c r="P215" i="6"/>
  <c r="P218" i="6"/>
  <c r="P210" i="6"/>
  <c r="P133" i="8"/>
  <c r="P146" i="8" s="1"/>
  <c r="P143" i="8"/>
  <c r="P216" i="6" l="1"/>
  <c r="P219" i="6" s="1"/>
  <c r="P17" i="49"/>
  <c r="P18" i="49" s="1"/>
  <c r="O17" i="49"/>
  <c r="O18" i="49" s="1"/>
  <c r="P11" i="49"/>
  <c r="O11" i="49"/>
  <c r="O10" i="49"/>
  <c r="P9" i="49"/>
  <c r="O9" i="49"/>
  <c r="P8" i="49"/>
  <c r="O8" i="49"/>
  <c r="P6" i="49"/>
  <c r="O6" i="49"/>
  <c r="Q11" i="73"/>
  <c r="U11" i="73" s="1"/>
  <c r="Q17" i="73"/>
  <c r="U17" i="73" s="1"/>
  <c r="Q28" i="73"/>
  <c r="U28" i="73" s="1"/>
  <c r="Q29" i="73"/>
  <c r="U29" i="73" s="1"/>
  <c r="Q116" i="73"/>
  <c r="U116" i="73" s="1"/>
  <c r="Q142" i="73"/>
  <c r="Q180" i="73"/>
  <c r="U180" i="73" s="1"/>
  <c r="M90" i="73"/>
  <c r="Q90" i="73" s="1"/>
  <c r="U90" i="73" s="1"/>
  <c r="M93" i="73"/>
  <c r="O220" i="73"/>
  <c r="O181" i="73"/>
  <c r="O168" i="73"/>
  <c r="O179" i="73" s="1"/>
  <c r="O134" i="73"/>
  <c r="O132" i="73"/>
  <c r="O130" i="73"/>
  <c r="O126" i="73"/>
  <c r="O122" i="73"/>
  <c r="O113" i="73"/>
  <c r="O106" i="73"/>
  <c r="O102" i="73"/>
  <c r="O56" i="73"/>
  <c r="O51" i="73"/>
  <c r="O46" i="73"/>
  <c r="O35" i="73"/>
  <c r="O30" i="73"/>
  <c r="O22" i="73"/>
  <c r="O20" i="73"/>
  <c r="O120" i="90" s="1"/>
  <c r="O8" i="73"/>
  <c r="S79" i="59"/>
  <c r="S78" i="59"/>
  <c r="S77" i="59"/>
  <c r="R75" i="59"/>
  <c r="R74" i="59"/>
  <c r="S73" i="59"/>
  <c r="R73" i="59"/>
  <c r="S72" i="59"/>
  <c r="R72" i="59"/>
  <c r="S69" i="59"/>
  <c r="R69" i="59"/>
  <c r="S68" i="59"/>
  <c r="R68" i="59"/>
  <c r="S65" i="59"/>
  <c r="R65" i="59"/>
  <c r="S64" i="59"/>
  <c r="R64" i="59"/>
  <c r="S61" i="59"/>
  <c r="R61" i="59"/>
  <c r="S60" i="59"/>
  <c r="R60" i="59"/>
  <c r="S59" i="59"/>
  <c r="S58" i="59"/>
  <c r="R58" i="59"/>
  <c r="S57" i="59"/>
  <c r="R57" i="59"/>
  <c r="R52" i="59"/>
  <c r="S51" i="59"/>
  <c r="R51" i="59"/>
  <c r="S50" i="59"/>
  <c r="R50" i="59"/>
  <c r="S49" i="59"/>
  <c r="R49" i="59"/>
  <c r="S47" i="59"/>
  <c r="R47" i="59"/>
  <c r="S46" i="59"/>
  <c r="R46" i="59"/>
  <c r="S45" i="59"/>
  <c r="R45" i="59"/>
  <c r="S44" i="59"/>
  <c r="R44" i="59"/>
  <c r="S42" i="59"/>
  <c r="R42" i="59"/>
  <c r="S41" i="59"/>
  <c r="R41" i="59"/>
  <c r="S40" i="59"/>
  <c r="R40" i="59"/>
  <c r="R38" i="59"/>
  <c r="R37" i="59"/>
  <c r="R36" i="59"/>
  <c r="S35" i="59"/>
  <c r="R35" i="59"/>
  <c r="S34" i="59"/>
  <c r="R34" i="59"/>
  <c r="S33" i="59"/>
  <c r="R33" i="59"/>
  <c r="S31" i="59"/>
  <c r="R31" i="59"/>
  <c r="S30" i="59"/>
  <c r="R30" i="59"/>
  <c r="S29" i="59"/>
  <c r="R29" i="59"/>
  <c r="S28" i="59"/>
  <c r="R28" i="59"/>
  <c r="S27" i="59"/>
  <c r="S26" i="59"/>
  <c r="S25" i="59"/>
  <c r="S24" i="59"/>
  <c r="S23" i="59"/>
  <c r="S22" i="59"/>
  <c r="S20" i="59"/>
  <c r="S19" i="59"/>
  <c r="S18" i="59"/>
  <c r="S17" i="59"/>
  <c r="S16" i="59"/>
  <c r="S12" i="59"/>
  <c r="R12" i="59"/>
  <c r="S11" i="59"/>
  <c r="R11" i="59"/>
  <c r="O72" i="36"/>
  <c r="O71" i="36"/>
  <c r="O69" i="36"/>
  <c r="O67" i="36"/>
  <c r="O66" i="36"/>
  <c r="P64" i="36"/>
  <c r="P72" i="36" s="1"/>
  <c r="P62" i="36"/>
  <c r="P70" i="36" s="1"/>
  <c r="P61" i="36"/>
  <c r="P59" i="36"/>
  <c r="P67" i="36" s="1"/>
  <c r="P58" i="36"/>
  <c r="P66" i="36" s="1"/>
  <c r="P57" i="36"/>
  <c r="P17" i="36" s="1"/>
  <c r="S54" i="59" s="1"/>
  <c r="P56" i="36"/>
  <c r="P16" i="36" s="1"/>
  <c r="P33" i="36"/>
  <c r="P40" i="36" s="1"/>
  <c r="O29" i="36"/>
  <c r="N7" i="15" s="1"/>
  <c r="O28" i="36"/>
  <c r="N6" i="15" s="1"/>
  <c r="O27" i="36"/>
  <c r="N5" i="15" s="1"/>
  <c r="P26" i="36"/>
  <c r="P24" i="36"/>
  <c r="S74" i="59" s="1"/>
  <c r="P23" i="36"/>
  <c r="S71" i="59" s="1"/>
  <c r="O23" i="36"/>
  <c r="R71" i="59" s="1"/>
  <c r="P22" i="36"/>
  <c r="S67" i="59" s="1"/>
  <c r="O22" i="36"/>
  <c r="R67" i="59" s="1"/>
  <c r="P21" i="36"/>
  <c r="S63" i="59" s="1"/>
  <c r="O21" i="36"/>
  <c r="R63" i="59" s="1"/>
  <c r="O17" i="36"/>
  <c r="O16" i="36"/>
  <c r="R53" i="59" s="1"/>
  <c r="O13" i="36"/>
  <c r="R39" i="59" s="1"/>
  <c r="P12" i="36"/>
  <c r="S38" i="59" s="1"/>
  <c r="P11" i="36"/>
  <c r="S37" i="59" s="1"/>
  <c r="P10" i="36"/>
  <c r="P9" i="36"/>
  <c r="S10" i="59" s="1"/>
  <c r="O9" i="36"/>
  <c r="R10" i="59" s="1"/>
  <c r="P8" i="36"/>
  <c r="S9" i="59" s="1"/>
  <c r="O8" i="36"/>
  <c r="R9" i="59" s="1"/>
  <c r="O7" i="36"/>
  <c r="R8" i="59" s="1"/>
  <c r="O5" i="36"/>
  <c r="R6" i="59" s="1"/>
  <c r="P28" i="21"/>
  <c r="O27" i="21"/>
  <c r="P24" i="21"/>
  <c r="P25" i="21" s="1"/>
  <c r="P18" i="21"/>
  <c r="P15" i="21"/>
  <c r="P12" i="21"/>
  <c r="O12" i="21"/>
  <c r="O22" i="21" s="1"/>
  <c r="P556" i="28" l="1"/>
  <c r="Z556" i="28" s="1"/>
  <c r="P555" i="28"/>
  <c r="Z555" i="28" s="1"/>
  <c r="O6" i="73"/>
  <c r="O118" i="73"/>
  <c r="Y132" i="73"/>
  <c r="Y134" i="73"/>
  <c r="Y220" i="73"/>
  <c r="O12" i="15"/>
  <c r="O13" i="15" s="1"/>
  <c r="O14" i="15" s="1"/>
  <c r="R77" i="59"/>
  <c r="R78" i="59"/>
  <c r="O68" i="36"/>
  <c r="R79" i="59"/>
  <c r="Q93" i="73"/>
  <c r="U93" i="73" s="1"/>
  <c r="AA93" i="73"/>
  <c r="O137" i="73"/>
  <c r="Y137" i="73" s="1"/>
  <c r="Q144" i="50"/>
  <c r="O5" i="73"/>
  <c r="O90" i="9"/>
  <c r="R54" i="59"/>
  <c r="O13" i="49"/>
  <c r="O89" i="9"/>
  <c r="P68" i="36"/>
  <c r="P13" i="36"/>
  <c r="S39" i="59" s="1"/>
  <c r="S36" i="59"/>
  <c r="P63" i="36"/>
  <c r="P60" i="36"/>
  <c r="S53" i="59"/>
  <c r="P18" i="36"/>
  <c r="S55" i="59" s="1"/>
  <c r="R48" i="59"/>
  <c r="S43" i="59"/>
  <c r="S48" i="59"/>
  <c r="R43" i="59"/>
  <c r="O12" i="49"/>
  <c r="P69" i="36"/>
  <c r="P71" i="36" s="1"/>
  <c r="P20" i="21"/>
  <c r="O15" i="21"/>
  <c r="O18" i="35"/>
  <c r="O16" i="35"/>
  <c r="O14" i="49" l="1"/>
  <c r="O15" i="49" s="1"/>
  <c r="O16" i="49" s="1"/>
  <c r="O19" i="49" s="1"/>
  <c r="O20" i="49" s="1"/>
  <c r="O91" i="9"/>
  <c r="P19" i="36"/>
  <c r="S56" i="59" s="1"/>
  <c r="N18" i="15"/>
  <c r="N15" i="15" s="1"/>
  <c r="N16" i="15" s="1"/>
  <c r="O5" i="9"/>
  <c r="O19" i="9" s="1"/>
  <c r="O33" i="36"/>
  <c r="O64" i="36"/>
  <c r="O58" i="36"/>
  <c r="O59" i="36"/>
  <c r="O61" i="36"/>
  <c r="O63" i="36" s="1"/>
  <c r="O42" i="35"/>
  <c r="O41" i="35"/>
  <c r="P40" i="35"/>
  <c r="P39" i="35"/>
  <c r="S76" i="59" s="1"/>
  <c r="O39" i="35"/>
  <c r="O36" i="35"/>
  <c r="O37" i="28" s="1"/>
  <c r="O33" i="35"/>
  <c r="P32" i="35"/>
  <c r="P31" i="35"/>
  <c r="P30" i="35"/>
  <c r="P203" i="10" s="1"/>
  <c r="P26" i="35"/>
  <c r="P34" i="36" s="1"/>
  <c r="O26" i="35"/>
  <c r="O21" i="35"/>
  <c r="O26" i="9" s="1"/>
  <c r="P20" i="35"/>
  <c r="O20" i="35"/>
  <c r="P19" i="35"/>
  <c r="O19" i="35"/>
  <c r="P14" i="35"/>
  <c r="P5" i="36" s="1"/>
  <c r="P13" i="35"/>
  <c r="P11" i="35"/>
  <c r="P10" i="6" s="1"/>
  <c r="O10" i="35"/>
  <c r="O9" i="35"/>
  <c r="O8" i="35"/>
  <c r="P7" i="35"/>
  <c r="P6" i="6" s="1"/>
  <c r="P6" i="35"/>
  <c r="O526" i="28" l="1"/>
  <c r="O31" i="28"/>
  <c r="O63" i="28" s="1"/>
  <c r="O69" i="28" s="1"/>
  <c r="O77" i="28"/>
  <c r="P35" i="36"/>
  <c r="P36" i="36" s="1"/>
  <c r="P38" i="36" s="1"/>
  <c r="P30" i="36" s="1"/>
  <c r="S80" i="59" s="1"/>
  <c r="P41" i="36"/>
  <c r="O13" i="35"/>
  <c r="O8" i="6"/>
  <c r="O60" i="36"/>
  <c r="O14" i="35"/>
  <c r="O9" i="6"/>
  <c r="O57" i="36"/>
  <c r="O56" i="36"/>
  <c r="O70" i="9"/>
  <c r="N130" i="26"/>
  <c r="O34" i="22"/>
  <c r="O7" i="9"/>
  <c r="O59" i="9"/>
  <c r="O58" i="9"/>
  <c r="O63" i="9"/>
  <c r="O95" i="9"/>
  <c r="O69" i="9"/>
  <c r="O55" i="9"/>
  <c r="O65" i="9"/>
  <c r="O64" i="9"/>
  <c r="O68" i="9"/>
  <c r="O67" i="9"/>
  <c r="O56" i="9"/>
  <c r="O92" i="9"/>
  <c r="O61" i="9"/>
  <c r="O100" i="9"/>
  <c r="O66" i="9"/>
  <c r="O27" i="9"/>
  <c r="P16" i="6"/>
  <c r="P18" i="6"/>
  <c r="P8" i="35"/>
  <c r="P5" i="6"/>
  <c r="P98" i="6" s="1"/>
  <c r="O48" i="35"/>
  <c r="O49" i="35" s="1"/>
  <c r="O26" i="21"/>
  <c r="O28" i="21" s="1"/>
  <c r="O34" i="36"/>
  <c r="O35" i="36" s="1"/>
  <c r="O36" i="36" s="1"/>
  <c r="O38" i="36" s="1"/>
  <c r="O30" i="36" s="1"/>
  <c r="R80" i="59" s="1"/>
  <c r="P33" i="35"/>
  <c r="P41" i="35"/>
  <c r="P97" i="11"/>
  <c r="P15" i="35"/>
  <c r="S6" i="59"/>
  <c r="P13" i="49"/>
  <c r="O11" i="35"/>
  <c r="O10" i="6" s="1"/>
  <c r="O37" i="35"/>
  <c r="O93" i="28" l="1"/>
  <c r="O78" i="28"/>
  <c r="O97" i="28" s="1"/>
  <c r="Y526" i="28"/>
  <c r="P104" i="6"/>
  <c r="P106" i="6" s="1"/>
  <c r="P144" i="6" s="1"/>
  <c r="O15" i="35"/>
  <c r="O55" i="35"/>
  <c r="O22" i="22"/>
  <c r="O7" i="22"/>
  <c r="O57" i="9"/>
  <c r="O60" i="9"/>
  <c r="P189" i="6"/>
  <c r="P194" i="6"/>
  <c r="P17" i="6"/>
  <c r="P15" i="6"/>
  <c r="P7" i="6"/>
  <c r="M4" i="83"/>
  <c r="M5" i="83"/>
  <c r="M6" i="83"/>
  <c r="M7" i="83"/>
  <c r="M8" i="83"/>
  <c r="M9" i="83"/>
  <c r="M10" i="83"/>
  <c r="M11" i="83"/>
  <c r="M12" i="83"/>
  <c r="M13" i="83"/>
  <c r="M14" i="83"/>
  <c r="M15" i="83"/>
  <c r="M16" i="83"/>
  <c r="M17" i="83"/>
  <c r="M18" i="83"/>
  <c r="M19" i="83"/>
  <c r="M20" i="83"/>
  <c r="M21" i="83"/>
  <c r="M22" i="83"/>
  <c r="M23" i="83"/>
  <c r="M25" i="83"/>
  <c r="M26" i="83"/>
  <c r="M29" i="83"/>
  <c r="M30" i="83"/>
  <c r="M32" i="83"/>
  <c r="M33" i="83"/>
  <c r="M34" i="83"/>
  <c r="M35" i="83"/>
  <c r="M36" i="83"/>
  <c r="M37" i="83"/>
  <c r="M39" i="83"/>
  <c r="M40" i="83"/>
  <c r="M41" i="83"/>
  <c r="M42" i="83"/>
  <c r="M43" i="83"/>
  <c r="M44" i="83"/>
  <c r="M46" i="83"/>
  <c r="M47" i="83"/>
  <c r="M48" i="83"/>
  <c r="M49" i="83"/>
  <c r="M50" i="83"/>
  <c r="M52" i="83"/>
  <c r="M53" i="83"/>
  <c r="M54" i="83"/>
  <c r="M55" i="83"/>
  <c r="M56" i="83"/>
  <c r="M57" i="83"/>
  <c r="M58" i="83"/>
  <c r="M59" i="83"/>
  <c r="M60" i="83"/>
  <c r="M61" i="83"/>
  <c r="M62" i="83"/>
  <c r="M63" i="83"/>
  <c r="M64" i="83"/>
  <c r="M65" i="83"/>
  <c r="M66" i="83"/>
  <c r="M67" i="83"/>
  <c r="M68" i="83"/>
  <c r="M70" i="83"/>
  <c r="M72" i="83"/>
  <c r="M73" i="83"/>
  <c r="M74" i="83"/>
  <c r="M75" i="83"/>
  <c r="P145" i="6" l="1"/>
  <c r="S15" i="59" s="1"/>
  <c r="P147" i="6"/>
  <c r="P197" i="6"/>
  <c r="O23" i="22"/>
  <c r="O62" i="9"/>
  <c r="O8" i="22"/>
  <c r="O10" i="22" s="1"/>
  <c r="M76" i="83"/>
  <c r="M51" i="83"/>
  <c r="M45" i="83"/>
  <c r="P19" i="6"/>
  <c r="P168" i="6"/>
  <c r="P164" i="6"/>
  <c r="M69" i="83"/>
  <c r="P146" i="6" l="1"/>
  <c r="P7" i="36" s="1"/>
  <c r="S8" i="59" s="1"/>
  <c r="P81" i="6"/>
  <c r="O11" i="22"/>
  <c r="O25" i="22"/>
  <c r="P40" i="6"/>
  <c r="P37" i="6"/>
  <c r="P38" i="6"/>
  <c r="P39" i="6"/>
  <c r="P84" i="6"/>
  <c r="L108" i="10"/>
  <c r="M31" i="83" s="1"/>
  <c r="L68" i="10"/>
  <c r="L40" i="10"/>
  <c r="M24" i="83" s="1"/>
  <c r="L199" i="10" l="1"/>
  <c r="O26" i="22"/>
  <c r="O13" i="22"/>
  <c r="M27" i="83"/>
  <c r="M38" i="83" s="1"/>
  <c r="M77" i="83" s="1"/>
  <c r="P41" i="6"/>
  <c r="L103" i="9"/>
  <c r="O28" i="22" l="1"/>
  <c r="M128" i="45" l="1"/>
  <c r="M5" i="50"/>
  <c r="M6" i="50"/>
  <c r="M7" i="50"/>
  <c r="M8" i="50"/>
  <c r="M9" i="50"/>
  <c r="M10" i="50"/>
  <c r="M11" i="50"/>
  <c r="M12" i="50"/>
  <c r="M13" i="50"/>
  <c r="M14" i="50"/>
  <c r="M15" i="50"/>
  <c r="M16" i="50"/>
  <c r="M17" i="50"/>
  <c r="M18" i="50"/>
  <c r="M19" i="50"/>
  <c r="M20" i="50"/>
  <c r="M21" i="50"/>
  <c r="M22" i="50"/>
  <c r="M23" i="50"/>
  <c r="M24" i="50"/>
  <c r="M25" i="50"/>
  <c r="M26" i="50"/>
  <c r="M27" i="50"/>
  <c r="M29" i="50"/>
  <c r="M30" i="50"/>
  <c r="M31" i="50"/>
  <c r="M32" i="50"/>
  <c r="M33" i="50"/>
  <c r="M34" i="50"/>
  <c r="M35" i="50"/>
  <c r="M36" i="50"/>
  <c r="M37" i="50"/>
  <c r="M4" i="50"/>
  <c r="M20" i="39" l="1"/>
  <c r="Q20" i="39" s="1"/>
  <c r="U20" i="39" s="1"/>
  <c r="AA20" i="39" s="1"/>
  <c r="K220" i="73"/>
  <c r="I7" i="52"/>
  <c r="J7" i="52"/>
  <c r="M7" i="52"/>
  <c r="Q7" i="52" s="1"/>
  <c r="U7" i="52" s="1"/>
  <c r="N7" i="52"/>
  <c r="R7" i="52"/>
  <c r="V7" i="52" s="1"/>
  <c r="Y7" i="52"/>
  <c r="Z7" i="52"/>
  <c r="AB7" i="52" s="1"/>
  <c r="AF7" i="52" s="1"/>
  <c r="AJ7" i="52" s="1"/>
  <c r="AP7" i="52" s="1"/>
  <c r="AT7" i="52" s="1"/>
  <c r="AX7" i="52" s="1"/>
  <c r="BF7" i="52" s="1"/>
  <c r="AM7" i="52"/>
  <c r="AN7" i="52"/>
  <c r="BA7" i="52"/>
  <c r="BB7" i="52"/>
  <c r="K57" i="17"/>
  <c r="K56" i="17"/>
  <c r="K55" i="17"/>
  <c r="K54" i="17"/>
  <c r="K53" i="17"/>
  <c r="J53" i="17"/>
  <c r="K49" i="17"/>
  <c r="J49" i="17"/>
  <c r="K44" i="17"/>
  <c r="J44" i="17"/>
  <c r="K37" i="17"/>
  <c r="K39" i="17" s="1"/>
  <c r="J37" i="17"/>
  <c r="J39" i="17" s="1"/>
  <c r="J31" i="17"/>
  <c r="K29" i="17"/>
  <c r="K32" i="17" s="1"/>
  <c r="J28" i="17"/>
  <c r="J25" i="17"/>
  <c r="K22" i="17"/>
  <c r="K23" i="17" s="1"/>
  <c r="J22" i="17"/>
  <c r="K19" i="17"/>
  <c r="J18" i="17"/>
  <c r="K17" i="17"/>
  <c r="J16" i="17"/>
  <c r="K14" i="17"/>
  <c r="K20" i="17" s="1"/>
  <c r="J14" i="17"/>
  <c r="K13" i="17"/>
  <c r="K11" i="17"/>
  <c r="K9" i="17"/>
  <c r="J85" i="17" l="1"/>
  <c r="K85" i="17"/>
  <c r="AE20" i="39"/>
  <c r="AI20" i="39" s="1"/>
  <c r="AO20" i="39" s="1"/>
  <c r="AS20" i="39" s="1"/>
  <c r="AW20" i="39" s="1"/>
  <c r="BE20" i="39" s="1"/>
  <c r="BC7" i="52"/>
  <c r="AA7" i="52"/>
  <c r="AE7" i="52" s="1"/>
  <c r="AI7" i="52" s="1"/>
  <c r="AO7" i="52" s="1"/>
  <c r="AS7" i="52" s="1"/>
  <c r="AW7" i="52" s="1"/>
  <c r="BE7" i="52" s="1"/>
  <c r="BD7" i="52"/>
  <c r="J20" i="17"/>
  <c r="J29" i="17"/>
  <c r="J32" i="17" s="1"/>
  <c r="K30" i="17"/>
  <c r="K21" i="17"/>
  <c r="K25" i="17" s="1"/>
  <c r="K24" i="17"/>
  <c r="K15" i="17"/>
  <c r="M129" i="73"/>
  <c r="AA129" i="73" s="1"/>
  <c r="AE129" i="73" s="1"/>
  <c r="AI129" i="73" s="1"/>
  <c r="AO129" i="73" s="1"/>
  <c r="AS129" i="73" s="1"/>
  <c r="AW129" i="73" s="1"/>
  <c r="BE129" i="73" s="1"/>
  <c r="K37" i="27"/>
  <c r="K35" i="27"/>
  <c r="K27" i="27"/>
  <c r="K29" i="27"/>
  <c r="K28" i="27"/>
  <c r="K20" i="27"/>
  <c r="K19" i="27"/>
  <c r="K18" i="27"/>
  <c r="J30" i="17" l="1"/>
  <c r="Q129" i="73"/>
  <c r="U129" i="73" s="1"/>
  <c r="J24" i="17"/>
  <c r="J39" i="27"/>
  <c r="K36" i="27"/>
  <c r="K39" i="27" s="1"/>
  <c r="J28" i="27"/>
  <c r="J27" i="27"/>
  <c r="K26" i="27"/>
  <c r="K33" i="27" s="1"/>
  <c r="K22" i="27"/>
  <c r="K21" i="27"/>
  <c r="J18" i="27"/>
  <c r="J24" i="27" s="1"/>
  <c r="J33" i="27" l="1"/>
  <c r="K24" i="27"/>
  <c r="K112" i="26"/>
  <c r="J110" i="26"/>
  <c r="J108" i="26"/>
  <c r="J106" i="26"/>
  <c r="J104" i="26"/>
  <c r="J102" i="26"/>
  <c r="J100" i="26"/>
  <c r="J98" i="26"/>
  <c r="J96" i="26"/>
  <c r="K92" i="26"/>
  <c r="J89" i="26"/>
  <c r="J87" i="26"/>
  <c r="J85" i="26"/>
  <c r="J83" i="26"/>
  <c r="K81" i="26"/>
  <c r="K80" i="26"/>
  <c r="J78" i="26"/>
  <c r="J76" i="26"/>
  <c r="K73" i="26"/>
  <c r="J71" i="26"/>
  <c r="J69" i="26"/>
  <c r="J67" i="26"/>
  <c r="J65" i="26"/>
  <c r="J63" i="26"/>
  <c r="J61" i="26"/>
  <c r="J59" i="26"/>
  <c r="J57" i="26"/>
  <c r="J52" i="26"/>
  <c r="J50" i="26"/>
  <c r="K48" i="26"/>
  <c r="J46" i="26"/>
  <c r="K43" i="26"/>
  <c r="J41" i="26"/>
  <c r="J39" i="26"/>
  <c r="J37" i="26"/>
  <c r="J35" i="26"/>
  <c r="J33" i="26"/>
  <c r="J31" i="26"/>
  <c r="J29" i="26"/>
  <c r="J27" i="26"/>
  <c r="J25" i="26"/>
  <c r="J23" i="26"/>
  <c r="J21" i="26"/>
  <c r="J17" i="26"/>
  <c r="J15" i="26"/>
  <c r="K12" i="26"/>
  <c r="J11" i="26"/>
  <c r="J9" i="26"/>
  <c r="AC61" i="50"/>
  <c r="AG61" i="50" s="1"/>
  <c r="AK61" i="50" s="1"/>
  <c r="AQ61" i="50" s="1"/>
  <c r="AU61" i="50" s="1"/>
  <c r="AY61" i="50" s="1"/>
  <c r="BG61" i="50" s="1"/>
  <c r="K36" i="72"/>
  <c r="Y36" i="72" s="1"/>
  <c r="AC36" i="72" s="1"/>
  <c r="AG36" i="72" s="1"/>
  <c r="AM36" i="72" s="1"/>
  <c r="AQ36" i="72" s="1"/>
  <c r="AU36" i="72" s="1"/>
  <c r="BC36" i="72" s="1"/>
  <c r="K31" i="72"/>
  <c r="Y31" i="72" s="1"/>
  <c r="AC31" i="72" s="1"/>
  <c r="AG31" i="72" s="1"/>
  <c r="AM31" i="72" s="1"/>
  <c r="AQ31" i="72" s="1"/>
  <c r="AU31" i="72" s="1"/>
  <c r="BC31" i="72" s="1"/>
  <c r="K32" i="72"/>
  <c r="Y32" i="72" s="1"/>
  <c r="AC32" i="72" s="1"/>
  <c r="AG32" i="72" s="1"/>
  <c r="AM32" i="72" s="1"/>
  <c r="AQ32" i="72" s="1"/>
  <c r="AU32" i="72" s="1"/>
  <c r="BC32" i="72" s="1"/>
  <c r="K37" i="72"/>
  <c r="Y37" i="72" s="1"/>
  <c r="AC37" i="72" s="1"/>
  <c r="AG37" i="72" s="1"/>
  <c r="AM37" i="72" s="1"/>
  <c r="J48" i="26" l="1"/>
  <c r="J54" i="17"/>
  <c r="J57" i="17"/>
  <c r="K55" i="26"/>
  <c r="J55" i="17"/>
  <c r="J56" i="17"/>
  <c r="K19" i="26"/>
  <c r="J12" i="26"/>
  <c r="J81" i="26"/>
  <c r="J112" i="26"/>
  <c r="J80" i="26"/>
  <c r="J92" i="26"/>
  <c r="J73" i="26"/>
  <c r="J43" i="26"/>
  <c r="J55" i="26"/>
  <c r="J49" i="26"/>
  <c r="J54" i="26"/>
  <c r="K18" i="26"/>
  <c r="K54" i="26"/>
  <c r="K13" i="26"/>
  <c r="K49" i="26"/>
  <c r="AU55" i="71"/>
  <c r="AW55" i="71"/>
  <c r="BA55" i="71"/>
  <c r="CQ55" i="71"/>
  <c r="CS55" i="71" s="1"/>
  <c r="AU49" i="71"/>
  <c r="AW49" i="71"/>
  <c r="G81" i="90" s="1"/>
  <c r="BA49" i="71"/>
  <c r="K81" i="90" s="1"/>
  <c r="BA7" i="71"/>
  <c r="BA8" i="71"/>
  <c r="BA9" i="71"/>
  <c r="K68" i="90" s="1"/>
  <c r="BA10" i="71"/>
  <c r="BA11" i="71"/>
  <c r="BA12" i="71"/>
  <c r="BA13" i="71"/>
  <c r="BA14" i="71"/>
  <c r="BA15" i="71"/>
  <c r="BA16" i="71"/>
  <c r="BA18" i="71"/>
  <c r="BA20" i="71"/>
  <c r="K70" i="90" s="1"/>
  <c r="BA21" i="71"/>
  <c r="K71" i="90" s="1"/>
  <c r="BA22" i="71"/>
  <c r="K72" i="90" s="1"/>
  <c r="BA25" i="71"/>
  <c r="BA26" i="71"/>
  <c r="BA27" i="71"/>
  <c r="K73" i="90" s="1"/>
  <c r="BA28" i="71"/>
  <c r="BA29" i="71"/>
  <c r="BA30" i="71"/>
  <c r="BA33" i="71"/>
  <c r="BA34" i="71"/>
  <c r="BA36" i="71"/>
  <c r="BA37" i="71"/>
  <c r="BA38" i="71"/>
  <c r="K74" i="90" s="1"/>
  <c r="BA39" i="71"/>
  <c r="BA40" i="71"/>
  <c r="BA41" i="71"/>
  <c r="BA42" i="71"/>
  <c r="K76" i="90" s="1"/>
  <c r="BA43" i="71"/>
  <c r="K77" i="90" s="1"/>
  <c r="BA45" i="71"/>
  <c r="K78" i="90" s="1"/>
  <c r="BA46" i="71"/>
  <c r="BA47" i="71"/>
  <c r="K79" i="90" s="1"/>
  <c r="BA48" i="71"/>
  <c r="K80" i="90" s="1"/>
  <c r="BA51" i="71"/>
  <c r="K83" i="90" s="1"/>
  <c r="BA52" i="71"/>
  <c r="K84" i="90" s="1"/>
  <c r="BA53" i="71"/>
  <c r="BA54" i="71"/>
  <c r="BA56" i="71"/>
  <c r="K85" i="90" s="1"/>
  <c r="J13" i="26" l="1"/>
  <c r="CU55" i="71"/>
  <c r="CU49" i="71"/>
  <c r="E81" i="90"/>
  <c r="J19" i="26"/>
  <c r="J18" i="26"/>
  <c r="BC55" i="71"/>
  <c r="BC49" i="71"/>
  <c r="AI81" i="90" l="1"/>
  <c r="BE81" i="90"/>
  <c r="BQ49" i="71"/>
  <c r="BU49" i="71" s="1"/>
  <c r="BY49" i="71" s="1"/>
  <c r="CE49" i="71" s="1"/>
  <c r="CI49" i="71" s="1"/>
  <c r="CM49" i="71" s="1"/>
  <c r="BG49" i="71"/>
  <c r="BK49" i="71" s="1"/>
  <c r="BQ55" i="71"/>
  <c r="BU55" i="71" s="1"/>
  <c r="BG55" i="71"/>
  <c r="BK55" i="71" s="1"/>
  <c r="L29" i="22"/>
  <c r="L25" i="22"/>
  <c r="L24" i="22"/>
  <c r="L14" i="22"/>
  <c r="L10" i="22"/>
  <c r="L9" i="22"/>
  <c r="K18" i="15"/>
  <c r="M34" i="15"/>
  <c r="Q34" i="15" s="1"/>
  <c r="U34" i="15" s="1"/>
  <c r="Y34" i="15"/>
  <c r="AM34" i="15"/>
  <c r="BA34" i="15"/>
  <c r="K31" i="15"/>
  <c r="K30" i="15"/>
  <c r="K29" i="15"/>
  <c r="K25" i="15"/>
  <c r="K24" i="15"/>
  <c r="K23" i="15"/>
  <c r="K22" i="15"/>
  <c r="K21" i="15"/>
  <c r="J19" i="15"/>
  <c r="K15" i="15"/>
  <c r="J12" i="15"/>
  <c r="J13" i="15" s="1"/>
  <c r="K10" i="15"/>
  <c r="K9" i="15"/>
  <c r="J9" i="15"/>
  <c r="K8" i="15"/>
  <c r="J8" i="15"/>
  <c r="K7" i="15"/>
  <c r="K6" i="15"/>
  <c r="K5" i="15"/>
  <c r="AA34" i="15" l="1"/>
  <c r="AE34" i="15" s="1"/>
  <c r="AI34" i="15" s="1"/>
  <c r="AO34" i="15" s="1"/>
  <c r="AS34" i="15" s="1"/>
  <c r="AW34" i="15" s="1"/>
  <c r="BE34" i="15" s="1"/>
  <c r="L12" i="22"/>
  <c r="L27" i="22"/>
  <c r="BY55" i="71"/>
  <c r="BC34" i="15"/>
  <c r="K32" i="15"/>
  <c r="K36" i="15" s="1"/>
  <c r="CE55" i="71" l="1"/>
  <c r="K16" i="15"/>
  <c r="K17" i="15" s="1"/>
  <c r="L47" i="35"/>
  <c r="F47" i="35"/>
  <c r="P47" i="35"/>
  <c r="Z47" i="35" s="1"/>
  <c r="P45" i="35"/>
  <c r="P44" i="35"/>
  <c r="P43" i="35"/>
  <c r="L3" i="8"/>
  <c r="CI55" i="71" l="1"/>
  <c r="CM55" i="71" s="1"/>
  <c r="P42" i="35"/>
  <c r="P94" i="38"/>
  <c r="P93" i="38"/>
  <c r="P92" i="38"/>
  <c r="P91" i="38"/>
  <c r="O90" i="38"/>
  <c r="P89" i="38"/>
  <c r="O88" i="38"/>
  <c r="P86" i="38"/>
  <c r="P85" i="38"/>
  <c r="P84" i="38"/>
  <c r="P83" i="38"/>
  <c r="O82" i="38"/>
  <c r="P80" i="38"/>
  <c r="P79" i="38"/>
  <c r="P78" i="38"/>
  <c r="P77" i="38"/>
  <c r="P76" i="38"/>
  <c r="P75" i="38"/>
  <c r="P74" i="38"/>
  <c r="P73" i="38"/>
  <c r="P72" i="38"/>
  <c r="P71" i="38"/>
  <c r="P70" i="38"/>
  <c r="P69" i="38"/>
  <c r="P68" i="38"/>
  <c r="P67" i="38"/>
  <c r="O66" i="38"/>
  <c r="P62" i="38"/>
  <c r="P61" i="38"/>
  <c r="O60" i="38"/>
  <c r="P59" i="38"/>
  <c r="P58" i="38"/>
  <c r="P57" i="38"/>
  <c r="P56" i="38"/>
  <c r="P55" i="38"/>
  <c r="O54" i="38"/>
  <c r="O52" i="38"/>
  <c r="P51" i="38"/>
  <c r="O51" i="38"/>
  <c r="O46" i="38"/>
  <c r="O45" i="38"/>
  <c r="O44" i="38"/>
  <c r="O43" i="38"/>
  <c r="P42" i="38"/>
  <c r="O41" i="38"/>
  <c r="O40" i="38" s="1"/>
  <c r="P40" i="38"/>
  <c r="O38" i="38"/>
  <c r="O37" i="38"/>
  <c r="O36" i="38"/>
  <c r="O35" i="38"/>
  <c r="P34" i="38"/>
  <c r="O32" i="38"/>
  <c r="O31" i="38"/>
  <c r="O30" i="38"/>
  <c r="O29" i="38"/>
  <c r="O28" i="38"/>
  <c r="O27" i="38"/>
  <c r="O26" i="38"/>
  <c r="O25" i="38"/>
  <c r="O24" i="38"/>
  <c r="O23" i="38"/>
  <c r="O22" i="38"/>
  <c r="O21" i="38"/>
  <c r="O20" i="38"/>
  <c r="O19" i="38"/>
  <c r="P18" i="38"/>
  <c r="O14" i="38"/>
  <c r="O13" i="38"/>
  <c r="P12" i="38"/>
  <c r="O11" i="38"/>
  <c r="O10" i="38"/>
  <c r="O9" i="38"/>
  <c r="O8" i="38"/>
  <c r="O7" i="38"/>
  <c r="P6" i="38"/>
  <c r="O117" i="45"/>
  <c r="O76" i="45"/>
  <c r="O77" i="45"/>
  <c r="AC77" i="45" s="1"/>
  <c r="AG77" i="45" s="1"/>
  <c r="AK77" i="45" s="1"/>
  <c r="AQ77" i="45" s="1"/>
  <c r="AU77" i="45" s="1"/>
  <c r="AY77" i="45" s="1"/>
  <c r="BG77" i="45" s="1"/>
  <c r="O78" i="45"/>
  <c r="AC78" i="45" s="1"/>
  <c r="AG78" i="45" s="1"/>
  <c r="AK78" i="45" s="1"/>
  <c r="AQ78" i="45" s="1"/>
  <c r="AU78" i="45" s="1"/>
  <c r="AY78" i="45" s="1"/>
  <c r="BG78" i="45" s="1"/>
  <c r="O63" i="45"/>
  <c r="AC63" i="45" s="1"/>
  <c r="AG63" i="45" s="1"/>
  <c r="AK63" i="45" s="1"/>
  <c r="AQ63" i="45" s="1"/>
  <c r="AU63" i="45" s="1"/>
  <c r="AY63" i="45" s="1"/>
  <c r="BG63" i="45" s="1"/>
  <c r="P90" i="38" l="1"/>
  <c r="P88" i="38"/>
  <c r="P82" i="38"/>
  <c r="P60" i="38"/>
  <c r="O167" i="45"/>
  <c r="N47" i="35" s="1"/>
  <c r="K167" i="45"/>
  <c r="J47" i="35" s="1"/>
  <c r="P15" i="38"/>
  <c r="O87" i="38"/>
  <c r="O64" i="38" s="1"/>
  <c r="S117" i="45"/>
  <c r="W117" i="45" s="1"/>
  <c r="AC117" i="45"/>
  <c r="AG117" i="45" s="1"/>
  <c r="AK117" i="45" s="1"/>
  <c r="AQ117" i="45" s="1"/>
  <c r="AU117" i="45" s="1"/>
  <c r="AY117" i="45" s="1"/>
  <c r="BG117" i="45" s="1"/>
  <c r="AC76" i="45"/>
  <c r="S78" i="45"/>
  <c r="W78" i="45" s="1"/>
  <c r="S77" i="45"/>
  <c r="W77" i="45" s="1"/>
  <c r="S63" i="45"/>
  <c r="W63" i="45" s="1"/>
  <c r="S76" i="45"/>
  <c r="O42" i="38"/>
  <c r="O39" i="38" s="1"/>
  <c r="O65" i="38"/>
  <c r="O63" i="38"/>
  <c r="P17" i="38"/>
  <c r="O34" i="38"/>
  <c r="O18" i="38"/>
  <c r="O12" i="38"/>
  <c r="O6" i="38"/>
  <c r="P66" i="38"/>
  <c r="P54" i="38"/>
  <c r="P39" i="38"/>
  <c r="O96" i="38" l="1"/>
  <c r="P65" i="38"/>
  <c r="P63" i="38"/>
  <c r="S167" i="45"/>
  <c r="O17" i="38"/>
  <c r="AG76" i="45"/>
  <c r="AK76" i="45" s="1"/>
  <c r="AC167" i="45"/>
  <c r="R47" i="35"/>
  <c r="V47" i="35" s="1"/>
  <c r="AB47" i="35"/>
  <c r="AF47" i="35" s="1"/>
  <c r="AJ47" i="35" s="1"/>
  <c r="AP47" i="35" s="1"/>
  <c r="AT47" i="35" s="1"/>
  <c r="AX47" i="35" s="1"/>
  <c r="BF47" i="35" s="1"/>
  <c r="W76" i="45"/>
  <c r="W167" i="45" s="1"/>
  <c r="O16" i="38"/>
  <c r="O15" i="38"/>
  <c r="P87" i="38"/>
  <c r="P16" i="38"/>
  <c r="O48" i="38" l="1"/>
  <c r="AQ76" i="45"/>
  <c r="AU76" i="45" s="1"/>
  <c r="AY76" i="45" s="1"/>
  <c r="BG76" i="45" s="1"/>
  <c r="AG167" i="45"/>
  <c r="AK167" i="45"/>
  <c r="P64" i="38"/>
  <c r="P96" i="38" s="1"/>
  <c r="P48" i="38"/>
  <c r="AY167" i="45" l="1"/>
  <c r="BG167" i="45"/>
  <c r="AU167" i="45"/>
  <c r="AQ167" i="45"/>
  <c r="O50" i="45"/>
  <c r="S50" i="45" l="1"/>
  <c r="W50" i="45" s="1"/>
  <c r="AC50" i="45"/>
  <c r="AG50" i="45" s="1"/>
  <c r="AK50" i="45" s="1"/>
  <c r="AQ50" i="45" s="1"/>
  <c r="AU50" i="45" s="1"/>
  <c r="AY50" i="45" s="1"/>
  <c r="BG50" i="45" s="1"/>
  <c r="BA49" i="83"/>
  <c r="AS49" i="83"/>
  <c r="AM49" i="83"/>
  <c r="AE49" i="83"/>
  <c r="Y49" i="83"/>
  <c r="U49" i="83"/>
  <c r="I49" i="83"/>
  <c r="G49" i="83"/>
  <c r="BA52" i="50"/>
  <c r="AW52" i="50"/>
  <c r="AS52" i="50"/>
  <c r="AM52" i="50"/>
  <c r="AI52" i="50"/>
  <c r="AE52" i="50"/>
  <c r="Y52" i="50"/>
  <c r="Q52" i="50"/>
  <c r="M52" i="50"/>
  <c r="I52" i="50"/>
  <c r="G52" i="50"/>
  <c r="K52" i="50" s="1"/>
  <c r="O30" i="45"/>
  <c r="AC30" i="45" s="1"/>
  <c r="AG30" i="45" s="1"/>
  <c r="AK30" i="45" s="1"/>
  <c r="AQ30" i="45" s="1"/>
  <c r="AU30" i="45" s="1"/>
  <c r="AY30" i="45" s="1"/>
  <c r="BG30" i="45" s="1"/>
  <c r="O29" i="45"/>
  <c r="AC29" i="45" s="1"/>
  <c r="AG29" i="45" s="1"/>
  <c r="AK29" i="45" s="1"/>
  <c r="AQ29" i="45" s="1"/>
  <c r="AU29" i="45" s="1"/>
  <c r="AY29" i="45" s="1"/>
  <c r="BG29" i="45" s="1"/>
  <c r="N53" i="11"/>
  <c r="N124" i="10"/>
  <c r="N125" i="10"/>
  <c r="N127" i="10"/>
  <c r="J127" i="10"/>
  <c r="N8" i="10"/>
  <c r="N9" i="10"/>
  <c r="N10" i="10"/>
  <c r="N11" i="10"/>
  <c r="N12" i="10"/>
  <c r="N14" i="10"/>
  <c r="N15" i="10"/>
  <c r="N16" i="10"/>
  <c r="N17" i="10"/>
  <c r="N18" i="10"/>
  <c r="N19" i="10"/>
  <c r="N20" i="10"/>
  <c r="N26" i="10"/>
  <c r="N27" i="10"/>
  <c r="N28" i="10"/>
  <c r="N29" i="10"/>
  <c r="N30" i="10"/>
  <c r="N34" i="10"/>
  <c r="N35" i="10"/>
  <c r="N36" i="10"/>
  <c r="N37" i="10"/>
  <c r="N38" i="10"/>
  <c r="N39" i="10"/>
  <c r="N40" i="10"/>
  <c r="N41" i="10"/>
  <c r="N42" i="10"/>
  <c r="N43" i="10"/>
  <c r="N44" i="10"/>
  <c r="N45" i="10"/>
  <c r="N46" i="10"/>
  <c r="N47" i="10"/>
  <c r="N48" i="10"/>
  <c r="N49" i="10"/>
  <c r="N50" i="10"/>
  <c r="N51" i="10"/>
  <c r="N52" i="10"/>
  <c r="N53" i="10"/>
  <c r="N54" i="10"/>
  <c r="N55" i="10"/>
  <c r="N58" i="10"/>
  <c r="N59" i="10"/>
  <c r="N60" i="10"/>
  <c r="N62" i="10"/>
  <c r="N63" i="10"/>
  <c r="N64" i="10"/>
  <c r="N65" i="10"/>
  <c r="N66" i="10"/>
  <c r="N67" i="10"/>
  <c r="N69" i="10"/>
  <c r="N70" i="10"/>
  <c r="N71" i="10"/>
  <c r="N72" i="10"/>
  <c r="N73" i="10"/>
  <c r="N74" i="10"/>
  <c r="N75" i="10"/>
  <c r="N76" i="10"/>
  <c r="N78" i="10"/>
  <c r="N79" i="10"/>
  <c r="N80" i="10"/>
  <c r="N81" i="10"/>
  <c r="N82" i="10"/>
  <c r="N83" i="10"/>
  <c r="N84" i="10"/>
  <c r="N85" i="10"/>
  <c r="N86" i="10"/>
  <c r="N88" i="10"/>
  <c r="N89" i="10"/>
  <c r="N90" i="10"/>
  <c r="N92" i="10"/>
  <c r="N93" i="10"/>
  <c r="N94" i="10"/>
  <c r="N97" i="10"/>
  <c r="N98" i="10"/>
  <c r="N99" i="10"/>
  <c r="N100" i="10"/>
  <c r="N101" i="10"/>
  <c r="N102" i="10"/>
  <c r="N103" i="10"/>
  <c r="N104" i="10"/>
  <c r="N105" i="10"/>
  <c r="N109" i="10"/>
  <c r="N110" i="10"/>
  <c r="N111" i="10"/>
  <c r="N112" i="10"/>
  <c r="N113" i="10"/>
  <c r="N116" i="10"/>
  <c r="N117" i="10"/>
  <c r="N118" i="10"/>
  <c r="N120" i="10"/>
  <c r="N122" i="10"/>
  <c r="N123" i="10"/>
  <c r="N126" i="10"/>
  <c r="N128" i="10"/>
  <c r="N129" i="10"/>
  <c r="R129" i="10" s="1"/>
  <c r="V129" i="10" s="1"/>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R153" i="10" s="1"/>
  <c r="V153" i="10" s="1"/>
  <c r="N154" i="10"/>
  <c r="N155" i="10"/>
  <c r="N156" i="10"/>
  <c r="R156" i="10" s="1"/>
  <c r="N157" i="10"/>
  <c r="R157" i="10" s="1"/>
  <c r="R85" i="10" l="1"/>
  <c r="V85" i="10" s="1"/>
  <c r="AB85" i="10"/>
  <c r="AF85" i="10" s="1"/>
  <c r="R43" i="10"/>
  <c r="V43" i="10" s="1"/>
  <c r="AB43" i="10"/>
  <c r="AF43" i="10" s="1"/>
  <c r="AJ43" i="10" s="1"/>
  <c r="AP43" i="10" s="1"/>
  <c r="AT43" i="10" s="1"/>
  <c r="AX43" i="10" s="1"/>
  <c r="R28" i="10"/>
  <c r="V28" i="10" s="1"/>
  <c r="AB28" i="10"/>
  <c r="AF28" i="10" s="1"/>
  <c r="AJ28" i="10" s="1"/>
  <c r="AP28" i="10" s="1"/>
  <c r="AT28" i="10" s="1"/>
  <c r="AX28" i="10" s="1"/>
  <c r="R10" i="10"/>
  <c r="V10" i="10" s="1"/>
  <c r="AB10" i="10"/>
  <c r="AF10" i="10" s="1"/>
  <c r="AJ10" i="10" s="1"/>
  <c r="AP10" i="10" s="1"/>
  <c r="AT10" i="10" s="1"/>
  <c r="AX10" i="10" s="1"/>
  <c r="R42" i="10"/>
  <c r="V42" i="10" s="1"/>
  <c r="AB42" i="10"/>
  <c r="AF42" i="10" s="1"/>
  <c r="AJ42" i="10" s="1"/>
  <c r="AP42" i="10" s="1"/>
  <c r="AT42" i="10" s="1"/>
  <c r="AX42" i="10" s="1"/>
  <c r="R147" i="10"/>
  <c r="V147" i="10" s="1"/>
  <c r="AB147" i="10"/>
  <c r="R58" i="10"/>
  <c r="V58" i="10" s="1"/>
  <c r="AB58" i="10"/>
  <c r="AF58" i="10" s="1"/>
  <c r="R55" i="10"/>
  <c r="V55" i="10" s="1"/>
  <c r="AB55" i="10"/>
  <c r="AF55" i="10" s="1"/>
  <c r="AJ55" i="10" s="1"/>
  <c r="AP55" i="10" s="1"/>
  <c r="AT55" i="10" s="1"/>
  <c r="AX55" i="10" s="1"/>
  <c r="R145" i="10"/>
  <c r="V145" i="10" s="1"/>
  <c r="AB145" i="10"/>
  <c r="R144" i="10"/>
  <c r="V144" i="10" s="1"/>
  <c r="AB144" i="10"/>
  <c r="R82" i="10"/>
  <c r="V82" i="10" s="1"/>
  <c r="AB82" i="10"/>
  <c r="AF82" i="10" s="1"/>
  <c r="AJ82" i="10" s="1"/>
  <c r="AP82" i="10" s="1"/>
  <c r="AT82" i="10" s="1"/>
  <c r="AX82" i="10" s="1"/>
  <c r="R69" i="10"/>
  <c r="V69" i="10" s="1"/>
  <c r="AB69" i="10"/>
  <c r="AF69" i="10" s="1"/>
  <c r="AJ69" i="10" s="1"/>
  <c r="AP69" i="10" s="1"/>
  <c r="AT69" i="10" s="1"/>
  <c r="AX69" i="10" s="1"/>
  <c r="R53" i="10"/>
  <c r="V53" i="10" s="1"/>
  <c r="AB53" i="10"/>
  <c r="AF53" i="10" s="1"/>
  <c r="AJ53" i="10" s="1"/>
  <c r="AP53" i="10" s="1"/>
  <c r="AT53" i="10" s="1"/>
  <c r="AX53" i="10" s="1"/>
  <c r="R41" i="10"/>
  <c r="V41" i="10" s="1"/>
  <c r="AB41" i="10"/>
  <c r="AF41" i="10" s="1"/>
  <c r="AJ41" i="10" s="1"/>
  <c r="AP41" i="10" s="1"/>
  <c r="AT41" i="10" s="1"/>
  <c r="AX41" i="10" s="1"/>
  <c r="R26" i="10"/>
  <c r="V26" i="10" s="1"/>
  <c r="AB26" i="10"/>
  <c r="AF26" i="10" s="1"/>
  <c r="AJ26" i="10" s="1"/>
  <c r="AP26" i="10" s="1"/>
  <c r="AT26" i="10" s="1"/>
  <c r="AX26" i="10" s="1"/>
  <c r="R8" i="10"/>
  <c r="V8" i="10" s="1"/>
  <c r="AB8" i="10"/>
  <c r="AF8" i="10" s="1"/>
  <c r="AJ8" i="10" s="1"/>
  <c r="AP8" i="10" s="1"/>
  <c r="AT8" i="10" s="1"/>
  <c r="AX8" i="10" s="1"/>
  <c r="R29" i="10"/>
  <c r="AB29" i="10"/>
  <c r="R100" i="10"/>
  <c r="V100" i="10" s="1"/>
  <c r="AB100" i="10"/>
  <c r="AF100" i="10" s="1"/>
  <c r="AJ100" i="10" s="1"/>
  <c r="AP100" i="10" s="1"/>
  <c r="AT100" i="10" s="1"/>
  <c r="AX100" i="10" s="1"/>
  <c r="R54" i="10"/>
  <c r="V54" i="10" s="1"/>
  <c r="AB54" i="10"/>
  <c r="AF54" i="10" s="1"/>
  <c r="AJ54" i="10" s="1"/>
  <c r="AP54" i="10" s="1"/>
  <c r="AT54" i="10" s="1"/>
  <c r="AX54" i="10" s="1"/>
  <c r="R113" i="10"/>
  <c r="V113" i="10" s="1"/>
  <c r="AB113" i="10"/>
  <c r="AF113" i="10" s="1"/>
  <c r="AJ113" i="10" s="1"/>
  <c r="AP113" i="10" s="1"/>
  <c r="AT113" i="10" s="1"/>
  <c r="AX113" i="10" s="1"/>
  <c r="R131" i="10"/>
  <c r="V131" i="10" s="1"/>
  <c r="AB131" i="10"/>
  <c r="R112" i="10"/>
  <c r="V112" i="10" s="1"/>
  <c r="AB112" i="10"/>
  <c r="AF112" i="10" s="1"/>
  <c r="AJ112" i="10" s="1"/>
  <c r="AP112" i="10" s="1"/>
  <c r="AT112" i="10" s="1"/>
  <c r="AX112" i="10" s="1"/>
  <c r="R97" i="10"/>
  <c r="V97" i="10" s="1"/>
  <c r="AB97" i="10"/>
  <c r="AF97" i="10" s="1"/>
  <c r="AJ97" i="10" s="1"/>
  <c r="AP97" i="10" s="1"/>
  <c r="AT97" i="10" s="1"/>
  <c r="AX97" i="10" s="1"/>
  <c r="R81" i="10"/>
  <c r="V81" i="10" s="1"/>
  <c r="AB81" i="10"/>
  <c r="AF81" i="10" s="1"/>
  <c r="AJ81" i="10" s="1"/>
  <c r="AP81" i="10" s="1"/>
  <c r="AT81" i="10" s="1"/>
  <c r="AX81" i="10" s="1"/>
  <c r="R67" i="10"/>
  <c r="V67" i="10" s="1"/>
  <c r="AB67" i="10"/>
  <c r="AF67" i="10" s="1"/>
  <c r="AJ67" i="10" s="1"/>
  <c r="AP67" i="10" s="1"/>
  <c r="AT67" i="10" s="1"/>
  <c r="AX67" i="10" s="1"/>
  <c r="R52" i="10"/>
  <c r="V52" i="10" s="1"/>
  <c r="AB52" i="10"/>
  <c r="AF52" i="10" s="1"/>
  <c r="AJ52" i="10" s="1"/>
  <c r="AP52" i="10" s="1"/>
  <c r="AT52" i="10" s="1"/>
  <c r="AX52" i="10" s="1"/>
  <c r="R40" i="10"/>
  <c r="V40" i="10" s="1"/>
  <c r="AB40" i="10"/>
  <c r="AF40" i="10" s="1"/>
  <c r="AJ40" i="10" s="1"/>
  <c r="AP40" i="10" s="1"/>
  <c r="AT40" i="10" s="1"/>
  <c r="AX40" i="10" s="1"/>
  <c r="R20" i="10"/>
  <c r="V20" i="10" s="1"/>
  <c r="AB20" i="10"/>
  <c r="AF20" i="10" s="1"/>
  <c r="AJ20" i="10" s="1"/>
  <c r="AP20" i="10" s="1"/>
  <c r="AT20" i="10" s="1"/>
  <c r="AX20" i="10" s="1"/>
  <c r="R44" i="10"/>
  <c r="V44" i="10" s="1"/>
  <c r="AB44" i="10"/>
  <c r="AF44" i="10" s="1"/>
  <c r="AJ44" i="10" s="1"/>
  <c r="AP44" i="10" s="1"/>
  <c r="AT44" i="10" s="1"/>
  <c r="AX44" i="10" s="1"/>
  <c r="R71" i="10"/>
  <c r="V71" i="10" s="1"/>
  <c r="AB71" i="10"/>
  <c r="AF71" i="10" s="1"/>
  <c r="AJ71" i="10" s="1"/>
  <c r="AP71" i="10" s="1"/>
  <c r="AT71" i="10" s="1"/>
  <c r="AX71" i="10" s="1"/>
  <c r="R70" i="10"/>
  <c r="V70" i="10" s="1"/>
  <c r="AB70" i="10"/>
  <c r="AF70" i="10" s="1"/>
  <c r="AJ70" i="10" s="1"/>
  <c r="AP70" i="10" s="1"/>
  <c r="AT70" i="10" s="1"/>
  <c r="AX70" i="10" s="1"/>
  <c r="R130" i="10"/>
  <c r="V130" i="10" s="1"/>
  <c r="AB130" i="10"/>
  <c r="R51" i="10"/>
  <c r="V51" i="10" s="1"/>
  <c r="AB51" i="10"/>
  <c r="AF51" i="10" s="1"/>
  <c r="AJ51" i="10" s="1"/>
  <c r="AP51" i="10" s="1"/>
  <c r="AT51" i="10" s="1"/>
  <c r="AX51" i="10" s="1"/>
  <c r="R127" i="10"/>
  <c r="V127" i="10" s="1"/>
  <c r="AB127" i="10"/>
  <c r="AF127" i="10" s="1"/>
  <c r="AJ127" i="10" s="1"/>
  <c r="AP127" i="10" s="1"/>
  <c r="AT127" i="10" s="1"/>
  <c r="AX127" i="10" s="1"/>
  <c r="R117" i="10"/>
  <c r="V117" i="10" s="1"/>
  <c r="AB117" i="10"/>
  <c r="AF117" i="10" s="1"/>
  <c r="AJ117" i="10" s="1"/>
  <c r="AP117" i="10" s="1"/>
  <c r="AT117" i="10" s="1"/>
  <c r="AX117" i="10" s="1"/>
  <c r="R99" i="10"/>
  <c r="V99" i="10" s="1"/>
  <c r="AB99" i="10"/>
  <c r="AF99" i="10" s="1"/>
  <c r="AJ99" i="10" s="1"/>
  <c r="AP99" i="10" s="1"/>
  <c r="AT99" i="10" s="1"/>
  <c r="AX99" i="10" s="1"/>
  <c r="R135" i="10"/>
  <c r="V135" i="10" s="1"/>
  <c r="AB135" i="10"/>
  <c r="R133" i="10"/>
  <c r="V133" i="10" s="1"/>
  <c r="AB133" i="10"/>
  <c r="R132" i="10"/>
  <c r="V132" i="10" s="1"/>
  <c r="AB132" i="10"/>
  <c r="R101" i="10"/>
  <c r="V101" i="10" s="1"/>
  <c r="AB101" i="10"/>
  <c r="AF101" i="10" s="1"/>
  <c r="AJ101" i="10" s="1"/>
  <c r="AP101" i="10" s="1"/>
  <c r="AT101" i="10" s="1"/>
  <c r="AX101" i="10" s="1"/>
  <c r="R134" i="10"/>
  <c r="V134" i="10" s="1"/>
  <c r="AB134" i="10"/>
  <c r="R83" i="10"/>
  <c r="V83" i="10" s="1"/>
  <c r="AB83" i="10"/>
  <c r="AF83" i="10" s="1"/>
  <c r="AJ83" i="10" s="1"/>
  <c r="AP83" i="10" s="1"/>
  <c r="AT83" i="10" s="1"/>
  <c r="AX83" i="10" s="1"/>
  <c r="R154" i="10"/>
  <c r="V154" i="10" s="1"/>
  <c r="R72" i="10"/>
  <c r="V72" i="10" s="1"/>
  <c r="AB72" i="10"/>
  <c r="AF72" i="10" s="1"/>
  <c r="R146" i="10"/>
  <c r="V146" i="10" s="1"/>
  <c r="AB146" i="10"/>
  <c r="R116" i="10"/>
  <c r="V116" i="10" s="1"/>
  <c r="AB116" i="10"/>
  <c r="AF116" i="10" s="1"/>
  <c r="AJ116" i="10" s="1"/>
  <c r="AP116" i="10" s="1"/>
  <c r="AT116" i="10" s="1"/>
  <c r="AX116" i="10" s="1"/>
  <c r="R98" i="10"/>
  <c r="V98" i="10" s="1"/>
  <c r="AB98" i="10"/>
  <c r="AF98" i="10" s="1"/>
  <c r="R94" i="10"/>
  <c r="V94" i="10" s="1"/>
  <c r="AB94" i="10"/>
  <c r="AF94" i="10" s="1"/>
  <c r="AJ94" i="10" s="1"/>
  <c r="AP94" i="10" s="1"/>
  <c r="AT94" i="10" s="1"/>
  <c r="AX94" i="10" s="1"/>
  <c r="R19" i="10"/>
  <c r="V19" i="10" s="1"/>
  <c r="AB19" i="10"/>
  <c r="AF19" i="10" s="1"/>
  <c r="AJ19" i="10" s="1"/>
  <c r="AP19" i="10" s="1"/>
  <c r="AT19" i="10" s="1"/>
  <c r="AX19" i="10" s="1"/>
  <c r="R93" i="10"/>
  <c r="V93" i="10" s="1"/>
  <c r="AB93" i="10"/>
  <c r="AF93" i="10" s="1"/>
  <c r="AJ93" i="10" s="1"/>
  <c r="AP93" i="10" s="1"/>
  <c r="AT93" i="10" s="1"/>
  <c r="AX93" i="10" s="1"/>
  <c r="R38" i="10"/>
  <c r="V38" i="10" s="1"/>
  <c r="AB38" i="10"/>
  <c r="AF38" i="10" s="1"/>
  <c r="AJ38" i="10" s="1"/>
  <c r="AP38" i="10" s="1"/>
  <c r="AT38" i="10" s="1"/>
  <c r="AX38" i="10" s="1"/>
  <c r="R118" i="10"/>
  <c r="V118" i="10" s="1"/>
  <c r="AB118" i="10"/>
  <c r="AF118" i="10" s="1"/>
  <c r="AJ118" i="10" s="1"/>
  <c r="AP118" i="10" s="1"/>
  <c r="AT118" i="10" s="1"/>
  <c r="AX118" i="10" s="1"/>
  <c r="R9" i="10"/>
  <c r="V9" i="10" s="1"/>
  <c r="AB9" i="10"/>
  <c r="AF9" i="10" s="1"/>
  <c r="AJ9" i="10" s="1"/>
  <c r="AP9" i="10" s="1"/>
  <c r="AT9" i="10" s="1"/>
  <c r="AX9" i="10" s="1"/>
  <c r="R143" i="10"/>
  <c r="V143" i="10" s="1"/>
  <c r="R111" i="10"/>
  <c r="V111" i="10" s="1"/>
  <c r="AB111" i="10"/>
  <c r="AF111" i="10" s="1"/>
  <c r="AJ111" i="10" s="1"/>
  <c r="AP111" i="10" s="1"/>
  <c r="AT111" i="10" s="1"/>
  <c r="AX111" i="10" s="1"/>
  <c r="R66" i="10"/>
  <c r="V66" i="10" s="1"/>
  <c r="AB66" i="10"/>
  <c r="AF66" i="10" s="1"/>
  <c r="AJ66" i="10" s="1"/>
  <c r="AP66" i="10" s="1"/>
  <c r="AT66" i="10" s="1"/>
  <c r="AX66" i="10" s="1"/>
  <c r="R65" i="10"/>
  <c r="V65" i="10" s="1"/>
  <c r="AB65" i="10"/>
  <c r="AF65" i="10" s="1"/>
  <c r="AJ65" i="10" s="1"/>
  <c r="AP65" i="10" s="1"/>
  <c r="AT65" i="10" s="1"/>
  <c r="AX65" i="10" s="1"/>
  <c r="R18" i="10"/>
  <c r="V18" i="10" s="1"/>
  <c r="AB18" i="10"/>
  <c r="AF18" i="10" s="1"/>
  <c r="AJ18" i="10" s="1"/>
  <c r="AP18" i="10" s="1"/>
  <c r="AT18" i="10" s="1"/>
  <c r="AX18" i="10" s="1"/>
  <c r="R128" i="10"/>
  <c r="V128" i="10" s="1"/>
  <c r="AB128" i="10"/>
  <c r="AF128" i="10" s="1"/>
  <c r="AJ128" i="10" s="1"/>
  <c r="AP128" i="10" s="1"/>
  <c r="AT128" i="10" s="1"/>
  <c r="AX128" i="10" s="1"/>
  <c r="R92" i="10"/>
  <c r="V92" i="10" s="1"/>
  <c r="AB92" i="10"/>
  <c r="AF92" i="10" s="1"/>
  <c r="AJ92" i="10" s="1"/>
  <c r="AP92" i="10" s="1"/>
  <c r="AT92" i="10" s="1"/>
  <c r="AX92" i="10" s="1"/>
  <c r="R64" i="10"/>
  <c r="V64" i="10" s="1"/>
  <c r="AB64" i="10"/>
  <c r="AF64" i="10" s="1"/>
  <c r="AJ64" i="10" s="1"/>
  <c r="AP64" i="10" s="1"/>
  <c r="AT64" i="10" s="1"/>
  <c r="AX64" i="10" s="1"/>
  <c r="R37" i="10"/>
  <c r="V37" i="10" s="1"/>
  <c r="AB37" i="10"/>
  <c r="AF37" i="10" s="1"/>
  <c r="AJ37" i="10" s="1"/>
  <c r="AP37" i="10" s="1"/>
  <c r="AT37" i="10" s="1"/>
  <c r="AX37" i="10" s="1"/>
  <c r="R124" i="10"/>
  <c r="V124" i="10" s="1"/>
  <c r="AB124" i="10"/>
  <c r="AF124" i="10" s="1"/>
  <c r="AJ124" i="10" s="1"/>
  <c r="AP124" i="10" s="1"/>
  <c r="AT124" i="10" s="1"/>
  <c r="AX124" i="10" s="1"/>
  <c r="R139" i="10"/>
  <c r="V139" i="10" s="1"/>
  <c r="AB139" i="10"/>
  <c r="R105" i="10"/>
  <c r="V105" i="10" s="1"/>
  <c r="AB105" i="10"/>
  <c r="AF105" i="10" s="1"/>
  <c r="R76" i="10"/>
  <c r="V76" i="10" s="1"/>
  <c r="AB76" i="10"/>
  <c r="AF76" i="10" s="1"/>
  <c r="R48" i="10"/>
  <c r="V48" i="10" s="1"/>
  <c r="AB48" i="10"/>
  <c r="AF48" i="10" s="1"/>
  <c r="AJ48" i="10" s="1"/>
  <c r="AP48" i="10" s="1"/>
  <c r="AT48" i="10" s="1"/>
  <c r="AX48" i="10" s="1"/>
  <c r="R138" i="10"/>
  <c r="V138" i="10" s="1"/>
  <c r="AB138" i="10"/>
  <c r="R104" i="10"/>
  <c r="V104" i="10" s="1"/>
  <c r="AB104" i="10"/>
  <c r="AF104" i="10" s="1"/>
  <c r="AJ104" i="10" s="1"/>
  <c r="AP104" i="10" s="1"/>
  <c r="AT104" i="10" s="1"/>
  <c r="AX104" i="10" s="1"/>
  <c r="R75" i="10"/>
  <c r="V75" i="10" s="1"/>
  <c r="AB75" i="10"/>
  <c r="AF75" i="10" s="1"/>
  <c r="AJ75" i="10" s="1"/>
  <c r="AP75" i="10" s="1"/>
  <c r="AT75" i="10" s="1"/>
  <c r="AX75" i="10" s="1"/>
  <c r="R47" i="10"/>
  <c r="V47" i="10" s="1"/>
  <c r="AB47" i="10"/>
  <c r="AF47" i="10" s="1"/>
  <c r="AJ47" i="10" s="1"/>
  <c r="AP47" i="10" s="1"/>
  <c r="AT47" i="10" s="1"/>
  <c r="AX47" i="10" s="1"/>
  <c r="R149" i="10"/>
  <c r="V149" i="10" s="1"/>
  <c r="AB149" i="10"/>
  <c r="R137" i="10"/>
  <c r="V137" i="10" s="1"/>
  <c r="AB137" i="10"/>
  <c r="R122" i="10"/>
  <c r="V122" i="10" s="1"/>
  <c r="AB122" i="10"/>
  <c r="AF122" i="10" s="1"/>
  <c r="AJ122" i="10" s="1"/>
  <c r="AP122" i="10" s="1"/>
  <c r="AT122" i="10" s="1"/>
  <c r="AX122" i="10" s="1"/>
  <c r="R103" i="10"/>
  <c r="V103" i="10" s="1"/>
  <c r="AB103" i="10"/>
  <c r="AF103" i="10" s="1"/>
  <c r="AJ103" i="10" s="1"/>
  <c r="AP103" i="10" s="1"/>
  <c r="AT103" i="10" s="1"/>
  <c r="AX103" i="10" s="1"/>
  <c r="R88" i="10"/>
  <c r="V88" i="10" s="1"/>
  <c r="AB88" i="10"/>
  <c r="AF88" i="10" s="1"/>
  <c r="AJ88" i="10" s="1"/>
  <c r="AP88" i="10" s="1"/>
  <c r="AT88" i="10" s="1"/>
  <c r="AX88" i="10" s="1"/>
  <c r="R74" i="10"/>
  <c r="V74" i="10" s="1"/>
  <c r="AB74" i="10"/>
  <c r="AF74" i="10" s="1"/>
  <c r="AJ74" i="10" s="1"/>
  <c r="AP74" i="10" s="1"/>
  <c r="AT74" i="10" s="1"/>
  <c r="AX74" i="10" s="1"/>
  <c r="R60" i="10"/>
  <c r="V60" i="10" s="1"/>
  <c r="AB60" i="10"/>
  <c r="AF60" i="10" s="1"/>
  <c r="R46" i="10"/>
  <c r="V46" i="10" s="1"/>
  <c r="AB46" i="10"/>
  <c r="AF46" i="10" s="1"/>
  <c r="AJ46" i="10" s="1"/>
  <c r="AP46" i="10" s="1"/>
  <c r="AT46" i="10" s="1"/>
  <c r="AX46" i="10" s="1"/>
  <c r="R34" i="10"/>
  <c r="V34" i="10" s="1"/>
  <c r="AB34" i="10"/>
  <c r="AF34" i="10" s="1"/>
  <c r="AJ34" i="10" s="1"/>
  <c r="AP34" i="10" s="1"/>
  <c r="AT34" i="10" s="1"/>
  <c r="AX34" i="10" s="1"/>
  <c r="R14" i="10"/>
  <c r="V14" i="10" s="1"/>
  <c r="AB14" i="10"/>
  <c r="AF14" i="10" s="1"/>
  <c r="AJ14" i="10" s="1"/>
  <c r="AP14" i="10" s="1"/>
  <c r="AT14" i="10" s="1"/>
  <c r="AX14" i="10" s="1"/>
  <c r="R11" i="10"/>
  <c r="V11" i="10" s="1"/>
  <c r="AB11" i="10"/>
  <c r="AF11" i="10" s="1"/>
  <c r="R84" i="10"/>
  <c r="V84" i="10" s="1"/>
  <c r="AB84" i="10"/>
  <c r="AF84" i="10" s="1"/>
  <c r="AJ84" i="10" s="1"/>
  <c r="AP84" i="10" s="1"/>
  <c r="AT84" i="10" s="1"/>
  <c r="AX84" i="10" s="1"/>
  <c r="R27" i="10"/>
  <c r="V27" i="10" s="1"/>
  <c r="AB27" i="10"/>
  <c r="AF27" i="10" s="1"/>
  <c r="R155" i="10"/>
  <c r="V155" i="10" s="1"/>
  <c r="R142" i="10"/>
  <c r="V142" i="10" s="1"/>
  <c r="AB142" i="10"/>
  <c r="R80" i="10"/>
  <c r="V80" i="10" s="1"/>
  <c r="AB80" i="10"/>
  <c r="AF80" i="10" s="1"/>
  <c r="AJ80" i="10" s="1"/>
  <c r="AP80" i="10" s="1"/>
  <c r="AT80" i="10" s="1"/>
  <c r="AX80" i="10" s="1"/>
  <c r="R39" i="10"/>
  <c r="V39" i="10" s="1"/>
  <c r="AB39" i="10"/>
  <c r="AF39" i="10" s="1"/>
  <c r="AJ39" i="10" s="1"/>
  <c r="AP39" i="10" s="1"/>
  <c r="AT39" i="10" s="1"/>
  <c r="AX39" i="10" s="1"/>
  <c r="R141" i="10"/>
  <c r="V141" i="10" s="1"/>
  <c r="AB141" i="10"/>
  <c r="R110" i="10"/>
  <c r="V110" i="10" s="1"/>
  <c r="AB110" i="10"/>
  <c r="AF110" i="10" s="1"/>
  <c r="AJ110" i="10" s="1"/>
  <c r="AP110" i="10" s="1"/>
  <c r="AT110" i="10" s="1"/>
  <c r="AX110" i="10" s="1"/>
  <c r="R79" i="10"/>
  <c r="V79" i="10" s="1"/>
  <c r="AB79" i="10"/>
  <c r="AF79" i="10" s="1"/>
  <c r="AJ79" i="10" s="1"/>
  <c r="AP79" i="10" s="1"/>
  <c r="AT79" i="10" s="1"/>
  <c r="AX79" i="10" s="1"/>
  <c r="R50" i="10"/>
  <c r="V50" i="10" s="1"/>
  <c r="AB50" i="10"/>
  <c r="AF50" i="10" s="1"/>
  <c r="R125" i="10"/>
  <c r="V125" i="10" s="1"/>
  <c r="AB125" i="10"/>
  <c r="AF125" i="10" s="1"/>
  <c r="AJ125" i="10" s="1"/>
  <c r="AP125" i="10" s="1"/>
  <c r="AT125" i="10" s="1"/>
  <c r="AX125" i="10" s="1"/>
  <c r="R140" i="10"/>
  <c r="V140" i="10" s="1"/>
  <c r="AB140" i="10"/>
  <c r="R109" i="10"/>
  <c r="V109" i="10" s="1"/>
  <c r="AB109" i="10"/>
  <c r="AF109" i="10" s="1"/>
  <c r="AJ109" i="10" s="1"/>
  <c r="AP109" i="10" s="1"/>
  <c r="AT109" i="10" s="1"/>
  <c r="AX109" i="10" s="1"/>
  <c r="R78" i="10"/>
  <c r="V78" i="10" s="1"/>
  <c r="AB78" i="10"/>
  <c r="AF78" i="10" s="1"/>
  <c r="AJ78" i="10" s="1"/>
  <c r="AP78" i="10" s="1"/>
  <c r="AT78" i="10" s="1"/>
  <c r="AX78" i="10" s="1"/>
  <c r="R49" i="10"/>
  <c r="V49" i="10" s="1"/>
  <c r="AB49" i="10"/>
  <c r="AF49" i="10" s="1"/>
  <c r="AJ49" i="10" s="1"/>
  <c r="AP49" i="10" s="1"/>
  <c r="AT49" i="10" s="1"/>
  <c r="AX49" i="10" s="1"/>
  <c r="R17" i="10"/>
  <c r="V17" i="10" s="1"/>
  <c r="AB17" i="10"/>
  <c r="AF17" i="10" s="1"/>
  <c r="AJ17" i="10" s="1"/>
  <c r="AP17" i="10" s="1"/>
  <c r="AT17" i="10" s="1"/>
  <c r="AX17" i="10" s="1"/>
  <c r="R151" i="10"/>
  <c r="V151" i="10" s="1"/>
  <c r="AB151" i="10"/>
  <c r="R126" i="10"/>
  <c r="V126" i="10" s="1"/>
  <c r="AB126" i="10"/>
  <c r="AF126" i="10" s="1"/>
  <c r="AJ126" i="10" s="1"/>
  <c r="AP126" i="10" s="1"/>
  <c r="AT126" i="10" s="1"/>
  <c r="AX126" i="10" s="1"/>
  <c r="R90" i="10"/>
  <c r="V90" i="10" s="1"/>
  <c r="AB90" i="10"/>
  <c r="AF90" i="10" s="1"/>
  <c r="R63" i="10"/>
  <c r="V63" i="10" s="1"/>
  <c r="AB63" i="10"/>
  <c r="AF63" i="10" s="1"/>
  <c r="AJ63" i="10" s="1"/>
  <c r="AP63" i="10" s="1"/>
  <c r="AT63" i="10" s="1"/>
  <c r="AX63" i="10" s="1"/>
  <c r="R36" i="10"/>
  <c r="V36" i="10" s="1"/>
  <c r="AB36" i="10"/>
  <c r="AF36" i="10" s="1"/>
  <c r="AJ36" i="10" s="1"/>
  <c r="AP36" i="10" s="1"/>
  <c r="AT36" i="10" s="1"/>
  <c r="AX36" i="10" s="1"/>
  <c r="R16" i="10"/>
  <c r="V16" i="10" s="1"/>
  <c r="AB16" i="10"/>
  <c r="AF16" i="10" s="1"/>
  <c r="AJ16" i="10" s="1"/>
  <c r="AP16" i="10" s="1"/>
  <c r="AT16" i="10" s="1"/>
  <c r="AX16" i="10" s="1"/>
  <c r="R150" i="10"/>
  <c r="V150" i="10" s="1"/>
  <c r="AB150" i="10"/>
  <c r="R123" i="10"/>
  <c r="V123" i="10" s="1"/>
  <c r="AB123" i="10"/>
  <c r="AF123" i="10" s="1"/>
  <c r="AJ123" i="10" s="1"/>
  <c r="AP123" i="10" s="1"/>
  <c r="AT123" i="10" s="1"/>
  <c r="AX123" i="10" s="1"/>
  <c r="R62" i="10"/>
  <c r="V62" i="10" s="1"/>
  <c r="AB62" i="10"/>
  <c r="AF62" i="10" s="1"/>
  <c r="AJ62" i="10" s="1"/>
  <c r="AP62" i="10" s="1"/>
  <c r="AT62" i="10" s="1"/>
  <c r="AX62" i="10" s="1"/>
  <c r="R35" i="10"/>
  <c r="V35" i="10" s="1"/>
  <c r="AB35" i="10"/>
  <c r="AF35" i="10" s="1"/>
  <c r="AJ35" i="10" s="1"/>
  <c r="AP35" i="10" s="1"/>
  <c r="AT35" i="10" s="1"/>
  <c r="AX35" i="10" s="1"/>
  <c r="R15" i="10"/>
  <c r="V15" i="10" s="1"/>
  <c r="AB15" i="10"/>
  <c r="AF15" i="10" s="1"/>
  <c r="AJ15" i="10" s="1"/>
  <c r="AP15" i="10" s="1"/>
  <c r="AT15" i="10" s="1"/>
  <c r="AX15" i="10" s="1"/>
  <c r="R148" i="10"/>
  <c r="V148" i="10" s="1"/>
  <c r="AB148" i="10"/>
  <c r="R136" i="10"/>
  <c r="V136" i="10" s="1"/>
  <c r="AB136" i="10"/>
  <c r="R120" i="10"/>
  <c r="V120" i="10" s="1"/>
  <c r="AB120" i="10"/>
  <c r="AF120" i="10" s="1"/>
  <c r="R102" i="10"/>
  <c r="V102" i="10" s="1"/>
  <c r="AB102" i="10"/>
  <c r="AF102" i="10" s="1"/>
  <c r="AJ102" i="10" s="1"/>
  <c r="AP102" i="10" s="1"/>
  <c r="AT102" i="10" s="1"/>
  <c r="AX102" i="10" s="1"/>
  <c r="R86" i="10"/>
  <c r="V86" i="10" s="1"/>
  <c r="AB86" i="10"/>
  <c r="AF86" i="10" s="1"/>
  <c r="AJ86" i="10" s="1"/>
  <c r="AP86" i="10" s="1"/>
  <c r="AT86" i="10" s="1"/>
  <c r="AX86" i="10" s="1"/>
  <c r="R73" i="10"/>
  <c r="V73" i="10" s="1"/>
  <c r="AB73" i="10"/>
  <c r="AF73" i="10" s="1"/>
  <c r="R59" i="10"/>
  <c r="V59" i="10" s="1"/>
  <c r="AB59" i="10"/>
  <c r="AF59" i="10" s="1"/>
  <c r="AJ59" i="10" s="1"/>
  <c r="AP59" i="10" s="1"/>
  <c r="AT59" i="10" s="1"/>
  <c r="AX59" i="10" s="1"/>
  <c r="R45" i="10"/>
  <c r="V45" i="10" s="1"/>
  <c r="AB45" i="10"/>
  <c r="AF45" i="10" s="1"/>
  <c r="AJ45" i="10" s="1"/>
  <c r="AP45" i="10" s="1"/>
  <c r="AT45" i="10" s="1"/>
  <c r="AX45" i="10" s="1"/>
  <c r="R30" i="10"/>
  <c r="V30" i="10" s="1"/>
  <c r="AB30" i="10"/>
  <c r="AF30" i="10" s="1"/>
  <c r="R12" i="10"/>
  <c r="V12" i="10" s="1"/>
  <c r="AB12" i="10"/>
  <c r="AF12" i="10" s="1"/>
  <c r="AJ12" i="10" s="1"/>
  <c r="AP12" i="10" s="1"/>
  <c r="AT12" i="10" s="1"/>
  <c r="AX12" i="10" s="1"/>
  <c r="R152" i="10"/>
  <c r="V152" i="10" s="1"/>
  <c r="AB152" i="10"/>
  <c r="R89" i="10"/>
  <c r="V89" i="10" s="1"/>
  <c r="AB89" i="10"/>
  <c r="R53" i="11"/>
  <c r="V53" i="11" s="1"/>
  <c r="AB53" i="11"/>
  <c r="AF53" i="11" s="1"/>
  <c r="AJ53" i="11" s="1"/>
  <c r="AP53" i="11" s="1"/>
  <c r="AT53" i="11" s="1"/>
  <c r="AX53" i="11" s="1"/>
  <c r="BF53" i="11" s="1"/>
  <c r="S29" i="45"/>
  <c r="W29" i="45" s="1"/>
  <c r="S30" i="45"/>
  <c r="W30" i="45" s="1"/>
  <c r="BC49" i="83"/>
  <c r="AA52" i="50"/>
  <c r="K49" i="83"/>
  <c r="AO49" i="83"/>
  <c r="AA49" i="83"/>
  <c r="O49" i="83"/>
  <c r="AO52" i="50"/>
  <c r="BC52" i="50"/>
  <c r="O52" i="50"/>
  <c r="AF29" i="10" l="1"/>
  <c r="V29" i="10"/>
  <c r="BF124" i="10"/>
  <c r="BF125" i="10"/>
  <c r="BF127" i="10"/>
  <c r="AF89" i="10"/>
  <c r="AJ89" i="10" s="1"/>
  <c r="AP89" i="10" s="1"/>
  <c r="AT89" i="10" s="1"/>
  <c r="AX89" i="10" s="1"/>
  <c r="BE49" i="83"/>
  <c r="S49" i="83"/>
  <c r="W49" i="83" s="1"/>
  <c r="AC49" i="83"/>
  <c r="AG49" i="83" s="1"/>
  <c r="AK49" i="83" s="1"/>
  <c r="AQ49" i="83" s="1"/>
  <c r="AU49" i="83" s="1"/>
  <c r="AY49" i="83" s="1"/>
  <c r="BG49" i="83" s="1"/>
  <c r="BE52" i="50"/>
  <c r="S52" i="50"/>
  <c r="W52" i="50" s="1"/>
  <c r="AC52" i="50"/>
  <c r="AG52" i="50" s="1"/>
  <c r="AK52" i="50" s="1"/>
  <c r="AQ52" i="50" s="1"/>
  <c r="AU52" i="50" s="1"/>
  <c r="AY52" i="50" s="1"/>
  <c r="BG52" i="50" s="1"/>
  <c r="AJ29" i="10" l="1"/>
  <c r="M62" i="39"/>
  <c r="Q62" i="39" s="1"/>
  <c r="AP29" i="10" l="1"/>
  <c r="L91" i="11"/>
  <c r="L89" i="11"/>
  <c r="L83" i="11"/>
  <c r="L78" i="11"/>
  <c r="K78" i="11"/>
  <c r="L77" i="11"/>
  <c r="K77" i="11"/>
  <c r="L76" i="11"/>
  <c r="K76" i="11"/>
  <c r="L75" i="11"/>
  <c r="K75" i="11"/>
  <c r="L73" i="11"/>
  <c r="K73" i="11"/>
  <c r="L71" i="11"/>
  <c r="K71" i="11"/>
  <c r="L69" i="11"/>
  <c r="K69" i="11"/>
  <c r="L66" i="11"/>
  <c r="K66" i="11"/>
  <c r="L64" i="11"/>
  <c r="L59" i="11"/>
  <c r="L57" i="11"/>
  <c r="L56" i="11"/>
  <c r="K56" i="11"/>
  <c r="K97" i="11" s="1"/>
  <c r="L55" i="11"/>
  <c r="L190" i="10"/>
  <c r="L188" i="10"/>
  <c r="L182" i="10"/>
  <c r="L183" i="10" s="1"/>
  <c r="L177" i="10"/>
  <c r="K177" i="10"/>
  <c r="L176" i="10"/>
  <c r="K176" i="10"/>
  <c r="L175" i="10"/>
  <c r="K175" i="10"/>
  <c r="L174" i="10"/>
  <c r="K174" i="10"/>
  <c r="L172" i="10"/>
  <c r="K172" i="10"/>
  <c r="L170" i="10"/>
  <c r="K170" i="10"/>
  <c r="L168" i="10"/>
  <c r="K168" i="10"/>
  <c r="L165" i="10"/>
  <c r="L166" i="10" s="1"/>
  <c r="K165" i="10"/>
  <c r="K166" i="10" s="1"/>
  <c r="L160" i="10"/>
  <c r="K159" i="10"/>
  <c r="L159" i="10"/>
  <c r="L158" i="10"/>
  <c r="L210" i="10" s="1"/>
  <c r="AT29" i="10" l="1"/>
  <c r="L196" i="10"/>
  <c r="L61" i="11"/>
  <c r="L79" i="11"/>
  <c r="K67" i="11"/>
  <c r="L84" i="11"/>
  <c r="L85" i="11"/>
  <c r="L67" i="11"/>
  <c r="L92" i="11"/>
  <c r="L192" i="10"/>
  <c r="K158" i="10"/>
  <c r="K210" i="10" s="1"/>
  <c r="K203" i="10"/>
  <c r="L200" i="10"/>
  <c r="L90" i="11"/>
  <c r="K79" i="11"/>
  <c r="K55" i="11"/>
  <c r="K74" i="11"/>
  <c r="K58" i="11"/>
  <c r="L74" i="11"/>
  <c r="L58" i="11"/>
  <c r="L60" i="11"/>
  <c r="K173" i="10"/>
  <c r="K178" i="10"/>
  <c r="K161" i="10"/>
  <c r="L93" i="11"/>
  <c r="L189" i="10"/>
  <c r="L184" i="10"/>
  <c r="L173" i="10"/>
  <c r="L191" i="10"/>
  <c r="L178" i="10"/>
  <c r="L161" i="10"/>
  <c r="L147" i="9"/>
  <c r="L148" i="9" s="1"/>
  <c r="K101" i="9"/>
  <c r="L99" i="9"/>
  <c r="K99" i="9"/>
  <c r="L98" i="9"/>
  <c r="K98" i="9"/>
  <c r="L97" i="9"/>
  <c r="K97" i="9"/>
  <c r="L93" i="9"/>
  <c r="K76" i="9"/>
  <c r="K77" i="9" s="1"/>
  <c r="K74" i="9"/>
  <c r="L60" i="9"/>
  <c r="L57" i="9"/>
  <c r="K53" i="9"/>
  <c r="K52" i="9"/>
  <c r="K47" i="9"/>
  <c r="L46" i="9"/>
  <c r="L36" i="9"/>
  <c r="L48" i="9" s="1"/>
  <c r="L35" i="9"/>
  <c r="L47" i="9" s="1"/>
  <c r="L34" i="9"/>
  <c r="L31" i="9"/>
  <c r="L25" i="9"/>
  <c r="K24" i="9"/>
  <c r="K22" i="9"/>
  <c r="L19" i="9"/>
  <c r="L10" i="9"/>
  <c r="L5" i="9"/>
  <c r="AX29" i="10" l="1"/>
  <c r="K25" i="9"/>
  <c r="K88" i="9" s="1"/>
  <c r="L193" i="10"/>
  <c r="L94" i="11"/>
  <c r="L62" i="9"/>
  <c r="L96" i="9"/>
  <c r="K130" i="26"/>
  <c r="L34" i="22"/>
  <c r="L37" i="9"/>
  <c r="L49" i="9"/>
  <c r="L87" i="9" s="1"/>
  <c r="L14" i="9"/>
  <c r="L100" i="9"/>
  <c r="L89" i="9"/>
  <c r="L94" i="9"/>
  <c r="K19" i="15" s="1"/>
  <c r="L90" i="9"/>
  <c r="L109" i="8"/>
  <c r="L111" i="8" s="1"/>
  <c r="L94" i="8"/>
  <c r="L91" i="8"/>
  <c r="K91" i="8"/>
  <c r="L89" i="8"/>
  <c r="K89" i="8"/>
  <c r="L88" i="8"/>
  <c r="K88" i="8"/>
  <c r="K87" i="8"/>
  <c r="K82" i="8"/>
  <c r="L80" i="8"/>
  <c r="L75" i="8"/>
  <c r="K74" i="8"/>
  <c r="K73" i="8"/>
  <c r="K72" i="8"/>
  <c r="K71" i="8"/>
  <c r="L68" i="8"/>
  <c r="L66" i="8"/>
  <c r="L64" i="8"/>
  <c r="L61" i="8"/>
  <c r="L58" i="8"/>
  <c r="L59" i="8" s="1"/>
  <c r="K52" i="8"/>
  <c r="L49" i="8"/>
  <c r="K49" i="8"/>
  <c r="K46" i="8"/>
  <c r="K45" i="8"/>
  <c r="K44" i="8"/>
  <c r="K43" i="8"/>
  <c r="K41" i="8"/>
  <c r="K40" i="8"/>
  <c r="K39" i="8"/>
  <c r="L26" i="8"/>
  <c r="L17" i="8"/>
  <c r="K17" i="8"/>
  <c r="K15" i="8"/>
  <c r="K14" i="8"/>
  <c r="L13" i="8"/>
  <c r="L6" i="8"/>
  <c r="L67" i="8" l="1"/>
  <c r="L65" i="8"/>
  <c r="L16" i="8"/>
  <c r="L69" i="8"/>
  <c r="L74" i="8" s="1"/>
  <c r="L86" i="8"/>
  <c r="K42" i="8"/>
  <c r="L86" i="9"/>
  <c r="L53" i="9"/>
  <c r="L91" i="9"/>
  <c r="L82" i="8"/>
  <c r="L92" i="8"/>
  <c r="L39" i="8"/>
  <c r="L45" i="8"/>
  <c r="L75" i="9"/>
  <c r="L72" i="9"/>
  <c r="L76" i="9"/>
  <c r="L52" i="9"/>
  <c r="L85" i="9"/>
  <c r="L73" i="9"/>
  <c r="L82" i="9"/>
  <c r="L80" i="9"/>
  <c r="L81" i="9"/>
  <c r="L83" i="9"/>
  <c r="L78" i="9"/>
  <c r="L110" i="8"/>
  <c r="L112" i="8" s="1"/>
  <c r="L53" i="8" s="1"/>
  <c r="L123" i="8" s="1"/>
  <c r="L63" i="8"/>
  <c r="L72" i="8"/>
  <c r="L34" i="8"/>
  <c r="L37" i="8"/>
  <c r="L41" i="8"/>
  <c r="L44" i="8"/>
  <c r="L137" i="8" s="1"/>
  <c r="L47" i="8"/>
  <c r="L62" i="8"/>
  <c r="L40" i="8"/>
  <c r="L43" i="8"/>
  <c r="L136" i="8" s="1"/>
  <c r="L46" i="8"/>
  <c r="L138" i="8" s="1"/>
  <c r="L50" i="8"/>
  <c r="L51" i="8" s="1"/>
  <c r="L36" i="8" l="1"/>
  <c r="L73" i="8"/>
  <c r="L139" i="8"/>
  <c r="L78" i="8"/>
  <c r="K6" i="26"/>
  <c r="L77" i="9"/>
  <c r="L74" i="9"/>
  <c r="L52" i="8"/>
  <c r="L121" i="8" s="1"/>
  <c r="L42" i="8"/>
  <c r="L35" i="8"/>
  <c r="L70" i="8"/>
  <c r="L71" i="8"/>
  <c r="L122" i="8" l="1"/>
  <c r="L126" i="8" s="1"/>
  <c r="L127" i="8" s="1"/>
  <c r="L124" i="8"/>
  <c r="L79" i="9"/>
  <c r="M18" i="7"/>
  <c r="N18" i="7"/>
  <c r="M19" i="7"/>
  <c r="Q19" i="7" s="1"/>
  <c r="N19" i="7"/>
  <c r="K113" i="7"/>
  <c r="K112" i="7"/>
  <c r="K111" i="7"/>
  <c r="K110" i="7"/>
  <c r="K109" i="7"/>
  <c r="K108" i="7"/>
  <c r="K107" i="7"/>
  <c r="K106" i="7"/>
  <c r="K85" i="7"/>
  <c r="L84" i="7"/>
  <c r="K84" i="7"/>
  <c r="L82" i="7"/>
  <c r="K82" i="7"/>
  <c r="L75" i="7"/>
  <c r="K75" i="7"/>
  <c r="L71" i="7"/>
  <c r="L73" i="7" s="1"/>
  <c r="K71" i="7"/>
  <c r="K73" i="7" s="1"/>
  <c r="L67" i="7"/>
  <c r="K67" i="7"/>
  <c r="L21" i="7"/>
  <c r="L41" i="7" s="1"/>
  <c r="L51" i="7" s="1"/>
  <c r="K21" i="7"/>
  <c r="K41" i="7" s="1"/>
  <c r="K51" i="7" s="1"/>
  <c r="K35" i="7" l="1"/>
  <c r="K98" i="7" s="1"/>
  <c r="K32" i="7"/>
  <c r="K95" i="7" s="1"/>
  <c r="K28" i="7"/>
  <c r="K92" i="7" s="1"/>
  <c r="K25" i="7"/>
  <c r="K62" i="7"/>
  <c r="K61" i="7"/>
  <c r="K102" i="7" s="1"/>
  <c r="K58" i="7"/>
  <c r="K55" i="7"/>
  <c r="K36" i="7"/>
  <c r="K99" i="7" s="1"/>
  <c r="K33" i="7"/>
  <c r="K96" i="7" s="1"/>
  <c r="K29" i="7"/>
  <c r="K93" i="7" s="1"/>
  <c r="K26" i="7"/>
  <c r="K59" i="7"/>
  <c r="K56" i="7"/>
  <c r="K101" i="7" s="1"/>
  <c r="K37" i="7"/>
  <c r="K100" i="7" s="1"/>
  <c r="K34" i="7"/>
  <c r="K97" i="7" s="1"/>
  <c r="K31" i="7"/>
  <c r="K27" i="7"/>
  <c r="K91" i="7" s="1"/>
  <c r="K24" i="7"/>
  <c r="K60" i="7"/>
  <c r="K57" i="7"/>
  <c r="K54" i="7"/>
  <c r="K23" i="7"/>
  <c r="K87" i="7" s="1"/>
  <c r="L55" i="7"/>
  <c r="L58" i="7"/>
  <c r="L36" i="7"/>
  <c r="L99" i="7" s="1"/>
  <c r="L33" i="7"/>
  <c r="L96" i="7" s="1"/>
  <c r="L29" i="7"/>
  <c r="L93" i="7" s="1"/>
  <c r="L26" i="7"/>
  <c r="L59" i="7"/>
  <c r="L56" i="7"/>
  <c r="L101" i="7" s="1"/>
  <c r="L61" i="7"/>
  <c r="L102" i="7" s="1"/>
  <c r="L28" i="7"/>
  <c r="L92" i="7" s="1"/>
  <c r="L62" i="7"/>
  <c r="L32" i="7"/>
  <c r="L95" i="7" s="1"/>
  <c r="L37" i="7"/>
  <c r="L100" i="7" s="1"/>
  <c r="L34" i="7"/>
  <c r="L97" i="7" s="1"/>
  <c r="L31" i="7"/>
  <c r="L27" i="7"/>
  <c r="L91" i="7" s="1"/>
  <c r="L24" i="7"/>
  <c r="L60" i="7"/>
  <c r="L57" i="7"/>
  <c r="L54" i="7"/>
  <c r="L35" i="7"/>
  <c r="L98" i="7" s="1"/>
  <c r="L23" i="7"/>
  <c r="L87" i="7" s="1"/>
  <c r="L25" i="7"/>
  <c r="R19" i="7"/>
  <c r="L130" i="8"/>
  <c r="L131" i="8"/>
  <c r="L144" i="8" s="1"/>
  <c r="L132" i="8"/>
  <c r="L145" i="8" s="1"/>
  <c r="AB18" i="7"/>
  <c r="R18" i="7"/>
  <c r="AA18" i="7"/>
  <c r="Q18" i="7"/>
  <c r="U18" i="7" s="1"/>
  <c r="L83" i="7"/>
  <c r="K83" i="7"/>
  <c r="L81" i="7"/>
  <c r="L69" i="7"/>
  <c r="L78" i="7"/>
  <c r="K81" i="7"/>
  <c r="K76" i="7"/>
  <c r="K68" i="7"/>
  <c r="K78" i="7"/>
  <c r="L76" i="7"/>
  <c r="K61" i="39"/>
  <c r="L44" i="22" s="1"/>
  <c r="K60" i="39"/>
  <c r="L43" i="22" s="1"/>
  <c r="K49" i="39"/>
  <c r="K48" i="39"/>
  <c r="K47" i="39"/>
  <c r="K46" i="39"/>
  <c r="K43" i="39"/>
  <c r="K42" i="39"/>
  <c r="K8" i="39"/>
  <c r="K198" i="6"/>
  <c r="E198" i="6"/>
  <c r="Y128" i="6"/>
  <c r="Z128" i="6"/>
  <c r="Z130" i="6"/>
  <c r="AM130" i="6"/>
  <c r="M111" i="6"/>
  <c r="Q111" i="6" s="1"/>
  <c r="U111" i="6" s="1"/>
  <c r="N111" i="6"/>
  <c r="R111" i="6" s="1"/>
  <c r="V111" i="6" s="1"/>
  <c r="Y111" i="6"/>
  <c r="Z111" i="6"/>
  <c r="AM111" i="6"/>
  <c r="AN111" i="6"/>
  <c r="BA111" i="6"/>
  <c r="BB111" i="6"/>
  <c r="M94" i="6"/>
  <c r="Q94" i="6" s="1"/>
  <c r="U94" i="6" s="1"/>
  <c r="N94" i="6"/>
  <c r="Y94" i="6"/>
  <c r="Z94" i="6"/>
  <c r="AM94" i="6"/>
  <c r="AN94" i="6"/>
  <c r="BA94" i="6"/>
  <c r="BB94" i="6"/>
  <c r="L222" i="6"/>
  <c r="K222" i="6"/>
  <c r="L221" i="6"/>
  <c r="K221" i="6"/>
  <c r="K199" i="6"/>
  <c r="L198" i="6"/>
  <c r="K197" i="6"/>
  <c r="L193" i="6"/>
  <c r="K193" i="6"/>
  <c r="L192" i="6"/>
  <c r="K192" i="6"/>
  <c r="L191" i="6"/>
  <c r="K191" i="6"/>
  <c r="K190" i="6"/>
  <c r="K189" i="6"/>
  <c r="K186" i="6"/>
  <c r="K185" i="6"/>
  <c r="K184" i="6"/>
  <c r="K183" i="6"/>
  <c r="K182" i="6"/>
  <c r="K181" i="6"/>
  <c r="K179" i="6"/>
  <c r="K178" i="6"/>
  <c r="K177" i="6"/>
  <c r="L167" i="6"/>
  <c r="K167" i="6"/>
  <c r="L166" i="6"/>
  <c r="K166" i="6"/>
  <c r="K165" i="6"/>
  <c r="K164" i="6"/>
  <c r="K161" i="6"/>
  <c r="K160" i="6"/>
  <c r="K159" i="6"/>
  <c r="K158" i="6"/>
  <c r="K157" i="6"/>
  <c r="K156" i="6"/>
  <c r="K154" i="6"/>
  <c r="K153" i="6"/>
  <c r="K149" i="6"/>
  <c r="L139" i="6"/>
  <c r="L136" i="6"/>
  <c r="K136" i="6"/>
  <c r="L135" i="6"/>
  <c r="K135" i="6"/>
  <c r="L134" i="6"/>
  <c r="K134" i="6"/>
  <c r="L133" i="6"/>
  <c r="K133" i="6"/>
  <c r="L131" i="6"/>
  <c r="K131" i="6"/>
  <c r="L130" i="6"/>
  <c r="K130" i="6"/>
  <c r="L128" i="6"/>
  <c r="K128" i="6"/>
  <c r="L127" i="6"/>
  <c r="K127" i="6"/>
  <c r="L126" i="6"/>
  <c r="K126" i="6"/>
  <c r="L125" i="6"/>
  <c r="K125" i="6"/>
  <c r="L120" i="6"/>
  <c r="K120" i="6"/>
  <c r="L115" i="6"/>
  <c r="K115" i="6"/>
  <c r="L103" i="6"/>
  <c r="K103" i="6"/>
  <c r="K98" i="6"/>
  <c r="K85" i="6"/>
  <c r="K83" i="6"/>
  <c r="K82" i="6"/>
  <c r="K80" i="6"/>
  <c r="K79" i="6"/>
  <c r="L77" i="6"/>
  <c r="K77" i="6"/>
  <c r="L69" i="6"/>
  <c r="K69" i="6"/>
  <c r="L66" i="6"/>
  <c r="K66" i="6"/>
  <c r="L54" i="6"/>
  <c r="L51" i="6"/>
  <c r="L48" i="6"/>
  <c r="L45" i="6"/>
  <c r="K41" i="6"/>
  <c r="L34" i="6"/>
  <c r="L33" i="6"/>
  <c r="L32" i="6"/>
  <c r="L29" i="6"/>
  <c r="L26" i="6"/>
  <c r="L23" i="6"/>
  <c r="K18" i="6"/>
  <c r="K17" i="6"/>
  <c r="K16" i="6"/>
  <c r="K15" i="6"/>
  <c r="L9" i="6"/>
  <c r="L8" i="6"/>
  <c r="K7" i="6"/>
  <c r="K34" i="35"/>
  <c r="K48" i="28" s="1"/>
  <c r="K23" i="35"/>
  <c r="K13" i="8" s="1"/>
  <c r="K18" i="35"/>
  <c r="K17" i="35"/>
  <c r="K6" i="8" s="1"/>
  <c r="K16" i="35"/>
  <c r="K90" i="7" l="1"/>
  <c r="N32" i="59" s="1"/>
  <c r="K42" i="28"/>
  <c r="M42" i="28" s="1"/>
  <c r="K502" i="28"/>
  <c r="M502" i="28" s="1"/>
  <c r="M48" i="28"/>
  <c r="K88" i="7"/>
  <c r="L90" i="7"/>
  <c r="O32" i="59" s="1"/>
  <c r="L88" i="7"/>
  <c r="K89" i="7"/>
  <c r="L89" i="7"/>
  <c r="AF18" i="7"/>
  <c r="V18" i="7"/>
  <c r="K22" i="39"/>
  <c r="K16" i="8"/>
  <c r="K34" i="39"/>
  <c r="AB111" i="6"/>
  <c r="AF111" i="6" s="1"/>
  <c r="AJ111" i="6" s="1"/>
  <c r="AP111" i="6" s="1"/>
  <c r="AT111" i="6" s="1"/>
  <c r="AX111" i="6" s="1"/>
  <c r="K31" i="6"/>
  <c r="K30" i="6"/>
  <c r="L133" i="8"/>
  <c r="L146" i="8" s="1"/>
  <c r="L143" i="8"/>
  <c r="K104" i="6"/>
  <c r="BA128" i="6"/>
  <c r="BB128" i="6"/>
  <c r="BA130" i="6"/>
  <c r="BC130" i="6" s="1"/>
  <c r="BD111" i="6"/>
  <c r="BC111" i="6"/>
  <c r="J18" i="15"/>
  <c r="J15" i="15" s="1"/>
  <c r="J16" i="15" s="1"/>
  <c r="K5" i="9"/>
  <c r="AE18" i="7"/>
  <c r="AI18" i="7" s="1"/>
  <c r="AO18" i="7" s="1"/>
  <c r="AS18" i="7" s="1"/>
  <c r="K85" i="8"/>
  <c r="K27" i="8"/>
  <c r="K24" i="8"/>
  <c r="K30" i="8"/>
  <c r="K29" i="8"/>
  <c r="K23" i="8"/>
  <c r="K31" i="8"/>
  <c r="K92" i="8"/>
  <c r="K50" i="8"/>
  <c r="K51" i="8" s="1"/>
  <c r="K28" i="8"/>
  <c r="K25" i="8"/>
  <c r="AB94" i="6"/>
  <c r="AF94" i="6" s="1"/>
  <c r="AJ94" i="6" s="1"/>
  <c r="AP94" i="6" s="1"/>
  <c r="AT94" i="6" s="1"/>
  <c r="AX94" i="6" s="1"/>
  <c r="BD94" i="6"/>
  <c r="AM128" i="6"/>
  <c r="BC94" i="6"/>
  <c r="AA111" i="6"/>
  <c r="AE111" i="6" s="1"/>
  <c r="AI111" i="6" s="1"/>
  <c r="AO111" i="6" s="1"/>
  <c r="AS111" i="6" s="1"/>
  <c r="AW111" i="6" s="1"/>
  <c r="BB130" i="6"/>
  <c r="Y130" i="6"/>
  <c r="AA94" i="6"/>
  <c r="AE94" i="6" s="1"/>
  <c r="AI94" i="6" s="1"/>
  <c r="AO94" i="6" s="1"/>
  <c r="AS94" i="6" s="1"/>
  <c r="AW94" i="6" s="1"/>
  <c r="AN130" i="6"/>
  <c r="AN128" i="6"/>
  <c r="K45" i="39"/>
  <c r="R94" i="6"/>
  <c r="V94" i="6" s="1"/>
  <c r="K23" i="39"/>
  <c r="K38" i="7"/>
  <c r="K53" i="7" s="1"/>
  <c r="K50" i="39"/>
  <c r="L38" i="7"/>
  <c r="L53" i="7" s="1"/>
  <c r="L121" i="6"/>
  <c r="L57" i="6"/>
  <c r="L35" i="6"/>
  <c r="K28" i="6"/>
  <c r="K163" i="6"/>
  <c r="K24" i="6"/>
  <c r="K19" i="6"/>
  <c r="K27" i="6"/>
  <c r="K121" i="6"/>
  <c r="K137" i="6"/>
  <c r="K168" i="6"/>
  <c r="K194" i="6"/>
  <c r="K25" i="6"/>
  <c r="L137" i="6"/>
  <c r="K188" i="6"/>
  <c r="K21" i="6"/>
  <c r="K132" i="6"/>
  <c r="K22" i="6"/>
  <c r="L132" i="6"/>
  <c r="AA48" i="28" l="1"/>
  <c r="Q48" i="28"/>
  <c r="U48" i="28" s="1"/>
  <c r="M558" i="28"/>
  <c r="Q502" i="28"/>
  <c r="AA502" i="28"/>
  <c r="AA42" i="28"/>
  <c r="Q42" i="28"/>
  <c r="U42" i="28" s="1"/>
  <c r="AJ18" i="7"/>
  <c r="K67" i="8"/>
  <c r="K51" i="39"/>
  <c r="K24" i="39"/>
  <c r="K32" i="6"/>
  <c r="AW18" i="7"/>
  <c r="BE18" i="7" s="1"/>
  <c r="BD130" i="6"/>
  <c r="BD128" i="6"/>
  <c r="K123" i="6"/>
  <c r="K172" i="6" s="1"/>
  <c r="BF111" i="6"/>
  <c r="K34" i="6"/>
  <c r="BE94" i="6"/>
  <c r="BF94" i="6"/>
  <c r="BE111" i="6"/>
  <c r="K106" i="6"/>
  <c r="K81" i="6"/>
  <c r="L123" i="6"/>
  <c r="L173" i="6" s="1"/>
  <c r="K29" i="6"/>
  <c r="BC128" i="6"/>
  <c r="K26" i="8"/>
  <c r="K69" i="8"/>
  <c r="K27" i="9"/>
  <c r="K55" i="9"/>
  <c r="K69" i="9"/>
  <c r="K68" i="9"/>
  <c r="K63" i="9"/>
  <c r="K70" i="9"/>
  <c r="K92" i="9"/>
  <c r="K56" i="9"/>
  <c r="K66" i="9"/>
  <c r="K64" i="9"/>
  <c r="K67" i="9"/>
  <c r="J130" i="26"/>
  <c r="K100" i="9"/>
  <c r="K61" i="9"/>
  <c r="K34" i="22"/>
  <c r="K7" i="9"/>
  <c r="K59" i="9"/>
  <c r="K65" i="9"/>
  <c r="K58" i="9"/>
  <c r="K95" i="9"/>
  <c r="K65" i="8"/>
  <c r="K59" i="8"/>
  <c r="K109" i="8"/>
  <c r="K111" i="8" s="1"/>
  <c r="K84" i="6"/>
  <c r="L103" i="7"/>
  <c r="L138" i="6"/>
  <c r="K103" i="7"/>
  <c r="K63" i="7"/>
  <c r="K77" i="7"/>
  <c r="L63" i="7"/>
  <c r="L77" i="7"/>
  <c r="K26" i="6"/>
  <c r="K138" i="6"/>
  <c r="K33" i="6"/>
  <c r="K23" i="6"/>
  <c r="AE502" i="28" l="1"/>
  <c r="BE502" i="28"/>
  <c r="Q558" i="28"/>
  <c r="U502" i="28"/>
  <c r="U558" i="28" s="1"/>
  <c r="AE42" i="28"/>
  <c r="AI42" i="28" s="1"/>
  <c r="AO42" i="28" s="1"/>
  <c r="AS42" i="28" s="1"/>
  <c r="AW42" i="28" s="1"/>
  <c r="BE42" i="28"/>
  <c r="AE48" i="28"/>
  <c r="AI48" i="28" s="1"/>
  <c r="AO48" i="28" s="1"/>
  <c r="AS48" i="28" s="1"/>
  <c r="AW48" i="28" s="1"/>
  <c r="BE48" i="28"/>
  <c r="AP18" i="7"/>
  <c r="K173" i="6"/>
  <c r="K36" i="8"/>
  <c r="K34" i="8"/>
  <c r="K37" i="8"/>
  <c r="K63" i="8"/>
  <c r="L140" i="6"/>
  <c r="K35" i="6"/>
  <c r="K140" i="6"/>
  <c r="K205" i="6" s="1"/>
  <c r="L175" i="6"/>
  <c r="K147" i="6"/>
  <c r="K144" i="6"/>
  <c r="K145" i="6"/>
  <c r="K175" i="6"/>
  <c r="L172" i="6"/>
  <c r="L174" i="6" s="1"/>
  <c r="K60" i="9"/>
  <c r="K110" i="8"/>
  <c r="K112" i="8" s="1"/>
  <c r="K22" i="22"/>
  <c r="K7" i="22"/>
  <c r="K57" i="9"/>
  <c r="K174" i="6"/>
  <c r="BE558" i="28" l="1"/>
  <c r="AE558" i="28"/>
  <c r="AI502" i="28"/>
  <c r="L204" i="6"/>
  <c r="L205" i="6"/>
  <c r="AT18" i="7"/>
  <c r="L208" i="6"/>
  <c r="K213" i="6"/>
  <c r="L211" i="6"/>
  <c r="L213" i="6"/>
  <c r="L209" i="6"/>
  <c r="K204" i="6"/>
  <c r="L214" i="6"/>
  <c r="K212" i="6"/>
  <c r="L207" i="6"/>
  <c r="K203" i="6"/>
  <c r="K35" i="8"/>
  <c r="L217" i="6"/>
  <c r="L203" i="6"/>
  <c r="L206" i="6"/>
  <c r="K208" i="6"/>
  <c r="K207" i="6"/>
  <c r="L212" i="6"/>
  <c r="K214" i="6"/>
  <c r="K146" i="6"/>
  <c r="K209" i="6"/>
  <c r="K62" i="9"/>
  <c r="L199" i="6"/>
  <c r="K217" i="6"/>
  <c r="K218" i="6" s="1"/>
  <c r="K211" i="6"/>
  <c r="K206" i="6"/>
  <c r="K8" i="22"/>
  <c r="K23" i="22"/>
  <c r="AO502" i="28" l="1"/>
  <c r="AI558" i="28"/>
  <c r="AX18" i="7"/>
  <c r="K210" i="6"/>
  <c r="L210" i="6"/>
  <c r="L215" i="6"/>
  <c r="L218" i="6"/>
  <c r="K215" i="6"/>
  <c r="K25" i="22"/>
  <c r="K10" i="22"/>
  <c r="AO558" i="28" l="1"/>
  <c r="AS502" i="28"/>
  <c r="K216" i="6"/>
  <c r="K219" i="6" s="1"/>
  <c r="L216" i="6"/>
  <c r="L219" i="6" s="1"/>
  <c r="BF18" i="7"/>
  <c r="K11" i="22"/>
  <c r="K26" i="22"/>
  <c r="L16" i="77"/>
  <c r="Z16" i="77" s="1"/>
  <c r="AD16" i="77" s="1"/>
  <c r="L17" i="77"/>
  <c r="Z17" i="77" s="1"/>
  <c r="AD17" i="77" s="1"/>
  <c r="L18" i="77"/>
  <c r="Z18" i="77" s="1"/>
  <c r="AD18" i="77" s="1"/>
  <c r="K91" i="77"/>
  <c r="K90" i="77"/>
  <c r="K83" i="77"/>
  <c r="K81" i="77"/>
  <c r="K80" i="77"/>
  <c r="L17" i="49"/>
  <c r="L18" i="49" s="1"/>
  <c r="L11" i="49"/>
  <c r="K11" i="49"/>
  <c r="L9" i="49"/>
  <c r="L8" i="49"/>
  <c r="L6" i="49"/>
  <c r="M185" i="73"/>
  <c r="Q185" i="73" s="1"/>
  <c r="U185" i="73" s="1"/>
  <c r="M133" i="73"/>
  <c r="AA133" i="73" s="1"/>
  <c r="AE133" i="73" s="1"/>
  <c r="AI133" i="73" s="1"/>
  <c r="AO133" i="73" s="1"/>
  <c r="AS133" i="73" s="1"/>
  <c r="AW133" i="73" s="1"/>
  <c r="BE133" i="73" s="1"/>
  <c r="M67" i="73"/>
  <c r="Q67" i="73" s="1"/>
  <c r="U67" i="73" s="1"/>
  <c r="M68" i="73"/>
  <c r="Q68" i="73" s="1"/>
  <c r="U68" i="73" s="1"/>
  <c r="M69" i="73"/>
  <c r="Q69" i="73" s="1"/>
  <c r="U69" i="73" s="1"/>
  <c r="M70" i="73"/>
  <c r="Q70" i="73" s="1"/>
  <c r="U70" i="73" s="1"/>
  <c r="M71" i="73"/>
  <c r="Q71" i="73" s="1"/>
  <c r="U71" i="73" s="1"/>
  <c r="K181" i="73"/>
  <c r="K168" i="73"/>
  <c r="K179" i="73" s="1"/>
  <c r="K134" i="73"/>
  <c r="K132" i="73"/>
  <c r="K130" i="73"/>
  <c r="K126" i="73"/>
  <c r="K122" i="73"/>
  <c r="K113" i="73"/>
  <c r="K106" i="73"/>
  <c r="K102" i="73"/>
  <c r="K62" i="73"/>
  <c r="K56" i="73"/>
  <c r="K51" i="73"/>
  <c r="K46" i="73"/>
  <c r="K35" i="73"/>
  <c r="K30" i="73"/>
  <c r="K22" i="73"/>
  <c r="K20" i="73"/>
  <c r="K8" i="73"/>
  <c r="O79" i="59"/>
  <c r="O78" i="59"/>
  <c r="O77" i="59"/>
  <c r="N75" i="59"/>
  <c r="N74" i="59"/>
  <c r="O69" i="59"/>
  <c r="O68" i="59"/>
  <c r="N68" i="59"/>
  <c r="O65" i="59"/>
  <c r="O64" i="59"/>
  <c r="N64" i="59"/>
  <c r="O61" i="59"/>
  <c r="N61" i="59"/>
  <c r="O60" i="59"/>
  <c r="N60" i="59"/>
  <c r="O59" i="59"/>
  <c r="O58" i="59"/>
  <c r="N58" i="59"/>
  <c r="O57" i="59"/>
  <c r="N57" i="59"/>
  <c r="N52" i="59"/>
  <c r="O51" i="59"/>
  <c r="N51" i="59"/>
  <c r="O50" i="59"/>
  <c r="N50" i="59"/>
  <c r="O49" i="59"/>
  <c r="N49" i="59"/>
  <c r="O47" i="59"/>
  <c r="N47" i="59"/>
  <c r="O46" i="59"/>
  <c r="N46" i="59"/>
  <c r="O45" i="59"/>
  <c r="N45" i="59"/>
  <c r="O44" i="59"/>
  <c r="N44" i="59"/>
  <c r="O42" i="59"/>
  <c r="N42" i="59"/>
  <c r="O41" i="59"/>
  <c r="N41" i="59"/>
  <c r="O40" i="59"/>
  <c r="N40" i="59"/>
  <c r="N38" i="59"/>
  <c r="N37" i="59"/>
  <c r="N36" i="59"/>
  <c r="O35" i="59"/>
  <c r="N35" i="59"/>
  <c r="O34" i="59"/>
  <c r="N34" i="59"/>
  <c r="O33" i="59"/>
  <c r="N33" i="59"/>
  <c r="O31" i="59"/>
  <c r="N31" i="59"/>
  <c r="O30" i="59"/>
  <c r="N30" i="59"/>
  <c r="O29" i="59"/>
  <c r="N29" i="59"/>
  <c r="O28" i="59"/>
  <c r="N28" i="59"/>
  <c r="O27" i="59"/>
  <c r="O26" i="59"/>
  <c r="O25" i="59"/>
  <c r="O24" i="59"/>
  <c r="O23" i="59"/>
  <c r="O22" i="59"/>
  <c r="O20" i="59"/>
  <c r="O19" i="59"/>
  <c r="O18" i="59"/>
  <c r="O17" i="59"/>
  <c r="O16" i="59"/>
  <c r="O12" i="59"/>
  <c r="N12" i="59"/>
  <c r="O11" i="59"/>
  <c r="N11" i="59"/>
  <c r="K72" i="36"/>
  <c r="K64" i="36" s="1"/>
  <c r="K71" i="36"/>
  <c r="K69" i="36"/>
  <c r="K61" i="36" s="1"/>
  <c r="K63" i="36" s="1"/>
  <c r="K67" i="36"/>
  <c r="K59" i="36" s="1"/>
  <c r="K66" i="36"/>
  <c r="K58" i="36" s="1"/>
  <c r="L64" i="36"/>
  <c r="L72" i="36" s="1"/>
  <c r="L62" i="36"/>
  <c r="L70" i="36" s="1"/>
  <c r="L61" i="36"/>
  <c r="L69" i="36" s="1"/>
  <c r="L59" i="36"/>
  <c r="L67" i="36" s="1"/>
  <c r="L58" i="36"/>
  <c r="L66" i="36" s="1"/>
  <c r="L57" i="36"/>
  <c r="L17" i="36" s="1"/>
  <c r="O54" i="59" s="1"/>
  <c r="L56" i="36"/>
  <c r="L16" i="36" s="1"/>
  <c r="O53" i="59" s="1"/>
  <c r="L33" i="36"/>
  <c r="L40" i="36" s="1"/>
  <c r="K33" i="36"/>
  <c r="K29" i="36"/>
  <c r="J7" i="15" s="1"/>
  <c r="K28" i="36"/>
  <c r="J6" i="15" s="1"/>
  <c r="K27" i="36"/>
  <c r="J5" i="15" s="1"/>
  <c r="L26" i="36"/>
  <c r="K23" i="36"/>
  <c r="N71" i="59" s="1"/>
  <c r="L22" i="36"/>
  <c r="O67" i="59" s="1"/>
  <c r="K22" i="36"/>
  <c r="N67" i="59" s="1"/>
  <c r="L21" i="36"/>
  <c r="O63" i="59" s="1"/>
  <c r="K21" i="36"/>
  <c r="N63" i="59" s="1"/>
  <c r="K17" i="36"/>
  <c r="K90" i="9" s="1"/>
  <c r="K19" i="9" s="1"/>
  <c r="K16" i="36"/>
  <c r="K13" i="36"/>
  <c r="N39" i="59" s="1"/>
  <c r="L12" i="36"/>
  <c r="O38" i="59" s="1"/>
  <c r="L11" i="36"/>
  <c r="O37" i="59" s="1"/>
  <c r="L10" i="36"/>
  <c r="O36" i="59" s="1"/>
  <c r="L9" i="36"/>
  <c r="O10" i="59" s="1"/>
  <c r="K9" i="36"/>
  <c r="N10" i="59" s="1"/>
  <c r="L8" i="36"/>
  <c r="O9" i="59" s="1"/>
  <c r="K8" i="36"/>
  <c r="N9" i="59" s="1"/>
  <c r="K7" i="36"/>
  <c r="N8" i="59" s="1"/>
  <c r="K5" i="36"/>
  <c r="K13" i="49" s="1"/>
  <c r="L28" i="21"/>
  <c r="K27" i="21"/>
  <c r="L24" i="21"/>
  <c r="L25" i="21" s="1"/>
  <c r="L18" i="21"/>
  <c r="L15" i="21"/>
  <c r="L12" i="21"/>
  <c r="K12" i="21"/>
  <c r="K22" i="21" s="1"/>
  <c r="K42" i="35"/>
  <c r="K41" i="35"/>
  <c r="L40" i="35"/>
  <c r="L39" i="35"/>
  <c r="O76" i="59" s="1"/>
  <c r="L36" i="35"/>
  <c r="L48" i="35" s="1"/>
  <c r="K36" i="35"/>
  <c r="L31" i="35"/>
  <c r="L30" i="35"/>
  <c r="L203" i="10" s="1"/>
  <c r="L26" i="35"/>
  <c r="L34" i="36" s="1"/>
  <c r="K26" i="35"/>
  <c r="K34" i="36" s="1"/>
  <c r="K35" i="36" s="1"/>
  <c r="K21" i="35"/>
  <c r="K26" i="9" s="1"/>
  <c r="L20" i="35"/>
  <c r="K20" i="35"/>
  <c r="L19" i="35"/>
  <c r="K19" i="35"/>
  <c r="L14" i="35"/>
  <c r="L5" i="36" s="1"/>
  <c r="L13" i="49" s="1"/>
  <c r="L13" i="35"/>
  <c r="L11" i="35"/>
  <c r="L10" i="6" s="1"/>
  <c r="K10" i="35"/>
  <c r="K9" i="35"/>
  <c r="K8" i="35"/>
  <c r="L7" i="35"/>
  <c r="L6" i="6" s="1"/>
  <c r="L6" i="35"/>
  <c r="L5" i="6" s="1"/>
  <c r="L98" i="6" s="1"/>
  <c r="L555" i="28" l="1"/>
  <c r="L556" i="28"/>
  <c r="K48" i="35"/>
  <c r="K37" i="28"/>
  <c r="AS558" i="28"/>
  <c r="AW502" i="28"/>
  <c r="AW558" i="28" s="1"/>
  <c r="L104" i="6"/>
  <c r="L106" i="6" s="1"/>
  <c r="L144" i="6" s="1"/>
  <c r="K6" i="73"/>
  <c r="K118" i="73"/>
  <c r="M144" i="50"/>
  <c r="K120" i="90"/>
  <c r="L15" i="35"/>
  <c r="AW132" i="73"/>
  <c r="BE132" i="73" s="1"/>
  <c r="K89" i="77"/>
  <c r="K28" i="22"/>
  <c r="K13" i="22"/>
  <c r="L35" i="36"/>
  <c r="L36" i="36" s="1"/>
  <c r="L38" i="36" s="1"/>
  <c r="L30" i="36" s="1"/>
  <c r="O80" i="59" s="1"/>
  <c r="L41" i="36"/>
  <c r="K12" i="15"/>
  <c r="K13" i="15" s="1"/>
  <c r="K14" i="15" s="1"/>
  <c r="K26" i="21"/>
  <c r="K28" i="21" s="1"/>
  <c r="N43" i="59"/>
  <c r="K84" i="77"/>
  <c r="K14" i="35"/>
  <c r="K9" i="6"/>
  <c r="N77" i="59"/>
  <c r="N78" i="59"/>
  <c r="L8" i="35"/>
  <c r="N79" i="59"/>
  <c r="K11" i="35"/>
  <c r="K10" i="6" s="1"/>
  <c r="K8" i="6"/>
  <c r="N48" i="59"/>
  <c r="P18" i="77"/>
  <c r="T18" i="77" s="1"/>
  <c r="P17" i="77"/>
  <c r="T17" i="77" s="1"/>
  <c r="P16" i="77"/>
  <c r="T16" i="77" s="1"/>
  <c r="K137" i="73"/>
  <c r="Q133" i="73"/>
  <c r="U133" i="73" s="1"/>
  <c r="M132" i="73"/>
  <c r="K60" i="36"/>
  <c r="K68" i="36"/>
  <c r="K5" i="73"/>
  <c r="K56" i="36"/>
  <c r="K89" i="9"/>
  <c r="K91" i="9" s="1"/>
  <c r="N6" i="59"/>
  <c r="N53" i="59"/>
  <c r="N54" i="59"/>
  <c r="K57" i="36"/>
  <c r="L68" i="36"/>
  <c r="L71" i="36"/>
  <c r="L13" i="36"/>
  <c r="O39" i="59" s="1"/>
  <c r="L16" i="6"/>
  <c r="L18" i="6"/>
  <c r="L17" i="6"/>
  <c r="L15" i="6"/>
  <c r="L7" i="6"/>
  <c r="L41" i="35"/>
  <c r="L97" i="11"/>
  <c r="L60" i="36"/>
  <c r="L63" i="36"/>
  <c r="L18" i="36"/>
  <c r="O55" i="59" s="1"/>
  <c r="O48" i="59"/>
  <c r="O43" i="59"/>
  <c r="O6" i="59"/>
  <c r="K13" i="35"/>
  <c r="K36" i="36"/>
  <c r="K38" i="36" s="1"/>
  <c r="K30" i="36" s="1"/>
  <c r="N80" i="59" s="1"/>
  <c r="L20" i="21"/>
  <c r="K15" i="21"/>
  <c r="K526" i="28" l="1"/>
  <c r="K31" i="28"/>
  <c r="K63" i="28" s="1"/>
  <c r="K69" i="28" s="1"/>
  <c r="K77" i="28"/>
  <c r="L145" i="6"/>
  <c r="O15" i="59" s="1"/>
  <c r="L147" i="6"/>
  <c r="L197" i="6"/>
  <c r="K15" i="35"/>
  <c r="K95" i="77"/>
  <c r="L19" i="36"/>
  <c r="O56" i="59" s="1"/>
  <c r="Q132" i="73"/>
  <c r="U132" i="73" s="1"/>
  <c r="AA132" i="73"/>
  <c r="AE132" i="73" s="1"/>
  <c r="AI132" i="73" s="1"/>
  <c r="AO132" i="73" s="1"/>
  <c r="L189" i="6"/>
  <c r="L194" i="6"/>
  <c r="L168" i="6"/>
  <c r="L19" i="6"/>
  <c r="L164" i="6"/>
  <c r="N121" i="10"/>
  <c r="N91" i="10"/>
  <c r="N95" i="10"/>
  <c r="N96" i="10"/>
  <c r="N87" i="10"/>
  <c r="J135" i="10"/>
  <c r="J136" i="10"/>
  <c r="N23" i="10"/>
  <c r="N33" i="10"/>
  <c r="K93" i="28" l="1"/>
  <c r="K78" i="28"/>
  <c r="K97" i="28" s="1"/>
  <c r="L146" i="6"/>
  <c r="L7" i="36" s="1"/>
  <c r="O8" i="59" s="1"/>
  <c r="L81" i="6"/>
  <c r="R87" i="10"/>
  <c r="V87" i="10" s="1"/>
  <c r="AB87" i="10"/>
  <c r="AF87" i="10" s="1"/>
  <c r="AJ87" i="10" s="1"/>
  <c r="AP87" i="10" s="1"/>
  <c r="AT87" i="10" s="1"/>
  <c r="AX87" i="10" s="1"/>
  <c r="BF87" i="10" s="1"/>
  <c r="R91" i="10"/>
  <c r="V91" i="10" s="1"/>
  <c r="AB91" i="10"/>
  <c r="AF91" i="10" s="1"/>
  <c r="R96" i="10"/>
  <c r="V96" i="10" s="1"/>
  <c r="AB96" i="10"/>
  <c r="AF96" i="10" s="1"/>
  <c r="AJ96" i="10" s="1"/>
  <c r="AP96" i="10" s="1"/>
  <c r="AT96" i="10" s="1"/>
  <c r="AX96" i="10" s="1"/>
  <c r="R121" i="10"/>
  <c r="V121" i="10" s="1"/>
  <c r="AB121" i="10"/>
  <c r="AF121" i="10" s="1"/>
  <c r="AJ121" i="10" s="1"/>
  <c r="AP121" i="10" s="1"/>
  <c r="AT121" i="10" s="1"/>
  <c r="AX121" i="10" s="1"/>
  <c r="R33" i="10"/>
  <c r="V33" i="10" s="1"/>
  <c r="AB33" i="10"/>
  <c r="AF33" i="10" s="1"/>
  <c r="AJ33" i="10" s="1"/>
  <c r="AP33" i="10" s="1"/>
  <c r="AT33" i="10" s="1"/>
  <c r="AX33" i="10" s="1"/>
  <c r="R95" i="10"/>
  <c r="V95" i="10" s="1"/>
  <c r="AB95" i="10"/>
  <c r="AF95" i="10" s="1"/>
  <c r="AJ95" i="10" s="1"/>
  <c r="AP95" i="10" s="1"/>
  <c r="AT95" i="10" s="1"/>
  <c r="AX95" i="10" s="1"/>
  <c r="R23" i="10"/>
  <c r="V23" i="10" s="1"/>
  <c r="AB23" i="10"/>
  <c r="AF23" i="10" s="1"/>
  <c r="AJ23" i="10" s="1"/>
  <c r="AP23" i="10" s="1"/>
  <c r="AT23" i="10" s="1"/>
  <c r="AX23" i="10" s="1"/>
  <c r="L84" i="6"/>
  <c r="L38" i="6"/>
  <c r="L40" i="6"/>
  <c r="L39" i="6"/>
  <c r="L37" i="6"/>
  <c r="L41" i="6" l="1"/>
  <c r="AW7" i="71"/>
  <c r="AW8" i="71"/>
  <c r="AW9" i="71"/>
  <c r="G68" i="90" s="1"/>
  <c r="AW10" i="71"/>
  <c r="AW11" i="71"/>
  <c r="AW12" i="71"/>
  <c r="AW13" i="71"/>
  <c r="AW14" i="71"/>
  <c r="AW15" i="71"/>
  <c r="AW16" i="71"/>
  <c r="AW18" i="71"/>
  <c r="AW20" i="71"/>
  <c r="G70" i="90" s="1"/>
  <c r="AW21" i="71"/>
  <c r="G71" i="90" s="1"/>
  <c r="AW22" i="71"/>
  <c r="AW25" i="71"/>
  <c r="AW26" i="71"/>
  <c r="AW27" i="71"/>
  <c r="G73" i="90" s="1"/>
  <c r="AW28" i="71"/>
  <c r="AW29" i="71"/>
  <c r="AW30" i="71"/>
  <c r="AW33" i="71"/>
  <c r="AW34" i="71"/>
  <c r="AW36" i="71"/>
  <c r="AW37" i="71"/>
  <c r="AW38" i="71"/>
  <c r="G74" i="90" s="1"/>
  <c r="AW39" i="71"/>
  <c r="AW40" i="71"/>
  <c r="AW41" i="71"/>
  <c r="AW42" i="71"/>
  <c r="G76" i="90" s="1"/>
  <c r="AW43" i="71"/>
  <c r="G77" i="90" s="1"/>
  <c r="AW45" i="71"/>
  <c r="AW46" i="71"/>
  <c r="AW47" i="71"/>
  <c r="G79" i="90" s="1"/>
  <c r="AW48" i="71"/>
  <c r="G80" i="90" s="1"/>
  <c r="AW51" i="71"/>
  <c r="G83" i="90" s="1"/>
  <c r="AW52" i="71"/>
  <c r="G84" i="90" s="1"/>
  <c r="AW53" i="71"/>
  <c r="AW54" i="71"/>
  <c r="AW56" i="71"/>
  <c r="G85" i="90" s="1"/>
  <c r="AW57" i="71"/>
  <c r="AW59" i="71"/>
  <c r="G87" i="90" s="1"/>
  <c r="AW60" i="71"/>
  <c r="G88" i="90" s="1"/>
  <c r="AU7" i="71"/>
  <c r="AU8" i="71"/>
  <c r="AU9" i="71"/>
  <c r="AU10" i="71"/>
  <c r="AU11" i="71"/>
  <c r="AU12" i="71"/>
  <c r="AU13" i="71"/>
  <c r="AU14" i="71"/>
  <c r="AU15" i="71"/>
  <c r="AU16" i="71"/>
  <c r="AU18" i="71"/>
  <c r="AU20" i="71"/>
  <c r="AU21" i="71"/>
  <c r="AU25" i="71"/>
  <c r="AU26" i="71"/>
  <c r="AU27" i="71"/>
  <c r="AU28" i="71"/>
  <c r="AU29" i="71"/>
  <c r="AU30" i="71"/>
  <c r="AU33" i="71"/>
  <c r="AU34" i="71"/>
  <c r="AU36" i="71"/>
  <c r="AU37" i="71"/>
  <c r="AU38" i="71"/>
  <c r="AU39" i="71"/>
  <c r="AU40" i="71"/>
  <c r="AU41" i="71"/>
  <c r="AU42" i="71"/>
  <c r="AU43" i="71"/>
  <c r="AU45" i="71"/>
  <c r="AU46" i="71"/>
  <c r="AU47" i="71"/>
  <c r="AU48" i="71"/>
  <c r="AU51" i="71"/>
  <c r="AU52" i="71"/>
  <c r="AU53" i="71"/>
  <c r="AU54" i="71"/>
  <c r="AU56" i="71"/>
  <c r="AU57" i="71"/>
  <c r="AU59" i="71"/>
  <c r="AU60" i="71"/>
  <c r="AO57" i="71"/>
  <c r="AO59" i="71"/>
  <c r="AO60" i="71"/>
  <c r="AK59" i="71"/>
  <c r="AK60" i="71"/>
  <c r="AF59" i="71"/>
  <c r="AF60" i="71"/>
  <c r="AB59" i="71"/>
  <c r="AB60" i="71"/>
  <c r="AW6" i="71"/>
  <c r="AU6" i="71"/>
  <c r="CU48" i="71" l="1"/>
  <c r="CU47" i="71"/>
  <c r="CU9" i="71"/>
  <c r="CU42" i="71"/>
  <c r="CU56" i="71"/>
  <c r="CU8" i="71"/>
  <c r="BC36" i="71"/>
  <c r="BG36" i="71" s="1"/>
  <c r="BK36" i="71" s="1"/>
  <c r="BC18" i="71"/>
  <c r="BG18" i="71" s="1"/>
  <c r="BK18" i="71" s="1"/>
  <c r="BC37" i="71"/>
  <c r="BG37" i="71" s="1"/>
  <c r="BK37" i="71" s="1"/>
  <c r="BC46" i="71"/>
  <c r="BG46" i="71" s="1"/>
  <c r="BK46" i="71" s="1"/>
  <c r="BC33" i="71"/>
  <c r="BG33" i="71" s="1"/>
  <c r="BK33" i="71" s="1"/>
  <c r="BC15" i="71"/>
  <c r="BG15" i="71" s="1"/>
  <c r="BK15" i="71" s="1"/>
  <c r="E78" i="90"/>
  <c r="BC29" i="71"/>
  <c r="BG29" i="71" s="1"/>
  <c r="BK29" i="71" s="1"/>
  <c r="BC13" i="71"/>
  <c r="BQ13" i="71" s="1"/>
  <c r="BU13" i="71" s="1"/>
  <c r="BY13" i="71" s="1"/>
  <c r="CE13" i="71" s="1"/>
  <c r="CI13" i="71" s="1"/>
  <c r="CM13" i="71" s="1"/>
  <c r="CU13" i="71"/>
  <c r="BC28" i="71"/>
  <c r="BG28" i="71" s="1"/>
  <c r="BK28" i="71" s="1"/>
  <c r="BC12" i="71"/>
  <c r="BQ12" i="71" s="1"/>
  <c r="BU12" i="71" s="1"/>
  <c r="BY12" i="71" s="1"/>
  <c r="CE12" i="71" s="1"/>
  <c r="CI12" i="71" s="1"/>
  <c r="CM12" i="71" s="1"/>
  <c r="BC41" i="71"/>
  <c r="BG41" i="71" s="1"/>
  <c r="BK41" i="71" s="1"/>
  <c r="BC11" i="71"/>
  <c r="BQ11" i="71" s="1"/>
  <c r="BU11" i="71" s="1"/>
  <c r="BY11" i="71" s="1"/>
  <c r="CE11" i="71" s="1"/>
  <c r="CI11" i="71" s="1"/>
  <c r="CM11" i="71" s="1"/>
  <c r="CU10" i="71"/>
  <c r="BC54" i="71"/>
  <c r="BG54" i="71" s="1"/>
  <c r="BK54" i="71" s="1"/>
  <c r="BC39" i="71"/>
  <c r="BG39" i="71" s="1"/>
  <c r="BK39" i="71" s="1"/>
  <c r="BC25" i="71"/>
  <c r="BG25" i="71" s="1"/>
  <c r="BK25" i="71" s="1"/>
  <c r="E72" i="90"/>
  <c r="E88" i="90"/>
  <c r="BC52" i="71"/>
  <c r="E84" i="90"/>
  <c r="BC43" i="71"/>
  <c r="E77" i="90"/>
  <c r="BC38" i="71"/>
  <c r="E74" i="90"/>
  <c r="BC21" i="71"/>
  <c r="E71" i="90"/>
  <c r="G78" i="90"/>
  <c r="G72" i="90"/>
  <c r="E87" i="90"/>
  <c r="BC51" i="71"/>
  <c r="E83" i="90"/>
  <c r="BC42" i="71"/>
  <c r="E76" i="90"/>
  <c r="BC20" i="71"/>
  <c r="E70" i="90"/>
  <c r="AP60" i="71"/>
  <c r="BC48" i="71"/>
  <c r="E80" i="90"/>
  <c r="BC27" i="71"/>
  <c r="E73" i="90"/>
  <c r="BC56" i="71"/>
  <c r="E85" i="90"/>
  <c r="BC47" i="71"/>
  <c r="E79" i="90"/>
  <c r="BC40" i="71"/>
  <c r="BC34" i="71"/>
  <c r="BC26" i="71"/>
  <c r="BC16" i="71"/>
  <c r="BC10" i="71"/>
  <c r="BC9" i="71"/>
  <c r="E68" i="90"/>
  <c r="AG60" i="71"/>
  <c r="AG57" i="71"/>
  <c r="AP57" i="71"/>
  <c r="AG59" i="71"/>
  <c r="AP59" i="71"/>
  <c r="BC53" i="71"/>
  <c r="BC45" i="71"/>
  <c r="BC30" i="71"/>
  <c r="BC22" i="71"/>
  <c r="BC14" i="71"/>
  <c r="BC8" i="71"/>
  <c r="AY6" i="71"/>
  <c r="BE78" i="90" l="1"/>
  <c r="BE72" i="90"/>
  <c r="AI76" i="90"/>
  <c r="BE76" i="90"/>
  <c r="AI79" i="90"/>
  <c r="BE79" i="90"/>
  <c r="AI85" i="90"/>
  <c r="BE85" i="90"/>
  <c r="AI84" i="90"/>
  <c r="BE84" i="90"/>
  <c r="AI83" i="90"/>
  <c r="BE83" i="90"/>
  <c r="AI74" i="90"/>
  <c r="BE74" i="90"/>
  <c r="AI77" i="90"/>
  <c r="BE77" i="90"/>
  <c r="AI73" i="90"/>
  <c r="BE73" i="90"/>
  <c r="AE68" i="90"/>
  <c r="BE68" i="90"/>
  <c r="AI80" i="90"/>
  <c r="BE80" i="90"/>
  <c r="AI70" i="90"/>
  <c r="BE70" i="90"/>
  <c r="AI71" i="90"/>
  <c r="BE71" i="90"/>
  <c r="BG11" i="71"/>
  <c r="BK11" i="71" s="1"/>
  <c r="BQ36" i="71"/>
  <c r="BU36" i="71" s="1"/>
  <c r="BY36" i="71" s="1"/>
  <c r="CE36" i="71" s="1"/>
  <c r="CI36" i="71" s="1"/>
  <c r="CM36" i="71" s="1"/>
  <c r="BG13" i="71"/>
  <c r="BK13" i="71" s="1"/>
  <c r="E89" i="90"/>
  <c r="AI78" i="90"/>
  <c r="BQ15" i="71"/>
  <c r="BU15" i="71" s="1"/>
  <c r="BY15" i="71" s="1"/>
  <c r="CE15" i="71" s="1"/>
  <c r="CI15" i="71" s="1"/>
  <c r="CM15" i="71" s="1"/>
  <c r="BG12" i="71"/>
  <c r="BK12" i="71" s="1"/>
  <c r="BQ46" i="71"/>
  <c r="BU46" i="71" s="1"/>
  <c r="BY46" i="71" s="1"/>
  <c r="CE46" i="71" s="1"/>
  <c r="CI46" i="71" s="1"/>
  <c r="CM46" i="71" s="1"/>
  <c r="BQ41" i="71"/>
  <c r="BU41" i="71" s="1"/>
  <c r="BY41" i="71" s="1"/>
  <c r="CE41" i="71" s="1"/>
  <c r="CI41" i="71" s="1"/>
  <c r="CM41" i="71" s="1"/>
  <c r="AI72" i="90"/>
  <c r="AI75" i="90"/>
  <c r="BQ28" i="71"/>
  <c r="BU28" i="71" s="1"/>
  <c r="BY28" i="71" s="1"/>
  <c r="CE28" i="71" s="1"/>
  <c r="CI28" i="71" s="1"/>
  <c r="CM28" i="71" s="1"/>
  <c r="BQ25" i="71"/>
  <c r="BU25" i="71" s="1"/>
  <c r="BY25" i="71" s="1"/>
  <c r="CE25" i="71" s="1"/>
  <c r="CI25" i="71" s="1"/>
  <c r="CM25" i="71" s="1"/>
  <c r="BQ18" i="71"/>
  <c r="BU18" i="71" s="1"/>
  <c r="BY18" i="71" s="1"/>
  <c r="CE18" i="71" s="1"/>
  <c r="CI18" i="71" s="1"/>
  <c r="CM18" i="71" s="1"/>
  <c r="AI68" i="90"/>
  <c r="BQ29" i="71"/>
  <c r="BU29" i="71" s="1"/>
  <c r="BY29" i="71" s="1"/>
  <c r="CE29" i="71" s="1"/>
  <c r="CI29" i="71" s="1"/>
  <c r="CM29" i="71" s="1"/>
  <c r="BQ33" i="71"/>
  <c r="BU33" i="71" s="1"/>
  <c r="BY33" i="71" s="1"/>
  <c r="CE33" i="71" s="1"/>
  <c r="CI33" i="71" s="1"/>
  <c r="CM33" i="71" s="1"/>
  <c r="BQ39" i="71"/>
  <c r="BU39" i="71" s="1"/>
  <c r="BY39" i="71" s="1"/>
  <c r="CE39" i="71" s="1"/>
  <c r="CI39" i="71" s="1"/>
  <c r="CM39" i="71" s="1"/>
  <c r="BQ54" i="71"/>
  <c r="BU54" i="71" s="1"/>
  <c r="BY54" i="71" s="1"/>
  <c r="CE54" i="71" s="1"/>
  <c r="CI54" i="71" s="1"/>
  <c r="CM54" i="71" s="1"/>
  <c r="BQ37" i="71"/>
  <c r="BU37" i="71" s="1"/>
  <c r="BY37" i="71" s="1"/>
  <c r="CE37" i="71" s="1"/>
  <c r="CI37" i="71" s="1"/>
  <c r="CM37" i="71" s="1"/>
  <c r="BG26" i="71"/>
  <c r="BK26" i="71" s="1"/>
  <c r="BQ26" i="71"/>
  <c r="BU26" i="71" s="1"/>
  <c r="BY26" i="71" s="1"/>
  <c r="CE26" i="71" s="1"/>
  <c r="CI26" i="71" s="1"/>
  <c r="CM26" i="71" s="1"/>
  <c r="BG42" i="71"/>
  <c r="BK42" i="71" s="1"/>
  <c r="BQ42" i="71"/>
  <c r="BU42" i="71" s="1"/>
  <c r="BY42" i="71" s="1"/>
  <c r="CE42" i="71" s="1"/>
  <c r="CI42" i="71" s="1"/>
  <c r="CM42" i="71" s="1"/>
  <c r="BG34" i="71"/>
  <c r="BK34" i="71" s="1"/>
  <c r="BQ34" i="71"/>
  <c r="BU34" i="71" s="1"/>
  <c r="BY34" i="71" s="1"/>
  <c r="CE34" i="71" s="1"/>
  <c r="CI34" i="71" s="1"/>
  <c r="CM34" i="71" s="1"/>
  <c r="BG21" i="71"/>
  <c r="BK21" i="71" s="1"/>
  <c r="BQ21" i="71"/>
  <c r="BU21" i="71" s="1"/>
  <c r="BY21" i="71" s="1"/>
  <c r="CE21" i="71" s="1"/>
  <c r="CI21" i="71" s="1"/>
  <c r="CM21" i="71" s="1"/>
  <c r="BG45" i="71"/>
  <c r="BK45" i="71" s="1"/>
  <c r="BQ45" i="71"/>
  <c r="BU45" i="71" s="1"/>
  <c r="BY45" i="71" s="1"/>
  <c r="CE45" i="71" s="1"/>
  <c r="CI45" i="71" s="1"/>
  <c r="CM45" i="71" s="1"/>
  <c r="BG40" i="71"/>
  <c r="BK40" i="71" s="1"/>
  <c r="BQ40" i="71"/>
  <c r="BU40" i="71" s="1"/>
  <c r="BY40" i="71" s="1"/>
  <c r="CE40" i="71" s="1"/>
  <c r="CI40" i="71" s="1"/>
  <c r="CM40" i="71" s="1"/>
  <c r="BG51" i="71"/>
  <c r="BK51" i="71" s="1"/>
  <c r="BQ51" i="71"/>
  <c r="BU51" i="71" s="1"/>
  <c r="BY51" i="71" s="1"/>
  <c r="CE51" i="71" s="1"/>
  <c r="CI51" i="71" s="1"/>
  <c r="CM51" i="71" s="1"/>
  <c r="BG30" i="71"/>
  <c r="BK30" i="71" s="1"/>
  <c r="BQ30" i="71"/>
  <c r="BU30" i="71" s="1"/>
  <c r="BY30" i="71" s="1"/>
  <c r="CE30" i="71" s="1"/>
  <c r="CI30" i="71" s="1"/>
  <c r="CM30" i="71" s="1"/>
  <c r="BG8" i="71"/>
  <c r="BK8" i="71" s="1"/>
  <c r="BQ8" i="71"/>
  <c r="BU8" i="71" s="1"/>
  <c r="BY8" i="71" s="1"/>
  <c r="CE8" i="71" s="1"/>
  <c r="CI8" i="71" s="1"/>
  <c r="CM8" i="71" s="1"/>
  <c r="BG53" i="71"/>
  <c r="BK53" i="71" s="1"/>
  <c r="BQ53" i="71"/>
  <c r="BU53" i="71" s="1"/>
  <c r="BY53" i="71" s="1"/>
  <c r="CE53" i="71" s="1"/>
  <c r="CI53" i="71" s="1"/>
  <c r="CM53" i="71" s="1"/>
  <c r="BG27" i="71"/>
  <c r="BK27" i="71" s="1"/>
  <c r="BQ27" i="71"/>
  <c r="BU27" i="71" s="1"/>
  <c r="BY27" i="71" s="1"/>
  <c r="CE27" i="71" s="1"/>
  <c r="CI27" i="71" s="1"/>
  <c r="CM27" i="71" s="1"/>
  <c r="BG38" i="71"/>
  <c r="BK38" i="71" s="1"/>
  <c r="BQ38" i="71"/>
  <c r="BU38" i="71" s="1"/>
  <c r="BY38" i="71" s="1"/>
  <c r="CE38" i="71" s="1"/>
  <c r="CI38" i="71" s="1"/>
  <c r="CM38" i="71" s="1"/>
  <c r="BG9" i="71"/>
  <c r="BK9" i="71" s="1"/>
  <c r="BQ9" i="71"/>
  <c r="BU9" i="71" s="1"/>
  <c r="BY9" i="71" s="1"/>
  <c r="CE9" i="71" s="1"/>
  <c r="CI9" i="71" s="1"/>
  <c r="CM9" i="71" s="1"/>
  <c r="BG10" i="71"/>
  <c r="BK10" i="71" s="1"/>
  <c r="BQ10" i="71"/>
  <c r="BU10" i="71" s="1"/>
  <c r="BY10" i="71" s="1"/>
  <c r="CE10" i="71" s="1"/>
  <c r="CI10" i="71" s="1"/>
  <c r="CM10" i="71" s="1"/>
  <c r="BG47" i="71"/>
  <c r="BK47" i="71" s="1"/>
  <c r="BQ47" i="71"/>
  <c r="BU47" i="71" s="1"/>
  <c r="BY47" i="71" s="1"/>
  <c r="CE47" i="71" s="1"/>
  <c r="CI47" i="71" s="1"/>
  <c r="CM47" i="71" s="1"/>
  <c r="BG20" i="71"/>
  <c r="BK20" i="71" s="1"/>
  <c r="BQ20" i="71"/>
  <c r="BU20" i="71" s="1"/>
  <c r="BY20" i="71" s="1"/>
  <c r="CE20" i="71" s="1"/>
  <c r="CI20" i="71" s="1"/>
  <c r="CM20" i="71" s="1"/>
  <c r="BG56" i="71"/>
  <c r="BK56" i="71" s="1"/>
  <c r="BQ56" i="71"/>
  <c r="BU56" i="71" s="1"/>
  <c r="BY56" i="71" s="1"/>
  <c r="CE56" i="71" s="1"/>
  <c r="CI56" i="71" s="1"/>
  <c r="CM56" i="71" s="1"/>
  <c r="BG52" i="71"/>
  <c r="BK52" i="71" s="1"/>
  <c r="BQ52" i="71"/>
  <c r="BU52" i="71" s="1"/>
  <c r="BY52" i="71" s="1"/>
  <c r="CE52" i="71" s="1"/>
  <c r="CI52" i="71" s="1"/>
  <c r="CM52" i="71" s="1"/>
  <c r="BG14" i="71"/>
  <c r="BK14" i="71" s="1"/>
  <c r="BQ14" i="71"/>
  <c r="BU14" i="71" s="1"/>
  <c r="BY14" i="71" s="1"/>
  <c r="CE14" i="71" s="1"/>
  <c r="CI14" i="71" s="1"/>
  <c r="CM14" i="71" s="1"/>
  <c r="BG22" i="71"/>
  <c r="BK22" i="71" s="1"/>
  <c r="BQ22" i="71"/>
  <c r="BU22" i="71" s="1"/>
  <c r="BY22" i="71" s="1"/>
  <c r="CE22" i="71" s="1"/>
  <c r="CI22" i="71" s="1"/>
  <c r="CM22" i="71" s="1"/>
  <c r="BG16" i="71"/>
  <c r="BK16" i="71" s="1"/>
  <c r="BQ16" i="71"/>
  <c r="BU16" i="71" s="1"/>
  <c r="BY16" i="71" s="1"/>
  <c r="CE16" i="71" s="1"/>
  <c r="CI16" i="71" s="1"/>
  <c r="CM16" i="71" s="1"/>
  <c r="BG48" i="71"/>
  <c r="BK48" i="71" s="1"/>
  <c r="BQ48" i="71"/>
  <c r="BU48" i="71" s="1"/>
  <c r="BY48" i="71" s="1"/>
  <c r="CE48" i="71" s="1"/>
  <c r="CI48" i="71" s="1"/>
  <c r="CM48" i="71" s="1"/>
  <c r="BG43" i="71"/>
  <c r="BK43" i="71" s="1"/>
  <c r="BQ43" i="71"/>
  <c r="BU43" i="71" s="1"/>
  <c r="BY43" i="71" s="1"/>
  <c r="CE43" i="71" s="1"/>
  <c r="CI43" i="71" s="1"/>
  <c r="CM43" i="71" s="1"/>
  <c r="G106" i="90"/>
  <c r="H106" i="90"/>
  <c r="I106" i="90"/>
  <c r="J106" i="90"/>
  <c r="K106" i="90"/>
  <c r="L106" i="90"/>
  <c r="M106" i="90"/>
  <c r="N106" i="90"/>
  <c r="O106" i="90"/>
  <c r="P106" i="90"/>
  <c r="Q106" i="90"/>
  <c r="R106" i="90"/>
  <c r="S106" i="90"/>
  <c r="T106" i="90"/>
  <c r="U106" i="90"/>
  <c r="V106" i="90"/>
  <c r="W106" i="90"/>
  <c r="X106" i="90"/>
  <c r="Y106" i="90"/>
  <c r="Z106" i="90"/>
  <c r="AA106" i="90"/>
  <c r="AB106" i="90"/>
  <c r="AC106" i="90"/>
  <c r="AD106" i="90"/>
  <c r="AE106" i="90"/>
  <c r="AJ106" i="90"/>
  <c r="AK106" i="90"/>
  <c r="AL106" i="90"/>
  <c r="AM106" i="90"/>
  <c r="AN106" i="90"/>
  <c r="AO106" i="90"/>
  <c r="AP106" i="90"/>
  <c r="AQ106" i="90"/>
  <c r="AR106" i="90"/>
  <c r="AS106" i="90"/>
  <c r="AT106" i="90"/>
  <c r="AU106" i="90"/>
  <c r="AV106" i="90"/>
  <c r="AW106" i="90"/>
  <c r="AX106" i="90"/>
  <c r="AY106" i="90"/>
  <c r="AZ106" i="90"/>
  <c r="BA106" i="90"/>
  <c r="BB106" i="90"/>
  <c r="BC106" i="90"/>
  <c r="BD106" i="90"/>
  <c r="BE106" i="90"/>
  <c r="E106" i="90"/>
  <c r="J109" i="9" l="1"/>
  <c r="G5" i="83" l="1"/>
  <c r="G6" i="83"/>
  <c r="G7" i="83"/>
  <c r="G8" i="83"/>
  <c r="G10" i="83"/>
  <c r="G11" i="83"/>
  <c r="G12" i="83"/>
  <c r="G13" i="83"/>
  <c r="G14" i="83"/>
  <c r="G15" i="83"/>
  <c r="G16" i="83"/>
  <c r="G17" i="83"/>
  <c r="G18" i="83"/>
  <c r="G19" i="83"/>
  <c r="G20" i="83"/>
  <c r="G21" i="83"/>
  <c r="G22" i="83"/>
  <c r="G23" i="83"/>
  <c r="G32" i="83"/>
  <c r="G33" i="83"/>
  <c r="G34" i="83"/>
  <c r="G35" i="83"/>
  <c r="G36" i="83"/>
  <c r="G37" i="83"/>
  <c r="I211" i="73" l="1"/>
  <c r="I212" i="73"/>
  <c r="I213" i="73"/>
  <c r="I215" i="73"/>
  <c r="I216" i="73"/>
  <c r="I217" i="73"/>
  <c r="I218" i="73"/>
  <c r="I219" i="73"/>
  <c r="I220" i="73"/>
  <c r="I221" i="73"/>
  <c r="I222" i="73"/>
  <c r="I223" i="73"/>
  <c r="I224" i="73"/>
  <c r="I225" i="73"/>
  <c r="I226" i="73"/>
  <c r="I227" i="73"/>
  <c r="I228" i="73"/>
  <c r="I230" i="73"/>
  <c r="I233" i="73"/>
  <c r="I234" i="73"/>
  <c r="I235" i="73"/>
  <c r="I236" i="73"/>
  <c r="I237" i="73"/>
  <c r="I238" i="73"/>
  <c r="I239" i="73"/>
  <c r="I241" i="73"/>
  <c r="I243" i="73"/>
  <c r="I244" i="73"/>
  <c r="I245" i="73"/>
  <c r="I246" i="73"/>
  <c r="I247" i="73"/>
  <c r="I248" i="73"/>
  <c r="I210" i="73"/>
  <c r="M244" i="73" l="1"/>
  <c r="M238" i="73"/>
  <c r="M234" i="73"/>
  <c r="M227" i="73"/>
  <c r="AA227" i="73" s="1"/>
  <c r="AE227" i="73" s="1"/>
  <c r="AI227" i="73" s="1"/>
  <c r="AO227" i="73" s="1"/>
  <c r="M223" i="73"/>
  <c r="Q223" i="73" s="1"/>
  <c r="U223" i="73" s="1"/>
  <c r="M219" i="73"/>
  <c r="Q219" i="73" s="1"/>
  <c r="U219" i="73" s="1"/>
  <c r="M237" i="73"/>
  <c r="Q237" i="73" s="1"/>
  <c r="U237" i="73" s="1"/>
  <c r="M233" i="73"/>
  <c r="Q233" i="73" s="1"/>
  <c r="U233" i="73" s="1"/>
  <c r="M226" i="73"/>
  <c r="M222" i="73"/>
  <c r="Q222" i="73" s="1"/>
  <c r="U222" i="73" s="1"/>
  <c r="M218" i="73"/>
  <c r="Q218" i="73" s="1"/>
  <c r="U218" i="73" s="1"/>
  <c r="M213" i="73"/>
  <c r="Q213" i="73" s="1"/>
  <c r="U213" i="73" s="1"/>
  <c r="M236" i="73"/>
  <c r="M225" i="73"/>
  <c r="M221" i="73"/>
  <c r="Q221" i="73" s="1"/>
  <c r="U221" i="73" s="1"/>
  <c r="M217" i="73"/>
  <c r="M212" i="73"/>
  <c r="Q212" i="73" s="1"/>
  <c r="U212" i="73" s="1"/>
  <c r="M239" i="73"/>
  <c r="Q239" i="73" s="1"/>
  <c r="U239" i="73" s="1"/>
  <c r="M235" i="73"/>
  <c r="Q235" i="73" s="1"/>
  <c r="U235" i="73" s="1"/>
  <c r="M228" i="73"/>
  <c r="M224" i="73"/>
  <c r="Q224" i="73" s="1"/>
  <c r="U224" i="73" s="1"/>
  <c r="M220" i="73"/>
  <c r="AA220" i="73" s="1"/>
  <c r="AE220" i="73" s="1"/>
  <c r="AI220" i="73" s="1"/>
  <c r="AO220" i="73" s="1"/>
  <c r="M216" i="73"/>
  <c r="AA216" i="73" s="1"/>
  <c r="AE216" i="73" s="1"/>
  <c r="AI216" i="73" s="1"/>
  <c r="AO216" i="73" s="1"/>
  <c r="AS216" i="73" s="1"/>
  <c r="AW216" i="73" s="1"/>
  <c r="BE216" i="73" s="1"/>
  <c r="M210" i="73"/>
  <c r="Q210" i="73" s="1"/>
  <c r="U210" i="73" s="1"/>
  <c r="I214" i="73"/>
  <c r="Q236" i="73"/>
  <c r="U236" i="73" s="1"/>
  <c r="AA236" i="73"/>
  <c r="AE236" i="73" s="1"/>
  <c r="AI236" i="73" s="1"/>
  <c r="AO236" i="73" s="1"/>
  <c r="AS236" i="73" s="1"/>
  <c r="AW236" i="73" s="1"/>
  <c r="BE236" i="73" s="1"/>
  <c r="Q238" i="73"/>
  <c r="U238" i="73" s="1"/>
  <c r="AA238" i="73"/>
  <c r="AE238" i="73" s="1"/>
  <c r="AI238" i="73" s="1"/>
  <c r="AO238" i="73" s="1"/>
  <c r="AS238" i="73" s="1"/>
  <c r="AW238" i="73" s="1"/>
  <c r="BE238" i="73" s="1"/>
  <c r="Q227" i="73"/>
  <c r="U227" i="73" s="1"/>
  <c r="Q228" i="73"/>
  <c r="U228" i="73" s="1"/>
  <c r="AA228" i="73"/>
  <c r="AE228" i="73" s="1"/>
  <c r="AI228" i="73" s="1"/>
  <c r="AO228" i="73" s="1"/>
  <c r="Q226" i="73"/>
  <c r="U226" i="73" s="1"/>
  <c r="AA226" i="73"/>
  <c r="AE226" i="73" s="1"/>
  <c r="AI226" i="73" s="1"/>
  <c r="AO226" i="73" s="1"/>
  <c r="AA221" i="73"/>
  <c r="AE221" i="73" s="1"/>
  <c r="AI221" i="73" s="1"/>
  <c r="AO221" i="73" s="1"/>
  <c r="Q234" i="73"/>
  <c r="U234" i="73" s="1"/>
  <c r="AA234" i="73"/>
  <c r="AE234" i="73" s="1"/>
  <c r="AI234" i="73" s="1"/>
  <c r="AO234" i="73" s="1"/>
  <c r="Q217" i="73"/>
  <c r="U217" i="73" s="1"/>
  <c r="AA217" i="73"/>
  <c r="AE217" i="73" s="1"/>
  <c r="AI217" i="73" s="1"/>
  <c r="AO217" i="73" s="1"/>
  <c r="AS217" i="73" s="1"/>
  <c r="AW217" i="73" s="1"/>
  <c r="BE217" i="73" s="1"/>
  <c r="Q244" i="73"/>
  <c r="U244" i="73" s="1"/>
  <c r="AA244" i="73"/>
  <c r="AE244" i="73" s="1"/>
  <c r="AI244" i="73" s="1"/>
  <c r="AO244" i="73" s="1"/>
  <c r="AS244" i="73" s="1"/>
  <c r="Q225" i="73"/>
  <c r="U225" i="73" s="1"/>
  <c r="AA225" i="73"/>
  <c r="AE225" i="73" s="1"/>
  <c r="AI225" i="73" s="1"/>
  <c r="AO225" i="73" s="1"/>
  <c r="M211" i="73"/>
  <c r="AA211" i="73" s="1"/>
  <c r="AE211" i="73" s="1"/>
  <c r="AI211" i="73" s="1"/>
  <c r="AO211" i="73" s="1"/>
  <c r="AS211" i="73" s="1"/>
  <c r="AW211" i="73" s="1"/>
  <c r="BE211" i="73" s="1"/>
  <c r="I209" i="73"/>
  <c r="M230" i="73"/>
  <c r="AA230" i="73" s="1"/>
  <c r="AE230" i="73" s="1"/>
  <c r="AI230" i="73" s="1"/>
  <c r="AO230" i="73" s="1"/>
  <c r="AS230" i="73" s="1"/>
  <c r="I229" i="73"/>
  <c r="M241" i="73"/>
  <c r="AA241" i="73" s="1"/>
  <c r="AE241" i="73" s="1"/>
  <c r="AI241" i="73" s="1"/>
  <c r="AO241" i="73" s="1"/>
  <c r="AS241" i="73" s="1"/>
  <c r="I240" i="73"/>
  <c r="M243" i="73"/>
  <c r="AA243" i="73" s="1"/>
  <c r="AE243" i="73" s="1"/>
  <c r="AI243" i="73" s="1"/>
  <c r="AO243" i="73" s="1"/>
  <c r="I242" i="73"/>
  <c r="M215" i="73"/>
  <c r="AA233" i="73" l="1"/>
  <c r="AE233" i="73" s="1"/>
  <c r="AI233" i="73" s="1"/>
  <c r="AO233" i="73" s="1"/>
  <c r="AA235" i="73"/>
  <c r="AE235" i="73" s="1"/>
  <c r="AI235" i="73" s="1"/>
  <c r="AO235" i="73" s="1"/>
  <c r="AA237" i="73"/>
  <c r="AE237" i="73" s="1"/>
  <c r="AI237" i="73" s="1"/>
  <c r="AO237" i="73" s="1"/>
  <c r="AS237" i="73" s="1"/>
  <c r="AW237" i="73" s="1"/>
  <c r="BE237" i="73" s="1"/>
  <c r="AA213" i="73"/>
  <c r="AE213" i="73" s="1"/>
  <c r="AI213" i="73" s="1"/>
  <c r="AO213" i="73" s="1"/>
  <c r="AS213" i="73" s="1"/>
  <c r="AW213" i="73" s="1"/>
  <c r="BE213" i="73" s="1"/>
  <c r="AA212" i="73"/>
  <c r="AE212" i="73" s="1"/>
  <c r="AI212" i="73" s="1"/>
  <c r="AO212" i="73" s="1"/>
  <c r="AS212" i="73" s="1"/>
  <c r="AW212" i="73" s="1"/>
  <c r="BE212" i="73" s="1"/>
  <c r="AA224" i="73"/>
  <c r="AE224" i="73" s="1"/>
  <c r="AI224" i="73" s="1"/>
  <c r="AO224" i="73" s="1"/>
  <c r="AS224" i="73" s="1"/>
  <c r="AW224" i="73" s="1"/>
  <c r="BE224" i="73" s="1"/>
  <c r="Q216" i="73"/>
  <c r="U216" i="73" s="1"/>
  <c r="AA222" i="73"/>
  <c r="AE222" i="73" s="1"/>
  <c r="AI222" i="73" s="1"/>
  <c r="AO222" i="73" s="1"/>
  <c r="Q220" i="73"/>
  <c r="U220" i="73" s="1"/>
  <c r="AA239" i="73"/>
  <c r="AE239" i="73" s="1"/>
  <c r="AI239" i="73" s="1"/>
  <c r="AO239" i="73" s="1"/>
  <c r="AS239" i="73" s="1"/>
  <c r="AW239" i="73" s="1"/>
  <c r="BE239" i="73" s="1"/>
  <c r="AA218" i="73"/>
  <c r="AE218" i="73" s="1"/>
  <c r="AI218" i="73" s="1"/>
  <c r="AO218" i="73" s="1"/>
  <c r="AA223" i="73"/>
  <c r="AE223" i="73" s="1"/>
  <c r="AI223" i="73" s="1"/>
  <c r="AO223" i="73" s="1"/>
  <c r="AS223" i="73" s="1"/>
  <c r="AW223" i="73" s="1"/>
  <c r="BE223" i="73" s="1"/>
  <c r="AA210" i="73"/>
  <c r="AE210" i="73" s="1"/>
  <c r="AI210" i="73" s="1"/>
  <c r="AO210" i="73" s="1"/>
  <c r="AS210" i="73" s="1"/>
  <c r="AW210" i="73" s="1"/>
  <c r="BE210" i="73" s="1"/>
  <c r="AA219" i="73"/>
  <c r="AE219" i="73" s="1"/>
  <c r="AI219" i="73" s="1"/>
  <c r="AO219" i="73" s="1"/>
  <c r="AW230" i="73"/>
  <c r="AS229" i="73"/>
  <c r="AW244" i="73"/>
  <c r="BE244" i="73" s="1"/>
  <c r="AS242" i="73"/>
  <c r="AW241" i="73"/>
  <c r="BE241" i="73" s="1"/>
  <c r="AS240" i="73"/>
  <c r="AW92" i="77"/>
  <c r="AA215" i="73"/>
  <c r="M214" i="73"/>
  <c r="Q215" i="73"/>
  <c r="Q214" i="73" s="1"/>
  <c r="Q211" i="73"/>
  <c r="M209" i="73"/>
  <c r="AA209" i="73" s="1"/>
  <c r="AE209" i="73" s="1"/>
  <c r="AI209" i="73" s="1"/>
  <c r="AO209" i="73" s="1"/>
  <c r="Q230" i="73"/>
  <c r="M229" i="73"/>
  <c r="AA229" i="73" s="1"/>
  <c r="AE229" i="73" s="1"/>
  <c r="AI229" i="73" s="1"/>
  <c r="AO229" i="73" s="1"/>
  <c r="Q241" i="73"/>
  <c r="M240" i="73"/>
  <c r="AA240" i="73" s="1"/>
  <c r="AE240" i="73" s="1"/>
  <c r="AI240" i="73" s="1"/>
  <c r="AO240" i="73" s="1"/>
  <c r="Q243" i="73"/>
  <c r="M242" i="73"/>
  <c r="AA242" i="73" s="1"/>
  <c r="AE242" i="73" s="1"/>
  <c r="AI242" i="73" s="1"/>
  <c r="AO242" i="73" s="1"/>
  <c r="AS209" i="73" l="1"/>
  <c r="AS220" i="73"/>
  <c r="AW209" i="73"/>
  <c r="BE209" i="73" s="1"/>
  <c r="BE230" i="73"/>
  <c r="AW229" i="73"/>
  <c r="BE229" i="73" s="1"/>
  <c r="AW220" i="73"/>
  <c r="BE220" i="73" s="1"/>
  <c r="AW240" i="73"/>
  <c r="BE240" i="73" s="1"/>
  <c r="AW242" i="73"/>
  <c r="BE242" i="73" s="1"/>
  <c r="AE215" i="73"/>
  <c r="AA214" i="73"/>
  <c r="U215" i="73"/>
  <c r="U214" i="73" s="1"/>
  <c r="U211" i="73"/>
  <c r="U209" i="73" s="1"/>
  <c r="Q209" i="73"/>
  <c r="Q242" i="73"/>
  <c r="U242" i="73" s="1"/>
  <c r="U243" i="73"/>
  <c r="U241" i="73"/>
  <c r="Q240" i="73"/>
  <c r="U240" i="73" s="1"/>
  <c r="U230" i="73"/>
  <c r="Q229" i="73"/>
  <c r="U229" i="73" s="1"/>
  <c r="AI215" i="73" l="1"/>
  <c r="AE214" i="73"/>
  <c r="F85" i="17" l="1"/>
  <c r="G85" i="17"/>
  <c r="AI214" i="73"/>
  <c r="AO215" i="73"/>
  <c r="AO214" i="73" l="1"/>
  <c r="AS215" i="73"/>
  <c r="AW215" i="73" l="1"/>
  <c r="BE215" i="73" s="1"/>
  <c r="AS214" i="73"/>
  <c r="I34" i="15"/>
  <c r="AW214" i="73" l="1"/>
  <c r="BE214" i="73" s="1"/>
  <c r="L94" i="38" l="1"/>
  <c r="L93" i="38"/>
  <c r="L92" i="38"/>
  <c r="L91" i="38"/>
  <c r="K90" i="38"/>
  <c r="L89" i="38"/>
  <c r="K88" i="38"/>
  <c r="L86" i="38"/>
  <c r="L85" i="38"/>
  <c r="L84" i="38"/>
  <c r="L83" i="38"/>
  <c r="K82" i="38"/>
  <c r="L80" i="38"/>
  <c r="L79" i="38"/>
  <c r="L78" i="38"/>
  <c r="L77" i="38"/>
  <c r="L76" i="38"/>
  <c r="L75" i="38"/>
  <c r="L74" i="38"/>
  <c r="L73" i="38"/>
  <c r="L72" i="38"/>
  <c r="L71" i="38"/>
  <c r="L70" i="38"/>
  <c r="L69" i="38"/>
  <c r="L68" i="38"/>
  <c r="L67" i="38"/>
  <c r="K66" i="38"/>
  <c r="L62" i="38"/>
  <c r="L61" i="38"/>
  <c r="K60" i="38"/>
  <c r="L59" i="38"/>
  <c r="L58" i="38"/>
  <c r="L57" i="38"/>
  <c r="L56" i="38"/>
  <c r="L55" i="38"/>
  <c r="K54" i="38"/>
  <c r="K52" i="38"/>
  <c r="L51" i="38"/>
  <c r="K51" i="38"/>
  <c r="K46" i="38"/>
  <c r="K45" i="38"/>
  <c r="K44" i="38"/>
  <c r="K43" i="38"/>
  <c r="L42" i="38"/>
  <c r="K41" i="38"/>
  <c r="K40" i="38" s="1"/>
  <c r="L40" i="38"/>
  <c r="K38" i="38"/>
  <c r="K37" i="38"/>
  <c r="K36" i="38"/>
  <c r="K35" i="38"/>
  <c r="G167" i="6" s="1"/>
  <c r="G168" i="6" s="1"/>
  <c r="L34" i="38"/>
  <c r="K32" i="38"/>
  <c r="K31" i="38"/>
  <c r="K30" i="38"/>
  <c r="K29" i="38"/>
  <c r="K28" i="38"/>
  <c r="K27" i="38"/>
  <c r="K26" i="38"/>
  <c r="G73" i="11" s="1"/>
  <c r="G74" i="11" s="1"/>
  <c r="K25" i="38"/>
  <c r="G172" i="10" s="1"/>
  <c r="G173" i="10" s="1"/>
  <c r="K24" i="38"/>
  <c r="K23" i="38"/>
  <c r="G99" i="9" s="1"/>
  <c r="G100" i="9" s="1"/>
  <c r="K22" i="38"/>
  <c r="G91" i="8" s="1"/>
  <c r="G92" i="8" s="1"/>
  <c r="K21" i="38"/>
  <c r="G82" i="7" s="1"/>
  <c r="G83" i="7" s="1"/>
  <c r="K20" i="38"/>
  <c r="K19" i="38"/>
  <c r="G193" i="6" s="1"/>
  <c r="G194" i="6" s="1"/>
  <c r="L18" i="38"/>
  <c r="K14" i="38"/>
  <c r="K13" i="38"/>
  <c r="L12" i="38"/>
  <c r="K11" i="38"/>
  <c r="K10" i="38"/>
  <c r="K9" i="38"/>
  <c r="K8" i="38"/>
  <c r="K7" i="38"/>
  <c r="L6" i="38"/>
  <c r="I133" i="73"/>
  <c r="I93" i="73"/>
  <c r="I94" i="73"/>
  <c r="I64" i="73"/>
  <c r="I65" i="73"/>
  <c r="I66" i="73"/>
  <c r="I67" i="73"/>
  <c r="I68" i="73"/>
  <c r="I69" i="73"/>
  <c r="I70" i="73"/>
  <c r="I71" i="73"/>
  <c r="I72" i="73"/>
  <c r="I73" i="73"/>
  <c r="I75" i="73"/>
  <c r="I79" i="73"/>
  <c r="I80" i="73"/>
  <c r="I81" i="73"/>
  <c r="I82" i="73"/>
  <c r="I83" i="73"/>
  <c r="I84" i="73"/>
  <c r="I85" i="73"/>
  <c r="I87" i="73"/>
  <c r="I88" i="73"/>
  <c r="L90" i="38" l="1"/>
  <c r="L88" i="38"/>
  <c r="L82" i="38"/>
  <c r="L66" i="38"/>
  <c r="L60" i="38"/>
  <c r="K12" i="38"/>
  <c r="K63" i="38"/>
  <c r="I132" i="73"/>
  <c r="K65" i="38"/>
  <c r="L17" i="38"/>
  <c r="L15" i="38"/>
  <c r="K87" i="38"/>
  <c r="K64" i="38" s="1"/>
  <c r="K42" i="38"/>
  <c r="K39" i="38" s="1"/>
  <c r="K34" i="38"/>
  <c r="K18" i="38"/>
  <c r="K6" i="38"/>
  <c r="L54" i="38"/>
  <c r="L39" i="38"/>
  <c r="H26" i="36" l="1"/>
  <c r="K96" i="38"/>
  <c r="K15" i="38"/>
  <c r="L65" i="38"/>
  <c r="L63" i="38"/>
  <c r="K17" i="38"/>
  <c r="K16" i="38" s="1"/>
  <c r="L16" i="38"/>
  <c r="L87" i="38"/>
  <c r="I19" i="39"/>
  <c r="I20" i="39"/>
  <c r="I21" i="39"/>
  <c r="I59" i="39"/>
  <c r="K48" i="38" l="1"/>
  <c r="L64" i="38"/>
  <c r="L96" i="38" s="1"/>
  <c r="L48" i="38"/>
  <c r="G37" i="72"/>
  <c r="J152" i="10" l="1"/>
  <c r="J153" i="10"/>
  <c r="J154" i="10"/>
  <c r="J87" i="10"/>
  <c r="J8" i="10"/>
  <c r="J9" i="10"/>
  <c r="J10" i="10"/>
  <c r="J11" i="10"/>
  <c r="J12" i="10"/>
  <c r="J14" i="10"/>
  <c r="J15" i="10"/>
  <c r="J16" i="10"/>
  <c r="J17" i="10"/>
  <c r="J18" i="10"/>
  <c r="J19" i="10"/>
  <c r="J20" i="10"/>
  <c r="J76" i="10"/>
  <c r="J78" i="10"/>
  <c r="J79" i="10"/>
  <c r="J80" i="10"/>
  <c r="J81" i="10"/>
  <c r="J82" i="10"/>
  <c r="J83" i="10"/>
  <c r="J84" i="10"/>
  <c r="J85" i="10"/>
  <c r="J86" i="10"/>
  <c r="J88" i="10"/>
  <c r="J89" i="10"/>
  <c r="J90" i="10"/>
  <c r="J91" i="10"/>
  <c r="J92" i="10"/>
  <c r="J93" i="10"/>
  <c r="J94" i="10"/>
  <c r="J95" i="10"/>
  <c r="J96" i="10"/>
  <c r="J97" i="10"/>
  <c r="J98" i="10"/>
  <c r="J99" i="10"/>
  <c r="J100" i="10"/>
  <c r="J101" i="10"/>
  <c r="J102" i="10"/>
  <c r="J103" i="10"/>
  <c r="J104" i="10"/>
  <c r="J105" i="10"/>
  <c r="J109" i="10"/>
  <c r="J110" i="10"/>
  <c r="J111" i="10"/>
  <c r="J112" i="10"/>
  <c r="J113" i="10"/>
  <c r="J116" i="10"/>
  <c r="J117" i="10"/>
  <c r="J118" i="10"/>
  <c r="J120" i="10"/>
  <c r="J121" i="10"/>
  <c r="J122" i="10"/>
  <c r="J123" i="10"/>
  <c r="J112" i="9" l="1"/>
  <c r="J113" i="9"/>
  <c r="J114" i="9"/>
  <c r="J115" i="9"/>
  <c r="J116" i="9"/>
  <c r="J117" i="9"/>
  <c r="J118" i="9"/>
  <c r="J119" i="9"/>
  <c r="J120" i="9"/>
  <c r="J121" i="9"/>
  <c r="J122" i="9"/>
  <c r="J123" i="9"/>
  <c r="J124" i="9"/>
  <c r="J125" i="9"/>
  <c r="J126" i="9"/>
  <c r="J127" i="9"/>
  <c r="J128" i="9"/>
  <c r="J129" i="9"/>
  <c r="J130" i="9"/>
  <c r="J131" i="9"/>
  <c r="I49" i="7"/>
  <c r="J49" i="7"/>
  <c r="I18" i="7"/>
  <c r="J18" i="7"/>
  <c r="I157" i="45" l="1"/>
  <c r="I156" i="45"/>
  <c r="I154" i="45"/>
  <c r="I148" i="45"/>
  <c r="I143" i="45"/>
  <c r="H143" i="45"/>
  <c r="I142" i="45"/>
  <c r="H142" i="45"/>
  <c r="I141" i="45"/>
  <c r="H141" i="45"/>
  <c r="I140" i="45"/>
  <c r="H140" i="45"/>
  <c r="I138" i="45"/>
  <c r="H138" i="45"/>
  <c r="I136" i="45"/>
  <c r="H136" i="45"/>
  <c r="I134" i="45"/>
  <c r="H134" i="45"/>
  <c r="I131" i="45"/>
  <c r="H131" i="45"/>
  <c r="I129" i="45"/>
  <c r="I122" i="45"/>
  <c r="I159" i="45" s="1"/>
  <c r="I121" i="45"/>
  <c r="H121" i="45"/>
  <c r="I120" i="45"/>
  <c r="I158" i="45" s="1"/>
  <c r="H144" i="45" l="1"/>
  <c r="J72" i="59"/>
  <c r="H132" i="45"/>
  <c r="I132" i="45"/>
  <c r="I126" i="45"/>
  <c r="I155" i="45"/>
  <c r="K72" i="59"/>
  <c r="I144" i="45"/>
  <c r="K73" i="59" s="1"/>
  <c r="H32" i="35"/>
  <c r="I160" i="45"/>
  <c r="I139" i="45"/>
  <c r="H123" i="45"/>
  <c r="H120" i="45"/>
  <c r="H139" i="45"/>
  <c r="H124" i="45"/>
  <c r="I124" i="45"/>
  <c r="I125" i="45" s="1"/>
  <c r="I123" i="45"/>
  <c r="H23" i="36" s="1"/>
  <c r="K71" i="59" s="1"/>
  <c r="I149" i="45"/>
  <c r="I150" i="45"/>
  <c r="J73" i="59" l="1"/>
  <c r="H33" i="35"/>
  <c r="H37" i="35" s="1"/>
  <c r="G97" i="11"/>
  <c r="H20" i="35"/>
  <c r="H57" i="36"/>
  <c r="J11" i="8"/>
  <c r="H25" i="36" l="1"/>
  <c r="K75" i="59" s="1"/>
  <c r="K76" i="59"/>
  <c r="H55" i="35"/>
  <c r="H19" i="35"/>
  <c r="H10" i="49" l="1"/>
  <c r="H12" i="49" s="1"/>
  <c r="H14" i="49" s="1"/>
  <c r="H15" i="49" s="1"/>
  <c r="H16" i="49" s="1"/>
  <c r="H19" i="49" s="1"/>
  <c r="H20" i="49" s="1"/>
  <c r="K57" i="59"/>
  <c r="K60" i="59"/>
  <c r="K61" i="59"/>
  <c r="I62" i="39" l="1"/>
  <c r="J35" i="59" l="1"/>
  <c r="K35" i="59"/>
  <c r="I111" i="6"/>
  <c r="J111" i="6"/>
  <c r="I94" i="6"/>
  <c r="J94" i="6"/>
  <c r="I96" i="6"/>
  <c r="J96" i="6"/>
  <c r="H5" i="77" l="1"/>
  <c r="H6" i="77"/>
  <c r="H8" i="77"/>
  <c r="H9" i="77"/>
  <c r="H10" i="77"/>
  <c r="H11" i="77"/>
  <c r="H12" i="77"/>
  <c r="H14" i="77"/>
  <c r="H15" i="77"/>
  <c r="H16" i="77"/>
  <c r="H17" i="77"/>
  <c r="H19" i="77"/>
  <c r="H20" i="77"/>
  <c r="H22" i="77"/>
  <c r="H23" i="77"/>
  <c r="H24" i="77"/>
  <c r="H25" i="77"/>
  <c r="H27" i="77"/>
  <c r="H28" i="77"/>
  <c r="H29" i="77"/>
  <c r="H30" i="77"/>
  <c r="H31" i="77"/>
  <c r="H33" i="77"/>
  <c r="H34" i="77"/>
  <c r="H35" i="77"/>
  <c r="H43" i="77"/>
  <c r="H45" i="77"/>
  <c r="H46" i="77"/>
  <c r="H47" i="77"/>
  <c r="H48" i="77"/>
  <c r="H49" i="77"/>
  <c r="H50" i="77"/>
  <c r="H51" i="77"/>
  <c r="H52" i="77"/>
  <c r="H54" i="77"/>
  <c r="H55" i="77"/>
  <c r="H56" i="77"/>
  <c r="H57" i="77"/>
  <c r="H58" i="77"/>
  <c r="H60" i="77"/>
  <c r="H61" i="77"/>
  <c r="H63" i="77"/>
  <c r="H64" i="77"/>
  <c r="H65" i="77"/>
  <c r="H66" i="77"/>
  <c r="H67" i="77"/>
  <c r="H68" i="77"/>
  <c r="H69" i="77"/>
  <c r="H70" i="77"/>
  <c r="H72" i="77"/>
  <c r="H73" i="77"/>
  <c r="H74" i="77"/>
  <c r="H75" i="77"/>
  <c r="H76" i="77"/>
  <c r="H80" i="77"/>
  <c r="H81" i="77"/>
  <c r="H83" i="77"/>
  <c r="H77" i="77"/>
  <c r="H87" i="77"/>
  <c r="H86" i="77" s="1"/>
  <c r="H90" i="77"/>
  <c r="H91" i="77"/>
  <c r="H89" i="77" l="1"/>
  <c r="H95" i="77" s="1"/>
  <c r="H21" i="77"/>
  <c r="H36" i="77"/>
  <c r="H84" i="77"/>
  <c r="H32" i="77"/>
  <c r="H71" i="77"/>
  <c r="H13" i="77"/>
  <c r="H53" i="77"/>
  <c r="H26" i="77"/>
  <c r="H16" i="36" l="1"/>
  <c r="H33" i="36"/>
  <c r="H40" i="36" s="1"/>
  <c r="K53" i="59" l="1"/>
  <c r="H17" i="36"/>
  <c r="K54" i="59" s="1"/>
  <c r="I144" i="50"/>
  <c r="G120" i="90"/>
  <c r="H19" i="36"/>
  <c r="K56" i="59" s="1"/>
  <c r="H18" i="36" l="1"/>
  <c r="K55" i="59" s="1"/>
  <c r="G33" i="36"/>
  <c r="H97" i="11"/>
  <c r="H34" i="36"/>
  <c r="G40" i="36" l="1"/>
  <c r="G57" i="36"/>
  <c r="G56" i="36"/>
  <c r="H35" i="36"/>
  <c r="H36" i="36" s="1"/>
  <c r="H41" i="36"/>
  <c r="H43" i="36" s="1"/>
  <c r="H31" i="36" s="1"/>
  <c r="G34" i="36"/>
  <c r="G35" i="36" l="1"/>
  <c r="G36" i="36" s="1"/>
  <c r="G38" i="36" s="1"/>
  <c r="G41" i="36"/>
  <c r="G43" i="36"/>
  <c r="G31" i="36" s="1"/>
  <c r="G30" i="36"/>
  <c r="J80" i="59" s="1"/>
  <c r="H38" i="36"/>
  <c r="H30" i="36" l="1"/>
  <c r="K80" i="59" s="1"/>
  <c r="E49" i="17" l="1"/>
  <c r="D49" i="17"/>
  <c r="E44" i="17"/>
  <c r="D44" i="17"/>
  <c r="AI21" i="77" l="1"/>
  <c r="F199" i="10" l="1"/>
  <c r="N13" i="10" l="1"/>
  <c r="G25" i="83"/>
  <c r="J13" i="10"/>
  <c r="N24" i="10"/>
  <c r="G27" i="83"/>
  <c r="N32" i="10"/>
  <c r="G26" i="83"/>
  <c r="N114" i="10"/>
  <c r="J114" i="10"/>
  <c r="N61" i="10"/>
  <c r="G9" i="83"/>
  <c r="N56" i="10"/>
  <c r="N77" i="10"/>
  <c r="J77" i="10"/>
  <c r="N25" i="10"/>
  <c r="G29" i="83"/>
  <c r="N108" i="10"/>
  <c r="AB108" i="10" s="1"/>
  <c r="AF108" i="10" s="1"/>
  <c r="AJ108" i="10" s="1"/>
  <c r="AP108" i="10" s="1"/>
  <c r="AT108" i="10" s="1"/>
  <c r="AX108" i="10" s="1"/>
  <c r="G31" i="83"/>
  <c r="J108" i="10"/>
  <c r="N68" i="10"/>
  <c r="G24" i="83"/>
  <c r="N57" i="10"/>
  <c r="G30" i="83"/>
  <c r="N119" i="10"/>
  <c r="J119" i="10"/>
  <c r="R108" i="10" l="1"/>
  <c r="V108" i="10" s="1"/>
  <c r="R114" i="10"/>
  <c r="V114" i="10" s="1"/>
  <c r="AB114" i="10"/>
  <c r="AF114" i="10" s="1"/>
  <c r="AJ114" i="10" s="1"/>
  <c r="AP114" i="10" s="1"/>
  <c r="AT114" i="10" s="1"/>
  <c r="AX114" i="10" s="1"/>
  <c r="R32" i="10"/>
  <c r="V32" i="10" s="1"/>
  <c r="AB32" i="10"/>
  <c r="AF32" i="10" s="1"/>
  <c r="AJ32" i="10" s="1"/>
  <c r="AP32" i="10" s="1"/>
  <c r="AT32" i="10" s="1"/>
  <c r="AX32" i="10" s="1"/>
  <c r="R57" i="10"/>
  <c r="V57" i="10" s="1"/>
  <c r="AB57" i="10"/>
  <c r="AF57" i="10" s="1"/>
  <c r="AJ57" i="10" s="1"/>
  <c r="AP57" i="10" s="1"/>
  <c r="AT57" i="10" s="1"/>
  <c r="AX57" i="10" s="1"/>
  <c r="R24" i="10"/>
  <c r="V24" i="10" s="1"/>
  <c r="AB24" i="10"/>
  <c r="AF24" i="10" s="1"/>
  <c r="AJ24" i="10" s="1"/>
  <c r="AP24" i="10" s="1"/>
  <c r="AT24" i="10" s="1"/>
  <c r="AX24" i="10" s="1"/>
  <c r="R119" i="10"/>
  <c r="V119" i="10" s="1"/>
  <c r="AB119" i="10"/>
  <c r="AF119" i="10" s="1"/>
  <c r="AJ119" i="10" s="1"/>
  <c r="AP119" i="10" s="1"/>
  <c r="AT119" i="10" s="1"/>
  <c r="AX119" i="10" s="1"/>
  <c r="R25" i="10"/>
  <c r="V25" i="10" s="1"/>
  <c r="AB25" i="10"/>
  <c r="AF25" i="10" s="1"/>
  <c r="AJ25" i="10" s="1"/>
  <c r="AP25" i="10" s="1"/>
  <c r="AT25" i="10" s="1"/>
  <c r="AX25" i="10" s="1"/>
  <c r="R77" i="10"/>
  <c r="V77" i="10" s="1"/>
  <c r="AB77" i="10"/>
  <c r="AF77" i="10" s="1"/>
  <c r="R56" i="10"/>
  <c r="V56" i="10" s="1"/>
  <c r="AB56" i="10"/>
  <c r="AF56" i="10" s="1"/>
  <c r="AJ56" i="10" s="1"/>
  <c r="AP56" i="10" s="1"/>
  <c r="AT56" i="10" s="1"/>
  <c r="AX56" i="10" s="1"/>
  <c r="R13" i="10"/>
  <c r="V13" i="10" s="1"/>
  <c r="AB13" i="10"/>
  <c r="AF13" i="10" s="1"/>
  <c r="AJ13" i="10" s="1"/>
  <c r="AP13" i="10" s="1"/>
  <c r="AT13" i="10" s="1"/>
  <c r="AX13" i="10" s="1"/>
  <c r="R68" i="10"/>
  <c r="V68" i="10" s="1"/>
  <c r="AB68" i="10"/>
  <c r="AF68" i="10" s="1"/>
  <c r="AJ68" i="10" s="1"/>
  <c r="AP68" i="10" s="1"/>
  <c r="AT68" i="10" s="1"/>
  <c r="AX68" i="10" s="1"/>
  <c r="R61" i="10"/>
  <c r="V61" i="10" s="1"/>
  <c r="AB61" i="10"/>
  <c r="AF61" i="10" s="1"/>
  <c r="AJ61" i="10" s="1"/>
  <c r="AP61" i="10" s="1"/>
  <c r="AT61" i="10" s="1"/>
  <c r="AX61" i="10" s="1"/>
  <c r="F83" i="11" l="1"/>
  <c r="F88" i="8" l="1"/>
  <c r="D17" i="8" l="1"/>
  <c r="D14" i="8"/>
  <c r="M128" i="6" l="1"/>
  <c r="I128" i="6"/>
  <c r="N128" i="6"/>
  <c r="J128" i="6"/>
  <c r="R128" i="6" l="1"/>
  <c r="V128" i="6" s="1"/>
  <c r="AB128" i="6"/>
  <c r="AF128" i="6" s="1"/>
  <c r="AJ128" i="6" s="1"/>
  <c r="AP128" i="6" s="1"/>
  <c r="AT128" i="6" s="1"/>
  <c r="AX128" i="6" s="1"/>
  <c r="Q128" i="6"/>
  <c r="U128" i="6" s="1"/>
  <c r="AA128" i="6"/>
  <c r="AE128" i="6" s="1"/>
  <c r="AI128" i="6" s="1"/>
  <c r="AO128" i="6" s="1"/>
  <c r="AS128" i="6" s="1"/>
  <c r="AW128" i="6" s="1"/>
  <c r="BF128" i="6" l="1"/>
  <c r="BE128" i="6"/>
  <c r="L43" i="35" l="1"/>
  <c r="L44" i="35"/>
  <c r="L45" i="35"/>
  <c r="F45" i="35"/>
  <c r="F44" i="35"/>
  <c r="F43" i="35"/>
  <c r="D27" i="72"/>
  <c r="E27" i="72"/>
  <c r="F27" i="72"/>
  <c r="H27" i="72"/>
  <c r="I27" i="72"/>
  <c r="J27" i="72"/>
  <c r="L27" i="72"/>
  <c r="M27" i="72"/>
  <c r="N27" i="72"/>
  <c r="P27" i="72"/>
  <c r="Q27" i="72"/>
  <c r="R27" i="72"/>
  <c r="T27" i="72"/>
  <c r="U27" i="72"/>
  <c r="V27" i="72"/>
  <c r="X27" i="72"/>
  <c r="Z27" i="72"/>
  <c r="AB27" i="72"/>
  <c r="AD27" i="72"/>
  <c r="AE27" i="72"/>
  <c r="AF27" i="72"/>
  <c r="AH27" i="72"/>
  <c r="AI27" i="72"/>
  <c r="AJ27" i="72"/>
  <c r="AL27" i="72"/>
  <c r="AN27" i="72"/>
  <c r="AO27" i="72"/>
  <c r="AP27" i="72"/>
  <c r="AR27" i="72"/>
  <c r="AT27" i="72"/>
  <c r="AV27" i="72"/>
  <c r="AX27" i="72"/>
  <c r="AZ27" i="72"/>
  <c r="BB27" i="72"/>
  <c r="AK27" i="72" l="1"/>
  <c r="L42" i="35"/>
  <c r="L49" i="35" s="1"/>
  <c r="F42" i="35"/>
  <c r="AY8" i="72"/>
  <c r="AY12" i="72"/>
  <c r="AY13" i="72"/>
  <c r="AY14" i="72"/>
  <c r="AY18" i="72"/>
  <c r="AY19" i="72"/>
  <c r="AY21" i="72"/>
  <c r="AY22" i="72"/>
  <c r="AY23" i="72"/>
  <c r="AY24" i="72"/>
  <c r="AY26" i="72"/>
  <c r="AY28" i="72"/>
  <c r="AY29" i="72"/>
  <c r="AY41" i="72"/>
  <c r="AY42" i="72"/>
  <c r="AY43" i="72"/>
  <c r="AY47" i="72"/>
  <c r="AY49" i="72"/>
  <c r="W8" i="72"/>
  <c r="Y108" i="90" s="1"/>
  <c r="W12" i="72"/>
  <c r="Y112" i="90" s="1"/>
  <c r="W13" i="72"/>
  <c r="Y113" i="90" s="1"/>
  <c r="W14" i="72"/>
  <c r="Y114" i="90" s="1"/>
  <c r="W18" i="72"/>
  <c r="W19" i="72"/>
  <c r="Y116" i="90" s="1"/>
  <c r="W21" i="72"/>
  <c r="W22" i="72"/>
  <c r="W23" i="72"/>
  <c r="W24" i="72"/>
  <c r="W25" i="72"/>
  <c r="W26" i="72"/>
  <c r="W28" i="72"/>
  <c r="W29" i="72"/>
  <c r="W30" i="72"/>
  <c r="AQ37" i="72"/>
  <c r="AU37" i="72" s="1"/>
  <c r="W38" i="72"/>
  <c r="W39" i="72"/>
  <c r="W41" i="72"/>
  <c r="W42" i="72"/>
  <c r="W43" i="72"/>
  <c r="W44" i="72"/>
  <c r="W46" i="72"/>
  <c r="W47" i="72"/>
  <c r="W49" i="72"/>
  <c r="O8" i="72"/>
  <c r="O12" i="72"/>
  <c r="O13" i="72"/>
  <c r="O14" i="72"/>
  <c r="O18" i="72"/>
  <c r="S18" i="72" s="1"/>
  <c r="O19" i="72"/>
  <c r="O21" i="72"/>
  <c r="S21" i="72" s="1"/>
  <c r="O22" i="72"/>
  <c r="S22" i="72" s="1"/>
  <c r="O23" i="72"/>
  <c r="S23" i="72" s="1"/>
  <c r="O24" i="72"/>
  <c r="S24" i="72" s="1"/>
  <c r="O25" i="72"/>
  <c r="O26" i="72"/>
  <c r="S26" i="72" s="1"/>
  <c r="O28" i="72"/>
  <c r="S28" i="72" s="1"/>
  <c r="O29" i="72"/>
  <c r="S29" i="72" s="1"/>
  <c r="O30" i="72"/>
  <c r="S30" i="72" s="1"/>
  <c r="S37" i="72"/>
  <c r="O38" i="72"/>
  <c r="S38" i="72" s="1"/>
  <c r="O39" i="72"/>
  <c r="S39" i="72" s="1"/>
  <c r="O41" i="72"/>
  <c r="S41" i="72" s="1"/>
  <c r="O42" i="72"/>
  <c r="S42" i="72" s="1"/>
  <c r="O43" i="72"/>
  <c r="S43" i="72" s="1"/>
  <c r="O44" i="72"/>
  <c r="S44" i="72" s="1"/>
  <c r="O46" i="72"/>
  <c r="S46" i="72" s="1"/>
  <c r="S47" i="72"/>
  <c r="O49" i="72"/>
  <c r="S49" i="72" s="1"/>
  <c r="K8" i="72"/>
  <c r="M108" i="90" s="1"/>
  <c r="K12" i="72"/>
  <c r="M112" i="90" s="1"/>
  <c r="K13" i="72"/>
  <c r="M113" i="90" s="1"/>
  <c r="K14" i="72"/>
  <c r="M114" i="90" s="1"/>
  <c r="K18" i="72"/>
  <c r="K19" i="72"/>
  <c r="K21" i="72"/>
  <c r="K22" i="72"/>
  <c r="Y22" i="72" s="1"/>
  <c r="AC22" i="72" s="1"/>
  <c r="AG22" i="72" s="1"/>
  <c r="K23" i="72"/>
  <c r="K24" i="72"/>
  <c r="K25" i="72"/>
  <c r="K26" i="72"/>
  <c r="K28" i="72"/>
  <c r="K29" i="72"/>
  <c r="K30" i="72"/>
  <c r="K38" i="72"/>
  <c r="K39" i="72"/>
  <c r="K41" i="72"/>
  <c r="Y41" i="72" s="1"/>
  <c r="AC41" i="72" s="1"/>
  <c r="AG41" i="72" s="1"/>
  <c r="K42" i="72"/>
  <c r="Y42" i="72" s="1"/>
  <c r="AC42" i="72" s="1"/>
  <c r="AG42" i="72" s="1"/>
  <c r="K43" i="72"/>
  <c r="K44" i="72"/>
  <c r="K46" i="72"/>
  <c r="K47" i="72"/>
  <c r="K49" i="72"/>
  <c r="I108" i="90"/>
  <c r="G21" i="72"/>
  <c r="G22" i="72"/>
  <c r="G23" i="72"/>
  <c r="G24" i="72"/>
  <c r="G25" i="72"/>
  <c r="G26" i="72"/>
  <c r="G28" i="72"/>
  <c r="G29" i="72"/>
  <c r="G30" i="72"/>
  <c r="G38" i="72"/>
  <c r="G39" i="72"/>
  <c r="G41" i="72"/>
  <c r="G42" i="72"/>
  <c r="G43" i="72"/>
  <c r="G44" i="72"/>
  <c r="G46" i="72"/>
  <c r="G47" i="72"/>
  <c r="G49" i="72"/>
  <c r="BA14" i="72" l="1"/>
  <c r="BA13" i="72"/>
  <c r="Y19" i="72"/>
  <c r="M116" i="90"/>
  <c r="BA12" i="72"/>
  <c r="S8" i="72"/>
  <c r="U108" i="90" s="1"/>
  <c r="Q108" i="90"/>
  <c r="S19" i="72"/>
  <c r="U116" i="90" s="1"/>
  <c r="Q116" i="90"/>
  <c r="S14" i="72"/>
  <c r="U114" i="90" s="1"/>
  <c r="Q114" i="90"/>
  <c r="Y29" i="72"/>
  <c r="AC29" i="72" s="1"/>
  <c r="AG29" i="72" s="1"/>
  <c r="AM29" i="72" s="1"/>
  <c r="AQ29" i="72" s="1"/>
  <c r="AU29" i="72" s="1"/>
  <c r="BC29" i="72" s="1"/>
  <c r="S13" i="72"/>
  <c r="U113" i="90" s="1"/>
  <c r="Q113" i="90"/>
  <c r="S12" i="72"/>
  <c r="U112" i="90" s="1"/>
  <c r="Q112" i="90"/>
  <c r="Y49" i="72"/>
  <c r="AC49" i="72" s="1"/>
  <c r="AG49" i="72" s="1"/>
  <c r="AM49" i="72" s="1"/>
  <c r="AQ49" i="72" s="1"/>
  <c r="AU49" i="72" s="1"/>
  <c r="BC49" i="72" s="1"/>
  <c r="AM22" i="72"/>
  <c r="AQ22" i="72" s="1"/>
  <c r="AU22" i="72" s="1"/>
  <c r="BC22" i="72" s="1"/>
  <c r="AM42" i="72"/>
  <c r="AQ42" i="72" s="1"/>
  <c r="AU42" i="72" s="1"/>
  <c r="BC42" i="72" s="1"/>
  <c r="AM41" i="72"/>
  <c r="AQ41" i="72" s="1"/>
  <c r="AU41" i="72" s="1"/>
  <c r="BC41" i="72" s="1"/>
  <c r="BA21" i="72"/>
  <c r="BA8" i="72"/>
  <c r="BA19" i="72"/>
  <c r="BA28" i="72"/>
  <c r="BA47" i="72"/>
  <c r="BA26" i="72"/>
  <c r="Y18" i="72"/>
  <c r="AC18" i="72" s="1"/>
  <c r="AG18" i="72" s="1"/>
  <c r="Y24" i="72"/>
  <c r="AC24" i="72" s="1"/>
  <c r="AG24" i="72" s="1"/>
  <c r="Y14" i="72"/>
  <c r="BA43" i="72"/>
  <c r="BA24" i="72"/>
  <c r="BA18" i="72"/>
  <c r="Y43" i="72"/>
  <c r="AC43" i="72" s="1"/>
  <c r="AG43" i="72" s="1"/>
  <c r="Y30" i="72"/>
  <c r="AC30" i="72" s="1"/>
  <c r="AG30" i="72" s="1"/>
  <c r="Y23" i="72"/>
  <c r="AC23" i="72" s="1"/>
  <c r="AG23" i="72" s="1"/>
  <c r="Y12" i="72"/>
  <c r="Y28" i="72"/>
  <c r="AC28" i="72" s="1"/>
  <c r="AG28" i="72" s="1"/>
  <c r="Y21" i="72"/>
  <c r="AC21" i="72" s="1"/>
  <c r="AG21" i="72" s="1"/>
  <c r="Y47" i="72"/>
  <c r="AC47" i="72" s="1"/>
  <c r="AG47" i="72" s="1"/>
  <c r="Y8" i="72"/>
  <c r="Y26" i="72"/>
  <c r="AC26" i="72" s="1"/>
  <c r="AG26" i="72" s="1"/>
  <c r="BA49" i="72"/>
  <c r="BA42" i="72"/>
  <c r="BA23" i="72"/>
  <c r="Y39" i="72"/>
  <c r="AC39" i="72" s="1"/>
  <c r="AG39" i="72" s="1"/>
  <c r="Y46" i="72"/>
  <c r="AC46" i="72" s="1"/>
  <c r="Y38" i="72"/>
  <c r="AC38" i="72" s="1"/>
  <c r="Y44" i="72"/>
  <c r="AC44" i="72" s="1"/>
  <c r="AG44" i="72" s="1"/>
  <c r="BA41" i="72"/>
  <c r="BA29" i="72"/>
  <c r="BA22" i="72"/>
  <c r="K27" i="72"/>
  <c r="G27" i="72"/>
  <c r="O27" i="72"/>
  <c r="Y13" i="72"/>
  <c r="S25" i="72"/>
  <c r="S27" i="72" s="1"/>
  <c r="W27" i="72"/>
  <c r="Y25" i="72"/>
  <c r="AP51" i="72"/>
  <c r="AR51" i="72"/>
  <c r="AT51" i="72"/>
  <c r="AV51" i="72"/>
  <c r="AX51" i="72"/>
  <c r="AZ51" i="72"/>
  <c r="BB51" i="72"/>
  <c r="AC14" i="72" l="1"/>
  <c r="AA114" i="90"/>
  <c r="AC12" i="72"/>
  <c r="AA112" i="90"/>
  <c r="AC19" i="72"/>
  <c r="AA116" i="90"/>
  <c r="AC8" i="72"/>
  <c r="AA108" i="90"/>
  <c r="AC13" i="72"/>
  <c r="AA113" i="90"/>
  <c r="AM47" i="72"/>
  <c r="AQ47" i="72" s="1"/>
  <c r="AU47" i="72" s="1"/>
  <c r="BC47" i="72" s="1"/>
  <c r="AM23" i="72"/>
  <c r="AQ23" i="72" s="1"/>
  <c r="AU23" i="72" s="1"/>
  <c r="BC23" i="72" s="1"/>
  <c r="AM18" i="72"/>
  <c r="AM39" i="72"/>
  <c r="AQ39" i="72" s="1"/>
  <c r="AU39" i="72" s="1"/>
  <c r="AM21" i="72"/>
  <c r="AQ21" i="72" s="1"/>
  <c r="AU21" i="72" s="1"/>
  <c r="BC21" i="72" s="1"/>
  <c r="AM30" i="72"/>
  <c r="AQ30" i="72" s="1"/>
  <c r="AU30" i="72" s="1"/>
  <c r="AM44" i="72"/>
  <c r="AQ44" i="72" s="1"/>
  <c r="AU44" i="72" s="1"/>
  <c r="AM26" i="72"/>
  <c r="AQ26" i="72" s="1"/>
  <c r="AU26" i="72" s="1"/>
  <c r="BC26" i="72" s="1"/>
  <c r="AM28" i="72"/>
  <c r="AQ28" i="72" s="1"/>
  <c r="AU28" i="72" s="1"/>
  <c r="BC28" i="72" s="1"/>
  <c r="AM43" i="72"/>
  <c r="AQ43" i="72" s="1"/>
  <c r="AU43" i="72" s="1"/>
  <c r="BC43" i="72" s="1"/>
  <c r="AM24" i="72"/>
  <c r="AQ24" i="72" s="1"/>
  <c r="AU24" i="72" s="1"/>
  <c r="BC24" i="72" s="1"/>
  <c r="AG46" i="72"/>
  <c r="AG38" i="72"/>
  <c r="Y27" i="72"/>
  <c r="AC25" i="72"/>
  <c r="AG13" i="72" l="1"/>
  <c r="AE113" i="90"/>
  <c r="AG19" i="72"/>
  <c r="AE116" i="90"/>
  <c r="AG8" i="72"/>
  <c r="AE108" i="90"/>
  <c r="AG12" i="72"/>
  <c r="AE112" i="90"/>
  <c r="AG14" i="72"/>
  <c r="AE114" i="90"/>
  <c r="AQ18" i="72"/>
  <c r="AM46" i="72"/>
  <c r="AQ46" i="72" s="1"/>
  <c r="AU46" i="72" s="1"/>
  <c r="AM38" i="72"/>
  <c r="AQ38" i="72" s="1"/>
  <c r="AU38" i="72" s="1"/>
  <c r="AC27" i="72"/>
  <c r="AG25" i="72"/>
  <c r="AM25" i="72" s="1"/>
  <c r="AI108" i="90" l="1"/>
  <c r="AM8" i="72"/>
  <c r="AI114" i="90"/>
  <c r="AM14" i="72"/>
  <c r="AI112" i="90"/>
  <c r="AM12" i="72"/>
  <c r="AI116" i="90"/>
  <c r="AM19" i="72"/>
  <c r="AI113" i="90"/>
  <c r="AM13" i="72"/>
  <c r="AU18" i="72"/>
  <c r="BC18" i="72" s="1"/>
  <c r="AY30" i="72"/>
  <c r="BA30" i="72" s="1"/>
  <c r="BC30" i="72"/>
  <c r="AY37" i="72"/>
  <c r="BA37" i="72" s="1"/>
  <c r="BC37" i="72"/>
  <c r="AY38" i="72"/>
  <c r="BA38" i="72" s="1"/>
  <c r="BC38" i="72"/>
  <c r="AY39" i="72"/>
  <c r="BA39" i="72" s="1"/>
  <c r="BC39" i="72"/>
  <c r="AY44" i="72"/>
  <c r="BA44" i="72" s="1"/>
  <c r="BC44" i="72"/>
  <c r="AW27" i="72"/>
  <c r="AY25" i="72"/>
  <c r="AY46" i="72"/>
  <c r="BA46" i="72" s="1"/>
  <c r="BC46" i="72"/>
  <c r="AG27" i="72"/>
  <c r="AM27" i="72" s="1"/>
  <c r="AO112" i="90" l="1"/>
  <c r="AQ12" i="72"/>
  <c r="AO114" i="90"/>
  <c r="AQ14" i="72"/>
  <c r="AQ8" i="72"/>
  <c r="AO108" i="90"/>
  <c r="AO113" i="90"/>
  <c r="AQ13" i="72"/>
  <c r="AQ19" i="72"/>
  <c r="AO116" i="90"/>
  <c r="AY27" i="72"/>
  <c r="BA25" i="72"/>
  <c r="BA27" i="72" s="1"/>
  <c r="AQ25" i="72"/>
  <c r="D133" i="50"/>
  <c r="D132" i="50"/>
  <c r="BA59" i="71"/>
  <c r="K87" i="90" s="1"/>
  <c r="BE59" i="71"/>
  <c r="O87" i="90" s="1"/>
  <c r="BI59" i="71"/>
  <c r="S87" i="90" s="1"/>
  <c r="BS59" i="71"/>
  <c r="AC87" i="90" s="1"/>
  <c r="BW59" i="71"/>
  <c r="AG87" i="90" s="1"/>
  <c r="CA59" i="71"/>
  <c r="AK87" i="90" s="1"/>
  <c r="CG59" i="71"/>
  <c r="AQ87" i="90" s="1"/>
  <c r="CK59" i="71"/>
  <c r="AU87" i="90" s="1"/>
  <c r="CO59" i="71"/>
  <c r="AY87" i="90" s="1"/>
  <c r="CO60" i="71"/>
  <c r="AY88" i="90" s="1"/>
  <c r="CK60" i="71"/>
  <c r="AU88" i="90" s="1"/>
  <c r="CG60" i="71"/>
  <c r="AQ88" i="90" s="1"/>
  <c r="CA60" i="71"/>
  <c r="AK88" i="90" s="1"/>
  <c r="BW60" i="71"/>
  <c r="AG88" i="90" s="1"/>
  <c r="BS60" i="71"/>
  <c r="AC88" i="90" s="1"/>
  <c r="BM60" i="71"/>
  <c r="W88" i="90" s="1"/>
  <c r="BI60" i="71"/>
  <c r="S88" i="90" s="1"/>
  <c r="BE60" i="71"/>
  <c r="O88" i="90" s="1"/>
  <c r="BA60" i="71"/>
  <c r="K88" i="90" s="1"/>
  <c r="BA87" i="90" l="1"/>
  <c r="AY89" i="90"/>
  <c r="BE88" i="90"/>
  <c r="BA88" i="90"/>
  <c r="AU19" i="72"/>
  <c r="AS116" i="90"/>
  <c r="AS113" i="90"/>
  <c r="AU13" i="72"/>
  <c r="AU8" i="72"/>
  <c r="AS108" i="90"/>
  <c r="AS114" i="90"/>
  <c r="AU14" i="72"/>
  <c r="AS112" i="90"/>
  <c r="AU12" i="72"/>
  <c r="U132" i="50"/>
  <c r="AG89" i="90"/>
  <c r="AG96" i="90" s="1"/>
  <c r="AG102" i="90" s="1"/>
  <c r="AI88" i="90"/>
  <c r="AC89" i="90"/>
  <c r="S89" i="90"/>
  <c r="S96" i="90" s="1"/>
  <c r="U133" i="50"/>
  <c r="AQ27" i="72"/>
  <c r="AU25" i="72"/>
  <c r="CQ59" i="71"/>
  <c r="BM59" i="71"/>
  <c r="CC59" i="71"/>
  <c r="BC59" i="71"/>
  <c r="CU60" i="71"/>
  <c r="BO60" i="71"/>
  <c r="CQ60" i="71"/>
  <c r="CC60" i="71"/>
  <c r="BC60" i="71"/>
  <c r="AY96" i="90" l="1"/>
  <c r="BC8" i="72"/>
  <c r="AW108" i="90"/>
  <c r="BC14" i="72"/>
  <c r="AW114" i="90"/>
  <c r="BC13" i="72"/>
  <c r="AW113" i="90"/>
  <c r="BC12" i="72"/>
  <c r="AW112" i="90"/>
  <c r="BC19" i="72"/>
  <c r="AW116" i="90"/>
  <c r="U135" i="50"/>
  <c r="U136" i="50" s="1"/>
  <c r="AG128" i="90"/>
  <c r="AG131" i="90" s="1"/>
  <c r="AC96" i="90"/>
  <c r="AC128" i="90" s="1"/>
  <c r="CS59" i="71"/>
  <c r="CU59" i="71"/>
  <c r="W87" i="90"/>
  <c r="BE87" i="90" s="1"/>
  <c r="S102" i="90"/>
  <c r="S128" i="90"/>
  <c r="S131" i="90" s="1"/>
  <c r="AU27" i="72"/>
  <c r="BC25" i="72"/>
  <c r="BC27" i="72" s="1"/>
  <c r="BO59" i="71"/>
  <c r="BQ59" i="71" s="1"/>
  <c r="BU59" i="71" s="1"/>
  <c r="BY59" i="71" s="1"/>
  <c r="CE59" i="71" s="1"/>
  <c r="BG59" i="71"/>
  <c r="BK59" i="71" s="1"/>
  <c r="CS60" i="71"/>
  <c r="BQ60" i="71"/>
  <c r="BU60" i="71" s="1"/>
  <c r="BY60" i="71" s="1"/>
  <c r="CE60" i="71" s="1"/>
  <c r="BG60" i="71"/>
  <c r="BK60" i="71" s="1"/>
  <c r="AY102" i="90" l="1"/>
  <c r="AY128" i="90"/>
  <c r="AY131" i="90" s="1"/>
  <c r="CI60" i="71"/>
  <c r="CM60" i="71" s="1"/>
  <c r="CI59" i="71"/>
  <c r="CM59" i="71" s="1"/>
  <c r="AC102" i="90"/>
  <c r="W89" i="90"/>
  <c r="AI87" i="90"/>
  <c r="AC131" i="90"/>
  <c r="W96" i="90" l="1"/>
  <c r="W102" i="90" l="1"/>
  <c r="W128" i="90"/>
  <c r="W131" i="90" l="1"/>
  <c r="BA6" i="71" l="1"/>
  <c r="BE6" i="71"/>
  <c r="BI6" i="71"/>
  <c r="BM6" i="71"/>
  <c r="BS6" i="71"/>
  <c r="BW6" i="71"/>
  <c r="CA6" i="71"/>
  <c r="CG6" i="71"/>
  <c r="CK6" i="71"/>
  <c r="CO6" i="71"/>
  <c r="CG7" i="71"/>
  <c r="CQ11" i="71"/>
  <c r="CS11" i="71" s="1"/>
  <c r="CQ12" i="71"/>
  <c r="CS12" i="71" s="1"/>
  <c r="CQ14" i="71"/>
  <c r="CS14" i="71" s="1"/>
  <c r="CQ15" i="71"/>
  <c r="CS15" i="71" s="1"/>
  <c r="CQ16" i="71"/>
  <c r="CS16" i="71" s="1"/>
  <c r="CQ18" i="71"/>
  <c r="CS18" i="71" s="1"/>
  <c r="CQ25" i="71"/>
  <c r="CS25" i="71" s="1"/>
  <c r="CQ26" i="71"/>
  <c r="CS26" i="71" s="1"/>
  <c r="CQ28" i="71"/>
  <c r="CS28" i="71" s="1"/>
  <c r="CQ29" i="71"/>
  <c r="CS29" i="71" s="1"/>
  <c r="CQ30" i="71"/>
  <c r="CS30" i="71" s="1"/>
  <c r="CQ33" i="71"/>
  <c r="CS33" i="71" s="1"/>
  <c r="CQ34" i="71"/>
  <c r="CS34" i="71" s="1"/>
  <c r="CQ36" i="71"/>
  <c r="CS36" i="71" s="1"/>
  <c r="CQ37" i="71"/>
  <c r="CS37" i="71" s="1"/>
  <c r="CQ39" i="71"/>
  <c r="CS39" i="71" s="1"/>
  <c r="CQ40" i="71"/>
  <c r="CS40" i="71" s="1"/>
  <c r="CQ41" i="71"/>
  <c r="CS41" i="71" s="1"/>
  <c r="CQ46" i="71"/>
  <c r="CS46" i="71" s="1"/>
  <c r="CQ53" i="71"/>
  <c r="CS53" i="71" s="1"/>
  <c r="CQ54" i="71"/>
  <c r="CS54" i="71" s="1"/>
  <c r="BA57" i="71"/>
  <c r="BS57" i="71"/>
  <c r="CQ57" i="71"/>
  <c r="AO6" i="71"/>
  <c r="CQ45" i="71" l="1"/>
  <c r="CS45" i="71" s="1"/>
  <c r="CQ38" i="71"/>
  <c r="CS38" i="71" s="1"/>
  <c r="CQ27" i="71"/>
  <c r="CS27" i="71" s="1"/>
  <c r="CQ21" i="71"/>
  <c r="CS21" i="71" s="1"/>
  <c r="CQ20" i="71"/>
  <c r="CS20" i="71" s="1"/>
  <c r="CQ52" i="71"/>
  <c r="CS52" i="71" s="1"/>
  <c r="CQ22" i="71"/>
  <c r="CS22" i="71" s="1"/>
  <c r="CQ51" i="71"/>
  <c r="CS51" i="71" s="1"/>
  <c r="CQ43" i="71"/>
  <c r="CS43" i="71" s="1"/>
  <c r="CU27" i="71"/>
  <c r="CU7" i="71"/>
  <c r="CU53" i="71"/>
  <c r="CU16" i="71"/>
  <c r="CU34" i="71"/>
  <c r="CU20" i="71"/>
  <c r="CU29" i="71"/>
  <c r="CU12" i="71"/>
  <c r="CU39" i="71"/>
  <c r="CU22" i="71"/>
  <c r="CU33" i="71"/>
  <c r="CU15" i="71"/>
  <c r="CU43" i="71"/>
  <c r="CU46" i="71"/>
  <c r="CU41" i="71"/>
  <c r="CU26" i="71"/>
  <c r="CU36" i="71"/>
  <c r="CU18" i="71"/>
  <c r="CU28" i="71"/>
  <c r="CU11" i="71"/>
  <c r="CU37" i="71"/>
  <c r="CU45" i="71"/>
  <c r="CU38" i="71"/>
  <c r="CU21" i="71"/>
  <c r="CU54" i="71"/>
  <c r="CU51" i="71"/>
  <c r="CU30" i="71"/>
  <c r="CU14" i="71"/>
  <c r="CU52" i="71"/>
  <c r="CU40" i="71"/>
  <c r="CU25" i="71"/>
  <c r="CQ7" i="71"/>
  <c r="CQ6" i="71"/>
  <c r="BO6" i="71"/>
  <c r="CC57" i="71"/>
  <c r="CC6" i="71"/>
  <c r="CU6" i="71"/>
  <c r="BO57" i="71"/>
  <c r="BC57" i="71"/>
  <c r="CU57" i="71"/>
  <c r="BC7" i="71"/>
  <c r="BC6" i="71"/>
  <c r="BG7" i="71" l="1"/>
  <c r="BK7" i="71" s="1"/>
  <c r="BQ7" i="71"/>
  <c r="BU7" i="71" s="1"/>
  <c r="BY7" i="71" s="1"/>
  <c r="CE7" i="71" s="1"/>
  <c r="CI7" i="71" s="1"/>
  <c r="CM7" i="71" s="1"/>
  <c r="CS7" i="71"/>
  <c r="CS57" i="71"/>
  <c r="BQ57" i="71"/>
  <c r="BU57" i="71" s="1"/>
  <c r="BY57" i="71" s="1"/>
  <c r="BG57" i="71"/>
  <c r="BK57" i="71" s="1"/>
  <c r="CS6" i="71"/>
  <c r="BG6" i="71"/>
  <c r="BK6" i="71" s="1"/>
  <c r="BQ6" i="71"/>
  <c r="BU6" i="71" s="1"/>
  <c r="BY6" i="71" s="1"/>
  <c r="CE6" i="71" s="1"/>
  <c r="CI6" i="71" s="1"/>
  <c r="CM6" i="71" s="1"/>
  <c r="CE57" i="71" l="1"/>
  <c r="AK6" i="71"/>
  <c r="AP6" i="71" s="1"/>
  <c r="AF6" i="71"/>
  <c r="AB6" i="71"/>
  <c r="AZ76" i="77"/>
  <c r="AL76" i="77"/>
  <c r="L76" i="77"/>
  <c r="Z76" i="77" s="1"/>
  <c r="AD76" i="77" s="1"/>
  <c r="AZ75" i="77"/>
  <c r="AL75" i="77"/>
  <c r="L75" i="77"/>
  <c r="Z75" i="77" s="1"/>
  <c r="AD75" i="77" s="1"/>
  <c r="AZ74" i="77"/>
  <c r="AL74" i="77"/>
  <c r="L74" i="77"/>
  <c r="Z74" i="77" s="1"/>
  <c r="AD74" i="77" s="1"/>
  <c r="AZ73" i="77"/>
  <c r="AL73" i="77"/>
  <c r="L73" i="77"/>
  <c r="Z73" i="77" s="1"/>
  <c r="AD73" i="77" s="1"/>
  <c r="AZ72" i="77"/>
  <c r="AL72" i="77"/>
  <c r="L72" i="77"/>
  <c r="Z72" i="77" s="1"/>
  <c r="AD72" i="77" s="1"/>
  <c r="AI71" i="77"/>
  <c r="AZ70" i="77"/>
  <c r="AL70" i="77"/>
  <c r="L70" i="77"/>
  <c r="Z70" i="77" s="1"/>
  <c r="AD70" i="77" s="1"/>
  <c r="AZ69" i="77"/>
  <c r="AL69" i="77"/>
  <c r="L69" i="77"/>
  <c r="Z69" i="77" s="1"/>
  <c r="AD69" i="77" s="1"/>
  <c r="AZ68" i="77"/>
  <c r="AL68" i="77"/>
  <c r="L68" i="77"/>
  <c r="Z68" i="77" s="1"/>
  <c r="AD68" i="77" s="1"/>
  <c r="AZ67" i="77"/>
  <c r="AL67" i="77"/>
  <c r="L67" i="77"/>
  <c r="Z67" i="77" s="1"/>
  <c r="AD67" i="77" s="1"/>
  <c r="AZ66" i="77"/>
  <c r="AL66" i="77"/>
  <c r="L66" i="77"/>
  <c r="Z66" i="77" s="1"/>
  <c r="AD66" i="77" s="1"/>
  <c r="AZ65" i="77"/>
  <c r="AL65" i="77"/>
  <c r="L65" i="77"/>
  <c r="Z65" i="77" s="1"/>
  <c r="AD65" i="77" s="1"/>
  <c r="AZ64" i="77"/>
  <c r="AL64" i="77"/>
  <c r="L64" i="77"/>
  <c r="Z64" i="77" s="1"/>
  <c r="AD64" i="77" s="1"/>
  <c r="AZ63" i="77"/>
  <c r="AL63" i="77"/>
  <c r="L63" i="77"/>
  <c r="Z63" i="77" s="1"/>
  <c r="AD63" i="77" s="1"/>
  <c r="AZ61" i="77"/>
  <c r="AL61" i="77"/>
  <c r="L61" i="77"/>
  <c r="AZ60" i="77"/>
  <c r="AL60" i="77"/>
  <c r="L60" i="77"/>
  <c r="Z60" i="77" s="1"/>
  <c r="AD60" i="77" s="1"/>
  <c r="AZ58" i="77"/>
  <c r="AL58" i="77"/>
  <c r="L58" i="77"/>
  <c r="Z58" i="77" s="1"/>
  <c r="AD58" i="77" s="1"/>
  <c r="AZ57" i="77"/>
  <c r="AL57" i="77"/>
  <c r="L57" i="77"/>
  <c r="Z57" i="77" s="1"/>
  <c r="AD57" i="77" s="1"/>
  <c r="AZ56" i="77"/>
  <c r="AL56" i="77"/>
  <c r="L56" i="77"/>
  <c r="Z56" i="77" s="1"/>
  <c r="AD56" i="77" s="1"/>
  <c r="AZ55" i="77"/>
  <c r="AL55" i="77"/>
  <c r="L55" i="77"/>
  <c r="Z55" i="77" s="1"/>
  <c r="AD55" i="77" s="1"/>
  <c r="AZ54" i="77"/>
  <c r="AL54" i="77"/>
  <c r="L54" i="77"/>
  <c r="Z54" i="77" s="1"/>
  <c r="AD54" i="77" s="1"/>
  <c r="AI53" i="77"/>
  <c r="AZ52" i="77"/>
  <c r="AL52" i="77"/>
  <c r="L52" i="77"/>
  <c r="Z52" i="77" s="1"/>
  <c r="AD52" i="77" s="1"/>
  <c r="AZ51" i="77"/>
  <c r="AL51" i="77"/>
  <c r="L51" i="77"/>
  <c r="Z51" i="77" s="1"/>
  <c r="AD51" i="77" s="1"/>
  <c r="AZ50" i="77"/>
  <c r="AL50" i="77"/>
  <c r="L50" i="77"/>
  <c r="Z50" i="77" s="1"/>
  <c r="AD50" i="77" s="1"/>
  <c r="AZ49" i="77"/>
  <c r="AL49" i="77"/>
  <c r="L49" i="77"/>
  <c r="Z49" i="77" s="1"/>
  <c r="AD49" i="77" s="1"/>
  <c r="AZ48" i="77"/>
  <c r="AL48" i="77"/>
  <c r="L48" i="77"/>
  <c r="Z48" i="77" s="1"/>
  <c r="AD48" i="77" s="1"/>
  <c r="AZ47" i="77"/>
  <c r="AL47" i="77"/>
  <c r="L47" i="77"/>
  <c r="Z47" i="77" s="1"/>
  <c r="AD47" i="77" s="1"/>
  <c r="AZ46" i="77"/>
  <c r="AL46" i="77"/>
  <c r="L46" i="77"/>
  <c r="Z46" i="77" s="1"/>
  <c r="AD46" i="77" s="1"/>
  <c r="AZ45" i="77"/>
  <c r="AL45" i="77"/>
  <c r="L45" i="77"/>
  <c r="Z45" i="77" s="1"/>
  <c r="AD45" i="77" s="1"/>
  <c r="AZ43" i="77"/>
  <c r="AL43" i="77"/>
  <c r="L43" i="77"/>
  <c r="AI36" i="77"/>
  <c r="AZ35" i="77"/>
  <c r="AL35" i="77"/>
  <c r="L35" i="77"/>
  <c r="Z35" i="77" s="1"/>
  <c r="AD35" i="77" s="1"/>
  <c r="AZ34" i="77"/>
  <c r="AL34" i="77"/>
  <c r="L34" i="77"/>
  <c r="Z34" i="77" s="1"/>
  <c r="AD34" i="77" s="1"/>
  <c r="AZ33" i="77"/>
  <c r="AL33" i="77"/>
  <c r="L33" i="77"/>
  <c r="AI32" i="77"/>
  <c r="AZ31" i="77"/>
  <c r="AL31" i="77"/>
  <c r="L31" i="77"/>
  <c r="Z31" i="77" s="1"/>
  <c r="AD31" i="77" s="1"/>
  <c r="AZ30" i="77"/>
  <c r="AL30" i="77"/>
  <c r="L30" i="77"/>
  <c r="Z30" i="77" s="1"/>
  <c r="AD30" i="77" s="1"/>
  <c r="AZ29" i="77"/>
  <c r="AL29" i="77"/>
  <c r="L29" i="77"/>
  <c r="Z29" i="77" s="1"/>
  <c r="AD29" i="77" s="1"/>
  <c r="AZ28" i="77"/>
  <c r="AL28" i="77"/>
  <c r="L28" i="77"/>
  <c r="Z28" i="77" s="1"/>
  <c r="AD28" i="77" s="1"/>
  <c r="AZ27" i="77"/>
  <c r="AL27" i="77"/>
  <c r="L27" i="77"/>
  <c r="AI26" i="77"/>
  <c r="AZ25" i="77"/>
  <c r="AL25" i="77"/>
  <c r="L25" i="77"/>
  <c r="Z25" i="77" s="1"/>
  <c r="AD25" i="77" s="1"/>
  <c r="AZ24" i="77"/>
  <c r="AL24" i="77"/>
  <c r="L24" i="77"/>
  <c r="Z24" i="77" s="1"/>
  <c r="AD24" i="77" s="1"/>
  <c r="AZ23" i="77"/>
  <c r="AL23" i="77"/>
  <c r="L23" i="77"/>
  <c r="Z23" i="77" s="1"/>
  <c r="AD23" i="77" s="1"/>
  <c r="AZ22" i="77"/>
  <c r="AL22" i="77"/>
  <c r="L22" i="77"/>
  <c r="AZ20" i="77"/>
  <c r="AL20" i="77"/>
  <c r="L20" i="77"/>
  <c r="Z20" i="77" s="1"/>
  <c r="AD20" i="77" s="1"/>
  <c r="AZ19" i="77"/>
  <c r="AL19" i="77"/>
  <c r="L19" i="77"/>
  <c r="AZ15" i="77"/>
  <c r="AL15" i="77"/>
  <c r="L15" i="77"/>
  <c r="Z15" i="77" s="1"/>
  <c r="AD15" i="77" s="1"/>
  <c r="AZ14" i="77"/>
  <c r="AL14" i="77"/>
  <c r="L14" i="77"/>
  <c r="Z14" i="77" s="1"/>
  <c r="AD14" i="77" s="1"/>
  <c r="AI13" i="77"/>
  <c r="AZ12" i="77"/>
  <c r="AL12" i="77"/>
  <c r="L12" i="77"/>
  <c r="Z12" i="77" s="1"/>
  <c r="AD12" i="77" s="1"/>
  <c r="AZ11" i="77"/>
  <c r="AL11" i="77"/>
  <c r="L11" i="77"/>
  <c r="Z11" i="77" s="1"/>
  <c r="AD11" i="77" s="1"/>
  <c r="AZ10" i="77"/>
  <c r="AL10" i="77"/>
  <c r="L10" i="77"/>
  <c r="AZ9" i="77"/>
  <c r="AL9" i="77"/>
  <c r="L9" i="77"/>
  <c r="Z9" i="77" s="1"/>
  <c r="AD9" i="77" s="1"/>
  <c r="AZ8" i="77"/>
  <c r="AL8" i="77"/>
  <c r="L8" i="77"/>
  <c r="Z8" i="77" s="1"/>
  <c r="AD8" i="77" s="1"/>
  <c r="AI7" i="77"/>
  <c r="AZ6" i="77"/>
  <c r="AL6" i="77"/>
  <c r="L6" i="77"/>
  <c r="Z6" i="77" s="1"/>
  <c r="AD6" i="77" s="1"/>
  <c r="AZ5" i="77"/>
  <c r="AL5" i="77"/>
  <c r="L5" i="77"/>
  <c r="Z5" i="77" s="1"/>
  <c r="AD5" i="77" s="1"/>
  <c r="BA4" i="77"/>
  <c r="BA7" i="77" s="1"/>
  <c r="AZ4" i="77"/>
  <c r="AM4" i="77"/>
  <c r="AL4" i="77"/>
  <c r="X4" i="77"/>
  <c r="X7" i="77" s="1"/>
  <c r="M4" i="77"/>
  <c r="M7" i="77" s="1"/>
  <c r="L4" i="77"/>
  <c r="I4" i="77"/>
  <c r="I7" i="77" s="1"/>
  <c r="H4" i="77"/>
  <c r="H7" i="77" s="1"/>
  <c r="AZ7" i="77" l="1"/>
  <c r="AL21" i="77"/>
  <c r="AZ36" i="77"/>
  <c r="AL71" i="77"/>
  <c r="AZ21" i="77"/>
  <c r="CI57" i="71"/>
  <c r="CM57" i="71" s="1"/>
  <c r="AZ32" i="77"/>
  <c r="L7" i="77"/>
  <c r="AL53" i="77"/>
  <c r="AL36" i="77"/>
  <c r="AL7" i="77"/>
  <c r="Z61" i="77"/>
  <c r="L71" i="77"/>
  <c r="Z43" i="77"/>
  <c r="L53" i="77"/>
  <c r="AM7" i="77"/>
  <c r="BC4" i="77"/>
  <c r="Z33" i="77"/>
  <c r="L36" i="77"/>
  <c r="AZ71" i="77"/>
  <c r="AZ53" i="77"/>
  <c r="Z19" i="77"/>
  <c r="L21" i="77"/>
  <c r="Z10" i="77"/>
  <c r="L13" i="77"/>
  <c r="Z22" i="77"/>
  <c r="L26" i="77"/>
  <c r="AL13" i="77"/>
  <c r="AL26" i="77"/>
  <c r="AZ13" i="77"/>
  <c r="AZ26" i="77"/>
  <c r="Z27" i="77"/>
  <c r="L32" i="77"/>
  <c r="AL32" i="77"/>
  <c r="BB61" i="77"/>
  <c r="BB75" i="77"/>
  <c r="P11" i="77"/>
  <c r="T11" i="77" s="1"/>
  <c r="P15" i="77"/>
  <c r="T15" i="77" s="1"/>
  <c r="P8" i="77"/>
  <c r="T8" i="77" s="1"/>
  <c r="P5" i="77"/>
  <c r="T5" i="77" s="1"/>
  <c r="P9" i="77"/>
  <c r="T9" i="77" s="1"/>
  <c r="P12" i="77"/>
  <c r="T12" i="77" s="1"/>
  <c r="P6" i="77"/>
  <c r="T6" i="77" s="1"/>
  <c r="P10" i="77"/>
  <c r="P14" i="77"/>
  <c r="T14" i="77" s="1"/>
  <c r="BB58" i="77"/>
  <c r="P28" i="77"/>
  <c r="T28" i="77" s="1"/>
  <c r="P34" i="77"/>
  <c r="T34" i="77" s="1"/>
  <c r="P47" i="77"/>
  <c r="T47" i="77" s="1"/>
  <c r="P50" i="77"/>
  <c r="T50" i="77" s="1"/>
  <c r="P60" i="77"/>
  <c r="T60" i="77" s="1"/>
  <c r="P64" i="77"/>
  <c r="T64" i="77" s="1"/>
  <c r="P70" i="77"/>
  <c r="T70" i="77" s="1"/>
  <c r="P73" i="77"/>
  <c r="T73" i="77" s="1"/>
  <c r="P76" i="77"/>
  <c r="T76" i="77" s="1"/>
  <c r="P19" i="77"/>
  <c r="P35" i="77"/>
  <c r="T35" i="77" s="1"/>
  <c r="P45" i="77"/>
  <c r="T45" i="77" s="1"/>
  <c r="P48" i="77"/>
  <c r="T48" i="77" s="1"/>
  <c r="P51" i="77"/>
  <c r="T51" i="77" s="1"/>
  <c r="P54" i="77"/>
  <c r="T54" i="77" s="1"/>
  <c r="P68" i="77"/>
  <c r="T68" i="77" s="1"/>
  <c r="P74" i="77"/>
  <c r="T74" i="77" s="1"/>
  <c r="P20" i="77"/>
  <c r="T20" i="77" s="1"/>
  <c r="P24" i="77"/>
  <c r="T24" i="77" s="1"/>
  <c r="P27" i="77"/>
  <c r="P30" i="77"/>
  <c r="T30" i="77" s="1"/>
  <c r="BB31" i="77"/>
  <c r="P46" i="77"/>
  <c r="T46" i="77" s="1"/>
  <c r="P49" i="77"/>
  <c r="T49" i="77" s="1"/>
  <c r="P58" i="77"/>
  <c r="T58" i="77" s="1"/>
  <c r="P66" i="77"/>
  <c r="T66" i="77" s="1"/>
  <c r="BB67" i="77"/>
  <c r="P72" i="77"/>
  <c r="T72" i="77" s="1"/>
  <c r="BB29" i="77"/>
  <c r="BB55" i="77"/>
  <c r="BB22" i="77"/>
  <c r="AH31" i="77"/>
  <c r="AN31" i="77" s="1"/>
  <c r="AR31" i="77" s="1"/>
  <c r="AV31" i="77" s="1"/>
  <c r="BD31" i="77" s="1"/>
  <c r="BB56" i="77"/>
  <c r="AH15" i="77"/>
  <c r="AN15" i="77" s="1"/>
  <c r="AR15" i="77" s="1"/>
  <c r="AV15" i="77" s="1"/>
  <c r="BD15" i="77" s="1"/>
  <c r="BB19" i="77"/>
  <c r="BB76" i="77"/>
  <c r="BB50" i="77"/>
  <c r="BB72" i="77"/>
  <c r="BB25" i="77"/>
  <c r="BB47" i="77"/>
  <c r="BB51" i="77"/>
  <c r="BB6" i="77"/>
  <c r="AH66" i="77"/>
  <c r="AN66" i="77" s="1"/>
  <c r="AR66" i="77" s="1"/>
  <c r="AV66" i="77" s="1"/>
  <c r="BD66" i="77" s="1"/>
  <c r="BB9" i="77"/>
  <c r="AH12" i="77"/>
  <c r="AN12" i="77" s="1"/>
  <c r="AR12" i="77" s="1"/>
  <c r="AV12" i="77" s="1"/>
  <c r="BD12" i="77" s="1"/>
  <c r="AH58" i="77"/>
  <c r="AN58" i="77" s="1"/>
  <c r="AR58" i="77" s="1"/>
  <c r="AV58" i="77" s="1"/>
  <c r="BD58" i="77" s="1"/>
  <c r="AH68" i="77"/>
  <c r="AN68" i="77" s="1"/>
  <c r="AR68" i="77" s="1"/>
  <c r="AV68" i="77" s="1"/>
  <c r="BD68" i="77" s="1"/>
  <c r="BB10" i="77"/>
  <c r="AH11" i="77"/>
  <c r="AN11" i="77" s="1"/>
  <c r="AR11" i="77" s="1"/>
  <c r="AV11" i="77" s="1"/>
  <c r="BD11" i="77" s="1"/>
  <c r="AH67" i="77"/>
  <c r="AN67" i="77" s="1"/>
  <c r="AR67" i="77" s="1"/>
  <c r="AV67" i="77" s="1"/>
  <c r="BD67" i="77" s="1"/>
  <c r="AH64" i="77"/>
  <c r="AN64" i="77" s="1"/>
  <c r="AR64" i="77" s="1"/>
  <c r="AV64" i="77" s="1"/>
  <c r="BD64" i="77" s="1"/>
  <c r="AH30" i="77"/>
  <c r="AN30" i="77" s="1"/>
  <c r="AR30" i="77" s="1"/>
  <c r="AV30" i="77" s="1"/>
  <c r="BD30" i="77" s="1"/>
  <c r="AH6" i="77"/>
  <c r="AN6" i="77" s="1"/>
  <c r="AR6" i="77" s="1"/>
  <c r="AV6" i="77" s="1"/>
  <c r="BD6" i="77" s="1"/>
  <c r="BB15" i="77"/>
  <c r="BB43" i="77"/>
  <c r="BB54" i="77"/>
  <c r="AH55" i="77"/>
  <c r="AN55" i="77" s="1"/>
  <c r="AR55" i="77" s="1"/>
  <c r="AV55" i="77" s="1"/>
  <c r="BD55" i="77" s="1"/>
  <c r="BB57" i="77"/>
  <c r="BB20" i="77"/>
  <c r="AH24" i="77"/>
  <c r="AN24" i="77" s="1"/>
  <c r="AR24" i="77" s="1"/>
  <c r="AV24" i="77" s="1"/>
  <c r="BD24" i="77" s="1"/>
  <c r="P43" i="77"/>
  <c r="BB70" i="77"/>
  <c r="AH14" i="77"/>
  <c r="AN14" i="77" s="1"/>
  <c r="AR14" i="77" s="1"/>
  <c r="AV14" i="77" s="1"/>
  <c r="BD14" i="77" s="1"/>
  <c r="AH28" i="77"/>
  <c r="AN28" i="77" s="1"/>
  <c r="AR28" i="77" s="1"/>
  <c r="AV28" i="77" s="1"/>
  <c r="BD28" i="77" s="1"/>
  <c r="AH45" i="77"/>
  <c r="AN45" i="77" s="1"/>
  <c r="AR45" i="77" s="1"/>
  <c r="AV45" i="77" s="1"/>
  <c r="BD45" i="77" s="1"/>
  <c r="BB60" i="77"/>
  <c r="BB5" i="77"/>
  <c r="BB14" i="77"/>
  <c r="BB23" i="77"/>
  <c r="BB24" i="77"/>
  <c r="BB33" i="77"/>
  <c r="BB45" i="77"/>
  <c r="BB49" i="77"/>
  <c r="BB64" i="77"/>
  <c r="AH5" i="77"/>
  <c r="AN5" i="77" s="1"/>
  <c r="AR5" i="77" s="1"/>
  <c r="AV5" i="77" s="1"/>
  <c r="BD5" i="77" s="1"/>
  <c r="BB27" i="77"/>
  <c r="P31" i="77"/>
  <c r="T31" i="77" s="1"/>
  <c r="AH47" i="77"/>
  <c r="AN47" i="77" s="1"/>
  <c r="AR47" i="77" s="1"/>
  <c r="AV47" i="77" s="1"/>
  <c r="BD47" i="77" s="1"/>
  <c r="P67" i="77"/>
  <c r="T67" i="77" s="1"/>
  <c r="AH20" i="77"/>
  <c r="AN20" i="77" s="1"/>
  <c r="AR20" i="77" s="1"/>
  <c r="AV20" i="77" s="1"/>
  <c r="BD20" i="77" s="1"/>
  <c r="AH50" i="77"/>
  <c r="AN50" i="77" s="1"/>
  <c r="AR50" i="77" s="1"/>
  <c r="AV50" i="77" s="1"/>
  <c r="BD50" i="77" s="1"/>
  <c r="AH54" i="77"/>
  <c r="AN54" i="77" s="1"/>
  <c r="AR54" i="77" s="1"/>
  <c r="AV54" i="77" s="1"/>
  <c r="BD54" i="77" s="1"/>
  <c r="AH69" i="77"/>
  <c r="AN69" i="77" s="1"/>
  <c r="AR69" i="77" s="1"/>
  <c r="AV69" i="77" s="1"/>
  <c r="BD69" i="77" s="1"/>
  <c r="AH70" i="77"/>
  <c r="AN70" i="77" s="1"/>
  <c r="AR70" i="77" s="1"/>
  <c r="AV70" i="77" s="1"/>
  <c r="BD70" i="77" s="1"/>
  <c r="BB30" i="77"/>
  <c r="BB52" i="77"/>
  <c r="AH63" i="77"/>
  <c r="AN63" i="77" s="1"/>
  <c r="AR63" i="77" s="1"/>
  <c r="AV63" i="77" s="1"/>
  <c r="BD63" i="77" s="1"/>
  <c r="BB69" i="77"/>
  <c r="BB73" i="77"/>
  <c r="P4" i="77"/>
  <c r="AH8" i="77"/>
  <c r="AN8" i="77" s="1"/>
  <c r="AR8" i="77" s="1"/>
  <c r="AV8" i="77" s="1"/>
  <c r="BD8" i="77" s="1"/>
  <c r="AH23" i="77"/>
  <c r="AN23" i="77" s="1"/>
  <c r="AR23" i="77" s="1"/>
  <c r="AV23" i="77" s="1"/>
  <c r="BD23" i="77" s="1"/>
  <c r="P33" i="77"/>
  <c r="BB35" i="77"/>
  <c r="BB65" i="77"/>
  <c r="BB66" i="77"/>
  <c r="P69" i="77"/>
  <c r="T69" i="77" s="1"/>
  <c r="AG6" i="71"/>
  <c r="AH74" i="77"/>
  <c r="AN74" i="77" s="1"/>
  <c r="AR74" i="77" s="1"/>
  <c r="AV74" i="77" s="1"/>
  <c r="BD74" i="77" s="1"/>
  <c r="BB74" i="77"/>
  <c r="BB68" i="77"/>
  <c r="P23" i="77"/>
  <c r="T23" i="77" s="1"/>
  <c r="P22" i="77"/>
  <c r="AH34" i="77"/>
  <c r="AN34" i="77" s="1"/>
  <c r="AR34" i="77" s="1"/>
  <c r="AV34" i="77" s="1"/>
  <c r="BD34" i="77" s="1"/>
  <c r="BB4" i="77"/>
  <c r="AH9" i="77"/>
  <c r="AN9" i="77" s="1"/>
  <c r="AR9" i="77" s="1"/>
  <c r="AV9" i="77" s="1"/>
  <c r="BD9" i="77" s="1"/>
  <c r="P55" i="77"/>
  <c r="T55" i="77" s="1"/>
  <c r="P65" i="77"/>
  <c r="T65" i="77" s="1"/>
  <c r="AH65" i="77"/>
  <c r="AN65" i="77" s="1"/>
  <c r="AR65" i="77" s="1"/>
  <c r="AV65" i="77" s="1"/>
  <c r="BD65" i="77" s="1"/>
  <c r="BB34" i="77"/>
  <c r="AH35" i="77"/>
  <c r="AN35" i="77" s="1"/>
  <c r="AR35" i="77" s="1"/>
  <c r="AV35" i="77" s="1"/>
  <c r="BD35" i="77" s="1"/>
  <c r="BB11" i="77"/>
  <c r="P29" i="77"/>
  <c r="T29" i="77" s="1"/>
  <c r="AH29" i="77"/>
  <c r="AN29" i="77" s="1"/>
  <c r="AR29" i="77" s="1"/>
  <c r="AV29" i="77" s="1"/>
  <c r="BD29" i="77" s="1"/>
  <c r="P56" i="77"/>
  <c r="T56" i="77" s="1"/>
  <c r="AH56" i="77"/>
  <c r="AN56" i="77" s="1"/>
  <c r="AR56" i="77" s="1"/>
  <c r="AV56" i="77" s="1"/>
  <c r="BD56" i="77" s="1"/>
  <c r="P61" i="77"/>
  <c r="AH57" i="77"/>
  <c r="AN57" i="77" s="1"/>
  <c r="AR57" i="77" s="1"/>
  <c r="AV57" i="77" s="1"/>
  <c r="BD57" i="77" s="1"/>
  <c r="P57" i="77"/>
  <c r="T57" i="77" s="1"/>
  <c r="P63" i="77"/>
  <c r="T63" i="77" s="1"/>
  <c r="AH25" i="77"/>
  <c r="AN25" i="77" s="1"/>
  <c r="AR25" i="77" s="1"/>
  <c r="AV25" i="77" s="1"/>
  <c r="BD25" i="77" s="1"/>
  <c r="P25" i="77"/>
  <c r="T25" i="77" s="1"/>
  <c r="Z4" i="77"/>
  <c r="Z7" i="77" s="1"/>
  <c r="BB8" i="77"/>
  <c r="AH51" i="77"/>
  <c r="AN51" i="77" s="1"/>
  <c r="AR51" i="77" s="1"/>
  <c r="AV51" i="77" s="1"/>
  <c r="BD51" i="77" s="1"/>
  <c r="P52" i="77"/>
  <c r="T52" i="77" s="1"/>
  <c r="AH52" i="77"/>
  <c r="AN52" i="77" s="1"/>
  <c r="AR52" i="77" s="1"/>
  <c r="AV52" i="77" s="1"/>
  <c r="BD52" i="77" s="1"/>
  <c r="BB63" i="77"/>
  <c r="BB46" i="77"/>
  <c r="BB28" i="77"/>
  <c r="AH46" i="77"/>
  <c r="AN46" i="77" s="1"/>
  <c r="AR46" i="77" s="1"/>
  <c r="AV46" i="77" s="1"/>
  <c r="BD46" i="77" s="1"/>
  <c r="BB12" i="77"/>
  <c r="AH49" i="77"/>
  <c r="AN49" i="77" s="1"/>
  <c r="AR49" i="77" s="1"/>
  <c r="AV49" i="77" s="1"/>
  <c r="BD49" i="77" s="1"/>
  <c r="AH73" i="77"/>
  <c r="AN73" i="77" s="1"/>
  <c r="AR73" i="77" s="1"/>
  <c r="AV73" i="77" s="1"/>
  <c r="BD73" i="77" s="1"/>
  <c r="P75" i="77"/>
  <c r="T75" i="77" s="1"/>
  <c r="AH75" i="77"/>
  <c r="AN75" i="77" s="1"/>
  <c r="AR75" i="77" s="1"/>
  <c r="AV75" i="77" s="1"/>
  <c r="BD75" i="77" s="1"/>
  <c r="AH48" i="77"/>
  <c r="AN48" i="77" s="1"/>
  <c r="AR48" i="77" s="1"/>
  <c r="AV48" i="77" s="1"/>
  <c r="BD48" i="77" s="1"/>
  <c r="BB48" i="77"/>
  <c r="AH76" i="77"/>
  <c r="AN76" i="77" s="1"/>
  <c r="AR76" i="77" s="1"/>
  <c r="AV76" i="77" s="1"/>
  <c r="BD76" i="77" s="1"/>
  <c r="AH60" i="77"/>
  <c r="AN60" i="77" s="1"/>
  <c r="AR60" i="77" s="1"/>
  <c r="AV60" i="77" s="1"/>
  <c r="BD60" i="77" s="1"/>
  <c r="AH72" i="77"/>
  <c r="AN72" i="77" s="1"/>
  <c r="AR72" i="77" s="1"/>
  <c r="AV72" i="77" s="1"/>
  <c r="BD72" i="77" s="1"/>
  <c r="BB36" i="77" l="1"/>
  <c r="BB7" i="77"/>
  <c r="T43" i="77"/>
  <c r="T53" i="77" s="1"/>
  <c r="P53" i="77"/>
  <c r="BB71" i="77"/>
  <c r="BB13" i="77"/>
  <c r="AD19" i="77"/>
  <c r="AD21" i="77" s="1"/>
  <c r="Z21" i="77"/>
  <c r="BB21" i="77"/>
  <c r="T19" i="77"/>
  <c r="T21" i="77" s="1"/>
  <c r="P21" i="77"/>
  <c r="T10" i="77"/>
  <c r="T13" i="77" s="1"/>
  <c r="P13" i="77"/>
  <c r="AD27" i="77"/>
  <c r="AD32" i="77" s="1"/>
  <c r="Z32" i="77"/>
  <c r="T22" i="77"/>
  <c r="T26" i="77" s="1"/>
  <c r="P26" i="77"/>
  <c r="T27" i="77"/>
  <c r="T32" i="77" s="1"/>
  <c r="P32" i="77"/>
  <c r="AD33" i="77"/>
  <c r="AD36" i="77" s="1"/>
  <c r="Z36" i="77"/>
  <c r="T4" i="77"/>
  <c r="T7" i="77" s="1"/>
  <c r="P7" i="77"/>
  <c r="BB53" i="77"/>
  <c r="BB26" i="77"/>
  <c r="BC7" i="77"/>
  <c r="BE4" i="77"/>
  <c r="BE7" i="77" s="1"/>
  <c r="T33" i="77"/>
  <c r="T36" i="77" s="1"/>
  <c r="P36" i="77"/>
  <c r="T61" i="77"/>
  <c r="T71" i="77" s="1"/>
  <c r="P71" i="77"/>
  <c r="BB32" i="77"/>
  <c r="AD22" i="77"/>
  <c r="Z26" i="77"/>
  <c r="AD43" i="77"/>
  <c r="AD53" i="77" s="1"/>
  <c r="Z53" i="77"/>
  <c r="AD10" i="77"/>
  <c r="AD13" i="77" s="1"/>
  <c r="Z13" i="77"/>
  <c r="AD61" i="77"/>
  <c r="AD71" i="77" s="1"/>
  <c r="Z71" i="77"/>
  <c r="AD4" i="77"/>
  <c r="AD7" i="77" s="1"/>
  <c r="AD26" i="77" l="1"/>
  <c r="AH22" i="77"/>
  <c r="AH43" i="77"/>
  <c r="AH53" i="77" s="1"/>
  <c r="AH19" i="77"/>
  <c r="AH21" i="77" s="1"/>
  <c r="AH33" i="77"/>
  <c r="AH36" i="77" s="1"/>
  <c r="AH61" i="77"/>
  <c r="AH71" i="77" s="1"/>
  <c r="AH27" i="77"/>
  <c r="AH32" i="77" s="1"/>
  <c r="AH10" i="77"/>
  <c r="AH13" i="77" s="1"/>
  <c r="AN33" i="77"/>
  <c r="AN36" i="77" s="1"/>
  <c r="AH4" i="77"/>
  <c r="AH7" i="77" s="1"/>
  <c r="AN43" i="77" l="1"/>
  <c r="AN53" i="77" s="1"/>
  <c r="AN19" i="77"/>
  <c r="AN21" i="77" s="1"/>
  <c r="AN22" i="77"/>
  <c r="AH26" i="77"/>
  <c r="AN4" i="77"/>
  <c r="AN7" i="77" s="1"/>
  <c r="AN27" i="77"/>
  <c r="AN32" i="77" s="1"/>
  <c r="AN61" i="77"/>
  <c r="AN71" i="77" s="1"/>
  <c r="AR33" i="77"/>
  <c r="AR36" i="77" s="1"/>
  <c r="AR43" i="77"/>
  <c r="AR53" i="77" s="1"/>
  <c r="AN10" i="77"/>
  <c r="AN13" i="77" s="1"/>
  <c r="AR19" i="77" l="1"/>
  <c r="AV19" i="77" s="1"/>
  <c r="AV21" i="77" s="1"/>
  <c r="AR21" i="77"/>
  <c r="AR22" i="77"/>
  <c r="AN26" i="77"/>
  <c r="AR10" i="77"/>
  <c r="AR13" i="77" s="1"/>
  <c r="AR4" i="77"/>
  <c r="AR7" i="77" s="1"/>
  <c r="AR27" i="77"/>
  <c r="AR32" i="77" s="1"/>
  <c r="AV43" i="77"/>
  <c r="AV53" i="77" s="1"/>
  <c r="AR61" i="77"/>
  <c r="AR71" i="77" s="1"/>
  <c r="AV33" i="77"/>
  <c r="AV36" i="77" s="1"/>
  <c r="BD19" i="77" l="1"/>
  <c r="BD21" i="77" s="1"/>
  <c r="AR26" i="77"/>
  <c r="AV22" i="77"/>
  <c r="BD43" i="77"/>
  <c r="BD53" i="77" s="1"/>
  <c r="BD33" i="77"/>
  <c r="BD36" i="77" s="1"/>
  <c r="AV4" i="77"/>
  <c r="AV7" i="77" s="1"/>
  <c r="AV10" i="77"/>
  <c r="AV13" i="77" s="1"/>
  <c r="AV27" i="77"/>
  <c r="AV32" i="77" s="1"/>
  <c r="AV61" i="77"/>
  <c r="AV71" i="77" s="1"/>
  <c r="AV26" i="77" l="1"/>
  <c r="BD22" i="77"/>
  <c r="BD26" i="77" s="1"/>
  <c r="BD4" i="77"/>
  <c r="BD7" i="77" s="1"/>
  <c r="BD61" i="77"/>
  <c r="BD71" i="77" s="1"/>
  <c r="BD27" i="77"/>
  <c r="BD32" i="77" s="1"/>
  <c r="BD10" i="77"/>
  <c r="BD13" i="77" s="1"/>
  <c r="K9" i="45" l="1"/>
  <c r="K10" i="45"/>
  <c r="K11" i="45"/>
  <c r="K12" i="45"/>
  <c r="K13" i="45"/>
  <c r="K14" i="45"/>
  <c r="BC9" i="45"/>
  <c r="BC10" i="45"/>
  <c r="BC11" i="45"/>
  <c r="BE11" i="45" s="1"/>
  <c r="BC12" i="45"/>
  <c r="BE12" i="45" s="1"/>
  <c r="BC13" i="45"/>
  <c r="BE13" i="45" s="1"/>
  <c r="BC14" i="45"/>
  <c r="BC15" i="45"/>
  <c r="BC16" i="45"/>
  <c r="BC17" i="45"/>
  <c r="BC18" i="45"/>
  <c r="BC19" i="45"/>
  <c r="BC20" i="45"/>
  <c r="BC22" i="45"/>
  <c r="BC23" i="45"/>
  <c r="BC24" i="45"/>
  <c r="BC25" i="45"/>
  <c r="BC27" i="45"/>
  <c r="BE27" i="45" s="1"/>
  <c r="BC28" i="45"/>
  <c r="BC32" i="45"/>
  <c r="BC33" i="45"/>
  <c r="BC34" i="45"/>
  <c r="BC35" i="45"/>
  <c r="BE35" i="45" s="1"/>
  <c r="BC36" i="45"/>
  <c r="BC37" i="45"/>
  <c r="BC38" i="45"/>
  <c r="BC39" i="45"/>
  <c r="BC40" i="45"/>
  <c r="BC41" i="45"/>
  <c r="BE41" i="45" s="1"/>
  <c r="BC42" i="45"/>
  <c r="BE42" i="45" s="1"/>
  <c r="BC43" i="45"/>
  <c r="BC44" i="45"/>
  <c r="BC45" i="45"/>
  <c r="BC46" i="45"/>
  <c r="BC47" i="45"/>
  <c r="BE47" i="45" s="1"/>
  <c r="BC48" i="45"/>
  <c r="BC49" i="45"/>
  <c r="BC51" i="45"/>
  <c r="BC52" i="45"/>
  <c r="BC54" i="45"/>
  <c r="BE54" i="45" s="1"/>
  <c r="BC55" i="45"/>
  <c r="BE55" i="45" s="1"/>
  <c r="BC56" i="45"/>
  <c r="BC57" i="45"/>
  <c r="BC58" i="45"/>
  <c r="BC59" i="45"/>
  <c r="BC60" i="45"/>
  <c r="BE60" i="45" s="1"/>
  <c r="BC61" i="45"/>
  <c r="BC62" i="45"/>
  <c r="BC64" i="45"/>
  <c r="BC65" i="45"/>
  <c r="BC66" i="45"/>
  <c r="BC67" i="45"/>
  <c r="BE67" i="45" s="1"/>
  <c r="BC68" i="45"/>
  <c r="BE68" i="45" s="1"/>
  <c r="BC69" i="45"/>
  <c r="BC70" i="45"/>
  <c r="BE70" i="45" s="1"/>
  <c r="BC73" i="45"/>
  <c r="BC74" i="45"/>
  <c r="BC89" i="45"/>
  <c r="BC90" i="45"/>
  <c r="BC91" i="45"/>
  <c r="BC92" i="45"/>
  <c r="BC93" i="45"/>
  <c r="BC94" i="45"/>
  <c r="BC97" i="45"/>
  <c r="BE97" i="45" s="1"/>
  <c r="BC98" i="45"/>
  <c r="BE98" i="45" s="1"/>
  <c r="BC102" i="45"/>
  <c r="BC103" i="45"/>
  <c r="BE103" i="45" s="1"/>
  <c r="BC104" i="45"/>
  <c r="BC105" i="45"/>
  <c r="BC106" i="45"/>
  <c r="BC107" i="45"/>
  <c r="BC108" i="45"/>
  <c r="BC109" i="45"/>
  <c r="BC110" i="45"/>
  <c r="BC111" i="45"/>
  <c r="BE111" i="45" s="1"/>
  <c r="BC112" i="45"/>
  <c r="BE112" i="45" s="1"/>
  <c r="BC113" i="45"/>
  <c r="BE113" i="45" s="1"/>
  <c r="BC114" i="45"/>
  <c r="BC115" i="45"/>
  <c r="BE115" i="45" s="1"/>
  <c r="BC116" i="45"/>
  <c r="O9" i="45"/>
  <c r="O10" i="45"/>
  <c r="AC10" i="45" s="1"/>
  <c r="AG10" i="45" s="1"/>
  <c r="AK10" i="45" s="1"/>
  <c r="AQ10" i="45" s="1"/>
  <c r="AU10" i="45" s="1"/>
  <c r="AY10" i="45" s="1"/>
  <c r="BG10" i="45" s="1"/>
  <c r="O11" i="45"/>
  <c r="AC11" i="45" s="1"/>
  <c r="AG11" i="45" s="1"/>
  <c r="AK11" i="45" s="1"/>
  <c r="AQ11" i="45" s="1"/>
  <c r="AU11" i="45" s="1"/>
  <c r="AY11" i="45" s="1"/>
  <c r="BG11" i="45" s="1"/>
  <c r="O12" i="45"/>
  <c r="AC12" i="45" s="1"/>
  <c r="AG12" i="45" s="1"/>
  <c r="AK12" i="45" s="1"/>
  <c r="AQ12" i="45" s="1"/>
  <c r="AU12" i="45" s="1"/>
  <c r="AY12" i="45" s="1"/>
  <c r="BG12" i="45" s="1"/>
  <c r="O13" i="45"/>
  <c r="AC13" i="45" s="1"/>
  <c r="AG13" i="45" s="1"/>
  <c r="AK13" i="45" s="1"/>
  <c r="AQ13" i="45" s="1"/>
  <c r="AU13" i="45" s="1"/>
  <c r="AY13" i="45" s="1"/>
  <c r="BG13" i="45" s="1"/>
  <c r="O14" i="45"/>
  <c r="AC14" i="45" s="1"/>
  <c r="AG14" i="45" s="1"/>
  <c r="AK14" i="45" s="1"/>
  <c r="AQ14" i="45" s="1"/>
  <c r="AU14" i="45" s="1"/>
  <c r="AY14" i="45" s="1"/>
  <c r="BG14" i="45" s="1"/>
  <c r="O15" i="45"/>
  <c r="AC15" i="45" s="1"/>
  <c r="AG15" i="45" s="1"/>
  <c r="AK15" i="45" s="1"/>
  <c r="AQ15" i="45" s="1"/>
  <c r="AU15" i="45" s="1"/>
  <c r="AY15" i="45" s="1"/>
  <c r="BG15" i="45" s="1"/>
  <c r="O16" i="45"/>
  <c r="AC16" i="45" s="1"/>
  <c r="AG16" i="45" s="1"/>
  <c r="AK16" i="45" s="1"/>
  <c r="AQ16" i="45" s="1"/>
  <c r="AU16" i="45" s="1"/>
  <c r="AY16" i="45" s="1"/>
  <c r="BG16" i="45" s="1"/>
  <c r="O17" i="45"/>
  <c r="AC17" i="45" s="1"/>
  <c r="AG17" i="45" s="1"/>
  <c r="AK17" i="45" s="1"/>
  <c r="AQ17" i="45" s="1"/>
  <c r="AU17" i="45" s="1"/>
  <c r="AY17" i="45" s="1"/>
  <c r="BG17" i="45" s="1"/>
  <c r="O18" i="45"/>
  <c r="AC18" i="45" s="1"/>
  <c r="AG18" i="45" s="1"/>
  <c r="AK18" i="45" s="1"/>
  <c r="AQ18" i="45" s="1"/>
  <c r="AU18" i="45" s="1"/>
  <c r="AY18" i="45" s="1"/>
  <c r="BG18" i="45" s="1"/>
  <c r="O19" i="45"/>
  <c r="AC19" i="45" s="1"/>
  <c r="AG19" i="45" s="1"/>
  <c r="AK19" i="45" s="1"/>
  <c r="AQ19" i="45" s="1"/>
  <c r="AU19" i="45" s="1"/>
  <c r="AY19" i="45" s="1"/>
  <c r="BG19" i="45" s="1"/>
  <c r="O20" i="45"/>
  <c r="AC20" i="45" s="1"/>
  <c r="AG20" i="45" s="1"/>
  <c r="AK20" i="45" s="1"/>
  <c r="AQ20" i="45" s="1"/>
  <c r="AU20" i="45" s="1"/>
  <c r="AY20" i="45" s="1"/>
  <c r="BG20" i="45" s="1"/>
  <c r="O22" i="45"/>
  <c r="AC22" i="45" s="1"/>
  <c r="AG22" i="45" s="1"/>
  <c r="AK22" i="45" s="1"/>
  <c r="AQ22" i="45" s="1"/>
  <c r="AU22" i="45" s="1"/>
  <c r="AY22" i="45" s="1"/>
  <c r="BG22" i="45" s="1"/>
  <c r="O23" i="45"/>
  <c r="AC23" i="45" s="1"/>
  <c r="AG23" i="45" s="1"/>
  <c r="AK23" i="45" s="1"/>
  <c r="AQ23" i="45" s="1"/>
  <c r="AU23" i="45" s="1"/>
  <c r="AY23" i="45" s="1"/>
  <c r="BG23" i="45" s="1"/>
  <c r="O24" i="45"/>
  <c r="O25" i="45"/>
  <c r="AC25" i="45" s="1"/>
  <c r="AG25" i="45" s="1"/>
  <c r="AK25" i="45" s="1"/>
  <c r="AQ25" i="45" s="1"/>
  <c r="AU25" i="45" s="1"/>
  <c r="AY25" i="45" s="1"/>
  <c r="BG25" i="45" s="1"/>
  <c r="O27" i="45"/>
  <c r="AC27" i="45" s="1"/>
  <c r="AG27" i="45" s="1"/>
  <c r="AK27" i="45" s="1"/>
  <c r="AQ27" i="45" s="1"/>
  <c r="AU27" i="45" s="1"/>
  <c r="AY27" i="45" s="1"/>
  <c r="BG27" i="45" s="1"/>
  <c r="O28" i="45"/>
  <c r="AC28" i="45" s="1"/>
  <c r="AG28" i="45" s="1"/>
  <c r="AK28" i="45" s="1"/>
  <c r="AQ28" i="45" s="1"/>
  <c r="AU28" i="45" s="1"/>
  <c r="AY28" i="45" s="1"/>
  <c r="BG28" i="45" s="1"/>
  <c r="O32" i="45"/>
  <c r="AC32" i="45" s="1"/>
  <c r="AG32" i="45" s="1"/>
  <c r="AK32" i="45" s="1"/>
  <c r="AQ32" i="45" s="1"/>
  <c r="AU32" i="45" s="1"/>
  <c r="AY32" i="45" s="1"/>
  <c r="BG32" i="45" s="1"/>
  <c r="O33" i="45"/>
  <c r="AC33" i="45" s="1"/>
  <c r="AG33" i="45" s="1"/>
  <c r="AK33" i="45" s="1"/>
  <c r="AQ33" i="45" s="1"/>
  <c r="AU33" i="45" s="1"/>
  <c r="AY33" i="45" s="1"/>
  <c r="BG33" i="45" s="1"/>
  <c r="O34" i="45"/>
  <c r="AC34" i="45" s="1"/>
  <c r="AG34" i="45" s="1"/>
  <c r="AK34" i="45" s="1"/>
  <c r="AQ34" i="45" s="1"/>
  <c r="AU34" i="45" s="1"/>
  <c r="AY34" i="45" s="1"/>
  <c r="BG34" i="45" s="1"/>
  <c r="O35" i="45"/>
  <c r="AC35" i="45" s="1"/>
  <c r="AG35" i="45" s="1"/>
  <c r="AK35" i="45" s="1"/>
  <c r="AQ35" i="45" s="1"/>
  <c r="AU35" i="45" s="1"/>
  <c r="AY35" i="45" s="1"/>
  <c r="BG35" i="45" s="1"/>
  <c r="O36" i="45"/>
  <c r="AC36" i="45" s="1"/>
  <c r="AG36" i="45" s="1"/>
  <c r="AK36" i="45" s="1"/>
  <c r="AQ36" i="45" s="1"/>
  <c r="AU36" i="45" s="1"/>
  <c r="AY36" i="45" s="1"/>
  <c r="BG36" i="45" s="1"/>
  <c r="O37" i="45"/>
  <c r="AC37" i="45" s="1"/>
  <c r="AG37" i="45" s="1"/>
  <c r="AK37" i="45" s="1"/>
  <c r="AQ37" i="45" s="1"/>
  <c r="AU37" i="45" s="1"/>
  <c r="AY37" i="45" s="1"/>
  <c r="BG37" i="45" s="1"/>
  <c r="O38" i="45"/>
  <c r="AC38" i="45" s="1"/>
  <c r="AG38" i="45" s="1"/>
  <c r="AK38" i="45" s="1"/>
  <c r="AQ38" i="45" s="1"/>
  <c r="AU38" i="45" s="1"/>
  <c r="AY38" i="45" s="1"/>
  <c r="BG38" i="45" s="1"/>
  <c r="O39" i="45"/>
  <c r="AC39" i="45" s="1"/>
  <c r="AG39" i="45" s="1"/>
  <c r="AK39" i="45" s="1"/>
  <c r="AQ39" i="45" s="1"/>
  <c r="AU39" i="45" s="1"/>
  <c r="AY39" i="45" s="1"/>
  <c r="BG39" i="45" s="1"/>
  <c r="O40" i="45"/>
  <c r="AC40" i="45" s="1"/>
  <c r="AG40" i="45" s="1"/>
  <c r="AK40" i="45" s="1"/>
  <c r="AQ40" i="45" s="1"/>
  <c r="AU40" i="45" s="1"/>
  <c r="AY40" i="45" s="1"/>
  <c r="BG40" i="45" s="1"/>
  <c r="O41" i="45"/>
  <c r="AC41" i="45" s="1"/>
  <c r="AG41" i="45" s="1"/>
  <c r="AK41" i="45" s="1"/>
  <c r="AQ41" i="45" s="1"/>
  <c r="AU41" i="45" s="1"/>
  <c r="AY41" i="45" s="1"/>
  <c r="BG41" i="45" s="1"/>
  <c r="O42" i="45"/>
  <c r="AC42" i="45" s="1"/>
  <c r="AG42" i="45" s="1"/>
  <c r="AK42" i="45" s="1"/>
  <c r="AQ42" i="45" s="1"/>
  <c r="AU42" i="45" s="1"/>
  <c r="AY42" i="45" s="1"/>
  <c r="BG42" i="45" s="1"/>
  <c r="O43" i="45"/>
  <c r="AC43" i="45" s="1"/>
  <c r="AG43" i="45" s="1"/>
  <c r="AK43" i="45" s="1"/>
  <c r="AQ43" i="45" s="1"/>
  <c r="AU43" i="45" s="1"/>
  <c r="AY43" i="45" s="1"/>
  <c r="BG43" i="45" s="1"/>
  <c r="O44" i="45"/>
  <c r="AC44" i="45" s="1"/>
  <c r="AG44" i="45" s="1"/>
  <c r="AK44" i="45" s="1"/>
  <c r="AQ44" i="45" s="1"/>
  <c r="AU44" i="45" s="1"/>
  <c r="AY44" i="45" s="1"/>
  <c r="BG44" i="45" s="1"/>
  <c r="O45" i="45"/>
  <c r="AC45" i="45" s="1"/>
  <c r="AG45" i="45" s="1"/>
  <c r="AK45" i="45" s="1"/>
  <c r="AQ45" i="45" s="1"/>
  <c r="AU45" i="45" s="1"/>
  <c r="AY45" i="45" s="1"/>
  <c r="BG45" i="45" s="1"/>
  <c r="O46" i="45"/>
  <c r="AC46" i="45" s="1"/>
  <c r="AG46" i="45" s="1"/>
  <c r="AK46" i="45" s="1"/>
  <c r="AQ46" i="45" s="1"/>
  <c r="AU46" i="45" s="1"/>
  <c r="AY46" i="45" s="1"/>
  <c r="BG46" i="45" s="1"/>
  <c r="O47" i="45"/>
  <c r="AC47" i="45" s="1"/>
  <c r="AG47" i="45" s="1"/>
  <c r="AK47" i="45" s="1"/>
  <c r="AQ47" i="45" s="1"/>
  <c r="AU47" i="45" s="1"/>
  <c r="AY47" i="45" s="1"/>
  <c r="BG47" i="45" s="1"/>
  <c r="O48" i="45"/>
  <c r="AC48" i="45" s="1"/>
  <c r="AG48" i="45" s="1"/>
  <c r="AK48" i="45" s="1"/>
  <c r="AQ48" i="45" s="1"/>
  <c r="AU48" i="45" s="1"/>
  <c r="AY48" i="45" s="1"/>
  <c r="BG48" i="45" s="1"/>
  <c r="O49" i="45"/>
  <c r="AC49" i="45" s="1"/>
  <c r="AG49" i="45" s="1"/>
  <c r="AK49" i="45" s="1"/>
  <c r="AQ49" i="45" s="1"/>
  <c r="AU49" i="45" s="1"/>
  <c r="AY49" i="45" s="1"/>
  <c r="BG49" i="45" s="1"/>
  <c r="O51" i="45"/>
  <c r="O52" i="45"/>
  <c r="AC52" i="45" s="1"/>
  <c r="AG52" i="45" s="1"/>
  <c r="AK52" i="45" s="1"/>
  <c r="AQ52" i="45" s="1"/>
  <c r="AU52" i="45" s="1"/>
  <c r="AY52" i="45" s="1"/>
  <c r="BG52" i="45" s="1"/>
  <c r="O54" i="45"/>
  <c r="AC54" i="45" s="1"/>
  <c r="AG54" i="45" s="1"/>
  <c r="AK54" i="45" s="1"/>
  <c r="AQ54" i="45" s="1"/>
  <c r="AU54" i="45" s="1"/>
  <c r="AY54" i="45" s="1"/>
  <c r="BG54" i="45" s="1"/>
  <c r="O55" i="45"/>
  <c r="AC55" i="45" s="1"/>
  <c r="AG55" i="45" s="1"/>
  <c r="AK55" i="45" s="1"/>
  <c r="AQ55" i="45" s="1"/>
  <c r="AU55" i="45" s="1"/>
  <c r="AY55" i="45" s="1"/>
  <c r="BG55" i="45" s="1"/>
  <c r="O56" i="45"/>
  <c r="AC56" i="45" s="1"/>
  <c r="AG56" i="45" s="1"/>
  <c r="AK56" i="45" s="1"/>
  <c r="AQ56" i="45" s="1"/>
  <c r="AU56" i="45" s="1"/>
  <c r="AY56" i="45" s="1"/>
  <c r="BG56" i="45" s="1"/>
  <c r="O57" i="45"/>
  <c r="AC57" i="45" s="1"/>
  <c r="AG57" i="45" s="1"/>
  <c r="AK57" i="45" s="1"/>
  <c r="AQ57" i="45" s="1"/>
  <c r="AU57" i="45" s="1"/>
  <c r="AY57" i="45" s="1"/>
  <c r="BG57" i="45" s="1"/>
  <c r="O58" i="45"/>
  <c r="AC58" i="45" s="1"/>
  <c r="AG58" i="45" s="1"/>
  <c r="AK58" i="45" s="1"/>
  <c r="AQ58" i="45" s="1"/>
  <c r="AU58" i="45" s="1"/>
  <c r="AY58" i="45" s="1"/>
  <c r="BG58" i="45" s="1"/>
  <c r="O59" i="45"/>
  <c r="AC59" i="45" s="1"/>
  <c r="AG59" i="45" s="1"/>
  <c r="AK59" i="45" s="1"/>
  <c r="AQ59" i="45" s="1"/>
  <c r="AU59" i="45" s="1"/>
  <c r="AY59" i="45" s="1"/>
  <c r="BG59" i="45" s="1"/>
  <c r="O60" i="45"/>
  <c r="AC60" i="45" s="1"/>
  <c r="AG60" i="45" s="1"/>
  <c r="AK60" i="45" s="1"/>
  <c r="AQ60" i="45" s="1"/>
  <c r="AU60" i="45" s="1"/>
  <c r="AY60" i="45" s="1"/>
  <c r="BG60" i="45" s="1"/>
  <c r="O61" i="45"/>
  <c r="O62" i="45"/>
  <c r="AC62" i="45" s="1"/>
  <c r="AG62" i="45" s="1"/>
  <c r="AK62" i="45" s="1"/>
  <c r="AQ62" i="45" s="1"/>
  <c r="AU62" i="45" s="1"/>
  <c r="AY62" i="45" s="1"/>
  <c r="BG62" i="45" s="1"/>
  <c r="O64" i="45"/>
  <c r="AC64" i="45" s="1"/>
  <c r="AG64" i="45" s="1"/>
  <c r="AK64" i="45" s="1"/>
  <c r="AQ64" i="45" s="1"/>
  <c r="AU64" i="45" s="1"/>
  <c r="AY64" i="45" s="1"/>
  <c r="BG64" i="45" s="1"/>
  <c r="O65" i="45"/>
  <c r="AC65" i="45" s="1"/>
  <c r="AG65" i="45" s="1"/>
  <c r="AK65" i="45" s="1"/>
  <c r="AQ65" i="45" s="1"/>
  <c r="AU65" i="45" s="1"/>
  <c r="AY65" i="45" s="1"/>
  <c r="BG65" i="45" s="1"/>
  <c r="O66" i="45"/>
  <c r="AC66" i="45" s="1"/>
  <c r="AG66" i="45" s="1"/>
  <c r="AK66" i="45" s="1"/>
  <c r="AQ66" i="45" s="1"/>
  <c r="AU66" i="45" s="1"/>
  <c r="AY66" i="45" s="1"/>
  <c r="BG66" i="45" s="1"/>
  <c r="O67" i="45"/>
  <c r="AC67" i="45" s="1"/>
  <c r="AG67" i="45" s="1"/>
  <c r="AK67" i="45" s="1"/>
  <c r="AQ67" i="45" s="1"/>
  <c r="AU67" i="45" s="1"/>
  <c r="AY67" i="45" s="1"/>
  <c r="BG67" i="45" s="1"/>
  <c r="O68" i="45"/>
  <c r="AC68" i="45" s="1"/>
  <c r="AG68" i="45" s="1"/>
  <c r="AK68" i="45" s="1"/>
  <c r="AQ68" i="45" s="1"/>
  <c r="AU68" i="45" s="1"/>
  <c r="AY68" i="45" s="1"/>
  <c r="BG68" i="45" s="1"/>
  <c r="O69" i="45"/>
  <c r="AC69" i="45" s="1"/>
  <c r="AG69" i="45" s="1"/>
  <c r="AK69" i="45" s="1"/>
  <c r="AQ69" i="45" s="1"/>
  <c r="AU69" i="45" s="1"/>
  <c r="AY69" i="45" s="1"/>
  <c r="BG69" i="45" s="1"/>
  <c r="O70" i="45"/>
  <c r="AC70" i="45" s="1"/>
  <c r="AG70" i="45" s="1"/>
  <c r="AK70" i="45" s="1"/>
  <c r="AQ70" i="45" s="1"/>
  <c r="AU70" i="45" s="1"/>
  <c r="AY70" i="45" s="1"/>
  <c r="BG70" i="45" s="1"/>
  <c r="O74" i="45"/>
  <c r="AC74" i="45" s="1"/>
  <c r="AG74" i="45" s="1"/>
  <c r="AK74" i="45" s="1"/>
  <c r="AQ74" i="45" s="1"/>
  <c r="AU74" i="45" s="1"/>
  <c r="AY74" i="45" s="1"/>
  <c r="BG74" i="45" s="1"/>
  <c r="O89" i="45"/>
  <c r="O90" i="45"/>
  <c r="AC90" i="45" s="1"/>
  <c r="AG90" i="45" s="1"/>
  <c r="AK90" i="45" s="1"/>
  <c r="AQ90" i="45" s="1"/>
  <c r="AU90" i="45" s="1"/>
  <c r="AY90" i="45" s="1"/>
  <c r="BG90" i="45" s="1"/>
  <c r="O91" i="45"/>
  <c r="O92" i="45"/>
  <c r="AC92" i="45" s="1"/>
  <c r="AG92" i="45" s="1"/>
  <c r="AK92" i="45" s="1"/>
  <c r="AQ92" i="45" s="1"/>
  <c r="AU92" i="45" s="1"/>
  <c r="AY92" i="45" s="1"/>
  <c r="BG92" i="45" s="1"/>
  <c r="O93" i="45"/>
  <c r="AC93" i="45" s="1"/>
  <c r="AG93" i="45" s="1"/>
  <c r="AK93" i="45" s="1"/>
  <c r="AQ93" i="45" s="1"/>
  <c r="AU93" i="45" s="1"/>
  <c r="AY93" i="45" s="1"/>
  <c r="BG93" i="45" s="1"/>
  <c r="O94" i="45"/>
  <c r="O97" i="45"/>
  <c r="AC97" i="45" s="1"/>
  <c r="AG97" i="45" s="1"/>
  <c r="AK97" i="45" s="1"/>
  <c r="AQ97" i="45" s="1"/>
  <c r="AU97" i="45" s="1"/>
  <c r="AY97" i="45" s="1"/>
  <c r="BG97" i="45" s="1"/>
  <c r="O98" i="45"/>
  <c r="O102" i="45"/>
  <c r="O103" i="45"/>
  <c r="AC103" i="45" s="1"/>
  <c r="AG103" i="45" s="1"/>
  <c r="AK103" i="45" s="1"/>
  <c r="AQ103" i="45" s="1"/>
  <c r="AU103" i="45" s="1"/>
  <c r="AY103" i="45" s="1"/>
  <c r="BG103" i="45" s="1"/>
  <c r="O104" i="45"/>
  <c r="AC104" i="45" s="1"/>
  <c r="AG104" i="45" s="1"/>
  <c r="AK104" i="45" s="1"/>
  <c r="AQ104" i="45" s="1"/>
  <c r="AU104" i="45" s="1"/>
  <c r="AY104" i="45" s="1"/>
  <c r="BG104" i="45" s="1"/>
  <c r="O105" i="45"/>
  <c r="AC105" i="45" s="1"/>
  <c r="AG105" i="45" s="1"/>
  <c r="AK105" i="45" s="1"/>
  <c r="AQ105" i="45" s="1"/>
  <c r="AU105" i="45" s="1"/>
  <c r="AY105" i="45" s="1"/>
  <c r="BG105" i="45" s="1"/>
  <c r="O106" i="45"/>
  <c r="AC106" i="45" s="1"/>
  <c r="AG106" i="45" s="1"/>
  <c r="AK106" i="45" s="1"/>
  <c r="AQ106" i="45" s="1"/>
  <c r="AU106" i="45" s="1"/>
  <c r="AY106" i="45" s="1"/>
  <c r="BG106" i="45" s="1"/>
  <c r="O107" i="45"/>
  <c r="AC107" i="45" s="1"/>
  <c r="AG107" i="45" s="1"/>
  <c r="AK107" i="45" s="1"/>
  <c r="AQ107" i="45" s="1"/>
  <c r="AU107" i="45" s="1"/>
  <c r="AY107" i="45" s="1"/>
  <c r="BG107" i="45" s="1"/>
  <c r="O108" i="45"/>
  <c r="AC108" i="45" s="1"/>
  <c r="AG108" i="45" s="1"/>
  <c r="AK108" i="45" s="1"/>
  <c r="AQ108" i="45" s="1"/>
  <c r="AU108" i="45" s="1"/>
  <c r="AY108" i="45" s="1"/>
  <c r="BG108" i="45" s="1"/>
  <c r="O109" i="45"/>
  <c r="AC109" i="45" s="1"/>
  <c r="AG109" i="45" s="1"/>
  <c r="AK109" i="45" s="1"/>
  <c r="AQ109" i="45" s="1"/>
  <c r="AU109" i="45" s="1"/>
  <c r="AY109" i="45" s="1"/>
  <c r="BG109" i="45" s="1"/>
  <c r="O110" i="45"/>
  <c r="AC110" i="45" s="1"/>
  <c r="AG110" i="45" s="1"/>
  <c r="AK110" i="45" s="1"/>
  <c r="AQ110" i="45" s="1"/>
  <c r="AU110" i="45" s="1"/>
  <c r="AY110" i="45" s="1"/>
  <c r="BG110" i="45" s="1"/>
  <c r="O111" i="45"/>
  <c r="AC111" i="45" s="1"/>
  <c r="AG111" i="45" s="1"/>
  <c r="AK111" i="45" s="1"/>
  <c r="AQ111" i="45" s="1"/>
  <c r="AU111" i="45" s="1"/>
  <c r="AY111" i="45" s="1"/>
  <c r="BG111" i="45" s="1"/>
  <c r="O112" i="45"/>
  <c r="AC112" i="45" s="1"/>
  <c r="AG112" i="45" s="1"/>
  <c r="AK112" i="45" s="1"/>
  <c r="AQ112" i="45" s="1"/>
  <c r="AU112" i="45" s="1"/>
  <c r="AY112" i="45" s="1"/>
  <c r="BG112" i="45" s="1"/>
  <c r="O113" i="45"/>
  <c r="AC113" i="45" s="1"/>
  <c r="AG113" i="45" s="1"/>
  <c r="AK113" i="45" s="1"/>
  <c r="AQ113" i="45" s="1"/>
  <c r="AU113" i="45" s="1"/>
  <c r="AY113" i="45" s="1"/>
  <c r="BG113" i="45" s="1"/>
  <c r="O114" i="45"/>
  <c r="AC114" i="45" s="1"/>
  <c r="AG114" i="45" s="1"/>
  <c r="AK114" i="45" s="1"/>
  <c r="AQ114" i="45" s="1"/>
  <c r="AU114" i="45" s="1"/>
  <c r="AY114" i="45" s="1"/>
  <c r="BG114" i="45" s="1"/>
  <c r="O115" i="45"/>
  <c r="AC115" i="45" s="1"/>
  <c r="AG115" i="45" s="1"/>
  <c r="AK115" i="45" s="1"/>
  <c r="AQ115" i="45" s="1"/>
  <c r="AU115" i="45" s="1"/>
  <c r="AY115" i="45" s="1"/>
  <c r="BG115" i="45" s="1"/>
  <c r="O116" i="45"/>
  <c r="AC116" i="45" s="1"/>
  <c r="AG116" i="45" s="1"/>
  <c r="AK116" i="45" s="1"/>
  <c r="AQ116" i="45" s="1"/>
  <c r="AU116" i="45" s="1"/>
  <c r="AY116" i="45" s="1"/>
  <c r="BG116" i="45" s="1"/>
  <c r="AC24" i="45" l="1"/>
  <c r="AC94" i="45"/>
  <c r="BE109" i="45"/>
  <c r="BE92" i="45"/>
  <c r="BE64" i="45"/>
  <c r="BE62" i="45"/>
  <c r="BE49" i="45"/>
  <c r="BE37" i="45"/>
  <c r="BE20" i="45"/>
  <c r="BE90" i="45"/>
  <c r="BE48" i="45"/>
  <c r="K164" i="45"/>
  <c r="BE51" i="45"/>
  <c r="BE44" i="45"/>
  <c r="BE38" i="45"/>
  <c r="BE32" i="45"/>
  <c r="K163" i="45"/>
  <c r="AO165" i="45"/>
  <c r="BC164" i="45"/>
  <c r="K165" i="45"/>
  <c r="BC163" i="45"/>
  <c r="BE22" i="45"/>
  <c r="BC165" i="45"/>
  <c r="AO164" i="45"/>
  <c r="AO163" i="45"/>
  <c r="O164" i="45"/>
  <c r="O163" i="45"/>
  <c r="AC89" i="45"/>
  <c r="AC165" i="45" s="1"/>
  <c r="O165" i="45"/>
  <c r="BE110" i="45"/>
  <c r="AC98" i="45"/>
  <c r="AG98" i="45" s="1"/>
  <c r="AK98" i="45" s="1"/>
  <c r="AQ98" i="45" s="1"/>
  <c r="AU98" i="45" s="1"/>
  <c r="AY98" i="45" s="1"/>
  <c r="BG98" i="45" s="1"/>
  <c r="S98" i="45"/>
  <c r="W98" i="45" s="1"/>
  <c r="AC102" i="45"/>
  <c r="AG102" i="45" s="1"/>
  <c r="AK102" i="45" s="1"/>
  <c r="AQ102" i="45" s="1"/>
  <c r="AU102" i="45" s="1"/>
  <c r="AY102" i="45" s="1"/>
  <c r="BG102" i="45" s="1"/>
  <c r="S102" i="45"/>
  <c r="W102" i="45" s="1"/>
  <c r="S51" i="45"/>
  <c r="W51" i="45" s="1"/>
  <c r="AC51" i="45"/>
  <c r="AG51" i="45" s="1"/>
  <c r="AK51" i="45" s="1"/>
  <c r="AQ51" i="45" s="1"/>
  <c r="AU51" i="45" s="1"/>
  <c r="AY51" i="45" s="1"/>
  <c r="BG51" i="45" s="1"/>
  <c r="AC9" i="45"/>
  <c r="AG9" i="45" s="1"/>
  <c r="AK9" i="45" s="1"/>
  <c r="AQ9" i="45" s="1"/>
  <c r="AU9" i="45" s="1"/>
  <c r="AY9" i="45" s="1"/>
  <c r="BG9" i="45" s="1"/>
  <c r="BE94" i="45"/>
  <c r="BE66" i="45"/>
  <c r="BE40" i="45"/>
  <c r="BE24" i="45"/>
  <c r="AC91" i="45"/>
  <c r="AC61" i="45"/>
  <c r="S69" i="45"/>
  <c r="W69" i="45" s="1"/>
  <c r="S90" i="45"/>
  <c r="W90" i="45" s="1"/>
  <c r="S97" i="45"/>
  <c r="W97" i="45" s="1"/>
  <c r="S89" i="45"/>
  <c r="S103" i="45"/>
  <c r="W103" i="45" s="1"/>
  <c r="S108" i="45"/>
  <c r="W108" i="45" s="1"/>
  <c r="S115" i="45"/>
  <c r="W115" i="45" s="1"/>
  <c r="S113" i="45"/>
  <c r="W113" i="45" s="1"/>
  <c r="S112" i="45"/>
  <c r="W112" i="45" s="1"/>
  <c r="S106" i="45"/>
  <c r="W106" i="45" s="1"/>
  <c r="S109" i="45"/>
  <c r="W109" i="45" s="1"/>
  <c r="S107" i="45"/>
  <c r="W107" i="45" s="1"/>
  <c r="S111" i="45"/>
  <c r="W111" i="45" s="1"/>
  <c r="S105" i="45"/>
  <c r="W105" i="45" s="1"/>
  <c r="S114" i="45"/>
  <c r="W114" i="45" s="1"/>
  <c r="S116" i="45"/>
  <c r="W116" i="45" s="1"/>
  <c r="S110" i="45"/>
  <c r="W110" i="45" s="1"/>
  <c r="S104" i="45"/>
  <c r="W104" i="45" s="1"/>
  <c r="S43" i="45"/>
  <c r="W43" i="45" s="1"/>
  <c r="S37" i="45"/>
  <c r="W37" i="45" s="1"/>
  <c r="S28" i="45"/>
  <c r="W28" i="45" s="1"/>
  <c r="S20" i="45"/>
  <c r="W20" i="45" s="1"/>
  <c r="S14" i="45"/>
  <c r="W14" i="45" s="1"/>
  <c r="S68" i="45"/>
  <c r="W68" i="45" s="1"/>
  <c r="S36" i="45"/>
  <c r="W36" i="45" s="1"/>
  <c r="S27" i="45"/>
  <c r="W27" i="45" s="1"/>
  <c r="S19" i="45"/>
  <c r="W19" i="45" s="1"/>
  <c r="S13" i="45"/>
  <c r="W13" i="45" s="1"/>
  <c r="S56" i="45"/>
  <c r="W56" i="45" s="1"/>
  <c r="S61" i="45"/>
  <c r="S67" i="45"/>
  <c r="W67" i="45" s="1"/>
  <c r="S47" i="45"/>
  <c r="W47" i="45" s="1"/>
  <c r="S41" i="45"/>
  <c r="W41" i="45" s="1"/>
  <c r="S35" i="45"/>
  <c r="W35" i="45" s="1"/>
  <c r="S25" i="45"/>
  <c r="W25" i="45" s="1"/>
  <c r="S18" i="45"/>
  <c r="W18" i="45" s="1"/>
  <c r="S12" i="45"/>
  <c r="W12" i="45" s="1"/>
  <c r="S49" i="45"/>
  <c r="W49" i="45" s="1"/>
  <c r="S55" i="45"/>
  <c r="W55" i="45" s="1"/>
  <c r="S54" i="45"/>
  <c r="W54" i="45" s="1"/>
  <c r="S94" i="45"/>
  <c r="S74" i="45"/>
  <c r="W74" i="45" s="1"/>
  <c r="S66" i="45"/>
  <c r="W66" i="45" s="1"/>
  <c r="S59" i="45"/>
  <c r="W59" i="45" s="1"/>
  <c r="S46" i="45"/>
  <c r="W46" i="45" s="1"/>
  <c r="S40" i="45"/>
  <c r="W40" i="45" s="1"/>
  <c r="S34" i="45"/>
  <c r="W34" i="45" s="1"/>
  <c r="S24" i="45"/>
  <c r="S17" i="45"/>
  <c r="W17" i="45" s="1"/>
  <c r="S11" i="45"/>
  <c r="W11" i="45" s="1"/>
  <c r="S62" i="45"/>
  <c r="W62" i="45" s="1"/>
  <c r="S42" i="45"/>
  <c r="W42" i="45" s="1"/>
  <c r="S93" i="45"/>
  <c r="W93" i="45" s="1"/>
  <c r="S73" i="45"/>
  <c r="W73" i="45" s="1"/>
  <c r="S65" i="45"/>
  <c r="W65" i="45" s="1"/>
  <c r="S58" i="45"/>
  <c r="W58" i="45" s="1"/>
  <c r="S52" i="45"/>
  <c r="W52" i="45" s="1"/>
  <c r="S45" i="45"/>
  <c r="W45" i="45" s="1"/>
  <c r="S39" i="45"/>
  <c r="W39" i="45" s="1"/>
  <c r="S33" i="45"/>
  <c r="W33" i="45" s="1"/>
  <c r="S23" i="45"/>
  <c r="W23" i="45" s="1"/>
  <c r="S16" i="45"/>
  <c r="W16" i="45" s="1"/>
  <c r="S10" i="45"/>
  <c r="W10" i="45" s="1"/>
  <c r="BE9" i="45"/>
  <c r="S91" i="45"/>
  <c r="S48" i="45"/>
  <c r="W48" i="45" s="1"/>
  <c r="S60" i="45"/>
  <c r="W60" i="45" s="1"/>
  <c r="S92" i="45"/>
  <c r="W92" i="45" s="1"/>
  <c r="S70" i="45"/>
  <c r="W70" i="45" s="1"/>
  <c r="S64" i="45"/>
  <c r="W64" i="45" s="1"/>
  <c r="S57" i="45"/>
  <c r="W57" i="45" s="1"/>
  <c r="S44" i="45"/>
  <c r="W44" i="45" s="1"/>
  <c r="S38" i="45"/>
  <c r="W38" i="45" s="1"/>
  <c r="S32" i="45"/>
  <c r="W32" i="45" s="1"/>
  <c r="S22" i="45"/>
  <c r="W22" i="45" s="1"/>
  <c r="S15" i="45"/>
  <c r="W15" i="45" s="1"/>
  <c r="S9" i="45"/>
  <c r="BE61" i="45"/>
  <c r="BE89" i="45"/>
  <c r="BE91" i="45"/>
  <c r="BE93" i="45"/>
  <c r="BE65" i="45"/>
  <c r="BE52" i="45"/>
  <c r="BE39" i="45"/>
  <c r="BE23" i="45"/>
  <c r="BE10" i="45"/>
  <c r="BE36" i="45"/>
  <c r="BE19" i="45"/>
  <c r="BE18" i="45"/>
  <c r="BE105" i="45"/>
  <c r="BE74" i="45"/>
  <c r="BE59" i="45"/>
  <c r="BE46" i="45"/>
  <c r="BE34" i="45"/>
  <c r="BE17" i="45"/>
  <c r="BE116" i="45"/>
  <c r="BE104" i="45"/>
  <c r="BE73" i="45"/>
  <c r="BE58" i="45"/>
  <c r="BE45" i="45"/>
  <c r="BE33" i="45"/>
  <c r="BE16" i="45"/>
  <c r="BE15" i="45"/>
  <c r="BE114" i="45"/>
  <c r="BE102" i="45"/>
  <c r="BE69" i="45"/>
  <c r="BE56" i="45"/>
  <c r="BE43" i="45"/>
  <c r="BE28" i="45"/>
  <c r="BE14" i="45"/>
  <c r="BE57" i="45"/>
  <c r="BE25" i="45"/>
  <c r="BE108" i="45"/>
  <c r="BE107" i="45"/>
  <c r="BE106" i="45"/>
  <c r="J8" i="11"/>
  <c r="J9" i="11"/>
  <c r="J10" i="11"/>
  <c r="J11" i="11"/>
  <c r="J12" i="11"/>
  <c r="J13" i="11"/>
  <c r="J14" i="11"/>
  <c r="J15" i="11"/>
  <c r="J16" i="11"/>
  <c r="J18" i="11"/>
  <c r="J20" i="11"/>
  <c r="J21" i="11"/>
  <c r="J22" i="11"/>
  <c r="J23" i="11"/>
  <c r="J24" i="11"/>
  <c r="J25" i="11"/>
  <c r="J26" i="11"/>
  <c r="J27" i="11"/>
  <c r="J28" i="11"/>
  <c r="J29" i="11"/>
  <c r="J30" i="11"/>
  <c r="J31" i="11"/>
  <c r="J32" i="11"/>
  <c r="J33" i="11"/>
  <c r="J34" i="11"/>
  <c r="J35" i="11"/>
  <c r="J36" i="11"/>
  <c r="J37" i="11"/>
  <c r="J38" i="11"/>
  <c r="J39" i="11"/>
  <c r="J40" i="11"/>
  <c r="J41" i="11"/>
  <c r="J42" i="11"/>
  <c r="N9" i="11"/>
  <c r="N10" i="11"/>
  <c r="W24" i="45" l="1"/>
  <c r="AG24" i="45"/>
  <c r="W94" i="45"/>
  <c r="AG94" i="45"/>
  <c r="BE165" i="45"/>
  <c r="BE163" i="45"/>
  <c r="S164" i="45"/>
  <c r="S165" i="45"/>
  <c r="BE164" i="45"/>
  <c r="S163" i="45"/>
  <c r="AG61" i="45"/>
  <c r="AK61" i="45" s="1"/>
  <c r="AQ61" i="45" s="1"/>
  <c r="AU61" i="45" s="1"/>
  <c r="AY61" i="45" s="1"/>
  <c r="BG61" i="45" s="1"/>
  <c r="AC163" i="45"/>
  <c r="AG91" i="45"/>
  <c r="AK91" i="45" s="1"/>
  <c r="AQ91" i="45" s="1"/>
  <c r="AU91" i="45" s="1"/>
  <c r="AY91" i="45" s="1"/>
  <c r="BG91" i="45" s="1"/>
  <c r="AC164" i="45"/>
  <c r="AG89" i="45"/>
  <c r="AK89" i="45" s="1"/>
  <c r="AQ89" i="45" s="1"/>
  <c r="AU89" i="45" s="1"/>
  <c r="AY89" i="45" s="1"/>
  <c r="BG89" i="45" s="1"/>
  <c r="W61" i="45"/>
  <c r="W163" i="45" s="1"/>
  <c r="W9" i="45"/>
  <c r="R9" i="11"/>
  <c r="V9" i="11" s="1"/>
  <c r="AB9" i="11"/>
  <c r="AF9" i="11" s="1"/>
  <c r="AJ9" i="11" s="1"/>
  <c r="AP9" i="11" s="1"/>
  <c r="AT9" i="11" s="1"/>
  <c r="AX9" i="11" s="1"/>
  <c r="R10" i="11"/>
  <c r="V10" i="11" s="1"/>
  <c r="AB10" i="11"/>
  <c r="AF10" i="11" s="1"/>
  <c r="AJ10" i="11" s="1"/>
  <c r="AP10" i="11" s="1"/>
  <c r="AT10" i="11" s="1"/>
  <c r="AX10" i="11" s="1"/>
  <c r="W89" i="45"/>
  <c r="W165" i="45" s="1"/>
  <c r="W91" i="45"/>
  <c r="F131" i="90"/>
  <c r="H131" i="90"/>
  <c r="J131" i="90"/>
  <c r="L131" i="90"/>
  <c r="N131" i="90"/>
  <c r="P131" i="90"/>
  <c r="R131" i="90"/>
  <c r="T131" i="90"/>
  <c r="V131" i="90"/>
  <c r="X131" i="90"/>
  <c r="Z131" i="90"/>
  <c r="AB131" i="90"/>
  <c r="AD131" i="90"/>
  <c r="AJ131" i="90"/>
  <c r="AL131" i="90"/>
  <c r="AN131" i="90"/>
  <c r="AP131" i="90"/>
  <c r="AR131" i="90"/>
  <c r="AT131" i="90"/>
  <c r="AV131" i="90"/>
  <c r="AX131" i="90"/>
  <c r="AZ131" i="90"/>
  <c r="BB131" i="90"/>
  <c r="BD131" i="90"/>
  <c r="F126" i="90"/>
  <c r="J126" i="90"/>
  <c r="N126" i="90"/>
  <c r="R126" i="90"/>
  <c r="V126" i="90"/>
  <c r="AB126" i="90"/>
  <c r="AJ126" i="90"/>
  <c r="AP126" i="90"/>
  <c r="AT126" i="90"/>
  <c r="AX126" i="90"/>
  <c r="F102" i="90"/>
  <c r="H102" i="90"/>
  <c r="J102" i="90"/>
  <c r="L102" i="90"/>
  <c r="N102" i="90"/>
  <c r="P102" i="90"/>
  <c r="R102" i="90"/>
  <c r="T102" i="90"/>
  <c r="V102" i="90"/>
  <c r="X102" i="90"/>
  <c r="Z102" i="90"/>
  <c r="AB102" i="90"/>
  <c r="AD102" i="90"/>
  <c r="AJ102" i="90"/>
  <c r="AL102" i="90"/>
  <c r="AN102" i="90"/>
  <c r="AP102" i="90"/>
  <c r="AR102" i="90"/>
  <c r="AT102" i="90"/>
  <c r="AV102" i="90"/>
  <c r="AX102" i="90"/>
  <c r="AZ102" i="90"/>
  <c r="BB102" i="90"/>
  <c r="BD102" i="90"/>
  <c r="AO94" i="90"/>
  <c r="AS94" i="90" s="1"/>
  <c r="AW94" i="90" s="1"/>
  <c r="AM94" i="90"/>
  <c r="BC94" i="90" s="1"/>
  <c r="AE94" i="90"/>
  <c r="AA94" i="90"/>
  <c r="Y94" i="90"/>
  <c r="U94" i="90"/>
  <c r="Q94" i="90"/>
  <c r="AU91" i="90"/>
  <c r="AQ91" i="90"/>
  <c r="AK91" i="90"/>
  <c r="O91" i="90"/>
  <c r="K91" i="90"/>
  <c r="G91" i="90"/>
  <c r="E91" i="90"/>
  <c r="M94" i="90"/>
  <c r="I94" i="90"/>
  <c r="I95" i="90"/>
  <c r="AO92" i="90"/>
  <c r="AS92" i="90" s="1"/>
  <c r="AW92" i="90" s="1"/>
  <c r="AO93" i="90"/>
  <c r="AS93" i="90" s="1"/>
  <c r="AW93" i="90" s="1"/>
  <c r="AO95" i="90"/>
  <c r="AS95" i="90" s="1"/>
  <c r="AW95" i="90" s="1"/>
  <c r="AO98" i="90"/>
  <c r="AS98" i="90" s="1"/>
  <c r="AW98" i="90" s="1"/>
  <c r="AO99" i="90"/>
  <c r="AS99" i="90" s="1"/>
  <c r="AW99" i="90" s="1"/>
  <c r="AM92" i="90"/>
  <c r="BC92" i="90" s="1"/>
  <c r="AM93" i="90"/>
  <c r="BC93" i="90" s="1"/>
  <c r="AM95" i="90"/>
  <c r="BC95" i="90" s="1"/>
  <c r="AM98" i="90"/>
  <c r="BC98" i="90" s="1"/>
  <c r="AM99" i="90"/>
  <c r="BC99" i="90" s="1"/>
  <c r="AE92" i="90"/>
  <c r="AE93" i="90"/>
  <c r="AE95" i="90"/>
  <c r="AE98" i="90"/>
  <c r="AE99" i="90"/>
  <c r="AA92" i="90"/>
  <c r="AA93" i="90"/>
  <c r="AA95" i="90"/>
  <c r="AA98" i="90"/>
  <c r="AA99" i="90"/>
  <c r="Y92" i="90"/>
  <c r="Y93" i="90"/>
  <c r="Y95" i="90"/>
  <c r="Y98" i="90"/>
  <c r="Y99" i="90"/>
  <c r="U92" i="90"/>
  <c r="U93" i="90"/>
  <c r="U95" i="90"/>
  <c r="U98" i="90"/>
  <c r="U99" i="90"/>
  <c r="Q92" i="90"/>
  <c r="Q93" i="90"/>
  <c r="Q95" i="90"/>
  <c r="Q98" i="90"/>
  <c r="Q99" i="90"/>
  <c r="M92" i="90"/>
  <c r="M93" i="90"/>
  <c r="M95" i="90"/>
  <c r="M98" i="90"/>
  <c r="M99" i="90"/>
  <c r="I98" i="90"/>
  <c r="I99" i="90"/>
  <c r="I92" i="90"/>
  <c r="I93" i="90"/>
  <c r="AU100" i="90"/>
  <c r="AQ100" i="90"/>
  <c r="AK100" i="90"/>
  <c r="K100" i="90"/>
  <c r="G100" i="90"/>
  <c r="G90" i="90"/>
  <c r="AN93" i="8"/>
  <c r="BE91" i="90" l="1"/>
  <c r="AK24" i="45"/>
  <c r="BA100" i="90"/>
  <c r="BA91" i="90"/>
  <c r="W164" i="45"/>
  <c r="AK94" i="45"/>
  <c r="AI91" i="90"/>
  <c r="K129" i="90"/>
  <c r="AG164" i="45"/>
  <c r="AG163" i="45"/>
  <c r="AG165" i="45"/>
  <c r="M91" i="90"/>
  <c r="I91" i="90"/>
  <c r="AM91" i="90"/>
  <c r="AE91" i="90"/>
  <c r="U91" i="90"/>
  <c r="Y91" i="90"/>
  <c r="AA91" i="90"/>
  <c r="Q91" i="90"/>
  <c r="AO91" i="90"/>
  <c r="AS91" i="90" s="1"/>
  <c r="AW91" i="90" s="1"/>
  <c r="G117" i="90"/>
  <c r="K117" i="90"/>
  <c r="AK129" i="90"/>
  <c r="AQ129" i="90"/>
  <c r="AU129" i="90"/>
  <c r="AK117" i="90"/>
  <c r="AQ117" i="90"/>
  <c r="AM100" i="90"/>
  <c r="O117" i="90"/>
  <c r="AU117" i="90"/>
  <c r="BA117" i="90" l="1"/>
  <c r="AQ24" i="45"/>
  <c r="BA129" i="90"/>
  <c r="BC91" i="90"/>
  <c r="BC100" i="90"/>
  <c r="AQ94" i="45"/>
  <c r="AM129" i="90"/>
  <c r="BC129" i="90" s="1"/>
  <c r="AM117" i="90"/>
  <c r="BC117" i="90" s="1"/>
  <c r="Y117" i="90"/>
  <c r="AU24" i="45" l="1"/>
  <c r="AU94" i="45"/>
  <c r="AY94" i="45" s="1"/>
  <c r="BG94" i="45" s="1"/>
  <c r="AY24" i="45" l="1"/>
  <c r="Y67" i="39"/>
  <c r="Y66" i="39"/>
  <c r="BA67" i="39"/>
  <c r="BA66" i="39"/>
  <c r="BG24" i="45" l="1"/>
  <c r="BC66" i="39"/>
  <c r="AA66" i="39"/>
  <c r="AA67" i="39"/>
  <c r="BC67" i="39"/>
  <c r="BB3" i="8" l="1"/>
  <c r="BE66" i="39"/>
  <c r="BE67" i="39"/>
  <c r="J63" i="11" l="1"/>
  <c r="J62" i="11"/>
  <c r="AA128" i="45"/>
  <c r="AA127" i="45"/>
  <c r="K128" i="45"/>
  <c r="K127" i="45"/>
  <c r="M129" i="45" l="1"/>
  <c r="BC128" i="45"/>
  <c r="AO128" i="45"/>
  <c r="O128" i="45"/>
  <c r="BC127" i="45"/>
  <c r="AO127" i="45"/>
  <c r="O127" i="45"/>
  <c r="M126" i="45" l="1"/>
  <c r="AA129" i="45"/>
  <c r="AA126" i="45" s="1"/>
  <c r="BE128" i="45"/>
  <c r="AO129" i="45"/>
  <c r="S128" i="45"/>
  <c r="W128" i="45" s="1"/>
  <c r="AC128" i="45"/>
  <c r="AC127" i="45"/>
  <c r="AG127" i="45" s="1"/>
  <c r="AK127" i="45" s="1"/>
  <c r="K129" i="45"/>
  <c r="BC129" i="45"/>
  <c r="BC126" i="45" s="1"/>
  <c r="O129" i="45"/>
  <c r="S129" i="45" s="1"/>
  <c r="W129" i="45" s="1"/>
  <c r="BE127" i="45"/>
  <c r="S127" i="45"/>
  <c r="AZ143" i="45"/>
  <c r="AY78" i="11"/>
  <c r="AY177" i="10"/>
  <c r="AY98" i="9"/>
  <c r="AX57" i="17"/>
  <c r="AZ141" i="45"/>
  <c r="AY76" i="11"/>
  <c r="AY175" i="10"/>
  <c r="AX55" i="17"/>
  <c r="AY192" i="6"/>
  <c r="AY89" i="8"/>
  <c r="AY84" i="7"/>
  <c r="AZ140" i="45"/>
  <c r="AY75" i="11"/>
  <c r="AY174" i="10"/>
  <c r="AY97" i="9"/>
  <c r="AX54" i="17"/>
  <c r="AY88" i="8"/>
  <c r="AY191" i="6"/>
  <c r="AY166" i="6"/>
  <c r="BB163" i="6"/>
  <c r="BB165" i="6" s="1"/>
  <c r="BB188" i="6"/>
  <c r="BB190" i="6" s="1"/>
  <c r="K126" i="45" l="1"/>
  <c r="BE129" i="45"/>
  <c r="AO126" i="45"/>
  <c r="AC129" i="45"/>
  <c r="AC126" i="45" s="1"/>
  <c r="AG128" i="45"/>
  <c r="AK128" i="45" s="1"/>
  <c r="AQ128" i="45" s="1"/>
  <c r="AU128" i="45" s="1"/>
  <c r="O126" i="45"/>
  <c r="S126" i="45"/>
  <c r="W127" i="45"/>
  <c r="W126" i="45" s="1"/>
  <c r="BE126" i="45" l="1"/>
  <c r="AX56" i="17"/>
  <c r="AY128" i="45"/>
  <c r="AG129" i="45"/>
  <c r="AK129" i="45" s="1"/>
  <c r="AQ129" i="45" s="1"/>
  <c r="AU129" i="45" s="1"/>
  <c r="AQ127" i="45"/>
  <c r="AU127" i="45" s="1"/>
  <c r="BA72" i="83"/>
  <c r="BA73" i="83"/>
  <c r="BA74" i="83"/>
  <c r="BA75" i="83"/>
  <c r="BA70" i="83"/>
  <c r="BA53" i="83"/>
  <c r="BA54" i="83"/>
  <c r="BA55" i="83"/>
  <c r="BA56" i="83"/>
  <c r="BA57" i="83"/>
  <c r="BA58" i="83"/>
  <c r="BA59" i="83"/>
  <c r="BA60" i="83"/>
  <c r="BA61" i="83"/>
  <c r="BA62" i="83"/>
  <c r="BA63" i="83"/>
  <c r="BA64" i="83"/>
  <c r="BA65" i="83"/>
  <c r="BA66" i="83"/>
  <c r="BA67" i="83"/>
  <c r="BA68" i="83"/>
  <c r="BA52" i="83"/>
  <c r="BA47" i="83"/>
  <c r="BA48" i="83"/>
  <c r="BA50" i="83"/>
  <c r="BA46" i="83"/>
  <c r="BA40" i="83"/>
  <c r="BA41" i="83"/>
  <c r="BA42" i="83"/>
  <c r="BA43" i="83"/>
  <c r="BA44" i="83"/>
  <c r="BA39" i="83"/>
  <c r="BA5" i="83"/>
  <c r="BA6" i="83"/>
  <c r="BA7" i="83"/>
  <c r="BA8" i="83"/>
  <c r="BA9" i="83"/>
  <c r="BA10" i="83"/>
  <c r="BA11" i="83"/>
  <c r="BA12" i="83"/>
  <c r="BA13" i="83"/>
  <c r="BA14" i="83"/>
  <c r="BA15" i="83"/>
  <c r="BA16" i="83"/>
  <c r="BA17" i="83"/>
  <c r="BA18" i="83"/>
  <c r="BA19" i="83"/>
  <c r="BA20" i="83"/>
  <c r="BA21" i="83"/>
  <c r="BA22" i="83"/>
  <c r="BA23" i="83"/>
  <c r="BA24" i="83"/>
  <c r="BA25" i="83"/>
  <c r="BA26" i="83"/>
  <c r="BA27" i="83"/>
  <c r="BA29" i="83"/>
  <c r="BA30" i="83"/>
  <c r="BA31" i="83"/>
  <c r="BA32" i="83"/>
  <c r="BA33" i="83"/>
  <c r="BA34" i="83"/>
  <c r="BA35" i="83"/>
  <c r="BA36" i="83"/>
  <c r="BA37" i="83"/>
  <c r="BA4" i="83"/>
  <c r="BA67" i="73"/>
  <c r="BA68" i="73"/>
  <c r="BA69" i="73"/>
  <c r="BG128" i="45" l="1"/>
  <c r="AY129" i="45"/>
  <c r="AY127" i="45"/>
  <c r="AG126" i="45"/>
  <c r="AK126" i="45"/>
  <c r="AQ126" i="45"/>
  <c r="BA45" i="83"/>
  <c r="BA76" i="83"/>
  <c r="BA69" i="83"/>
  <c r="BA51" i="83"/>
  <c r="BA38" i="83"/>
  <c r="BD94" i="38"/>
  <c r="BD93" i="38"/>
  <c r="BD92" i="38"/>
  <c r="BD91" i="38"/>
  <c r="BC90" i="38"/>
  <c r="BD89" i="38"/>
  <c r="BC88" i="38"/>
  <c r="BD86" i="38"/>
  <c r="BD85" i="38"/>
  <c r="BD84" i="38"/>
  <c r="BD83" i="38"/>
  <c r="BC82" i="38"/>
  <c r="BD80" i="38"/>
  <c r="BD79" i="38"/>
  <c r="BD78" i="38"/>
  <c r="BD77" i="38"/>
  <c r="BD76" i="38"/>
  <c r="BD75" i="38"/>
  <c r="BD74" i="38"/>
  <c r="BD73" i="38"/>
  <c r="BD72" i="38"/>
  <c r="BD71" i="38"/>
  <c r="BD70" i="38"/>
  <c r="BD69" i="38"/>
  <c r="BD68" i="38"/>
  <c r="BD67" i="38"/>
  <c r="BC66" i="38"/>
  <c r="BD62" i="38"/>
  <c r="BD61" i="38"/>
  <c r="BC60" i="38"/>
  <c r="BD59" i="38"/>
  <c r="BD58" i="38"/>
  <c r="BD57" i="38"/>
  <c r="BD56" i="38"/>
  <c r="BD55" i="38"/>
  <c r="BC54" i="38"/>
  <c r="BC52" i="38"/>
  <c r="BD51" i="38"/>
  <c r="BC51" i="38"/>
  <c r="BC46" i="38"/>
  <c r="BC45" i="38"/>
  <c r="BC44" i="38"/>
  <c r="BC43" i="38"/>
  <c r="BD42" i="38"/>
  <c r="BC41" i="38"/>
  <c r="BC40" i="38" s="1"/>
  <c r="BD40" i="38"/>
  <c r="BC38" i="38"/>
  <c r="BC37" i="38"/>
  <c r="BC36" i="38"/>
  <c r="BC35" i="38"/>
  <c r="AY167" i="6" s="1"/>
  <c r="BD34" i="38"/>
  <c r="BC32" i="38"/>
  <c r="BC31" i="38"/>
  <c r="BC30" i="38"/>
  <c r="BC29" i="38"/>
  <c r="BC28" i="38"/>
  <c r="BC27" i="38"/>
  <c r="AZ138" i="45" s="1"/>
  <c r="BC26" i="38"/>
  <c r="AY73" i="11" s="1"/>
  <c r="AY74" i="11" s="1"/>
  <c r="BC25" i="38"/>
  <c r="AY172" i="10" s="1"/>
  <c r="BC24" i="38"/>
  <c r="BC23" i="38"/>
  <c r="AY99" i="9" s="1"/>
  <c r="AY100" i="9" s="1"/>
  <c r="BC22" i="38"/>
  <c r="AY91" i="8" s="1"/>
  <c r="BC21" i="38"/>
  <c r="AY82" i="7" s="1"/>
  <c r="BC20" i="38"/>
  <c r="BC19" i="38"/>
  <c r="AY193" i="6" s="1"/>
  <c r="BD18" i="38"/>
  <c r="BC14" i="38"/>
  <c r="BC13" i="38"/>
  <c r="BD12" i="38"/>
  <c r="BC11" i="38"/>
  <c r="BC10" i="38"/>
  <c r="BC9" i="38"/>
  <c r="BC8" i="38"/>
  <c r="BC7" i="38"/>
  <c r="BD6" i="38"/>
  <c r="BC12" i="38" l="1"/>
  <c r="AZ139" i="45"/>
  <c r="AY194" i="6"/>
  <c r="AY92" i="8"/>
  <c r="AY168" i="6"/>
  <c r="AY173" i="10"/>
  <c r="AY83" i="7"/>
  <c r="BB35" i="59" s="1"/>
  <c r="BD90" i="38"/>
  <c r="BD88" i="38"/>
  <c r="BD82" i="38"/>
  <c r="BD66" i="38"/>
  <c r="BD60" i="38"/>
  <c r="BG127" i="45"/>
  <c r="BG129" i="45"/>
  <c r="BC65" i="38"/>
  <c r="BC63" i="38"/>
  <c r="AU126" i="45"/>
  <c r="BA77" i="83"/>
  <c r="BD15" i="38"/>
  <c r="BC87" i="38"/>
  <c r="BC42" i="38"/>
  <c r="BC39" i="38" s="1"/>
  <c r="BC34" i="38"/>
  <c r="BC18" i="38"/>
  <c r="BC6" i="38"/>
  <c r="BC15" i="38" s="1"/>
  <c r="BD17" i="38"/>
  <c r="BD54" i="38"/>
  <c r="BD39" i="38"/>
  <c r="AN109" i="9"/>
  <c r="Z109" i="9"/>
  <c r="N109" i="9"/>
  <c r="BB109" i="9"/>
  <c r="BC64" i="38" l="1"/>
  <c r="BD63" i="38"/>
  <c r="BC96" i="38"/>
  <c r="BC17" i="38"/>
  <c r="BD65" i="38"/>
  <c r="AZ26" i="36"/>
  <c r="AZ25" i="36"/>
  <c r="BC75" i="59" s="1"/>
  <c r="BC16" i="38"/>
  <c r="BC48" i="38" s="1"/>
  <c r="BD109" i="9"/>
  <c r="AB109" i="9"/>
  <c r="BG126" i="45"/>
  <c r="AY126" i="45"/>
  <c r="BD16" i="38"/>
  <c r="BD87" i="38"/>
  <c r="BA93" i="73"/>
  <c r="BA94" i="73"/>
  <c r="BD64" i="38" l="1"/>
  <c r="BD96" i="38" s="1"/>
  <c r="BD48" i="38"/>
  <c r="P91" i="77" l="1"/>
  <c r="T91" i="77" s="1"/>
  <c r="AF91" i="77"/>
  <c r="AH91" i="77"/>
  <c r="AJ91" i="77"/>
  <c r="AL91" i="77"/>
  <c r="AN91" i="77"/>
  <c r="AR91" i="77"/>
  <c r="AV91" i="77"/>
  <c r="AW91" i="77"/>
  <c r="AZ91" i="77"/>
  <c r="BB91" i="77"/>
  <c r="BD91" i="77"/>
  <c r="P90" i="77"/>
  <c r="AF90" i="77"/>
  <c r="AH90" i="77"/>
  <c r="AH89" i="77" s="1"/>
  <c r="AJ90" i="77"/>
  <c r="AL90" i="77"/>
  <c r="AN90" i="77"/>
  <c r="AR90" i="77"/>
  <c r="AR89" i="77" s="1"/>
  <c r="AV90" i="77"/>
  <c r="AW90" i="77"/>
  <c r="AZ90" i="77"/>
  <c r="BB90" i="77"/>
  <c r="BD90" i="77"/>
  <c r="AI81" i="77"/>
  <c r="P81" i="77"/>
  <c r="T81" i="77" s="1"/>
  <c r="AF81" i="77"/>
  <c r="AF84" i="77" s="1"/>
  <c r="AH81" i="77"/>
  <c r="AJ81" i="77"/>
  <c r="AL81" i="77"/>
  <c r="AN81" i="77"/>
  <c r="AR81" i="77"/>
  <c r="AV81" i="77"/>
  <c r="AZ81" i="77"/>
  <c r="BB81" i="77"/>
  <c r="BD81" i="77"/>
  <c r="AI83" i="77"/>
  <c r="P83" i="77"/>
  <c r="T83" i="77" s="1"/>
  <c r="AH83" i="77"/>
  <c r="AJ83" i="77"/>
  <c r="AL83" i="77"/>
  <c r="AN83" i="77"/>
  <c r="AR83" i="77"/>
  <c r="AV83" i="77"/>
  <c r="AZ83" i="77"/>
  <c r="BB83" i="77"/>
  <c r="BD83" i="77"/>
  <c r="P80" i="77"/>
  <c r="AH80" i="77"/>
  <c r="AJ80" i="77"/>
  <c r="AL80" i="77"/>
  <c r="AN80" i="77"/>
  <c r="AR80" i="77"/>
  <c r="AV80" i="77"/>
  <c r="AZ80" i="77"/>
  <c r="BB80" i="77"/>
  <c r="BD80" i="77"/>
  <c r="AI80" i="77"/>
  <c r="AZ87" i="77"/>
  <c r="AZ86" i="77" s="1"/>
  <c r="AL87" i="77"/>
  <c r="AL86" i="77" s="1"/>
  <c r="AR77" i="77"/>
  <c r="AV77" i="77" s="1"/>
  <c r="AZ77" i="77" s="1"/>
  <c r="BB77" i="77" s="1"/>
  <c r="AL77" i="77"/>
  <c r="L77" i="77"/>
  <c r="Z77" i="77" s="1"/>
  <c r="AD77" i="77" s="1"/>
  <c r="BA142" i="73"/>
  <c r="I143" i="73"/>
  <c r="M143" i="73"/>
  <c r="Q143" i="73" s="1"/>
  <c r="Y143" i="73"/>
  <c r="AM143" i="73"/>
  <c r="BA143" i="73"/>
  <c r="I144" i="73"/>
  <c r="M144" i="73"/>
  <c r="Y144" i="73"/>
  <c r="AM144" i="73"/>
  <c r="BA144" i="73"/>
  <c r="I145" i="73"/>
  <c r="M145" i="73"/>
  <c r="Q145" i="73" s="1"/>
  <c r="U145" i="73" s="1"/>
  <c r="Y145" i="73"/>
  <c r="AM145" i="73"/>
  <c r="BA145" i="73"/>
  <c r="I146" i="73"/>
  <c r="M146" i="73"/>
  <c r="Y146" i="73"/>
  <c r="AM146" i="73"/>
  <c r="BA146" i="73"/>
  <c r="I147" i="73"/>
  <c r="M147" i="73"/>
  <c r="Q147" i="73" s="1"/>
  <c r="Y147" i="73"/>
  <c r="AM147" i="73"/>
  <c r="BA147" i="73"/>
  <c r="I148" i="73"/>
  <c r="M148" i="73"/>
  <c r="Q148" i="73" s="1"/>
  <c r="Y148" i="73"/>
  <c r="AM148" i="73"/>
  <c r="BA148" i="73"/>
  <c r="I149" i="73"/>
  <c r="M149" i="73"/>
  <c r="Q149" i="73" s="1"/>
  <c r="Y149" i="73"/>
  <c r="AM149" i="73"/>
  <c r="BA149" i="73"/>
  <c r="I150" i="73"/>
  <c r="M150" i="73"/>
  <c r="Y150" i="73"/>
  <c r="AM150" i="73"/>
  <c r="BA150" i="73"/>
  <c r="I155" i="73"/>
  <c r="M155" i="73"/>
  <c r="Y155" i="73"/>
  <c r="AM155" i="73"/>
  <c r="BA155" i="73"/>
  <c r="I158" i="73"/>
  <c r="M158" i="73"/>
  <c r="Y158" i="73"/>
  <c r="AM158" i="73"/>
  <c r="BA158" i="73"/>
  <c r="I160" i="73"/>
  <c r="M160" i="73"/>
  <c r="Q160" i="73" s="1"/>
  <c r="Y160" i="73"/>
  <c r="AM160" i="73"/>
  <c r="BA160" i="73"/>
  <c r="I162" i="73"/>
  <c r="M162" i="73"/>
  <c r="Y162" i="73"/>
  <c r="AM162" i="73"/>
  <c r="BA162" i="73"/>
  <c r="I163" i="73"/>
  <c r="M163" i="73"/>
  <c r="Q163" i="73" s="1"/>
  <c r="Y163" i="73"/>
  <c r="AM163" i="73"/>
  <c r="BA163" i="73"/>
  <c r="I164" i="73"/>
  <c r="M164" i="73"/>
  <c r="Y164" i="73"/>
  <c r="AM164" i="73"/>
  <c r="BA164" i="73"/>
  <c r="P89" i="77" l="1"/>
  <c r="AN89" i="77"/>
  <c r="BB89" i="77"/>
  <c r="AL89" i="77"/>
  <c r="AL95" i="77" s="1"/>
  <c r="BD89" i="77"/>
  <c r="AA144" i="73"/>
  <c r="AE144" i="73" s="1"/>
  <c r="AI144" i="73" s="1"/>
  <c r="AO144" i="73" s="1"/>
  <c r="AS144" i="73" s="1"/>
  <c r="AW144" i="73" s="1"/>
  <c r="AZ89" i="77"/>
  <c r="AZ95" i="77" s="1"/>
  <c r="P84" i="77"/>
  <c r="AV89" i="77"/>
  <c r="AJ89" i="77"/>
  <c r="AJ95" i="77" s="1"/>
  <c r="AW89" i="77"/>
  <c r="AW95" i="77" s="1"/>
  <c r="AF89" i="77"/>
  <c r="AF95" i="77" s="1"/>
  <c r="AI90" i="77"/>
  <c r="AO90" i="77"/>
  <c r="AI91" i="77"/>
  <c r="AO91" i="77"/>
  <c r="AV84" i="77"/>
  <c r="AR84" i="77"/>
  <c r="AO83" i="77"/>
  <c r="AM90" i="77"/>
  <c r="AW80" i="77"/>
  <c r="AS91" i="77"/>
  <c r="BA91" i="77"/>
  <c r="U91" i="77"/>
  <c r="M91" i="77"/>
  <c r="Q91" i="77"/>
  <c r="I91" i="77"/>
  <c r="AA91" i="77"/>
  <c r="AE91" i="77"/>
  <c r="BA80" i="77"/>
  <c r="AS80" i="77"/>
  <c r="AW81" i="77"/>
  <c r="AM81" i="77"/>
  <c r="Q81" i="77"/>
  <c r="M81" i="77"/>
  <c r="U81" i="77"/>
  <c r="I81" i="77"/>
  <c r="AA81" i="77"/>
  <c r="AE81" i="77"/>
  <c r="AS90" i="77"/>
  <c r="BA90" i="77"/>
  <c r="AI84" i="77"/>
  <c r="M80" i="77"/>
  <c r="U80" i="77"/>
  <c r="Q80" i="77"/>
  <c r="AE80" i="77"/>
  <c r="I80" i="77"/>
  <c r="AA80" i="77"/>
  <c r="AN84" i="77"/>
  <c r="AM83" i="77"/>
  <c r="Q90" i="77"/>
  <c r="U90" i="77"/>
  <c r="M90" i="77"/>
  <c r="AE90" i="77"/>
  <c r="AA90" i="77"/>
  <c r="I90" i="77"/>
  <c r="BD84" i="77"/>
  <c r="AL84" i="77"/>
  <c r="BA81" i="77"/>
  <c r="AS81" i="77"/>
  <c r="BB84" i="77"/>
  <c r="AO80" i="77"/>
  <c r="AW83" i="77"/>
  <c r="AZ84" i="77"/>
  <c r="AJ84" i="77"/>
  <c r="M83" i="77"/>
  <c r="Q83" i="77"/>
  <c r="U83" i="77"/>
  <c r="I83" i="77"/>
  <c r="AA83" i="77"/>
  <c r="AE83" i="77"/>
  <c r="AM91" i="77"/>
  <c r="AH84" i="77"/>
  <c r="AM80" i="77"/>
  <c r="AS83" i="77"/>
  <c r="BA83" i="77"/>
  <c r="AO81" i="77"/>
  <c r="T90" i="77"/>
  <c r="T89" i="77" s="1"/>
  <c r="T80" i="77"/>
  <c r="T84" i="77" s="1"/>
  <c r="BC144" i="73"/>
  <c r="BC146" i="73"/>
  <c r="BC150" i="73"/>
  <c r="Q162" i="73"/>
  <c r="U162" i="73" s="1"/>
  <c r="Q155" i="73"/>
  <c r="U155" i="73" s="1"/>
  <c r="Q158" i="73"/>
  <c r="U158" i="73" s="1"/>
  <c r="AA150" i="73"/>
  <c r="AE150" i="73" s="1"/>
  <c r="AI150" i="73" s="1"/>
  <c r="AO150" i="73" s="1"/>
  <c r="AS150" i="73" s="1"/>
  <c r="Q150" i="73"/>
  <c r="U150" i="73" s="1"/>
  <c r="BC147" i="73"/>
  <c r="Q144" i="73"/>
  <c r="U144" i="73" s="1"/>
  <c r="Q164" i="73"/>
  <c r="U164" i="73" s="1"/>
  <c r="BC162" i="73"/>
  <c r="Q146" i="73"/>
  <c r="U146" i="73" s="1"/>
  <c r="AA148" i="73"/>
  <c r="AE148" i="73" s="1"/>
  <c r="AI148" i="73" s="1"/>
  <c r="AO148" i="73" s="1"/>
  <c r="AS148" i="73" s="1"/>
  <c r="AA149" i="73"/>
  <c r="AE149" i="73" s="1"/>
  <c r="AI149" i="73" s="1"/>
  <c r="AO149" i="73" s="1"/>
  <c r="AS149" i="73" s="1"/>
  <c r="BC145" i="73"/>
  <c r="BC143" i="73"/>
  <c r="BC160" i="73"/>
  <c r="AA143" i="73"/>
  <c r="AE143" i="73" s="1"/>
  <c r="AI143" i="73" s="1"/>
  <c r="AO143" i="73" s="1"/>
  <c r="AS143" i="73" s="1"/>
  <c r="AW143" i="73" s="1"/>
  <c r="BC164" i="73"/>
  <c r="AA158" i="73"/>
  <c r="AE158" i="73" s="1"/>
  <c r="BC149" i="73"/>
  <c r="AA145" i="73"/>
  <c r="AE145" i="73" s="1"/>
  <c r="AI145" i="73" s="1"/>
  <c r="AO145" i="73" s="1"/>
  <c r="AS145" i="73" s="1"/>
  <c r="AA163" i="73"/>
  <c r="AE163" i="73" s="1"/>
  <c r="U148" i="73"/>
  <c r="AA147" i="73"/>
  <c r="AE147" i="73" s="1"/>
  <c r="AI147" i="73" s="1"/>
  <c r="AO147" i="73" s="1"/>
  <c r="AS147" i="73" s="1"/>
  <c r="U143" i="73"/>
  <c r="AA146" i="73"/>
  <c r="AE146" i="73" s="1"/>
  <c r="AI146" i="73" s="1"/>
  <c r="AO146" i="73" s="1"/>
  <c r="AS146" i="73" s="1"/>
  <c r="BC163" i="73"/>
  <c r="AA160" i="73"/>
  <c r="AE160" i="73" s="1"/>
  <c r="BC155" i="73"/>
  <c r="U149" i="73"/>
  <c r="BC158" i="73"/>
  <c r="AA155" i="73"/>
  <c r="AE155" i="73" s="1"/>
  <c r="BC148" i="73"/>
  <c r="U147" i="73"/>
  <c r="AA162" i="73"/>
  <c r="AE162" i="73" s="1"/>
  <c r="BB87" i="77"/>
  <c r="BB86" i="77" s="1"/>
  <c r="BD77" i="77"/>
  <c r="AA164" i="73"/>
  <c r="AE164" i="73" s="1"/>
  <c r="U163" i="73"/>
  <c r="AH87" i="77"/>
  <c r="AH86" i="77" s="1"/>
  <c r="U160" i="73"/>
  <c r="P87" i="77"/>
  <c r="P86" i="77" s="1"/>
  <c r="BA185" i="73"/>
  <c r="BA186" i="73"/>
  <c r="BA187" i="73"/>
  <c r="I89" i="77" l="1"/>
  <c r="M89" i="77"/>
  <c r="M95" i="77" s="1"/>
  <c r="Q89" i="77"/>
  <c r="Q95" i="77" s="1"/>
  <c r="U89" i="77"/>
  <c r="U95" i="77" s="1"/>
  <c r="BE144" i="73"/>
  <c r="AW146" i="73"/>
  <c r="AW150" i="73"/>
  <c r="AW145" i="73"/>
  <c r="AW147" i="73"/>
  <c r="AW149" i="73"/>
  <c r="AW148" i="73"/>
  <c r="BE143" i="73"/>
  <c r="AS89" i="77"/>
  <c r="AS95" i="77" s="1"/>
  <c r="AE89" i="77"/>
  <c r="AE95" i="77" s="1"/>
  <c r="AO89" i="77"/>
  <c r="AA89" i="77"/>
  <c r="AA95" i="77" s="1"/>
  <c r="M84" i="77"/>
  <c r="AM89" i="77"/>
  <c r="AM95" i="77" s="1"/>
  <c r="AI89" i="77"/>
  <c r="BA89" i="77"/>
  <c r="BA95" i="77" s="1"/>
  <c r="BC81" i="77"/>
  <c r="BE81" i="77" s="1"/>
  <c r="P95" i="77"/>
  <c r="BC83" i="77"/>
  <c r="BE83" i="77" s="1"/>
  <c r="AH95" i="77"/>
  <c r="AI164" i="73"/>
  <c r="AO164" i="73" s="1"/>
  <c r="AS164" i="73" s="1"/>
  <c r="AI155" i="73"/>
  <c r="AO155" i="73" s="1"/>
  <c r="AS155" i="73" s="1"/>
  <c r="AI162" i="73"/>
  <c r="AO162" i="73" s="1"/>
  <c r="AS162" i="73" s="1"/>
  <c r="AI158" i="73"/>
  <c r="AO158" i="73" s="1"/>
  <c r="AS158" i="73" s="1"/>
  <c r="AI160" i="73"/>
  <c r="AO160" i="73" s="1"/>
  <c r="AS160" i="73" s="1"/>
  <c r="AI163" i="73"/>
  <c r="AO163" i="73" s="1"/>
  <c r="AS163" i="73" s="1"/>
  <c r="AO84" i="77"/>
  <c r="BC91" i="77"/>
  <c r="BE91" i="77" s="1"/>
  <c r="BB95" i="77"/>
  <c r="U84" i="77"/>
  <c r="BC80" i="77"/>
  <c r="AM84" i="77"/>
  <c r="AS84" i="77"/>
  <c r="AA84" i="77"/>
  <c r="BA84" i="77"/>
  <c r="AW84" i="77"/>
  <c r="I84" i="77"/>
  <c r="BC90" i="77"/>
  <c r="AE84" i="77"/>
  <c r="I95" i="77"/>
  <c r="Q84" i="77"/>
  <c r="T87" i="77"/>
  <c r="T86" i="77" s="1"/>
  <c r="AN87" i="77"/>
  <c r="BB63" i="11"/>
  <c r="BB62" i="11"/>
  <c r="BE146" i="73" l="1"/>
  <c r="AW160" i="73"/>
  <c r="AW162" i="73"/>
  <c r="AW163" i="73"/>
  <c r="AW155" i="73"/>
  <c r="BE149" i="73"/>
  <c r="BE147" i="73"/>
  <c r="BE150" i="73"/>
  <c r="AW158" i="73"/>
  <c r="AW164" i="73"/>
  <c r="BE148" i="73"/>
  <c r="BE145" i="73"/>
  <c r="AN86" i="77"/>
  <c r="AN95" i="77" s="1"/>
  <c r="BC89" i="77"/>
  <c r="BC95" i="77" s="1"/>
  <c r="AI95" i="77"/>
  <c r="AO95" i="77"/>
  <c r="T95" i="77"/>
  <c r="BE90" i="77"/>
  <c r="BC84" i="77"/>
  <c r="BE80" i="77"/>
  <c r="BE84" i="77" s="1"/>
  <c r="AR87" i="77"/>
  <c r="BB224" i="6"/>
  <c r="J224" i="6"/>
  <c r="N224" i="6"/>
  <c r="R224" i="6" s="1"/>
  <c r="V224" i="6" s="1"/>
  <c r="Z224" i="6"/>
  <c r="AN224" i="6"/>
  <c r="BE155" i="73" l="1"/>
  <c r="BE163" i="73"/>
  <c r="BE164" i="73"/>
  <c r="BE158" i="73"/>
  <c r="BE162" i="73"/>
  <c r="BE160" i="73"/>
  <c r="AR86" i="77"/>
  <c r="AR95" i="77" s="1"/>
  <c r="BE89" i="77"/>
  <c r="BE95" i="77" s="1"/>
  <c r="BD224" i="6"/>
  <c r="AB224" i="6"/>
  <c r="AJ224" i="6" s="1"/>
  <c r="AP224" i="6" s="1"/>
  <c r="AT224" i="6" s="1"/>
  <c r="AX224" i="6" s="1"/>
  <c r="BF224" i="6" s="1"/>
  <c r="AV87" i="77"/>
  <c r="AV86" i="77" l="1"/>
  <c r="AV95" i="77" s="1"/>
  <c r="BD87" i="77"/>
  <c r="AF224" i="6"/>
  <c r="BD86" i="77" l="1"/>
  <c r="BD95" i="77" s="1"/>
  <c r="AX39" i="27"/>
  <c r="AY36" i="27"/>
  <c r="AY26" i="27"/>
  <c r="AY21" i="27"/>
  <c r="AX24" i="27"/>
  <c r="AZ29" i="22"/>
  <c r="AZ25" i="22"/>
  <c r="AZ24" i="22"/>
  <c r="AZ14" i="22"/>
  <c r="AZ10" i="22"/>
  <c r="AZ9" i="22"/>
  <c r="AZ12" i="22" l="1"/>
  <c r="AY24" i="27"/>
  <c r="AZ27" i="22"/>
  <c r="AY33" i="27"/>
  <c r="AY39" i="27"/>
  <c r="BA40" i="50"/>
  <c r="BA41" i="50"/>
  <c r="BA42" i="50"/>
  <c r="BA43" i="50"/>
  <c r="BA44" i="50"/>
  <c r="BA45" i="50"/>
  <c r="BA39" i="50"/>
  <c r="BA5" i="50"/>
  <c r="BA6" i="50"/>
  <c r="BA7" i="50"/>
  <c r="BA8" i="50"/>
  <c r="BA9" i="50"/>
  <c r="BA10" i="50"/>
  <c r="BA11" i="50"/>
  <c r="BA12" i="50"/>
  <c r="BA13" i="50"/>
  <c r="BA14" i="50"/>
  <c r="BA15" i="50"/>
  <c r="BA16" i="50"/>
  <c r="BA17" i="50"/>
  <c r="BA18" i="50"/>
  <c r="BA19" i="50"/>
  <c r="BA20" i="50"/>
  <c r="BA21" i="50"/>
  <c r="BA22" i="50"/>
  <c r="BA23" i="50"/>
  <c r="BA24" i="50"/>
  <c r="BA25" i="50"/>
  <c r="BA26" i="50"/>
  <c r="BA27" i="50"/>
  <c r="BA29" i="50"/>
  <c r="BA30" i="50"/>
  <c r="BA31" i="50"/>
  <c r="BA32" i="50"/>
  <c r="BA33" i="50"/>
  <c r="BA34" i="50"/>
  <c r="BA35" i="50"/>
  <c r="BA36" i="50"/>
  <c r="BA37" i="50"/>
  <c r="BA4" i="50"/>
  <c r="BD136" i="50"/>
  <c r="BD118" i="50"/>
  <c r="BD94" i="50"/>
  <c r="BD79" i="50"/>
  <c r="BD54" i="50"/>
  <c r="BD46" i="50"/>
  <c r="BD38" i="50"/>
  <c r="BC93" i="50"/>
  <c r="BC92" i="50"/>
  <c r="BC91" i="50"/>
  <c r="BC90" i="50"/>
  <c r="BC88" i="50"/>
  <c r="BC87" i="50"/>
  <c r="BC84" i="50"/>
  <c r="BC83" i="50"/>
  <c r="BC82" i="50"/>
  <c r="BC81" i="50"/>
  <c r="BC80" i="50"/>
  <c r="BC78" i="50"/>
  <c r="BC77" i="50"/>
  <c r="BC76" i="50"/>
  <c r="BC75" i="50"/>
  <c r="BC74" i="50"/>
  <c r="BC73" i="50"/>
  <c r="BC72" i="50"/>
  <c r="BC71" i="50"/>
  <c r="BC70" i="50"/>
  <c r="BC69" i="50"/>
  <c r="BC68" i="50"/>
  <c r="BC66" i="50"/>
  <c r="BC65" i="50"/>
  <c r="BC64" i="50"/>
  <c r="BC63" i="50"/>
  <c r="BC62" i="50"/>
  <c r="BC60" i="50"/>
  <c r="BC59" i="50"/>
  <c r="BC58" i="50"/>
  <c r="BC57" i="50"/>
  <c r="BC56" i="50"/>
  <c r="BC55" i="50"/>
  <c r="BA145" i="50"/>
  <c r="BA143" i="50"/>
  <c r="BA142" i="50"/>
  <c r="BA138" i="50"/>
  <c r="BF136" i="50"/>
  <c r="AZ136" i="50"/>
  <c r="AZ134" i="50"/>
  <c r="AZ133" i="50"/>
  <c r="AZ132" i="50"/>
  <c r="BA128" i="50"/>
  <c r="BF118" i="50"/>
  <c r="AZ118" i="50"/>
  <c r="BA116" i="50"/>
  <c r="AZ116" i="50"/>
  <c r="BA113" i="50"/>
  <c r="AZ113" i="50"/>
  <c r="BA112" i="50"/>
  <c r="AZ112" i="50"/>
  <c r="BF104" i="50"/>
  <c r="AZ104" i="50"/>
  <c r="BA103" i="50"/>
  <c r="BA102" i="50"/>
  <c r="BF94" i="50"/>
  <c r="BA94" i="50"/>
  <c r="BA139" i="50" s="1"/>
  <c r="AZ94" i="50"/>
  <c r="BF79" i="50"/>
  <c r="BA79" i="50"/>
  <c r="AZ79" i="50"/>
  <c r="BF54" i="50"/>
  <c r="AZ54" i="50"/>
  <c r="BA53" i="50"/>
  <c r="BA51" i="50"/>
  <c r="BA50" i="50"/>
  <c r="BA49" i="50"/>
  <c r="BA48" i="50"/>
  <c r="BA47" i="50"/>
  <c r="BF46" i="50"/>
  <c r="AZ46" i="50"/>
  <c r="BF38" i="50"/>
  <c r="AZ38" i="50"/>
  <c r="BA141" i="50" l="1"/>
  <c r="BA13" i="61"/>
  <c r="BA9" i="61"/>
  <c r="BA5" i="61"/>
  <c r="BA15" i="61"/>
  <c r="BA12" i="61"/>
  <c r="BA8" i="61"/>
  <c r="BA4" i="61"/>
  <c r="BA11" i="61"/>
  <c r="BA7" i="61"/>
  <c r="BA14" i="61"/>
  <c r="BA10" i="61"/>
  <c r="BA6" i="61"/>
  <c r="BA129" i="50"/>
  <c r="AX85" i="17"/>
  <c r="AY85" i="17"/>
  <c r="BD95" i="50"/>
  <c r="BC94" i="50"/>
  <c r="BA38" i="50"/>
  <c r="BC79" i="50"/>
  <c r="AZ105" i="50"/>
  <c r="BF105" i="50"/>
  <c r="BA117" i="50"/>
  <c r="AZ95" i="50"/>
  <c r="BF95" i="50"/>
  <c r="BA54" i="50"/>
  <c r="BA140" i="50"/>
  <c r="BA130" i="50"/>
  <c r="BA46" i="50"/>
  <c r="BA131" i="50"/>
  <c r="BA16" i="61" l="1"/>
  <c r="BA125" i="50"/>
  <c r="BA121" i="50"/>
  <c r="BA109" i="50"/>
  <c r="AZ162" i="10"/>
  <c r="BA95" i="50"/>
  <c r="AZ163" i="10" l="1"/>
  <c r="BF10" i="11"/>
  <c r="BF59" i="10" l="1"/>
  <c r="BB59" i="10"/>
  <c r="BB60" i="10"/>
  <c r="BD59" i="10" l="1"/>
  <c r="BB11" i="8"/>
  <c r="BA120" i="50" l="1"/>
  <c r="BB8" i="10"/>
  <c r="BB9" i="10"/>
  <c r="BB10" i="10"/>
  <c r="BB11" i="10"/>
  <c r="BB12" i="10"/>
  <c r="BB13" i="10"/>
  <c r="BB14" i="10"/>
  <c r="BB15" i="10"/>
  <c r="BB16" i="10"/>
  <c r="BB17" i="10"/>
  <c r="BB18" i="10"/>
  <c r="BB19" i="10"/>
  <c r="BB20" i="10"/>
  <c r="BB23" i="10"/>
  <c r="BB26" i="10"/>
  <c r="BB27" i="10"/>
  <c r="BB28" i="10"/>
  <c r="BB29" i="10"/>
  <c r="BB30" i="10"/>
  <c r="BB32" i="10"/>
  <c r="BB34" i="10"/>
  <c r="BB35" i="10"/>
  <c r="BB36" i="10"/>
  <c r="BB37" i="10"/>
  <c r="BB38" i="10"/>
  <c r="BB39" i="10"/>
  <c r="BB42" i="10"/>
  <c r="BB43" i="10"/>
  <c r="BB44" i="10"/>
  <c r="BB45" i="10"/>
  <c r="BB46" i="10"/>
  <c r="BB47" i="10"/>
  <c r="BB48" i="10"/>
  <c r="BB49" i="10"/>
  <c r="BB50" i="10"/>
  <c r="BB51" i="10"/>
  <c r="BB52" i="10"/>
  <c r="BB53" i="10"/>
  <c r="BB54" i="10"/>
  <c r="BB55" i="10"/>
  <c r="BB57" i="10"/>
  <c r="BB58" i="10"/>
  <c r="BB62" i="10"/>
  <c r="BB63" i="10"/>
  <c r="BB64" i="10"/>
  <c r="BB66" i="10"/>
  <c r="BB67" i="10"/>
  <c r="BB69" i="10"/>
  <c r="BB70" i="10"/>
  <c r="BB71" i="10"/>
  <c r="BB72" i="10"/>
  <c r="BB73" i="10"/>
  <c r="BB74" i="10"/>
  <c r="BB75" i="10"/>
  <c r="BB77" i="10"/>
  <c r="BB78" i="10"/>
  <c r="BB79" i="10"/>
  <c r="BB80" i="10"/>
  <c r="BB81" i="10"/>
  <c r="BB82" i="10"/>
  <c r="BB83" i="10"/>
  <c r="BB84" i="10"/>
  <c r="BB85" i="10"/>
  <c r="BB88" i="10"/>
  <c r="BB89" i="10"/>
  <c r="BB90" i="10"/>
  <c r="BB91" i="10"/>
  <c r="BB92" i="10"/>
  <c r="BB93" i="10"/>
  <c r="BB94" i="10"/>
  <c r="BB95" i="10"/>
  <c r="BB96" i="10"/>
  <c r="BB97" i="10"/>
  <c r="BB98" i="10"/>
  <c r="BB99" i="10"/>
  <c r="BB100" i="10"/>
  <c r="BB101" i="10"/>
  <c r="BB102" i="10"/>
  <c r="BB103" i="10"/>
  <c r="BB104" i="10"/>
  <c r="BB105" i="10"/>
  <c r="BB108" i="10"/>
  <c r="BB109" i="10"/>
  <c r="BB110" i="10"/>
  <c r="BB111" i="10"/>
  <c r="BB112" i="10"/>
  <c r="BB113" i="10"/>
  <c r="BB114" i="10"/>
  <c r="BB116" i="10"/>
  <c r="BB117" i="10"/>
  <c r="BB118" i="10"/>
  <c r="BB119" i="10"/>
  <c r="BB120" i="10"/>
  <c r="BB121" i="10"/>
  <c r="BB122" i="10"/>
  <c r="BB151" i="10"/>
  <c r="BB152" i="10"/>
  <c r="BB153" i="10"/>
  <c r="BB154" i="10"/>
  <c r="BA11" i="8"/>
  <c r="AZ10" i="49"/>
  <c r="AZ12" i="49" s="1"/>
  <c r="AZ14" i="49" s="1"/>
  <c r="AZ15" i="49" s="1"/>
  <c r="AZ16" i="49" s="1"/>
  <c r="AZ19" i="49" s="1"/>
  <c r="AZ20" i="49" s="1"/>
  <c r="BA49" i="7"/>
  <c r="BB49" i="7"/>
  <c r="BA64" i="39"/>
  <c r="BB62" i="39"/>
  <c r="BA62" i="39"/>
  <c r="BA59" i="39"/>
  <c r="BA58" i="39"/>
  <c r="BA57" i="39"/>
  <c r="BA56" i="39"/>
  <c r="BA55" i="39"/>
  <c r="BA54" i="39"/>
  <c r="BA39" i="39"/>
  <c r="BA38" i="39"/>
  <c r="BA37" i="39"/>
  <c r="BA31" i="39"/>
  <c r="BA30" i="39"/>
  <c r="BA29" i="39"/>
  <c r="BA28" i="39"/>
  <c r="BA21" i="39"/>
  <c r="BA19" i="39"/>
  <c r="BA18" i="39"/>
  <c r="BA17" i="39"/>
  <c r="BA16" i="39"/>
  <c r="BA15" i="39"/>
  <c r="BA14" i="39"/>
  <c r="BA13" i="39"/>
  <c r="BA12" i="39"/>
  <c r="BA11" i="39"/>
  <c r="BA10" i="39"/>
  <c r="BA9" i="39"/>
  <c r="BA7" i="39"/>
  <c r="BA6" i="39"/>
  <c r="BA5" i="39"/>
  <c r="AX50" i="39"/>
  <c r="AX45" i="39"/>
  <c r="AX8" i="39"/>
  <c r="BA198" i="6"/>
  <c r="BA122" i="50" l="1"/>
  <c r="BD28" i="10"/>
  <c r="BD78" i="10"/>
  <c r="AX51" i="39"/>
  <c r="AX22" i="39"/>
  <c r="AX24" i="39" s="1"/>
  <c r="AY2" i="17"/>
  <c r="AY2" i="26"/>
  <c r="AZ34" i="22"/>
  <c r="BA134" i="50"/>
  <c r="BA124" i="50"/>
  <c r="BA126" i="50" l="1"/>
  <c r="AX2" i="26"/>
  <c r="AX2" i="17"/>
  <c r="BA108" i="50"/>
  <c r="BA110" i="50" l="1"/>
  <c r="BA111" i="50"/>
  <c r="BA118" i="50" l="1"/>
  <c r="BB122" i="6" l="1"/>
  <c r="BB119" i="6"/>
  <c r="BA119" i="6"/>
  <c r="BB118" i="6"/>
  <c r="BA118" i="6"/>
  <c r="BB117" i="6"/>
  <c r="BA117" i="6"/>
  <c r="BB116" i="6"/>
  <c r="BA116" i="6"/>
  <c r="BB113" i="6"/>
  <c r="BA113" i="6"/>
  <c r="BB112" i="6"/>
  <c r="BA112" i="6"/>
  <c r="BB110" i="6"/>
  <c r="BA110" i="6"/>
  <c r="BB109" i="6"/>
  <c r="BA109" i="6"/>
  <c r="BB108" i="6"/>
  <c r="BA108" i="6"/>
  <c r="BB105" i="6"/>
  <c r="BB102" i="6"/>
  <c r="BA102" i="6"/>
  <c r="BB101" i="6"/>
  <c r="BA101" i="6"/>
  <c r="BB100" i="6"/>
  <c r="BA100" i="6"/>
  <c r="BB99" i="6"/>
  <c r="BA99" i="6"/>
  <c r="BB97" i="6"/>
  <c r="BA97" i="6"/>
  <c r="BB96" i="6"/>
  <c r="BA96" i="6"/>
  <c r="BB93" i="6"/>
  <c r="BA93" i="6"/>
  <c r="BB92" i="6"/>
  <c r="BA92" i="6"/>
  <c r="BB91" i="6"/>
  <c r="BA91" i="6"/>
  <c r="BB120" i="6" l="1"/>
  <c r="BB103" i="6"/>
  <c r="BB115" i="6"/>
  <c r="BA115" i="6"/>
  <c r="BA103" i="6"/>
  <c r="BA120" i="6"/>
  <c r="BB121" i="6" l="1"/>
  <c r="BA121" i="6"/>
  <c r="BA123" i="6" l="1"/>
  <c r="BB123" i="6"/>
  <c r="BA7" i="73" l="1"/>
  <c r="BA9" i="73"/>
  <c r="BA10" i="73"/>
  <c r="BA14" i="73"/>
  <c r="BA21" i="73"/>
  <c r="AZ22" i="73"/>
  <c r="BB22" i="73"/>
  <c r="BA23" i="73"/>
  <c r="BA24" i="73"/>
  <c r="BA25" i="73"/>
  <c r="BA31" i="73"/>
  <c r="BA32" i="73"/>
  <c r="BA33" i="73"/>
  <c r="BA34" i="73"/>
  <c r="BA36" i="73"/>
  <c r="BA37" i="73"/>
  <c r="BA38" i="73"/>
  <c r="BA40" i="73"/>
  <c r="BA41" i="73"/>
  <c r="BA42" i="73"/>
  <c r="BA44" i="73"/>
  <c r="BA45" i="73"/>
  <c r="BA47" i="73"/>
  <c r="BA48" i="73"/>
  <c r="BA49" i="73"/>
  <c r="BA50" i="73"/>
  <c r="BA52" i="73"/>
  <c r="BA53" i="73"/>
  <c r="BA54" i="73"/>
  <c r="BA55" i="73"/>
  <c r="BA57" i="73"/>
  <c r="BA59" i="73"/>
  <c r="BA60" i="73"/>
  <c r="BA61" i="73"/>
  <c r="BA63" i="73"/>
  <c r="BA64" i="73"/>
  <c r="BA65" i="73"/>
  <c r="BA66" i="73"/>
  <c r="BA70" i="73"/>
  <c r="BA71" i="73"/>
  <c r="BA72" i="73"/>
  <c r="BA73" i="73"/>
  <c r="BA79" i="73"/>
  <c r="BA80" i="73"/>
  <c r="BA81" i="73"/>
  <c r="BA82" i="73"/>
  <c r="BA83" i="73"/>
  <c r="BA84" i="73"/>
  <c r="BA85" i="73"/>
  <c r="BA87" i="73"/>
  <c r="BA88" i="73"/>
  <c r="BA90" i="73"/>
  <c r="BA95" i="73"/>
  <c r="BA96" i="73"/>
  <c r="BA97" i="73"/>
  <c r="BA98" i="73"/>
  <c r="BA99" i="73"/>
  <c r="BA100" i="73"/>
  <c r="BA101" i="73"/>
  <c r="BA103" i="73"/>
  <c r="BA104" i="73"/>
  <c r="BA117" i="73"/>
  <c r="BA105" i="73"/>
  <c r="BA107" i="73"/>
  <c r="BA108" i="73"/>
  <c r="BA109" i="73"/>
  <c r="BA111" i="73"/>
  <c r="BA114" i="73"/>
  <c r="BA115" i="73"/>
  <c r="BA123" i="73"/>
  <c r="BA124" i="73"/>
  <c r="BA125" i="73"/>
  <c r="AZ126" i="73"/>
  <c r="BB126" i="73"/>
  <c r="BA127" i="73"/>
  <c r="BA128" i="73"/>
  <c r="AZ130" i="73"/>
  <c r="BB130" i="73"/>
  <c r="BA131" i="73"/>
  <c r="AZ134" i="73"/>
  <c r="BB134" i="73"/>
  <c r="BA135" i="73"/>
  <c r="BA136" i="73"/>
  <c r="BA165" i="73"/>
  <c r="BA167" i="73"/>
  <c r="BA169" i="73"/>
  <c r="BA170" i="73"/>
  <c r="BA172" i="73"/>
  <c r="BA173" i="73"/>
  <c r="BA175" i="73"/>
  <c r="BA176" i="73"/>
  <c r="BA177" i="73"/>
  <c r="BA178" i="73"/>
  <c r="AZ179" i="73"/>
  <c r="BB179" i="73"/>
  <c r="BA182" i="73"/>
  <c r="BA183" i="73"/>
  <c r="AZ137" i="73" l="1"/>
  <c r="BB137" i="73"/>
  <c r="BA22" i="73"/>
  <c r="BA144" i="50"/>
  <c r="BA146" i="50" l="1"/>
  <c r="BA147" i="50" s="1"/>
  <c r="AY203" i="10"/>
  <c r="AY34" i="22" l="1"/>
  <c r="AZ203" i="10"/>
  <c r="AY22" i="22" l="1"/>
  <c r="AY7" i="22"/>
  <c r="AZ98" i="50"/>
  <c r="AZ96" i="50" s="1"/>
  <c r="AY8" i="22" l="1"/>
  <c r="AY23" i="22"/>
  <c r="BA98" i="50"/>
  <c r="BA80" i="83"/>
  <c r="BA78" i="83" s="1"/>
  <c r="AY25" i="22" l="1"/>
  <c r="AY10" i="22"/>
  <c r="BA96" i="50"/>
  <c r="AY11" i="22" l="1"/>
  <c r="AY26" i="22"/>
  <c r="AY28" i="22" l="1"/>
  <c r="AY13" i="22"/>
  <c r="AX16" i="61" l="1"/>
  <c r="BB65" i="10" l="1"/>
  <c r="BB68" i="10" l="1"/>
  <c r="S74" i="50" l="1"/>
  <c r="W74" i="50" s="1"/>
  <c r="BE74" i="50"/>
  <c r="AW48" i="50"/>
  <c r="AW49" i="50"/>
  <c r="AW50" i="50"/>
  <c r="AW51" i="50"/>
  <c r="AW53" i="50"/>
  <c r="AW40" i="50"/>
  <c r="AW41" i="50"/>
  <c r="AW42" i="50"/>
  <c r="AW43" i="50"/>
  <c r="AW44" i="50"/>
  <c r="AW45" i="50"/>
  <c r="AW39" i="50"/>
  <c r="AW5" i="50"/>
  <c r="AW6" i="50"/>
  <c r="AW7" i="50"/>
  <c r="AW8" i="50"/>
  <c r="AW9" i="50"/>
  <c r="AW10" i="50"/>
  <c r="AW11" i="50"/>
  <c r="AW12" i="50"/>
  <c r="AW13" i="50"/>
  <c r="AW14" i="50"/>
  <c r="AW15" i="50"/>
  <c r="AW16" i="50"/>
  <c r="AW17" i="50"/>
  <c r="AW18" i="50"/>
  <c r="AW19" i="50"/>
  <c r="AW20" i="50"/>
  <c r="AW21" i="50"/>
  <c r="AW22" i="50"/>
  <c r="AW23" i="50"/>
  <c r="AW24" i="50"/>
  <c r="AW25" i="50"/>
  <c r="AW26" i="50"/>
  <c r="AW27" i="50"/>
  <c r="AW29" i="50"/>
  <c r="AW30" i="50"/>
  <c r="AW31" i="50"/>
  <c r="AW32" i="50"/>
  <c r="AW33" i="50"/>
  <c r="AW34" i="50"/>
  <c r="AW35" i="50"/>
  <c r="AW36" i="50"/>
  <c r="AW37" i="50"/>
  <c r="AW4" i="50"/>
  <c r="AW145" i="50"/>
  <c r="AW143" i="50"/>
  <c r="AW142" i="50"/>
  <c r="AW138" i="50"/>
  <c r="AX136" i="50"/>
  <c r="AV136" i="50"/>
  <c r="AV134" i="50"/>
  <c r="AV133" i="50"/>
  <c r="AV132" i="50"/>
  <c r="AW128" i="50"/>
  <c r="AX118" i="50"/>
  <c r="AV118" i="50"/>
  <c r="AW116" i="50"/>
  <c r="AV116" i="50"/>
  <c r="AW113" i="50"/>
  <c r="AV113" i="50"/>
  <c r="AW112" i="50"/>
  <c r="AV112" i="50"/>
  <c r="AX104" i="50"/>
  <c r="AV104" i="50"/>
  <c r="AW103" i="50"/>
  <c r="AW102" i="50"/>
  <c r="AX94" i="50"/>
  <c r="AW94" i="50"/>
  <c r="AW139" i="50" s="1"/>
  <c r="AV94" i="50"/>
  <c r="AX79" i="50"/>
  <c r="AW79" i="50"/>
  <c r="AW129" i="50" s="1"/>
  <c r="AV79" i="50"/>
  <c r="AX54" i="50"/>
  <c r="AV54" i="50"/>
  <c r="AW47" i="50"/>
  <c r="AX46" i="50"/>
  <c r="AV46" i="50"/>
  <c r="AX38" i="50"/>
  <c r="AV38" i="50"/>
  <c r="G32" i="50"/>
  <c r="K32" i="50" s="1"/>
  <c r="I32" i="50"/>
  <c r="Q32" i="50"/>
  <c r="AE32" i="50"/>
  <c r="AI32" i="50"/>
  <c r="AS32" i="50"/>
  <c r="G33" i="50"/>
  <c r="K33" i="50" s="1"/>
  <c r="I33" i="50"/>
  <c r="Q33" i="50"/>
  <c r="AE33" i="50"/>
  <c r="AI33" i="50"/>
  <c r="G34" i="50"/>
  <c r="K34" i="50" s="1"/>
  <c r="I34" i="50"/>
  <c r="Q34" i="50"/>
  <c r="AE34" i="50"/>
  <c r="AI34" i="50"/>
  <c r="AM34" i="50"/>
  <c r="AS34" i="50"/>
  <c r="G35" i="50"/>
  <c r="I35" i="50"/>
  <c r="Q35" i="50"/>
  <c r="AE35" i="50"/>
  <c r="AI35" i="50"/>
  <c r="AM35" i="50"/>
  <c r="AS35" i="50"/>
  <c r="G36" i="50"/>
  <c r="I36" i="50"/>
  <c r="Q36" i="50"/>
  <c r="AE36" i="50"/>
  <c r="AI36" i="50"/>
  <c r="AM36" i="50"/>
  <c r="AS36" i="50"/>
  <c r="G37" i="50"/>
  <c r="K37" i="50" s="1"/>
  <c r="I37" i="50"/>
  <c r="Q37" i="50"/>
  <c r="AE37" i="50"/>
  <c r="AI37" i="50"/>
  <c r="AM37" i="50"/>
  <c r="AS37" i="50"/>
  <c r="K35" i="50" l="1"/>
  <c r="K36" i="50"/>
  <c r="BG103" i="50"/>
  <c r="AW13" i="61"/>
  <c r="AW9" i="61"/>
  <c r="AW5" i="61"/>
  <c r="BG102" i="50"/>
  <c r="AW15" i="61"/>
  <c r="AW12" i="61"/>
  <c r="AW8" i="61"/>
  <c r="AW4" i="61"/>
  <c r="AW11" i="61"/>
  <c r="AW7" i="61"/>
  <c r="AW14" i="61"/>
  <c r="AW10" i="61"/>
  <c r="AW6" i="61"/>
  <c r="BC37" i="50"/>
  <c r="BC34" i="50"/>
  <c r="BC36" i="50"/>
  <c r="AW140" i="50"/>
  <c r="BC32" i="50"/>
  <c r="BC35" i="50"/>
  <c r="AC74" i="50"/>
  <c r="AG74" i="50" s="1"/>
  <c r="AA32" i="50"/>
  <c r="AV105" i="50"/>
  <c r="AW117" i="50"/>
  <c r="AW54" i="50"/>
  <c r="AV95" i="50"/>
  <c r="AX105" i="50"/>
  <c r="AO36" i="50"/>
  <c r="O33" i="50"/>
  <c r="S33" i="50" s="1"/>
  <c r="W33" i="50" s="1"/>
  <c r="AX95" i="50"/>
  <c r="AW46" i="50"/>
  <c r="AW130" i="50"/>
  <c r="AW38" i="50"/>
  <c r="AW131" i="50"/>
  <c r="AW141" i="50"/>
  <c r="AO37" i="50"/>
  <c r="AA35" i="50"/>
  <c r="O37" i="50"/>
  <c r="S37" i="50" s="1"/>
  <c r="W37" i="50" s="1"/>
  <c r="AA36" i="50"/>
  <c r="AO34" i="50"/>
  <c r="AO35" i="50"/>
  <c r="O35" i="50"/>
  <c r="S35" i="50" s="1"/>
  <c r="W35" i="50" s="1"/>
  <c r="AA34" i="50"/>
  <c r="O36" i="50"/>
  <c r="O34" i="50"/>
  <c r="O32" i="50"/>
  <c r="AW16" i="61" l="1"/>
  <c r="BE37" i="50"/>
  <c r="AW121" i="50"/>
  <c r="AW125" i="50"/>
  <c r="BE34" i="50"/>
  <c r="BE36" i="50"/>
  <c r="AW109" i="50"/>
  <c r="AV162" i="10"/>
  <c r="AK74" i="50"/>
  <c r="AQ74" i="50" s="1"/>
  <c r="AU74" i="50" s="1"/>
  <c r="AY74" i="50" s="1"/>
  <c r="BG74" i="50" s="1"/>
  <c r="BE35" i="50"/>
  <c r="AC35" i="50"/>
  <c r="AG35" i="50" s="1"/>
  <c r="AW95" i="50"/>
  <c r="S32" i="50"/>
  <c r="W32" i="50" s="1"/>
  <c r="AC32" i="50"/>
  <c r="AG32" i="50" s="1"/>
  <c r="AK32" i="50" s="1"/>
  <c r="S34" i="50"/>
  <c r="W34" i="50" s="1"/>
  <c r="AC34" i="50"/>
  <c r="AG34" i="50" s="1"/>
  <c r="S36" i="50"/>
  <c r="W36" i="50" s="1"/>
  <c r="AC36" i="50"/>
  <c r="AG36" i="50" s="1"/>
  <c r="AV163" i="10" l="1"/>
  <c r="AK35" i="50"/>
  <c r="AQ35" i="50" s="1"/>
  <c r="AU35" i="50" s="1"/>
  <c r="AY35" i="50" s="1"/>
  <c r="BG35" i="50" s="1"/>
  <c r="AK36" i="50"/>
  <c r="AQ36" i="50" s="1"/>
  <c r="AU36" i="50" s="1"/>
  <c r="AY36" i="50" s="1"/>
  <c r="BG36" i="50" s="1"/>
  <c r="AK34" i="50"/>
  <c r="AQ34" i="50" s="1"/>
  <c r="AU34" i="50" s="1"/>
  <c r="AY34" i="50" s="1"/>
  <c r="BG34" i="50" s="1"/>
  <c r="AV143" i="45" l="1"/>
  <c r="AU78" i="11"/>
  <c r="AU177" i="10"/>
  <c r="AU98" i="9"/>
  <c r="AT57" i="17"/>
  <c r="AV141" i="45"/>
  <c r="AU76" i="11"/>
  <c r="AU175" i="10"/>
  <c r="AT55" i="17"/>
  <c r="AU192" i="6"/>
  <c r="AV140" i="45"/>
  <c r="AU75" i="11"/>
  <c r="AU174" i="10"/>
  <c r="AU97" i="9"/>
  <c r="AT54" i="17"/>
  <c r="AU191" i="6"/>
  <c r="AU166" i="6"/>
  <c r="G64" i="83"/>
  <c r="I64" i="83"/>
  <c r="U64" i="83"/>
  <c r="Y64" i="83"/>
  <c r="AE64" i="83"/>
  <c r="AM64" i="83"/>
  <c r="AS64" i="83"/>
  <c r="BC64" i="83" s="1"/>
  <c r="AA64" i="83" l="1"/>
  <c r="O64" i="83"/>
  <c r="S64" i="83" s="1"/>
  <c r="K64" i="83"/>
  <c r="AO64" i="83"/>
  <c r="BE64" i="83" s="1"/>
  <c r="AT56" i="17" l="1"/>
  <c r="AC64" i="83"/>
  <c r="AG64" i="83" s="1"/>
  <c r="AK64" i="83" s="1"/>
  <c r="AQ64" i="83" s="1"/>
  <c r="AU64" i="83" s="1"/>
  <c r="AY64" i="83" s="1"/>
  <c r="BG64" i="83" s="1"/>
  <c r="AU85" i="17" l="1"/>
  <c r="AT85" i="17" l="1"/>
  <c r="F222" i="6" l="1"/>
  <c r="F221" i="6"/>
  <c r="BF28" i="10" l="1"/>
  <c r="AV32" i="35" l="1"/>
  <c r="BB32" i="35" s="1"/>
  <c r="AV31" i="35"/>
  <c r="AV41" i="35" l="1"/>
  <c r="AV97" i="11"/>
  <c r="AY73" i="59"/>
  <c r="AW124" i="50"/>
  <c r="AY67" i="59"/>
  <c r="AW120" i="50"/>
  <c r="AX73" i="59"/>
  <c r="AY71" i="59"/>
  <c r="AY69" i="59"/>
  <c r="G47" i="83"/>
  <c r="I47" i="83"/>
  <c r="U47" i="83"/>
  <c r="Y47" i="83"/>
  <c r="AE47" i="83"/>
  <c r="AM47" i="83"/>
  <c r="AS47" i="83"/>
  <c r="BC47" i="83" s="1"/>
  <c r="I26" i="83"/>
  <c r="O26" i="83" s="1"/>
  <c r="U26" i="83"/>
  <c r="Y26" i="83"/>
  <c r="AE26" i="83"/>
  <c r="AM26" i="83"/>
  <c r="AS26" i="83"/>
  <c r="BC26" i="83" s="1"/>
  <c r="I23" i="83"/>
  <c r="O23" i="83" s="1"/>
  <c r="U23" i="83"/>
  <c r="Y23" i="83"/>
  <c r="AE23" i="83"/>
  <c r="AM23" i="83"/>
  <c r="I22" i="83"/>
  <c r="O22" i="83" s="1"/>
  <c r="U22" i="83"/>
  <c r="Y22" i="83"/>
  <c r="AE22" i="83"/>
  <c r="AM22" i="83"/>
  <c r="AS22" i="83"/>
  <c r="BC22" i="83" s="1"/>
  <c r="I20" i="83"/>
  <c r="O20" i="83" s="1"/>
  <c r="U20" i="83"/>
  <c r="Y20" i="83"/>
  <c r="AE20" i="83"/>
  <c r="AM20" i="83"/>
  <c r="AS20" i="83"/>
  <c r="BC20" i="83" s="1"/>
  <c r="I21" i="83"/>
  <c r="O21" i="83" s="1"/>
  <c r="U21" i="83"/>
  <c r="Y21" i="83"/>
  <c r="AE21" i="83"/>
  <c r="AM21" i="83"/>
  <c r="AS21" i="83"/>
  <c r="BC21" i="83" s="1"/>
  <c r="AW126" i="50" l="1"/>
  <c r="AW122" i="50"/>
  <c r="AA21" i="83"/>
  <c r="AC21" i="83" s="1"/>
  <c r="AA20" i="83"/>
  <c r="AC20" i="83" s="1"/>
  <c r="AA22" i="83"/>
  <c r="AC22" i="83" s="1"/>
  <c r="AA23" i="83"/>
  <c r="AC23" i="83" s="1"/>
  <c r="AA26" i="83"/>
  <c r="AC26" i="83" s="1"/>
  <c r="AO47" i="83"/>
  <c r="BE47" i="83" s="1"/>
  <c r="K47" i="83"/>
  <c r="AA47" i="83"/>
  <c r="O47" i="83"/>
  <c r="AO26" i="83"/>
  <c r="BE26" i="83" s="1"/>
  <c r="K26" i="83"/>
  <c r="K20" i="83"/>
  <c r="AO23" i="83"/>
  <c r="K23" i="83"/>
  <c r="AO20" i="83"/>
  <c r="BE20" i="83" s="1"/>
  <c r="AO22" i="83"/>
  <c r="BE22" i="83" s="1"/>
  <c r="K22" i="83"/>
  <c r="AO21" i="83"/>
  <c r="BE21" i="83" s="1"/>
  <c r="K21" i="83"/>
  <c r="AU90" i="90"/>
  <c r="AY59" i="59"/>
  <c r="AW134" i="50" l="1"/>
  <c r="S47" i="83"/>
  <c r="W47" i="83" s="1"/>
  <c r="AC47" i="83"/>
  <c r="AG47" i="83" s="1"/>
  <c r="AK47" i="83" s="1"/>
  <c r="AQ47" i="83" s="1"/>
  <c r="AU47" i="83" s="1"/>
  <c r="AY47" i="83" s="1"/>
  <c r="BG47" i="83" s="1"/>
  <c r="S26" i="83"/>
  <c r="W26" i="83" s="1"/>
  <c r="AG26" i="83"/>
  <c r="AK26" i="83" s="1"/>
  <c r="AQ26" i="83" s="1"/>
  <c r="AU26" i="83" s="1"/>
  <c r="AY26" i="83" s="1"/>
  <c r="BG26" i="83" s="1"/>
  <c r="AG21" i="83"/>
  <c r="AK21" i="83" s="1"/>
  <c r="AQ21" i="83" s="1"/>
  <c r="AU21" i="83" s="1"/>
  <c r="AY21" i="83" s="1"/>
  <c r="BG21" i="83" s="1"/>
  <c r="S23" i="83"/>
  <c r="W23" i="83" s="1"/>
  <c r="AG23" i="83"/>
  <c r="AK23" i="83" s="1"/>
  <c r="S22" i="83"/>
  <c r="W22" i="83" s="1"/>
  <c r="AG22" i="83"/>
  <c r="AK22" i="83" s="1"/>
  <c r="S21" i="83"/>
  <c r="W21" i="83" s="1"/>
  <c r="S20" i="83"/>
  <c r="W20" i="83" s="1"/>
  <c r="AG20" i="83"/>
  <c r="AK20" i="83" s="1"/>
  <c r="AW108" i="50" l="1"/>
  <c r="AV30" i="35"/>
  <c r="AQ22" i="83"/>
  <c r="AU22" i="83" s="1"/>
  <c r="AY22" i="83" s="1"/>
  <c r="BG22" i="83" s="1"/>
  <c r="AQ20" i="83"/>
  <c r="AU20" i="83" s="1"/>
  <c r="AY20" i="83" s="1"/>
  <c r="BG20" i="83" s="1"/>
  <c r="AQ23" i="83"/>
  <c r="AV40" i="35"/>
  <c r="AV49" i="35" s="1"/>
  <c r="AY65" i="59"/>
  <c r="AY63" i="59"/>
  <c r="AW111" i="50" l="1"/>
  <c r="AW110" i="50"/>
  <c r="AV33" i="35"/>
  <c r="AV37" i="35" s="1"/>
  <c r="AW80" i="83" s="1"/>
  <c r="AW78" i="83" s="1"/>
  <c r="AV203" i="10"/>
  <c r="AW81" i="8"/>
  <c r="AW73" i="8"/>
  <c r="AW52" i="8"/>
  <c r="AW118" i="50" l="1"/>
  <c r="AV25" i="36"/>
  <c r="AY75" i="59" s="1"/>
  <c r="AV55" i="35"/>
  <c r="AV10" i="49"/>
  <c r="AV12" i="49" s="1"/>
  <c r="AV14" i="49" s="1"/>
  <c r="AV15" i="49" s="1"/>
  <c r="AV16" i="49" s="1"/>
  <c r="AV19" i="49" s="1"/>
  <c r="AV20" i="49" s="1"/>
  <c r="AV15" i="36" s="1"/>
  <c r="AU2" i="26"/>
  <c r="AU2" i="17"/>
  <c r="AX65" i="59" l="1"/>
  <c r="AX69" i="59"/>
  <c r="AW113" i="7"/>
  <c r="AW112" i="7"/>
  <c r="AW111" i="7"/>
  <c r="AW110" i="7"/>
  <c r="AW109" i="7"/>
  <c r="AW108" i="7"/>
  <c r="AW107" i="7"/>
  <c r="AW106" i="7"/>
  <c r="AW85" i="7"/>
  <c r="AU113" i="7"/>
  <c r="AU112" i="7"/>
  <c r="AU111" i="7"/>
  <c r="AU110" i="7"/>
  <c r="AU109" i="7"/>
  <c r="AU108" i="7"/>
  <c r="AU107" i="7"/>
  <c r="AU106" i="7"/>
  <c r="AV84" i="7"/>
  <c r="AU84" i="7"/>
  <c r="AV82" i="7"/>
  <c r="AU82" i="7"/>
  <c r="AV75" i="7"/>
  <c r="AU75" i="7"/>
  <c r="AV71" i="7"/>
  <c r="AU71" i="7"/>
  <c r="AV67" i="7"/>
  <c r="AU67" i="7"/>
  <c r="AV21" i="7"/>
  <c r="AU21" i="7"/>
  <c r="AU36" i="7" l="1"/>
  <c r="AU99" i="7" s="1"/>
  <c r="AU33" i="7"/>
  <c r="AU96" i="7" s="1"/>
  <c r="AU29" i="7"/>
  <c r="AU93" i="7" s="1"/>
  <c r="AX33" i="59" s="1"/>
  <c r="AU26" i="7"/>
  <c r="AU59" i="7"/>
  <c r="AU56" i="7"/>
  <c r="AU101" i="7" s="1"/>
  <c r="AU23" i="7"/>
  <c r="AU87" i="7" s="1"/>
  <c r="AX29" i="59" s="1"/>
  <c r="AU37" i="7"/>
  <c r="AU100" i="7" s="1"/>
  <c r="AU34" i="7"/>
  <c r="AU97" i="7" s="1"/>
  <c r="AU31" i="7"/>
  <c r="AX34" i="59" s="1"/>
  <c r="AU27" i="7"/>
  <c r="AU91" i="7" s="1"/>
  <c r="AU24" i="7"/>
  <c r="AU60" i="7"/>
  <c r="AU57" i="7"/>
  <c r="AU54" i="7"/>
  <c r="AU61" i="7"/>
  <c r="AU102" i="7" s="1"/>
  <c r="AU35" i="7"/>
  <c r="AU98" i="7" s="1"/>
  <c r="AU32" i="7"/>
  <c r="AU95" i="7" s="1"/>
  <c r="AU28" i="7"/>
  <c r="AU92" i="7" s="1"/>
  <c r="AU25" i="7"/>
  <c r="AU62" i="7"/>
  <c r="AU58" i="7"/>
  <c r="AU55" i="7"/>
  <c r="AV59" i="7"/>
  <c r="AV23" i="7"/>
  <c r="AV87" i="7" s="1"/>
  <c r="AV29" i="7"/>
  <c r="AV93" i="7" s="1"/>
  <c r="AV37" i="7"/>
  <c r="AV100" i="7" s="1"/>
  <c r="AV34" i="7"/>
  <c r="AV97" i="7" s="1"/>
  <c r="AV31" i="7"/>
  <c r="AV27" i="7"/>
  <c r="AV91" i="7" s="1"/>
  <c r="AV24" i="7"/>
  <c r="AV60" i="7"/>
  <c r="AV57" i="7"/>
  <c r="AV54" i="7"/>
  <c r="AV61" i="7"/>
  <c r="AV102" i="7" s="1"/>
  <c r="AV35" i="7"/>
  <c r="AV98" i="7" s="1"/>
  <c r="AV32" i="7"/>
  <c r="AV95" i="7" s="1"/>
  <c r="AV28" i="7"/>
  <c r="AV92" i="7" s="1"/>
  <c r="AV25" i="7"/>
  <c r="AV62" i="7"/>
  <c r="AV58" i="7"/>
  <c r="AV55" i="7"/>
  <c r="AV33" i="7"/>
  <c r="AV96" i="7" s="1"/>
  <c r="AV26" i="7"/>
  <c r="AV56" i="7"/>
  <c r="AV101" i="7" s="1"/>
  <c r="AV36" i="7"/>
  <c r="AV99" i="7" s="1"/>
  <c r="AU73" i="7"/>
  <c r="AV73" i="7"/>
  <c r="AU41" i="7"/>
  <c r="AV41" i="7"/>
  <c r="AU49" i="39"/>
  <c r="AV83" i="7"/>
  <c r="AY35" i="59" s="1"/>
  <c r="AY33" i="59"/>
  <c r="AY29" i="59"/>
  <c r="AT2" i="26"/>
  <c r="AT2" i="17"/>
  <c r="AU83" i="7"/>
  <c r="AX35" i="59" s="1"/>
  <c r="AU81" i="7"/>
  <c r="AX28" i="59" s="1"/>
  <c r="AV81" i="7"/>
  <c r="AY28" i="59" s="1"/>
  <c r="AU68" i="7"/>
  <c r="AU78" i="7"/>
  <c r="AV69" i="7"/>
  <c r="AV78" i="7"/>
  <c r="AU76" i="7"/>
  <c r="AY34" i="59"/>
  <c r="AV76" i="7"/>
  <c r="AT50" i="39"/>
  <c r="AT45" i="39"/>
  <c r="AT8" i="39"/>
  <c r="AW199" i="6"/>
  <c r="AW198" i="6"/>
  <c r="AW197" i="6"/>
  <c r="AW190" i="6"/>
  <c r="AW189" i="6"/>
  <c r="AW186" i="6"/>
  <c r="AW185" i="6"/>
  <c r="AW184" i="6"/>
  <c r="AW183" i="6"/>
  <c r="AW182" i="6"/>
  <c r="AW181" i="6"/>
  <c r="AW179" i="6"/>
  <c r="AW178" i="6"/>
  <c r="AW177" i="6"/>
  <c r="AW165" i="6"/>
  <c r="AW164" i="6"/>
  <c r="AW161" i="6"/>
  <c r="AW160" i="6"/>
  <c r="AW159" i="6"/>
  <c r="AW158" i="6"/>
  <c r="AW157" i="6"/>
  <c r="AW156" i="6"/>
  <c r="AW154" i="6"/>
  <c r="AW153" i="6"/>
  <c r="AW149" i="6"/>
  <c r="AW85" i="6"/>
  <c r="AW83" i="6"/>
  <c r="AW82" i="6"/>
  <c r="AW80" i="6"/>
  <c r="AW79" i="6"/>
  <c r="AW40" i="6"/>
  <c r="AW39" i="6"/>
  <c r="AW38" i="6"/>
  <c r="AW37" i="6"/>
  <c r="AU90" i="7" l="1"/>
  <c r="AX32" i="59" s="1"/>
  <c r="AU88" i="7"/>
  <c r="AU89" i="7"/>
  <c r="AV88" i="7"/>
  <c r="AV89" i="7"/>
  <c r="AY31" i="59" s="1"/>
  <c r="AV90" i="7"/>
  <c r="AY32" i="59" s="1"/>
  <c r="AU51" i="39"/>
  <c r="AV51" i="7"/>
  <c r="AU51" i="7"/>
  <c r="AX31" i="59"/>
  <c r="AT51" i="39"/>
  <c r="AT22" i="39"/>
  <c r="AW41" i="6"/>
  <c r="AV38" i="7"/>
  <c r="AV53" i="7" s="1"/>
  <c r="AU38" i="7"/>
  <c r="AU53" i="7" s="1"/>
  <c r="AU103" i="7" l="1"/>
  <c r="AX30" i="59"/>
  <c r="AV103" i="7"/>
  <c r="AY30" i="59"/>
  <c r="AT24" i="39"/>
  <c r="AV63" i="7"/>
  <c r="AV77" i="7"/>
  <c r="AU63" i="7"/>
  <c r="AU77" i="7"/>
  <c r="AZ59" i="59" l="1"/>
  <c r="AZ44" i="59"/>
  <c r="AZ41" i="59"/>
  <c r="BA12" i="59"/>
  <c r="AZ12" i="59"/>
  <c r="AZ11" i="59"/>
  <c r="AW144" i="50" l="1"/>
  <c r="AV98" i="50"/>
  <c r="AV96" i="50" s="1"/>
  <c r="AV1" i="35"/>
  <c r="AV21" i="35" s="1"/>
  <c r="AV26" i="9" s="1"/>
  <c r="AR1" i="35"/>
  <c r="AR21" i="35" s="1"/>
  <c r="AW146" i="50" l="1"/>
  <c r="AU122" i="90"/>
  <c r="AW98" i="50"/>
  <c r="AW96" i="50" l="1"/>
  <c r="AW147" i="50"/>
  <c r="AU126" i="90"/>
  <c r="M142" i="45" l="1"/>
  <c r="L142" i="45"/>
  <c r="F77" i="11"/>
  <c r="E77" i="11"/>
  <c r="AR176" i="10"/>
  <c r="AQ176" i="10"/>
  <c r="AY52" i="59" l="1"/>
  <c r="AS70" i="83"/>
  <c r="BC70" i="83" s="1"/>
  <c r="AS72" i="83"/>
  <c r="BC72" i="83" s="1"/>
  <c r="AS73" i="83"/>
  <c r="BC73" i="83" s="1"/>
  <c r="AS74" i="83"/>
  <c r="BC74" i="83" s="1"/>
  <c r="AS75" i="83"/>
  <c r="BC75" i="83" s="1"/>
  <c r="AS53" i="83"/>
  <c r="BC53" i="83" s="1"/>
  <c r="AS54" i="83"/>
  <c r="BC54" i="83" s="1"/>
  <c r="AS55" i="83"/>
  <c r="BC55" i="83" s="1"/>
  <c r="AS56" i="83"/>
  <c r="BC56" i="83" s="1"/>
  <c r="AS57" i="83"/>
  <c r="BC57" i="83" s="1"/>
  <c r="AS58" i="83"/>
  <c r="BC58" i="83" s="1"/>
  <c r="AS59" i="83"/>
  <c r="BC59" i="83" s="1"/>
  <c r="AS60" i="83"/>
  <c r="BC60" i="83" s="1"/>
  <c r="AS61" i="83"/>
  <c r="BC61" i="83" s="1"/>
  <c r="AS62" i="83"/>
  <c r="BC62" i="83" s="1"/>
  <c r="AS63" i="83"/>
  <c r="BC63" i="83" s="1"/>
  <c r="AS65" i="83"/>
  <c r="BC65" i="83" s="1"/>
  <c r="AS66" i="83"/>
  <c r="BC66" i="83" s="1"/>
  <c r="AS67" i="83"/>
  <c r="BC67" i="83" s="1"/>
  <c r="AS52" i="83"/>
  <c r="BC52" i="83" s="1"/>
  <c r="AS48" i="83"/>
  <c r="BC48" i="83" s="1"/>
  <c r="AS50" i="83"/>
  <c r="BC50" i="83" s="1"/>
  <c r="AS46" i="83"/>
  <c r="BC46" i="83" s="1"/>
  <c r="AS40" i="83"/>
  <c r="BC40" i="83" s="1"/>
  <c r="AS41" i="83"/>
  <c r="BC41" i="83" s="1"/>
  <c r="AS42" i="83"/>
  <c r="BC42" i="83" s="1"/>
  <c r="AS43" i="83"/>
  <c r="BC43" i="83" s="1"/>
  <c r="AS44" i="83"/>
  <c r="BC44" i="83" s="1"/>
  <c r="AS39" i="83"/>
  <c r="BC39" i="83" s="1"/>
  <c r="AS5" i="83"/>
  <c r="BC5" i="83" s="1"/>
  <c r="AS6" i="83"/>
  <c r="BC6" i="83" s="1"/>
  <c r="AS7" i="83"/>
  <c r="BC7" i="83" s="1"/>
  <c r="AS8" i="83"/>
  <c r="BC8" i="83" s="1"/>
  <c r="AS10" i="83"/>
  <c r="BC10" i="83" s="1"/>
  <c r="AS11" i="83"/>
  <c r="BC11" i="83" s="1"/>
  <c r="AS12" i="83"/>
  <c r="BC12" i="83" s="1"/>
  <c r="AS13" i="83"/>
  <c r="BC13" i="83" s="1"/>
  <c r="AS14" i="83"/>
  <c r="BC14" i="83" s="1"/>
  <c r="AS15" i="83"/>
  <c r="BC15" i="83" s="1"/>
  <c r="AS16" i="83"/>
  <c r="BC16" i="83" s="1"/>
  <c r="AS17" i="83"/>
  <c r="BC17" i="83" s="1"/>
  <c r="AS18" i="83"/>
  <c r="BC18" i="83" s="1"/>
  <c r="AS19" i="83"/>
  <c r="BC19" i="83" s="1"/>
  <c r="AS25" i="83"/>
  <c r="BC25" i="83" s="1"/>
  <c r="AS30" i="83"/>
  <c r="BC30" i="83" s="1"/>
  <c r="AS31" i="83"/>
  <c r="BC31" i="83" s="1"/>
  <c r="AS33" i="83"/>
  <c r="BC33" i="83" s="1"/>
  <c r="AS34" i="83"/>
  <c r="BC34" i="83" s="1"/>
  <c r="AS35" i="83"/>
  <c r="BC35" i="83" s="1"/>
  <c r="AS36" i="83"/>
  <c r="BC36" i="83" s="1"/>
  <c r="AS37" i="83"/>
  <c r="BC37" i="83" s="1"/>
  <c r="AS4" i="83"/>
  <c r="BC4" i="83" s="1"/>
  <c r="BC45" i="83" l="1"/>
  <c r="BC51" i="83"/>
  <c r="BC76" i="83"/>
  <c r="AS76" i="83"/>
  <c r="AS51" i="83"/>
  <c r="AS45" i="83"/>
  <c r="BE12" i="38" l="1"/>
  <c r="BE11" i="38"/>
  <c r="BF78" i="10" l="1"/>
  <c r="BB136" i="10"/>
  <c r="BF86" i="10"/>
  <c r="BB76" i="10"/>
  <c r="BB61" i="10"/>
  <c r="BB56" i="10"/>
  <c r="BB41" i="10" l="1"/>
  <c r="AS23" i="83"/>
  <c r="BB24" i="10"/>
  <c r="AS27" i="83"/>
  <c r="BC27" i="83" s="1"/>
  <c r="BB25" i="10"/>
  <c r="AS29" i="83"/>
  <c r="BC29" i="83" s="1"/>
  <c r="BB33" i="10"/>
  <c r="AS9" i="83"/>
  <c r="BB40" i="10"/>
  <c r="AS24" i="83"/>
  <c r="BC24" i="83" s="1"/>
  <c r="BB86" i="10"/>
  <c r="AS33" i="50"/>
  <c r="AS32" i="83"/>
  <c r="BC32" i="83" s="1"/>
  <c r="BC33" i="50" l="1"/>
  <c r="BD86" i="10"/>
  <c r="BC9" i="83"/>
  <c r="AS38" i="83"/>
  <c r="BC23" i="83"/>
  <c r="BE23" i="83" s="1"/>
  <c r="AU23" i="83"/>
  <c r="AY23" i="83" s="1"/>
  <c r="BG23" i="83" s="1"/>
  <c r="AS40" i="50"/>
  <c r="AS41" i="50"/>
  <c r="AS42" i="50"/>
  <c r="AS43" i="50"/>
  <c r="AS44" i="50"/>
  <c r="AS45" i="50"/>
  <c r="AS39" i="50"/>
  <c r="AS5" i="50"/>
  <c r="AS6" i="50"/>
  <c r="AS7" i="50"/>
  <c r="AS8" i="50"/>
  <c r="AS9" i="50"/>
  <c r="AS10" i="50"/>
  <c r="AS11" i="50"/>
  <c r="AS12" i="50"/>
  <c r="AS13" i="50"/>
  <c r="AS14" i="50"/>
  <c r="AS15" i="50"/>
  <c r="AS16" i="50"/>
  <c r="AS17" i="50"/>
  <c r="AS18" i="50"/>
  <c r="AS19" i="50"/>
  <c r="AS20" i="50"/>
  <c r="AS21" i="50"/>
  <c r="AS22" i="50"/>
  <c r="AS23" i="50"/>
  <c r="AS24" i="50"/>
  <c r="AS25" i="50"/>
  <c r="AS26" i="50"/>
  <c r="AS27" i="50"/>
  <c r="AS29" i="50"/>
  <c r="AS30" i="50"/>
  <c r="AS31" i="50"/>
  <c r="AS4" i="50"/>
  <c r="AT136" i="50"/>
  <c r="AT118" i="50"/>
  <c r="AT104" i="50"/>
  <c r="AT94" i="50"/>
  <c r="AT79" i="50"/>
  <c r="AT54" i="50"/>
  <c r="AT46" i="50"/>
  <c r="AT38" i="50"/>
  <c r="AS145" i="50"/>
  <c r="AS143" i="50"/>
  <c r="AS142" i="50"/>
  <c r="AS138" i="50"/>
  <c r="AR136" i="50"/>
  <c r="AR134" i="50"/>
  <c r="AR133" i="50"/>
  <c r="AR132" i="50"/>
  <c r="AS128" i="50"/>
  <c r="AR118" i="50"/>
  <c r="AS116" i="50"/>
  <c r="AR116" i="50"/>
  <c r="AS113" i="50"/>
  <c r="AR113" i="50"/>
  <c r="AS112" i="50"/>
  <c r="AR112" i="50"/>
  <c r="AR104" i="50"/>
  <c r="AS103" i="50"/>
  <c r="AS102" i="50"/>
  <c r="AS94" i="50"/>
  <c r="AR94" i="50"/>
  <c r="AS79" i="50"/>
  <c r="AR79" i="50"/>
  <c r="AR54" i="50"/>
  <c r="AS53" i="50"/>
  <c r="AS51" i="50"/>
  <c r="AS50" i="50"/>
  <c r="AS49" i="50"/>
  <c r="AS48" i="50"/>
  <c r="AS47" i="50"/>
  <c r="AR46" i="50"/>
  <c r="AR38" i="50"/>
  <c r="BC47" i="50" l="1"/>
  <c r="BC51" i="50"/>
  <c r="BC143" i="50"/>
  <c r="BC30" i="50"/>
  <c r="BC25" i="50"/>
  <c r="BC9" i="50"/>
  <c r="BC5" i="50"/>
  <c r="BC43" i="50"/>
  <c r="BC48" i="50"/>
  <c r="BC53" i="50"/>
  <c r="BC113" i="50"/>
  <c r="BC128" i="50"/>
  <c r="BC145" i="50"/>
  <c r="BC29" i="50"/>
  <c r="BC8" i="50"/>
  <c r="BC39" i="50"/>
  <c r="BC42" i="50"/>
  <c r="BC49" i="50"/>
  <c r="BC138" i="50"/>
  <c r="BC4" i="50"/>
  <c r="BC27" i="50"/>
  <c r="BC23" i="50"/>
  <c r="BC11" i="50"/>
  <c r="BC7" i="50"/>
  <c r="BC45" i="50"/>
  <c r="BC41" i="50"/>
  <c r="BC50" i="50"/>
  <c r="BC112" i="50"/>
  <c r="BC116" i="50"/>
  <c r="BC142" i="50"/>
  <c r="BC31" i="50"/>
  <c r="BC26" i="50"/>
  <c r="BC10" i="50"/>
  <c r="BC6" i="50"/>
  <c r="BC44" i="50"/>
  <c r="BC40" i="50"/>
  <c r="BC38" i="83"/>
  <c r="AS13" i="61"/>
  <c r="BC21" i="50"/>
  <c r="AS12" i="61"/>
  <c r="BC12" i="61" s="1"/>
  <c r="BC20" i="50"/>
  <c r="AS11" i="61"/>
  <c r="BC11" i="61" s="1"/>
  <c r="BC19" i="50"/>
  <c r="AS10" i="61"/>
  <c r="BC10" i="61" s="1"/>
  <c r="BC18" i="50"/>
  <c r="AS9" i="61"/>
  <c r="BC9" i="61" s="1"/>
  <c r="BC17" i="50"/>
  <c r="AS8" i="61"/>
  <c r="BC8" i="61" s="1"/>
  <c r="BC16" i="50"/>
  <c r="AS7" i="61"/>
  <c r="BC7" i="61" s="1"/>
  <c r="BC15" i="50"/>
  <c r="AS6" i="61"/>
  <c r="BC6" i="61" s="1"/>
  <c r="BC14" i="50"/>
  <c r="AS5" i="61"/>
  <c r="BC5" i="61" s="1"/>
  <c r="BC13" i="50"/>
  <c r="AS15" i="61"/>
  <c r="BC24" i="50"/>
  <c r="AS4" i="61"/>
  <c r="BC12" i="50"/>
  <c r="AS14" i="61"/>
  <c r="BC22" i="50"/>
  <c r="AU102" i="50"/>
  <c r="AY102" i="50"/>
  <c r="AU103" i="50"/>
  <c r="AY103" i="50"/>
  <c r="AS129" i="50"/>
  <c r="AS68" i="83"/>
  <c r="AR105" i="50"/>
  <c r="AT105" i="50"/>
  <c r="AR95" i="50"/>
  <c r="AT95" i="50"/>
  <c r="AS54" i="50"/>
  <c r="AS117" i="50"/>
  <c r="AS46" i="50"/>
  <c r="AS38" i="50"/>
  <c r="AS139" i="50"/>
  <c r="BC139" i="50" s="1"/>
  <c r="AU68" i="59"/>
  <c r="AT68" i="59"/>
  <c r="AR190" i="10"/>
  <c r="AR188" i="10"/>
  <c r="AR182" i="10"/>
  <c r="AR177" i="10"/>
  <c r="AQ177" i="10"/>
  <c r="AR175" i="10"/>
  <c r="AQ175" i="10"/>
  <c r="AR174" i="10"/>
  <c r="AQ174" i="10"/>
  <c r="AR172" i="10"/>
  <c r="AR170" i="10"/>
  <c r="AQ170" i="10"/>
  <c r="AR168" i="10"/>
  <c r="AU64" i="59" s="1"/>
  <c r="AQ168" i="10"/>
  <c r="AT64" i="59" s="1"/>
  <c r="AR165" i="10"/>
  <c r="AQ165" i="10"/>
  <c r="AR160" i="10"/>
  <c r="AR158" i="10"/>
  <c r="AR210" i="10" s="1"/>
  <c r="AR159" i="10"/>
  <c r="AR199" i="10"/>
  <c r="AR39" i="35" s="1"/>
  <c r="BB39" i="35" l="1"/>
  <c r="AU76" i="59"/>
  <c r="BC46" i="50"/>
  <c r="BC54" i="50"/>
  <c r="AQ166" i="10"/>
  <c r="AR183" i="10"/>
  <c r="BC140" i="50"/>
  <c r="AR166" i="10"/>
  <c r="BC129" i="50"/>
  <c r="BC130" i="50" s="1"/>
  <c r="BC117" i="50"/>
  <c r="AS125" i="50"/>
  <c r="AS109" i="50"/>
  <c r="AR191" i="10"/>
  <c r="AR192" i="10"/>
  <c r="AS121" i="50"/>
  <c r="AS95" i="50"/>
  <c r="AS120" i="50"/>
  <c r="AR31" i="35"/>
  <c r="BB31" i="35" s="1"/>
  <c r="AS108" i="50"/>
  <c r="AR30" i="35"/>
  <c r="AS130" i="50"/>
  <c r="AS131" i="50"/>
  <c r="AR173" i="10"/>
  <c r="BB64" i="11"/>
  <c r="AS69" i="83"/>
  <c r="AS77" i="83" s="1"/>
  <c r="BC77" i="83" s="1"/>
  <c r="BC68" i="83"/>
  <c r="AS16" i="61"/>
  <c r="BC38" i="50"/>
  <c r="AS124" i="50"/>
  <c r="AR162" i="10"/>
  <c r="AS141" i="50"/>
  <c r="BC141" i="50" s="1"/>
  <c r="AS140" i="50"/>
  <c r="AT69" i="59"/>
  <c r="AR22" i="36"/>
  <c r="AU67" i="59" s="1"/>
  <c r="AU69" i="59"/>
  <c r="AR189" i="10"/>
  <c r="AR184" i="10"/>
  <c r="AR200" i="10"/>
  <c r="AR40" i="35" s="1"/>
  <c r="BB40" i="35" s="1"/>
  <c r="AR161" i="10"/>
  <c r="AR21" i="36" s="1"/>
  <c r="AU63" i="59" s="1"/>
  <c r="AR178" i="10"/>
  <c r="AU65" i="59" s="1"/>
  <c r="AR196" i="10"/>
  <c r="AR193" i="10" l="1"/>
  <c r="AS122" i="50"/>
  <c r="BC120" i="50"/>
  <c r="BC125" i="50"/>
  <c r="BC109" i="50"/>
  <c r="BC124" i="50"/>
  <c r="BC108" i="50"/>
  <c r="BC121" i="50"/>
  <c r="BC131" i="50"/>
  <c r="AR163" i="10"/>
  <c r="AR203" i="10"/>
  <c r="BB30" i="35"/>
  <c r="AR33" i="35"/>
  <c r="AR37" i="35" s="1"/>
  <c r="AR25" i="36" s="1"/>
  <c r="AU75" i="59" s="1"/>
  <c r="AS111" i="50"/>
  <c r="AS110" i="50"/>
  <c r="AR41" i="35"/>
  <c r="BB41" i="35" s="1"/>
  <c r="AR97" i="11"/>
  <c r="BB61" i="11"/>
  <c r="BC69" i="83"/>
  <c r="BB162" i="10"/>
  <c r="BC95" i="50"/>
  <c r="AS126" i="50"/>
  <c r="BC122" i="50" l="1"/>
  <c r="BC126" i="50"/>
  <c r="BC110" i="50"/>
  <c r="BC111" i="50"/>
  <c r="BC118" i="50" s="1"/>
  <c r="AS118" i="50"/>
  <c r="AR49" i="35"/>
  <c r="AT159" i="9"/>
  <c r="AT158" i="9"/>
  <c r="AT157" i="9"/>
  <c r="AQ104" i="9"/>
  <c r="AT58" i="59" s="1"/>
  <c r="AQ102" i="9"/>
  <c r="AQ101" i="9"/>
  <c r="AR99" i="9"/>
  <c r="AR98" i="9"/>
  <c r="AQ98" i="9"/>
  <c r="AR97" i="9"/>
  <c r="AQ97" i="9"/>
  <c r="AR93" i="9"/>
  <c r="AQ76" i="9"/>
  <c r="AQ77" i="9" s="1"/>
  <c r="AQ74" i="9"/>
  <c r="AR60" i="9"/>
  <c r="AR57" i="9"/>
  <c r="AQ53" i="9"/>
  <c r="AQ52" i="9"/>
  <c r="AT57" i="59" s="1"/>
  <c r="AQ51" i="9"/>
  <c r="AQ47" i="9"/>
  <c r="AR46" i="9"/>
  <c r="AR20" i="35" s="1"/>
  <c r="AR36" i="9"/>
  <c r="AR35" i="9"/>
  <c r="AR47" i="9" s="1"/>
  <c r="AR34" i="9"/>
  <c r="AR31" i="9"/>
  <c r="AR25" i="9"/>
  <c r="AQ24" i="9"/>
  <c r="AQ22" i="9"/>
  <c r="AR19" i="9"/>
  <c r="AR57" i="36" s="1"/>
  <c r="AR17" i="36" s="1"/>
  <c r="AR10" i="9"/>
  <c r="AR5" i="9"/>
  <c r="AR10" i="49"/>
  <c r="AR12" i="49" s="1"/>
  <c r="AR14" i="49" s="1"/>
  <c r="AR15" i="49" s="1"/>
  <c r="AR16" i="49" s="1"/>
  <c r="AR19" i="49" s="1"/>
  <c r="AR20" i="49" s="1"/>
  <c r="AR21" i="39"/>
  <c r="BB139" i="6"/>
  <c r="BB136" i="6"/>
  <c r="BA136" i="6"/>
  <c r="BB135" i="6"/>
  <c r="BA135" i="6"/>
  <c r="BB134" i="6"/>
  <c r="BA134" i="6"/>
  <c r="BB133" i="6"/>
  <c r="BA133" i="6"/>
  <c r="BB131" i="6"/>
  <c r="BA131" i="6"/>
  <c r="BB127" i="6"/>
  <c r="BA127" i="6"/>
  <c r="BB126" i="6"/>
  <c r="BA126" i="6"/>
  <c r="BB125" i="6"/>
  <c r="BA125" i="6"/>
  <c r="BB20" i="35" l="1"/>
  <c r="AU59" i="59"/>
  <c r="AQ130" i="26"/>
  <c r="AR34" i="22"/>
  <c r="AR55" i="35"/>
  <c r="AU54" i="59"/>
  <c r="AR18" i="36"/>
  <c r="AU55" i="59" s="1"/>
  <c r="AS134" i="50"/>
  <c r="AQ90" i="90"/>
  <c r="BA90" i="90" s="1"/>
  <c r="BA61" i="39"/>
  <c r="AV21" i="39"/>
  <c r="BA8" i="39"/>
  <c r="BA42" i="39"/>
  <c r="BA43" i="39"/>
  <c r="BA46" i="39"/>
  <c r="BA47" i="39"/>
  <c r="BA48" i="39"/>
  <c r="BA60" i="39"/>
  <c r="AQ2" i="17"/>
  <c r="AQ2" i="26"/>
  <c r="AQ6" i="26"/>
  <c r="AR96" i="9"/>
  <c r="BB137" i="6"/>
  <c r="BB132" i="6"/>
  <c r="BA132" i="6"/>
  <c r="BA137" i="6"/>
  <c r="AR62" i="9"/>
  <c r="AR48" i="9"/>
  <c r="AR49" i="9" s="1"/>
  <c r="AR14" i="9"/>
  <c r="AR90" i="9"/>
  <c r="AR89" i="9"/>
  <c r="AR100" i="9"/>
  <c r="AR94" i="9"/>
  <c r="AQ19" i="15" s="1"/>
  <c r="AQ25" i="9"/>
  <c r="AQ88" i="9" s="1"/>
  <c r="AR37" i="9"/>
  <c r="AR19" i="35" s="1"/>
  <c r="BB19" i="35" s="1"/>
  <c r="BC134" i="50" l="1"/>
  <c r="BB138" i="6"/>
  <c r="BB140" i="6" s="1"/>
  <c r="BA45" i="39"/>
  <c r="BA50" i="39"/>
  <c r="BA23" i="39"/>
  <c r="BA22" i="39"/>
  <c r="BA34" i="39"/>
  <c r="BD21" i="39"/>
  <c r="BB179" i="6"/>
  <c r="BB178" i="6"/>
  <c r="BB177" i="6"/>
  <c r="BA138" i="6"/>
  <c r="BA140" i="6" s="1"/>
  <c r="AR86" i="9"/>
  <c r="AR52" i="9"/>
  <c r="AU57" i="59" s="1"/>
  <c r="AR83" i="9"/>
  <c r="AR87" i="9"/>
  <c r="AU60" i="59" s="1"/>
  <c r="AR82" i="9"/>
  <c r="AU61" i="59" s="1"/>
  <c r="AR85" i="9"/>
  <c r="AR73" i="9"/>
  <c r="AR81" i="9"/>
  <c r="AR91" i="9"/>
  <c r="AR84" i="9"/>
  <c r="AR76" i="9"/>
  <c r="AR75" i="9"/>
  <c r="AR72" i="9"/>
  <c r="AR53" i="9"/>
  <c r="AR80" i="9"/>
  <c r="AR78" i="9"/>
  <c r="BA207" i="6" l="1"/>
  <c r="BA205" i="6"/>
  <c r="BB207" i="6"/>
  <c r="BB205" i="6"/>
  <c r="BA24" i="39"/>
  <c r="AR77" i="9"/>
  <c r="AR74" i="9"/>
  <c r="AR79" i="9" l="1"/>
  <c r="BB17" i="49" l="1"/>
  <c r="BB9" i="49"/>
  <c r="BB8" i="49"/>
  <c r="BA181" i="73"/>
  <c r="BA134" i="73"/>
  <c r="BA130" i="73"/>
  <c r="BA126" i="73"/>
  <c r="BA106" i="73"/>
  <c r="BA102" i="73"/>
  <c r="BA62" i="73"/>
  <c r="BA56" i="73"/>
  <c r="BA51" i="73"/>
  <c r="BA46" i="73"/>
  <c r="BA35" i="73"/>
  <c r="BA30" i="73"/>
  <c r="AQ90" i="9"/>
  <c r="AQ159" i="10"/>
  <c r="AQ203" i="10" l="1"/>
  <c r="AQ5" i="9"/>
  <c r="AQ178" i="10"/>
  <c r="AT65" i="59" s="1"/>
  <c r="AQ158" i="10"/>
  <c r="AQ210" i="10" s="1"/>
  <c r="AQ161" i="10"/>
  <c r="BA179" i="73"/>
  <c r="BA168" i="73"/>
  <c r="BA122" i="73"/>
  <c r="BA137" i="73" s="1"/>
  <c r="BA6" i="73"/>
  <c r="BA8" i="73"/>
  <c r="BA20" i="73"/>
  <c r="AS144" i="50"/>
  <c r="AQ89" i="9"/>
  <c r="AQ91" i="9" s="1"/>
  <c r="BA11" i="49"/>
  <c r="BB11" i="49"/>
  <c r="BB6" i="49"/>
  <c r="BA113" i="73"/>
  <c r="BA118" i="73" s="1"/>
  <c r="BB18" i="49"/>
  <c r="BA5" i="73"/>
  <c r="AQ19" i="9" l="1"/>
  <c r="AP130" i="26"/>
  <c r="AQ34" i="22"/>
  <c r="AQ63" i="9"/>
  <c r="AQ66" i="9"/>
  <c r="AQ92" i="9"/>
  <c r="AQ95" i="9"/>
  <c r="AQ65" i="9"/>
  <c r="AQ55" i="9"/>
  <c r="AQ27" i="9"/>
  <c r="AQ7" i="9"/>
  <c r="AQ64" i="9"/>
  <c r="AQ61" i="9"/>
  <c r="AQ59" i="9"/>
  <c r="AQ67" i="9"/>
  <c r="AQ70" i="9"/>
  <c r="AQ58" i="9"/>
  <c r="AQ56" i="9"/>
  <c r="AQ69" i="9"/>
  <c r="AQ68" i="9"/>
  <c r="AP2" i="17"/>
  <c r="AP2" i="26"/>
  <c r="BC144" i="50"/>
  <c r="AS146" i="50"/>
  <c r="AQ122" i="90"/>
  <c r="BA122" i="90" s="1"/>
  <c r="AQ22" i="22" l="1"/>
  <c r="AQ7" i="22"/>
  <c r="AQ57" i="9"/>
  <c r="AQ60" i="9"/>
  <c r="AQ62" i="9" s="1"/>
  <c r="BC146" i="50"/>
  <c r="AS147" i="50"/>
  <c r="BC147" i="50" s="1"/>
  <c r="AQ126" i="90"/>
  <c r="BA126" i="90" s="1"/>
  <c r="AQ23" i="22" l="1"/>
  <c r="AQ8" i="22"/>
  <c r="AQ10" i="22" l="1"/>
  <c r="AQ25" i="22"/>
  <c r="AQ26" i="9"/>
  <c r="AQ26" i="22" l="1"/>
  <c r="AQ11" i="22"/>
  <c r="AR98" i="50"/>
  <c r="AR96" i="50" s="1"/>
  <c r="AS98" i="50"/>
  <c r="AS80" i="83"/>
  <c r="AQ13" i="22" l="1"/>
  <c r="AQ28" i="22"/>
  <c r="AS96" i="50"/>
  <c r="AS78" i="83"/>
  <c r="BC80" i="83"/>
  <c r="BC78" i="83" s="1"/>
  <c r="AM32" i="50"/>
  <c r="AM33" i="50"/>
  <c r="AO33" i="50" l="1"/>
  <c r="BE33" i="50" s="1"/>
  <c r="AO32" i="50"/>
  <c r="BE32" i="50" s="1"/>
  <c r="AQ32" i="50"/>
  <c r="AU32" i="50" s="1"/>
  <c r="AY32" i="50" s="1"/>
  <c r="BG32" i="50" s="1"/>
  <c r="AR15" i="36" l="1"/>
  <c r="AU52" i="59" l="1"/>
  <c r="BB99" i="8"/>
  <c r="BB100" i="8"/>
  <c r="BB101" i="8"/>
  <c r="BB102" i="8"/>
  <c r="BB103" i="8"/>
  <c r="BB104" i="8"/>
  <c r="BB105" i="8"/>
  <c r="BB106" i="8"/>
  <c r="BB107" i="8"/>
  <c r="AN99" i="8"/>
  <c r="AN100" i="8"/>
  <c r="AN101" i="8"/>
  <c r="AN102" i="8"/>
  <c r="AN103" i="8"/>
  <c r="AN104" i="8"/>
  <c r="AN105" i="8"/>
  <c r="AN106" i="8"/>
  <c r="AN107" i="8"/>
  <c r="Z99" i="8"/>
  <c r="Z100" i="8"/>
  <c r="Z101" i="8"/>
  <c r="Z102" i="8"/>
  <c r="Z103" i="8"/>
  <c r="Z104" i="8"/>
  <c r="Z105" i="8"/>
  <c r="Z106" i="8"/>
  <c r="Z107" i="8"/>
  <c r="N99" i="8"/>
  <c r="N100" i="8"/>
  <c r="N101" i="8"/>
  <c r="N102" i="8"/>
  <c r="N103" i="8"/>
  <c r="N104" i="8"/>
  <c r="N105" i="8"/>
  <c r="N106" i="8"/>
  <c r="N107" i="8"/>
  <c r="J99" i="8"/>
  <c r="J100" i="8"/>
  <c r="J101" i="8"/>
  <c r="J102" i="8"/>
  <c r="J103" i="8"/>
  <c r="J104" i="8"/>
  <c r="J105" i="8"/>
  <c r="J106" i="8"/>
  <c r="J107" i="8"/>
  <c r="R102" i="8" l="1"/>
  <c r="V102" i="8" s="1"/>
  <c r="R107" i="8"/>
  <c r="V107" i="8" s="1"/>
  <c r="R106" i="8"/>
  <c r="V106" i="8" s="1"/>
  <c r="AB107" i="8"/>
  <c r="BD106" i="8"/>
  <c r="BD105" i="8"/>
  <c r="AB99" i="8"/>
  <c r="BD107" i="8"/>
  <c r="BD103" i="8"/>
  <c r="BD101" i="8"/>
  <c r="AB105" i="8"/>
  <c r="BD100" i="8"/>
  <c r="AB104" i="8"/>
  <c r="AF104" i="8" s="1"/>
  <c r="AJ104" i="8" s="1"/>
  <c r="AP104" i="8" s="1"/>
  <c r="AT104" i="8" s="1"/>
  <c r="BD99" i="8"/>
  <c r="AB101" i="8"/>
  <c r="AB100" i="8"/>
  <c r="BD102" i="8"/>
  <c r="R101" i="8"/>
  <c r="V101" i="8" s="1"/>
  <c r="R100" i="8"/>
  <c r="V100" i="8" s="1"/>
  <c r="AB102" i="8"/>
  <c r="R99" i="8"/>
  <c r="V99" i="8" s="1"/>
  <c r="AB106" i="8"/>
  <c r="BD104" i="8"/>
  <c r="AB103" i="8"/>
  <c r="R105" i="8"/>
  <c r="V105" i="8" s="1"/>
  <c r="R103" i="8"/>
  <c r="V103" i="8" s="1"/>
  <c r="R104" i="8"/>
  <c r="V104" i="8" s="1"/>
  <c r="AF100" i="8" l="1"/>
  <c r="AJ100" i="8" s="1"/>
  <c r="AP100" i="8" s="1"/>
  <c r="AT100" i="8" s="1"/>
  <c r="AX100" i="8" s="1"/>
  <c r="BF100" i="8" s="1"/>
  <c r="AF101" i="8"/>
  <c r="AJ101" i="8" s="1"/>
  <c r="AP101" i="8" s="1"/>
  <c r="AT101" i="8" s="1"/>
  <c r="AX101" i="8" s="1"/>
  <c r="BF101" i="8" s="1"/>
  <c r="AF106" i="8"/>
  <c r="AJ106" i="8" s="1"/>
  <c r="AP106" i="8" s="1"/>
  <c r="AT106" i="8" s="1"/>
  <c r="AX106" i="8" s="1"/>
  <c r="BF106" i="8" s="1"/>
  <c r="AF107" i="8"/>
  <c r="AJ107" i="8" s="1"/>
  <c r="AP107" i="8" s="1"/>
  <c r="AT107" i="8" s="1"/>
  <c r="AX107" i="8" s="1"/>
  <c r="BF107" i="8" s="1"/>
  <c r="AF99" i="8"/>
  <c r="AJ99" i="8" s="1"/>
  <c r="AP99" i="8" s="1"/>
  <c r="AT99" i="8" s="1"/>
  <c r="AX99" i="8" s="1"/>
  <c r="BF99" i="8" s="1"/>
  <c r="AF103" i="8"/>
  <c r="AJ103" i="8" s="1"/>
  <c r="AP103" i="8" s="1"/>
  <c r="AT103" i="8" s="1"/>
  <c r="AX103" i="8" s="1"/>
  <c r="BF103" i="8" s="1"/>
  <c r="AF105" i="8"/>
  <c r="AJ105" i="8" s="1"/>
  <c r="AP105" i="8" s="1"/>
  <c r="AT105" i="8" s="1"/>
  <c r="AX105" i="8" s="1"/>
  <c r="BF105" i="8" s="1"/>
  <c r="AF102" i="8"/>
  <c r="AJ102" i="8" s="1"/>
  <c r="AP102" i="8" s="1"/>
  <c r="AT102" i="8" s="1"/>
  <c r="AX102" i="8" s="1"/>
  <c r="BF102" i="8" s="1"/>
  <c r="AX104" i="8"/>
  <c r="BF104" i="8" s="1"/>
  <c r="AM70" i="83" l="1"/>
  <c r="AM72" i="83"/>
  <c r="AM73" i="83"/>
  <c r="AM74" i="83"/>
  <c r="AM75" i="83"/>
  <c r="AM53" i="83"/>
  <c r="AM54" i="83"/>
  <c r="AM55" i="83"/>
  <c r="AM56" i="83"/>
  <c r="AM57" i="83"/>
  <c r="AM58" i="83"/>
  <c r="AM59" i="83"/>
  <c r="AM60" i="83"/>
  <c r="AM61" i="83"/>
  <c r="AM62" i="83"/>
  <c r="AM63" i="83"/>
  <c r="AM65" i="83"/>
  <c r="AM66" i="83"/>
  <c r="AM67" i="83"/>
  <c r="AM52" i="83"/>
  <c r="AM48" i="83"/>
  <c r="AM50" i="83"/>
  <c r="AM46" i="83"/>
  <c r="AM40" i="83"/>
  <c r="AM41" i="83"/>
  <c r="AM42" i="83"/>
  <c r="AM43" i="83"/>
  <c r="AM44" i="83"/>
  <c r="AM39" i="83"/>
  <c r="AM5" i="83"/>
  <c r="AM6" i="83"/>
  <c r="AM7" i="83"/>
  <c r="AM8" i="83"/>
  <c r="AM9" i="83"/>
  <c r="AM10" i="83"/>
  <c r="AM11" i="83"/>
  <c r="AM12" i="83"/>
  <c r="AM13" i="83"/>
  <c r="AM14" i="83"/>
  <c r="AM15" i="83"/>
  <c r="AM16" i="83"/>
  <c r="AM17" i="83"/>
  <c r="AM18" i="83"/>
  <c r="AM19" i="83"/>
  <c r="AM24" i="83"/>
  <c r="AM25" i="83"/>
  <c r="AM27" i="83"/>
  <c r="AM29" i="83"/>
  <c r="AM30" i="83"/>
  <c r="AM31" i="83"/>
  <c r="AM32" i="83"/>
  <c r="AM33" i="83"/>
  <c r="AM34" i="83"/>
  <c r="AM35" i="83"/>
  <c r="AM36" i="83"/>
  <c r="AM37" i="83"/>
  <c r="AM4" i="83"/>
  <c r="AM76" i="83" l="1"/>
  <c r="AM51" i="83"/>
  <c r="AM45" i="83"/>
  <c r="AM38" i="83"/>
  <c r="AN63" i="11" l="1"/>
  <c r="BD63" i="11" s="1"/>
  <c r="AN62" i="11"/>
  <c r="BD62" i="11" s="1"/>
  <c r="Z63" i="11"/>
  <c r="Z62" i="11"/>
  <c r="N63" i="11"/>
  <c r="R63" i="11" s="1"/>
  <c r="V63" i="11" s="1"/>
  <c r="N62" i="11"/>
  <c r="R62" i="11" s="1"/>
  <c r="F64" i="11"/>
  <c r="F61" i="11" l="1"/>
  <c r="J64" i="11"/>
  <c r="J61" i="11" s="1"/>
  <c r="V62" i="11"/>
  <c r="AN64" i="11"/>
  <c r="Z64" i="11"/>
  <c r="Z61" i="11" s="1"/>
  <c r="AB63" i="11"/>
  <c r="AF63" i="11" s="1"/>
  <c r="AJ63" i="11" s="1"/>
  <c r="AB62" i="11"/>
  <c r="AF62" i="11" s="1"/>
  <c r="AJ62" i="11" s="1"/>
  <c r="N64" i="11"/>
  <c r="R64" i="11" s="1"/>
  <c r="V64" i="11" s="1"/>
  <c r="AP63" i="11" l="1"/>
  <c r="AT63" i="11" s="1"/>
  <c r="AP62" i="11"/>
  <c r="AT62" i="11" s="1"/>
  <c r="AN61" i="11"/>
  <c r="BD64" i="11"/>
  <c r="BD61" i="11" s="1"/>
  <c r="V61" i="11"/>
  <c r="R61" i="11"/>
  <c r="AB64" i="11"/>
  <c r="AF64" i="11" s="1"/>
  <c r="AJ64" i="11" s="1"/>
  <c r="N61" i="11"/>
  <c r="AX62" i="11" l="1"/>
  <c r="AX63" i="11"/>
  <c r="AJ61" i="11"/>
  <c r="AB61" i="11"/>
  <c r="AP64" i="11"/>
  <c r="AF61" i="11"/>
  <c r="BF63" i="11" l="1"/>
  <c r="BF62" i="11"/>
  <c r="AP61" i="11"/>
  <c r="AT64" i="11"/>
  <c r="AP159" i="9"/>
  <c r="AP158" i="9"/>
  <c r="AP157" i="9"/>
  <c r="AN159" i="9"/>
  <c r="AN158" i="9"/>
  <c r="AN157" i="9"/>
  <c r="AT61" i="11" l="1"/>
  <c r="AX64" i="11"/>
  <c r="AX61" i="11" l="1"/>
  <c r="BF64" i="11"/>
  <c r="BF61" i="11" s="1"/>
  <c r="AL1" i="35"/>
  <c r="AL21" i="35" s="1"/>
  <c r="AL26" i="9" s="1"/>
  <c r="AM64" i="39" l="1"/>
  <c r="AM62" i="39"/>
  <c r="AM59" i="39"/>
  <c r="AM58" i="39"/>
  <c r="AM57" i="39"/>
  <c r="AM56" i="39"/>
  <c r="AM55" i="39"/>
  <c r="AM54" i="39"/>
  <c r="AM39" i="39"/>
  <c r="AM38" i="39"/>
  <c r="AM37" i="39"/>
  <c r="AM31" i="39"/>
  <c r="AM30" i="39"/>
  <c r="AM29" i="39"/>
  <c r="AM28" i="39"/>
  <c r="AM21" i="39"/>
  <c r="AM19" i="39"/>
  <c r="AM18" i="39"/>
  <c r="AM17" i="39"/>
  <c r="AM16" i="39"/>
  <c r="AM15" i="39"/>
  <c r="AM14" i="39"/>
  <c r="AM13" i="39"/>
  <c r="AM12" i="39"/>
  <c r="AM11" i="39"/>
  <c r="AM10" i="39"/>
  <c r="AM9" i="39"/>
  <c r="AM7" i="39"/>
  <c r="AM6" i="39"/>
  <c r="AM5" i="39"/>
  <c r="BC29" i="39" l="1"/>
  <c r="BC28" i="39"/>
  <c r="BC56" i="39"/>
  <c r="BC30" i="39"/>
  <c r="BC55" i="39"/>
  <c r="BC6" i="39"/>
  <c r="BC62" i="39"/>
  <c r="BC13" i="39"/>
  <c r="BC5" i="39"/>
  <c r="BC18" i="39"/>
  <c r="BC7" i="39"/>
  <c r="BC37" i="39"/>
  <c r="BC64" i="39"/>
  <c r="BC11" i="39"/>
  <c r="BC54" i="39"/>
  <c r="BC31" i="39"/>
  <c r="BC57" i="39"/>
  <c r="BC17" i="39"/>
  <c r="BC59" i="39"/>
  <c r="BC19" i="39"/>
  <c r="BC38" i="39"/>
  <c r="BC12" i="39"/>
  <c r="BC14" i="39"/>
  <c r="BC15" i="39"/>
  <c r="BC16" i="39"/>
  <c r="BC58" i="39"/>
  <c r="BC21" i="39"/>
  <c r="BC9" i="39"/>
  <c r="BC10" i="39"/>
  <c r="BC39" i="39"/>
  <c r="BC8" i="39" l="1"/>
  <c r="AM48" i="50"/>
  <c r="AM49" i="50"/>
  <c r="AM50" i="50"/>
  <c r="AM51" i="50"/>
  <c r="AM53" i="50"/>
  <c r="AM40" i="50"/>
  <c r="AM41" i="50"/>
  <c r="AM42" i="50"/>
  <c r="AM43" i="50"/>
  <c r="AM44" i="50"/>
  <c r="AM45" i="50"/>
  <c r="AM39" i="50"/>
  <c r="AM5" i="50"/>
  <c r="AM6" i="50"/>
  <c r="AM7" i="50"/>
  <c r="AM8" i="50"/>
  <c r="AM9" i="50"/>
  <c r="AM10" i="50"/>
  <c r="AM11" i="50"/>
  <c r="AM12" i="50"/>
  <c r="AM13" i="50"/>
  <c r="AM14" i="50"/>
  <c r="AM15" i="50"/>
  <c r="AM16" i="50"/>
  <c r="AM17" i="50"/>
  <c r="AM18" i="50"/>
  <c r="AM19" i="50"/>
  <c r="AM20" i="50"/>
  <c r="AM21" i="50"/>
  <c r="AM22" i="50"/>
  <c r="AM23" i="50"/>
  <c r="AM24" i="50"/>
  <c r="AM25" i="50"/>
  <c r="AM26" i="50"/>
  <c r="AM27" i="50"/>
  <c r="AM29" i="50"/>
  <c r="AM30" i="50"/>
  <c r="AM31" i="50"/>
  <c r="AM4" i="50"/>
  <c r="AO93" i="50"/>
  <c r="BE93" i="50" s="1"/>
  <c r="AO92" i="50"/>
  <c r="BE92" i="50" s="1"/>
  <c r="AO91" i="50"/>
  <c r="BE91" i="50" s="1"/>
  <c r="AO90" i="50"/>
  <c r="BE90" i="50" s="1"/>
  <c r="AO88" i="50"/>
  <c r="BE88" i="50" s="1"/>
  <c r="AO87" i="50"/>
  <c r="BE87" i="50" s="1"/>
  <c r="AO84" i="50"/>
  <c r="BE84" i="50" s="1"/>
  <c r="AO83" i="50"/>
  <c r="BE83" i="50" s="1"/>
  <c r="AO82" i="50"/>
  <c r="BE82" i="50" s="1"/>
  <c r="AO81" i="50"/>
  <c r="BE81" i="50" s="1"/>
  <c r="AO80" i="50"/>
  <c r="BE80" i="50" s="1"/>
  <c r="BE78" i="50"/>
  <c r="BE77" i="50"/>
  <c r="BE76" i="50"/>
  <c r="BE75" i="50"/>
  <c r="BE73" i="50"/>
  <c r="BE72" i="50"/>
  <c r="BE71" i="50"/>
  <c r="BE70" i="50"/>
  <c r="BE69" i="50"/>
  <c r="BE68" i="50"/>
  <c r="BE66" i="50"/>
  <c r="BE65" i="50"/>
  <c r="BE64" i="50"/>
  <c r="BE63" i="50"/>
  <c r="BE62" i="50"/>
  <c r="BE60" i="50"/>
  <c r="BE59" i="50"/>
  <c r="BE58" i="50"/>
  <c r="BE57" i="50"/>
  <c r="BE56" i="50"/>
  <c r="AO55" i="50"/>
  <c r="BE55" i="50" s="1"/>
  <c r="AM145" i="50"/>
  <c r="AM143" i="50"/>
  <c r="AM142" i="50"/>
  <c r="AM138" i="50"/>
  <c r="AP136" i="50"/>
  <c r="AL136" i="50"/>
  <c r="AL134" i="50"/>
  <c r="AL133" i="50"/>
  <c r="AL132" i="50"/>
  <c r="AM128" i="50"/>
  <c r="AP118" i="50"/>
  <c r="AL118" i="50"/>
  <c r="AM116" i="50"/>
  <c r="AL116" i="50"/>
  <c r="AM113" i="50"/>
  <c r="AL113" i="50"/>
  <c r="AM112" i="50"/>
  <c r="AL112" i="50"/>
  <c r="AP104" i="50"/>
  <c r="AL104" i="50"/>
  <c r="AM103" i="50"/>
  <c r="AM102" i="50"/>
  <c r="AP94" i="50"/>
  <c r="AM94" i="50"/>
  <c r="AM139" i="50" s="1"/>
  <c r="AL94" i="50"/>
  <c r="AP79" i="50"/>
  <c r="AM79" i="50"/>
  <c r="AL79" i="50"/>
  <c r="AP54" i="50"/>
  <c r="AL54" i="50"/>
  <c r="AM47" i="50"/>
  <c r="AP46" i="50"/>
  <c r="AL46" i="50"/>
  <c r="AP38" i="50"/>
  <c r="AL38" i="50"/>
  <c r="AM15" i="61" l="1"/>
  <c r="AM12" i="61"/>
  <c r="AM8" i="61"/>
  <c r="AM4" i="61"/>
  <c r="AM11" i="61"/>
  <c r="AM7" i="61"/>
  <c r="AM14" i="61"/>
  <c r="AM10" i="61"/>
  <c r="AM6" i="61"/>
  <c r="AM13" i="61"/>
  <c r="AM9" i="61"/>
  <c r="AM5" i="61"/>
  <c r="BE79" i="50"/>
  <c r="BE94" i="50"/>
  <c r="AL105" i="50"/>
  <c r="AO94" i="50"/>
  <c r="AM129" i="50"/>
  <c r="AM68" i="83"/>
  <c r="AM69" i="83" s="1"/>
  <c r="AM77" i="83" s="1"/>
  <c r="AP105" i="50"/>
  <c r="AM124" i="50"/>
  <c r="AO79" i="50"/>
  <c r="AM117" i="50"/>
  <c r="AM38" i="50"/>
  <c r="AM54" i="50"/>
  <c r="AP95" i="50"/>
  <c r="AL95" i="50"/>
  <c r="AM140" i="50"/>
  <c r="AM46" i="50"/>
  <c r="AM141" i="50"/>
  <c r="AN73" i="59"/>
  <c r="AM16" i="61" l="1"/>
  <c r="AM130" i="50"/>
  <c r="AM121" i="50"/>
  <c r="AM125" i="50"/>
  <c r="AM126" i="50" s="1"/>
  <c r="AM109" i="50"/>
  <c r="AL162" i="10"/>
  <c r="AM131" i="50"/>
  <c r="AM95" i="50"/>
  <c r="AL163" i="10" l="1"/>
  <c r="AN45" i="11"/>
  <c r="AN46" i="11"/>
  <c r="AN47" i="11"/>
  <c r="AN48" i="11"/>
  <c r="AN49" i="11"/>
  <c r="AN50" i="11"/>
  <c r="AN51" i="11"/>
  <c r="AN52" i="11"/>
  <c r="AN54" i="11"/>
  <c r="BD54" i="11" s="1"/>
  <c r="AN42" i="11"/>
  <c r="BD42" i="11" s="1"/>
  <c r="AP143" i="10"/>
  <c r="BD8" i="10"/>
  <c r="BD9" i="10"/>
  <c r="BD10" i="10"/>
  <c r="BD11" i="10"/>
  <c r="BD13" i="10"/>
  <c r="BD14" i="10"/>
  <c r="BD15" i="10"/>
  <c r="BD16" i="10"/>
  <c r="BD17" i="10"/>
  <c r="BD18" i="10"/>
  <c r="BD19" i="10"/>
  <c r="BD20" i="10"/>
  <c r="BD25" i="10"/>
  <c r="BD26" i="10"/>
  <c r="BD27" i="10"/>
  <c r="BD29" i="10"/>
  <c r="BD30" i="10"/>
  <c r="BD32" i="10"/>
  <c r="BD33" i="10"/>
  <c r="BD34" i="10"/>
  <c r="BD35" i="10"/>
  <c r="BD36" i="10"/>
  <c r="BD37" i="10"/>
  <c r="BD38" i="10"/>
  <c r="BD39" i="10"/>
  <c r="BD40" i="10"/>
  <c r="BD41" i="10"/>
  <c r="BD42" i="10"/>
  <c r="BD43" i="10"/>
  <c r="BD44" i="10"/>
  <c r="BD45" i="10"/>
  <c r="BD46" i="10"/>
  <c r="BD47" i="10"/>
  <c r="BD48" i="10"/>
  <c r="BD49" i="10"/>
  <c r="BD50" i="10"/>
  <c r="BD51" i="10"/>
  <c r="BD52" i="10"/>
  <c r="BD53" i="10"/>
  <c r="BD54" i="10"/>
  <c r="BD55" i="10"/>
  <c r="BD56" i="10"/>
  <c r="BD58" i="10"/>
  <c r="BD60" i="10"/>
  <c r="BD62" i="10"/>
  <c r="BD63" i="10"/>
  <c r="BD64" i="10"/>
  <c r="BD65" i="10"/>
  <c r="BD66" i="10"/>
  <c r="BD67" i="10"/>
  <c r="BD69" i="10"/>
  <c r="BD70" i="10"/>
  <c r="BD71" i="10"/>
  <c r="BD72" i="10"/>
  <c r="BD73" i="10"/>
  <c r="BD74" i="10"/>
  <c r="BD75" i="10"/>
  <c r="BD76" i="10"/>
  <c r="BD77" i="10"/>
  <c r="BD79" i="10"/>
  <c r="BD80" i="10"/>
  <c r="BD81" i="10"/>
  <c r="BD82" i="10"/>
  <c r="BD83" i="10"/>
  <c r="BD84" i="10"/>
  <c r="BD88" i="10"/>
  <c r="BD89" i="10"/>
  <c r="BD90" i="10"/>
  <c r="BD92" i="10"/>
  <c r="BD93" i="10"/>
  <c r="BD94" i="10"/>
  <c r="BD95" i="10"/>
  <c r="BD96" i="10"/>
  <c r="BD97" i="10"/>
  <c r="BD98" i="10"/>
  <c r="BD99" i="10"/>
  <c r="BD100" i="10"/>
  <c r="BD101" i="10"/>
  <c r="BD102" i="10"/>
  <c r="BD103" i="10"/>
  <c r="BD104" i="10"/>
  <c r="BD105" i="10"/>
  <c r="BD108" i="10"/>
  <c r="BD109" i="10"/>
  <c r="BD110" i="10"/>
  <c r="BD111" i="10"/>
  <c r="BD112" i="10"/>
  <c r="BD113" i="10"/>
  <c r="BD114" i="10"/>
  <c r="BD116" i="10"/>
  <c r="BD117" i="10"/>
  <c r="BD118" i="10"/>
  <c r="BD119" i="10"/>
  <c r="BD120" i="10"/>
  <c r="BD121" i="10"/>
  <c r="BD122" i="10"/>
  <c r="AN130" i="10"/>
  <c r="AN131" i="10"/>
  <c r="AN132" i="10"/>
  <c r="AN133" i="10"/>
  <c r="AN134" i="10"/>
  <c r="AN135" i="10"/>
  <c r="AN136" i="10"/>
  <c r="BD136" i="10" s="1"/>
  <c r="AN137" i="10"/>
  <c r="AN138" i="10"/>
  <c r="AN139" i="10"/>
  <c r="AN140" i="10"/>
  <c r="AN141" i="10"/>
  <c r="AN142" i="10"/>
  <c r="AN143" i="10"/>
  <c r="AN144" i="10"/>
  <c r="AN145" i="10"/>
  <c r="AN146" i="10"/>
  <c r="AN148" i="10"/>
  <c r="AN149" i="10"/>
  <c r="AN150" i="10"/>
  <c r="AN151" i="10"/>
  <c r="BD151" i="10" s="1"/>
  <c r="AN152" i="10"/>
  <c r="BD152" i="10" s="1"/>
  <c r="AN153" i="10"/>
  <c r="BD153" i="10" s="1"/>
  <c r="AN154" i="10"/>
  <c r="BD154" i="10" s="1"/>
  <c r="AN155" i="10"/>
  <c r="AN156" i="10"/>
  <c r="AN157" i="10"/>
  <c r="AN65" i="59"/>
  <c r="AM108" i="50"/>
  <c r="AT143" i="10" l="1"/>
  <c r="AX143" i="10" s="1"/>
  <c r="AM120" i="50"/>
  <c r="AM111" i="50"/>
  <c r="AM110" i="50"/>
  <c r="AN69" i="59"/>
  <c r="AM122" i="50" l="1"/>
  <c r="AM118" i="50"/>
  <c r="AK90" i="90" l="1"/>
  <c r="AN11" i="8"/>
  <c r="BD11" i="8" s="1"/>
  <c r="AM11" i="8"/>
  <c r="BC11" i="8" s="1"/>
  <c r="AL10" i="49"/>
  <c r="AL12" i="49" s="1"/>
  <c r="AL14" i="49" s="1"/>
  <c r="AL15" i="49" s="1"/>
  <c r="AL16" i="49" s="1"/>
  <c r="AL19" i="49" s="1"/>
  <c r="AL20" i="49" s="1"/>
  <c r="AN49" i="7"/>
  <c r="AM49" i="7"/>
  <c r="BD49" i="7" l="1"/>
  <c r="BC49" i="7"/>
  <c r="AM134" i="50"/>
  <c r="AJ2" i="17" l="1"/>
  <c r="AJ2" i="26"/>
  <c r="AK2" i="17"/>
  <c r="AK2" i="26"/>
  <c r="AJ50" i="39" l="1"/>
  <c r="AJ45" i="39"/>
  <c r="AJ8" i="39"/>
  <c r="AJ22" i="39" l="1"/>
  <c r="AJ51" i="39"/>
  <c r="AJ24" i="39"/>
  <c r="AM185" i="73" l="1"/>
  <c r="BC185" i="73" s="1"/>
  <c r="AM186" i="73"/>
  <c r="BC186" i="73" s="1"/>
  <c r="AM187" i="73"/>
  <c r="BC187" i="73" s="1"/>
  <c r="AM165" i="73"/>
  <c r="AM93" i="73"/>
  <c r="BC93" i="73" s="1"/>
  <c r="AM64" i="73"/>
  <c r="AM65" i="73"/>
  <c r="AM66" i="73"/>
  <c r="AM67" i="73"/>
  <c r="BC67" i="73" s="1"/>
  <c r="AM68" i="73"/>
  <c r="BC68" i="73" s="1"/>
  <c r="AM69" i="73"/>
  <c r="BC69" i="73" s="1"/>
  <c r="AM70" i="73"/>
  <c r="AM71" i="73"/>
  <c r="AM72" i="73"/>
  <c r="AM73" i="73"/>
  <c r="AM75" i="73"/>
  <c r="BC75" i="73" s="1"/>
  <c r="AM144" i="50" l="1"/>
  <c r="AM146" i="50" l="1"/>
  <c r="AK122" i="90"/>
  <c r="AM147" i="50"/>
  <c r="AK126" i="90" l="1"/>
  <c r="AL15" i="36" l="1"/>
  <c r="AO52" i="59" l="1"/>
  <c r="AL98" i="50"/>
  <c r="AL96" i="50" s="1"/>
  <c r="AM80" i="83" l="1"/>
  <c r="AM78" i="83" s="1"/>
  <c r="AM98" i="50" l="1"/>
  <c r="AM96" i="50" l="1"/>
  <c r="H16" i="61"/>
  <c r="J16" i="61"/>
  <c r="L16" i="61"/>
  <c r="N16" i="61"/>
  <c r="P16" i="61"/>
  <c r="R16" i="61"/>
  <c r="T16" i="61"/>
  <c r="V16" i="61"/>
  <c r="X16" i="61"/>
  <c r="Z16" i="61"/>
  <c r="AB16" i="61"/>
  <c r="AD16" i="61"/>
  <c r="AF16" i="61"/>
  <c r="AH16" i="61"/>
  <c r="AJ16" i="61"/>
  <c r="AI19" i="50"/>
  <c r="AI20" i="50"/>
  <c r="AI21" i="50"/>
  <c r="AI22" i="50"/>
  <c r="AI23" i="50"/>
  <c r="AI24" i="50"/>
  <c r="AI25" i="50"/>
  <c r="AI26" i="50"/>
  <c r="AI27" i="50"/>
  <c r="AI29" i="50"/>
  <c r="AI31" i="50"/>
  <c r="AE19" i="50"/>
  <c r="AE11" i="61" s="1"/>
  <c r="AE20" i="50"/>
  <c r="AE12" i="61" s="1"/>
  <c r="AE21" i="50"/>
  <c r="AE13" i="61" s="1"/>
  <c r="AE22" i="50"/>
  <c r="AE14" i="61" s="1"/>
  <c r="AE23" i="50"/>
  <c r="AE25" i="50"/>
  <c r="AE26" i="50"/>
  <c r="AE29" i="50"/>
  <c r="AE31" i="50"/>
  <c r="Y12" i="61"/>
  <c r="Y13" i="61"/>
  <c r="Y14" i="61"/>
  <c r="U12" i="61"/>
  <c r="U13" i="61"/>
  <c r="U14" i="61"/>
  <c r="U15" i="61"/>
  <c r="Q20" i="50"/>
  <c r="Q21" i="50"/>
  <c r="Q22" i="50"/>
  <c r="Q23" i="50"/>
  <c r="Q25" i="50"/>
  <c r="Q26" i="50"/>
  <c r="Q27" i="50"/>
  <c r="Q29" i="50"/>
  <c r="Q30" i="50"/>
  <c r="Q31" i="50"/>
  <c r="M11" i="61"/>
  <c r="M12" i="61"/>
  <c r="M13" i="61"/>
  <c r="M14" i="61"/>
  <c r="M15" i="61"/>
  <c r="I19" i="50"/>
  <c r="I20" i="50"/>
  <c r="I21" i="50"/>
  <c r="I22" i="50"/>
  <c r="I23" i="50"/>
  <c r="I24" i="50"/>
  <c r="I25" i="50"/>
  <c r="I26" i="50"/>
  <c r="I27" i="50"/>
  <c r="I29" i="50"/>
  <c r="I30" i="50"/>
  <c r="I31" i="50"/>
  <c r="G20" i="50"/>
  <c r="G21" i="50"/>
  <c r="K21" i="50" s="1"/>
  <c r="G22" i="50"/>
  <c r="G23" i="50"/>
  <c r="K23" i="50" s="1"/>
  <c r="G24" i="50"/>
  <c r="G25" i="50"/>
  <c r="K25" i="50" s="1"/>
  <c r="G26" i="50"/>
  <c r="K26" i="50" s="1"/>
  <c r="G27" i="50"/>
  <c r="K27" i="50" s="1"/>
  <c r="G29" i="50"/>
  <c r="G30" i="50"/>
  <c r="K30" i="50" s="1"/>
  <c r="G31" i="50"/>
  <c r="K29" i="50" l="1"/>
  <c r="K20" i="50"/>
  <c r="K24" i="50"/>
  <c r="K31" i="50"/>
  <c r="K22" i="50"/>
  <c r="G13" i="61"/>
  <c r="G12" i="61"/>
  <c r="G15" i="61"/>
  <c r="G14" i="61"/>
  <c r="AI15" i="61"/>
  <c r="AI11" i="61"/>
  <c r="AO11" i="61" s="1"/>
  <c r="BE11" i="61" s="1"/>
  <c r="Q14" i="61"/>
  <c r="Q13" i="61"/>
  <c r="Q12" i="61"/>
  <c r="AO23" i="50"/>
  <c r="BE23" i="50" s="1"/>
  <c r="AO25" i="50"/>
  <c r="BE25" i="50" s="1"/>
  <c r="I12" i="61"/>
  <c r="I13" i="61"/>
  <c r="I11" i="61"/>
  <c r="I15" i="61"/>
  <c r="I14" i="61"/>
  <c r="AO26" i="50"/>
  <c r="BE26" i="50" s="1"/>
  <c r="AO31" i="50"/>
  <c r="BE31" i="50" s="1"/>
  <c r="AO19" i="50"/>
  <c r="BE19" i="50" s="1"/>
  <c r="AO20" i="50"/>
  <c r="BE20" i="50" s="1"/>
  <c r="AO29" i="50"/>
  <c r="BE29" i="50" s="1"/>
  <c r="AO22" i="50"/>
  <c r="BE22" i="50" s="1"/>
  <c r="AO21" i="50"/>
  <c r="BE21" i="50" s="1"/>
  <c r="AI14" i="61"/>
  <c r="AI13" i="61"/>
  <c r="O29" i="50"/>
  <c r="S29" i="50" s="1"/>
  <c r="W29" i="50" s="1"/>
  <c r="AI12" i="61"/>
  <c r="O26" i="50"/>
  <c r="S26" i="50" s="1"/>
  <c r="W26" i="50" s="1"/>
  <c r="AA25" i="50"/>
  <c r="O27" i="50"/>
  <c r="S27" i="50" s="1"/>
  <c r="W27" i="50" s="1"/>
  <c r="AA26" i="50"/>
  <c r="O22" i="50"/>
  <c r="S22" i="50" s="1"/>
  <c r="W22" i="50" s="1"/>
  <c r="AA21" i="50"/>
  <c r="O21" i="50"/>
  <c r="S21" i="50" s="1"/>
  <c r="W21" i="50" s="1"/>
  <c r="O31" i="50"/>
  <c r="S31" i="50" s="1"/>
  <c r="W31" i="50" s="1"/>
  <c r="AA30" i="50"/>
  <c r="O24" i="50"/>
  <c r="O23" i="50"/>
  <c r="S23" i="50" s="1"/>
  <c r="W23" i="50" s="1"/>
  <c r="AA22" i="50"/>
  <c r="AA20" i="50"/>
  <c r="O20" i="50"/>
  <c r="S20" i="50" s="1"/>
  <c r="W20" i="50" s="1"/>
  <c r="AA31" i="50"/>
  <c r="O30" i="50"/>
  <c r="S30" i="50" s="1"/>
  <c r="W30" i="50" s="1"/>
  <c r="O25" i="50"/>
  <c r="S25" i="50" s="1"/>
  <c r="W25" i="50" s="1"/>
  <c r="AA23" i="50"/>
  <c r="H136" i="50"/>
  <c r="J136" i="50"/>
  <c r="L136" i="50"/>
  <c r="N136" i="50"/>
  <c r="P136" i="50"/>
  <c r="R136" i="50"/>
  <c r="T136" i="50"/>
  <c r="V136" i="50"/>
  <c r="X136" i="50"/>
  <c r="Z136" i="50"/>
  <c r="AB136" i="50"/>
  <c r="AD136" i="50"/>
  <c r="AF136" i="50"/>
  <c r="AH136" i="50"/>
  <c r="AJ136" i="50"/>
  <c r="H118" i="50"/>
  <c r="J118" i="50"/>
  <c r="L118" i="50"/>
  <c r="N118" i="50"/>
  <c r="P118" i="50"/>
  <c r="R118" i="50"/>
  <c r="T118" i="50"/>
  <c r="V118" i="50"/>
  <c r="X118" i="50"/>
  <c r="Z118" i="50"/>
  <c r="AB118" i="50"/>
  <c r="AD118" i="50"/>
  <c r="AF118" i="50"/>
  <c r="AH118" i="50"/>
  <c r="AJ118" i="50"/>
  <c r="AI145" i="50"/>
  <c r="AI143" i="50"/>
  <c r="AI142" i="50"/>
  <c r="AE145" i="50"/>
  <c r="AE143" i="50"/>
  <c r="AE142" i="50"/>
  <c r="Y145" i="50"/>
  <c r="Y143" i="50"/>
  <c r="Y142" i="50"/>
  <c r="Q145" i="50"/>
  <c r="Q143" i="50"/>
  <c r="Q142" i="50"/>
  <c r="M145" i="50"/>
  <c r="M143" i="50"/>
  <c r="M142" i="50"/>
  <c r="I145" i="50"/>
  <c r="I143" i="50"/>
  <c r="I142" i="50"/>
  <c r="G143" i="50"/>
  <c r="G142" i="50"/>
  <c r="AI116" i="50"/>
  <c r="AI113" i="50"/>
  <c r="AI112" i="50"/>
  <c r="AE116" i="50"/>
  <c r="Q116" i="50"/>
  <c r="Q113" i="50"/>
  <c r="Q112" i="50"/>
  <c r="M116" i="50"/>
  <c r="M113" i="50"/>
  <c r="M112" i="50"/>
  <c r="I116" i="50"/>
  <c r="I113" i="50"/>
  <c r="I112" i="50"/>
  <c r="H38" i="50"/>
  <c r="J38" i="50"/>
  <c r="L38" i="50"/>
  <c r="N38" i="50"/>
  <c r="P38" i="50"/>
  <c r="R38" i="50"/>
  <c r="T38" i="50"/>
  <c r="V38" i="50"/>
  <c r="X38" i="50"/>
  <c r="Z38" i="50"/>
  <c r="AB38" i="50"/>
  <c r="AD38" i="50"/>
  <c r="AF38" i="50"/>
  <c r="AH38" i="50"/>
  <c r="AJ38" i="50"/>
  <c r="H46" i="50"/>
  <c r="J46" i="50"/>
  <c r="L46" i="50"/>
  <c r="N46" i="50"/>
  <c r="P46" i="50"/>
  <c r="R46" i="50"/>
  <c r="T46" i="50"/>
  <c r="V46" i="50"/>
  <c r="X46" i="50"/>
  <c r="Z46" i="50"/>
  <c r="AB46" i="50"/>
  <c r="AD46" i="50"/>
  <c r="AF46" i="50"/>
  <c r="AH46" i="50"/>
  <c r="AJ46" i="50"/>
  <c r="H54" i="50"/>
  <c r="J54" i="50"/>
  <c r="L54" i="50"/>
  <c r="N54" i="50"/>
  <c r="P54" i="50"/>
  <c r="R54" i="50"/>
  <c r="T54" i="50"/>
  <c r="V54" i="50"/>
  <c r="X54" i="50"/>
  <c r="Z54" i="50"/>
  <c r="AB54" i="50"/>
  <c r="AD54" i="50"/>
  <c r="AF54" i="50"/>
  <c r="AH54" i="50"/>
  <c r="AJ54" i="50"/>
  <c r="H79" i="50"/>
  <c r="I79" i="50"/>
  <c r="K79" i="50" s="1"/>
  <c r="J79" i="50"/>
  <c r="L79" i="50"/>
  <c r="M79" i="50"/>
  <c r="M129" i="50" s="1"/>
  <c r="N79" i="50"/>
  <c r="P79" i="50"/>
  <c r="Q79" i="50"/>
  <c r="R79" i="50"/>
  <c r="T79" i="50"/>
  <c r="V79" i="50"/>
  <c r="X79" i="50"/>
  <c r="Y79" i="50"/>
  <c r="Z79" i="50"/>
  <c r="AB79" i="50"/>
  <c r="AD79" i="50"/>
  <c r="AE79" i="50"/>
  <c r="AF79" i="50"/>
  <c r="AH79" i="50"/>
  <c r="AI79" i="50"/>
  <c r="AJ79" i="50"/>
  <c r="H94" i="50"/>
  <c r="I94" i="50"/>
  <c r="J94" i="50"/>
  <c r="L94" i="50"/>
  <c r="M94" i="50"/>
  <c r="N94" i="50"/>
  <c r="P94" i="50"/>
  <c r="Q94" i="50"/>
  <c r="R94" i="50"/>
  <c r="T94" i="50"/>
  <c r="V94" i="50"/>
  <c r="X94" i="50"/>
  <c r="Y94" i="50"/>
  <c r="Z94" i="50"/>
  <c r="AB94" i="50"/>
  <c r="AD94" i="50"/>
  <c r="AE94" i="50"/>
  <c r="AF94" i="50"/>
  <c r="AH94" i="50"/>
  <c r="AI94" i="50"/>
  <c r="AJ94" i="50"/>
  <c r="AA55" i="50"/>
  <c r="AA80" i="50"/>
  <c r="AA81" i="50"/>
  <c r="AA82" i="50"/>
  <c r="AA83" i="50"/>
  <c r="AA84" i="50"/>
  <c r="AA87" i="50"/>
  <c r="AA88" i="50"/>
  <c r="AA90" i="50"/>
  <c r="AA91" i="50"/>
  <c r="AA92" i="50"/>
  <c r="AA93" i="50"/>
  <c r="O55" i="50"/>
  <c r="S55" i="50" s="1"/>
  <c r="W55" i="50" s="1"/>
  <c r="S56" i="50"/>
  <c r="W56" i="50" s="1"/>
  <c r="S57" i="50"/>
  <c r="W57" i="50" s="1"/>
  <c r="S58" i="50"/>
  <c r="W58" i="50" s="1"/>
  <c r="S59" i="50"/>
  <c r="W59" i="50" s="1"/>
  <c r="S64" i="50"/>
  <c r="W64" i="50" s="1"/>
  <c r="S65" i="50"/>
  <c r="W65" i="50" s="1"/>
  <c r="S70" i="50"/>
  <c r="W70" i="50" s="1"/>
  <c r="S71" i="50"/>
  <c r="W71" i="50" s="1"/>
  <c r="S72" i="50"/>
  <c r="W72" i="50" s="1"/>
  <c r="S75" i="50"/>
  <c r="W75" i="50" s="1"/>
  <c r="S76" i="50"/>
  <c r="W76" i="50" s="1"/>
  <c r="S77" i="50"/>
  <c r="W77" i="50" s="1"/>
  <c r="S78" i="50"/>
  <c r="W78" i="50" s="1"/>
  <c r="O80" i="50"/>
  <c r="O81" i="50"/>
  <c r="O82" i="50"/>
  <c r="S82" i="50" s="1"/>
  <c r="W82" i="50" s="1"/>
  <c r="O83" i="50"/>
  <c r="S83" i="50" s="1"/>
  <c r="W83" i="50" s="1"/>
  <c r="O84" i="50"/>
  <c r="S84" i="50" s="1"/>
  <c r="W84" i="50" s="1"/>
  <c r="O87" i="50"/>
  <c r="S87" i="50" s="1"/>
  <c r="W87" i="50" s="1"/>
  <c r="O88" i="50"/>
  <c r="S88" i="50" s="1"/>
  <c r="W88" i="50" s="1"/>
  <c r="O90" i="50"/>
  <c r="O91" i="50"/>
  <c r="S91" i="50" s="1"/>
  <c r="W91" i="50" s="1"/>
  <c r="O92" i="50"/>
  <c r="O93" i="50"/>
  <c r="S93" i="50" s="1"/>
  <c r="W93" i="50" s="1"/>
  <c r="AH134" i="50"/>
  <c r="AF134" i="50"/>
  <c r="AH133" i="50"/>
  <c r="AF133" i="50"/>
  <c r="AH132" i="50"/>
  <c r="AF132" i="50"/>
  <c r="X134" i="50"/>
  <c r="V134" i="50"/>
  <c r="T134" i="50"/>
  <c r="R134" i="50"/>
  <c r="X133" i="50"/>
  <c r="V133" i="50"/>
  <c r="T133" i="50"/>
  <c r="R133" i="50"/>
  <c r="X132" i="50"/>
  <c r="V132" i="50"/>
  <c r="T132" i="50"/>
  <c r="R132" i="50"/>
  <c r="H132" i="50"/>
  <c r="J132" i="50"/>
  <c r="L132" i="50"/>
  <c r="H133" i="50"/>
  <c r="J133" i="50"/>
  <c r="L133" i="50"/>
  <c r="H134" i="50"/>
  <c r="J134" i="50"/>
  <c r="L134" i="50"/>
  <c r="AH116" i="50"/>
  <c r="AF116" i="50"/>
  <c r="AH113" i="50"/>
  <c r="AF113" i="50"/>
  <c r="AH112" i="50"/>
  <c r="AF112" i="50"/>
  <c r="X116" i="50"/>
  <c r="V116" i="50"/>
  <c r="T116" i="50"/>
  <c r="R116" i="50"/>
  <c r="X113" i="50"/>
  <c r="V113" i="50"/>
  <c r="T113" i="50"/>
  <c r="R113" i="50"/>
  <c r="X112" i="50"/>
  <c r="V112" i="50"/>
  <c r="T112" i="50"/>
  <c r="R112" i="50"/>
  <c r="J112" i="50"/>
  <c r="L112" i="50"/>
  <c r="J113" i="50"/>
  <c r="L113" i="50"/>
  <c r="J116" i="50"/>
  <c r="L116" i="50"/>
  <c r="H112" i="50"/>
  <c r="G113" i="50"/>
  <c r="G116" i="50"/>
  <c r="G112" i="50"/>
  <c r="K15" i="61" l="1"/>
  <c r="K13" i="61"/>
  <c r="K12" i="61"/>
  <c r="K14" i="61"/>
  <c r="O14" i="61"/>
  <c r="S14" i="61" s="1"/>
  <c r="W14" i="61" s="1"/>
  <c r="AA12" i="61"/>
  <c r="AA13" i="61"/>
  <c r="AA14" i="61"/>
  <c r="O12" i="61"/>
  <c r="S12" i="61" s="1"/>
  <c r="W12" i="61" s="1"/>
  <c r="O15" i="61"/>
  <c r="O13" i="61"/>
  <c r="AC21" i="50"/>
  <c r="AG21" i="50" s="1"/>
  <c r="AO116" i="50"/>
  <c r="BE116" i="50" s="1"/>
  <c r="AO145" i="50"/>
  <c r="BE145" i="50" s="1"/>
  <c r="AO142" i="50"/>
  <c r="BE142" i="50" s="1"/>
  <c r="AO143" i="50"/>
  <c r="BE143" i="50" s="1"/>
  <c r="AO12" i="61"/>
  <c r="BE12" i="61" s="1"/>
  <c r="AO14" i="61"/>
  <c r="AO13" i="61"/>
  <c r="AC90" i="50"/>
  <c r="AG90" i="50" s="1"/>
  <c r="AK90" i="50" s="1"/>
  <c r="AQ90" i="50" s="1"/>
  <c r="AU90" i="50" s="1"/>
  <c r="AY90" i="50" s="1"/>
  <c r="BG90" i="50" s="1"/>
  <c r="AC26" i="50"/>
  <c r="AG26" i="50" s="1"/>
  <c r="AC22" i="50"/>
  <c r="AG22" i="50" s="1"/>
  <c r="AC25" i="50"/>
  <c r="AG25" i="50" s="1"/>
  <c r="AK25" i="50" s="1"/>
  <c r="R95" i="50"/>
  <c r="AD95" i="50"/>
  <c r="AC23" i="50"/>
  <c r="AG23" i="50" s="1"/>
  <c r="AK23" i="50" s="1"/>
  <c r="AC30" i="50"/>
  <c r="AC31" i="50"/>
  <c r="AG31" i="50" s="1"/>
  <c r="AK31" i="50" s="1"/>
  <c r="AC20" i="50"/>
  <c r="AG20" i="50" s="1"/>
  <c r="AC60" i="50"/>
  <c r="AG60" i="50" s="1"/>
  <c r="AK60" i="50" s="1"/>
  <c r="AQ60" i="50" s="1"/>
  <c r="AU60" i="50" s="1"/>
  <c r="AY60" i="50" s="1"/>
  <c r="BG60" i="50" s="1"/>
  <c r="AF95" i="50"/>
  <c r="AB95" i="50"/>
  <c r="H95" i="50"/>
  <c r="T95" i="50"/>
  <c r="P95" i="50"/>
  <c r="AC69" i="50"/>
  <c r="AG69" i="50" s="1"/>
  <c r="AC68" i="50"/>
  <c r="AG68" i="50" s="1"/>
  <c r="K143" i="50"/>
  <c r="AC81" i="50"/>
  <c r="AG81" i="50" s="1"/>
  <c r="AK81" i="50" s="1"/>
  <c r="AQ81" i="50" s="1"/>
  <c r="AU81" i="50" s="1"/>
  <c r="AY81" i="50" s="1"/>
  <c r="BG81" i="50" s="1"/>
  <c r="AC77" i="50"/>
  <c r="AG77" i="50" s="1"/>
  <c r="AK77" i="50" s="1"/>
  <c r="AQ77" i="50" s="1"/>
  <c r="AU77" i="50" s="1"/>
  <c r="AY77" i="50" s="1"/>
  <c r="BG77" i="50" s="1"/>
  <c r="AC64" i="50"/>
  <c r="AG64" i="50" s="1"/>
  <c r="AC58" i="50"/>
  <c r="AG58" i="50" s="1"/>
  <c r="AK58" i="50" s="1"/>
  <c r="AQ58" i="50" s="1"/>
  <c r="AU58" i="50" s="1"/>
  <c r="AY58" i="50" s="1"/>
  <c r="BG58" i="50" s="1"/>
  <c r="AC87" i="50"/>
  <c r="AG87" i="50" s="1"/>
  <c r="AK87" i="50" s="1"/>
  <c r="AQ87" i="50" s="1"/>
  <c r="AU87" i="50" s="1"/>
  <c r="AY87" i="50" s="1"/>
  <c r="BG87" i="50" s="1"/>
  <c r="AC92" i="50"/>
  <c r="AG92" i="50" s="1"/>
  <c r="AK92" i="50" s="1"/>
  <c r="AQ92" i="50" s="1"/>
  <c r="AU92" i="50" s="1"/>
  <c r="AY92" i="50" s="1"/>
  <c r="BG92" i="50" s="1"/>
  <c r="AC76" i="50"/>
  <c r="AG76" i="50" s="1"/>
  <c r="AK76" i="50" s="1"/>
  <c r="AQ76" i="50" s="1"/>
  <c r="AU76" i="50" s="1"/>
  <c r="AY76" i="50" s="1"/>
  <c r="BG76" i="50" s="1"/>
  <c r="AC63" i="50"/>
  <c r="AG63" i="50" s="1"/>
  <c r="S63" i="50"/>
  <c r="W63" i="50" s="1"/>
  <c r="S81" i="50"/>
  <c r="W81" i="50" s="1"/>
  <c r="AA79" i="50"/>
  <c r="AC91" i="50"/>
  <c r="AG91" i="50" s="1"/>
  <c r="AK91" i="50" s="1"/>
  <c r="AQ91" i="50" s="1"/>
  <c r="AU91" i="50" s="1"/>
  <c r="AY91" i="50" s="1"/>
  <c r="BG91" i="50" s="1"/>
  <c r="AC75" i="50"/>
  <c r="AG75" i="50" s="1"/>
  <c r="AC62" i="50"/>
  <c r="AC84" i="50"/>
  <c r="AG84" i="50" s="1"/>
  <c r="AK84" i="50" s="1"/>
  <c r="AQ84" i="50" s="1"/>
  <c r="AC73" i="50"/>
  <c r="AG73" i="50" s="1"/>
  <c r="AC72" i="50"/>
  <c r="AG72" i="50" s="1"/>
  <c r="S68" i="50"/>
  <c r="W68" i="50" s="1"/>
  <c r="AC71" i="50"/>
  <c r="AG71" i="50" s="1"/>
  <c r="K112" i="50"/>
  <c r="S62" i="50"/>
  <c r="W62" i="50" s="1"/>
  <c r="AC56" i="50"/>
  <c r="AG56" i="50" s="1"/>
  <c r="AK56" i="50" s="1"/>
  <c r="AQ56" i="50" s="1"/>
  <c r="AU56" i="50" s="1"/>
  <c r="AY56" i="50" s="1"/>
  <c r="BG56" i="50" s="1"/>
  <c r="S92" i="50"/>
  <c r="W92" i="50" s="1"/>
  <c r="S60" i="50"/>
  <c r="W60" i="50" s="1"/>
  <c r="AC78" i="50"/>
  <c r="AG78" i="50" s="1"/>
  <c r="AK78" i="50" s="1"/>
  <c r="AQ78" i="50" s="1"/>
  <c r="AU78" i="50" s="1"/>
  <c r="AY78" i="50" s="1"/>
  <c r="BG78" i="50" s="1"/>
  <c r="AC65" i="50"/>
  <c r="AG65" i="50" s="1"/>
  <c r="S90" i="50"/>
  <c r="W90" i="50" s="1"/>
  <c r="AC83" i="50"/>
  <c r="AG83" i="50" s="1"/>
  <c r="AK83" i="50" s="1"/>
  <c r="AQ83" i="50" s="1"/>
  <c r="AU83" i="50" s="1"/>
  <c r="AY83" i="50" s="1"/>
  <c r="BG83" i="50" s="1"/>
  <c r="AC70" i="50"/>
  <c r="AG70" i="50" s="1"/>
  <c r="O94" i="50"/>
  <c r="AC66" i="50"/>
  <c r="AG66" i="50" s="1"/>
  <c r="AC59" i="50"/>
  <c r="AG59" i="50" s="1"/>
  <c r="AK59" i="50" s="1"/>
  <c r="AQ59" i="50" s="1"/>
  <c r="AU59" i="50" s="1"/>
  <c r="AY59" i="50" s="1"/>
  <c r="BG59" i="50" s="1"/>
  <c r="S73" i="50"/>
  <c r="W73" i="50" s="1"/>
  <c r="AC93" i="50"/>
  <c r="AG93" i="50" s="1"/>
  <c r="AK93" i="50" s="1"/>
  <c r="AQ93" i="50" s="1"/>
  <c r="AU93" i="50" s="1"/>
  <c r="AY93" i="50" s="1"/>
  <c r="BG93" i="50" s="1"/>
  <c r="K116" i="50"/>
  <c r="AC88" i="50"/>
  <c r="AG88" i="50" s="1"/>
  <c r="AK88" i="50" s="1"/>
  <c r="AQ88" i="50" s="1"/>
  <c r="AU88" i="50" s="1"/>
  <c r="AY88" i="50" s="1"/>
  <c r="BG88" i="50" s="1"/>
  <c r="AC57" i="50"/>
  <c r="AG57" i="50" s="1"/>
  <c r="AK57" i="50" s="1"/>
  <c r="AQ57" i="50" s="1"/>
  <c r="AU57" i="50" s="1"/>
  <c r="AY57" i="50" s="1"/>
  <c r="BG57" i="50" s="1"/>
  <c r="K113" i="50"/>
  <c r="O79" i="50"/>
  <c r="AA94" i="50"/>
  <c r="AC82" i="50"/>
  <c r="AG82" i="50" s="1"/>
  <c r="AK82" i="50" s="1"/>
  <c r="AQ82" i="50" s="1"/>
  <c r="AU82" i="50" s="1"/>
  <c r="AY82" i="50" s="1"/>
  <c r="BG82" i="50" s="1"/>
  <c r="AC55" i="50"/>
  <c r="S69" i="50"/>
  <c r="W69" i="50" s="1"/>
  <c r="S80" i="50"/>
  <c r="S66" i="50"/>
  <c r="W66" i="50" s="1"/>
  <c r="AC80" i="50"/>
  <c r="AA145" i="50"/>
  <c r="AA142" i="50"/>
  <c r="AA143" i="50"/>
  <c r="O142" i="50"/>
  <c r="O143" i="50"/>
  <c r="K142" i="50"/>
  <c r="O116" i="50"/>
  <c r="S116" i="50" s="1"/>
  <c r="W116" i="50" s="1"/>
  <c r="O112" i="50"/>
  <c r="O113" i="50"/>
  <c r="Z95" i="50"/>
  <c r="N95" i="50"/>
  <c r="AJ95" i="50"/>
  <c r="X95" i="50"/>
  <c r="L95" i="50"/>
  <c r="AH95" i="50"/>
  <c r="V95" i="50"/>
  <c r="J95" i="50"/>
  <c r="AU84" i="50" l="1"/>
  <c r="AK68" i="50"/>
  <c r="AQ68" i="50" s="1"/>
  <c r="AU68" i="50" s="1"/>
  <c r="AY68" i="50" s="1"/>
  <c r="BG68" i="50" s="1"/>
  <c r="AK69" i="50"/>
  <c r="AQ69" i="50" s="1"/>
  <c r="AU69" i="50" s="1"/>
  <c r="AY69" i="50" s="1"/>
  <c r="BG69" i="50" s="1"/>
  <c r="AK65" i="50"/>
  <c r="AQ65" i="50" s="1"/>
  <c r="AU65" i="50" s="1"/>
  <c r="AY65" i="50" s="1"/>
  <c r="BG65" i="50" s="1"/>
  <c r="AK63" i="50"/>
  <c r="AQ63" i="50" s="1"/>
  <c r="AU63" i="50" s="1"/>
  <c r="AY63" i="50" s="1"/>
  <c r="BG63" i="50" s="1"/>
  <c r="AK75" i="50"/>
  <c r="AQ75" i="50" s="1"/>
  <c r="AU75" i="50" s="1"/>
  <c r="AY75" i="50" s="1"/>
  <c r="BG75" i="50" s="1"/>
  <c r="AK66" i="50"/>
  <c r="AQ66" i="50" s="1"/>
  <c r="AU66" i="50" s="1"/>
  <c r="AY66" i="50" s="1"/>
  <c r="BG66" i="50" s="1"/>
  <c r="AK71" i="50"/>
  <c r="AQ71" i="50" s="1"/>
  <c r="AU71" i="50" s="1"/>
  <c r="AY71" i="50" s="1"/>
  <c r="BG71" i="50" s="1"/>
  <c r="AK70" i="50"/>
  <c r="AQ70" i="50" s="1"/>
  <c r="AU70" i="50" s="1"/>
  <c r="AY70" i="50" s="1"/>
  <c r="BG70" i="50" s="1"/>
  <c r="AK72" i="50"/>
  <c r="AQ72" i="50" s="1"/>
  <c r="AU72" i="50" s="1"/>
  <c r="AY72" i="50" s="1"/>
  <c r="BG72" i="50" s="1"/>
  <c r="AK73" i="50"/>
  <c r="AQ73" i="50" s="1"/>
  <c r="AU73" i="50" s="1"/>
  <c r="AY73" i="50" s="1"/>
  <c r="BG73" i="50" s="1"/>
  <c r="AK64" i="50"/>
  <c r="AQ64" i="50" s="1"/>
  <c r="AU64" i="50" s="1"/>
  <c r="AY64" i="50" s="1"/>
  <c r="BG64" i="50" s="1"/>
  <c r="AK26" i="50"/>
  <c r="AQ26" i="50" s="1"/>
  <c r="AU26" i="50" s="1"/>
  <c r="AY26" i="50" s="1"/>
  <c r="BG26" i="50" s="1"/>
  <c r="AK21" i="50"/>
  <c r="AQ21" i="50" s="1"/>
  <c r="AU21" i="50" s="1"/>
  <c r="AY21" i="50" s="1"/>
  <c r="BG21" i="50" s="1"/>
  <c r="AK22" i="50"/>
  <c r="AQ22" i="50" s="1"/>
  <c r="AU22" i="50" s="1"/>
  <c r="AY22" i="50" s="1"/>
  <c r="BG22" i="50" s="1"/>
  <c r="AK20" i="50"/>
  <c r="AQ20" i="50" s="1"/>
  <c r="AU20" i="50" s="1"/>
  <c r="AY20" i="50" s="1"/>
  <c r="BG20" i="50" s="1"/>
  <c r="AG62" i="50"/>
  <c r="AC13" i="61"/>
  <c r="AG13" i="61" s="1"/>
  <c r="S13" i="61"/>
  <c r="W13" i="61" s="1"/>
  <c r="AC14" i="61"/>
  <c r="AC12" i="61"/>
  <c r="AG12" i="61" s="1"/>
  <c r="W79" i="50"/>
  <c r="S79" i="50"/>
  <c r="W80" i="50"/>
  <c r="W94" i="50" s="1"/>
  <c r="S94" i="50"/>
  <c r="AC94" i="50"/>
  <c r="AG80" i="50"/>
  <c r="AC79" i="50"/>
  <c r="AG55" i="50"/>
  <c r="AC142" i="50"/>
  <c r="AG142" i="50" s="1"/>
  <c r="AK142" i="50" s="1"/>
  <c r="AQ142" i="50" s="1"/>
  <c r="AU142" i="50" s="1"/>
  <c r="AY142" i="50" s="1"/>
  <c r="BG142" i="50" s="1"/>
  <c r="AC143" i="50"/>
  <c r="AG143" i="50" s="1"/>
  <c r="AK143" i="50" s="1"/>
  <c r="AQ143" i="50" s="1"/>
  <c r="AU143" i="50" s="1"/>
  <c r="AY143" i="50" s="1"/>
  <c r="BG143" i="50" s="1"/>
  <c r="S142" i="50"/>
  <c r="W142" i="50" s="1"/>
  <c r="S143" i="50"/>
  <c r="W143" i="50" s="1"/>
  <c r="S112" i="50"/>
  <c r="W112" i="50" s="1"/>
  <c r="S113" i="50"/>
  <c r="W113" i="50" s="1"/>
  <c r="AM52" i="38"/>
  <c r="AD21" i="35"/>
  <c r="AD26" i="9" s="1"/>
  <c r="P1" i="35"/>
  <c r="P21" i="35" s="1"/>
  <c r="P26" i="9" s="1"/>
  <c r="L1" i="35"/>
  <c r="L21" i="35" s="1"/>
  <c r="L26" i="9" s="1"/>
  <c r="F1" i="35"/>
  <c r="AY84" i="50" l="1"/>
  <c r="BG84" i="50" s="1"/>
  <c r="AK62" i="50"/>
  <c r="AG79" i="50"/>
  <c r="AK55" i="50"/>
  <c r="AK80" i="50"/>
  <c r="AG94" i="50"/>
  <c r="AK54" i="83"/>
  <c r="AQ54" i="83" s="1"/>
  <c r="AU54" i="83" s="1"/>
  <c r="AY54" i="83" s="1"/>
  <c r="BG54" i="83" s="1"/>
  <c r="AQ62" i="50" l="1"/>
  <c r="AU62" i="50" s="1"/>
  <c r="AY62" i="50" s="1"/>
  <c r="BG62" i="50" s="1"/>
  <c r="AK79" i="50"/>
  <c r="AQ55" i="50"/>
  <c r="AU55" i="50" s="1"/>
  <c r="AK94" i="50"/>
  <c r="AQ80" i="50"/>
  <c r="AJ158" i="9"/>
  <c r="AJ159" i="9"/>
  <c r="AJ157" i="9"/>
  <c r="AQ94" i="50" l="1"/>
  <c r="AU80" i="50"/>
  <c r="AQ79" i="50"/>
  <c r="AU79" i="50" l="1"/>
  <c r="AY55" i="50"/>
  <c r="AU94" i="50"/>
  <c r="AY80" i="50"/>
  <c r="AY79" i="50" l="1"/>
  <c r="BG55" i="50"/>
  <c r="AY94" i="50"/>
  <c r="BG80" i="50"/>
  <c r="BG94" i="50" l="1"/>
  <c r="BG79" i="50"/>
  <c r="AN147" i="10"/>
  <c r="AI30" i="50"/>
  <c r="BD61" i="10" l="1"/>
  <c r="BD68" i="10"/>
  <c r="AE24" i="50"/>
  <c r="AE15" i="61" l="1"/>
  <c r="AO15" i="61" s="1"/>
  <c r="AO24" i="50"/>
  <c r="BE24" i="50" s="1"/>
  <c r="AI40" i="50" l="1"/>
  <c r="AI41" i="50"/>
  <c r="AI42" i="50"/>
  <c r="AI43" i="50"/>
  <c r="AI44" i="50"/>
  <c r="AI45" i="50"/>
  <c r="AI39" i="50"/>
  <c r="AI5" i="50"/>
  <c r="AI6" i="50"/>
  <c r="AI7" i="50"/>
  <c r="AI8" i="50"/>
  <c r="AI9" i="50"/>
  <c r="AI10" i="50"/>
  <c r="AI11" i="50"/>
  <c r="AI12" i="50"/>
  <c r="AI13" i="50"/>
  <c r="AI14" i="50"/>
  <c r="AI15" i="50"/>
  <c r="AI16" i="50"/>
  <c r="AI17" i="50"/>
  <c r="AI18" i="50"/>
  <c r="AI4" i="50"/>
  <c r="AI138" i="50"/>
  <c r="AI128" i="50"/>
  <c r="AI103" i="50"/>
  <c r="AI102" i="50"/>
  <c r="AI139" i="50"/>
  <c r="AI129" i="50"/>
  <c r="AI53" i="50"/>
  <c r="AI51" i="50"/>
  <c r="AI50" i="50"/>
  <c r="AI49" i="50"/>
  <c r="AI48" i="50"/>
  <c r="AI47" i="50"/>
  <c r="AI120" i="50"/>
  <c r="AI81" i="8"/>
  <c r="AI73" i="8"/>
  <c r="AI52" i="8"/>
  <c r="AH10" i="49"/>
  <c r="AH12" i="49" s="1"/>
  <c r="AH14" i="49" s="1"/>
  <c r="AH15" i="49" s="1"/>
  <c r="AH16" i="49" s="1"/>
  <c r="AH19" i="49" s="1"/>
  <c r="AH20" i="49" s="1"/>
  <c r="AQ103" i="50" l="1"/>
  <c r="AI9" i="61"/>
  <c r="AI5" i="61"/>
  <c r="AI8" i="61"/>
  <c r="AQ102" i="50"/>
  <c r="AI7" i="61"/>
  <c r="AI10" i="61"/>
  <c r="AI6" i="61"/>
  <c r="AI133" i="50"/>
  <c r="AI132" i="50"/>
  <c r="AI124" i="50"/>
  <c r="AI108" i="50"/>
  <c r="AI134" i="50"/>
  <c r="AI46" i="50"/>
  <c r="AI54" i="50"/>
  <c r="AI38" i="50"/>
  <c r="AI130" i="50"/>
  <c r="AI117" i="50"/>
  <c r="AI140" i="50"/>
  <c r="AJ73" i="59"/>
  <c r="AI141" i="50"/>
  <c r="AI131" i="50"/>
  <c r="AJ69" i="59"/>
  <c r="AJ65" i="59"/>
  <c r="AI121" i="50" l="1"/>
  <c r="AI125" i="50"/>
  <c r="AI126" i="50" s="1"/>
  <c r="AI109" i="50"/>
  <c r="AH162" i="10"/>
  <c r="AI135" i="50"/>
  <c r="AI136" i="50" s="1"/>
  <c r="AF2" i="17"/>
  <c r="AF2" i="26"/>
  <c r="AG2" i="26"/>
  <c r="AG2" i="17"/>
  <c r="AI95" i="50"/>
  <c r="AI113" i="7"/>
  <c r="AI112" i="7"/>
  <c r="AI111" i="7"/>
  <c r="AI110" i="7"/>
  <c r="AI109" i="7"/>
  <c r="AI108" i="7"/>
  <c r="AI107" i="7"/>
  <c r="AI106" i="7"/>
  <c r="AI85" i="7"/>
  <c r="AF50" i="39"/>
  <c r="AF45" i="39"/>
  <c r="AF8" i="39"/>
  <c r="AI110" i="50" l="1"/>
  <c r="AI122" i="50"/>
  <c r="AI111" i="50"/>
  <c r="AH163" i="10"/>
  <c r="AF22" i="39"/>
  <c r="AF51" i="39"/>
  <c r="AI118" i="50" l="1"/>
  <c r="AF24" i="39"/>
  <c r="AI144" i="50" l="1"/>
  <c r="AI146" i="50" l="1"/>
  <c r="AI98" i="50"/>
  <c r="AA73" i="8"/>
  <c r="AI96" i="50" l="1"/>
  <c r="AI147" i="50"/>
  <c r="AE53" i="83"/>
  <c r="AE54" i="83"/>
  <c r="AO54" i="83" s="1"/>
  <c r="BE54" i="83" s="1"/>
  <c r="AE55" i="83"/>
  <c r="AE56" i="83"/>
  <c r="AE57" i="83"/>
  <c r="AE58" i="83"/>
  <c r="AE59" i="83"/>
  <c r="AE60" i="83"/>
  <c r="AE61" i="83"/>
  <c r="AE62" i="83"/>
  <c r="AE63" i="83"/>
  <c r="AE65" i="83"/>
  <c r="AE66" i="83"/>
  <c r="AE67" i="83"/>
  <c r="AE5" i="83"/>
  <c r="AO5" i="83" s="1"/>
  <c r="BE5" i="83" s="1"/>
  <c r="AE6" i="83"/>
  <c r="AO6" i="83" s="1"/>
  <c r="BE6" i="83" s="1"/>
  <c r="AE7" i="83"/>
  <c r="AO7" i="83" s="1"/>
  <c r="BE7" i="83" s="1"/>
  <c r="AE8" i="83"/>
  <c r="AO8" i="83" s="1"/>
  <c r="BE8" i="83" s="1"/>
  <c r="AE10" i="83"/>
  <c r="AO10" i="83" s="1"/>
  <c r="BE10" i="83" s="1"/>
  <c r="AE11" i="83"/>
  <c r="AO11" i="83" s="1"/>
  <c r="BE11" i="83" s="1"/>
  <c r="AE12" i="83"/>
  <c r="AO12" i="83" s="1"/>
  <c r="BE12" i="83" s="1"/>
  <c r="AE13" i="83"/>
  <c r="AO13" i="83" s="1"/>
  <c r="BE13" i="83" s="1"/>
  <c r="AE14" i="83"/>
  <c r="AO14" i="83" s="1"/>
  <c r="BE14" i="83" s="1"/>
  <c r="AE15" i="83"/>
  <c r="AO15" i="83" s="1"/>
  <c r="BE15" i="83" s="1"/>
  <c r="AE16" i="83"/>
  <c r="AO16" i="83" s="1"/>
  <c r="BE16" i="83" s="1"/>
  <c r="AE17" i="83"/>
  <c r="AE18" i="83"/>
  <c r="AE19" i="83"/>
  <c r="AE24" i="83"/>
  <c r="AE25" i="83"/>
  <c r="AE29" i="83"/>
  <c r="AE31" i="83"/>
  <c r="AE32" i="83"/>
  <c r="AE33" i="83"/>
  <c r="AE34" i="83"/>
  <c r="AE35" i="83"/>
  <c r="AE36" i="83"/>
  <c r="AE37" i="83"/>
  <c r="BF88" i="10"/>
  <c r="BF89" i="10"/>
  <c r="AF152" i="10"/>
  <c r="BF32" i="10"/>
  <c r="AF136" i="10"/>
  <c r="AJ136" i="10" l="1"/>
  <c r="AJ152" i="10"/>
  <c r="AP152" i="10" l="1"/>
  <c r="AP136" i="10"/>
  <c r="AB167" i="26"/>
  <c r="AE93" i="73"/>
  <c r="AT152" i="10" l="1"/>
  <c r="AX152" i="10" s="1"/>
  <c r="AT136" i="10"/>
  <c r="AX136" i="10" s="1"/>
  <c r="AI93" i="73"/>
  <c r="AO93" i="73" s="1"/>
  <c r="AS93" i="73" s="1"/>
  <c r="AW93" i="73" s="1"/>
  <c r="AB172" i="26"/>
  <c r="BF136" i="10" l="1"/>
  <c r="BF152" i="10"/>
  <c r="BE93" i="73"/>
  <c r="AB164" i="26"/>
  <c r="AB171" i="26"/>
  <c r="AE14" i="50" l="1"/>
  <c r="AE6" i="61" l="1"/>
  <c r="AO6" i="61" s="1"/>
  <c r="BE6" i="61" s="1"/>
  <c r="AO14" i="50"/>
  <c r="BE14" i="50" s="1"/>
  <c r="AQ11" i="38" l="1"/>
  <c r="BG11" i="38" s="1"/>
  <c r="BD23" i="10" l="1"/>
  <c r="BD12" i="10" l="1"/>
  <c r="AE9" i="83"/>
  <c r="AO9" i="83" s="1"/>
  <c r="BE9" i="83" s="1"/>
  <c r="BD24" i="10"/>
  <c r="AE27" i="50"/>
  <c r="AE27" i="83"/>
  <c r="BD57" i="10"/>
  <c r="AE30" i="50"/>
  <c r="AE30" i="83"/>
  <c r="BD85" i="10"/>
  <c r="AE113" i="50"/>
  <c r="AJ85" i="10"/>
  <c r="BD91" i="10"/>
  <c r="AE112" i="50"/>
  <c r="AO27" i="50" l="1"/>
  <c r="BE27" i="50" s="1"/>
  <c r="AO113" i="50"/>
  <c r="BE113" i="50" s="1"/>
  <c r="AO112" i="50"/>
  <c r="BE112" i="50" s="1"/>
  <c r="AP85" i="10"/>
  <c r="AT85" i="10" s="1"/>
  <c r="AO30" i="50"/>
  <c r="BE30" i="50" s="1"/>
  <c r="AG30" i="50"/>
  <c r="AK30" i="50" s="1"/>
  <c r="AF73" i="59"/>
  <c r="AX85" i="10" l="1"/>
  <c r="BF85" i="10" l="1"/>
  <c r="AM90" i="90" l="1"/>
  <c r="BC90" i="90" s="1"/>
  <c r="AD10" i="49"/>
  <c r="AD12" i="49" s="1"/>
  <c r="AD14" i="49" s="1"/>
  <c r="AD15" i="49" s="1"/>
  <c r="AD16" i="49" s="1"/>
  <c r="AD19" i="49" s="1"/>
  <c r="AD20" i="49" s="1"/>
  <c r="AC6" i="49"/>
  <c r="AB50" i="39"/>
  <c r="AB45" i="39"/>
  <c r="AB8" i="39"/>
  <c r="AM42" i="39" l="1"/>
  <c r="AB22" i="39"/>
  <c r="AM43" i="39"/>
  <c r="AM46" i="39"/>
  <c r="AM47" i="39"/>
  <c r="AM48" i="39"/>
  <c r="AM49" i="39"/>
  <c r="AB51" i="39"/>
  <c r="AM60" i="39"/>
  <c r="AM61" i="39"/>
  <c r="AE134" i="50"/>
  <c r="AM8" i="39"/>
  <c r="AF65" i="59"/>
  <c r="AC17" i="49"/>
  <c r="AC18" i="49" s="1"/>
  <c r="AF69" i="59"/>
  <c r="AC8" i="49"/>
  <c r="AC9" i="49"/>
  <c r="AO134" i="50" l="1"/>
  <c r="BE134" i="50" s="1"/>
  <c r="AM22" i="39"/>
  <c r="BC48" i="39"/>
  <c r="AM23" i="39"/>
  <c r="BC47" i="39"/>
  <c r="AM45" i="39"/>
  <c r="BC61" i="39"/>
  <c r="BC46" i="39"/>
  <c r="BC60" i="39"/>
  <c r="BC43" i="39"/>
  <c r="AB24" i="39"/>
  <c r="BC42" i="39"/>
  <c r="AB2" i="17"/>
  <c r="AB2" i="26"/>
  <c r="AC2" i="17"/>
  <c r="AC2" i="26"/>
  <c r="AM50" i="39"/>
  <c r="AC10" i="49" l="1"/>
  <c r="AC12" i="49" s="1"/>
  <c r="AC14" i="49" s="1"/>
  <c r="AC15" i="49" s="1"/>
  <c r="AC16" i="49" s="1"/>
  <c r="AC19" i="49" s="1"/>
  <c r="AC20" i="49" s="1"/>
  <c r="BC23" i="39"/>
  <c r="BC50" i="39"/>
  <c r="BC45" i="39"/>
  <c r="AM24" i="39"/>
  <c r="AM51" i="39"/>
  <c r="BC22" i="39"/>
  <c r="BC24" i="39" l="1"/>
  <c r="AN11" i="49"/>
  <c r="BD11" i="49" s="1"/>
  <c r="AM11" i="49"/>
  <c r="BC11" i="49" s="1"/>
  <c r="AN10" i="49"/>
  <c r="AM10" i="49"/>
  <c r="AN9" i="49"/>
  <c r="BD9" i="49" s="1"/>
  <c r="AM9" i="49"/>
  <c r="AN8" i="49"/>
  <c r="BD8" i="49" s="1"/>
  <c r="AM8" i="49"/>
  <c r="AN6" i="49"/>
  <c r="BD6" i="49" s="1"/>
  <c r="AM6" i="49"/>
  <c r="AE144" i="50" l="1"/>
  <c r="AM34" i="39"/>
  <c r="AM18" i="49"/>
  <c r="AM17" i="49"/>
  <c r="AN18" i="49"/>
  <c r="BD18" i="49" s="1"/>
  <c r="AN17" i="49"/>
  <c r="BD17" i="49" s="1"/>
  <c r="AM12" i="49"/>
  <c r="AN12" i="49"/>
  <c r="AO144" i="50" l="1"/>
  <c r="BE144" i="50" s="1"/>
  <c r="BC34" i="39"/>
  <c r="AM122" i="90" l="1"/>
  <c r="BC122" i="90" s="1"/>
  <c r="AD15" i="36" l="1"/>
  <c r="AG52" i="59" l="1"/>
  <c r="Y70" i="83"/>
  <c r="Y72" i="83"/>
  <c r="Y73" i="83"/>
  <c r="Y74" i="83"/>
  <c r="Y75" i="83"/>
  <c r="Y53" i="83"/>
  <c r="Y54" i="83"/>
  <c r="Y55" i="83"/>
  <c r="Y56" i="83"/>
  <c r="Y57" i="83"/>
  <c r="Y58" i="83"/>
  <c r="Y59" i="83"/>
  <c r="Y60" i="83"/>
  <c r="Y61" i="83"/>
  <c r="Y62" i="83"/>
  <c r="Y63" i="83"/>
  <c r="Y65" i="83"/>
  <c r="Y66" i="83"/>
  <c r="Y67" i="83"/>
  <c r="Y68" i="83"/>
  <c r="Y52" i="83"/>
  <c r="Y48" i="83"/>
  <c r="Y50" i="83"/>
  <c r="Y46" i="83"/>
  <c r="Y40" i="83"/>
  <c r="Y41" i="83"/>
  <c r="Y42" i="83"/>
  <c r="Y43" i="83"/>
  <c r="Y44" i="83"/>
  <c r="Y39" i="83"/>
  <c r="Y5" i="83"/>
  <c r="Y6" i="83"/>
  <c r="Y7" i="83"/>
  <c r="Y8" i="83"/>
  <c r="Y9" i="83"/>
  <c r="Y10" i="83"/>
  <c r="Y11" i="83"/>
  <c r="Y12" i="83"/>
  <c r="Y13" i="83"/>
  <c r="Y14" i="83"/>
  <c r="Y15" i="83"/>
  <c r="Y16" i="83"/>
  <c r="Y17" i="83"/>
  <c r="Y19" i="83"/>
  <c r="Y25" i="83"/>
  <c r="Y30" i="83"/>
  <c r="Y31" i="83"/>
  <c r="Y33" i="83"/>
  <c r="Y34" i="83"/>
  <c r="Y35" i="83"/>
  <c r="Y36" i="83"/>
  <c r="Y76" i="83" l="1"/>
  <c r="Y69" i="83"/>
  <c r="Y51" i="83"/>
  <c r="Y45" i="83"/>
  <c r="Y18" i="83" l="1"/>
  <c r="Y113" i="50"/>
  <c r="Y4" i="83"/>
  <c r="Y112" i="50"/>
  <c r="AA112" i="50" l="1"/>
  <c r="AC112" i="50" s="1"/>
  <c r="AG112" i="50" s="1"/>
  <c r="AK112" i="50" s="1"/>
  <c r="AQ112" i="50" s="1"/>
  <c r="AU112" i="50" s="1"/>
  <c r="AY112" i="50" s="1"/>
  <c r="BG112" i="50" s="1"/>
  <c r="AA113" i="50"/>
  <c r="AC113" i="50" s="1"/>
  <c r="AG113" i="50" s="1"/>
  <c r="AK113" i="50" s="1"/>
  <c r="AQ113" i="50" s="1"/>
  <c r="AU113" i="50" s="1"/>
  <c r="AY113" i="50" s="1"/>
  <c r="BG113" i="50" s="1"/>
  <c r="Y32" i="83"/>
  <c r="AA33" i="50"/>
  <c r="AC33" i="50" s="1"/>
  <c r="AG33" i="50" s="1"/>
  <c r="Y24" i="83"/>
  <c r="Y15" i="61"/>
  <c r="Y29" i="83"/>
  <c r="AA29" i="50"/>
  <c r="AC29" i="50" s="1"/>
  <c r="AG29" i="50" s="1"/>
  <c r="AK29" i="50" s="1"/>
  <c r="Y37" i="83"/>
  <c r="AA37" i="50"/>
  <c r="AC37" i="50" s="1"/>
  <c r="AG37" i="50" s="1"/>
  <c r="Y27" i="83"/>
  <c r="Y116" i="50"/>
  <c r="AA116" i="50" l="1"/>
  <c r="AC116" i="50" s="1"/>
  <c r="AG116" i="50" s="1"/>
  <c r="AK116" i="50" s="1"/>
  <c r="AQ116" i="50" s="1"/>
  <c r="AU116" i="50" s="1"/>
  <c r="AY116" i="50" s="1"/>
  <c r="BG116" i="50" s="1"/>
  <c r="AK33" i="50"/>
  <c r="AQ33" i="50" s="1"/>
  <c r="AU33" i="50" s="1"/>
  <c r="AY33" i="50" s="1"/>
  <c r="BG33" i="50" s="1"/>
  <c r="AK37" i="50"/>
  <c r="AQ37" i="50" s="1"/>
  <c r="AU37" i="50" s="1"/>
  <c r="AY37" i="50" s="1"/>
  <c r="BG37" i="50" s="1"/>
  <c r="Y38" i="83"/>
  <c r="Y77" i="83" s="1"/>
  <c r="AB159" i="9"/>
  <c r="Z159" i="9"/>
  <c r="AB158" i="9"/>
  <c r="Z158" i="9"/>
  <c r="AB157" i="9"/>
  <c r="Z157" i="9"/>
  <c r="Y48" i="50" l="1"/>
  <c r="Y49" i="50"/>
  <c r="Y50" i="50"/>
  <c r="Y51" i="50"/>
  <c r="Y53" i="50"/>
  <c r="Y40" i="50"/>
  <c r="Y41" i="50"/>
  <c r="Y42" i="50"/>
  <c r="Y43" i="50"/>
  <c r="Y44" i="50"/>
  <c r="Y45" i="50"/>
  <c r="Y39" i="50"/>
  <c r="Y4" i="61"/>
  <c r="Y5" i="61"/>
  <c r="Y6" i="61"/>
  <c r="Y7" i="61"/>
  <c r="Y8" i="61"/>
  <c r="Y9" i="61"/>
  <c r="Y10" i="61"/>
  <c r="Y11" i="61"/>
  <c r="Y4" i="50"/>
  <c r="Y138" i="50"/>
  <c r="Y128" i="50"/>
  <c r="Y103" i="50"/>
  <c r="Y102" i="50"/>
  <c r="Y101" i="50"/>
  <c r="Y139" i="50"/>
  <c r="Y47" i="50"/>
  <c r="Y16" i="61" l="1"/>
  <c r="Y54" i="50"/>
  <c r="Y125" i="50" s="1"/>
  <c r="Y38" i="50"/>
  <c r="Y46" i="50"/>
  <c r="Y121" i="50" s="1"/>
  <c r="Y140" i="50"/>
  <c r="Y104" i="50"/>
  <c r="Y105" i="50" s="1"/>
  <c r="Y141" i="50"/>
  <c r="Y117" i="50"/>
  <c r="Y129" i="50"/>
  <c r="Y130" i="50" s="1"/>
  <c r="X1" i="35"/>
  <c r="X21" i="35" s="1"/>
  <c r="X26" i="9" s="1"/>
  <c r="Y109" i="50" l="1"/>
  <c r="X162" i="10"/>
  <c r="X163" i="10" s="1"/>
  <c r="Y95" i="50"/>
  <c r="Y131" i="50"/>
  <c r="Y78" i="90" l="1"/>
  <c r="Y83" i="90" l="1"/>
  <c r="Y74" i="90"/>
  <c r="Y85" i="90"/>
  <c r="Y72" i="90"/>
  <c r="Y76" i="90"/>
  <c r="Y84" i="90"/>
  <c r="Y79" i="90"/>
  <c r="Y69" i="90"/>
  <c r="Y70" i="90"/>
  <c r="Y80" i="90"/>
  <c r="Y88" i="90"/>
  <c r="Y87" i="90"/>
  <c r="Y81" i="90"/>
  <c r="Y77" i="90"/>
  <c r="Y73" i="90"/>
  <c r="Y71" i="90"/>
  <c r="Y68" i="90" l="1"/>
  <c r="Y62" i="39"/>
  <c r="Z62" i="39"/>
  <c r="U62" i="39"/>
  <c r="AA62" i="39" l="1"/>
  <c r="BF122" i="10"/>
  <c r="BF117" i="10"/>
  <c r="BF82" i="10"/>
  <c r="BF81" i="10"/>
  <c r="BF67" i="10"/>
  <c r="AE62" i="39" l="1"/>
  <c r="Y124" i="50"/>
  <c r="Y126" i="50" s="1"/>
  <c r="Y120" i="50"/>
  <c r="Y122" i="50" s="1"/>
  <c r="Z73" i="59"/>
  <c r="Z69" i="59"/>
  <c r="BF34" i="10"/>
  <c r="AI62" i="39" l="1"/>
  <c r="AO62" i="39" l="1"/>
  <c r="BF37" i="10"/>
  <c r="Z153" i="10"/>
  <c r="AB153" i="10" s="1"/>
  <c r="Z154" i="10"/>
  <c r="AB154" i="10" s="1"/>
  <c r="Z155" i="10"/>
  <c r="AB155" i="10" s="1"/>
  <c r="Z156" i="10"/>
  <c r="Z157" i="10"/>
  <c r="AS62" i="39" l="1"/>
  <c r="Z65" i="59"/>
  <c r="Y108" i="50"/>
  <c r="AW62" i="39" l="1"/>
  <c r="Y110" i="50"/>
  <c r="Y111" i="50"/>
  <c r="Y118" i="50" s="1"/>
  <c r="BE62" i="39" l="1"/>
  <c r="Y49" i="7"/>
  <c r="Z49" i="7"/>
  <c r="Y134" i="50" l="1"/>
  <c r="Z11" i="8"/>
  <c r="Y11" i="8"/>
  <c r="X10" i="49"/>
  <c r="X12" i="49" s="1"/>
  <c r="X14" i="49" s="1"/>
  <c r="X15" i="49" s="1"/>
  <c r="X16" i="49" s="1"/>
  <c r="X19" i="49" s="1"/>
  <c r="X20" i="49" s="1"/>
  <c r="T1" i="35"/>
  <c r="T21" i="35" s="1"/>
  <c r="T26" i="9" s="1"/>
  <c r="Y6" i="39"/>
  <c r="Y7" i="39"/>
  <c r="Y9" i="39"/>
  <c r="Y10" i="39"/>
  <c r="Y11" i="39"/>
  <c r="Y12" i="39"/>
  <c r="Y13" i="39"/>
  <c r="Y14" i="39"/>
  <c r="Y15" i="39"/>
  <c r="Y16" i="39"/>
  <c r="Y17" i="39"/>
  <c r="Y18" i="39"/>
  <c r="Y19" i="39"/>
  <c r="Y21" i="39"/>
  <c r="Y28" i="39"/>
  <c r="Y29" i="39"/>
  <c r="Y30" i="39"/>
  <c r="Y31" i="39"/>
  <c r="Y37" i="39"/>
  <c r="Y38" i="39"/>
  <c r="Y39" i="39"/>
  <c r="Y54" i="39"/>
  <c r="Y55" i="39"/>
  <c r="Y56" i="39"/>
  <c r="Y57" i="39"/>
  <c r="Y58" i="39"/>
  <c r="Y59" i="39"/>
  <c r="Y64" i="39"/>
  <c r="Y5" i="39"/>
  <c r="V50" i="39"/>
  <c r="V45" i="39"/>
  <c r="V8" i="39"/>
  <c r="V51" i="39" l="1"/>
  <c r="V22" i="39"/>
  <c r="Y66" i="73"/>
  <c r="Y67" i="73"/>
  <c r="AA67" i="73" s="1"/>
  <c r="AE67" i="73" s="1"/>
  <c r="Y68" i="73"/>
  <c r="AA68" i="73" s="1"/>
  <c r="AE68" i="73" s="1"/>
  <c r="Y69" i="73"/>
  <c r="Y70" i="73"/>
  <c r="Y185" i="73"/>
  <c r="AA185" i="73" s="1"/>
  <c r="AE185" i="73" s="1"/>
  <c r="Y186" i="73"/>
  <c r="Y187" i="73"/>
  <c r="Z9" i="35"/>
  <c r="Z10" i="35"/>
  <c r="Z16" i="35"/>
  <c r="Z17" i="35"/>
  <c r="Z18" i="35"/>
  <c r="Y23" i="35"/>
  <c r="Z23" i="35"/>
  <c r="Y24" i="35"/>
  <c r="Z24" i="35"/>
  <c r="Y25" i="35"/>
  <c r="Z25" i="35"/>
  <c r="Y27" i="35"/>
  <c r="Z27" i="35"/>
  <c r="Y28" i="35"/>
  <c r="Z28" i="35"/>
  <c r="Y30" i="35"/>
  <c r="Y31" i="35"/>
  <c r="Y32" i="35"/>
  <c r="Y35" i="35"/>
  <c r="X124" i="90" s="1"/>
  <c r="X126" i="90" s="1"/>
  <c r="Z35" i="35"/>
  <c r="Y124" i="90" s="1"/>
  <c r="Z42" i="35"/>
  <c r="Z43" i="35"/>
  <c r="Z44" i="35"/>
  <c r="Z45" i="35"/>
  <c r="Y50" i="35"/>
  <c r="Z50" i="35"/>
  <c r="Y51" i="35"/>
  <c r="Z51" i="35"/>
  <c r="Y53" i="35"/>
  <c r="Z53" i="35"/>
  <c r="AI68" i="73" l="1"/>
  <c r="AO68" i="73" s="1"/>
  <c r="AS68" i="73" s="1"/>
  <c r="AW68" i="73" s="1"/>
  <c r="AI67" i="73"/>
  <c r="AO67" i="73" s="1"/>
  <c r="AS67" i="73" s="1"/>
  <c r="AW67" i="73" s="1"/>
  <c r="AI185" i="73"/>
  <c r="AO185" i="73" s="1"/>
  <c r="AS185" i="73" s="1"/>
  <c r="AW185" i="73" s="1"/>
  <c r="Z11" i="35"/>
  <c r="Y144" i="50"/>
  <c r="W2" i="26"/>
  <c r="W2" i="17"/>
  <c r="V2" i="26"/>
  <c r="V2" i="17"/>
  <c r="Z26" i="35"/>
  <c r="Y80" i="83"/>
  <c r="Y78" i="83" s="1"/>
  <c r="Y33" i="35"/>
  <c r="V24" i="39"/>
  <c r="Y26" i="35"/>
  <c r="Y146" i="50" l="1"/>
  <c r="Y147" i="50" s="1"/>
  <c r="BE185" i="73"/>
  <c r="BE67" i="73"/>
  <c r="BE68" i="73"/>
  <c r="Y98" i="50"/>
  <c r="Y96" i="50" s="1"/>
  <c r="V159" i="9" l="1"/>
  <c r="V158" i="9"/>
  <c r="V157" i="9"/>
  <c r="G54" i="83" l="1"/>
  <c r="I54" i="83"/>
  <c r="U54" i="83"/>
  <c r="AA54" i="83" s="1"/>
  <c r="U70" i="83"/>
  <c r="U72" i="83"/>
  <c r="U73" i="83"/>
  <c r="U74" i="83"/>
  <c r="U75" i="83"/>
  <c r="U53" i="83"/>
  <c r="AA53" i="83" s="1"/>
  <c r="U55" i="83"/>
  <c r="AA55" i="83" s="1"/>
  <c r="U56" i="83"/>
  <c r="AA56" i="83" s="1"/>
  <c r="U57" i="83"/>
  <c r="AA57" i="83" s="1"/>
  <c r="U58" i="83"/>
  <c r="AA58" i="83" s="1"/>
  <c r="U59" i="83"/>
  <c r="AA59" i="83" s="1"/>
  <c r="U60" i="83"/>
  <c r="AA60" i="83" s="1"/>
  <c r="U61" i="83"/>
  <c r="AA61" i="83" s="1"/>
  <c r="U62" i="83"/>
  <c r="AA62" i="83" s="1"/>
  <c r="U63" i="83"/>
  <c r="AA63" i="83" s="1"/>
  <c r="U65" i="83"/>
  <c r="AA65" i="83" s="1"/>
  <c r="U66" i="83"/>
  <c r="AA66" i="83" s="1"/>
  <c r="U67" i="83"/>
  <c r="AA67" i="83" s="1"/>
  <c r="U68" i="83"/>
  <c r="U52" i="83"/>
  <c r="U48" i="83"/>
  <c r="U50" i="83"/>
  <c r="U46" i="83"/>
  <c r="U40" i="83"/>
  <c r="U41" i="83"/>
  <c r="U42" i="83"/>
  <c r="U43" i="83"/>
  <c r="U44" i="83"/>
  <c r="U39" i="83"/>
  <c r="U5" i="83"/>
  <c r="AA5" i="83" s="1"/>
  <c r="U7" i="83"/>
  <c r="AA7" i="83" s="1"/>
  <c r="U8" i="83"/>
  <c r="AA8" i="83" s="1"/>
  <c r="U10" i="83"/>
  <c r="AA10" i="83" s="1"/>
  <c r="U11" i="83"/>
  <c r="AA11" i="83" s="1"/>
  <c r="U12" i="83"/>
  <c r="AA12" i="83" s="1"/>
  <c r="U13" i="83"/>
  <c r="AA13" i="83" s="1"/>
  <c r="U14" i="83"/>
  <c r="AA14" i="83" s="1"/>
  <c r="U15" i="83"/>
  <c r="AA15" i="83" s="1"/>
  <c r="U16" i="83"/>
  <c r="AA16" i="83" s="1"/>
  <c r="U17" i="83"/>
  <c r="AA17" i="83" s="1"/>
  <c r="U18" i="83"/>
  <c r="AA18" i="83" s="1"/>
  <c r="U19" i="83"/>
  <c r="AA19" i="83" s="1"/>
  <c r="U24" i="83"/>
  <c r="AA24" i="83" s="1"/>
  <c r="U25" i="83"/>
  <c r="AA25" i="83" s="1"/>
  <c r="U29" i="83"/>
  <c r="AA29" i="83" s="1"/>
  <c r="U30" i="83"/>
  <c r="AA30" i="83" s="1"/>
  <c r="U31" i="83"/>
  <c r="AA31" i="83" s="1"/>
  <c r="U32" i="83"/>
  <c r="AA32" i="83" s="1"/>
  <c r="U33" i="83"/>
  <c r="AA33" i="83" s="1"/>
  <c r="U34" i="83"/>
  <c r="AA34" i="83" s="1"/>
  <c r="U35" i="83"/>
  <c r="AA35" i="83" s="1"/>
  <c r="U36" i="83"/>
  <c r="AA36" i="83" s="1"/>
  <c r="U37" i="83"/>
  <c r="AA37" i="83" s="1"/>
  <c r="U4" i="83"/>
  <c r="O54" i="83" l="1"/>
  <c r="AC54" i="83" s="1"/>
  <c r="K54" i="83"/>
  <c r="U69" i="83"/>
  <c r="U76" i="83"/>
  <c r="U51" i="83"/>
  <c r="U45" i="83"/>
  <c r="S54" i="83" l="1"/>
  <c r="W54" i="83" s="1"/>
  <c r="U190" i="6"/>
  <c r="U165" i="6"/>
  <c r="AA27" i="50" l="1"/>
  <c r="AC27" i="50" s="1"/>
  <c r="AG27" i="50" s="1"/>
  <c r="AK27" i="50" s="1"/>
  <c r="Q24" i="50" l="1"/>
  <c r="U27" i="83"/>
  <c r="AA27" i="83" s="1"/>
  <c r="U9" i="83"/>
  <c r="AA9" i="83" s="1"/>
  <c r="U6" i="83"/>
  <c r="AA6" i="83" s="1"/>
  <c r="S24" i="50" l="1"/>
  <c r="W24" i="50" s="1"/>
  <c r="Q15" i="61"/>
  <c r="AA24" i="50"/>
  <c r="AC24" i="50" s="1"/>
  <c r="AG24" i="50" s="1"/>
  <c r="AK24" i="50" s="1"/>
  <c r="U38" i="83"/>
  <c r="U77" i="83" s="1"/>
  <c r="AA15" i="61" l="1"/>
  <c r="AC15" i="61" s="1"/>
  <c r="S15" i="61"/>
  <c r="M49" i="7"/>
  <c r="N49" i="7"/>
  <c r="AB49" i="7" s="1"/>
  <c r="AF49" i="7" s="1"/>
  <c r="AJ49" i="7" s="1"/>
  <c r="AA49" i="7" l="1"/>
  <c r="AP49" i="7"/>
  <c r="AT49" i="7" s="1"/>
  <c r="AX49" i="7" s="1"/>
  <c r="R49" i="7"/>
  <c r="Q49" i="7"/>
  <c r="U49" i="7" l="1"/>
  <c r="AE49" i="7"/>
  <c r="BF49" i="7"/>
  <c r="V49" i="7"/>
  <c r="AI49" i="7" l="1"/>
  <c r="AO49" i="7" l="1"/>
  <c r="AS49" i="7" l="1"/>
  <c r="AW49" i="7" l="1"/>
  <c r="BE49" i="7" l="1"/>
  <c r="R172" i="26"/>
  <c r="R167" i="26" l="1"/>
  <c r="R164" i="26" l="1"/>
  <c r="R171" i="26"/>
  <c r="U6" i="61" l="1"/>
  <c r="U7" i="61"/>
  <c r="U8" i="61"/>
  <c r="U9" i="61"/>
  <c r="U10" i="61"/>
  <c r="U11" i="61"/>
  <c r="Q20" i="72"/>
  <c r="Q40" i="72"/>
  <c r="Q48" i="72"/>
  <c r="BJ61" i="71"/>
  <c r="BH61" i="71"/>
  <c r="Q51" i="72" l="1"/>
  <c r="BI61" i="71"/>
  <c r="BI63" i="71" s="1"/>
  <c r="Q53" i="72" l="1"/>
  <c r="U198" i="6" l="1"/>
  <c r="U37" i="36" l="1"/>
  <c r="V37" i="36"/>
  <c r="V93" i="8"/>
  <c r="U81" i="8"/>
  <c r="U73" i="8"/>
  <c r="U52" i="8"/>
  <c r="T144" i="7"/>
  <c r="T146" i="7" s="1"/>
  <c r="T147" i="7" s="1"/>
  <c r="T138" i="7"/>
  <c r="T140" i="7" s="1"/>
  <c r="T141" i="7" s="1"/>
  <c r="T129" i="7"/>
  <c r="T131" i="7" s="1"/>
  <c r="T121" i="7"/>
  <c r="U115" i="7"/>
  <c r="S115" i="7"/>
  <c r="U114" i="7"/>
  <c r="S114" i="7"/>
  <c r="U113" i="7"/>
  <c r="U112" i="7"/>
  <c r="U111" i="7"/>
  <c r="U110" i="7"/>
  <c r="U109" i="7"/>
  <c r="U108" i="7"/>
  <c r="U107" i="7"/>
  <c r="U106" i="7"/>
  <c r="U85" i="7"/>
  <c r="R50" i="39"/>
  <c r="R45" i="39"/>
  <c r="R8" i="39"/>
  <c r="R51" i="39" l="1"/>
  <c r="R22" i="39"/>
  <c r="T132" i="7"/>
  <c r="T123" i="7"/>
  <c r="T124" i="7" s="1"/>
  <c r="T130" i="7"/>
  <c r="R24" i="39"/>
  <c r="U199" i="6"/>
  <c r="U197" i="6"/>
  <c r="U189" i="6"/>
  <c r="U186" i="6"/>
  <c r="U185" i="6"/>
  <c r="U184" i="6"/>
  <c r="U183" i="6"/>
  <c r="U182" i="6"/>
  <c r="U181" i="6"/>
  <c r="U179" i="6"/>
  <c r="U178" i="6"/>
  <c r="U177" i="6"/>
  <c r="U164" i="6"/>
  <c r="U161" i="6"/>
  <c r="U160" i="6"/>
  <c r="U159" i="6"/>
  <c r="U158" i="6"/>
  <c r="U157" i="6"/>
  <c r="U156" i="6"/>
  <c r="U154" i="6"/>
  <c r="U153" i="6"/>
  <c r="U149" i="6"/>
  <c r="U85" i="6"/>
  <c r="U83" i="6"/>
  <c r="U82" i="6"/>
  <c r="U80" i="6"/>
  <c r="U79" i="6"/>
  <c r="U40" i="6"/>
  <c r="U39" i="6"/>
  <c r="U38" i="6"/>
  <c r="U37" i="6"/>
  <c r="R2" i="17" l="1"/>
  <c r="R2" i="26"/>
  <c r="S2" i="17"/>
  <c r="S2" i="26"/>
  <c r="U41" i="6"/>
  <c r="T133" i="7"/>
  <c r="T125" i="7"/>
  <c r="T126" i="7"/>
  <c r="T127" i="7" s="1"/>
  <c r="T128" i="7" l="1"/>
  <c r="T135" i="7" s="1"/>
  <c r="X44" i="59" l="1"/>
  <c r="X41" i="59"/>
  <c r="Y12" i="59"/>
  <c r="X12" i="59"/>
  <c r="X11" i="59"/>
  <c r="U72" i="36"/>
  <c r="U71" i="36"/>
  <c r="U69" i="36"/>
  <c r="U67" i="36"/>
  <c r="U66" i="36"/>
  <c r="U29" i="36"/>
  <c r="X79" i="59" s="1"/>
  <c r="U28" i="36"/>
  <c r="X78" i="59" s="1"/>
  <c r="U27" i="36"/>
  <c r="X77" i="59" s="1"/>
  <c r="U23" i="36"/>
  <c r="U22" i="36"/>
  <c r="U21" i="36"/>
  <c r="U17" i="36"/>
  <c r="X54" i="59" s="1"/>
  <c r="U16" i="36"/>
  <c r="X53" i="59" s="1"/>
  <c r="U9" i="36"/>
  <c r="X10" i="59" s="1"/>
  <c r="U8" i="36"/>
  <c r="X9" i="59" s="1"/>
  <c r="U7" i="36"/>
  <c r="X8" i="59" s="1"/>
  <c r="U5" i="36"/>
  <c r="U13" i="49" s="1"/>
  <c r="U68" i="36" l="1"/>
  <c r="X6" i="59"/>
  <c r="U80" i="83" l="1"/>
  <c r="U78" i="83" s="1"/>
  <c r="E124" i="90" l="1"/>
  <c r="BE124" i="90" s="1"/>
  <c r="E119" i="90"/>
  <c r="BE119" i="90" s="1"/>
  <c r="E100" i="90"/>
  <c r="E43" i="39"/>
  <c r="E42" i="39"/>
  <c r="E61" i="39"/>
  <c r="E60" i="39"/>
  <c r="M48" i="72"/>
  <c r="I48" i="72"/>
  <c r="E48" i="72"/>
  <c r="C48" i="72"/>
  <c r="M40" i="72"/>
  <c r="I40" i="72"/>
  <c r="E40" i="72"/>
  <c r="C40" i="72"/>
  <c r="C27" i="72"/>
  <c r="M20" i="72"/>
  <c r="I20" i="72"/>
  <c r="E20" i="72"/>
  <c r="C20" i="72"/>
  <c r="I51" i="72" l="1"/>
  <c r="E51" i="72"/>
  <c r="C51" i="72"/>
  <c r="M51" i="72"/>
  <c r="O48" i="72"/>
  <c r="S48" i="72" s="1"/>
  <c r="K48" i="72"/>
  <c r="G48" i="72"/>
  <c r="K40" i="72"/>
  <c r="O40" i="72"/>
  <c r="S40" i="72" s="1"/>
  <c r="G40" i="72"/>
  <c r="K20" i="72"/>
  <c r="O20" i="72"/>
  <c r="S20" i="72" s="1"/>
  <c r="G20" i="72"/>
  <c r="Y43" i="39"/>
  <c r="Y42" i="39"/>
  <c r="I100" i="90"/>
  <c r="M100" i="90"/>
  <c r="E117" i="90"/>
  <c r="Y61" i="39"/>
  <c r="Y60" i="39"/>
  <c r="T15" i="36"/>
  <c r="AI117" i="90" l="1"/>
  <c r="BE117" i="90"/>
  <c r="W52" i="59"/>
  <c r="AA117" i="90"/>
  <c r="M117" i="90"/>
  <c r="I117" i="90"/>
  <c r="U117" i="90"/>
  <c r="Q117" i="90"/>
  <c r="AO117" i="90"/>
  <c r="AS117" i="90" s="1"/>
  <c r="AW117" i="90" s="1"/>
  <c r="AE117" i="90"/>
  <c r="P9" i="52" l="1"/>
  <c r="P17" i="52" s="1"/>
  <c r="O9" i="52"/>
  <c r="O17" i="52" s="1"/>
  <c r="Q5" i="50" l="1"/>
  <c r="Q6" i="50"/>
  <c r="Q7" i="50"/>
  <c r="Q8" i="50"/>
  <c r="Q9" i="50"/>
  <c r="Q10" i="50"/>
  <c r="Q11" i="50"/>
  <c r="Q12" i="50"/>
  <c r="Q13" i="50"/>
  <c r="Q5" i="61" s="1"/>
  <c r="Q14" i="50"/>
  <c r="Q15" i="50"/>
  <c r="Q16" i="50"/>
  <c r="Q17" i="50"/>
  <c r="Q18" i="50"/>
  <c r="Q19" i="50"/>
  <c r="AA14" i="50" l="1"/>
  <c r="Q6" i="61"/>
  <c r="AA19" i="50"/>
  <c r="Q11" i="61"/>
  <c r="AA18" i="50"/>
  <c r="Q10" i="61"/>
  <c r="AA17" i="50"/>
  <c r="Q9" i="61"/>
  <c r="AA16" i="50"/>
  <c r="Q8" i="61"/>
  <c r="AA15" i="50"/>
  <c r="Q7" i="61"/>
  <c r="Q4" i="61"/>
  <c r="AA11" i="61" l="1"/>
  <c r="AA9" i="61"/>
  <c r="AA6" i="61"/>
  <c r="AA7" i="61"/>
  <c r="AA10" i="61"/>
  <c r="AA8" i="61"/>
  <c r="Q16" i="61"/>
  <c r="BF95" i="10" l="1"/>
  <c r="BF94" i="10"/>
  <c r="BF93" i="10"/>
  <c r="J79" i="8" l="1"/>
  <c r="J76" i="8"/>
  <c r="J80" i="8" l="1"/>
  <c r="R159" i="9" l="1"/>
  <c r="R158" i="9"/>
  <c r="R157" i="9"/>
  <c r="E222" i="6" l="1"/>
  <c r="E221" i="6"/>
  <c r="Y17" i="35" l="1"/>
  <c r="Y16" i="35"/>
  <c r="Y18" i="35" l="1"/>
  <c r="Y34" i="35"/>
  <c r="Y36" i="35" s="1"/>
  <c r="AC11" i="38"/>
  <c r="P10" i="49"/>
  <c r="P12" i="49" s="1"/>
  <c r="P14" i="49" s="1"/>
  <c r="P15" i="49" s="1"/>
  <c r="P16" i="49" s="1"/>
  <c r="P19" i="49" s="1"/>
  <c r="P20" i="49" s="1"/>
  <c r="P144" i="7"/>
  <c r="P146" i="7" s="1"/>
  <c r="P147" i="7" s="1"/>
  <c r="P138" i="7"/>
  <c r="P140" i="7" s="1"/>
  <c r="P141" i="7" s="1"/>
  <c r="P129" i="7"/>
  <c r="P121" i="7"/>
  <c r="O115" i="7"/>
  <c r="O114" i="7"/>
  <c r="Z131" i="6"/>
  <c r="Y131" i="6"/>
  <c r="Z17" i="49"/>
  <c r="Q134" i="50" l="1"/>
  <c r="O90" i="90"/>
  <c r="AA144" i="50"/>
  <c r="Y34" i="39"/>
  <c r="Y46" i="39"/>
  <c r="Y47" i="39"/>
  <c r="Y48" i="39"/>
  <c r="Y48" i="35"/>
  <c r="Y37" i="35"/>
  <c r="Y8" i="39"/>
  <c r="Z18" i="49"/>
  <c r="P123" i="7"/>
  <c r="P124" i="7" s="1"/>
  <c r="P126" i="7" s="1"/>
  <c r="P127" i="7" s="1"/>
  <c r="P130" i="7"/>
  <c r="P131" i="7"/>
  <c r="P132" i="7" s="1"/>
  <c r="Q43" i="35"/>
  <c r="U43" i="35" s="1"/>
  <c r="Q44" i="35"/>
  <c r="U44" i="35" s="1"/>
  <c r="Q45" i="35"/>
  <c r="U45" i="35" s="1"/>
  <c r="Y42" i="35"/>
  <c r="Y39" i="35"/>
  <c r="Z31" i="35"/>
  <c r="Z30" i="35"/>
  <c r="Z20" i="35"/>
  <c r="Y20" i="35"/>
  <c r="Y9" i="35"/>
  <c r="AA134" i="50" l="1"/>
  <c r="Y90" i="90"/>
  <c r="O122" i="90"/>
  <c r="Y50" i="39"/>
  <c r="Y23" i="39"/>
  <c r="Y22" i="39"/>
  <c r="Y49" i="39"/>
  <c r="Y45" i="39"/>
  <c r="N2" i="26"/>
  <c r="N2" i="17"/>
  <c r="O2" i="17"/>
  <c r="O2" i="26"/>
  <c r="T96" i="38"/>
  <c r="Z14" i="35"/>
  <c r="Y41" i="35"/>
  <c r="Y49" i="35" s="1"/>
  <c r="Z13" i="35"/>
  <c r="Y10" i="35"/>
  <c r="Y11" i="35" s="1"/>
  <c r="Y19" i="35"/>
  <c r="Z19" i="35"/>
  <c r="Z32" i="35"/>
  <c r="Z33" i="35" s="1"/>
  <c r="S96" i="38"/>
  <c r="P125" i="7"/>
  <c r="P128" i="7" s="1"/>
  <c r="Z41" i="35"/>
  <c r="P133" i="7"/>
  <c r="O126" i="90" l="1"/>
  <c r="Y122" i="90"/>
  <c r="Y126" i="90" s="1"/>
  <c r="Y51" i="39"/>
  <c r="Y24" i="39"/>
  <c r="Z15" i="35"/>
  <c r="Y13" i="35"/>
  <c r="Y14" i="35"/>
  <c r="P135" i="7"/>
  <c r="Y15" i="35" l="1"/>
  <c r="N79" i="8" l="1"/>
  <c r="R79" i="8" s="1"/>
  <c r="V79" i="8" s="1"/>
  <c r="N76" i="8"/>
  <c r="F75" i="8"/>
  <c r="F78" i="8" l="1"/>
  <c r="J75" i="8"/>
  <c r="N75" i="8"/>
  <c r="R75" i="8" s="1"/>
  <c r="V75" i="8" s="1"/>
  <c r="R76" i="8"/>
  <c r="N80" i="8"/>
  <c r="R80" i="8" l="1"/>
  <c r="V76" i="8"/>
  <c r="V80" i="8" l="1"/>
  <c r="J3" i="8" l="1"/>
  <c r="H21" i="35"/>
  <c r="H26" i="9" s="1"/>
  <c r="B10" i="6" l="1"/>
  <c r="F8" i="6"/>
  <c r="F9" i="6"/>
  <c r="I11" i="8" l="1"/>
  <c r="M11" i="8"/>
  <c r="N11" i="8"/>
  <c r="AB11" i="8" l="1"/>
  <c r="AF11" i="8" s="1"/>
  <c r="AJ11" i="8" s="1"/>
  <c r="AP11" i="8" s="1"/>
  <c r="AT11" i="8" s="1"/>
  <c r="AX11" i="8" s="1"/>
  <c r="BF11" i="8" s="1"/>
  <c r="R11" i="8"/>
  <c r="V11" i="8" s="1"/>
  <c r="AA11" i="8"/>
  <c r="AE11" i="8" s="1"/>
  <c r="AI11" i="8" s="1"/>
  <c r="AO11" i="8" s="1"/>
  <c r="AS11" i="8" s="1"/>
  <c r="AW11" i="8" s="1"/>
  <c r="BE11" i="8" s="1"/>
  <c r="Q11" i="8"/>
  <c r="U11" i="8" s="1"/>
  <c r="N159" i="9"/>
  <c r="N158" i="9"/>
  <c r="N157" i="9"/>
  <c r="L24" i="36" l="1"/>
  <c r="O74" i="59" s="1"/>
  <c r="R11" i="38" l="1"/>
  <c r="V11" i="38" s="1"/>
  <c r="Z11" i="38" s="1"/>
  <c r="M48" i="50"/>
  <c r="M49" i="50"/>
  <c r="M50" i="50"/>
  <c r="M51" i="50"/>
  <c r="M53" i="50"/>
  <c r="M40" i="50"/>
  <c r="M41" i="50"/>
  <c r="M42" i="50"/>
  <c r="M43" i="50"/>
  <c r="M44" i="50"/>
  <c r="M45" i="50"/>
  <c r="M39" i="50"/>
  <c r="M4" i="61"/>
  <c r="M5" i="61"/>
  <c r="M6" i="61"/>
  <c r="M7" i="61"/>
  <c r="M8" i="61"/>
  <c r="M9" i="61"/>
  <c r="M10" i="61"/>
  <c r="M138" i="50"/>
  <c r="M128" i="50"/>
  <c r="M131" i="50" s="1"/>
  <c r="M101" i="50"/>
  <c r="M139" i="50"/>
  <c r="M47" i="50"/>
  <c r="M16" i="61" l="1"/>
  <c r="M54" i="50"/>
  <c r="M125" i="50" s="1"/>
  <c r="M38" i="50"/>
  <c r="L162" i="10" s="1"/>
  <c r="L163" i="10" s="1"/>
  <c r="M46" i="50"/>
  <c r="M121" i="50" s="1"/>
  <c r="M130" i="50"/>
  <c r="M140" i="50"/>
  <c r="M117" i="50"/>
  <c r="M141" i="50"/>
  <c r="I53" i="72"/>
  <c r="AZ61" i="71"/>
  <c r="BB61" i="71"/>
  <c r="BD61" i="71"/>
  <c r="BF61" i="71"/>
  <c r="BL61" i="71"/>
  <c r="BN61" i="71"/>
  <c r="BP61" i="71"/>
  <c r="BR61" i="71"/>
  <c r="BT61" i="71"/>
  <c r="BV61" i="71"/>
  <c r="BV63" i="71" s="1"/>
  <c r="BX61" i="71"/>
  <c r="BZ61" i="71"/>
  <c r="BZ63" i="71" s="1"/>
  <c r="CB61" i="71"/>
  <c r="CD61" i="71"/>
  <c r="CF61" i="71"/>
  <c r="CF63" i="71" s="1"/>
  <c r="CH61" i="71"/>
  <c r="CJ61" i="71"/>
  <c r="CJ63" i="71" s="1"/>
  <c r="CL61" i="71"/>
  <c r="CN61" i="71"/>
  <c r="CN63" i="71" s="1"/>
  <c r="CP61" i="71"/>
  <c r="CR61" i="71"/>
  <c r="CT61" i="71"/>
  <c r="M95" i="50" l="1"/>
  <c r="M109" i="50"/>
  <c r="AF144" i="10"/>
  <c r="AF145" i="10"/>
  <c r="AF146" i="10"/>
  <c r="AF147" i="10"/>
  <c r="AF148" i="10"/>
  <c r="AF149" i="10"/>
  <c r="AF150" i="10"/>
  <c r="AF151" i="10"/>
  <c r="AF153" i="10"/>
  <c r="AF154" i="10"/>
  <c r="AF155" i="10"/>
  <c r="AB156" i="10"/>
  <c r="AF156" i="10" s="1"/>
  <c r="AB157" i="10"/>
  <c r="AF157" i="10" s="1"/>
  <c r="N49" i="11"/>
  <c r="AB49" i="11" s="1"/>
  <c r="AF49" i="11" s="1"/>
  <c r="N50" i="11"/>
  <c r="AB50" i="11" s="1"/>
  <c r="AF50" i="11" s="1"/>
  <c r="N8" i="11"/>
  <c r="N11" i="11"/>
  <c r="N12" i="11"/>
  <c r="N13" i="11"/>
  <c r="N14" i="11"/>
  <c r="N15" i="11"/>
  <c r="N16" i="11"/>
  <c r="N18" i="11"/>
  <c r="N20" i="11"/>
  <c r="N21" i="11"/>
  <c r="N23" i="11"/>
  <c r="N24" i="11"/>
  <c r="N25" i="11"/>
  <c r="N26" i="11"/>
  <c r="N27" i="11"/>
  <c r="N28" i="11"/>
  <c r="N29" i="11"/>
  <c r="N30" i="11"/>
  <c r="N31" i="11"/>
  <c r="N32" i="11"/>
  <c r="N33" i="11"/>
  <c r="N34" i="11"/>
  <c r="N35" i="11"/>
  <c r="N36" i="11"/>
  <c r="N37" i="11"/>
  <c r="N38" i="11"/>
  <c r="N39" i="11"/>
  <c r="N40" i="11"/>
  <c r="N41" i="11"/>
  <c r="N42" i="11"/>
  <c r="AB42" i="11" s="1"/>
  <c r="M157" i="45"/>
  <c r="M156" i="45"/>
  <c r="M154" i="45"/>
  <c r="M148" i="45"/>
  <c r="M143" i="45"/>
  <c r="L143" i="45"/>
  <c r="M141" i="45"/>
  <c r="L141" i="45"/>
  <c r="M140" i="45"/>
  <c r="L140" i="45"/>
  <c r="M138" i="45"/>
  <c r="L138" i="45"/>
  <c r="M136" i="45"/>
  <c r="L136" i="45"/>
  <c r="M134" i="45"/>
  <c r="O72" i="59" s="1"/>
  <c r="L134" i="45"/>
  <c r="N72" i="59" s="1"/>
  <c r="M131" i="45"/>
  <c r="L131" i="45"/>
  <c r="L132" i="45" s="1"/>
  <c r="M122" i="45"/>
  <c r="M159" i="45" s="1"/>
  <c r="M121" i="45"/>
  <c r="L121" i="45"/>
  <c r="M120" i="45"/>
  <c r="M29" i="9"/>
  <c r="K90" i="90"/>
  <c r="M149" i="45" l="1"/>
  <c r="M132" i="45"/>
  <c r="AJ154" i="10"/>
  <c r="AJ147" i="10"/>
  <c r="AJ146" i="10"/>
  <c r="AJ153" i="10"/>
  <c r="AJ157" i="10"/>
  <c r="AJ151" i="10"/>
  <c r="AJ145" i="10"/>
  <c r="AJ156" i="10"/>
  <c r="AJ150" i="10"/>
  <c r="AJ144" i="10"/>
  <c r="AJ149" i="10"/>
  <c r="AJ155" i="10"/>
  <c r="AJ148" i="10"/>
  <c r="R15" i="11"/>
  <c r="V15" i="11" s="1"/>
  <c r="AB15" i="11"/>
  <c r="AF15" i="11" s="1"/>
  <c r="AJ15" i="11" s="1"/>
  <c r="AP15" i="11" s="1"/>
  <c r="AT15" i="11" s="1"/>
  <c r="AX15" i="11" s="1"/>
  <c r="R41" i="11"/>
  <c r="V41" i="11" s="1"/>
  <c r="AB41" i="11"/>
  <c r="AF41" i="11" s="1"/>
  <c r="R14" i="11"/>
  <c r="V14" i="11" s="1"/>
  <c r="AB14" i="11"/>
  <c r="R24" i="11"/>
  <c r="V24" i="11" s="1"/>
  <c r="AB24" i="11"/>
  <c r="AF24" i="11" s="1"/>
  <c r="AJ24" i="11" s="1"/>
  <c r="AP24" i="11" s="1"/>
  <c r="AT24" i="11" s="1"/>
  <c r="AX24" i="11" s="1"/>
  <c r="R28" i="11"/>
  <c r="V28" i="11" s="1"/>
  <c r="AB28" i="11"/>
  <c r="AF28" i="11" s="1"/>
  <c r="R13" i="11"/>
  <c r="V13" i="11" s="1"/>
  <c r="AB13" i="11"/>
  <c r="R30" i="11"/>
  <c r="V30" i="11" s="1"/>
  <c r="AB30" i="11"/>
  <c r="AF30" i="11" s="1"/>
  <c r="AJ30" i="11" s="1"/>
  <c r="AP30" i="11" s="1"/>
  <c r="AT30" i="11" s="1"/>
  <c r="AX30" i="11" s="1"/>
  <c r="R23" i="11"/>
  <c r="V23" i="11" s="1"/>
  <c r="AB23" i="11"/>
  <c r="R33" i="11"/>
  <c r="V33" i="11" s="1"/>
  <c r="AB33" i="11"/>
  <c r="R27" i="11"/>
  <c r="V27" i="11" s="1"/>
  <c r="AB27" i="11"/>
  <c r="AF27" i="11" s="1"/>
  <c r="R20" i="11"/>
  <c r="V20" i="11" s="1"/>
  <c r="AB20" i="11"/>
  <c r="AF20" i="11" s="1"/>
  <c r="AJ20" i="11" s="1"/>
  <c r="AP20" i="11" s="1"/>
  <c r="AT20" i="11" s="1"/>
  <c r="AX20" i="11" s="1"/>
  <c r="R12" i="11"/>
  <c r="V12" i="11" s="1"/>
  <c r="AB12" i="11"/>
  <c r="R36" i="11"/>
  <c r="V36" i="11" s="1"/>
  <c r="AB36" i="11"/>
  <c r="AF36" i="11" s="1"/>
  <c r="AJ36" i="11" s="1"/>
  <c r="AP36" i="11" s="1"/>
  <c r="AT36" i="11" s="1"/>
  <c r="AX36" i="11" s="1"/>
  <c r="R29" i="11"/>
  <c r="V29" i="11" s="1"/>
  <c r="AB29" i="11"/>
  <c r="R34" i="11"/>
  <c r="V34" i="11" s="1"/>
  <c r="AB34" i="11"/>
  <c r="R38" i="11"/>
  <c r="V38" i="11" s="1"/>
  <c r="AB38" i="11"/>
  <c r="AF38" i="11" s="1"/>
  <c r="R32" i="11"/>
  <c r="V32" i="11" s="1"/>
  <c r="AB32" i="11"/>
  <c r="R26" i="11"/>
  <c r="V26" i="11" s="1"/>
  <c r="AB26" i="11"/>
  <c r="R18" i="11"/>
  <c r="V18" i="11" s="1"/>
  <c r="AB18" i="11"/>
  <c r="AF18" i="11" s="1"/>
  <c r="AJ18" i="11" s="1"/>
  <c r="AP18" i="11" s="1"/>
  <c r="AT18" i="11" s="1"/>
  <c r="AX18" i="11" s="1"/>
  <c r="R11" i="11"/>
  <c r="V11" i="11" s="1"/>
  <c r="AB11" i="11"/>
  <c r="R35" i="11"/>
  <c r="V35" i="11" s="1"/>
  <c r="AB35" i="11"/>
  <c r="AF35" i="11" s="1"/>
  <c r="AJ35" i="11" s="1"/>
  <c r="AP35" i="11" s="1"/>
  <c r="AT35" i="11" s="1"/>
  <c r="AX35" i="11" s="1"/>
  <c r="R40" i="11"/>
  <c r="V40" i="11" s="1"/>
  <c r="AB40" i="11"/>
  <c r="AF40" i="11" s="1"/>
  <c r="R21" i="11"/>
  <c r="V21" i="11" s="1"/>
  <c r="AB21" i="11"/>
  <c r="AF21" i="11" s="1"/>
  <c r="AJ21" i="11" s="1"/>
  <c r="AP21" i="11" s="1"/>
  <c r="AT21" i="11" s="1"/>
  <c r="AX21" i="11" s="1"/>
  <c r="R39" i="11"/>
  <c r="V39" i="11" s="1"/>
  <c r="AB39" i="11"/>
  <c r="R37" i="11"/>
  <c r="V37" i="11" s="1"/>
  <c r="AB37" i="11"/>
  <c r="AF37" i="11" s="1"/>
  <c r="AJ37" i="11" s="1"/>
  <c r="AP37" i="11" s="1"/>
  <c r="AT37" i="11" s="1"/>
  <c r="AX37" i="11" s="1"/>
  <c r="R31" i="11"/>
  <c r="V31" i="11" s="1"/>
  <c r="AB31" i="11"/>
  <c r="R25" i="11"/>
  <c r="V25" i="11" s="1"/>
  <c r="AB25" i="11"/>
  <c r="R16" i="11"/>
  <c r="V16" i="11" s="1"/>
  <c r="AB16" i="11"/>
  <c r="AF16" i="11" s="1"/>
  <c r="AJ16" i="11" s="1"/>
  <c r="AP16" i="11" s="1"/>
  <c r="AT16" i="11" s="1"/>
  <c r="AX16" i="11" s="1"/>
  <c r="R8" i="11"/>
  <c r="V8" i="11" s="1"/>
  <c r="AB8" i="11"/>
  <c r="AF8" i="11" s="1"/>
  <c r="AJ8" i="11" s="1"/>
  <c r="AP8" i="11" s="1"/>
  <c r="AT8" i="11" s="1"/>
  <c r="AX8" i="11" s="1"/>
  <c r="AF42" i="11"/>
  <c r="R42" i="11"/>
  <c r="V42" i="11" s="1"/>
  <c r="AJ50" i="11"/>
  <c r="AP50" i="11" s="1"/>
  <c r="AT50" i="11" s="1"/>
  <c r="R50" i="11"/>
  <c r="V50" i="11" s="1"/>
  <c r="AJ49" i="11"/>
  <c r="AP49" i="11" s="1"/>
  <c r="AT49" i="11" s="1"/>
  <c r="R49" i="11"/>
  <c r="V49" i="11" s="1"/>
  <c r="L32" i="35"/>
  <c r="L33" i="35" s="1"/>
  <c r="M139" i="45"/>
  <c r="L124" i="45"/>
  <c r="L139" i="45"/>
  <c r="M158" i="45"/>
  <c r="M150" i="45"/>
  <c r="M134" i="50"/>
  <c r="AF141" i="10"/>
  <c r="AF133" i="10"/>
  <c r="BF114" i="10"/>
  <c r="AJ105" i="10"/>
  <c r="BF99" i="10"/>
  <c r="AJ90" i="10"/>
  <c r="AF137" i="10"/>
  <c r="BF96" i="10"/>
  <c r="AF140" i="10"/>
  <c r="AF132" i="10"/>
  <c r="BF121" i="10"/>
  <c r="BF113" i="10"/>
  <c r="BF104" i="10"/>
  <c r="AJ98" i="10"/>
  <c r="BF84" i="10"/>
  <c r="BF111" i="10"/>
  <c r="AF138" i="10"/>
  <c r="AF130" i="10"/>
  <c r="AJ120" i="10"/>
  <c r="BF112" i="10"/>
  <c r="BF103" i="10"/>
  <c r="BF97" i="10"/>
  <c r="AF135" i="10"/>
  <c r="BF118" i="10"/>
  <c r="BF110" i="10"/>
  <c r="BF101" i="10"/>
  <c r="BF92" i="10"/>
  <c r="BF119" i="10"/>
  <c r="BF102" i="10"/>
  <c r="AF142" i="10"/>
  <c r="AF134" i="10"/>
  <c r="BF116" i="10"/>
  <c r="BF108" i="10"/>
  <c r="BF100" i="10"/>
  <c r="AJ91" i="10"/>
  <c r="BF62" i="10"/>
  <c r="BF54" i="10"/>
  <c r="BF47" i="10"/>
  <c r="BF75" i="10"/>
  <c r="BF69" i="10"/>
  <c r="BF61" i="10"/>
  <c r="BF52" i="10"/>
  <c r="BF46" i="10"/>
  <c r="BF40" i="10"/>
  <c r="AJ27" i="10"/>
  <c r="BF17" i="10"/>
  <c r="BF10" i="10"/>
  <c r="AJ76" i="10"/>
  <c r="AJ11" i="10"/>
  <c r="BF83" i="10"/>
  <c r="BF74" i="10"/>
  <c r="BF68" i="10"/>
  <c r="AJ60" i="10"/>
  <c r="BF51" i="10"/>
  <c r="BF45" i="10"/>
  <c r="BF39" i="10"/>
  <c r="BF26" i="10"/>
  <c r="BF16" i="10"/>
  <c r="BF9" i="10"/>
  <c r="BF70" i="10"/>
  <c r="BF18" i="10"/>
  <c r="BF80" i="10"/>
  <c r="AJ73" i="10"/>
  <c r="BF66" i="10"/>
  <c r="BF57" i="10"/>
  <c r="AJ50" i="10"/>
  <c r="BF44" i="10"/>
  <c r="BF38" i="10"/>
  <c r="BF23" i="10"/>
  <c r="BF15" i="10"/>
  <c r="BF8" i="10"/>
  <c r="BF29" i="10"/>
  <c r="BF79" i="10"/>
  <c r="AJ72" i="10"/>
  <c r="BF64" i="10"/>
  <c r="BF56" i="10"/>
  <c r="BF49" i="10"/>
  <c r="BF43" i="10"/>
  <c r="BF36" i="10"/>
  <c r="BF20" i="10"/>
  <c r="BF14" i="10"/>
  <c r="BF41" i="10"/>
  <c r="AJ77" i="10"/>
  <c r="BF71" i="10"/>
  <c r="BF63" i="10"/>
  <c r="BF55" i="10"/>
  <c r="BF48" i="10"/>
  <c r="BF42" i="10"/>
  <c r="BF35" i="10"/>
  <c r="BF19" i="10"/>
  <c r="BF12" i="10"/>
  <c r="M124" i="45"/>
  <c r="M125" i="45" s="1"/>
  <c r="M124" i="50"/>
  <c r="M126" i="50" s="1"/>
  <c r="M120" i="50"/>
  <c r="M122" i="50" s="1"/>
  <c r="M102" i="50"/>
  <c r="M155" i="45"/>
  <c r="L144" i="45"/>
  <c r="N73" i="59" s="1"/>
  <c r="L123" i="45"/>
  <c r="M144" i="45"/>
  <c r="O73" i="59" s="1"/>
  <c r="L120" i="45"/>
  <c r="M123" i="45"/>
  <c r="L23" i="36" s="1"/>
  <c r="O71" i="59" s="1"/>
  <c r="N69" i="59"/>
  <c r="M108" i="50"/>
  <c r="AP72" i="10" l="1"/>
  <c r="AT72" i="10" s="1"/>
  <c r="AP11" i="10"/>
  <c r="AT11" i="10" s="1"/>
  <c r="AP98" i="10"/>
  <c r="AT98" i="10" s="1"/>
  <c r="AP76" i="10"/>
  <c r="AT76" i="10" s="1"/>
  <c r="AP77" i="10"/>
  <c r="AT77" i="10" s="1"/>
  <c r="AP91" i="10"/>
  <c r="AT91" i="10" s="1"/>
  <c r="AP73" i="10"/>
  <c r="AT73" i="10" s="1"/>
  <c r="AP105" i="10"/>
  <c r="AT105" i="10" s="1"/>
  <c r="AP90" i="10"/>
  <c r="AT90" i="10" s="1"/>
  <c r="AP50" i="10"/>
  <c r="AT50" i="10" s="1"/>
  <c r="AP27" i="10"/>
  <c r="AT27" i="10" s="1"/>
  <c r="AP60" i="10"/>
  <c r="AT60" i="10" s="1"/>
  <c r="AX60" i="10" s="1"/>
  <c r="AP120" i="10"/>
  <c r="AT120" i="10" s="1"/>
  <c r="L37" i="35"/>
  <c r="M80" i="83" s="1"/>
  <c r="M78" i="83" s="1"/>
  <c r="AJ41" i="11"/>
  <c r="AP41" i="11" s="1"/>
  <c r="AT41" i="11" s="1"/>
  <c r="AX41" i="11" s="1"/>
  <c r="AJ28" i="11"/>
  <c r="AP28" i="11" s="1"/>
  <c r="AT28" i="11" s="1"/>
  <c r="AX28" i="11" s="1"/>
  <c r="AJ40" i="11"/>
  <c r="AP40" i="11" s="1"/>
  <c r="AT40" i="11" s="1"/>
  <c r="AX40" i="11" s="1"/>
  <c r="AJ38" i="11"/>
  <c r="AP38" i="11" s="1"/>
  <c r="AT38" i="11" s="1"/>
  <c r="AX38" i="11" s="1"/>
  <c r="AJ27" i="11"/>
  <c r="AP27" i="11" s="1"/>
  <c r="AT27" i="11" s="1"/>
  <c r="AX27" i="11" s="1"/>
  <c r="AJ42" i="11"/>
  <c r="AP42" i="11" s="1"/>
  <c r="AT42" i="11" s="1"/>
  <c r="AX42" i="11" s="1"/>
  <c r="AP157" i="10"/>
  <c r="AP144" i="10"/>
  <c r="AP153" i="10"/>
  <c r="AP149" i="10"/>
  <c r="AP150" i="10"/>
  <c r="AP146" i="10"/>
  <c r="AP151" i="10"/>
  <c r="AP148" i="10"/>
  <c r="AP156" i="10"/>
  <c r="AP147" i="10"/>
  <c r="AP155" i="10"/>
  <c r="AP145" i="10"/>
  <c r="AP154" i="10"/>
  <c r="AJ160" i="10"/>
  <c r="AJ140" i="10"/>
  <c r="AJ134" i="10"/>
  <c r="AJ133" i="10"/>
  <c r="AJ142" i="10"/>
  <c r="AJ137" i="10"/>
  <c r="AJ141" i="10"/>
  <c r="AJ130" i="10"/>
  <c r="AJ135" i="10"/>
  <c r="AJ138" i="10"/>
  <c r="AJ132" i="10"/>
  <c r="AF26" i="11"/>
  <c r="AF32" i="11"/>
  <c r="AF13" i="11"/>
  <c r="AF39" i="11"/>
  <c r="AF25" i="11"/>
  <c r="AF34" i="11"/>
  <c r="AJ34" i="11" s="1"/>
  <c r="AP34" i="11" s="1"/>
  <c r="AT34" i="11" s="1"/>
  <c r="AX34" i="11" s="1"/>
  <c r="AF33" i="11"/>
  <c r="AF14" i="11"/>
  <c r="AF12" i="11"/>
  <c r="AF31" i="11"/>
  <c r="AF11" i="11"/>
  <c r="AF29" i="11"/>
  <c r="AJ29" i="11" s="1"/>
  <c r="AP29" i="11" s="1"/>
  <c r="AT29" i="11" s="1"/>
  <c r="AX29" i="11" s="1"/>
  <c r="AF23" i="11"/>
  <c r="M160" i="45"/>
  <c r="M111" i="50"/>
  <c r="M118" i="50" s="1"/>
  <c r="M110" i="50"/>
  <c r="AJ192" i="10" l="1"/>
  <c r="BF60" i="10"/>
  <c r="AX105" i="10"/>
  <c r="AX98" i="10"/>
  <c r="AX120" i="10"/>
  <c r="AX91" i="10"/>
  <c r="AX90" i="10"/>
  <c r="AX76" i="10"/>
  <c r="AX27" i="10"/>
  <c r="AX73" i="10"/>
  <c r="AX50" i="10"/>
  <c r="AX11" i="10"/>
  <c r="AX77" i="10"/>
  <c r="AX72" i="10"/>
  <c r="L55" i="35"/>
  <c r="AT151" i="10"/>
  <c r="AX151" i="10" s="1"/>
  <c r="AT155" i="10"/>
  <c r="AX155" i="10" s="1"/>
  <c r="AT156" i="10"/>
  <c r="AX156" i="10" s="1"/>
  <c r="AT150" i="10"/>
  <c r="AX150" i="10" s="1"/>
  <c r="L25" i="36"/>
  <c r="O75" i="59" s="1"/>
  <c r="AT149" i="10"/>
  <c r="AX149" i="10" s="1"/>
  <c r="AT153" i="10"/>
  <c r="AX153" i="10" s="1"/>
  <c r="AT148" i="10"/>
  <c r="AX148" i="10" s="1"/>
  <c r="AT154" i="10"/>
  <c r="AX154" i="10" s="1"/>
  <c r="AT157" i="10"/>
  <c r="AX157" i="10" s="1"/>
  <c r="AT147" i="10"/>
  <c r="AT146" i="10"/>
  <c r="AT144" i="10"/>
  <c r="AT145" i="10"/>
  <c r="AJ184" i="10"/>
  <c r="AJ12" i="11"/>
  <c r="AP12" i="11" s="1"/>
  <c r="AT12" i="11" s="1"/>
  <c r="AX12" i="11" s="1"/>
  <c r="AJ13" i="11"/>
  <c r="AP13" i="11" s="1"/>
  <c r="AT13" i="11" s="1"/>
  <c r="AX13" i="11" s="1"/>
  <c r="AJ32" i="11"/>
  <c r="AP32" i="11" s="1"/>
  <c r="AT32" i="11" s="1"/>
  <c r="AX32" i="11" s="1"/>
  <c r="AJ23" i="11"/>
  <c r="AP23" i="11" s="1"/>
  <c r="AT23" i="11" s="1"/>
  <c r="AX23" i="11" s="1"/>
  <c r="AJ33" i="11"/>
  <c r="AP33" i="11" s="1"/>
  <c r="AT33" i="11" s="1"/>
  <c r="AX33" i="11" s="1"/>
  <c r="AJ11" i="11"/>
  <c r="AP11" i="11" s="1"/>
  <c r="AT11" i="11" s="1"/>
  <c r="AX11" i="11" s="1"/>
  <c r="AJ26" i="11"/>
  <c r="AP26" i="11" s="1"/>
  <c r="AT26" i="11" s="1"/>
  <c r="AX26" i="11" s="1"/>
  <c r="AJ39" i="11"/>
  <c r="AP39" i="11" s="1"/>
  <c r="AT39" i="11" s="1"/>
  <c r="AX39" i="11" s="1"/>
  <c r="AJ14" i="11"/>
  <c r="AP14" i="11" s="1"/>
  <c r="AT14" i="11" s="1"/>
  <c r="AX14" i="11" s="1"/>
  <c r="AJ31" i="11"/>
  <c r="AP31" i="11" s="1"/>
  <c r="AT31" i="11" s="1"/>
  <c r="AX31" i="11" s="1"/>
  <c r="AJ25" i="11"/>
  <c r="AP25" i="11" s="1"/>
  <c r="AT25" i="11" s="1"/>
  <c r="AX25" i="11" s="1"/>
  <c r="AP141" i="10"/>
  <c r="AP142" i="10"/>
  <c r="AP137" i="10"/>
  <c r="AP132" i="10"/>
  <c r="AP138" i="10"/>
  <c r="AP135" i="10"/>
  <c r="AP134" i="10"/>
  <c r="AP133" i="10"/>
  <c r="AP130" i="10"/>
  <c r="AP140" i="10"/>
  <c r="L10" i="49"/>
  <c r="L12" i="49" s="1"/>
  <c r="L14" i="49" s="1"/>
  <c r="L15" i="49" s="1"/>
  <c r="L16" i="49" s="1"/>
  <c r="L19" i="49" s="1"/>
  <c r="L20" i="49" s="1"/>
  <c r="K6" i="49"/>
  <c r="BF72" i="10" l="1"/>
  <c r="BF73" i="10"/>
  <c r="BF91" i="10"/>
  <c r="BF77" i="10"/>
  <c r="BF27" i="10"/>
  <c r="BF120" i="10"/>
  <c r="BF153" i="10"/>
  <c r="BF11" i="10"/>
  <c r="BF76" i="10"/>
  <c r="BF98" i="10"/>
  <c r="BF50" i="10"/>
  <c r="BF90" i="10"/>
  <c r="BF105" i="10"/>
  <c r="AT133" i="10"/>
  <c r="AX133" i="10" s="1"/>
  <c r="AT142" i="10"/>
  <c r="AX142" i="10" s="1"/>
  <c r="AT140" i="10"/>
  <c r="AX140" i="10" s="1"/>
  <c r="AT134" i="10"/>
  <c r="AX134" i="10" s="1"/>
  <c r="AT137" i="10"/>
  <c r="AX137" i="10" s="1"/>
  <c r="AT141" i="10"/>
  <c r="AX141" i="10" s="1"/>
  <c r="AT135" i="10"/>
  <c r="AX135" i="10" s="1"/>
  <c r="AT138" i="10"/>
  <c r="AX138" i="10" s="1"/>
  <c r="AT132" i="10"/>
  <c r="AX132" i="10" s="1"/>
  <c r="AX147" i="10"/>
  <c r="AX146" i="10"/>
  <c r="AX144" i="10"/>
  <c r="AX145" i="10"/>
  <c r="AT130" i="10"/>
  <c r="K8" i="49"/>
  <c r="K9" i="49"/>
  <c r="K17" i="49"/>
  <c r="K18" i="49" s="1"/>
  <c r="M21" i="39"/>
  <c r="Q21" i="39" s="1"/>
  <c r="BF132" i="10" l="1"/>
  <c r="BF137" i="10"/>
  <c r="BF133" i="10"/>
  <c r="BF138" i="10"/>
  <c r="BF134" i="10"/>
  <c r="BF135" i="10"/>
  <c r="AX160" i="10"/>
  <c r="AX130" i="10"/>
  <c r="J2" i="26"/>
  <c r="J2" i="17"/>
  <c r="K2" i="26"/>
  <c r="K2" i="17"/>
  <c r="K10" i="49"/>
  <c r="K12" i="49" s="1"/>
  <c r="K14" i="49" s="1"/>
  <c r="K15" i="49" s="1"/>
  <c r="K16" i="49" s="1"/>
  <c r="K19" i="49" s="1"/>
  <c r="K20" i="49" s="1"/>
  <c r="AX192" i="10" l="1"/>
  <c r="U21" i="39"/>
  <c r="BF123" i="10" l="1"/>
  <c r="AA21" i="39"/>
  <c r="M187" i="73"/>
  <c r="Q187" i="73" s="1"/>
  <c r="U187" i="73" s="1"/>
  <c r="M175" i="73"/>
  <c r="M81" i="73"/>
  <c r="M82" i="73"/>
  <c r="M83" i="73"/>
  <c r="M84" i="73"/>
  <c r="M65" i="73"/>
  <c r="M66" i="73"/>
  <c r="Q66" i="73" s="1"/>
  <c r="U66" i="73" s="1"/>
  <c r="M42" i="73"/>
  <c r="M44" i="73"/>
  <c r="M24" i="73"/>
  <c r="Q24" i="73" s="1"/>
  <c r="U24" i="73" s="1"/>
  <c r="M25" i="73"/>
  <c r="M26" i="73"/>
  <c r="Q26" i="73" s="1"/>
  <c r="U26" i="73" s="1"/>
  <c r="Q84" i="73" l="1"/>
  <c r="U84" i="73" s="1"/>
  <c r="Q83" i="73"/>
  <c r="U83" i="73" s="1"/>
  <c r="Q82" i="73"/>
  <c r="U82" i="73" s="1"/>
  <c r="Q175" i="73"/>
  <c r="U175" i="73" s="1"/>
  <c r="Q81" i="73"/>
  <c r="U81" i="73" s="1"/>
  <c r="Q25" i="73"/>
  <c r="U25" i="73" s="1"/>
  <c r="Q65" i="73"/>
  <c r="U65" i="73" s="1"/>
  <c r="Q42" i="73"/>
  <c r="U42" i="73" s="1"/>
  <c r="Q44" i="73"/>
  <c r="U44" i="73" s="1"/>
  <c r="AE21" i="39"/>
  <c r="AI21" i="39" s="1"/>
  <c r="AA187" i="73"/>
  <c r="AE187" i="73" s="1"/>
  <c r="AA69" i="73"/>
  <c r="AE69" i="73" s="1"/>
  <c r="AA66" i="73"/>
  <c r="AE66" i="73" s="1"/>
  <c r="M146" i="50"/>
  <c r="M147" i="50" s="1"/>
  <c r="G41" i="59"/>
  <c r="G42" i="59"/>
  <c r="G45" i="59"/>
  <c r="G46" i="59"/>
  <c r="G47" i="59"/>
  <c r="H42" i="59"/>
  <c r="AI69" i="73" l="1"/>
  <c r="AO69" i="73" s="1"/>
  <c r="AS69" i="73" s="1"/>
  <c r="AW69" i="73" s="1"/>
  <c r="AI66" i="73"/>
  <c r="AO66" i="73" s="1"/>
  <c r="AS66" i="73" s="1"/>
  <c r="AW66" i="73" s="1"/>
  <c r="K122" i="90"/>
  <c r="AI187" i="73"/>
  <c r="AO187" i="73" s="1"/>
  <c r="AS187" i="73" s="1"/>
  <c r="AW187" i="73" s="1"/>
  <c r="G48" i="59"/>
  <c r="G43" i="59"/>
  <c r="BH59" i="59"/>
  <c r="BF59" i="59"/>
  <c r="BD59" i="59"/>
  <c r="BE187" i="73" l="1"/>
  <c r="K126" i="90"/>
  <c r="AO21" i="39"/>
  <c r="AS21" i="39" l="1"/>
  <c r="AW21" i="39" l="1"/>
  <c r="BE21" i="39" l="1"/>
  <c r="M98" i="50" l="1"/>
  <c r="M96" i="50" s="1"/>
  <c r="I70" i="83"/>
  <c r="I72" i="83"/>
  <c r="I73" i="83"/>
  <c r="I74" i="83"/>
  <c r="I75" i="83"/>
  <c r="I53" i="83"/>
  <c r="I55" i="83"/>
  <c r="I56" i="83"/>
  <c r="I57" i="83"/>
  <c r="I58" i="83"/>
  <c r="I59" i="83"/>
  <c r="I60" i="83"/>
  <c r="I61" i="83"/>
  <c r="I62" i="83"/>
  <c r="I63" i="83"/>
  <c r="I65" i="83"/>
  <c r="I66" i="83"/>
  <c r="I67" i="83"/>
  <c r="I68" i="83"/>
  <c r="I52" i="83"/>
  <c r="I50" i="83"/>
  <c r="I48" i="83"/>
  <c r="I46" i="83"/>
  <c r="I40" i="83"/>
  <c r="I41" i="83"/>
  <c r="I42" i="83"/>
  <c r="I43" i="83"/>
  <c r="I44" i="83"/>
  <c r="I39" i="83"/>
  <c r="I5" i="83"/>
  <c r="O5" i="83" s="1"/>
  <c r="AC5" i="83" s="1"/>
  <c r="I6" i="83"/>
  <c r="O6" i="83" s="1"/>
  <c r="AC6" i="83" s="1"/>
  <c r="I7" i="83"/>
  <c r="O7" i="83" s="1"/>
  <c r="AC7" i="83" s="1"/>
  <c r="I8" i="83"/>
  <c r="O8" i="83" s="1"/>
  <c r="AC8" i="83" s="1"/>
  <c r="I10" i="83"/>
  <c r="O10" i="83" s="1"/>
  <c r="AC10" i="83" s="1"/>
  <c r="I11" i="83"/>
  <c r="O11" i="83" s="1"/>
  <c r="AC11" i="83" s="1"/>
  <c r="I12" i="83"/>
  <c r="O12" i="83" s="1"/>
  <c r="AC12" i="83" s="1"/>
  <c r="I13" i="83"/>
  <c r="O13" i="83" s="1"/>
  <c r="AC13" i="83" s="1"/>
  <c r="I14" i="83"/>
  <c r="O14" i="83" s="1"/>
  <c r="AC14" i="83" s="1"/>
  <c r="I15" i="83"/>
  <c r="O15" i="83" s="1"/>
  <c r="AC15" i="83" s="1"/>
  <c r="I16" i="83"/>
  <c r="O16" i="83" s="1"/>
  <c r="AC16" i="83" s="1"/>
  <c r="I17" i="83"/>
  <c r="O17" i="83" s="1"/>
  <c r="AC17" i="83" s="1"/>
  <c r="I19" i="83"/>
  <c r="O19" i="83" s="1"/>
  <c r="AC19" i="83" s="1"/>
  <c r="I24" i="83"/>
  <c r="O24" i="83" s="1"/>
  <c r="AC24" i="83" s="1"/>
  <c r="I25" i="83"/>
  <c r="O25" i="83" s="1"/>
  <c r="AC25" i="83" s="1"/>
  <c r="I30" i="83"/>
  <c r="O30" i="83" s="1"/>
  <c r="AC30" i="83" s="1"/>
  <c r="I31" i="83"/>
  <c r="O31" i="83" s="1"/>
  <c r="AC31" i="83" s="1"/>
  <c r="I33" i="83"/>
  <c r="O33" i="83" s="1"/>
  <c r="AC33" i="83" s="1"/>
  <c r="I34" i="83"/>
  <c r="O34" i="83" s="1"/>
  <c r="AC34" i="83" s="1"/>
  <c r="I35" i="83"/>
  <c r="O35" i="83" s="1"/>
  <c r="AC35" i="83" s="1"/>
  <c r="I36" i="83"/>
  <c r="O36" i="83" s="1"/>
  <c r="AC36" i="83" s="1"/>
  <c r="I37" i="83"/>
  <c r="O37" i="83" s="1"/>
  <c r="AC37" i="83" s="1"/>
  <c r="I4" i="83"/>
  <c r="J107" i="9"/>
  <c r="J108" i="9"/>
  <c r="I76" i="83" l="1"/>
  <c r="I51" i="83"/>
  <c r="I45" i="83"/>
  <c r="I69" i="83"/>
  <c r="I29" i="9"/>
  <c r="J53" i="6" l="1"/>
  <c r="J52" i="6"/>
  <c r="J50" i="6"/>
  <c r="J49" i="6"/>
  <c r="J47" i="6"/>
  <c r="J46" i="6"/>
  <c r="J44" i="6"/>
  <c r="J43" i="6"/>
  <c r="I24" i="73" l="1"/>
  <c r="H7" i="27" l="1"/>
  <c r="I7" i="27"/>
  <c r="H8" i="27"/>
  <c r="I8" i="27"/>
  <c r="H9" i="27"/>
  <c r="I9" i="27"/>
  <c r="H10" i="27"/>
  <c r="I10" i="27"/>
  <c r="H11" i="27"/>
  <c r="I11" i="27"/>
  <c r="H12" i="27"/>
  <c r="I12" i="27"/>
  <c r="H13" i="27"/>
  <c r="I13" i="27"/>
  <c r="H14" i="27"/>
  <c r="I14" i="27"/>
  <c r="H15" i="27"/>
  <c r="I15" i="27"/>
  <c r="N22" i="11" l="1"/>
  <c r="R22" i="11" l="1"/>
  <c r="V22" i="11" s="1"/>
  <c r="AB22" i="11"/>
  <c r="J7" i="10"/>
  <c r="J128" i="10"/>
  <c r="J130" i="10"/>
  <c r="J132" i="10"/>
  <c r="J133" i="10"/>
  <c r="J134" i="10"/>
  <c r="J137" i="10"/>
  <c r="J138" i="10"/>
  <c r="J140" i="10"/>
  <c r="J141" i="10"/>
  <c r="J142" i="10"/>
  <c r="J144" i="10"/>
  <c r="J145" i="10"/>
  <c r="J146" i="10"/>
  <c r="J147" i="10"/>
  <c r="J148" i="10"/>
  <c r="J149" i="10"/>
  <c r="J150" i="10"/>
  <c r="J151" i="10"/>
  <c r="J155" i="10"/>
  <c r="J156" i="10"/>
  <c r="J54" i="11"/>
  <c r="J52" i="11"/>
  <c r="J51" i="11"/>
  <c r="J50" i="11"/>
  <c r="J49" i="11"/>
  <c r="J48" i="11"/>
  <c r="J47" i="11"/>
  <c r="J46" i="11"/>
  <c r="J45" i="11"/>
  <c r="J44" i="11"/>
  <c r="I9" i="83"/>
  <c r="O9" i="83" s="1"/>
  <c r="AC9" i="83" s="1"/>
  <c r="AF22" i="11" l="1"/>
  <c r="J139" i="10"/>
  <c r="I29" i="83"/>
  <c r="O29" i="83" s="1"/>
  <c r="AC29" i="83" s="1"/>
  <c r="I18" i="83"/>
  <c r="O18" i="83" s="1"/>
  <c r="AC18" i="83" s="1"/>
  <c r="J131" i="10"/>
  <c r="I27" i="83"/>
  <c r="O27" i="83" s="1"/>
  <c r="AC27" i="83" s="1"/>
  <c r="I32" i="83"/>
  <c r="O32" i="83" s="1"/>
  <c r="AC32" i="83" s="1"/>
  <c r="AJ22" i="11" l="1"/>
  <c r="AP22" i="11" s="1"/>
  <c r="AT22" i="11" s="1"/>
  <c r="AX22" i="11" s="1"/>
  <c r="AF131" i="10"/>
  <c r="BF109" i="10"/>
  <c r="AF139" i="10"/>
  <c r="BF25" i="10"/>
  <c r="BF65" i="10"/>
  <c r="BF24" i="10"/>
  <c r="AJ30" i="10"/>
  <c r="I38" i="83"/>
  <c r="I77" i="83" s="1"/>
  <c r="I185" i="73"/>
  <c r="I175" i="73"/>
  <c r="I176" i="73"/>
  <c r="I172" i="73"/>
  <c r="I165" i="73"/>
  <c r="I100" i="73"/>
  <c r="I90" i="73"/>
  <c r="I54" i="73"/>
  <c r="I55" i="73"/>
  <c r="I38" i="73"/>
  <c r="I40" i="73"/>
  <c r="I41" i="73"/>
  <c r="I42" i="73"/>
  <c r="I44" i="73"/>
  <c r="I45" i="73"/>
  <c r="AP30" i="10" l="1"/>
  <c r="AJ139" i="10"/>
  <c r="AJ131" i="10"/>
  <c r="AT30" i="10" l="1"/>
  <c r="AX30" i="10"/>
  <c r="AP131" i="10"/>
  <c r="AP139" i="10"/>
  <c r="G129" i="90"/>
  <c r="BF30" i="10" l="1"/>
  <c r="AT139" i="10"/>
  <c r="AX139" i="10" s="1"/>
  <c r="AT131" i="10"/>
  <c r="AX131" i="10" s="1"/>
  <c r="H21" i="39"/>
  <c r="BF131" i="10" l="1"/>
  <c r="BF139" i="10"/>
  <c r="N11" i="38"/>
  <c r="I48" i="50"/>
  <c r="I49" i="50"/>
  <c r="I50" i="50"/>
  <c r="I51" i="50"/>
  <c r="I53" i="50"/>
  <c r="I40" i="50"/>
  <c r="I41" i="50"/>
  <c r="I42" i="50"/>
  <c r="I43" i="50"/>
  <c r="I44" i="50"/>
  <c r="I45" i="50"/>
  <c r="I39" i="50"/>
  <c r="I5" i="50"/>
  <c r="I6" i="50"/>
  <c r="I7" i="50"/>
  <c r="I8" i="50"/>
  <c r="I9" i="50"/>
  <c r="I10" i="50"/>
  <c r="I11" i="50"/>
  <c r="I12" i="50"/>
  <c r="I13" i="50"/>
  <c r="I14" i="50"/>
  <c r="I15" i="50"/>
  <c r="I16" i="50"/>
  <c r="I17" i="50"/>
  <c r="I18" i="50"/>
  <c r="I4" i="50"/>
  <c r="I138" i="50"/>
  <c r="I128" i="50"/>
  <c r="I101" i="50"/>
  <c r="I139" i="50"/>
  <c r="I129" i="50"/>
  <c r="I47" i="50"/>
  <c r="I7" i="61" l="1"/>
  <c r="I6" i="61"/>
  <c r="I5" i="61"/>
  <c r="I10" i="61"/>
  <c r="I4" i="61"/>
  <c r="I9" i="61"/>
  <c r="I8" i="61"/>
  <c r="I54" i="50"/>
  <c r="I125" i="50" s="1"/>
  <c r="I38" i="50"/>
  <c r="H162" i="10" s="1"/>
  <c r="H163" i="10" s="1"/>
  <c r="I46" i="50"/>
  <c r="I140" i="50"/>
  <c r="I130" i="50"/>
  <c r="I117" i="50"/>
  <c r="I141" i="50"/>
  <c r="I131" i="50"/>
  <c r="H15" i="36"/>
  <c r="K52" i="59" s="1"/>
  <c r="I16" i="61" l="1"/>
  <c r="I109" i="50"/>
  <c r="I120" i="50"/>
  <c r="I124" i="50"/>
  <c r="I126" i="50" s="1"/>
  <c r="I134" i="50"/>
  <c r="I95" i="50"/>
  <c r="I121" i="50"/>
  <c r="I102" i="50"/>
  <c r="I122" i="50" l="1"/>
  <c r="I108" i="50"/>
  <c r="I110" i="50" s="1"/>
  <c r="G2" i="17"/>
  <c r="G2" i="26"/>
  <c r="F2" i="17"/>
  <c r="F2" i="26"/>
  <c r="I111" i="50" l="1"/>
  <c r="I118" i="50" s="1"/>
  <c r="M12" i="59" l="1"/>
  <c r="L12" i="59"/>
  <c r="L11" i="59"/>
  <c r="I146" i="50" l="1"/>
  <c r="I147" i="50" s="1"/>
  <c r="G122" i="90" l="1"/>
  <c r="I98" i="50"/>
  <c r="I80" i="83"/>
  <c r="I78" i="83" s="1"/>
  <c r="I96" i="50" l="1"/>
  <c r="G126" i="90"/>
  <c r="E129" i="90"/>
  <c r="I129" i="90" l="1"/>
  <c r="M129" i="90"/>
  <c r="E46" i="8" l="1"/>
  <c r="H46" i="59" s="1"/>
  <c r="E20" i="35" l="1"/>
  <c r="E19" i="35"/>
  <c r="I19" i="35" l="1"/>
  <c r="M19" i="35"/>
  <c r="I20" i="35"/>
  <c r="M20" i="35"/>
  <c r="G53" i="83"/>
  <c r="G55" i="83"/>
  <c r="G56" i="83"/>
  <c r="G57" i="83"/>
  <c r="G58" i="83"/>
  <c r="G59" i="83"/>
  <c r="G60" i="83"/>
  <c r="G61" i="83"/>
  <c r="G62" i="83"/>
  <c r="G63" i="83"/>
  <c r="G65" i="83"/>
  <c r="G66" i="83"/>
  <c r="G67" i="83"/>
  <c r="O67" i="83" s="1"/>
  <c r="AC67" i="83" s="1"/>
  <c r="G52" i="83"/>
  <c r="G70" i="83"/>
  <c r="G72" i="83"/>
  <c r="G73" i="83"/>
  <c r="G74" i="83"/>
  <c r="G75" i="83"/>
  <c r="K60" i="83" l="1"/>
  <c r="O60" i="83"/>
  <c r="AC60" i="83" s="1"/>
  <c r="K53" i="83"/>
  <c r="O53" i="83"/>
  <c r="AC53" i="83" s="1"/>
  <c r="K61" i="83"/>
  <c r="O61" i="83"/>
  <c r="AC61" i="83" s="1"/>
  <c r="K66" i="83"/>
  <c r="O66" i="83"/>
  <c r="AC66" i="83" s="1"/>
  <c r="K59" i="83"/>
  <c r="O59" i="83"/>
  <c r="AC59" i="83" s="1"/>
  <c r="K55" i="83"/>
  <c r="O55" i="83"/>
  <c r="AC55" i="83" s="1"/>
  <c r="K65" i="83"/>
  <c r="O65" i="83"/>
  <c r="AC65" i="83" s="1"/>
  <c r="K58" i="83"/>
  <c r="O58" i="83"/>
  <c r="AC58" i="83" s="1"/>
  <c r="K63" i="83"/>
  <c r="O63" i="83"/>
  <c r="K57" i="83"/>
  <c r="O57" i="83"/>
  <c r="AC57" i="83" s="1"/>
  <c r="K70" i="83"/>
  <c r="O70" i="83"/>
  <c r="S70" i="83" s="1"/>
  <c r="K62" i="83"/>
  <c r="O62" i="83"/>
  <c r="AC62" i="83" s="1"/>
  <c r="K56" i="83"/>
  <c r="O56" i="83"/>
  <c r="AC56" i="83" s="1"/>
  <c r="Q19" i="35"/>
  <c r="U19" i="35" s="1"/>
  <c r="AA19" i="35"/>
  <c r="AE19" i="35" s="1"/>
  <c r="Q20" i="35"/>
  <c r="U20" i="35" s="1"/>
  <c r="AA20" i="35"/>
  <c r="AE20" i="35" s="1"/>
  <c r="G80" i="59"/>
  <c r="G79" i="59"/>
  <c r="G78" i="59"/>
  <c r="G77" i="59"/>
  <c r="G75" i="59"/>
  <c r="G74" i="59"/>
  <c r="G61" i="59"/>
  <c r="G60" i="59"/>
  <c r="G58" i="59"/>
  <c r="G57" i="59"/>
  <c r="G54" i="59"/>
  <c r="G53" i="59"/>
  <c r="G52" i="59"/>
  <c r="H61" i="59"/>
  <c r="H60" i="59"/>
  <c r="H52" i="59"/>
  <c r="G51" i="59"/>
  <c r="G50" i="59"/>
  <c r="G49" i="59"/>
  <c r="G44" i="59"/>
  <c r="G40" i="59"/>
  <c r="G38" i="59"/>
  <c r="G37" i="59"/>
  <c r="G36" i="59"/>
  <c r="H49" i="59"/>
  <c r="H40" i="59"/>
  <c r="H38" i="59"/>
  <c r="H37" i="59"/>
  <c r="H36" i="59"/>
  <c r="S63" i="83" l="1"/>
  <c r="AC63" i="83"/>
  <c r="K14" i="83"/>
  <c r="K13" i="83"/>
  <c r="S13" i="83"/>
  <c r="W13" i="83" s="1"/>
  <c r="G14" i="50"/>
  <c r="K14" i="50" s="1"/>
  <c r="G6" i="61" l="1"/>
  <c r="AG14" i="83"/>
  <c r="AK14" i="83" s="1"/>
  <c r="AQ14" i="83" s="1"/>
  <c r="AU14" i="83" s="1"/>
  <c r="AY14" i="83" s="1"/>
  <c r="BG14" i="83" s="1"/>
  <c r="S14" i="83"/>
  <c r="W14" i="83" s="1"/>
  <c r="O14" i="50"/>
  <c r="G48" i="83"/>
  <c r="G50" i="83"/>
  <c r="O6" i="61" l="1"/>
  <c r="K6" i="61"/>
  <c r="AC14" i="50"/>
  <c r="AG14" i="50" s="1"/>
  <c r="S14" i="50"/>
  <c r="W14" i="50" s="1"/>
  <c r="K50" i="83"/>
  <c r="O50" i="83"/>
  <c r="S50" i="83" s="1"/>
  <c r="K48" i="83"/>
  <c r="O48" i="83"/>
  <c r="S48" i="83" s="1"/>
  <c r="AK14" i="50" l="1"/>
  <c r="AQ14" i="50" s="1"/>
  <c r="AU14" i="50" s="1"/>
  <c r="AY14" i="50" s="1"/>
  <c r="BG14" i="50" s="1"/>
  <c r="AC6" i="61"/>
  <c r="AG6" i="61" s="1"/>
  <c r="AK6" i="61" s="1"/>
  <c r="AQ6" i="61" s="1"/>
  <c r="AU6" i="61" s="1"/>
  <c r="AY6" i="61" s="1"/>
  <c r="BG6" i="61" s="1"/>
  <c r="S6" i="61"/>
  <c r="W6" i="61" s="1"/>
  <c r="BF13" i="10"/>
  <c r="AJ58" i="10"/>
  <c r="BF33" i="10"/>
  <c r="BF53" i="10"/>
  <c r="AP58" i="10" l="1"/>
  <c r="AT58" i="10" s="1"/>
  <c r="AJ199" i="10"/>
  <c r="AX58" i="10" l="1"/>
  <c r="BF58" i="10" l="1"/>
  <c r="M11" i="38"/>
  <c r="Q11" i="38"/>
  <c r="F24" i="36"/>
  <c r="AE11" i="38" l="1"/>
  <c r="AI11" i="38" s="1"/>
  <c r="AM11" i="38" s="1"/>
  <c r="U11" i="38"/>
  <c r="Y11" i="38" s="1"/>
  <c r="E17" i="17"/>
  <c r="E22" i="27"/>
  <c r="E21" i="27"/>
  <c r="AS11" i="38" l="1"/>
  <c r="AW11" i="38" s="1"/>
  <c r="BA11" i="38" s="1"/>
  <c r="BI11" i="38" l="1"/>
  <c r="G7" i="72" l="1"/>
  <c r="O7" i="72"/>
  <c r="I107" i="90" l="1"/>
  <c r="S7" i="72"/>
  <c r="U107" i="90" s="1"/>
  <c r="Q107" i="90"/>
  <c r="E48" i="39"/>
  <c r="E47" i="39"/>
  <c r="E46" i="39"/>
  <c r="I101" i="6"/>
  <c r="J101" i="6"/>
  <c r="M101" i="6"/>
  <c r="Q101" i="6" s="1"/>
  <c r="U101" i="6" s="1"/>
  <c r="N101" i="6"/>
  <c r="R101" i="6" s="1"/>
  <c r="V101" i="6" s="1"/>
  <c r="Y101" i="6"/>
  <c r="Z101" i="6"/>
  <c r="AM101" i="6"/>
  <c r="BC101" i="6" s="1"/>
  <c r="AN101" i="6"/>
  <c r="BD101" i="6" s="1"/>
  <c r="I102" i="6"/>
  <c r="J102" i="6"/>
  <c r="M102" i="6"/>
  <c r="Q102" i="6" s="1"/>
  <c r="U102" i="6" s="1"/>
  <c r="N102" i="6"/>
  <c r="R102" i="6" s="1"/>
  <c r="V102" i="6" s="1"/>
  <c r="Y102" i="6"/>
  <c r="Z102" i="6"/>
  <c r="AM102" i="6"/>
  <c r="BC102" i="6" s="1"/>
  <c r="AN102" i="6"/>
  <c r="BD102" i="6" s="1"/>
  <c r="AA102" i="6" l="1"/>
  <c r="AE102" i="6" s="1"/>
  <c r="AI102" i="6" s="1"/>
  <c r="AO102" i="6" s="1"/>
  <c r="AS102" i="6" s="1"/>
  <c r="AA101" i="6"/>
  <c r="AE101" i="6" s="1"/>
  <c r="AI101" i="6" s="1"/>
  <c r="AO101" i="6" s="1"/>
  <c r="AS101" i="6" s="1"/>
  <c r="AB102" i="6"/>
  <c r="AF102" i="6" s="1"/>
  <c r="AJ102" i="6" s="1"/>
  <c r="AP102" i="6" s="1"/>
  <c r="AT102" i="6" s="1"/>
  <c r="AB101" i="6"/>
  <c r="AF101" i="6" s="1"/>
  <c r="AJ101" i="6" s="1"/>
  <c r="AP101" i="6" s="1"/>
  <c r="AT101" i="6" s="1"/>
  <c r="AW102" i="6" l="1"/>
  <c r="AX102" i="6"/>
  <c r="AW101" i="6"/>
  <c r="AX101" i="6"/>
  <c r="BF101" i="6" l="1"/>
  <c r="BE101" i="6"/>
  <c r="BF102" i="6"/>
  <c r="BE102" i="6"/>
  <c r="D15" i="8"/>
  <c r="D33" i="36" l="1"/>
  <c r="D40" i="36" s="1"/>
  <c r="D58" i="36"/>
  <c r="D64" i="36"/>
  <c r="D61" i="36"/>
  <c r="D63" i="36" s="1"/>
  <c r="D59" i="36"/>
  <c r="D60" i="36" l="1"/>
  <c r="D56" i="36"/>
  <c r="D57" i="36"/>
  <c r="I17" i="7"/>
  <c r="J17" i="7"/>
  <c r="Y17" i="7" l="1"/>
  <c r="Z17" i="7"/>
  <c r="M17" i="7"/>
  <c r="Q17" i="7" s="1"/>
  <c r="U17" i="7" s="1"/>
  <c r="N17" i="7"/>
  <c r="AB17" i="7" l="1"/>
  <c r="AA17" i="7"/>
  <c r="R17" i="7"/>
  <c r="V17" i="7" l="1"/>
  <c r="AE17" i="7"/>
  <c r="AI17" i="7" s="1"/>
  <c r="AO17" i="7" s="1"/>
  <c r="AF17" i="7"/>
  <c r="AS17" i="7" l="1"/>
  <c r="AW17" i="7" s="1"/>
  <c r="AJ17" i="7"/>
  <c r="AP17" i="7" l="1"/>
  <c r="BE17" i="7"/>
  <c r="AT17" i="7"/>
  <c r="AX17" i="7" l="1"/>
  <c r="BF17" i="7"/>
  <c r="BA27" i="15" l="1"/>
  <c r="BA28" i="15"/>
  <c r="BA33" i="15"/>
  <c r="BA35" i="15"/>
  <c r="AM27" i="15"/>
  <c r="BC27" i="15" s="1"/>
  <c r="AM28" i="15"/>
  <c r="AM33" i="15"/>
  <c r="AM35" i="15"/>
  <c r="Y27" i="15"/>
  <c r="Y33" i="15"/>
  <c r="Y35" i="15"/>
  <c r="M27" i="15"/>
  <c r="Q27" i="15" s="1"/>
  <c r="M28" i="15"/>
  <c r="Q28" i="15" s="1"/>
  <c r="M33" i="15"/>
  <c r="Q33" i="15" s="1"/>
  <c r="M35" i="15"/>
  <c r="Q35" i="15" s="1"/>
  <c r="I27" i="15"/>
  <c r="I28" i="15"/>
  <c r="I33" i="15"/>
  <c r="I35" i="15"/>
  <c r="BC28" i="15" l="1"/>
  <c r="AA33" i="15"/>
  <c r="AE33" i="15" s="1"/>
  <c r="AA35" i="15"/>
  <c r="AE35" i="15" s="1"/>
  <c r="AA27" i="15"/>
  <c r="AE27" i="15" s="1"/>
  <c r="BC33" i="15"/>
  <c r="BC35" i="15"/>
  <c r="U35" i="15"/>
  <c r="U33" i="15"/>
  <c r="U27" i="15"/>
  <c r="AI27" i="15" l="1"/>
  <c r="AO27" i="15" s="1"/>
  <c r="AS27" i="15" s="1"/>
  <c r="AI35" i="15"/>
  <c r="AO35" i="15" s="1"/>
  <c r="AS35" i="15" s="1"/>
  <c r="AI33" i="15"/>
  <c r="AO33" i="15" s="1"/>
  <c r="AS33" i="15" s="1"/>
  <c r="AW27" i="15" l="1"/>
  <c r="BE27" i="15" s="1"/>
  <c r="AW33" i="15"/>
  <c r="BE33" i="15" s="1"/>
  <c r="AW35" i="15"/>
  <c r="BE35" i="15" s="1"/>
  <c r="F14" i="35"/>
  <c r="F13" i="35"/>
  <c r="AE53" i="50" l="1"/>
  <c r="AE51" i="50"/>
  <c r="AE50" i="50"/>
  <c r="AE49" i="50"/>
  <c r="AE48" i="50"/>
  <c r="AE47" i="50"/>
  <c r="Q53" i="50"/>
  <c r="Q51" i="50"/>
  <c r="Q50" i="50"/>
  <c r="Q49" i="50"/>
  <c r="Q48" i="50"/>
  <c r="Q47" i="50"/>
  <c r="G53" i="50"/>
  <c r="K53" i="50" s="1"/>
  <c r="G51" i="50"/>
  <c r="K51" i="50" s="1"/>
  <c r="G50" i="50"/>
  <c r="K50" i="50" s="1"/>
  <c r="G49" i="50"/>
  <c r="K49" i="50" s="1"/>
  <c r="G48" i="50"/>
  <c r="K48" i="50" s="1"/>
  <c r="G47" i="50"/>
  <c r="K47" i="50" s="1"/>
  <c r="AE138" i="50"/>
  <c r="Q138" i="50"/>
  <c r="AE5" i="50"/>
  <c r="AE6" i="50"/>
  <c r="AE7" i="50"/>
  <c r="AE8" i="50"/>
  <c r="AE10" i="50"/>
  <c r="AE11" i="50"/>
  <c r="AE12" i="50"/>
  <c r="AE13" i="50"/>
  <c r="AE15" i="50"/>
  <c r="AE16" i="50"/>
  <c r="AE17" i="50"/>
  <c r="AE18" i="50"/>
  <c r="AA6" i="50"/>
  <c r="AA7" i="50"/>
  <c r="AA8" i="50"/>
  <c r="AA9" i="50"/>
  <c r="AA10" i="50"/>
  <c r="AA11" i="50"/>
  <c r="AA12" i="50"/>
  <c r="G5" i="50"/>
  <c r="K5" i="50" s="1"/>
  <c r="G6" i="50"/>
  <c r="K6" i="50" s="1"/>
  <c r="G7" i="50"/>
  <c r="K7" i="50" s="1"/>
  <c r="G8" i="50"/>
  <c r="K8" i="50" s="1"/>
  <c r="G10" i="50"/>
  <c r="K10" i="50" s="1"/>
  <c r="G11" i="50"/>
  <c r="K11" i="50" s="1"/>
  <c r="G12" i="50"/>
  <c r="K12" i="50" s="1"/>
  <c r="G13" i="50"/>
  <c r="K13" i="50" s="1"/>
  <c r="G15" i="50"/>
  <c r="K15" i="50" s="1"/>
  <c r="G16" i="50"/>
  <c r="K16" i="50" s="1"/>
  <c r="G17" i="50"/>
  <c r="K17" i="50" s="1"/>
  <c r="G18" i="50"/>
  <c r="K18" i="50" s="1"/>
  <c r="G19" i="50"/>
  <c r="K19" i="50" s="1"/>
  <c r="BB126" i="10"/>
  <c r="BB128" i="10"/>
  <c r="BB130" i="10"/>
  <c r="BB131" i="10"/>
  <c r="BB132" i="10"/>
  <c r="BB133" i="10"/>
  <c r="BB134" i="10"/>
  <c r="BB135" i="10"/>
  <c r="BB137" i="10"/>
  <c r="BB138" i="10"/>
  <c r="BB139" i="10"/>
  <c r="BB140" i="10"/>
  <c r="BB141" i="10"/>
  <c r="BB142" i="10"/>
  <c r="BB143" i="10"/>
  <c r="BB144" i="10"/>
  <c r="BB145" i="10"/>
  <c r="BB147" i="10"/>
  <c r="BB148" i="10"/>
  <c r="BB149" i="10"/>
  <c r="BB150" i="10"/>
  <c r="BB155" i="10"/>
  <c r="BB156" i="10"/>
  <c r="BB157" i="10"/>
  <c r="V156" i="10"/>
  <c r="J157" i="10"/>
  <c r="H22" i="73"/>
  <c r="J22" i="73"/>
  <c r="L22" i="73"/>
  <c r="N22" i="73"/>
  <c r="P22" i="73"/>
  <c r="R22" i="73"/>
  <c r="T22" i="73"/>
  <c r="V22" i="73"/>
  <c r="X22" i="73"/>
  <c r="Z22" i="73"/>
  <c r="AB22" i="73"/>
  <c r="AD22" i="73"/>
  <c r="AF22" i="73"/>
  <c r="AH22" i="73"/>
  <c r="AJ22" i="73"/>
  <c r="AL22" i="73"/>
  <c r="AN22" i="73"/>
  <c r="AR22" i="73"/>
  <c r="AT22" i="73"/>
  <c r="AV22" i="73"/>
  <c r="BD22" i="73"/>
  <c r="F58" i="28"/>
  <c r="F523" i="28" s="1"/>
  <c r="F525" i="28" l="1"/>
  <c r="J525" i="28" s="1"/>
  <c r="J523" i="28"/>
  <c r="J58" i="28"/>
  <c r="F60" i="28"/>
  <c r="BD145" i="10"/>
  <c r="BD132" i="10"/>
  <c r="BD133" i="10"/>
  <c r="BD144" i="10"/>
  <c r="BD143" i="10"/>
  <c r="BD130" i="10"/>
  <c r="BD149" i="10"/>
  <c r="BD135" i="10"/>
  <c r="BD142" i="10"/>
  <c r="BD128" i="10"/>
  <c r="BD126" i="10"/>
  <c r="BD148" i="10"/>
  <c r="BD134" i="10"/>
  <c r="BD155" i="10"/>
  <c r="BD138" i="10"/>
  <c r="BD147" i="10"/>
  <c r="BD156" i="10"/>
  <c r="BD140" i="10"/>
  <c r="BD150" i="10"/>
  <c r="BD137" i="10"/>
  <c r="BD131" i="10"/>
  <c r="BD139" i="10"/>
  <c r="BD141" i="10"/>
  <c r="AE10" i="61"/>
  <c r="AO10" i="61" s="1"/>
  <c r="BE10" i="61" s="1"/>
  <c r="AE5" i="61"/>
  <c r="AO5" i="61" s="1"/>
  <c r="BE5" i="61" s="1"/>
  <c r="AO8" i="50"/>
  <c r="BE8" i="50" s="1"/>
  <c r="AO49" i="50"/>
  <c r="BE49" i="50" s="1"/>
  <c r="AE9" i="61"/>
  <c r="AO9" i="61" s="1"/>
  <c r="BE9" i="61" s="1"/>
  <c r="AE4" i="61"/>
  <c r="AO7" i="50"/>
  <c r="BE7" i="50" s="1"/>
  <c r="AO138" i="50"/>
  <c r="BE138" i="50" s="1"/>
  <c r="AO50" i="50"/>
  <c r="BE50" i="50" s="1"/>
  <c r="AE8" i="61"/>
  <c r="AO8" i="61" s="1"/>
  <c r="BE8" i="61" s="1"/>
  <c r="AO11" i="50"/>
  <c r="BE11" i="50" s="1"/>
  <c r="AO6" i="50"/>
  <c r="BE6" i="50" s="1"/>
  <c r="AO47" i="50"/>
  <c r="BE47" i="50" s="1"/>
  <c r="AO51" i="50"/>
  <c r="BE51" i="50" s="1"/>
  <c r="AE7" i="61"/>
  <c r="AO7" i="61" s="1"/>
  <c r="BE7" i="61" s="1"/>
  <c r="AO10" i="50"/>
  <c r="BE10" i="50" s="1"/>
  <c r="AO48" i="50"/>
  <c r="BE48" i="50" s="1"/>
  <c r="AO53" i="50"/>
  <c r="BE53" i="50" s="1"/>
  <c r="G7" i="61"/>
  <c r="G8" i="61"/>
  <c r="G5" i="61"/>
  <c r="G11" i="61"/>
  <c r="G10" i="61"/>
  <c r="K10" i="61" s="1"/>
  <c r="G9" i="61"/>
  <c r="AA51" i="50"/>
  <c r="AO18" i="50"/>
  <c r="BE18" i="50" s="1"/>
  <c r="AO17" i="50"/>
  <c r="BE17" i="50" s="1"/>
  <c r="AO5" i="50"/>
  <c r="BE5" i="50" s="1"/>
  <c r="AA5" i="50"/>
  <c r="AO16" i="50"/>
  <c r="BE16" i="50" s="1"/>
  <c r="AO12" i="50"/>
  <c r="BE12" i="50" s="1"/>
  <c r="AO15" i="50"/>
  <c r="BE15" i="50" s="1"/>
  <c r="AO13" i="50"/>
  <c r="BE13" i="50" s="1"/>
  <c r="AA13" i="50"/>
  <c r="U5" i="61"/>
  <c r="AA5" i="61" s="1"/>
  <c r="AA48" i="50"/>
  <c r="AA49" i="50"/>
  <c r="AA50" i="50"/>
  <c r="AA53" i="50"/>
  <c r="O19" i="50"/>
  <c r="AC19" i="50" s="1"/>
  <c r="O5" i="50"/>
  <c r="O47" i="50"/>
  <c r="O18" i="50"/>
  <c r="O48" i="50"/>
  <c r="O49" i="50"/>
  <c r="O17" i="50"/>
  <c r="O16" i="50"/>
  <c r="O50" i="50"/>
  <c r="O15" i="50"/>
  <c r="O51" i="50"/>
  <c r="O13" i="50"/>
  <c r="O53" i="50"/>
  <c r="O12" i="50"/>
  <c r="Q54" i="50"/>
  <c r="AA47" i="50"/>
  <c r="AE54" i="50"/>
  <c r="O11" i="50"/>
  <c r="O10" i="50"/>
  <c r="O8" i="50"/>
  <c r="AA138" i="50"/>
  <c r="O7" i="50"/>
  <c r="O6" i="50"/>
  <c r="U4" i="61"/>
  <c r="Q129" i="50"/>
  <c r="BF142" i="10"/>
  <c r="BF157" i="10"/>
  <c r="BF151" i="10"/>
  <c r="BF155" i="10"/>
  <c r="G54" i="50"/>
  <c r="K54" i="50" s="1"/>
  <c r="BD157" i="10"/>
  <c r="V157" i="10"/>
  <c r="BF156" i="10"/>
  <c r="BF149" i="10"/>
  <c r="BF140" i="10"/>
  <c r="BF130" i="10"/>
  <c r="BF154" i="10"/>
  <c r="BF143" i="10"/>
  <c r="BF128" i="10"/>
  <c r="BF126" i="10"/>
  <c r="BF150" i="10"/>
  <c r="AE117" i="50"/>
  <c r="J60" i="28" l="1"/>
  <c r="AO54" i="50"/>
  <c r="BE54" i="50"/>
  <c r="AO117" i="50"/>
  <c r="BE117" i="50" s="1"/>
  <c r="O10" i="61"/>
  <c r="S10" i="61" s="1"/>
  <c r="W10" i="61" s="1"/>
  <c r="O9" i="61"/>
  <c r="K9" i="61"/>
  <c r="O5" i="61"/>
  <c r="K5" i="61"/>
  <c r="O8" i="61"/>
  <c r="K8" i="61"/>
  <c r="O11" i="61"/>
  <c r="K11" i="61"/>
  <c r="O7" i="61"/>
  <c r="K7" i="61"/>
  <c r="AE16" i="61"/>
  <c r="U16" i="61"/>
  <c r="AA54" i="50"/>
  <c r="AA129" i="50"/>
  <c r="AQ31" i="50"/>
  <c r="AU31" i="50" s="1"/>
  <c r="AY31" i="50" s="1"/>
  <c r="BG31" i="50" s="1"/>
  <c r="AC48" i="50"/>
  <c r="AG48" i="50" s="1"/>
  <c r="AK48" i="50" s="1"/>
  <c r="AQ48" i="50" s="1"/>
  <c r="AU48" i="50" s="1"/>
  <c r="AY48" i="50" s="1"/>
  <c r="BG48" i="50" s="1"/>
  <c r="S48" i="50"/>
  <c r="W48" i="50" s="1"/>
  <c r="AC51" i="50"/>
  <c r="AG51" i="50" s="1"/>
  <c r="AK51" i="50" s="1"/>
  <c r="AQ51" i="50" s="1"/>
  <c r="AU51" i="50" s="1"/>
  <c r="AY51" i="50" s="1"/>
  <c r="BG51" i="50" s="1"/>
  <c r="S51" i="50"/>
  <c r="W51" i="50" s="1"/>
  <c r="AC10" i="50"/>
  <c r="AG10" i="50" s="1"/>
  <c r="S10" i="50"/>
  <c r="W10" i="50" s="1"/>
  <c r="S12" i="50"/>
  <c r="W12" i="50" s="1"/>
  <c r="AC12" i="50"/>
  <c r="AG12" i="50" s="1"/>
  <c r="S18" i="50"/>
  <c r="W18" i="50" s="1"/>
  <c r="AC18" i="50"/>
  <c r="AG18" i="50" s="1"/>
  <c r="AC15" i="50"/>
  <c r="AG15" i="50" s="1"/>
  <c r="S15" i="50"/>
  <c r="W15" i="50" s="1"/>
  <c r="S50" i="50"/>
  <c r="W50" i="50" s="1"/>
  <c r="AC50" i="50"/>
  <c r="AG50" i="50" s="1"/>
  <c r="AK50" i="50" s="1"/>
  <c r="AQ50" i="50" s="1"/>
  <c r="AU50" i="50" s="1"/>
  <c r="AY50" i="50" s="1"/>
  <c r="BG50" i="50" s="1"/>
  <c r="S11" i="50"/>
  <c r="W11" i="50" s="1"/>
  <c r="AC11" i="50"/>
  <c r="AG11" i="50" s="1"/>
  <c r="O54" i="50"/>
  <c r="AC47" i="50"/>
  <c r="S47" i="50"/>
  <c r="AQ25" i="50"/>
  <c r="AU25" i="50" s="1"/>
  <c r="AY25" i="50" s="1"/>
  <c r="BG25" i="50" s="1"/>
  <c r="AC53" i="50"/>
  <c r="AG53" i="50" s="1"/>
  <c r="AK53" i="50" s="1"/>
  <c r="AQ53" i="50" s="1"/>
  <c r="AU53" i="50" s="1"/>
  <c r="AY53" i="50" s="1"/>
  <c r="BG53" i="50" s="1"/>
  <c r="S53" i="50"/>
  <c r="W53" i="50" s="1"/>
  <c r="AC16" i="50"/>
  <c r="AG16" i="50" s="1"/>
  <c r="S16" i="50"/>
  <c r="W16" i="50" s="1"/>
  <c r="S7" i="50"/>
  <c r="W7" i="50" s="1"/>
  <c r="AC7" i="50"/>
  <c r="AG7" i="50" s="1"/>
  <c r="S13" i="50"/>
  <c r="W13" i="50" s="1"/>
  <c r="AC13" i="50"/>
  <c r="AG13" i="50" s="1"/>
  <c r="AC17" i="50"/>
  <c r="AG17" i="50" s="1"/>
  <c r="S17" i="50"/>
  <c r="W17" i="50" s="1"/>
  <c r="AC5" i="50"/>
  <c r="S5" i="50"/>
  <c r="S8" i="50"/>
  <c r="W8" i="50" s="1"/>
  <c r="AC8" i="50"/>
  <c r="AG8" i="50" s="1"/>
  <c r="AC6" i="50"/>
  <c r="AG6" i="50" s="1"/>
  <c r="S6" i="50"/>
  <c r="W6" i="50" s="1"/>
  <c r="S49" i="50"/>
  <c r="W49" i="50" s="1"/>
  <c r="AC49" i="50"/>
  <c r="AG49" i="50" s="1"/>
  <c r="AK49" i="50" s="1"/>
  <c r="AQ49" i="50" s="1"/>
  <c r="AU49" i="50" s="1"/>
  <c r="AY49" i="50" s="1"/>
  <c r="BG49" i="50" s="1"/>
  <c r="S19" i="50"/>
  <c r="W19" i="50" s="1"/>
  <c r="AG19" i="50"/>
  <c r="AC10" i="61" l="1"/>
  <c r="AG10" i="61" s="1"/>
  <c r="AK10" i="61" s="1"/>
  <c r="AQ10" i="61" s="1"/>
  <c r="AU10" i="61" s="1"/>
  <c r="AY10" i="61" s="1"/>
  <c r="BG10" i="61" s="1"/>
  <c r="AK6" i="50"/>
  <c r="AQ6" i="50" s="1"/>
  <c r="AU6" i="50" s="1"/>
  <c r="AY6" i="50" s="1"/>
  <c r="BG6" i="50" s="1"/>
  <c r="AK10" i="50"/>
  <c r="AQ10" i="50" s="1"/>
  <c r="AU10" i="50" s="1"/>
  <c r="AY10" i="50" s="1"/>
  <c r="BG10" i="50" s="1"/>
  <c r="AK16" i="50"/>
  <c r="AQ16" i="50" s="1"/>
  <c r="AU16" i="50" s="1"/>
  <c r="AY16" i="50" s="1"/>
  <c r="BG16" i="50" s="1"/>
  <c r="AK13" i="50"/>
  <c r="AQ13" i="50" s="1"/>
  <c r="AU13" i="50" s="1"/>
  <c r="AY13" i="50" s="1"/>
  <c r="BG13" i="50" s="1"/>
  <c r="AK8" i="50"/>
  <c r="AQ8" i="50" s="1"/>
  <c r="AU8" i="50" s="1"/>
  <c r="AY8" i="50" s="1"/>
  <c r="BG8" i="50" s="1"/>
  <c r="AK11" i="50"/>
  <c r="AQ11" i="50" s="1"/>
  <c r="AU11" i="50" s="1"/>
  <c r="AY11" i="50" s="1"/>
  <c r="BG11" i="50" s="1"/>
  <c r="AK18" i="50"/>
  <c r="AQ18" i="50" s="1"/>
  <c r="AU18" i="50" s="1"/>
  <c r="AY18" i="50" s="1"/>
  <c r="BG18" i="50" s="1"/>
  <c r="AK7" i="50"/>
  <c r="AQ7" i="50" s="1"/>
  <c r="AU7" i="50" s="1"/>
  <c r="AY7" i="50" s="1"/>
  <c r="BG7" i="50" s="1"/>
  <c r="AK12" i="50"/>
  <c r="AQ12" i="50" s="1"/>
  <c r="AU12" i="50" s="1"/>
  <c r="AY12" i="50" s="1"/>
  <c r="BG12" i="50" s="1"/>
  <c r="AK17" i="50"/>
  <c r="AQ17" i="50" s="1"/>
  <c r="AU17" i="50" s="1"/>
  <c r="AY17" i="50" s="1"/>
  <c r="BG17" i="50" s="1"/>
  <c r="AK19" i="50"/>
  <c r="AQ19" i="50" s="1"/>
  <c r="AU19" i="50" s="1"/>
  <c r="AY19" i="50" s="1"/>
  <c r="BG19" i="50" s="1"/>
  <c r="AK15" i="50"/>
  <c r="AQ15" i="50" s="1"/>
  <c r="AU15" i="50" s="1"/>
  <c r="AY15" i="50" s="1"/>
  <c r="BG15" i="50" s="1"/>
  <c r="AC8" i="61"/>
  <c r="AG8" i="61" s="1"/>
  <c r="AK8" i="61" s="1"/>
  <c r="AQ8" i="61" s="1"/>
  <c r="AU8" i="61" s="1"/>
  <c r="AY8" i="61" s="1"/>
  <c r="BG8" i="61" s="1"/>
  <c r="S8" i="61"/>
  <c r="W8" i="61" s="1"/>
  <c r="AC7" i="61"/>
  <c r="AG7" i="61" s="1"/>
  <c r="AK7" i="61" s="1"/>
  <c r="AQ7" i="61" s="1"/>
  <c r="AU7" i="61" s="1"/>
  <c r="AY7" i="61" s="1"/>
  <c r="BG7" i="61" s="1"/>
  <c r="S7" i="61"/>
  <c r="W7" i="61" s="1"/>
  <c r="AC5" i="61"/>
  <c r="AG5" i="61" s="1"/>
  <c r="S5" i="61"/>
  <c r="W5" i="61" s="1"/>
  <c r="AC11" i="61"/>
  <c r="AG11" i="61" s="1"/>
  <c r="S11" i="61"/>
  <c r="W11" i="61" s="1"/>
  <c r="AC9" i="61"/>
  <c r="AG9" i="61" s="1"/>
  <c r="AK9" i="61" s="1"/>
  <c r="AQ9" i="61" s="1"/>
  <c r="AU9" i="61" s="1"/>
  <c r="AY9" i="61" s="1"/>
  <c r="BG9" i="61" s="1"/>
  <c r="S9" i="61"/>
  <c r="W9" i="61" s="1"/>
  <c r="W5" i="50"/>
  <c r="AG5" i="50"/>
  <c r="AK5" i="50" s="1"/>
  <c r="W47" i="50"/>
  <c r="W54" i="50" s="1"/>
  <c r="S54" i="50"/>
  <c r="AC54" i="50"/>
  <c r="AG47" i="50"/>
  <c r="AK47" i="50" l="1"/>
  <c r="AG54" i="50"/>
  <c r="AQ5" i="50" l="1"/>
  <c r="AU5" i="50" s="1"/>
  <c r="AY5" i="50" s="1"/>
  <c r="BG5" i="50" s="1"/>
  <c r="AK54" i="50"/>
  <c r="AQ47" i="50"/>
  <c r="AU47" i="50" s="1"/>
  <c r="AU54" i="50" l="1"/>
  <c r="AY47" i="50"/>
  <c r="AQ54" i="50"/>
  <c r="AY54" i="50" l="1"/>
  <c r="BG47" i="50"/>
  <c r="BG54" i="50" l="1"/>
  <c r="BB8" i="24" l="1"/>
  <c r="BA8" i="24"/>
  <c r="BB7" i="24"/>
  <c r="BA7" i="24"/>
  <c r="BB6" i="24"/>
  <c r="BA6" i="24"/>
  <c r="BD16" i="61"/>
  <c r="BB16" i="61"/>
  <c r="BF16" i="61"/>
  <c r="AZ16" i="61"/>
  <c r="BB15" i="52" l="1"/>
  <c r="BA15" i="52"/>
  <c r="BB14" i="52"/>
  <c r="BA14" i="52"/>
  <c r="BB13" i="52"/>
  <c r="BA13" i="52"/>
  <c r="BB12" i="52"/>
  <c r="BA12" i="52"/>
  <c r="BB11" i="52"/>
  <c r="BA11" i="52"/>
  <c r="BB10" i="52"/>
  <c r="BA10" i="52"/>
  <c r="BB8" i="52"/>
  <c r="BA8" i="52"/>
  <c r="BB6" i="52"/>
  <c r="BA6" i="52"/>
  <c r="BB5" i="52"/>
  <c r="BA5" i="52"/>
  <c r="AZ16" i="52"/>
  <c r="AY16" i="52"/>
  <c r="AZ9" i="52"/>
  <c r="AY9" i="52"/>
  <c r="AZ17" i="52" l="1"/>
  <c r="BA9" i="52"/>
  <c r="AY17" i="52"/>
  <c r="BB16" i="52"/>
  <c r="BA16" i="52"/>
  <c r="BB9" i="52"/>
  <c r="BA17" i="52" l="1"/>
  <c r="BB17" i="52"/>
  <c r="BA38" i="27" l="1"/>
  <c r="AZ38" i="27"/>
  <c r="BA32" i="27"/>
  <c r="AZ32" i="27"/>
  <c r="BA23" i="27"/>
  <c r="AZ23" i="27"/>
  <c r="BA13" i="27"/>
  <c r="AZ13" i="27"/>
  <c r="BA12" i="27"/>
  <c r="AZ12" i="27"/>
  <c r="BA11" i="27"/>
  <c r="AZ11" i="27"/>
  <c r="BA10" i="27"/>
  <c r="AZ10" i="27"/>
  <c r="BA9" i="27"/>
  <c r="AZ9" i="27"/>
  <c r="BA8" i="27"/>
  <c r="AZ8" i="27"/>
  <c r="BA7" i="27"/>
  <c r="AZ7" i="27"/>
  <c r="BA6" i="27"/>
  <c r="AZ6" i="27"/>
  <c r="BA2" i="27"/>
  <c r="AZ2" i="27"/>
  <c r="AZ37" i="27" s="1"/>
  <c r="BD10" i="15"/>
  <c r="BB10" i="15"/>
  <c r="AZ10" i="15"/>
  <c r="AZ22" i="15"/>
  <c r="AZ21" i="27" l="1"/>
  <c r="AZ28" i="27"/>
  <c r="BA31" i="27"/>
  <c r="AZ35" i="27"/>
  <c r="AZ18" i="27"/>
  <c r="AZ30" i="27"/>
  <c r="AZ31" i="27"/>
  <c r="AZ36" i="27"/>
  <c r="AZ20" i="27"/>
  <c r="AZ27" i="27"/>
  <c r="AZ19" i="27"/>
  <c r="AZ22" i="27"/>
  <c r="AZ26" i="27"/>
  <c r="AZ29" i="27"/>
  <c r="BA22" i="27"/>
  <c r="BB28" i="22"/>
  <c r="BB26" i="22"/>
  <c r="BB23" i="22"/>
  <c r="BB22" i="22"/>
  <c r="BB13" i="22"/>
  <c r="BB11" i="22"/>
  <c r="BB20" i="22" s="1"/>
  <c r="BB8" i="22"/>
  <c r="BB7" i="22"/>
  <c r="BB3" i="22"/>
  <c r="BA3" i="22"/>
  <c r="BB9" i="22" l="1"/>
  <c r="BB24" i="22"/>
  <c r="AZ39" i="27"/>
  <c r="BB29" i="22"/>
  <c r="BB31" i="22"/>
  <c r="BB32" i="22"/>
  <c r="AZ24" i="27"/>
  <c r="AZ33" i="27"/>
  <c r="BB14" i="22"/>
  <c r="BB18" i="22"/>
  <c r="BB19" i="22"/>
  <c r="BB17" i="22"/>
  <c r="BA82" i="17" l="1"/>
  <c r="BA79" i="17"/>
  <c r="BA78" i="17"/>
  <c r="BA77" i="17"/>
  <c r="BA76" i="17"/>
  <c r="BA75" i="17"/>
  <c r="BA74" i="17"/>
  <c r="BA73" i="17"/>
  <c r="BA72" i="17"/>
  <c r="BA71" i="17"/>
  <c r="BA70" i="17"/>
  <c r="BA69" i="17"/>
  <c r="BA68" i="17"/>
  <c r="BA67" i="17"/>
  <c r="BA66" i="17"/>
  <c r="BA65" i="17"/>
  <c r="BA64" i="17"/>
  <c r="BA63" i="17"/>
  <c r="BA59" i="17"/>
  <c r="AZ59" i="17"/>
  <c r="BA31" i="17"/>
  <c r="BA28" i="17"/>
  <c r="BA18" i="17"/>
  <c r="BA16" i="17"/>
  <c r="BA12" i="17"/>
  <c r="BA10" i="17"/>
  <c r="BA8" i="17"/>
  <c r="BA3" i="17"/>
  <c r="AZ3" i="17"/>
  <c r="BA41" i="17" l="1"/>
  <c r="AZ45" i="17"/>
  <c r="AZ38" i="17"/>
  <c r="AZ43" i="17"/>
  <c r="AZ47" i="17"/>
  <c r="AZ48" i="17"/>
  <c r="AZ35" i="17"/>
  <c r="AZ36" i="17"/>
  <c r="AZ51" i="17"/>
  <c r="AZ41" i="17"/>
  <c r="AZ52" i="17"/>
  <c r="BA19" i="17"/>
  <c r="BA13" i="17"/>
  <c r="BA11" i="17"/>
  <c r="BA9" i="17"/>
  <c r="BA29" i="17"/>
  <c r="BA32" i="17" s="1"/>
  <c r="BA38" i="17"/>
  <c r="BA42" i="17"/>
  <c r="BA14" i="17"/>
  <c r="BA17" i="17"/>
  <c r="BA35" i="17"/>
  <c r="BA43" i="17"/>
  <c r="BA48" i="17"/>
  <c r="BA51" i="17"/>
  <c r="BA36" i="17"/>
  <c r="BA45" i="17"/>
  <c r="BA52" i="17"/>
  <c r="AZ42" i="17"/>
  <c r="BA47" i="17"/>
  <c r="BA49" i="17" l="1"/>
  <c r="BA44" i="17"/>
  <c r="AZ49" i="17"/>
  <c r="AZ44" i="17"/>
  <c r="BA30" i="17"/>
  <c r="AZ37" i="17"/>
  <c r="AZ39" i="17" s="1"/>
  <c r="AZ53" i="17"/>
  <c r="BA53" i="17"/>
  <c r="BA37" i="17"/>
  <c r="BA39" i="17" s="1"/>
  <c r="BA15" i="17"/>
  <c r="BA20" i="17"/>
  <c r="BA10" i="15"/>
  <c r="AM183" i="73"/>
  <c r="AM182" i="73"/>
  <c r="AM178" i="73"/>
  <c r="AM177" i="73"/>
  <c r="AM176" i="73"/>
  <c r="AM175" i="73"/>
  <c r="AM173" i="73"/>
  <c r="AM172" i="73"/>
  <c r="AM170" i="73"/>
  <c r="AM169" i="73"/>
  <c r="AM167" i="73"/>
  <c r="AM136" i="73"/>
  <c r="AM135" i="73"/>
  <c r="AM131" i="73"/>
  <c r="AM128" i="73"/>
  <c r="AM127" i="73"/>
  <c r="AM125" i="73"/>
  <c r="AM124" i="73"/>
  <c r="AM123" i="73"/>
  <c r="AM115" i="73"/>
  <c r="AM114" i="73"/>
  <c r="AM111" i="73"/>
  <c r="AM109" i="73"/>
  <c r="AM108" i="73"/>
  <c r="AM107" i="73"/>
  <c r="AM105" i="73"/>
  <c r="AM117" i="73"/>
  <c r="AM104" i="73"/>
  <c r="AM103" i="73"/>
  <c r="AM101" i="73"/>
  <c r="AM100" i="73"/>
  <c r="AM99" i="73"/>
  <c r="AM98" i="73"/>
  <c r="AM97" i="73"/>
  <c r="AM96" i="73"/>
  <c r="AM95" i="73"/>
  <c r="AM94" i="73"/>
  <c r="BC94" i="73" s="1"/>
  <c r="AM90" i="73"/>
  <c r="AM88" i="73"/>
  <c r="AM87" i="73"/>
  <c r="AM85" i="73"/>
  <c r="AM84" i="73"/>
  <c r="AM83" i="73"/>
  <c r="AM82" i="73"/>
  <c r="AM81" i="73"/>
  <c r="AM80" i="73"/>
  <c r="AM79" i="73"/>
  <c r="AM63" i="73"/>
  <c r="AM61" i="73"/>
  <c r="AM60" i="73"/>
  <c r="AM59" i="73"/>
  <c r="AM57" i="73"/>
  <c r="AM55" i="73"/>
  <c r="AM54" i="73"/>
  <c r="AM53" i="73"/>
  <c r="AM52" i="73"/>
  <c r="AM50" i="73"/>
  <c r="AM49" i="73"/>
  <c r="AM48" i="73"/>
  <c r="AM47" i="73"/>
  <c r="AM45" i="73"/>
  <c r="AM44" i="73"/>
  <c r="AM42" i="73"/>
  <c r="AM41" i="73"/>
  <c r="AM40" i="73"/>
  <c r="AM38" i="73"/>
  <c r="AM37" i="73"/>
  <c r="AM36" i="73"/>
  <c r="AM34" i="73"/>
  <c r="AM33" i="73"/>
  <c r="AM32" i="73"/>
  <c r="AM31" i="73"/>
  <c r="AM25" i="73"/>
  <c r="AM24" i="73"/>
  <c r="AM23" i="73"/>
  <c r="AM21" i="73"/>
  <c r="AM14" i="73"/>
  <c r="AM10" i="73"/>
  <c r="AM9" i="73"/>
  <c r="AM7" i="73"/>
  <c r="Y7" i="73"/>
  <c r="Y9" i="73"/>
  <c r="Y10" i="73"/>
  <c r="Y14" i="73"/>
  <c r="Y21" i="73"/>
  <c r="Y23" i="73"/>
  <c r="Y24" i="73"/>
  <c r="Y25" i="73"/>
  <c r="Y31" i="73"/>
  <c r="Y32" i="73"/>
  <c r="Y33" i="73"/>
  <c r="Y34" i="73"/>
  <c r="Y36" i="73"/>
  <c r="Y37" i="73"/>
  <c r="Y38" i="73"/>
  <c r="Y40" i="73"/>
  <c r="Y41" i="73"/>
  <c r="Y42" i="73"/>
  <c r="AA42" i="73" s="1"/>
  <c r="Y44" i="73"/>
  <c r="Y45" i="73"/>
  <c r="Y47" i="73"/>
  <c r="Y48" i="73"/>
  <c r="Y49" i="73"/>
  <c r="Y50" i="73"/>
  <c r="Y52" i="73"/>
  <c r="Y53" i="73"/>
  <c r="Y54" i="73"/>
  <c r="Y55" i="73"/>
  <c r="Y57" i="73"/>
  <c r="Y59" i="73"/>
  <c r="Y60" i="73"/>
  <c r="Y61" i="73"/>
  <c r="Y63" i="73"/>
  <c r="Y64" i="73"/>
  <c r="Y65" i="73"/>
  <c r="AA70" i="73"/>
  <c r="AE70" i="73" s="1"/>
  <c r="Y71" i="73"/>
  <c r="Y72" i="73"/>
  <c r="Y73" i="73"/>
  <c r="Y75" i="73"/>
  <c r="Y79" i="73"/>
  <c r="Y80" i="73"/>
  <c r="Y81" i="73"/>
  <c r="Y82" i="73"/>
  <c r="Y83" i="73"/>
  <c r="AA83" i="73" s="1"/>
  <c r="AE83" i="73" s="1"/>
  <c r="Y84" i="73"/>
  <c r="AA84" i="73" s="1"/>
  <c r="AE84" i="73" s="1"/>
  <c r="Y85" i="73"/>
  <c r="Y87" i="73"/>
  <c r="Y88" i="73"/>
  <c r="Y90" i="73"/>
  <c r="Y94" i="73"/>
  <c r="Y95" i="73"/>
  <c r="Y96" i="73"/>
  <c r="Y97" i="73"/>
  <c r="Y98" i="73"/>
  <c r="Y99" i="73"/>
  <c r="Y100" i="73"/>
  <c r="Y101" i="73"/>
  <c r="Y103" i="73"/>
  <c r="Y104" i="73"/>
  <c r="Y117" i="73"/>
  <c r="Y105" i="73"/>
  <c r="Y107" i="73"/>
  <c r="Y108" i="73"/>
  <c r="Y109" i="73"/>
  <c r="Y111" i="73"/>
  <c r="Y114" i="73"/>
  <c r="Y115" i="73"/>
  <c r="Y123" i="73"/>
  <c r="Y124" i="73"/>
  <c r="Y125" i="73"/>
  <c r="Y127" i="73"/>
  <c r="Y128" i="73"/>
  <c r="Y165" i="73"/>
  <c r="Y167" i="73"/>
  <c r="Y169" i="73"/>
  <c r="Y170" i="73"/>
  <c r="Y172" i="73"/>
  <c r="Y173" i="73"/>
  <c r="Y175" i="73"/>
  <c r="AA175" i="73" s="1"/>
  <c r="AE175" i="73" s="1"/>
  <c r="AI175" i="73" s="1"/>
  <c r="AO175" i="73" s="1"/>
  <c r="AS175" i="73" s="1"/>
  <c r="Y176" i="73"/>
  <c r="Y177" i="73"/>
  <c r="Y178" i="73"/>
  <c r="Y182" i="73"/>
  <c r="Y183" i="73"/>
  <c r="G144" i="50"/>
  <c r="BD179" i="73"/>
  <c r="BD134" i="73"/>
  <c r="BD130" i="73"/>
  <c r="BD126" i="73"/>
  <c r="BD106" i="73"/>
  <c r="BD118" i="73" s="1"/>
  <c r="AW175" i="73" l="1"/>
  <c r="BD137" i="73"/>
  <c r="AZ85" i="17"/>
  <c r="BA85" i="17"/>
  <c r="AI84" i="73"/>
  <c r="AO84" i="73" s="1"/>
  <c r="AS84" i="73" s="1"/>
  <c r="AW84" i="73" s="1"/>
  <c r="AI70" i="73"/>
  <c r="AO70" i="73" s="1"/>
  <c r="AS70" i="73" s="1"/>
  <c r="AW70" i="73" s="1"/>
  <c r="AI83" i="73"/>
  <c r="AO83" i="73" s="1"/>
  <c r="AS83" i="73" s="1"/>
  <c r="AW83" i="73" s="1"/>
  <c r="E120" i="90"/>
  <c r="BE120" i="90" s="1"/>
  <c r="BC175" i="73"/>
  <c r="Y20" i="73"/>
  <c r="Y120" i="90" s="1"/>
  <c r="Q146" i="50"/>
  <c r="AA146" i="50" s="1"/>
  <c r="AM20" i="73"/>
  <c r="AM120" i="90" s="1"/>
  <c r="BC120" i="90" s="1"/>
  <c r="AE146" i="50"/>
  <c r="AA24" i="73"/>
  <c r="AE24" i="73" s="1"/>
  <c r="Y22" i="73"/>
  <c r="AM22" i="73"/>
  <c r="BC24" i="73"/>
  <c r="BA21" i="17"/>
  <c r="AO146" i="50" l="1"/>
  <c r="BE146" i="50" s="1"/>
  <c r="BE175" i="73"/>
  <c r="AI24" i="73"/>
  <c r="AO24" i="73" s="1"/>
  <c r="E122" i="90"/>
  <c r="BE122" i="90" s="1"/>
  <c r="K144" i="50"/>
  <c r="O144" i="50"/>
  <c r="BC109" i="26"/>
  <c r="BB109" i="26"/>
  <c r="BC107" i="26"/>
  <c r="BB107" i="26"/>
  <c r="BC105" i="26"/>
  <c r="BB105" i="26"/>
  <c r="BC103" i="26"/>
  <c r="BB103" i="26"/>
  <c r="BC101" i="26"/>
  <c r="BB101" i="26"/>
  <c r="BC99" i="26"/>
  <c r="BB99" i="26"/>
  <c r="BC97" i="26"/>
  <c r="BB97" i="26"/>
  <c r="BB89" i="26"/>
  <c r="BB87" i="26"/>
  <c r="BB85" i="26"/>
  <c r="BB70" i="26"/>
  <c r="BB68" i="26"/>
  <c r="BB66" i="26"/>
  <c r="BB64" i="26"/>
  <c r="BB62" i="26"/>
  <c r="BB60" i="26"/>
  <c r="BB58" i="26"/>
  <c r="BC51" i="26"/>
  <c r="BC40" i="26"/>
  <c r="BB40" i="26"/>
  <c r="BC38" i="26"/>
  <c r="BB38" i="26"/>
  <c r="BC36" i="26"/>
  <c r="BB36" i="26"/>
  <c r="BC34" i="26"/>
  <c r="BB34" i="26"/>
  <c r="BC32" i="26"/>
  <c r="BB32" i="26"/>
  <c r="BC30" i="26"/>
  <c r="BB30" i="26"/>
  <c r="BC28" i="26"/>
  <c r="BB28" i="26"/>
  <c r="BC26" i="26"/>
  <c r="BB26" i="26"/>
  <c r="BC24" i="26"/>
  <c r="BB24" i="26"/>
  <c r="BC22" i="26"/>
  <c r="BB22" i="26"/>
  <c r="BC16" i="26"/>
  <c r="BB16" i="26"/>
  <c r="BC10" i="26"/>
  <c r="BB10" i="26"/>
  <c r="E126" i="90" l="1"/>
  <c r="BE126" i="90" s="1"/>
  <c r="AI122" i="90"/>
  <c r="M122" i="90"/>
  <c r="AA122" i="90"/>
  <c r="I122" i="90"/>
  <c r="AE122" i="90"/>
  <c r="Q122" i="90"/>
  <c r="AO122" i="90"/>
  <c r="U122" i="90"/>
  <c r="AC144" i="50"/>
  <c r="AG144" i="50" s="1"/>
  <c r="AK144" i="50" s="1"/>
  <c r="AQ144" i="50" s="1"/>
  <c r="AU144" i="50" s="1"/>
  <c r="AY144" i="50" s="1"/>
  <c r="BG144" i="50" s="1"/>
  <c r="S144" i="50"/>
  <c r="W144" i="50" s="1"/>
  <c r="BA110" i="26"/>
  <c r="BA108" i="26"/>
  <c r="BA106" i="26"/>
  <c r="BA104" i="26"/>
  <c r="BA102" i="26"/>
  <c r="BA100" i="26"/>
  <c r="BA98" i="26"/>
  <c r="BA96" i="26"/>
  <c r="BA91" i="26"/>
  <c r="BA89" i="26"/>
  <c r="BA87" i="26"/>
  <c r="BA85" i="26"/>
  <c r="BA83" i="26"/>
  <c r="BA78" i="26"/>
  <c r="BA76" i="26"/>
  <c r="BA75" i="26" s="1"/>
  <c r="BA72" i="26"/>
  <c r="BA71" i="26"/>
  <c r="BA70" i="26"/>
  <c r="BA69" i="26"/>
  <c r="BA68" i="26"/>
  <c r="BA67" i="26"/>
  <c r="BA66" i="26"/>
  <c r="BA65" i="26"/>
  <c r="BA64" i="26"/>
  <c r="BA63" i="26"/>
  <c r="BA62" i="26"/>
  <c r="BA61" i="26"/>
  <c r="BA60" i="26"/>
  <c r="BA59" i="26"/>
  <c r="BA58" i="26"/>
  <c r="BA57" i="26"/>
  <c r="BA52" i="26"/>
  <c r="AZ51" i="26"/>
  <c r="BA50" i="26"/>
  <c r="BA46" i="26"/>
  <c r="BA48" i="26" s="1"/>
  <c r="BA41" i="26"/>
  <c r="BA39" i="26"/>
  <c r="BA37" i="26"/>
  <c r="BA35" i="26"/>
  <c r="BA33" i="26"/>
  <c r="BA31" i="26"/>
  <c r="BA29" i="26"/>
  <c r="BA27" i="26"/>
  <c r="BA25" i="26"/>
  <c r="BA23" i="26"/>
  <c r="BA21" i="26"/>
  <c r="BA17" i="26"/>
  <c r="BA15" i="26"/>
  <c r="BA11" i="26"/>
  <c r="BA9" i="26"/>
  <c r="BA3" i="26"/>
  <c r="AZ3" i="26"/>
  <c r="BB77" i="11" l="1"/>
  <c r="BB142" i="45"/>
  <c r="BA77" i="11"/>
  <c r="BA176" i="10"/>
  <c r="BB176" i="10"/>
  <c r="BC142" i="45"/>
  <c r="AS122" i="90"/>
  <c r="BA49" i="26"/>
  <c r="BA56" i="17"/>
  <c r="BA57" i="17"/>
  <c r="BA55" i="17"/>
  <c r="BA54" i="17"/>
  <c r="BA112" i="26"/>
  <c r="BA92" i="26"/>
  <c r="BA80" i="26"/>
  <c r="BA81" i="26"/>
  <c r="BA73" i="26"/>
  <c r="BA43" i="26"/>
  <c r="BA12" i="26"/>
  <c r="BA13" i="26" s="1"/>
  <c r="BA54" i="26"/>
  <c r="AW122" i="90" l="1"/>
  <c r="BA18" i="26"/>
  <c r="BA19" i="26"/>
  <c r="G138" i="50"/>
  <c r="K138" i="50" l="1"/>
  <c r="O138" i="50"/>
  <c r="AE139" i="50"/>
  <c r="AO139" i="50" s="1"/>
  <c r="AO140" i="50" l="1"/>
  <c r="BE139" i="50"/>
  <c r="BE140" i="50" s="1"/>
  <c r="S138" i="50"/>
  <c r="W138" i="50" s="1"/>
  <c r="AC138" i="50"/>
  <c r="AG138" i="50" s="1"/>
  <c r="AK138" i="50" s="1"/>
  <c r="AQ138" i="50" s="1"/>
  <c r="AU138" i="50" s="1"/>
  <c r="AY138" i="50" s="1"/>
  <c r="BG138" i="50" s="1"/>
  <c r="AE140" i="50"/>
  <c r="AE141" i="50"/>
  <c r="AO141" i="50" s="1"/>
  <c r="BE141" i="50" s="1"/>
  <c r="Q139" i="50"/>
  <c r="AA139" i="50" s="1"/>
  <c r="AE147" i="50" l="1"/>
  <c r="AO147" i="50" s="1"/>
  <c r="Q140" i="50"/>
  <c r="Q141" i="50"/>
  <c r="AA141" i="50" s="1"/>
  <c r="Q147" i="50" l="1"/>
  <c r="AA147" i="50" s="1"/>
  <c r="AY7" i="72" l="1"/>
  <c r="AW48" i="72"/>
  <c r="AW40" i="72"/>
  <c r="AW20" i="72"/>
  <c r="AW51" i="72" l="1"/>
  <c r="AW53" i="72"/>
  <c r="AM73" i="90"/>
  <c r="BC73" i="90" s="1"/>
  <c r="AM72" i="90"/>
  <c r="BC72" i="90" s="1"/>
  <c r="AA73" i="90" l="1"/>
  <c r="M73" i="90"/>
  <c r="Q73" i="90"/>
  <c r="AO73" i="90"/>
  <c r="AS73" i="90" s="1"/>
  <c r="AW73" i="90" s="1"/>
  <c r="U73" i="90"/>
  <c r="AE73" i="90"/>
  <c r="AA72" i="90"/>
  <c r="M72" i="90"/>
  <c r="AE72" i="90"/>
  <c r="U72" i="90"/>
  <c r="Q72" i="90"/>
  <c r="AO72" i="90"/>
  <c r="AS72" i="90" s="1"/>
  <c r="AW72" i="90" s="1"/>
  <c r="BC152" i="45" l="1"/>
  <c r="BC151" i="45"/>
  <c r="BC156" i="45" s="1"/>
  <c r="BC147" i="45"/>
  <c r="BC146" i="45"/>
  <c r="BC135" i="45"/>
  <c r="BB135" i="45"/>
  <c r="BC133" i="45"/>
  <c r="BB133" i="45"/>
  <c r="BC8" i="45"/>
  <c r="BC7" i="45"/>
  <c r="BC137" i="45" s="1"/>
  <c r="BB7" i="45"/>
  <c r="BC2" i="45"/>
  <c r="BB2" i="45"/>
  <c r="BB45" i="11"/>
  <c r="BB46" i="11"/>
  <c r="BB47" i="11"/>
  <c r="BB48" i="11"/>
  <c r="BB49" i="11"/>
  <c r="BB50" i="11"/>
  <c r="BB51" i="11"/>
  <c r="BB52" i="11"/>
  <c r="BB86" i="11"/>
  <c r="BB82" i="11"/>
  <c r="BB81" i="11"/>
  <c r="BB70" i="11"/>
  <c r="BA70" i="11"/>
  <c r="BB68" i="11"/>
  <c r="BA68" i="11"/>
  <c r="BB44" i="11"/>
  <c r="BB7" i="11"/>
  <c r="BB5" i="11"/>
  <c r="BB72" i="11" s="1"/>
  <c r="BA5" i="11"/>
  <c r="BB2" i="11"/>
  <c r="BA2" i="11"/>
  <c r="BB185" i="10"/>
  <c r="BB181" i="10"/>
  <c r="BB180" i="10"/>
  <c r="BB169" i="10"/>
  <c r="BA169" i="10"/>
  <c r="BB167" i="10"/>
  <c r="BA167" i="10"/>
  <c r="BB7" i="10"/>
  <c r="BB5" i="10"/>
  <c r="BA5" i="10"/>
  <c r="BB2" i="10"/>
  <c r="BA2" i="10"/>
  <c r="BB190" i="10" l="1"/>
  <c r="BB188" i="10"/>
  <c r="BC162" i="45"/>
  <c r="BC168" i="45" s="1"/>
  <c r="BC120" i="45"/>
  <c r="BC158" i="45" s="1"/>
  <c r="BB171" i="10"/>
  <c r="BB134" i="45"/>
  <c r="BD72" i="59" s="1"/>
  <c r="BA71" i="11"/>
  <c r="BA69" i="11"/>
  <c r="BD68" i="59" s="1"/>
  <c r="BA170" i="10"/>
  <c r="BB83" i="11"/>
  <c r="BB90" i="11" s="1"/>
  <c r="BB71" i="11"/>
  <c r="BB182" i="10"/>
  <c r="BC121" i="45"/>
  <c r="BB136" i="45"/>
  <c r="BC148" i="45"/>
  <c r="BC136" i="45"/>
  <c r="BC122" i="45"/>
  <c r="BC154" i="45"/>
  <c r="BC134" i="45"/>
  <c r="BE72" i="59" s="1"/>
  <c r="BB55" i="11"/>
  <c r="BB92" i="11" s="1"/>
  <c r="BB56" i="11"/>
  <c r="BB69" i="11"/>
  <c r="BE68" i="59" s="1"/>
  <c r="BB89" i="11"/>
  <c r="BB57" i="11"/>
  <c r="BB59" i="11"/>
  <c r="BB91" i="11"/>
  <c r="BB168" i="10"/>
  <c r="BE64" i="59" s="1"/>
  <c r="BB170" i="10"/>
  <c r="BA168" i="10"/>
  <c r="BD64" i="59" s="1"/>
  <c r="BB58" i="11" l="1"/>
  <c r="BB183" i="10"/>
  <c r="W122" i="45"/>
  <c r="BB84" i="11"/>
  <c r="BB189" i="10"/>
  <c r="BC144" i="45"/>
  <c r="BE73" i="59" s="1"/>
  <c r="BB22" i="36"/>
  <c r="BC123" i="45"/>
  <c r="BB79" i="11"/>
  <c r="BE69" i="59" s="1"/>
  <c r="BC124" i="45"/>
  <c r="BC125" i="45" s="1"/>
  <c r="BC149" i="45"/>
  <c r="BC155" i="45"/>
  <c r="BC150" i="45"/>
  <c r="BC159" i="45"/>
  <c r="BC160" i="45" s="1"/>
  <c r="BB60" i="11"/>
  <c r="BB93" i="11"/>
  <c r="BB94" i="11" s="1"/>
  <c r="BB85" i="11"/>
  <c r="AZ1" i="35"/>
  <c r="BE67" i="59" l="1"/>
  <c r="AZ21" i="35"/>
  <c r="AZ26" i="9" s="1"/>
  <c r="W150" i="45"/>
  <c r="W159" i="45"/>
  <c r="BB23" i="36"/>
  <c r="BE71" i="59"/>
  <c r="BE52" i="38" l="1"/>
  <c r="BF46" i="38"/>
  <c r="BF45" i="38"/>
  <c r="BF44" i="38"/>
  <c r="BF43" i="38"/>
  <c r="BF41" i="38"/>
  <c r="BF38" i="38"/>
  <c r="BF37" i="38"/>
  <c r="BF36" i="38"/>
  <c r="BF35" i="38"/>
  <c r="BB167" i="6" s="1"/>
  <c r="BF32" i="38"/>
  <c r="BF31" i="38"/>
  <c r="BF30" i="38"/>
  <c r="BF29" i="38"/>
  <c r="BF28" i="38"/>
  <c r="BF27" i="38"/>
  <c r="BF26" i="38"/>
  <c r="BF25" i="38"/>
  <c r="BF24" i="38"/>
  <c r="BF23" i="38"/>
  <c r="BB99" i="9" s="1"/>
  <c r="BF22" i="38"/>
  <c r="BB91" i="8" s="1"/>
  <c r="BF21" i="38"/>
  <c r="BF20" i="38"/>
  <c r="BF19" i="38"/>
  <c r="BF14" i="38"/>
  <c r="BF13" i="38"/>
  <c r="BF11" i="38"/>
  <c r="BF10" i="38"/>
  <c r="BF9" i="38"/>
  <c r="BF8" i="38"/>
  <c r="BF7" i="38"/>
  <c r="BF3" i="38"/>
  <c r="BF51" i="38" s="1"/>
  <c r="BE3" i="38"/>
  <c r="BE59" i="38" s="1"/>
  <c r="BI52" i="38"/>
  <c r="BE76" i="59" l="1"/>
  <c r="BF55" i="38"/>
  <c r="BF61" i="38"/>
  <c r="BF79" i="38"/>
  <c r="BF85" i="38"/>
  <c r="BF72" i="38"/>
  <c r="BF86" i="38"/>
  <c r="BF67" i="38"/>
  <c r="BB193" i="6"/>
  <c r="BF73" i="38"/>
  <c r="BF89" i="38"/>
  <c r="BF94" i="38"/>
  <c r="BF78" i="38"/>
  <c r="BF59" i="38"/>
  <c r="BF91" i="38"/>
  <c r="BF69" i="38"/>
  <c r="BF75" i="38"/>
  <c r="BF83" i="38"/>
  <c r="BF92" i="38"/>
  <c r="BF70" i="38"/>
  <c r="BF76" i="38"/>
  <c r="BF58" i="38"/>
  <c r="BF80" i="38"/>
  <c r="BF68" i="38"/>
  <c r="BF77" i="38"/>
  <c r="BE51" i="38"/>
  <c r="BF74" i="38"/>
  <c r="BF84" i="38"/>
  <c r="BF93" i="38"/>
  <c r="BF62" i="38"/>
  <c r="BF71" i="38"/>
  <c r="BF57" i="38"/>
  <c r="BF56" i="38"/>
  <c r="BE72" i="36" l="1"/>
  <c r="BE71" i="36"/>
  <c r="BC72" i="36"/>
  <c r="BC71" i="36"/>
  <c r="BA72" i="36"/>
  <c r="BA71" i="36"/>
  <c r="BF37" i="36"/>
  <c r="BC37" i="36"/>
  <c r="BD37" i="36"/>
  <c r="BC199" i="6"/>
  <c r="BA199" i="6"/>
  <c r="BC198" i="6"/>
  <c r="BC197" i="6"/>
  <c r="BA197" i="6"/>
  <c r="BC190" i="6"/>
  <c r="BA190" i="6"/>
  <c r="BC189" i="6"/>
  <c r="BA189" i="6"/>
  <c r="BC186" i="6"/>
  <c r="BA186" i="6"/>
  <c r="BC185" i="6"/>
  <c r="BA185" i="6"/>
  <c r="BC184" i="6"/>
  <c r="BA184" i="6"/>
  <c r="BC183" i="6"/>
  <c r="BA183" i="6"/>
  <c r="BC182" i="6"/>
  <c r="BA182" i="6"/>
  <c r="BC181" i="6"/>
  <c r="BA181" i="6"/>
  <c r="BC179" i="6"/>
  <c r="BA179" i="6"/>
  <c r="BC178" i="6"/>
  <c r="BA178" i="6"/>
  <c r="BC177" i="6"/>
  <c r="BA177" i="6"/>
  <c r="BC165" i="6"/>
  <c r="BA165" i="6"/>
  <c r="BC164" i="6"/>
  <c r="BA164" i="6"/>
  <c r="BC161" i="6"/>
  <c r="BA161" i="6"/>
  <c r="BC160" i="6"/>
  <c r="BA160" i="6"/>
  <c r="BC159" i="6"/>
  <c r="BA159" i="6"/>
  <c r="BC158" i="6"/>
  <c r="BA158" i="6"/>
  <c r="BC157" i="6"/>
  <c r="BA157" i="6"/>
  <c r="BC156" i="6"/>
  <c r="BA156" i="6"/>
  <c r="BC154" i="6"/>
  <c r="BA154" i="6"/>
  <c r="BC153" i="6"/>
  <c r="BA153" i="6"/>
  <c r="BC149" i="6"/>
  <c r="BA149" i="6"/>
  <c r="BB88" i="6"/>
  <c r="BA88" i="6"/>
  <c r="BB87" i="6"/>
  <c r="BB86" i="6"/>
  <c r="BC85" i="6"/>
  <c r="BA85" i="6"/>
  <c r="BC83" i="6"/>
  <c r="BA83" i="6"/>
  <c r="BC82" i="6"/>
  <c r="BA82" i="6"/>
  <c r="BC80" i="6"/>
  <c r="BA80" i="6"/>
  <c r="BC79" i="6"/>
  <c r="BA79" i="6"/>
  <c r="BB76" i="6"/>
  <c r="BA76" i="6"/>
  <c r="BB75" i="6"/>
  <c r="BA75" i="6"/>
  <c r="BB74" i="6"/>
  <c r="BA74" i="6"/>
  <c r="BB73" i="6"/>
  <c r="BA73" i="6"/>
  <c r="BB72" i="6"/>
  <c r="BA72" i="6"/>
  <c r="BB70" i="6"/>
  <c r="BA70" i="6"/>
  <c r="BB68" i="6"/>
  <c r="BA68" i="6"/>
  <c r="BB67" i="6"/>
  <c r="BA67" i="6"/>
  <c r="BB65" i="6"/>
  <c r="BA65" i="6"/>
  <c r="BB64" i="6"/>
  <c r="BA64" i="6"/>
  <c r="BB53" i="6"/>
  <c r="BB52" i="6"/>
  <c r="BB50" i="6"/>
  <c r="BB49" i="6"/>
  <c r="BB47" i="6"/>
  <c r="BB46" i="6"/>
  <c r="BB44" i="6"/>
  <c r="BB43" i="6"/>
  <c r="BC40" i="6"/>
  <c r="BA40" i="6"/>
  <c r="BC39" i="6"/>
  <c r="BA39" i="6"/>
  <c r="BC38" i="6"/>
  <c r="BA38" i="6"/>
  <c r="BC37" i="6"/>
  <c r="BA37" i="6"/>
  <c r="BB31" i="6"/>
  <c r="BB30" i="6"/>
  <c r="BB28" i="6"/>
  <c r="BB27" i="6"/>
  <c r="BB25" i="6"/>
  <c r="BB24" i="6"/>
  <c r="BB22" i="6"/>
  <c r="BB21" i="6"/>
  <c r="BB157" i="6" s="1"/>
  <c r="BB2" i="6"/>
  <c r="BA2" i="6"/>
  <c r="BA13" i="6" s="1"/>
  <c r="BA222" i="6" s="1"/>
  <c r="BE199" i="6"/>
  <c r="BE198" i="6"/>
  <c r="BE197" i="6"/>
  <c r="BE190" i="6"/>
  <c r="BE189" i="6"/>
  <c r="BE186" i="6"/>
  <c r="BE185" i="6"/>
  <c r="BE184" i="6"/>
  <c r="BE183" i="6"/>
  <c r="BE182" i="6"/>
  <c r="BE181" i="6"/>
  <c r="BE179" i="6"/>
  <c r="BE178" i="6"/>
  <c r="BE177" i="6"/>
  <c r="BE165" i="6"/>
  <c r="BE164" i="6"/>
  <c r="BE161" i="6"/>
  <c r="BE160" i="6"/>
  <c r="BE159" i="6"/>
  <c r="BE158" i="6"/>
  <c r="BE157" i="6"/>
  <c r="BE156" i="6"/>
  <c r="BE154" i="6"/>
  <c r="BE153" i="6"/>
  <c r="BE149" i="6"/>
  <c r="BE85" i="6"/>
  <c r="BE83" i="6"/>
  <c r="BE82" i="6"/>
  <c r="BE80" i="6"/>
  <c r="BE79" i="6"/>
  <c r="BE40" i="6"/>
  <c r="BE39" i="6"/>
  <c r="BE38" i="6"/>
  <c r="BE37" i="6"/>
  <c r="BB159" i="6" l="1"/>
  <c r="BE18" i="59" s="1"/>
  <c r="BB158" i="6"/>
  <c r="BE17" i="59" s="1"/>
  <c r="BB161" i="6"/>
  <c r="BE20" i="59" s="1"/>
  <c r="BB156" i="6"/>
  <c r="BB160" i="6"/>
  <c r="BE19" i="59" s="1"/>
  <c r="BB186" i="6"/>
  <c r="BE27" i="59" s="1"/>
  <c r="BB182" i="6"/>
  <c r="BB185" i="6"/>
  <c r="BE26" i="59" s="1"/>
  <c r="BB184" i="6"/>
  <c r="BE25" i="59" s="1"/>
  <c r="BB181" i="6"/>
  <c r="BB183" i="6"/>
  <c r="BE24" i="59" s="1"/>
  <c r="BA12" i="6"/>
  <c r="BA221" i="6" s="1"/>
  <c r="BE41" i="6"/>
  <c r="BC41" i="6"/>
  <c r="BB192" i="6"/>
  <c r="BB191" i="6"/>
  <c r="BB166" i="6"/>
  <c r="BB54" i="6"/>
  <c r="BB45" i="6"/>
  <c r="BA69" i="6"/>
  <c r="BA66" i="6"/>
  <c r="BB51" i="6"/>
  <c r="BB48" i="6"/>
  <c r="BB32" i="6"/>
  <c r="BB12" i="6"/>
  <c r="BB221" i="6" s="1"/>
  <c r="BB13" i="6"/>
  <c r="BB222" i="6" s="1"/>
  <c r="BA41" i="6"/>
  <c r="BB66" i="6"/>
  <c r="BB26" i="6"/>
  <c r="BB69" i="6"/>
  <c r="BA77" i="6"/>
  <c r="BB77" i="6"/>
  <c r="BB29" i="6"/>
  <c r="BB23" i="6"/>
  <c r="BB132" i="9"/>
  <c r="BB131" i="9"/>
  <c r="BB130" i="9"/>
  <c r="BB129" i="9"/>
  <c r="BB128" i="9"/>
  <c r="BB127" i="9"/>
  <c r="BB125" i="9"/>
  <c r="BB124" i="9"/>
  <c r="BB123" i="9"/>
  <c r="BB122" i="9"/>
  <c r="BB121" i="9"/>
  <c r="BB120" i="9"/>
  <c r="BB119" i="9"/>
  <c r="BB118" i="9"/>
  <c r="BB117" i="9"/>
  <c r="BB116" i="9"/>
  <c r="BB115" i="9"/>
  <c r="BB114" i="9"/>
  <c r="BB113" i="9"/>
  <c r="BB112" i="9"/>
  <c r="BB111" i="9"/>
  <c r="BB108" i="9"/>
  <c r="BB107" i="9"/>
  <c r="BB106" i="9"/>
  <c r="BB105" i="9"/>
  <c r="BB95" i="9"/>
  <c r="BB92" i="9"/>
  <c r="BB88" i="9"/>
  <c r="BB70" i="9"/>
  <c r="BB69" i="9"/>
  <c r="BB68" i="9"/>
  <c r="BB67" i="9"/>
  <c r="BB66" i="9"/>
  <c r="BB65" i="9"/>
  <c r="BB64" i="9"/>
  <c r="BB63" i="9"/>
  <c r="BB61" i="9"/>
  <c r="BB59" i="9"/>
  <c r="BB58" i="9"/>
  <c r="BB56" i="9"/>
  <c r="BB55" i="9"/>
  <c r="BB45" i="9"/>
  <c r="BB44" i="9"/>
  <c r="BB43" i="9"/>
  <c r="BB42" i="9"/>
  <c r="BB41" i="9"/>
  <c r="BB40" i="9"/>
  <c r="BB39" i="9"/>
  <c r="BB38" i="9"/>
  <c r="BA38" i="9"/>
  <c r="BB33" i="9"/>
  <c r="BB32" i="9"/>
  <c r="BB30" i="9"/>
  <c r="BB29" i="9"/>
  <c r="BA29" i="9"/>
  <c r="BB27" i="9"/>
  <c r="BB24" i="9"/>
  <c r="BB23" i="9"/>
  <c r="BB22" i="9"/>
  <c r="BB20" i="9"/>
  <c r="BA20" i="9"/>
  <c r="BB18" i="9"/>
  <c r="BB17" i="9"/>
  <c r="BB16" i="9"/>
  <c r="BB15" i="9"/>
  <c r="BA15" i="9"/>
  <c r="BB13" i="9"/>
  <c r="BB12" i="9"/>
  <c r="BB11" i="9"/>
  <c r="BB9" i="9"/>
  <c r="BB136" i="9" s="1"/>
  <c r="BB8" i="9"/>
  <c r="BB135" i="9" s="1"/>
  <c r="BB7" i="9"/>
  <c r="BB2" i="9"/>
  <c r="BA2" i="9"/>
  <c r="BA103" i="9" s="1"/>
  <c r="BB62" i="36" l="1"/>
  <c r="BB198" i="6"/>
  <c r="CP63" i="71"/>
  <c r="BB93" i="9"/>
  <c r="BB101" i="9"/>
  <c r="BB46" i="9"/>
  <c r="BB34" i="9"/>
  <c r="BB35" i="9"/>
  <c r="BB31" i="9"/>
  <c r="BB138" i="9"/>
  <c r="BB25" i="9"/>
  <c r="BB51" i="9"/>
  <c r="BB10" i="9"/>
  <c r="BB139" i="9"/>
  <c r="BB137" i="9"/>
  <c r="BB134" i="9"/>
  <c r="BB36" i="9"/>
  <c r="BC113" i="7"/>
  <c r="BA113" i="7"/>
  <c r="BC112" i="7"/>
  <c r="BA112" i="7"/>
  <c r="BC111" i="7"/>
  <c r="BA111" i="7"/>
  <c r="BC110" i="7"/>
  <c r="BA110" i="7"/>
  <c r="BC109" i="7"/>
  <c r="BA109" i="7"/>
  <c r="BC108" i="7"/>
  <c r="BA108" i="7"/>
  <c r="BC107" i="7"/>
  <c r="BA107" i="7"/>
  <c r="BC106" i="7"/>
  <c r="BA106" i="7"/>
  <c r="BC85" i="7"/>
  <c r="BA85" i="7"/>
  <c r="BB74" i="7"/>
  <c r="BA74" i="7"/>
  <c r="BB72" i="7"/>
  <c r="BA72" i="7"/>
  <c r="BB68" i="7"/>
  <c r="BB66" i="7"/>
  <c r="BA66" i="7"/>
  <c r="BB65" i="7"/>
  <c r="BA65" i="7"/>
  <c r="BB50" i="7"/>
  <c r="BA50" i="7"/>
  <c r="BB48" i="7"/>
  <c r="BA48" i="7"/>
  <c r="BB47" i="7"/>
  <c r="BA47" i="7"/>
  <c r="BB46" i="7"/>
  <c r="BA46" i="7"/>
  <c r="BB45" i="7"/>
  <c r="BA45" i="7"/>
  <c r="BB44" i="7"/>
  <c r="BA44" i="7"/>
  <c r="BB43" i="7"/>
  <c r="BA43" i="7"/>
  <c r="BB42" i="7"/>
  <c r="BA42" i="7"/>
  <c r="BB2" i="7"/>
  <c r="BA2" i="7"/>
  <c r="BE113" i="7"/>
  <c r="BE112" i="7"/>
  <c r="BE111" i="7"/>
  <c r="BE110" i="7"/>
  <c r="BE109" i="7"/>
  <c r="BE108" i="7"/>
  <c r="BE107" i="7"/>
  <c r="BE106" i="7"/>
  <c r="BE85" i="7"/>
  <c r="AZ1" i="7"/>
  <c r="AZ80" i="7" s="1"/>
  <c r="AY1" i="7"/>
  <c r="AY80" i="7" s="1"/>
  <c r="BA161" i="7" l="1"/>
  <c r="BB161" i="7"/>
  <c r="BA67" i="7"/>
  <c r="BA56" i="7" s="1"/>
  <c r="BA101" i="7" s="1"/>
  <c r="BB37" i="9"/>
  <c r="BB75" i="7"/>
  <c r="BB67" i="7"/>
  <c r="BB60" i="7" s="1"/>
  <c r="BB172" i="6"/>
  <c r="BB173" i="6"/>
  <c r="BB175" i="6"/>
  <c r="BA75" i="7"/>
  <c r="BA59" i="7" l="1"/>
  <c r="BB26" i="7"/>
  <c r="BB24" i="7"/>
  <c r="BB36" i="7"/>
  <c r="BB99" i="7" s="1"/>
  <c r="BB34" i="7"/>
  <c r="BB97" i="7" s="1"/>
  <c r="BB25" i="7"/>
  <c r="BB29" i="7"/>
  <c r="BB93" i="7" s="1"/>
  <c r="BE33" i="59" s="1"/>
  <c r="BB27" i="7"/>
  <c r="BB91" i="7" s="1"/>
  <c r="BB35" i="7"/>
  <c r="BB98" i="7" s="1"/>
  <c r="BB37" i="7"/>
  <c r="BB100" i="7" s="1"/>
  <c r="BB31" i="7"/>
  <c r="BE34" i="59" s="1"/>
  <c r="BB23" i="7"/>
  <c r="BB87" i="7" s="1"/>
  <c r="BE29" i="59" s="1"/>
  <c r="BB28" i="7"/>
  <c r="BB92" i="7" s="1"/>
  <c r="BB32" i="7"/>
  <c r="BB95" i="7" s="1"/>
  <c r="BB33" i="7"/>
  <c r="BB96" i="7" s="1"/>
  <c r="BB61" i="7"/>
  <c r="BB102" i="7" s="1"/>
  <c r="BA33" i="7"/>
  <c r="BA96" i="7" s="1"/>
  <c r="BA37" i="7"/>
  <c r="BA100" i="7" s="1"/>
  <c r="BA34" i="7"/>
  <c r="BA97" i="7" s="1"/>
  <c r="BA27" i="7"/>
  <c r="BA91" i="7" s="1"/>
  <c r="BA23" i="7"/>
  <c r="BA87" i="7" s="1"/>
  <c r="BA24" i="7"/>
  <c r="BA31" i="7"/>
  <c r="BA29" i="7"/>
  <c r="BA93" i="7" s="1"/>
  <c r="BA26" i="7"/>
  <c r="BA32" i="7"/>
  <c r="BA95" i="7" s="1"/>
  <c r="BA25" i="7"/>
  <c r="BA28" i="7"/>
  <c r="BA92" i="7" s="1"/>
  <c r="BA35" i="7"/>
  <c r="BA98" i="7" s="1"/>
  <c r="BA36" i="7"/>
  <c r="BA99" i="7" s="1"/>
  <c r="BA61" i="7"/>
  <c r="BA102" i="7" s="1"/>
  <c r="BB58" i="7"/>
  <c r="BA60" i="7"/>
  <c r="BB57" i="7"/>
  <c r="BB90" i="7" s="1"/>
  <c r="BE32" i="59" s="1"/>
  <c r="BA57" i="7"/>
  <c r="BA55" i="7"/>
  <c r="BA89" i="7" s="1"/>
  <c r="BB59" i="7"/>
  <c r="BB62" i="7"/>
  <c r="BA58" i="7"/>
  <c r="BB55" i="7"/>
  <c r="BA62" i="7"/>
  <c r="BB54" i="7"/>
  <c r="BB56" i="7"/>
  <c r="BB101" i="7" s="1"/>
  <c r="BA54" i="7"/>
  <c r="BA81" i="7"/>
  <c r="BD28" i="59" s="1"/>
  <c r="BE22" i="59"/>
  <c r="BB76" i="7"/>
  <c r="BA76" i="7"/>
  <c r="BB78" i="7"/>
  <c r="BA78" i="7"/>
  <c r="BB69" i="7"/>
  <c r="BB81" i="7"/>
  <c r="BE28" i="59" s="1"/>
  <c r="BA175" i="6"/>
  <c r="BA173" i="6"/>
  <c r="BA172" i="6"/>
  <c r="BB174" i="6"/>
  <c r="BB88" i="7" l="1"/>
  <c r="BA90" i="7"/>
  <c r="BD32" i="59" s="1"/>
  <c r="BA88" i="7"/>
  <c r="BB89" i="7"/>
  <c r="BB8" i="36"/>
  <c r="BE9" i="59" s="1"/>
  <c r="BE30" i="59"/>
  <c r="BE31" i="59"/>
  <c r="BA174" i="6"/>
  <c r="BB98" i="8" l="1"/>
  <c r="BB93" i="8"/>
  <c r="BB85" i="8"/>
  <c r="BA73" i="8"/>
  <c r="BA61" i="8"/>
  <c r="BB60" i="8"/>
  <c r="BB33" i="8"/>
  <c r="BB152" i="8" s="1"/>
  <c r="BA33" i="8"/>
  <c r="BB31" i="8"/>
  <c r="BB156" i="8" s="1"/>
  <c r="BB30" i="8"/>
  <c r="BB157" i="8" s="1"/>
  <c r="BB29" i="8"/>
  <c r="BB155" i="8" s="1"/>
  <c r="BB28" i="8"/>
  <c r="BB27" i="8"/>
  <c r="BB154" i="8" s="1"/>
  <c r="BB25" i="8"/>
  <c r="BB153" i="8" s="1"/>
  <c r="BB24" i="8"/>
  <c r="BB151" i="8" s="1"/>
  <c r="BB23" i="8"/>
  <c r="BB150" i="8" s="1"/>
  <c r="BB20" i="8"/>
  <c r="BA20" i="8"/>
  <c r="BB19" i="8"/>
  <c r="BA19" i="8"/>
  <c r="BB18" i="8"/>
  <c r="BA18" i="8"/>
  <c r="BB10" i="8"/>
  <c r="BA10" i="8"/>
  <c r="BB9" i="8"/>
  <c r="BA9" i="8"/>
  <c r="BB8" i="8"/>
  <c r="BA8" i="8"/>
  <c r="BB6" i="8"/>
  <c r="BB2" i="8"/>
  <c r="BA2" i="8"/>
  <c r="BE81" i="8"/>
  <c r="BH44" i="59" s="1"/>
  <c r="BE73" i="8"/>
  <c r="BE52" i="8"/>
  <c r="BH41" i="59" s="1"/>
  <c r="BB149" i="8" l="1"/>
  <c r="AZ8" i="15"/>
  <c r="BB90" i="8"/>
  <c r="BA8" i="15"/>
  <c r="BB88" i="8"/>
  <c r="BB89" i="8"/>
  <c r="BB40" i="8"/>
  <c r="BB46" i="8"/>
  <c r="BB81" i="8"/>
  <c r="BE44" i="59" s="1"/>
  <c r="BB87" i="8"/>
  <c r="BB43" i="8"/>
  <c r="BB41" i="8"/>
  <c r="BB26" i="8"/>
  <c r="BB39" i="8"/>
  <c r="BB45" i="8"/>
  <c r="BB44" i="8"/>
  <c r="BB47" i="8"/>
  <c r="BB83" i="8"/>
  <c r="BB84" i="8"/>
  <c r="BB82" i="8"/>
  <c r="BE51" i="59" s="1"/>
  <c r="BB86" i="8"/>
  <c r="BB109" i="8"/>
  <c r="BB110" i="8" s="1"/>
  <c r="BE45" i="59" l="1"/>
  <c r="BB136" i="8"/>
  <c r="BE46" i="59"/>
  <c r="BB138" i="8"/>
  <c r="BE47" i="59"/>
  <c r="BB137" i="8"/>
  <c r="BB10" i="49"/>
  <c r="BD10" i="49" s="1"/>
  <c r="BE50" i="59"/>
  <c r="BE49" i="59"/>
  <c r="BB42" i="8"/>
  <c r="BB52" i="8"/>
  <c r="BB111" i="8"/>
  <c r="BB112" i="8" s="1"/>
  <c r="BB53" i="8" s="1"/>
  <c r="BE48" i="59" l="1"/>
  <c r="BE41" i="59"/>
  <c r="BB121" i="8"/>
  <c r="BB139" i="8"/>
  <c r="BE42" i="59"/>
  <c r="BE43" i="59" s="1"/>
  <c r="BB123" i="8"/>
  <c r="BB12" i="49"/>
  <c r="BD12" i="49" s="1"/>
  <c r="BB27" i="21"/>
  <c r="BB26" i="21"/>
  <c r="BB23" i="21"/>
  <c r="BB22" i="21"/>
  <c r="BB19" i="21"/>
  <c r="BB17" i="21"/>
  <c r="BB16" i="21"/>
  <c r="BB11" i="21"/>
  <c r="BA11" i="21"/>
  <c r="BB10" i="21"/>
  <c r="BA10" i="21"/>
  <c r="BB9" i="21"/>
  <c r="BA9" i="21"/>
  <c r="BB8" i="21"/>
  <c r="BA8" i="21"/>
  <c r="BB7" i="21"/>
  <c r="BA7" i="21"/>
  <c r="BB6" i="21"/>
  <c r="BA6" i="21"/>
  <c r="BB2" i="21"/>
  <c r="BA2" i="21"/>
  <c r="BB122" i="8" l="1"/>
  <c r="BB124" i="8"/>
  <c r="BB126" i="8"/>
  <c r="BB127" i="8" s="1"/>
  <c r="BB14" i="49"/>
  <c r="BB28" i="21"/>
  <c r="BB24" i="21"/>
  <c r="BB25" i="21" s="1"/>
  <c r="BB12" i="21"/>
  <c r="BA12" i="21"/>
  <c r="BA22" i="21" l="1"/>
  <c r="BA555" i="28"/>
  <c r="BA556" i="28"/>
  <c r="BB132" i="8"/>
  <c r="BB145" i="8" s="1"/>
  <c r="BB130" i="8"/>
  <c r="BB131" i="8"/>
  <c r="BB144" i="8" s="1"/>
  <c r="BB15" i="49"/>
  <c r="BE45" i="35"/>
  <c r="BE44" i="35"/>
  <c r="BE43" i="35"/>
  <c r="AZ124" i="90"/>
  <c r="AZ126" i="90" s="1"/>
  <c r="BB121" i="45"/>
  <c r="BB14" i="35"/>
  <c r="BB9" i="6"/>
  <c r="BB9" i="35"/>
  <c r="BB8" i="6" s="1"/>
  <c r="BB2" i="35"/>
  <c r="BA2" i="35"/>
  <c r="BB143" i="8" l="1"/>
  <c r="BB133" i="8"/>
  <c r="BB146" i="8" s="1"/>
  <c r="BB120" i="45"/>
  <c r="BA7" i="35"/>
  <c r="BA6" i="35"/>
  <c r="BB6" i="35"/>
  <c r="BB7" i="35"/>
  <c r="BB16" i="49"/>
  <c r="AZ18" i="15"/>
  <c r="BA5" i="9"/>
  <c r="BA18" i="15"/>
  <c r="BA56" i="11"/>
  <c r="AZ9" i="15"/>
  <c r="BB123" i="45"/>
  <c r="BD71" i="59" s="1"/>
  <c r="BB144" i="45"/>
  <c r="BD73" i="59" s="1"/>
  <c r="BB124" i="45"/>
  <c r="BA159" i="10"/>
  <c r="BB10" i="36"/>
  <c r="BB12" i="36"/>
  <c r="BB11" i="36"/>
  <c r="BA9" i="15"/>
  <c r="BB97" i="11"/>
  <c r="BB70" i="36"/>
  <c r="BB5" i="9"/>
  <c r="BB5" i="36"/>
  <c r="BB36" i="35"/>
  <c r="BB26" i="35"/>
  <c r="BA33" i="35"/>
  <c r="BB33" i="35"/>
  <c r="BB11" i="35"/>
  <c r="BB10" i="6" s="1"/>
  <c r="BA1" i="35"/>
  <c r="BA21" i="35" s="1"/>
  <c r="BA26" i="9" s="1"/>
  <c r="BA26" i="35"/>
  <c r="BB13" i="35"/>
  <c r="BA36" i="35"/>
  <c r="BE37" i="59" l="1"/>
  <c r="BE38" i="59"/>
  <c r="BE36" i="59"/>
  <c r="BA203" i="10"/>
  <c r="BB19" i="49"/>
  <c r="BA158" i="10"/>
  <c r="BA178" i="10"/>
  <c r="BD65" i="59" s="1"/>
  <c r="BA161" i="10"/>
  <c r="BD63" i="59" s="1"/>
  <c r="BA34" i="22"/>
  <c r="AZ130" i="26"/>
  <c r="BA89" i="9"/>
  <c r="BA97" i="11"/>
  <c r="BA79" i="11"/>
  <c r="BD69" i="59" s="1"/>
  <c r="BA55" i="11"/>
  <c r="BA58" i="11"/>
  <c r="BB13" i="49"/>
  <c r="BE6" i="59"/>
  <c r="BB34" i="22"/>
  <c r="BA130" i="26"/>
  <c r="BE59" i="59"/>
  <c r="BB37" i="35"/>
  <c r="BC98" i="50" s="1"/>
  <c r="BC96" i="50" s="1"/>
  <c r="BB73" i="9"/>
  <c r="BB89" i="9"/>
  <c r="BB76" i="9"/>
  <c r="BB72" i="9"/>
  <c r="BB75" i="9"/>
  <c r="BB78" i="9"/>
  <c r="BB96" i="9"/>
  <c r="BB94" i="9"/>
  <c r="BA37" i="35"/>
  <c r="BB15" i="35"/>
  <c r="BB49" i="35"/>
  <c r="BA125" i="26" l="1"/>
  <c r="BA117" i="26"/>
  <c r="BA114" i="26"/>
  <c r="BA124" i="26"/>
  <c r="BA121" i="26"/>
  <c r="BA119" i="26"/>
  <c r="BA118" i="26"/>
  <c r="BA123" i="26"/>
  <c r="BA116" i="26"/>
  <c r="BA126" i="26"/>
  <c r="BA122" i="26"/>
  <c r="BA120" i="26"/>
  <c r="BA115" i="26"/>
  <c r="BA127" i="26"/>
  <c r="AZ114" i="26"/>
  <c r="AZ115" i="26"/>
  <c r="AZ121" i="26"/>
  <c r="AZ126" i="26"/>
  <c r="AZ123" i="26"/>
  <c r="AZ119" i="26"/>
  <c r="AZ127" i="26"/>
  <c r="AZ122" i="26"/>
  <c r="AZ120" i="26"/>
  <c r="AZ125" i="26"/>
  <c r="AZ116" i="26"/>
  <c r="AZ117" i="26"/>
  <c r="AZ118" i="26"/>
  <c r="AZ124" i="26"/>
  <c r="AZ15" i="36"/>
  <c r="AN160" i="10"/>
  <c r="BA19" i="15"/>
  <c r="BA8" i="35"/>
  <c r="BA5" i="6"/>
  <c r="BA98" i="6" s="1"/>
  <c r="BA104" i="6" s="1"/>
  <c r="BA106" i="6" s="1"/>
  <c r="BA6" i="6"/>
  <c r="BA16" i="6" s="1"/>
  <c r="BB55" i="35"/>
  <c r="BA128" i="26" l="1"/>
  <c r="AZ128" i="26"/>
  <c r="BC52" i="59"/>
  <c r="BA7" i="6"/>
  <c r="BA15" i="6"/>
  <c r="BQ71" i="36" l="1"/>
  <c r="BO71" i="36"/>
  <c r="BN71" i="36"/>
  <c r="F21" i="35"/>
  <c r="AN3" i="8"/>
  <c r="BD3" i="8" s="1"/>
  <c r="AR26" i="9" l="1"/>
  <c r="AX3" i="8"/>
  <c r="BF3" i="8" s="1"/>
  <c r="N3" i="8"/>
  <c r="R3" i="8" s="1"/>
  <c r="V3" i="8" s="1"/>
  <c r="Z3" i="8"/>
  <c r="BB1" i="35"/>
  <c r="BB21" i="35" s="1"/>
  <c r="BB26" i="9" s="1"/>
  <c r="E21" i="35"/>
  <c r="AB3" i="8" l="1"/>
  <c r="AF3" i="8" l="1"/>
  <c r="AJ3" i="8" s="1"/>
  <c r="AP3" i="8" s="1"/>
  <c r="AT3" i="8" l="1"/>
  <c r="BB123" i="10" l="1"/>
  <c r="BD123" i="10" l="1"/>
  <c r="BF145" i="10" l="1"/>
  <c r="J160" i="10"/>
  <c r="BB146" i="10"/>
  <c r="BF147" i="10"/>
  <c r="BD146" i="10" l="1"/>
  <c r="BD160" i="10"/>
  <c r="BB160" i="10"/>
  <c r="N160" i="10"/>
  <c r="BF148" i="10"/>
  <c r="BF144" i="10"/>
  <c r="AD11" i="38"/>
  <c r="AR11" i="38"/>
  <c r="AQ24" i="50" l="1"/>
  <c r="AU24" i="50" s="1"/>
  <c r="AY24" i="50" s="1"/>
  <c r="BG24" i="50" s="1"/>
  <c r="V160" i="10"/>
  <c r="BH11" i="38"/>
  <c r="AF11" i="38"/>
  <c r="AJ11" i="38" s="1"/>
  <c r="AN11" i="38" s="1"/>
  <c r="BB192" i="10"/>
  <c r="BB184" i="10"/>
  <c r="BD184" i="10"/>
  <c r="BD192" i="10"/>
  <c r="AT11" i="38" l="1"/>
  <c r="AX11" i="38" s="1"/>
  <c r="BB11" i="38" s="1"/>
  <c r="V184" i="10"/>
  <c r="V192" i="10"/>
  <c r="BJ11" i="38" l="1"/>
  <c r="BC83" i="73"/>
  <c r="BE83" i="73"/>
  <c r="BC84" i="73"/>
  <c r="BC85" i="73"/>
  <c r="AS42" i="73"/>
  <c r="BC42" i="73"/>
  <c r="BC44" i="73"/>
  <c r="AW42" i="73" l="1"/>
  <c r="BE42" i="73" l="1"/>
  <c r="AV16" i="61"/>
  <c r="AV16" i="52"/>
  <c r="AU16" i="52"/>
  <c r="AV9" i="52"/>
  <c r="AU9" i="52"/>
  <c r="AV17" i="52" l="1"/>
  <c r="AU17" i="52"/>
  <c r="BA68" i="90" l="1"/>
  <c r="BA21" i="8"/>
  <c r="AV1" i="7"/>
  <c r="AV80" i="7" s="1"/>
  <c r="AU1" i="7"/>
  <c r="AU80" i="7" s="1"/>
  <c r="BA6" i="49" l="1"/>
  <c r="BC6" i="49" s="1"/>
  <c r="BA8" i="49"/>
  <c r="BC8" i="49" s="1"/>
  <c r="BA17" i="49"/>
  <c r="BC17" i="49" s="1"/>
  <c r="BA9" i="49" l="1"/>
  <c r="BC9" i="49" s="1"/>
  <c r="BA18" i="49"/>
  <c r="BC18" i="49" s="1"/>
  <c r="BA10" i="49"/>
  <c r="BC10" i="49" s="1"/>
  <c r="BA12" i="49" l="1"/>
  <c r="BC12" i="49" s="1"/>
  <c r="BA14" i="49" l="1"/>
  <c r="BA15" i="49" l="1"/>
  <c r="BA16" i="49" l="1"/>
  <c r="AV179" i="73"/>
  <c r="AT179" i="73"/>
  <c r="AV134" i="73"/>
  <c r="AT134" i="73"/>
  <c r="AV130" i="73"/>
  <c r="AT130" i="73"/>
  <c r="AV126" i="73"/>
  <c r="AT126" i="73"/>
  <c r="AV106" i="73"/>
  <c r="AV118" i="73" s="1"/>
  <c r="AT8" i="73"/>
  <c r="AT6" i="73" s="1"/>
  <c r="AX37" i="36"/>
  <c r="AW37" i="36"/>
  <c r="AV137" i="73" l="1"/>
  <c r="AT137" i="73"/>
  <c r="BA19" i="49"/>
  <c r="AW72" i="36" l="1"/>
  <c r="AW71" i="36"/>
  <c r="AW69" i="36"/>
  <c r="AW67" i="36"/>
  <c r="AW66" i="36"/>
  <c r="AW29" i="36"/>
  <c r="AW28" i="36"/>
  <c r="AW27" i="36"/>
  <c r="AW23" i="36"/>
  <c r="AW22" i="36"/>
  <c r="AZ67" i="59" s="1"/>
  <c r="AW21" i="36"/>
  <c r="AW17" i="36"/>
  <c r="AZ54" i="59" s="1"/>
  <c r="AW16" i="36"/>
  <c r="AZ53" i="59" s="1"/>
  <c r="AW9" i="36"/>
  <c r="AZ10" i="59" s="1"/>
  <c r="AW8" i="36"/>
  <c r="AZ9" i="59" s="1"/>
  <c r="AW7" i="36"/>
  <c r="AZ8" i="59" s="1"/>
  <c r="AW5" i="36"/>
  <c r="AV5" i="15" l="1"/>
  <c r="AZ77" i="59"/>
  <c r="AV6" i="15"/>
  <c r="AZ78" i="59"/>
  <c r="AV7" i="15"/>
  <c r="AZ79" i="59"/>
  <c r="AW13" i="49"/>
  <c r="AZ6" i="59"/>
  <c r="AW68" i="36"/>
  <c r="BB103" i="9" l="1"/>
  <c r="BB199" i="10" l="1"/>
  <c r="BB158" i="10"/>
  <c r="BB159" i="10"/>
  <c r="AW114" i="7"/>
  <c r="AX114" i="7"/>
  <c r="AW115" i="7"/>
  <c r="AX115" i="7"/>
  <c r="AW116" i="7"/>
  <c r="AX116" i="7"/>
  <c r="AW117" i="7"/>
  <c r="AX117" i="7"/>
  <c r="AW118" i="7"/>
  <c r="AX118" i="7"/>
  <c r="AW119" i="7"/>
  <c r="AX119" i="7"/>
  <c r="AW120" i="7"/>
  <c r="AX120" i="7"/>
  <c r="AW121" i="7"/>
  <c r="AX121" i="7"/>
  <c r="AW122" i="7"/>
  <c r="AX122" i="7"/>
  <c r="AW123" i="7"/>
  <c r="AX123" i="7"/>
  <c r="AW124" i="7"/>
  <c r="AX124" i="7"/>
  <c r="AW125" i="7"/>
  <c r="AX125" i="7"/>
  <c r="AW126" i="7"/>
  <c r="AX126" i="7"/>
  <c r="AW127" i="7"/>
  <c r="AX127" i="7"/>
  <c r="AW128" i="7"/>
  <c r="AX128" i="7"/>
  <c r="AW129" i="7"/>
  <c r="AX129" i="7"/>
  <c r="AW130" i="7"/>
  <c r="AX130" i="7"/>
  <c r="AW131" i="7"/>
  <c r="AX131" i="7"/>
  <c r="AW132" i="7"/>
  <c r="AX132" i="7"/>
  <c r="AW133" i="7"/>
  <c r="AX133" i="7"/>
  <c r="AW134" i="7"/>
  <c r="AX134" i="7"/>
  <c r="AW135" i="7"/>
  <c r="AX135" i="7"/>
  <c r="AW136" i="7"/>
  <c r="AX136" i="7"/>
  <c r="AW137" i="7"/>
  <c r="AX137" i="7"/>
  <c r="AW138" i="7"/>
  <c r="AX138" i="7"/>
  <c r="AW139" i="7"/>
  <c r="AX139" i="7"/>
  <c r="AW140" i="7"/>
  <c r="AX140" i="7"/>
  <c r="AW141" i="7"/>
  <c r="AX141" i="7"/>
  <c r="AW142" i="7"/>
  <c r="AX142" i="7"/>
  <c r="AW143" i="7"/>
  <c r="AX143" i="7"/>
  <c r="AW144" i="7"/>
  <c r="AX144" i="7"/>
  <c r="AW145" i="7"/>
  <c r="AX145" i="7"/>
  <c r="AW146" i="7"/>
  <c r="AX146" i="7"/>
  <c r="AW147" i="7"/>
  <c r="AX147" i="7"/>
  <c r="AW148" i="7"/>
  <c r="AX148" i="7"/>
  <c r="AW149" i="7"/>
  <c r="AX149" i="7"/>
  <c r="AW150" i="7"/>
  <c r="AX150" i="7"/>
  <c r="AW151" i="7"/>
  <c r="AX151" i="7"/>
  <c r="AW152" i="7"/>
  <c r="AX152" i="7"/>
  <c r="AW153" i="7"/>
  <c r="AX153" i="7"/>
  <c r="AW154" i="7"/>
  <c r="AX154" i="7"/>
  <c r="BB163" i="10" l="1"/>
  <c r="BB203" i="10"/>
  <c r="BB161" i="10"/>
  <c r="BB200" i="10"/>
  <c r="BB178" i="10"/>
  <c r="BE65" i="59" s="1"/>
  <c r="BB191" i="10"/>
  <c r="BB196" i="10"/>
  <c r="BB193" i="10" l="1"/>
  <c r="BB21" i="36"/>
  <c r="BE63" i="59"/>
  <c r="BA37" i="27"/>
  <c r="BA35" i="27"/>
  <c r="BA27" i="27"/>
  <c r="BA29" i="27"/>
  <c r="BA28" i="27"/>
  <c r="BA21" i="27"/>
  <c r="BA20" i="27"/>
  <c r="BA19" i="27"/>
  <c r="BA18" i="27"/>
  <c r="BA24" i="27" l="1"/>
  <c r="AS70" i="36" l="1"/>
  <c r="AO70" i="36"/>
  <c r="AA70" i="36"/>
  <c r="Y70" i="36"/>
  <c r="M70" i="36"/>
  <c r="E70" i="36"/>
  <c r="AT16" i="61" l="1"/>
  <c r="AR16" i="61"/>
  <c r="AR16" i="52"/>
  <c r="AQ16" i="52"/>
  <c r="AR9" i="52"/>
  <c r="AQ9" i="52"/>
  <c r="BA94" i="26"/>
  <c r="AZ110" i="26"/>
  <c r="AZ108" i="26"/>
  <c r="AZ106" i="26"/>
  <c r="AZ104" i="26"/>
  <c r="AZ102" i="26"/>
  <c r="AZ100" i="26"/>
  <c r="AZ98" i="26"/>
  <c r="AZ96" i="26"/>
  <c r="AZ57" i="17" s="1"/>
  <c r="AZ78" i="26"/>
  <c r="AZ71" i="26"/>
  <c r="AZ69" i="26"/>
  <c r="AZ67" i="26"/>
  <c r="AZ65" i="26"/>
  <c r="AZ63" i="26"/>
  <c r="AZ61" i="26"/>
  <c r="AZ55" i="17" s="1"/>
  <c r="AZ59" i="26"/>
  <c r="BA192" i="6" s="1"/>
  <c r="AZ57" i="26"/>
  <c r="BA89" i="8" s="1"/>
  <c r="AZ52" i="26"/>
  <c r="AZ50" i="26"/>
  <c r="BA55" i="26"/>
  <c r="AZ41" i="26"/>
  <c r="AZ39" i="26"/>
  <c r="AZ37" i="26"/>
  <c r="AZ35" i="26"/>
  <c r="AZ33" i="26"/>
  <c r="AZ31" i="26"/>
  <c r="AZ29" i="26"/>
  <c r="AZ27" i="26"/>
  <c r="AZ54" i="17" s="1"/>
  <c r="AZ25" i="26"/>
  <c r="BA88" i="8" s="1"/>
  <c r="AZ23" i="26"/>
  <c r="BA191" i="6" s="1"/>
  <c r="AZ21" i="26"/>
  <c r="BA166" i="6" s="1"/>
  <c r="AZ17" i="26"/>
  <c r="AZ15" i="26"/>
  <c r="AZ11" i="26"/>
  <c r="AZ9" i="26"/>
  <c r="BB10" i="22" l="1"/>
  <c r="BB12" i="22" s="1"/>
  <c r="BB25" i="22"/>
  <c r="BB27" i="22" s="1"/>
  <c r="AZ112" i="26"/>
  <c r="AZ76" i="26"/>
  <c r="AZ73" i="26"/>
  <c r="AZ55" i="26"/>
  <c r="AZ46" i="26"/>
  <c r="AZ43" i="26"/>
  <c r="AZ12" i="26"/>
  <c r="AZ19" i="26" s="1"/>
  <c r="AR17" i="52"/>
  <c r="AQ17" i="52"/>
  <c r="BA7" i="26"/>
  <c r="BA45" i="26"/>
  <c r="AZ81" i="26" l="1"/>
  <c r="AZ80" i="26"/>
  <c r="AZ83" i="26"/>
  <c r="AZ56" i="17" s="1"/>
  <c r="AZ48" i="26"/>
  <c r="AZ18" i="26"/>
  <c r="AZ13" i="26"/>
  <c r="AZ92" i="26" l="1"/>
  <c r="AZ49" i="26"/>
  <c r="AZ54" i="26"/>
  <c r="BA58" i="17" l="1"/>
  <c r="AZ58" i="17"/>
  <c r="AZ31" i="17"/>
  <c r="BA61" i="17"/>
  <c r="AZ28" i="17"/>
  <c r="AZ22" i="17"/>
  <c r="AZ23" i="17" s="1"/>
  <c r="AZ18" i="17"/>
  <c r="AZ19" i="17" s="1"/>
  <c r="AZ16" i="17"/>
  <c r="AZ17" i="17" s="1"/>
  <c r="AZ14" i="17"/>
  <c r="AZ29" i="17" l="1"/>
  <c r="AZ32" i="17" s="1"/>
  <c r="AZ15" i="17"/>
  <c r="AZ21" i="17" s="1"/>
  <c r="AZ20" i="17"/>
  <c r="BA22" i="17"/>
  <c r="AZ30" i="17" l="1"/>
  <c r="AZ61" i="17"/>
  <c r="AZ24" i="17"/>
  <c r="AZ25" i="17"/>
  <c r="BA23" i="17"/>
  <c r="BA24" i="17"/>
  <c r="BA25" i="17" s="1"/>
  <c r="BA36" i="27"/>
  <c r="BA39" i="27" s="1"/>
  <c r="BA26" i="27"/>
  <c r="BA33" i="27" s="1"/>
  <c r="BA30" i="15"/>
  <c r="BA25" i="15"/>
  <c r="BA24" i="15"/>
  <c r="BA23" i="15"/>
  <c r="BA22" i="15"/>
  <c r="BA21" i="15"/>
  <c r="BA15" i="15"/>
  <c r="BA31" i="15" l="1"/>
  <c r="AZ12" i="15"/>
  <c r="BA29" i="15"/>
  <c r="AZ13" i="15" l="1"/>
  <c r="BA32" i="15"/>
  <c r="AZ16" i="15"/>
  <c r="AZ15" i="15"/>
  <c r="BC4" i="61"/>
  <c r="BC13" i="61"/>
  <c r="BC14" i="61"/>
  <c r="BC15" i="61"/>
  <c r="AO48" i="72"/>
  <c r="AO40" i="72"/>
  <c r="AY40" i="72" s="1"/>
  <c r="AO20" i="72"/>
  <c r="AY20" i="72" s="1"/>
  <c r="B62" i="9"/>
  <c r="B79" i="9"/>
  <c r="D56" i="59"/>
  <c r="D78" i="9"/>
  <c r="D75" i="9"/>
  <c r="G75" i="9" l="1"/>
  <c r="E75" i="9"/>
  <c r="G78" i="9"/>
  <c r="G61" i="9" s="1"/>
  <c r="E78" i="9"/>
  <c r="AY48" i="72"/>
  <c r="AO51" i="72"/>
  <c r="D55" i="9"/>
  <c r="BA36" i="15"/>
  <c r="BA16" i="15"/>
  <c r="G77" i="9" l="1"/>
  <c r="G58" i="9"/>
  <c r="G60" i="9" s="1"/>
  <c r="G62" i="9" s="1"/>
  <c r="AO53" i="72"/>
  <c r="AY51" i="72"/>
  <c r="AY53" i="72" s="1"/>
  <c r="BC16" i="61"/>
  <c r="BA17" i="15"/>
  <c r="BC157" i="45"/>
  <c r="BC143" i="45"/>
  <c r="BB143" i="45"/>
  <c r="BC141" i="45"/>
  <c r="BB141" i="45"/>
  <c r="BC140" i="45"/>
  <c r="BB140" i="45"/>
  <c r="BB137" i="45"/>
  <c r="BB78" i="11"/>
  <c r="BA78" i="11"/>
  <c r="BB76" i="11"/>
  <c r="BA76" i="11"/>
  <c r="BB75" i="11"/>
  <c r="BA75" i="11"/>
  <c r="BA72" i="11"/>
  <c r="BA66" i="11"/>
  <c r="BA67" i="11" s="1"/>
  <c r="BB177" i="10"/>
  <c r="BA177" i="10"/>
  <c r="BB175" i="10"/>
  <c r="BA175" i="10"/>
  <c r="BB174" i="10"/>
  <c r="BA174" i="10"/>
  <c r="BA171" i="10"/>
  <c r="BB66" i="11" l="1"/>
  <c r="BB67" i="11" s="1"/>
  <c r="BB73" i="11"/>
  <c r="BB74" i="11" s="1"/>
  <c r="BA165" i="10"/>
  <c r="BB165" i="10"/>
  <c r="BB131" i="45"/>
  <c r="BC131" i="45"/>
  <c r="BC138" i="45"/>
  <c r="BC139" i="45" s="1"/>
  <c r="BB172" i="10"/>
  <c r="BA166" i="10" l="1"/>
  <c r="BB166" i="10"/>
  <c r="BB173" i="10"/>
  <c r="BB132" i="45"/>
  <c r="BC132" i="45"/>
  <c r="AU52" i="38" l="1"/>
  <c r="AV51" i="38"/>
  <c r="AU51" i="38"/>
  <c r="BE46" i="38"/>
  <c r="BE94" i="38" s="1"/>
  <c r="BE45" i="38"/>
  <c r="BE93" i="38" s="1"/>
  <c r="BE44" i="38"/>
  <c r="BE92" i="38" s="1"/>
  <c r="BE43" i="38"/>
  <c r="BE91" i="38" s="1"/>
  <c r="BF40" i="38"/>
  <c r="BF88" i="38" s="1"/>
  <c r="BE38" i="38"/>
  <c r="BE86" i="38" s="1"/>
  <c r="BE37" i="38"/>
  <c r="BE85" i="38" s="1"/>
  <c r="BE36" i="38"/>
  <c r="BE84" i="38" s="1"/>
  <c r="BE32" i="38"/>
  <c r="BE31" i="38"/>
  <c r="BE30" i="38"/>
  <c r="BE29" i="38"/>
  <c r="BE28" i="38"/>
  <c r="BE24" i="38"/>
  <c r="BE20" i="38"/>
  <c r="BF18" i="38"/>
  <c r="BF66" i="38" s="1"/>
  <c r="BE14" i="38"/>
  <c r="BE62" i="38" s="1"/>
  <c r="BE13" i="38"/>
  <c r="BE61" i="38" s="1"/>
  <c r="BF12" i="38"/>
  <c r="BF60" i="38" s="1"/>
  <c r="BE10" i="38"/>
  <c r="BE9" i="38"/>
  <c r="BE57" i="38" s="1"/>
  <c r="BE8" i="38"/>
  <c r="BE56" i="38" s="1"/>
  <c r="BF6" i="38"/>
  <c r="BF54" i="38" s="1"/>
  <c r="BE7" i="38" l="1"/>
  <c r="BE55" i="38" s="1"/>
  <c r="BE35" i="38"/>
  <c r="BE83" i="38" s="1"/>
  <c r="BE23" i="38"/>
  <c r="BA99" i="9" s="1"/>
  <c r="AQ99" i="9"/>
  <c r="AQ100" i="9" s="1"/>
  <c r="BE25" i="38"/>
  <c r="BE73" i="38" s="1"/>
  <c r="AQ172" i="10"/>
  <c r="BE22" i="38"/>
  <c r="BA91" i="8" s="1"/>
  <c r="BE19" i="38"/>
  <c r="BE26" i="38"/>
  <c r="BE74" i="38" s="1"/>
  <c r="BE21" i="38"/>
  <c r="BE69" i="38" s="1"/>
  <c r="BE27" i="38"/>
  <c r="BE75" i="38" s="1"/>
  <c r="BE40" i="38"/>
  <c r="BE88" i="38" s="1"/>
  <c r="BE41" i="38"/>
  <c r="BE89" i="38" s="1"/>
  <c r="BE58" i="38"/>
  <c r="BE80" i="38"/>
  <c r="BE76" i="38"/>
  <c r="BE68" i="38"/>
  <c r="BE77" i="38"/>
  <c r="BE72" i="38"/>
  <c r="BE78" i="38"/>
  <c r="BE79" i="38"/>
  <c r="BF42" i="38"/>
  <c r="BF90" i="38" s="1"/>
  <c r="BF34" i="38"/>
  <c r="BF82" i="38" s="1"/>
  <c r="BE6" i="38"/>
  <c r="BE18" i="38"/>
  <c r="BE42" i="38"/>
  <c r="BE90" i="38" s="1"/>
  <c r="BE60" i="38"/>
  <c r="BF39" i="38"/>
  <c r="BF87" i="38" s="1"/>
  <c r="BE67" i="38" l="1"/>
  <c r="BD76" i="59"/>
  <c r="AQ173" i="10"/>
  <c r="BA167" i="6"/>
  <c r="BA193" i="6"/>
  <c r="BE34" i="38"/>
  <c r="BE82" i="38" s="1"/>
  <c r="BE71" i="38"/>
  <c r="BE70" i="38"/>
  <c r="BF17" i="38"/>
  <c r="BA73" i="11"/>
  <c r="BA74" i="11" s="1"/>
  <c r="BB138" i="45"/>
  <c r="BB139" i="45" s="1"/>
  <c r="BA172" i="10"/>
  <c r="BA173" i="10" s="1"/>
  <c r="BE54" i="38"/>
  <c r="BE66" i="38"/>
  <c r="BF15" i="38"/>
  <c r="AU96" i="38"/>
  <c r="BE17" i="38"/>
  <c r="BE15" i="38"/>
  <c r="BE39" i="38"/>
  <c r="BE87" i="38" s="1"/>
  <c r="BF16" i="38"/>
  <c r="BF64" i="38" s="1"/>
  <c r="BB25" i="36" l="1"/>
  <c r="BE75" i="59" s="1"/>
  <c r="AV48" i="38"/>
  <c r="BF65" i="38"/>
  <c r="AU48" i="38"/>
  <c r="BB26" i="36"/>
  <c r="BE63" i="38"/>
  <c r="BF63" i="38"/>
  <c r="BF96" i="38" s="1"/>
  <c r="BF48" i="38"/>
  <c r="BE65" i="38"/>
  <c r="BA26" i="36"/>
  <c r="BA25" i="36"/>
  <c r="BD75" i="59" s="1"/>
  <c r="BE16" i="38"/>
  <c r="BE64" i="38" s="1"/>
  <c r="AV96" i="38"/>
  <c r="BE48" i="38" l="1"/>
  <c r="BE96" i="38"/>
  <c r="BA101" i="9"/>
  <c r="BB98" i="9"/>
  <c r="BA98" i="9"/>
  <c r="BB97" i="9"/>
  <c r="BA97" i="9"/>
  <c r="BB60" i="9"/>
  <c r="BB57" i="9"/>
  <c r="BA51" i="9"/>
  <c r="BA47" i="9"/>
  <c r="BA24" i="9"/>
  <c r="BB19" i="9"/>
  <c r="BA13" i="8"/>
  <c r="BB94" i="8"/>
  <c r="BA81" i="8"/>
  <c r="BD44" i="59" s="1"/>
  <c r="BB61" i="8"/>
  <c r="BB21" i="8"/>
  <c r="BB17" i="8"/>
  <c r="BA17" i="8"/>
  <c r="BB15" i="8"/>
  <c r="BA15" i="8"/>
  <c r="BB14" i="8"/>
  <c r="BA14" i="8"/>
  <c r="BB13" i="8"/>
  <c r="AS81" i="8"/>
  <c r="AS73" i="8"/>
  <c r="AS52" i="8"/>
  <c r="AV41" i="59" s="1"/>
  <c r="BB74" i="9" l="1"/>
  <c r="BB49" i="8"/>
  <c r="BB14" i="36"/>
  <c r="BB50" i="8"/>
  <c r="BA16" i="8"/>
  <c r="BA30" i="8"/>
  <c r="BA6" i="8"/>
  <c r="BB16" i="8"/>
  <c r="BB77" i="9"/>
  <c r="BA53" i="9"/>
  <c r="BA22" i="9"/>
  <c r="BA102" i="9"/>
  <c r="BA70" i="9"/>
  <c r="BA104" i="9"/>
  <c r="BB90" i="9"/>
  <c r="BB91" i="9" s="1"/>
  <c r="BB102" i="9"/>
  <c r="BB104" i="9"/>
  <c r="BB34" i="8"/>
  <c r="BB64" i="8"/>
  <c r="BB55" i="8" s="1"/>
  <c r="BB67" i="8"/>
  <c r="BB66" i="8"/>
  <c r="BB59" i="8"/>
  <c r="BB58" i="8"/>
  <c r="BB54" i="8" s="1"/>
  <c r="BB36" i="8"/>
  <c r="BB68" i="8"/>
  <c r="BB57" i="8" s="1"/>
  <c r="BA100" i="9"/>
  <c r="BB100" i="9"/>
  <c r="BA68" i="9"/>
  <c r="BA56" i="9"/>
  <c r="BA95" i="9"/>
  <c r="BA85" i="8"/>
  <c r="BA63" i="9"/>
  <c r="BA69" i="9"/>
  <c r="BA31" i="8"/>
  <c r="BA58" i="9"/>
  <c r="BA64" i="9"/>
  <c r="BA92" i="9"/>
  <c r="BB48" i="9"/>
  <c r="BA59" i="9"/>
  <c r="BA67" i="9"/>
  <c r="BA55" i="9"/>
  <c r="BA61" i="9"/>
  <c r="BB62" i="8"/>
  <c r="BB62" i="9"/>
  <c r="BB14" i="9"/>
  <c r="BA65" i="9"/>
  <c r="BA27" i="9"/>
  <c r="BA66" i="9"/>
  <c r="BA27" i="8"/>
  <c r="BA28" i="8"/>
  <c r="BA24" i="8"/>
  <c r="BA29" i="8"/>
  <c r="BA23" i="8"/>
  <c r="BA25" i="8"/>
  <c r="BB51" i="8" l="1"/>
  <c r="BE40" i="59"/>
  <c r="BA84" i="8"/>
  <c r="BD50" i="59" s="1"/>
  <c r="BA2" i="17"/>
  <c r="BA2" i="26"/>
  <c r="BA83" i="8"/>
  <c r="BD49" i="59" s="1"/>
  <c r="BA86" i="8"/>
  <c r="BA45" i="8"/>
  <c r="BB37" i="8"/>
  <c r="BA67" i="8"/>
  <c r="BA6" i="26"/>
  <c r="BB78" i="8"/>
  <c r="BA44" i="8"/>
  <c r="BD47" i="59" s="1"/>
  <c r="BA47" i="8"/>
  <c r="BA14" i="36"/>
  <c r="BA50" i="8"/>
  <c r="BA49" i="8"/>
  <c r="BA82" i="8"/>
  <c r="BD51" i="59" s="1"/>
  <c r="BA10" i="36"/>
  <c r="BD36" i="59" s="1"/>
  <c r="BA39" i="8"/>
  <c r="BA26" i="8"/>
  <c r="BA90" i="8"/>
  <c r="BA12" i="36"/>
  <c r="BD38" i="59" s="1"/>
  <c r="BA41" i="8"/>
  <c r="BA43" i="8"/>
  <c r="BD45" i="59" s="1"/>
  <c r="BA109" i="8"/>
  <c r="BA111" i="8" s="1"/>
  <c r="BA11" i="36"/>
  <c r="BD37" i="59" s="1"/>
  <c r="BA40" i="8"/>
  <c r="BA46" i="8"/>
  <c r="BD46" i="59" s="1"/>
  <c r="BA87" i="9"/>
  <c r="BD60" i="59" s="1"/>
  <c r="BA83" i="9"/>
  <c r="BA25" i="9"/>
  <c r="BA86" i="9"/>
  <c r="BA76" i="9"/>
  <c r="BA80" i="9"/>
  <c r="BE58" i="59"/>
  <c r="BA75" i="9"/>
  <c r="BA82" i="9"/>
  <c r="BD61" i="59" s="1"/>
  <c r="BA96" i="9"/>
  <c r="BA81" i="9"/>
  <c r="BA78" i="9"/>
  <c r="BA84" i="9"/>
  <c r="BA73" i="9"/>
  <c r="BA72" i="9"/>
  <c r="BB79" i="9"/>
  <c r="BA85" i="9"/>
  <c r="BB47" i="9"/>
  <c r="BA93" i="9"/>
  <c r="BA94" i="9"/>
  <c r="BD58" i="59"/>
  <c r="BB69" i="8"/>
  <c r="BB65" i="8"/>
  <c r="BA57" i="9"/>
  <c r="BA22" i="22"/>
  <c r="BA51" i="8" l="1"/>
  <c r="BD40" i="59"/>
  <c r="BA74" i="9"/>
  <c r="BA78" i="8"/>
  <c r="AZ2" i="17"/>
  <c r="AZ2" i="26"/>
  <c r="BA37" i="8"/>
  <c r="BB63" i="8"/>
  <c r="BB70" i="8" s="1"/>
  <c r="BB35" i="8"/>
  <c r="BD48" i="59"/>
  <c r="BA52" i="8"/>
  <c r="BD41" i="59" s="1"/>
  <c r="BA59" i="8"/>
  <c r="BA34" i="8"/>
  <c r="BA65" i="8"/>
  <c r="BA36" i="8"/>
  <c r="BA69" i="8"/>
  <c r="BA74" i="8" s="1"/>
  <c r="BA110" i="8"/>
  <c r="BA112" i="8" s="1"/>
  <c r="BA53" i="8" s="1"/>
  <c r="BD42" i="59" s="1"/>
  <c r="BA42" i="8"/>
  <c r="AZ19" i="15"/>
  <c r="BD19" i="15"/>
  <c r="BA62" i="9"/>
  <c r="BA60" i="9"/>
  <c r="BB49" i="9"/>
  <c r="BA88" i="9"/>
  <c r="BA52" i="9"/>
  <c r="BB24" i="36"/>
  <c r="BA7" i="22"/>
  <c r="BA15" i="22" s="1"/>
  <c r="BA24" i="36"/>
  <c r="BB74" i="8"/>
  <c r="BB72" i="8"/>
  <c r="BB56" i="8"/>
  <c r="BB73" i="8" s="1"/>
  <c r="BB71" i="8" l="1"/>
  <c r="BD43" i="59"/>
  <c r="BA35" i="8"/>
  <c r="BA63" i="8"/>
  <c r="BA71" i="8" s="1"/>
  <c r="BA72" i="8"/>
  <c r="BB85" i="9"/>
  <c r="BB53" i="9"/>
  <c r="BB84" i="9"/>
  <c r="BB87" i="9"/>
  <c r="BE60" i="59" s="1"/>
  <c r="BB82" i="9"/>
  <c r="BE61" i="59" s="1"/>
  <c r="BB52" i="9"/>
  <c r="BE57" i="59" s="1"/>
  <c r="BB86" i="9"/>
  <c r="BB81" i="9"/>
  <c r="BB80" i="9"/>
  <c r="BB83" i="9"/>
  <c r="BA77" i="9"/>
  <c r="BA7" i="9"/>
  <c r="BD57" i="59"/>
  <c r="BA79" i="9"/>
  <c r="BA8" i="22"/>
  <c r="BA23" i="22"/>
  <c r="BA24" i="22" s="1"/>
  <c r="BA9" i="22" l="1"/>
  <c r="BA25" i="22"/>
  <c r="BA10" i="22"/>
  <c r="AS113" i="7"/>
  <c r="AS112" i="7"/>
  <c r="AS111" i="7"/>
  <c r="AS110" i="7"/>
  <c r="AS109" i="7"/>
  <c r="AS108" i="7"/>
  <c r="AS107" i="7"/>
  <c r="AS106" i="7"/>
  <c r="AS85" i="7"/>
  <c r="BB84" i="7"/>
  <c r="BA84" i="7"/>
  <c r="BB82" i="7"/>
  <c r="BA82" i="7"/>
  <c r="AR1" i="7"/>
  <c r="AR80" i="7" s="1"/>
  <c r="AQ1" i="7"/>
  <c r="AQ80" i="7" s="1"/>
  <c r="BA1" i="7" l="1"/>
  <c r="BA80" i="7" s="1"/>
  <c r="BB1" i="7"/>
  <c r="BB80" i="7" s="1"/>
  <c r="BA71" i="7"/>
  <c r="BA73" i="7" s="1"/>
  <c r="BB112" i="7"/>
  <c r="BB107" i="7"/>
  <c r="BB111" i="7"/>
  <c r="BB109" i="7"/>
  <c r="BB113" i="7"/>
  <c r="BB106" i="7"/>
  <c r="BB85" i="7"/>
  <c r="BB110" i="7"/>
  <c r="BB108" i="7"/>
  <c r="BB71" i="7"/>
  <c r="BB73" i="7" s="1"/>
  <c r="BA13" i="22"/>
  <c r="BA11" i="22"/>
  <c r="BA28" i="22"/>
  <c r="BA26" i="22"/>
  <c r="BB83" i="7"/>
  <c r="BE35" i="59" s="1"/>
  <c r="BA83" i="7"/>
  <c r="BD35" i="59" s="1"/>
  <c r="BA68" i="7"/>
  <c r="BA69" i="7" l="1"/>
  <c r="BA29" i="22"/>
  <c r="BA12" i="22"/>
  <c r="BA30" i="22"/>
  <c r="BA27" i="22"/>
  <c r="BA14" i="22"/>
  <c r="BA87" i="6" l="1"/>
  <c r="BA86" i="6"/>
  <c r="BB56" i="6"/>
  <c r="BB34" i="6"/>
  <c r="BB33" i="6"/>
  <c r="AS199" i="6"/>
  <c r="AS198" i="6"/>
  <c r="AS197" i="6"/>
  <c r="AS190" i="6"/>
  <c r="AS189" i="6"/>
  <c r="AS186" i="6"/>
  <c r="AS185" i="6"/>
  <c r="AS184" i="6"/>
  <c r="AS183" i="6"/>
  <c r="AS182" i="6"/>
  <c r="AS181" i="6"/>
  <c r="AS179" i="6"/>
  <c r="AS178" i="6"/>
  <c r="AS177" i="6"/>
  <c r="AS165" i="6"/>
  <c r="AS164" i="6"/>
  <c r="AS161" i="6"/>
  <c r="AS160" i="6"/>
  <c r="AS159" i="6"/>
  <c r="AS158" i="6"/>
  <c r="AS157" i="6"/>
  <c r="AS156" i="6"/>
  <c r="AS154" i="6"/>
  <c r="AS153" i="6"/>
  <c r="AS149" i="6"/>
  <c r="AS85" i="6"/>
  <c r="AS83" i="6"/>
  <c r="AS82" i="6"/>
  <c r="AS80" i="6"/>
  <c r="AS79" i="6"/>
  <c r="AS40" i="6"/>
  <c r="AS39" i="6"/>
  <c r="AS38" i="6"/>
  <c r="AS37" i="6"/>
  <c r="BD12" i="59" l="1"/>
  <c r="BA61" i="6"/>
  <c r="BD23" i="59" s="1"/>
  <c r="BA60" i="6"/>
  <c r="BD16" i="59" s="1"/>
  <c r="BB35" i="6"/>
  <c r="BB55" i="6"/>
  <c r="BB57" i="6" s="1"/>
  <c r="AS41" i="6"/>
  <c r="BA17" i="6" l="1"/>
  <c r="BA169" i="6" s="1"/>
  <c r="BA21" i="6"/>
  <c r="BA24" i="6"/>
  <c r="BA27" i="6"/>
  <c r="BA18" i="6"/>
  <c r="BA195" i="6" s="1"/>
  <c r="BA163" i="6"/>
  <c r="AS24" i="73"/>
  <c r="AW24" i="73" s="1"/>
  <c r="AR179" i="73"/>
  <c r="AR134" i="73"/>
  <c r="AR130" i="73"/>
  <c r="AR126" i="73"/>
  <c r="AR106" i="73"/>
  <c r="AR118" i="73" s="1"/>
  <c r="AR137" i="73" l="1"/>
  <c r="BB209" i="6"/>
  <c r="BB208" i="6"/>
  <c r="BA208" i="6"/>
  <c r="BA209" i="6"/>
  <c r="BA188" i="6"/>
  <c r="BA33" i="6"/>
  <c r="BA206" i="6"/>
  <c r="BA203" i="6"/>
  <c r="BA204" i="6"/>
  <c r="BA211" i="6"/>
  <c r="BA212" i="6"/>
  <c r="BA213" i="6"/>
  <c r="BA214" i="6"/>
  <c r="BA217" i="6"/>
  <c r="BA218" i="6" s="1"/>
  <c r="BB199" i="6"/>
  <c r="BB203" i="6"/>
  <c r="BB204" i="6"/>
  <c r="BB206" i="6"/>
  <c r="BB211" i="6"/>
  <c r="BB212" i="6"/>
  <c r="BB213" i="6"/>
  <c r="BB214" i="6"/>
  <c r="BB217" i="6"/>
  <c r="BA25" i="6"/>
  <c r="BA22" i="6"/>
  <c r="BA28" i="6"/>
  <c r="BA19" i="6"/>
  <c r="BA31" i="6"/>
  <c r="AV59" i="59"/>
  <c r="AV44" i="59"/>
  <c r="BA23" i="6" l="1"/>
  <c r="BA26" i="6"/>
  <c r="BA32" i="6"/>
  <c r="BA84" i="6"/>
  <c r="BA29" i="6"/>
  <c r="BA210" i="6"/>
  <c r="BB210" i="6"/>
  <c r="BB215" i="6"/>
  <c r="BE11" i="59" s="1"/>
  <c r="BA215" i="6"/>
  <c r="BD11" i="59" s="1"/>
  <c r="BB218" i="6"/>
  <c r="BB20" i="49"/>
  <c r="BB15" i="36" s="1"/>
  <c r="BA81" i="6"/>
  <c r="BA34" i="6"/>
  <c r="BA35" i="6" s="1"/>
  <c r="BE24" i="73"/>
  <c r="BA12" i="15"/>
  <c r="AS37" i="36"/>
  <c r="AT37" i="36"/>
  <c r="AS72" i="36"/>
  <c r="AS71" i="36"/>
  <c r="AS69" i="36"/>
  <c r="AS67" i="36"/>
  <c r="AS66" i="36"/>
  <c r="AS29" i="36"/>
  <c r="AS28" i="36"/>
  <c r="AS27" i="36"/>
  <c r="AS23" i="36"/>
  <c r="AS22" i="36"/>
  <c r="AV67" i="59" s="1"/>
  <c r="AS21" i="36"/>
  <c r="AS17" i="36"/>
  <c r="AV54" i="59" s="1"/>
  <c r="AS16" i="36"/>
  <c r="AV53" i="59" s="1"/>
  <c r="AS9" i="36"/>
  <c r="AV10" i="59" s="1"/>
  <c r="AS8" i="36"/>
  <c r="AV9" i="59" s="1"/>
  <c r="AS7" i="36"/>
  <c r="AV8" i="59" s="1"/>
  <c r="AS5" i="36"/>
  <c r="BA144" i="6" l="1"/>
  <c r="BA145" i="6"/>
  <c r="BA147" i="6"/>
  <c r="BA216" i="6"/>
  <c r="BA219" i="6" s="1"/>
  <c r="BB216" i="6"/>
  <c r="BB219" i="6" s="1"/>
  <c r="BE52" i="59"/>
  <c r="BA13" i="15"/>
  <c r="BA14" i="15" s="1"/>
  <c r="AS13" i="49"/>
  <c r="AV6" i="59"/>
  <c r="AR6" i="15"/>
  <c r="AV78" i="59"/>
  <c r="AR5" i="15"/>
  <c r="AV77" i="59"/>
  <c r="AR7" i="15"/>
  <c r="AV79" i="59"/>
  <c r="AS68" i="36"/>
  <c r="BA27" i="21"/>
  <c r="BB18" i="21"/>
  <c r="BB15" i="21"/>
  <c r="BA146" i="6" l="1"/>
  <c r="BB9" i="36"/>
  <c r="BE10" i="59" s="1"/>
  <c r="BB20" i="21"/>
  <c r="BA19" i="9"/>
  <c r="BA15" i="21"/>
  <c r="BA90" i="9" l="1"/>
  <c r="BA91" i="9" s="1"/>
  <c r="BB6" i="6"/>
  <c r="BB16" i="6" s="1"/>
  <c r="BB5" i="6"/>
  <c r="BB98" i="6" s="1"/>
  <c r="BB104" i="6" s="1"/>
  <c r="BB106" i="6" s="1"/>
  <c r="BB149" i="6" l="1"/>
  <c r="BB197" i="6" s="1"/>
  <c r="BB154" i="6"/>
  <c r="BB153" i="6"/>
  <c r="BA9" i="35"/>
  <c r="BA8" i="6" s="1"/>
  <c r="BB7" i="6"/>
  <c r="BB15" i="6"/>
  <c r="BB8" i="35"/>
  <c r="BA14" i="35"/>
  <c r="BA9" i="6"/>
  <c r="BA26" i="21" l="1"/>
  <c r="BA28" i="21" s="1"/>
  <c r="BB60" i="6"/>
  <c r="BE16" i="59" s="1"/>
  <c r="BE12" i="59"/>
  <c r="BB61" i="6"/>
  <c r="BE23" i="59" s="1"/>
  <c r="BA49" i="35"/>
  <c r="BA55" i="35" s="1"/>
  <c r="BA11" i="35"/>
  <c r="BA10" i="6" s="1"/>
  <c r="BA13" i="35"/>
  <c r="BB17" i="6" l="1"/>
  <c r="BB169" i="6" s="1"/>
  <c r="BB18" i="6"/>
  <c r="BB195" i="6" s="1"/>
  <c r="BA15" i="35"/>
  <c r="BB189" i="6" l="1"/>
  <c r="BB164" i="6"/>
  <c r="BB19" i="6"/>
  <c r="BB82" i="6"/>
  <c r="BB83" i="6"/>
  <c r="BB85" i="6"/>
  <c r="BB79" i="6"/>
  <c r="BB80" i="6"/>
  <c r="AN8" i="24"/>
  <c r="BD8" i="24" s="1"/>
  <c r="AM8" i="24"/>
  <c r="BC8" i="24" s="1"/>
  <c r="AN7" i="24"/>
  <c r="BD7" i="24" s="1"/>
  <c r="AM7" i="24"/>
  <c r="BC7" i="24" s="1"/>
  <c r="AN6" i="24"/>
  <c r="BD6" i="24" s="1"/>
  <c r="AM6" i="24"/>
  <c r="BC6" i="24" s="1"/>
  <c r="BB84" i="6" l="1"/>
  <c r="BB37" i="6"/>
  <c r="BB38" i="6"/>
  <c r="BB40" i="6"/>
  <c r="BB39" i="6"/>
  <c r="BB144" i="6" l="1"/>
  <c r="BB147" i="6"/>
  <c r="BB145" i="6"/>
  <c r="BB41" i="6"/>
  <c r="BE15" i="59" l="1"/>
  <c r="BB146" i="6"/>
  <c r="BB7" i="36" l="1"/>
  <c r="BE8" i="59" s="1"/>
  <c r="AI25" i="73"/>
  <c r="AM18" i="17" l="1"/>
  <c r="BC18" i="17" s="1"/>
  <c r="AM82" i="17"/>
  <c r="BC82" i="17" s="1"/>
  <c r="AM79" i="17"/>
  <c r="BC79" i="17" s="1"/>
  <c r="AM78" i="17"/>
  <c r="BC78" i="17" s="1"/>
  <c r="AM77" i="17"/>
  <c r="BC77" i="17" s="1"/>
  <c r="AM76" i="17"/>
  <c r="BC76" i="17" s="1"/>
  <c r="AM75" i="17"/>
  <c r="BC75" i="17" s="1"/>
  <c r="AM74" i="17"/>
  <c r="BC74" i="17" s="1"/>
  <c r="AM73" i="17"/>
  <c r="BC73" i="17" s="1"/>
  <c r="AM72" i="17"/>
  <c r="BC72" i="17" s="1"/>
  <c r="AM71" i="17"/>
  <c r="BC71" i="17" s="1"/>
  <c r="AM70" i="17"/>
  <c r="BC70" i="17" s="1"/>
  <c r="AM69" i="17"/>
  <c r="BC69" i="17" s="1"/>
  <c r="AM68" i="17"/>
  <c r="BC68" i="17" s="1"/>
  <c r="AM67" i="17"/>
  <c r="BC67" i="17" s="1"/>
  <c r="AM66" i="17"/>
  <c r="BC66" i="17" s="1"/>
  <c r="AM65" i="17"/>
  <c r="BC65" i="17" s="1"/>
  <c r="AM64" i="17"/>
  <c r="BC64" i="17" s="1"/>
  <c r="AM63" i="17"/>
  <c r="BC63" i="17" s="1"/>
  <c r="AM59" i="17"/>
  <c r="BC59" i="17" s="1"/>
  <c r="AL59" i="17"/>
  <c r="BB59" i="17" s="1"/>
  <c r="AM31" i="17"/>
  <c r="BC31" i="17" s="1"/>
  <c r="AM28" i="17"/>
  <c r="BC28" i="17" s="1"/>
  <c r="AM16" i="17"/>
  <c r="BC16" i="17" s="1"/>
  <c r="AM12" i="17"/>
  <c r="BC12" i="17" s="1"/>
  <c r="AM10" i="17"/>
  <c r="BC10" i="17" s="1"/>
  <c r="AM8" i="17"/>
  <c r="BC8" i="17" s="1"/>
  <c r="AM3" i="17"/>
  <c r="AL3" i="17"/>
  <c r="AL38" i="17" l="1"/>
  <c r="AM43" i="17"/>
  <c r="BC29" i="17"/>
  <c r="BC32" i="17" s="1"/>
  <c r="AL51" i="17"/>
  <c r="BB3" i="17"/>
  <c r="AM35" i="17"/>
  <c r="BC3" i="17"/>
  <c r="BC19" i="17" s="1"/>
  <c r="AM11" i="17"/>
  <c r="AL36" i="17"/>
  <c r="AM41" i="17"/>
  <c r="AM48" i="17"/>
  <c r="AL52" i="17"/>
  <c r="AM52" i="17"/>
  <c r="AM19" i="17"/>
  <c r="AM13" i="17"/>
  <c r="AM36" i="17"/>
  <c r="AL45" i="17"/>
  <c r="AM17" i="17"/>
  <c r="AL41" i="17"/>
  <c r="AM45" i="17"/>
  <c r="AM51" i="17"/>
  <c r="AM29" i="17"/>
  <c r="AM30" i="17" s="1"/>
  <c r="AM14" i="17"/>
  <c r="AL42" i="17"/>
  <c r="BB42" i="17" s="1"/>
  <c r="AL35" i="17"/>
  <c r="AM38" i="17"/>
  <c r="AM42" i="17"/>
  <c r="AM47" i="17"/>
  <c r="AL47" i="17"/>
  <c r="AM9" i="17"/>
  <c r="AL43" i="17"/>
  <c r="AL48" i="17"/>
  <c r="BB38" i="17" l="1"/>
  <c r="BC17" i="17"/>
  <c r="AL49" i="17"/>
  <c r="BB52" i="17"/>
  <c r="AM49" i="17"/>
  <c r="BB43" i="17"/>
  <c r="BB48" i="17"/>
  <c r="BB47" i="17"/>
  <c r="AM44" i="17"/>
  <c r="BB41" i="17"/>
  <c r="BB44" i="17" s="1"/>
  <c r="AL44" i="17"/>
  <c r="BC45" i="17"/>
  <c r="AM53" i="17"/>
  <c r="BC48" i="17"/>
  <c r="BC47" i="17"/>
  <c r="BB36" i="17"/>
  <c r="AM37" i="17"/>
  <c r="AM39" i="17" s="1"/>
  <c r="AL53" i="17"/>
  <c r="BC9" i="17"/>
  <c r="AM20" i="17"/>
  <c r="BC14" i="17"/>
  <c r="AM32" i="17"/>
  <c r="BC52" i="17"/>
  <c r="BC13" i="17"/>
  <c r="BC35" i="17"/>
  <c r="BC38" i="17"/>
  <c r="BC36" i="17"/>
  <c r="BB45" i="17"/>
  <c r="BC42" i="17"/>
  <c r="BC41" i="17"/>
  <c r="BC11" i="17"/>
  <c r="AL37" i="17"/>
  <c r="AL39" i="17" s="1"/>
  <c r="BB35" i="17"/>
  <c r="BC51" i="17"/>
  <c r="BC43" i="17"/>
  <c r="BC30" i="17"/>
  <c r="BB51" i="17"/>
  <c r="AM15" i="17"/>
  <c r="BB53" i="17" l="1"/>
  <c r="AM85" i="17"/>
  <c r="BB49" i="17"/>
  <c r="AL85" i="17"/>
  <c r="BC49" i="17"/>
  <c r="BC44" i="17"/>
  <c r="BB37" i="17"/>
  <c r="BB39" i="17" s="1"/>
  <c r="AM21" i="17"/>
  <c r="BC53" i="17"/>
  <c r="BC37" i="17"/>
  <c r="BC39" i="17" s="1"/>
  <c r="BC15" i="17"/>
  <c r="BC20" i="17"/>
  <c r="BB85" i="17" l="1"/>
  <c r="BC85" i="17"/>
  <c r="BC21" i="17"/>
  <c r="BC70" i="73" l="1"/>
  <c r="BE70" i="73"/>
  <c r="AN16" i="61" l="1"/>
  <c r="AP16" i="61"/>
  <c r="AL16" i="61"/>
  <c r="AN15" i="52"/>
  <c r="BD15" i="52" s="1"/>
  <c r="AM15" i="52"/>
  <c r="BC15" i="52" s="1"/>
  <c r="AN14" i="52"/>
  <c r="BD14" i="52" s="1"/>
  <c r="AM14" i="52"/>
  <c r="BC14" i="52" s="1"/>
  <c r="AN13" i="52"/>
  <c r="BD13" i="52" s="1"/>
  <c r="AM13" i="52"/>
  <c r="BC13" i="52" s="1"/>
  <c r="AN12" i="52"/>
  <c r="BD12" i="52" s="1"/>
  <c r="AM12" i="52"/>
  <c r="BC12" i="52" s="1"/>
  <c r="AN11" i="52"/>
  <c r="BD11" i="52" s="1"/>
  <c r="AM11" i="52"/>
  <c r="BC11" i="52" s="1"/>
  <c r="AN10" i="52"/>
  <c r="BD10" i="52" s="1"/>
  <c r="AM10" i="52"/>
  <c r="BC10" i="52" s="1"/>
  <c r="AN8" i="52"/>
  <c r="BD8" i="52" s="1"/>
  <c r="AM8" i="52"/>
  <c r="BC8" i="52" s="1"/>
  <c r="AN6" i="52"/>
  <c r="BD6" i="52" s="1"/>
  <c r="AM6" i="52"/>
  <c r="BC6" i="52" s="1"/>
  <c r="AN5" i="52"/>
  <c r="BD5" i="52" s="1"/>
  <c r="AM5" i="52"/>
  <c r="BC5" i="52" s="1"/>
  <c r="AL16" i="52"/>
  <c r="AK16" i="52"/>
  <c r="AL9" i="52"/>
  <c r="AK9" i="52"/>
  <c r="AM38" i="27"/>
  <c r="BC38" i="27" s="1"/>
  <c r="AL38" i="27"/>
  <c r="BB38" i="27" s="1"/>
  <c r="AM32" i="27"/>
  <c r="BC32" i="27" s="1"/>
  <c r="AL32" i="27"/>
  <c r="BB32" i="27" s="1"/>
  <c r="AM23" i="27"/>
  <c r="BC23" i="27" s="1"/>
  <c r="AL23" i="27"/>
  <c r="BB23" i="27" s="1"/>
  <c r="AM15" i="27"/>
  <c r="BC15" i="27" s="1"/>
  <c r="AL15" i="27"/>
  <c r="BB15" i="27" s="1"/>
  <c r="AM14" i="27"/>
  <c r="BC14" i="27" s="1"/>
  <c r="AL14" i="27"/>
  <c r="BB14" i="27" s="1"/>
  <c r="AM13" i="27"/>
  <c r="BC13" i="27" s="1"/>
  <c r="AL13" i="27"/>
  <c r="BB13" i="27" s="1"/>
  <c r="AM12" i="27"/>
  <c r="BC12" i="27" s="1"/>
  <c r="AL12" i="27"/>
  <c r="BB12" i="27" s="1"/>
  <c r="AM11" i="27"/>
  <c r="BC11" i="27" s="1"/>
  <c r="AL11" i="27"/>
  <c r="BB11" i="27" s="1"/>
  <c r="AM10" i="27"/>
  <c r="BC10" i="27" s="1"/>
  <c r="AL10" i="27"/>
  <c r="BB10" i="27" s="1"/>
  <c r="AM9" i="27"/>
  <c r="BC9" i="27" s="1"/>
  <c r="AL9" i="27"/>
  <c r="BB9" i="27" s="1"/>
  <c r="AM8" i="27"/>
  <c r="BC8" i="27" s="1"/>
  <c r="AL8" i="27"/>
  <c r="BB8" i="27" s="1"/>
  <c r="AM7" i="27"/>
  <c r="BC7" i="27" s="1"/>
  <c r="AL7" i="27"/>
  <c r="BB7" i="27" s="1"/>
  <c r="AM6" i="27"/>
  <c r="BC6" i="27" s="1"/>
  <c r="BB6" i="27"/>
  <c r="AM2" i="27"/>
  <c r="BC2" i="27" s="1"/>
  <c r="AL2" i="27"/>
  <c r="BC9" i="52" l="1"/>
  <c r="BC16" i="52"/>
  <c r="BD9" i="52"/>
  <c r="BD16" i="52"/>
  <c r="AL37" i="27"/>
  <c r="BB2" i="27"/>
  <c r="AL36" i="27"/>
  <c r="AL18" i="27"/>
  <c r="AL21" i="27"/>
  <c r="AL27" i="27"/>
  <c r="AL30" i="27"/>
  <c r="AL31" i="27"/>
  <c r="AL35" i="27"/>
  <c r="AL28" i="27"/>
  <c r="AM31" i="27"/>
  <c r="BC31" i="27" s="1"/>
  <c r="AK17" i="52"/>
  <c r="AN9" i="52"/>
  <c r="AM16" i="52"/>
  <c r="AN16" i="52"/>
  <c r="AL17" i="52"/>
  <c r="AM9" i="52"/>
  <c r="AL19" i="27"/>
  <c r="AL22" i="27"/>
  <c r="AL26" i="27"/>
  <c r="AL29" i="27"/>
  <c r="AM22" i="27"/>
  <c r="BC22" i="27" s="1"/>
  <c r="BD17" i="52" l="1"/>
  <c r="BB22" i="27"/>
  <c r="BB26" i="27"/>
  <c r="BB31" i="27"/>
  <c r="BB30" i="27"/>
  <c r="BB27" i="27"/>
  <c r="BB37" i="27"/>
  <c r="BB28" i="27"/>
  <c r="BB18" i="27"/>
  <c r="BB19" i="27"/>
  <c r="BB29" i="27"/>
  <c r="BB35" i="27"/>
  <c r="BB36" i="27"/>
  <c r="BC17" i="52"/>
  <c r="AL39" i="27"/>
  <c r="BB21" i="27"/>
  <c r="AN17" i="52"/>
  <c r="AM17" i="52"/>
  <c r="AL33" i="27"/>
  <c r="BB33" i="27" l="1"/>
  <c r="BB39" i="27"/>
  <c r="AN28" i="22"/>
  <c r="BD28" i="22" s="1"/>
  <c r="AN26" i="22"/>
  <c r="AN23" i="22"/>
  <c r="BD23" i="22" s="1"/>
  <c r="AN22" i="22"/>
  <c r="AN44" i="22" s="1"/>
  <c r="AN13" i="22"/>
  <c r="BD13" i="22" s="1"/>
  <c r="AN11" i="22"/>
  <c r="AN8" i="22"/>
  <c r="BD8" i="22" s="1"/>
  <c r="AN7" i="22"/>
  <c r="AN43" i="22" s="1"/>
  <c r="AN3" i="22"/>
  <c r="BD3" i="22" s="1"/>
  <c r="AM3" i="22"/>
  <c r="BC3" i="22" s="1"/>
  <c r="BD7" i="22" l="1"/>
  <c r="BD22" i="22"/>
  <c r="BD24" i="22" s="1"/>
  <c r="AN31" i="22"/>
  <c r="BD26" i="22"/>
  <c r="AN20" i="22"/>
  <c r="BD11" i="22"/>
  <c r="BD9" i="22"/>
  <c r="AN32" i="22"/>
  <c r="AN24" i="22"/>
  <c r="AN9" i="22"/>
  <c r="AN29" i="22"/>
  <c r="AN14" i="22"/>
  <c r="AN18" i="22"/>
  <c r="AN19" i="22"/>
  <c r="AN17" i="22"/>
  <c r="AM110" i="26"/>
  <c r="BC110" i="26" s="1"/>
  <c r="AM108" i="26"/>
  <c r="BC108" i="26" s="1"/>
  <c r="AM106" i="26"/>
  <c r="BC106" i="26" s="1"/>
  <c r="AM104" i="26"/>
  <c r="BC104" i="26" s="1"/>
  <c r="AM102" i="26"/>
  <c r="BC102" i="26" s="1"/>
  <c r="AM100" i="26"/>
  <c r="BC100" i="26" s="1"/>
  <c r="AM98" i="26"/>
  <c r="BC98" i="26" s="1"/>
  <c r="AM96" i="26"/>
  <c r="BC96" i="26" s="1"/>
  <c r="AM91" i="26"/>
  <c r="BC91" i="26" s="1"/>
  <c r="BB91" i="26"/>
  <c r="AM89" i="26"/>
  <c r="BC89" i="26" s="1"/>
  <c r="AM87" i="26"/>
  <c r="BC87" i="26" s="1"/>
  <c r="AM85" i="26"/>
  <c r="BC85" i="26" s="1"/>
  <c r="AM83" i="26"/>
  <c r="BC83" i="26" s="1"/>
  <c r="AM78" i="26"/>
  <c r="BC78" i="26" s="1"/>
  <c r="AM76" i="26"/>
  <c r="BC76" i="26" s="1"/>
  <c r="AM72" i="26"/>
  <c r="AM71" i="26"/>
  <c r="BC71" i="26" s="1"/>
  <c r="AM70" i="26"/>
  <c r="BC70" i="26" s="1"/>
  <c r="AM69" i="26"/>
  <c r="BC69" i="26" s="1"/>
  <c r="AM68" i="26"/>
  <c r="BC68" i="26" s="1"/>
  <c r="AM67" i="26"/>
  <c r="BC67" i="26" s="1"/>
  <c r="AM66" i="26"/>
  <c r="BC66" i="26" s="1"/>
  <c r="AM65" i="26"/>
  <c r="BC65" i="26" s="1"/>
  <c r="AM64" i="26"/>
  <c r="BC64" i="26" s="1"/>
  <c r="AM63" i="26"/>
  <c r="BC63" i="26" s="1"/>
  <c r="AM62" i="26"/>
  <c r="BC62" i="26" s="1"/>
  <c r="AM61" i="26"/>
  <c r="BC61" i="26" s="1"/>
  <c r="AM60" i="26"/>
  <c r="BC60" i="26" s="1"/>
  <c r="AM59" i="26"/>
  <c r="BC59" i="26" s="1"/>
  <c r="AM58" i="26"/>
  <c r="BC58" i="26" s="1"/>
  <c r="AM57" i="26"/>
  <c r="BC57" i="26" s="1"/>
  <c r="AM52" i="26"/>
  <c r="BC52" i="26" s="1"/>
  <c r="AL51" i="26"/>
  <c r="BB51" i="26" s="1"/>
  <c r="AM50" i="26"/>
  <c r="BC50" i="26" s="1"/>
  <c r="AM46" i="26"/>
  <c r="AM41" i="26"/>
  <c r="BC41" i="26" s="1"/>
  <c r="AM39" i="26"/>
  <c r="BC39" i="26" s="1"/>
  <c r="AM37" i="26"/>
  <c r="BC37" i="26" s="1"/>
  <c r="AM35" i="26"/>
  <c r="BC35" i="26" s="1"/>
  <c r="AM33" i="26"/>
  <c r="BC33" i="26" s="1"/>
  <c r="AM31" i="26"/>
  <c r="BC31" i="26" s="1"/>
  <c r="AM29" i="26"/>
  <c r="BC29" i="26" s="1"/>
  <c r="AM27" i="26"/>
  <c r="BC27" i="26" s="1"/>
  <c r="AM25" i="26"/>
  <c r="BC25" i="26" s="1"/>
  <c r="AM23" i="26"/>
  <c r="BC23" i="26" s="1"/>
  <c r="AM21" i="26"/>
  <c r="BC21" i="26" s="1"/>
  <c r="AM17" i="26"/>
  <c r="BC17" i="26" s="1"/>
  <c r="AM15" i="26"/>
  <c r="BC15" i="26" s="1"/>
  <c r="AM11" i="26"/>
  <c r="BC11" i="26" s="1"/>
  <c r="AM9" i="26"/>
  <c r="AM3" i="26"/>
  <c r="BC3" i="26" s="1"/>
  <c r="AL3" i="26"/>
  <c r="BB3" i="26" s="1"/>
  <c r="AL22" i="15"/>
  <c r="BE142" i="45" l="1"/>
  <c r="BC77" i="11"/>
  <c r="BD142" i="45"/>
  <c r="BC176" i="10"/>
  <c r="BD77" i="11"/>
  <c r="BD176" i="10"/>
  <c r="BD20" i="22"/>
  <c r="BD32" i="22"/>
  <c r="BC54" i="17"/>
  <c r="BC57" i="17"/>
  <c r="BC55" i="17"/>
  <c r="BC81" i="26"/>
  <c r="BC56" i="17"/>
  <c r="BC92" i="26"/>
  <c r="BD17" i="22"/>
  <c r="BD19" i="22"/>
  <c r="BD31" i="22"/>
  <c r="BD18" i="22"/>
  <c r="BD29" i="22"/>
  <c r="BD14" i="22"/>
  <c r="BC80" i="26"/>
  <c r="BC112" i="26"/>
  <c r="BC73" i="26"/>
  <c r="AM48" i="26"/>
  <c r="AM49" i="26" s="1"/>
  <c r="BC46" i="26"/>
  <c r="BC43" i="26"/>
  <c r="AM12" i="26"/>
  <c r="AM19" i="26" s="1"/>
  <c r="BC9" i="26"/>
  <c r="AM80" i="26"/>
  <c r="AM57" i="17"/>
  <c r="AM81" i="26"/>
  <c r="AM56" i="17"/>
  <c r="AM75" i="26"/>
  <c r="BC75" i="26" s="1"/>
  <c r="AM55" i="17"/>
  <c r="AM54" i="17"/>
  <c r="AM112" i="26"/>
  <c r="AM92" i="26"/>
  <c r="AM73" i="26"/>
  <c r="AM43" i="26"/>
  <c r="AQ52" i="38"/>
  <c r="AR46" i="38"/>
  <c r="BH46" i="38" s="1"/>
  <c r="AR45" i="38"/>
  <c r="BH45" i="38" s="1"/>
  <c r="AR44" i="38"/>
  <c r="BH44" i="38" s="1"/>
  <c r="AR43" i="38"/>
  <c r="BH43" i="38" s="1"/>
  <c r="AR41" i="38"/>
  <c r="BH41" i="38" s="1"/>
  <c r="AR38" i="38"/>
  <c r="BH38" i="38" s="1"/>
  <c r="AR37" i="38"/>
  <c r="BH37" i="38" s="1"/>
  <c r="AR36" i="38"/>
  <c r="BH36" i="38" s="1"/>
  <c r="AR35" i="38"/>
  <c r="BH35" i="38" s="1"/>
  <c r="AR32" i="38"/>
  <c r="AR31" i="38"/>
  <c r="AR30" i="38"/>
  <c r="AR29" i="38"/>
  <c r="AR28" i="38"/>
  <c r="AR27" i="38"/>
  <c r="AR26" i="38"/>
  <c r="AR25" i="38"/>
  <c r="AR24" i="38"/>
  <c r="AR23" i="38"/>
  <c r="AR22" i="38"/>
  <c r="BH22" i="38" s="1"/>
  <c r="BD91" i="8" s="1"/>
  <c r="AR21" i="38"/>
  <c r="AR20" i="38"/>
  <c r="AR19" i="38"/>
  <c r="AR14" i="38"/>
  <c r="AR13" i="38"/>
  <c r="AR10" i="38"/>
  <c r="AR9" i="38"/>
  <c r="AR8" i="38"/>
  <c r="AR7" i="38"/>
  <c r="AR3" i="38"/>
  <c r="AQ3" i="38"/>
  <c r="BC12" i="26" l="1"/>
  <c r="BC48" i="26"/>
  <c r="AM13" i="26"/>
  <c r="AM18" i="26"/>
  <c r="BH24" i="38"/>
  <c r="BH28" i="38"/>
  <c r="BH32" i="38"/>
  <c r="BH7" i="38"/>
  <c r="BH13" i="38"/>
  <c r="BH21" i="38"/>
  <c r="BH25" i="38"/>
  <c r="BH29" i="38"/>
  <c r="BD167" i="6"/>
  <c r="BH20" i="38"/>
  <c r="AQ51" i="38"/>
  <c r="BG3" i="38"/>
  <c r="AQ59" i="38"/>
  <c r="BH8" i="38"/>
  <c r="BH14" i="38"/>
  <c r="BH26" i="38"/>
  <c r="BH30" i="38"/>
  <c r="BH10" i="38"/>
  <c r="AR58" i="38"/>
  <c r="AR94" i="38"/>
  <c r="BH3" i="38"/>
  <c r="BH85" i="38" s="1"/>
  <c r="AR59" i="38"/>
  <c r="BH9" i="38"/>
  <c r="BH19" i="38"/>
  <c r="BD193" i="6" s="1"/>
  <c r="BH23" i="38"/>
  <c r="BD99" i="9" s="1"/>
  <c r="BH27" i="38"/>
  <c r="BH31" i="38"/>
  <c r="AM54" i="26"/>
  <c r="BC49" i="26"/>
  <c r="BC54" i="26"/>
  <c r="BC13" i="26"/>
  <c r="BC19" i="26"/>
  <c r="BC18" i="26"/>
  <c r="AN91" i="8"/>
  <c r="AR57" i="38"/>
  <c r="AR79" i="38"/>
  <c r="AR92" i="38"/>
  <c r="AR62" i="38"/>
  <c r="AR74" i="38"/>
  <c r="AR84" i="38"/>
  <c r="AR51" i="38"/>
  <c r="AR55" i="38"/>
  <c r="AR61" i="38"/>
  <c r="AR73" i="38"/>
  <c r="AR77" i="38"/>
  <c r="AR83" i="38"/>
  <c r="AN167" i="6"/>
  <c r="AR86" i="38"/>
  <c r="AR70" i="38"/>
  <c r="AR67" i="38"/>
  <c r="AN193" i="6"/>
  <c r="AR71" i="38"/>
  <c r="AR89" i="38"/>
  <c r="AR93" i="38"/>
  <c r="AR68" i="38"/>
  <c r="AR76" i="38"/>
  <c r="AR80" i="38"/>
  <c r="AR56" i="38"/>
  <c r="AR69" i="38"/>
  <c r="AR72" i="38"/>
  <c r="AR75" i="38"/>
  <c r="AR78" i="38"/>
  <c r="AR85" i="38"/>
  <c r="AR91" i="38"/>
  <c r="AK7" i="72"/>
  <c r="AI48" i="72"/>
  <c r="AI40" i="72"/>
  <c r="AI20" i="72"/>
  <c r="AI51" i="72" l="1"/>
  <c r="BA7" i="72"/>
  <c r="AM107" i="90"/>
  <c r="BC107" i="90" s="1"/>
  <c r="BH75" i="38"/>
  <c r="BH62" i="38"/>
  <c r="BH73" i="38"/>
  <c r="BH80" i="38"/>
  <c r="BH79" i="38"/>
  <c r="BH68" i="38"/>
  <c r="BH67" i="38"/>
  <c r="BH78" i="38"/>
  <c r="BH61" i="38"/>
  <c r="BH72" i="38"/>
  <c r="BH57" i="38"/>
  <c r="BH51" i="38"/>
  <c r="BH59" i="38"/>
  <c r="BH58" i="38"/>
  <c r="BG51" i="38"/>
  <c r="BG59" i="38"/>
  <c r="BH83" i="38"/>
  <c r="BH70" i="38"/>
  <c r="BH71" i="38"/>
  <c r="BH91" i="38"/>
  <c r="BH94" i="38"/>
  <c r="BH92" i="38"/>
  <c r="BH93" i="38"/>
  <c r="BH84" i="38"/>
  <c r="BH74" i="38"/>
  <c r="BH56" i="38"/>
  <c r="BH86" i="38"/>
  <c r="BH89" i="38"/>
  <c r="BH77" i="38"/>
  <c r="BH69" i="38"/>
  <c r="BH55" i="38"/>
  <c r="BH76" i="38"/>
  <c r="AI53" i="72" l="1"/>
  <c r="BD49" i="11"/>
  <c r="BF21" i="11" l="1"/>
  <c r="BF32" i="11"/>
  <c r="AX49" i="11"/>
  <c r="BF49" i="11" l="1"/>
  <c r="AO152" i="45"/>
  <c r="BE152" i="45" s="1"/>
  <c r="AO151" i="45"/>
  <c r="AO147" i="45"/>
  <c r="BE147" i="45" s="1"/>
  <c r="AO146" i="45"/>
  <c r="BE146" i="45" s="1"/>
  <c r="AO135" i="45"/>
  <c r="BE135" i="45" s="1"/>
  <c r="BD135" i="45"/>
  <c r="AO133" i="45"/>
  <c r="BE133" i="45" s="1"/>
  <c r="BD133" i="45"/>
  <c r="AO8" i="45"/>
  <c r="AO7" i="45"/>
  <c r="BD7" i="45"/>
  <c r="AO2" i="45"/>
  <c r="AN2" i="45"/>
  <c r="AN86" i="11"/>
  <c r="AN82" i="11"/>
  <c r="BD82" i="11" s="1"/>
  <c r="AN81" i="11"/>
  <c r="AN70" i="11"/>
  <c r="BD70" i="11" s="1"/>
  <c r="AM70" i="11"/>
  <c r="BC70" i="11" s="1"/>
  <c r="AN68" i="11"/>
  <c r="BD68" i="11" s="1"/>
  <c r="AM68" i="11"/>
  <c r="BC68" i="11" s="1"/>
  <c r="BD52" i="11"/>
  <c r="BD51" i="11"/>
  <c r="BD50" i="11"/>
  <c r="BD48" i="11"/>
  <c r="BD47" i="11"/>
  <c r="BD46" i="11"/>
  <c r="BD45" i="11"/>
  <c r="AN44" i="11"/>
  <c r="BD44" i="11" s="1"/>
  <c r="AN7" i="11"/>
  <c r="BD7" i="11" s="1"/>
  <c r="AN5" i="11"/>
  <c r="AM5" i="11"/>
  <c r="BC5" i="11" s="1"/>
  <c r="AN2" i="11"/>
  <c r="AM2" i="11"/>
  <c r="AN185" i="10"/>
  <c r="AN181" i="10"/>
  <c r="BD181" i="10" s="1"/>
  <c r="AN180" i="10"/>
  <c r="BD180" i="10" s="1"/>
  <c r="AN169" i="10"/>
  <c r="BD169" i="10" s="1"/>
  <c r="AM169" i="10"/>
  <c r="BC169" i="10" s="1"/>
  <c r="AN167" i="10"/>
  <c r="BD167" i="10" s="1"/>
  <c r="AM167" i="10"/>
  <c r="BC167" i="10" s="1"/>
  <c r="AN7" i="10"/>
  <c r="AN5" i="10"/>
  <c r="AM5" i="10"/>
  <c r="AN2" i="10"/>
  <c r="AN176" i="10" s="1"/>
  <c r="AM2" i="10"/>
  <c r="AM176" i="10" s="1"/>
  <c r="AN132" i="9"/>
  <c r="BD132" i="9" s="1"/>
  <c r="AN131" i="9"/>
  <c r="BD131" i="9" s="1"/>
  <c r="AN130" i="9"/>
  <c r="BD130" i="9" s="1"/>
  <c r="AN129" i="9"/>
  <c r="BD129" i="9" s="1"/>
  <c r="AN128" i="9"/>
  <c r="BD128" i="9" s="1"/>
  <c r="AN127" i="9"/>
  <c r="BD127" i="9" s="1"/>
  <c r="AN126" i="9"/>
  <c r="BD126" i="9" s="1"/>
  <c r="AN125" i="9"/>
  <c r="BD125" i="9" s="1"/>
  <c r="AN124" i="9"/>
  <c r="BD124" i="9" s="1"/>
  <c r="AN123" i="9"/>
  <c r="BD123" i="9" s="1"/>
  <c r="AN122" i="9"/>
  <c r="BD122" i="9" s="1"/>
  <c r="AN121" i="9"/>
  <c r="BD121" i="9" s="1"/>
  <c r="AN120" i="9"/>
  <c r="BD120" i="9" s="1"/>
  <c r="AN119" i="9"/>
  <c r="BD119" i="9" s="1"/>
  <c r="AN118" i="9"/>
  <c r="BD118" i="9" s="1"/>
  <c r="AN117" i="9"/>
  <c r="BD117" i="9" s="1"/>
  <c r="AN116" i="9"/>
  <c r="BD116" i="9" s="1"/>
  <c r="AN115" i="9"/>
  <c r="BD115" i="9" s="1"/>
  <c r="AN114" i="9"/>
  <c r="BD114" i="9" s="1"/>
  <c r="AN113" i="9"/>
  <c r="BD113" i="9" s="1"/>
  <c r="AN112" i="9"/>
  <c r="BD112" i="9" s="1"/>
  <c r="AN111" i="9"/>
  <c r="BD111" i="9" s="1"/>
  <c r="AN108" i="9"/>
  <c r="BD108" i="9" s="1"/>
  <c r="AN107" i="9"/>
  <c r="BD107" i="9" s="1"/>
  <c r="AN106" i="9"/>
  <c r="BD106" i="9" s="1"/>
  <c r="AN105" i="9"/>
  <c r="BD105" i="9" s="1"/>
  <c r="AN92" i="9"/>
  <c r="BD92" i="9" s="1"/>
  <c r="AN88" i="9"/>
  <c r="BD88" i="9" s="1"/>
  <c r="AN70" i="9"/>
  <c r="BD70" i="9" s="1"/>
  <c r="AN69" i="9"/>
  <c r="BD69" i="9" s="1"/>
  <c r="AN68" i="9"/>
  <c r="BD68" i="9" s="1"/>
  <c r="AN67" i="9"/>
  <c r="BD67" i="9" s="1"/>
  <c r="AN66" i="9"/>
  <c r="BD66" i="9" s="1"/>
  <c r="AN65" i="9"/>
  <c r="BD65" i="9" s="1"/>
  <c r="AN64" i="9"/>
  <c r="BD64" i="9" s="1"/>
  <c r="AN63" i="9"/>
  <c r="BD63" i="9" s="1"/>
  <c r="AN61" i="9"/>
  <c r="BD61" i="9" s="1"/>
  <c r="AN59" i="9"/>
  <c r="BD59" i="9" s="1"/>
  <c r="AN58" i="9"/>
  <c r="BD58" i="9" s="1"/>
  <c r="AN56" i="9"/>
  <c r="BD56" i="9" s="1"/>
  <c r="AN55" i="9"/>
  <c r="BD55" i="9" s="1"/>
  <c r="AN45" i="9"/>
  <c r="BD45" i="9" s="1"/>
  <c r="AN44" i="9"/>
  <c r="BD44" i="9" s="1"/>
  <c r="AN43" i="9"/>
  <c r="BD43" i="9" s="1"/>
  <c r="AN42" i="9"/>
  <c r="AM119" i="90" s="1"/>
  <c r="BC119" i="90" s="1"/>
  <c r="AN41" i="9"/>
  <c r="BD41" i="9" s="1"/>
  <c r="AN40" i="9"/>
  <c r="BD40" i="9" s="1"/>
  <c r="AN39" i="9"/>
  <c r="BD39" i="9" s="1"/>
  <c r="AN38" i="9"/>
  <c r="AM38" i="9"/>
  <c r="AN33" i="9"/>
  <c r="BD33" i="9" s="1"/>
  <c r="AN32" i="9"/>
  <c r="BD32" i="9" s="1"/>
  <c r="AN30" i="9"/>
  <c r="BD30" i="9" s="1"/>
  <c r="AN29" i="9"/>
  <c r="AM29" i="9"/>
  <c r="AN27" i="9"/>
  <c r="BD27" i="9" s="1"/>
  <c r="AN24" i="9"/>
  <c r="AN23" i="9"/>
  <c r="AN22" i="9"/>
  <c r="AN20" i="9"/>
  <c r="AM20" i="9"/>
  <c r="BC20" i="9" s="1"/>
  <c r="AN18" i="9"/>
  <c r="BD18" i="9" s="1"/>
  <c r="AN17" i="9"/>
  <c r="BD17" i="9" s="1"/>
  <c r="AN16" i="9"/>
  <c r="BD16" i="9" s="1"/>
  <c r="AN15" i="9"/>
  <c r="AM15" i="9"/>
  <c r="AN13" i="9"/>
  <c r="BD13" i="9" s="1"/>
  <c r="AN12" i="9"/>
  <c r="BD12" i="9" s="1"/>
  <c r="AN11" i="9"/>
  <c r="BD11" i="9" s="1"/>
  <c r="AN9" i="9"/>
  <c r="AN8" i="9"/>
  <c r="AN7" i="9"/>
  <c r="BD7" i="9" s="1"/>
  <c r="AN2" i="9"/>
  <c r="BD2" i="9" s="1"/>
  <c r="AM2" i="9"/>
  <c r="AO60" i="8"/>
  <c r="AO81" i="8"/>
  <c r="AO73" i="8"/>
  <c r="AO52" i="8"/>
  <c r="AR41" i="59" s="1"/>
  <c r="AN98" i="8"/>
  <c r="AM73" i="8"/>
  <c r="AM61" i="8"/>
  <c r="BC61" i="8" s="1"/>
  <c r="AN60" i="8"/>
  <c r="AN33" i="8"/>
  <c r="AM33" i="8"/>
  <c r="BC33" i="8" s="1"/>
  <c r="AN31" i="8"/>
  <c r="AN30" i="8"/>
  <c r="AN29" i="8"/>
  <c r="AN28" i="8"/>
  <c r="BD28" i="8" s="1"/>
  <c r="AN27" i="8"/>
  <c r="AN25" i="8"/>
  <c r="AN24" i="8"/>
  <c r="AN23" i="8"/>
  <c r="AM21" i="8"/>
  <c r="BC21" i="8" s="1"/>
  <c r="AN20" i="8"/>
  <c r="BD20" i="8" s="1"/>
  <c r="AM20" i="8"/>
  <c r="BC20" i="8" s="1"/>
  <c r="AN19" i="8"/>
  <c r="BD19" i="8" s="1"/>
  <c r="AM19" i="8"/>
  <c r="BC19" i="8" s="1"/>
  <c r="AN18" i="8"/>
  <c r="AM18" i="8"/>
  <c r="AN10" i="8"/>
  <c r="BD10" i="8" s="1"/>
  <c r="AM10" i="8"/>
  <c r="BC10" i="8" s="1"/>
  <c r="AN9" i="8"/>
  <c r="BD9" i="8" s="1"/>
  <c r="AM9" i="8"/>
  <c r="BC9" i="8" s="1"/>
  <c r="AN8" i="8"/>
  <c r="BD8" i="8" s="1"/>
  <c r="AM8" i="8"/>
  <c r="BC8" i="8" s="1"/>
  <c r="AN6" i="8"/>
  <c r="AN2" i="8"/>
  <c r="AM2" i="8"/>
  <c r="BC2" i="8" s="1"/>
  <c r="AN149" i="8" l="1"/>
  <c r="BD30" i="8"/>
  <c r="BD157" i="8" s="1"/>
  <c r="AN157" i="8"/>
  <c r="BD23" i="8"/>
  <c r="BD150" i="8" s="1"/>
  <c r="AN150" i="8"/>
  <c r="BD24" i="8"/>
  <c r="BD151" i="8" s="1"/>
  <c r="AN151" i="8"/>
  <c r="BD25" i="8"/>
  <c r="BD153" i="8" s="1"/>
  <c r="AN153" i="8"/>
  <c r="BD31" i="8"/>
  <c r="BD156" i="8" s="1"/>
  <c r="AN156" i="8"/>
  <c r="BD27" i="8"/>
  <c r="BD154" i="8" s="1"/>
  <c r="AN154" i="8"/>
  <c r="BD33" i="8"/>
  <c r="BD152" i="8" s="1"/>
  <c r="AN152" i="8"/>
  <c r="BD29" i="8"/>
  <c r="BD155" i="8" s="1"/>
  <c r="AN155" i="8"/>
  <c r="BD6" i="8"/>
  <c r="BD98" i="8"/>
  <c r="BD149" i="8" s="1"/>
  <c r="AO162" i="45"/>
  <c r="AO168" i="45" s="1"/>
  <c r="AO120" i="45"/>
  <c r="AO158" i="45" s="1"/>
  <c r="AN143" i="45"/>
  <c r="AN140" i="45"/>
  <c r="AN141" i="45"/>
  <c r="AN142" i="45"/>
  <c r="CB63" i="71"/>
  <c r="BD29" i="9"/>
  <c r="BE8" i="45"/>
  <c r="BD38" i="9"/>
  <c r="BD2" i="11"/>
  <c r="AN77" i="11"/>
  <c r="BC2" i="11"/>
  <c r="AM77" i="11"/>
  <c r="BD2" i="45"/>
  <c r="BE2" i="45"/>
  <c r="AO142" i="45"/>
  <c r="BC38" i="9"/>
  <c r="AM20" i="35"/>
  <c r="BC29" i="9"/>
  <c r="AM19" i="35"/>
  <c r="BC19" i="35" s="1"/>
  <c r="BD182" i="10"/>
  <c r="BD44" i="8"/>
  <c r="BC71" i="11"/>
  <c r="BE148" i="45"/>
  <c r="AL8" i="15"/>
  <c r="BC18" i="8"/>
  <c r="BB8" i="15" s="1"/>
  <c r="AN91" i="11"/>
  <c r="BD86" i="11"/>
  <c r="BD91" i="11" s="1"/>
  <c r="AM8" i="15"/>
  <c r="BD18" i="8"/>
  <c r="AN89" i="11"/>
  <c r="BD5" i="11"/>
  <c r="BD89" i="11" s="1"/>
  <c r="AN83" i="11"/>
  <c r="AN84" i="11" s="1"/>
  <c r="BD81" i="11"/>
  <c r="BD83" i="11" s="1"/>
  <c r="BC69" i="11"/>
  <c r="BF68" i="59" s="1"/>
  <c r="BD57" i="11"/>
  <c r="BD69" i="11"/>
  <c r="BG68" i="59" s="1"/>
  <c r="BD71" i="11"/>
  <c r="BC168" i="10"/>
  <c r="BF64" i="59" s="1"/>
  <c r="BC170" i="10"/>
  <c r="BC5" i="10"/>
  <c r="BD168" i="10"/>
  <c r="BG64" i="59" s="1"/>
  <c r="BD170" i="10"/>
  <c r="AN188" i="10"/>
  <c r="BD5" i="10"/>
  <c r="BD7" i="10"/>
  <c r="AN190" i="10"/>
  <c r="BD185" i="10"/>
  <c r="BD56" i="11"/>
  <c r="BD59" i="11"/>
  <c r="BD55" i="11"/>
  <c r="BD92" i="11" s="1"/>
  <c r="BD42" i="9"/>
  <c r="AN135" i="9"/>
  <c r="BD8" i="9"/>
  <c r="AN137" i="9"/>
  <c r="BD22" i="9"/>
  <c r="AN136" i="9"/>
  <c r="BD9" i="9"/>
  <c r="AN138" i="9"/>
  <c r="BD23" i="9"/>
  <c r="AN139" i="9"/>
  <c r="BD24" i="9"/>
  <c r="BC15" i="9"/>
  <c r="AN51" i="9"/>
  <c r="BD15" i="9"/>
  <c r="BD36" i="9"/>
  <c r="BD57" i="9"/>
  <c r="BD34" i="9"/>
  <c r="AM103" i="9"/>
  <c r="BC2" i="9"/>
  <c r="BD62" i="36"/>
  <c r="AN101" i="9"/>
  <c r="BD20" i="9"/>
  <c r="BD93" i="9" s="1"/>
  <c r="BD136" i="45"/>
  <c r="BD134" i="45"/>
  <c r="BF72" i="59" s="1"/>
  <c r="BE134" i="45"/>
  <c r="BG72" i="59" s="1"/>
  <c r="BE136" i="45"/>
  <c r="BE122" i="45"/>
  <c r="AO137" i="45"/>
  <c r="BE7" i="45"/>
  <c r="AO156" i="45"/>
  <c r="BE151" i="45"/>
  <c r="AN89" i="8"/>
  <c r="BD2" i="8"/>
  <c r="AN36" i="9"/>
  <c r="AN31" i="9"/>
  <c r="AN45" i="8"/>
  <c r="AN69" i="11"/>
  <c r="AO148" i="45"/>
  <c r="AO155" i="45" s="1"/>
  <c r="AN71" i="11"/>
  <c r="AN57" i="11"/>
  <c r="AN93" i="11" s="1"/>
  <c r="AN72" i="11"/>
  <c r="AN56" i="11"/>
  <c r="AN59" i="11"/>
  <c r="AN182" i="10"/>
  <c r="AN189" i="10" s="1"/>
  <c r="AN34" i="9"/>
  <c r="AN10" i="9"/>
  <c r="AO136" i="45"/>
  <c r="AO122" i="45"/>
  <c r="AO150" i="45" s="1"/>
  <c r="AO154" i="45"/>
  <c r="AO121" i="45"/>
  <c r="AO134" i="45"/>
  <c r="AN55" i="11"/>
  <c r="AN92" i="11" s="1"/>
  <c r="AM71" i="11"/>
  <c r="AM69" i="11"/>
  <c r="AN168" i="10"/>
  <c r="AN170" i="10"/>
  <c r="AM170" i="10"/>
  <c r="AN184" i="10"/>
  <c r="AM168" i="10"/>
  <c r="AN171" i="10"/>
  <c r="AN46" i="9"/>
  <c r="AN20" i="35" s="1"/>
  <c r="AN25" i="9"/>
  <c r="AN134" i="9"/>
  <c r="BD134" i="9" s="1"/>
  <c r="AN35" i="9"/>
  <c r="AN93" i="9"/>
  <c r="AN46" i="8"/>
  <c r="AN82" i="8"/>
  <c r="AN41" i="8"/>
  <c r="AN40" i="8"/>
  <c r="AN44" i="8"/>
  <c r="AN47" i="8"/>
  <c r="AN81" i="8"/>
  <c r="AN43" i="8"/>
  <c r="AN109" i="8"/>
  <c r="AN110" i="8" s="1"/>
  <c r="AN83" i="8"/>
  <c r="AN90" i="8"/>
  <c r="AN84" i="8"/>
  <c r="BD84" i="8" s="1"/>
  <c r="BG50" i="59" s="1"/>
  <c r="AN39" i="8"/>
  <c r="AN26" i="8"/>
  <c r="AO113" i="7"/>
  <c r="AO112" i="7"/>
  <c r="AO111" i="7"/>
  <c r="AO110" i="7"/>
  <c r="AO109" i="7"/>
  <c r="AO108" i="7"/>
  <c r="AO107" i="7"/>
  <c r="AO106" i="7"/>
  <c r="AO85" i="7"/>
  <c r="AM113" i="7"/>
  <c r="AM112" i="7"/>
  <c r="AM111" i="7"/>
  <c r="AM110" i="7"/>
  <c r="AM109" i="7"/>
  <c r="AM108" i="7"/>
  <c r="AM107" i="7"/>
  <c r="AM106" i="7"/>
  <c r="AM85" i="7"/>
  <c r="AN74" i="7"/>
  <c r="BD74" i="7" s="1"/>
  <c r="AM74" i="7"/>
  <c r="BC74" i="7" s="1"/>
  <c r="AN72" i="7"/>
  <c r="BD72" i="7" s="1"/>
  <c r="AM72" i="7"/>
  <c r="BC72" i="7" s="1"/>
  <c r="AN68" i="7"/>
  <c r="BD68" i="7" s="1"/>
  <c r="AN66" i="7"/>
  <c r="BD66" i="7" s="1"/>
  <c r="AM66" i="7"/>
  <c r="BC66" i="7" s="1"/>
  <c r="AN65" i="7"/>
  <c r="BD65" i="7" s="1"/>
  <c r="AM65" i="7"/>
  <c r="BC65" i="7" s="1"/>
  <c r="AN50" i="7"/>
  <c r="AM50" i="7"/>
  <c r="AN48" i="7"/>
  <c r="AM48" i="7"/>
  <c r="AN47" i="7"/>
  <c r="AM47" i="7"/>
  <c r="AN46" i="7"/>
  <c r="AM46" i="7"/>
  <c r="AN45" i="7"/>
  <c r="AM45" i="7"/>
  <c r="AN44" i="7"/>
  <c r="AM44" i="7"/>
  <c r="AN43" i="7"/>
  <c r="AM43" i="7"/>
  <c r="AN42" i="7"/>
  <c r="AM42" i="7"/>
  <c r="AN6" i="7"/>
  <c r="AM6" i="7"/>
  <c r="AN2" i="7"/>
  <c r="AM2" i="7"/>
  <c r="BC2" i="7" s="1"/>
  <c r="AL1" i="7"/>
  <c r="AL80" i="7" s="1"/>
  <c r="AK1" i="7"/>
  <c r="AK80" i="7" s="1"/>
  <c r="AO199" i="6"/>
  <c r="AO198" i="6"/>
  <c r="AO197" i="6"/>
  <c r="AO190" i="6"/>
  <c r="AO189" i="6"/>
  <c r="AO186" i="6"/>
  <c r="AO185" i="6"/>
  <c r="AO184" i="6"/>
  <c r="AO183" i="6"/>
  <c r="AO182" i="6"/>
  <c r="AO181" i="6"/>
  <c r="AO179" i="6"/>
  <c r="AO178" i="6"/>
  <c r="AO177" i="6"/>
  <c r="AO165" i="6"/>
  <c r="AO164" i="6"/>
  <c r="AO161" i="6"/>
  <c r="AO160" i="6"/>
  <c r="AO159" i="6"/>
  <c r="AO158" i="6"/>
  <c r="AO157" i="6"/>
  <c r="AO156" i="6"/>
  <c r="AO154" i="6"/>
  <c r="AO153" i="6"/>
  <c r="AO149" i="6"/>
  <c r="AO85" i="6"/>
  <c r="AO83" i="6"/>
  <c r="AO82" i="6"/>
  <c r="AO80" i="6"/>
  <c r="AO79" i="6"/>
  <c r="AO40" i="6"/>
  <c r="AO39" i="6"/>
  <c r="AO38" i="6"/>
  <c r="AO37" i="6"/>
  <c r="AM199" i="6"/>
  <c r="AM198" i="6"/>
  <c r="AM197" i="6"/>
  <c r="AM190" i="6"/>
  <c r="AM189" i="6"/>
  <c r="AM186" i="6"/>
  <c r="AM185" i="6"/>
  <c r="AM184" i="6"/>
  <c r="AM183" i="6"/>
  <c r="AM182" i="6"/>
  <c r="AM181" i="6"/>
  <c r="AM179" i="6"/>
  <c r="AM178" i="6"/>
  <c r="AM177" i="6"/>
  <c r="AM169" i="6"/>
  <c r="AM165" i="6"/>
  <c r="AM164" i="6"/>
  <c r="AN163" i="6"/>
  <c r="AM161" i="6"/>
  <c r="AM160" i="6"/>
  <c r="AM159" i="6"/>
  <c r="AM158" i="6"/>
  <c r="AM157" i="6"/>
  <c r="AM156" i="6"/>
  <c r="AM154" i="6"/>
  <c r="AM153" i="6"/>
  <c r="AM149" i="6"/>
  <c r="AN122" i="6"/>
  <c r="BD122" i="6" s="1"/>
  <c r="AN119" i="6"/>
  <c r="BD119" i="6" s="1"/>
  <c r="AM119" i="6"/>
  <c r="BC119" i="6" s="1"/>
  <c r="AN118" i="6"/>
  <c r="BD118" i="6" s="1"/>
  <c r="AM118" i="6"/>
  <c r="BC118" i="6" s="1"/>
  <c r="AN117" i="6"/>
  <c r="BD117" i="6" s="1"/>
  <c r="AM117" i="6"/>
  <c r="BC117" i="6" s="1"/>
  <c r="AN116" i="6"/>
  <c r="BD116" i="6" s="1"/>
  <c r="AM116" i="6"/>
  <c r="BC116" i="6" s="1"/>
  <c r="AN113" i="6"/>
  <c r="BD113" i="6" s="1"/>
  <c r="AM113" i="6"/>
  <c r="BC113" i="6" s="1"/>
  <c r="AN112" i="6"/>
  <c r="BD112" i="6" s="1"/>
  <c r="AM112" i="6"/>
  <c r="BC112" i="6" s="1"/>
  <c r="AN110" i="6"/>
  <c r="BD110" i="6" s="1"/>
  <c r="AM110" i="6"/>
  <c r="BC110" i="6" s="1"/>
  <c r="AN109" i="6"/>
  <c r="BD109" i="6" s="1"/>
  <c r="AM109" i="6"/>
  <c r="BC109" i="6" s="1"/>
  <c r="AN108" i="6"/>
  <c r="BD108" i="6" s="1"/>
  <c r="AM108" i="6"/>
  <c r="BC108" i="6" s="1"/>
  <c r="AN105" i="6"/>
  <c r="BD105" i="6" s="1"/>
  <c r="AN100" i="6"/>
  <c r="BD100" i="6" s="1"/>
  <c r="AM100" i="6"/>
  <c r="BC100" i="6" s="1"/>
  <c r="AN99" i="6"/>
  <c r="BD99" i="6" s="1"/>
  <c r="AM99" i="6"/>
  <c r="BC99" i="6" s="1"/>
  <c r="AN97" i="6"/>
  <c r="BD97" i="6" s="1"/>
  <c r="AM97" i="6"/>
  <c r="BC97" i="6" s="1"/>
  <c r="AN96" i="6"/>
  <c r="BD96" i="6" s="1"/>
  <c r="AM96" i="6"/>
  <c r="BC96" i="6" s="1"/>
  <c r="AN93" i="6"/>
  <c r="BD93" i="6" s="1"/>
  <c r="AM93" i="6"/>
  <c r="BC93" i="6" s="1"/>
  <c r="AN92" i="6"/>
  <c r="BD92" i="6" s="1"/>
  <c r="AM92" i="6"/>
  <c r="BC92" i="6" s="1"/>
  <c r="AN91" i="6"/>
  <c r="BD91" i="6" s="1"/>
  <c r="AM91" i="6"/>
  <c r="BC91" i="6" s="1"/>
  <c r="AN88" i="6"/>
  <c r="BD88" i="6" s="1"/>
  <c r="AM88" i="6"/>
  <c r="BC88" i="6" s="1"/>
  <c r="AN87" i="6"/>
  <c r="BD87" i="6" s="1"/>
  <c r="AN86" i="6"/>
  <c r="BD86" i="6" s="1"/>
  <c r="AM85" i="6"/>
  <c r="AM83" i="6"/>
  <c r="AM82" i="6"/>
  <c r="AM80" i="6"/>
  <c r="AM79" i="6"/>
  <c r="AN76" i="6"/>
  <c r="BD76" i="6" s="1"/>
  <c r="AM76" i="6"/>
  <c r="BC76" i="6" s="1"/>
  <c r="AN75" i="6"/>
  <c r="BD75" i="6" s="1"/>
  <c r="AM75" i="6"/>
  <c r="BC75" i="6" s="1"/>
  <c r="AN74" i="6"/>
  <c r="BD74" i="6" s="1"/>
  <c r="AM74" i="6"/>
  <c r="BC74" i="6" s="1"/>
  <c r="AN73" i="6"/>
  <c r="BD73" i="6" s="1"/>
  <c r="AM73" i="6"/>
  <c r="BC73" i="6" s="1"/>
  <c r="AN72" i="6"/>
  <c r="BD72" i="6" s="1"/>
  <c r="AM72" i="6"/>
  <c r="BC72" i="6" s="1"/>
  <c r="AN70" i="6"/>
  <c r="BD70" i="6" s="1"/>
  <c r="AM70" i="6"/>
  <c r="BC70" i="6" s="1"/>
  <c r="AN68" i="6"/>
  <c r="BD68" i="6" s="1"/>
  <c r="AM68" i="6"/>
  <c r="BC68" i="6" s="1"/>
  <c r="AN67" i="6"/>
  <c r="AM67" i="6"/>
  <c r="BC67" i="6" s="1"/>
  <c r="AN65" i="6"/>
  <c r="BD65" i="6" s="1"/>
  <c r="AM65" i="6"/>
  <c r="BC65" i="6" s="1"/>
  <c r="AN64" i="6"/>
  <c r="BD64" i="6" s="1"/>
  <c r="AM64" i="6"/>
  <c r="AN53" i="6"/>
  <c r="BD53" i="6" s="1"/>
  <c r="AN52" i="6"/>
  <c r="BD52" i="6" s="1"/>
  <c r="AN50" i="6"/>
  <c r="BD50" i="6" s="1"/>
  <c r="AN49" i="6"/>
  <c r="BD49" i="6" s="1"/>
  <c r="AN47" i="6"/>
  <c r="BD47" i="6" s="1"/>
  <c r="AN46" i="6"/>
  <c r="AN44" i="6"/>
  <c r="AN43" i="6"/>
  <c r="BD43" i="6" s="1"/>
  <c r="AM40" i="6"/>
  <c r="AM39" i="6"/>
  <c r="AM38" i="6"/>
  <c r="AM37" i="6"/>
  <c r="AN31" i="6"/>
  <c r="BD31" i="6" s="1"/>
  <c r="AN30" i="6"/>
  <c r="AN28" i="6"/>
  <c r="BD28" i="6" s="1"/>
  <c r="AN27" i="6"/>
  <c r="BD27" i="6" s="1"/>
  <c r="AN25" i="6"/>
  <c r="BD25" i="6" s="1"/>
  <c r="AN24" i="6"/>
  <c r="BD24" i="6" s="1"/>
  <c r="AN2" i="6"/>
  <c r="BD2" i="6" s="1"/>
  <c r="AM2" i="6"/>
  <c r="BD39" i="8" l="1"/>
  <c r="BD45" i="8"/>
  <c r="BD90" i="8"/>
  <c r="BD83" i="8"/>
  <c r="BG49" i="59" s="1"/>
  <c r="BD40" i="8"/>
  <c r="BC6" i="7"/>
  <c r="BD6" i="7"/>
  <c r="BD20" i="35"/>
  <c r="BC20" i="35"/>
  <c r="BC43" i="7"/>
  <c r="BC47" i="7"/>
  <c r="BC50" i="7"/>
  <c r="BD43" i="7"/>
  <c r="BD47" i="7"/>
  <c r="BD50" i="7"/>
  <c r="BC42" i="7"/>
  <c r="BC44" i="7"/>
  <c r="BC46" i="7"/>
  <c r="BC48" i="7"/>
  <c r="BD42" i="7"/>
  <c r="BD44" i="7"/>
  <c r="BD46" i="7"/>
  <c r="BD48" i="7"/>
  <c r="BD47" i="8"/>
  <c r="AQ46" i="59"/>
  <c r="AN138" i="8"/>
  <c r="AQ45" i="59"/>
  <c r="AN136" i="8"/>
  <c r="BD43" i="8"/>
  <c r="BD109" i="8"/>
  <c r="BD111" i="8" s="1"/>
  <c r="BG47" i="59"/>
  <c r="BD137" i="8"/>
  <c r="AQ47" i="59"/>
  <c r="AN137" i="8"/>
  <c r="BD26" i="8"/>
  <c r="BD46" i="8"/>
  <c r="BD41" i="8"/>
  <c r="BD42" i="8" s="1"/>
  <c r="BD189" i="10"/>
  <c r="BD58" i="11"/>
  <c r="BE155" i="45"/>
  <c r="BE156" i="45"/>
  <c r="BD190" i="10"/>
  <c r="BE154" i="45"/>
  <c r="BD188" i="10"/>
  <c r="BC45" i="7"/>
  <c r="AM161" i="7"/>
  <c r="BD45" i="7"/>
  <c r="AN161" i="7"/>
  <c r="AM157" i="7"/>
  <c r="AM159" i="7" s="1"/>
  <c r="AN157" i="7"/>
  <c r="AN159" i="7" s="1"/>
  <c r="BD35" i="9"/>
  <c r="BD31" i="9"/>
  <c r="BD37" i="9" s="1"/>
  <c r="BE162" i="45"/>
  <c r="BE168" i="45" s="1"/>
  <c r="BE120" i="45"/>
  <c r="BD46" i="9"/>
  <c r="BE121" i="45"/>
  <c r="CR63" i="71"/>
  <c r="BC2" i="6"/>
  <c r="AM12" i="6"/>
  <c r="AM13" i="6"/>
  <c r="BD72" i="11"/>
  <c r="BD67" i="7"/>
  <c r="BD60" i="11"/>
  <c r="BD81" i="8"/>
  <c r="BG44" i="59" s="1"/>
  <c r="AN90" i="11"/>
  <c r="BC67" i="7"/>
  <c r="AN183" i="10"/>
  <c r="BC69" i="6"/>
  <c r="BD51" i="9"/>
  <c r="BD171" i="10"/>
  <c r="BC115" i="6"/>
  <c r="BD115" i="6"/>
  <c r="AO149" i="45"/>
  <c r="BD1" i="7"/>
  <c r="BD75" i="7"/>
  <c r="AN84" i="7"/>
  <c r="BD2" i="7"/>
  <c r="BD90" i="11"/>
  <c r="BD84" i="11"/>
  <c r="BC8" i="15"/>
  <c r="BD82" i="8"/>
  <c r="BG51" i="59" s="1"/>
  <c r="BC75" i="7"/>
  <c r="BC1" i="7"/>
  <c r="BD136" i="9"/>
  <c r="BD10" i="9"/>
  <c r="BD66" i="6"/>
  <c r="BD85" i="11"/>
  <c r="BD93" i="11"/>
  <c r="BD94" i="11" s="1"/>
  <c r="BD183" i="10"/>
  <c r="BD138" i="9"/>
  <c r="BD88" i="8"/>
  <c r="BD89" i="8"/>
  <c r="BD77" i="6"/>
  <c r="AN165" i="6"/>
  <c r="BD163" i="6"/>
  <c r="AM66" i="6"/>
  <c r="BC64" i="6"/>
  <c r="BC103" i="6"/>
  <c r="BD192" i="6"/>
  <c r="BD191" i="6"/>
  <c r="BD166" i="6"/>
  <c r="AN69" i="6"/>
  <c r="BD67" i="6"/>
  <c r="BD103" i="6"/>
  <c r="BC77" i="6"/>
  <c r="BD51" i="6"/>
  <c r="AN79" i="11"/>
  <c r="AQ69" i="59" s="1"/>
  <c r="BD22" i="36"/>
  <c r="BD79" i="11"/>
  <c r="BG69" i="59" s="1"/>
  <c r="BD29" i="6"/>
  <c r="BD26" i="6"/>
  <c r="AN32" i="6"/>
  <c r="BD30" i="6"/>
  <c r="BD139" i="9"/>
  <c r="BD137" i="9"/>
  <c r="BC103" i="9"/>
  <c r="BD101" i="9"/>
  <c r="BD25" i="9"/>
  <c r="BD135" i="9"/>
  <c r="AN45" i="6"/>
  <c r="BD44" i="6"/>
  <c r="AN48" i="6"/>
  <c r="BD46" i="6"/>
  <c r="BD54" i="6"/>
  <c r="BE137" i="45"/>
  <c r="BE149" i="45"/>
  <c r="BE159" i="45"/>
  <c r="BE150" i="45"/>
  <c r="AN85" i="11"/>
  <c r="AN58" i="11"/>
  <c r="AQ67" i="59" s="1"/>
  <c r="AM41" i="6"/>
  <c r="AM69" i="6"/>
  <c r="AN26" i="6"/>
  <c r="AN94" i="11"/>
  <c r="AN37" i="9"/>
  <c r="AN19" i="35" s="1"/>
  <c r="BD19" i="35" s="1"/>
  <c r="AN54" i="6"/>
  <c r="AN51" i="6"/>
  <c r="AO41" i="6"/>
  <c r="AN12" i="6"/>
  <c r="AN192" i="6"/>
  <c r="AN191" i="6"/>
  <c r="AN166" i="6"/>
  <c r="AO159" i="45"/>
  <c r="AO160" i="45" s="1"/>
  <c r="AN60" i="11"/>
  <c r="AN192" i="10"/>
  <c r="AN66" i="6"/>
  <c r="AN29" i="6"/>
  <c r="AN103" i="6"/>
  <c r="AN75" i="7"/>
  <c r="AN67" i="7"/>
  <c r="AN58" i="7" s="1"/>
  <c r="AM115" i="6"/>
  <c r="AM77" i="6"/>
  <c r="AO124" i="45"/>
  <c r="AO125" i="45" s="1"/>
  <c r="AO123" i="45"/>
  <c r="AQ71" i="59" s="1"/>
  <c r="AO144" i="45"/>
  <c r="AQ73" i="59" s="1"/>
  <c r="AN42" i="8"/>
  <c r="AN52" i="8"/>
  <c r="AN111" i="8"/>
  <c r="AN112" i="8" s="1"/>
  <c r="AN53" i="8" s="1"/>
  <c r="AM75" i="7"/>
  <c r="AM67" i="7"/>
  <c r="AM54" i="7" s="1"/>
  <c r="AM21" i="7"/>
  <c r="AN120" i="6"/>
  <c r="BD120" i="6" s="1"/>
  <c r="AM120" i="6"/>
  <c r="BC120" i="6" s="1"/>
  <c r="AN115" i="6"/>
  <c r="AM103" i="6"/>
  <c r="AN77" i="6"/>
  <c r="AN13" i="6"/>
  <c r="AM127" i="6"/>
  <c r="AN179" i="73"/>
  <c r="AN134" i="73"/>
  <c r="AN133" i="73" s="1"/>
  <c r="AN132" i="73" s="1"/>
  <c r="AN130" i="73"/>
  <c r="AN126" i="73"/>
  <c r="AN106" i="73"/>
  <c r="AN118" i="73" s="1"/>
  <c r="BC183" i="73"/>
  <c r="BC182" i="73"/>
  <c r="AL179" i="73"/>
  <c r="AJ179" i="73"/>
  <c r="BC178" i="73"/>
  <c r="BC177" i="73"/>
  <c r="BC176" i="73"/>
  <c r="BC173" i="73"/>
  <c r="BC172" i="73"/>
  <c r="BC170" i="73"/>
  <c r="BC169" i="73"/>
  <c r="BC167" i="73"/>
  <c r="BC165" i="73"/>
  <c r="BC136" i="73"/>
  <c r="AL134" i="73"/>
  <c r="AJ134" i="73"/>
  <c r="AL130" i="73"/>
  <c r="AJ130" i="73"/>
  <c r="BC128" i="73"/>
  <c r="BC127" i="73"/>
  <c r="AL126" i="73"/>
  <c r="AJ126" i="73"/>
  <c r="BC125" i="73"/>
  <c r="BC124" i="73"/>
  <c r="BC123" i="73"/>
  <c r="BC115" i="73"/>
  <c r="BC114" i="73"/>
  <c r="BC111" i="73"/>
  <c r="BC10" i="15" s="1"/>
  <c r="BC109" i="73"/>
  <c r="BC108" i="73"/>
  <c r="BC107" i="73"/>
  <c r="AJ106" i="73"/>
  <c r="AJ118" i="73" s="1"/>
  <c r="BC105" i="73"/>
  <c r="BC117" i="73"/>
  <c r="BC104" i="73"/>
  <c r="BC103" i="73"/>
  <c r="BC101" i="73"/>
  <c r="BC100" i="73"/>
  <c r="BC99" i="73"/>
  <c r="BC98" i="73"/>
  <c r="BC97" i="73"/>
  <c r="BC96" i="73"/>
  <c r="BC95" i="73"/>
  <c r="BC90" i="73"/>
  <c r="BC88" i="73"/>
  <c r="BC87" i="73"/>
  <c r="BC82" i="73"/>
  <c r="BC81" i="73"/>
  <c r="BC80" i="73"/>
  <c r="BC79" i="73"/>
  <c r="BC73" i="73"/>
  <c r="BC72" i="73"/>
  <c r="BC71" i="73"/>
  <c r="BC66" i="73"/>
  <c r="BC65" i="73"/>
  <c r="BC64" i="73"/>
  <c r="BC63" i="73"/>
  <c r="BC61" i="73"/>
  <c r="BC60" i="73"/>
  <c r="BC59" i="73"/>
  <c r="BC57" i="73"/>
  <c r="BC55" i="73"/>
  <c r="BC54" i="73"/>
  <c r="BC53" i="73"/>
  <c r="BC52" i="73"/>
  <c r="BC50" i="73"/>
  <c r="BC49" i="73"/>
  <c r="BC48" i="73"/>
  <c r="BC47" i="73"/>
  <c r="BC45" i="73"/>
  <c r="BC41" i="73"/>
  <c r="BC40" i="73"/>
  <c r="BC38" i="73"/>
  <c r="BC37" i="73"/>
  <c r="BC36" i="73"/>
  <c r="BC34" i="73"/>
  <c r="BC33" i="73"/>
  <c r="BC32" i="73"/>
  <c r="BC31" i="73"/>
  <c r="BC25" i="73"/>
  <c r="BC23" i="73"/>
  <c r="BC22" i="73" s="1"/>
  <c r="BC21" i="73"/>
  <c r="BC14" i="73"/>
  <c r="BC10" i="73"/>
  <c r="BC9" i="73"/>
  <c r="AJ8" i="73"/>
  <c r="AJ6" i="73" s="1"/>
  <c r="BC7" i="73"/>
  <c r="AR44" i="59"/>
  <c r="AQ72" i="59"/>
  <c r="AP72" i="59"/>
  <c r="AQ68" i="59"/>
  <c r="AP68" i="59"/>
  <c r="AQ64" i="59"/>
  <c r="AP64" i="59"/>
  <c r="AQ51" i="59"/>
  <c r="AQ50" i="59"/>
  <c r="AQ49" i="59"/>
  <c r="AQ44" i="59"/>
  <c r="AM55" i="7" l="1"/>
  <c r="AN27" i="7"/>
  <c r="AN91" i="7" s="1"/>
  <c r="AN31" i="7"/>
  <c r="AN26" i="7"/>
  <c r="AN24" i="7"/>
  <c r="AN34" i="7"/>
  <c r="AN97" i="7" s="1"/>
  <c r="AN25" i="7"/>
  <c r="AN29" i="7"/>
  <c r="AN93" i="7" s="1"/>
  <c r="AQ33" i="59" s="1"/>
  <c r="AN35" i="7"/>
  <c r="AN98" i="7" s="1"/>
  <c r="AN28" i="7"/>
  <c r="AN92" i="7" s="1"/>
  <c r="AN32" i="7"/>
  <c r="AN95" i="7" s="1"/>
  <c r="AN33" i="7"/>
  <c r="AN96" i="7" s="1"/>
  <c r="AN37" i="7"/>
  <c r="AN100" i="7" s="1"/>
  <c r="AN36" i="7"/>
  <c r="AN99" i="7" s="1"/>
  <c r="AN61" i="7"/>
  <c r="AN102" i="7" s="1"/>
  <c r="AN56" i="7"/>
  <c r="AN101" i="7" s="1"/>
  <c r="AN62" i="7"/>
  <c r="AM27" i="7"/>
  <c r="AM91" i="7" s="1"/>
  <c r="AM25" i="7"/>
  <c r="AM89" i="7" s="1"/>
  <c r="AM34" i="7"/>
  <c r="AM97" i="7" s="1"/>
  <c r="AM26" i="7"/>
  <c r="AM32" i="7"/>
  <c r="AM95" i="7" s="1"/>
  <c r="AM29" i="7"/>
  <c r="AM93" i="7" s="1"/>
  <c r="AM31" i="7"/>
  <c r="AM24" i="7"/>
  <c r="AM88" i="7" s="1"/>
  <c r="AM33" i="7"/>
  <c r="AM96" i="7" s="1"/>
  <c r="AM35" i="7"/>
  <c r="AM98" i="7" s="1"/>
  <c r="AM28" i="7"/>
  <c r="AM92" i="7" s="1"/>
  <c r="AM37" i="7"/>
  <c r="AM100" i="7" s="1"/>
  <c r="AM36" i="7"/>
  <c r="AM99" i="7" s="1"/>
  <c r="AM61" i="7"/>
  <c r="AM102" i="7" s="1"/>
  <c r="AN54" i="7"/>
  <c r="AN88" i="7" s="1"/>
  <c r="AN59" i="7"/>
  <c r="AM60" i="7"/>
  <c r="AN55" i="7"/>
  <c r="AN57" i="7"/>
  <c r="AN90" i="7" s="1"/>
  <c r="AQ32" i="59" s="1"/>
  <c r="BD110" i="8"/>
  <c r="BD52" i="8" s="1"/>
  <c r="BD121" i="8" s="1"/>
  <c r="AN23" i="7"/>
  <c r="AN87" i="7" s="1"/>
  <c r="AM58" i="7"/>
  <c r="AM62" i="7"/>
  <c r="AM23" i="7"/>
  <c r="AM87" i="7" s="1"/>
  <c r="AN60" i="7"/>
  <c r="AM56" i="7"/>
  <c r="AM101" i="7" s="1"/>
  <c r="AM59" i="7"/>
  <c r="AM57" i="7"/>
  <c r="BC127" i="6"/>
  <c r="BC161" i="7"/>
  <c r="BC57" i="7"/>
  <c r="BD60" i="7"/>
  <c r="BD56" i="7"/>
  <c r="BD101" i="7" s="1"/>
  <c r="BC60" i="7"/>
  <c r="BC56" i="7"/>
  <c r="BC101" i="7" s="1"/>
  <c r="BD62" i="7"/>
  <c r="BD55" i="7"/>
  <c r="BC59" i="7"/>
  <c r="BD161" i="7"/>
  <c r="BD57" i="7"/>
  <c r="BC23" i="7"/>
  <c r="BC87" i="7" s="1"/>
  <c r="BC29" i="7"/>
  <c r="BC93" i="7" s="1"/>
  <c r="BC33" i="7"/>
  <c r="BC96" i="7" s="1"/>
  <c r="BC27" i="7"/>
  <c r="BC91" i="7" s="1"/>
  <c r="BC36" i="7"/>
  <c r="BC99" i="7" s="1"/>
  <c r="BC34" i="7"/>
  <c r="BC97" i="7" s="1"/>
  <c r="BC31" i="7"/>
  <c r="BC28" i="7"/>
  <c r="BC92" i="7" s="1"/>
  <c r="BC32" i="7"/>
  <c r="BC95" i="7" s="1"/>
  <c r="BC25" i="7"/>
  <c r="BC26" i="7"/>
  <c r="BC37" i="7"/>
  <c r="BC100" i="7" s="1"/>
  <c r="BC35" i="7"/>
  <c r="BC98" i="7" s="1"/>
  <c r="BC24" i="7"/>
  <c r="BC61" i="7"/>
  <c r="BC102" i="7" s="1"/>
  <c r="BD23" i="7"/>
  <c r="BD87" i="7" s="1"/>
  <c r="BG29" i="59" s="1"/>
  <c r="BD32" i="7"/>
  <c r="BD95" i="7" s="1"/>
  <c r="BD29" i="7"/>
  <c r="BD93" i="7" s="1"/>
  <c r="BD36" i="7"/>
  <c r="BD99" i="7" s="1"/>
  <c r="BD35" i="7"/>
  <c r="BD98" i="7" s="1"/>
  <c r="BD37" i="7"/>
  <c r="BD100" i="7" s="1"/>
  <c r="BD31" i="7"/>
  <c r="BG34" i="59" s="1"/>
  <c r="BD26" i="7"/>
  <c r="BD24" i="7"/>
  <c r="BD27" i="7"/>
  <c r="BD91" i="7" s="1"/>
  <c r="BD28" i="7"/>
  <c r="BD92" i="7" s="1"/>
  <c r="BD25" i="7"/>
  <c r="BD33" i="7"/>
  <c r="BD96" i="7" s="1"/>
  <c r="BD34" i="7"/>
  <c r="BD97" i="7" s="1"/>
  <c r="BD61" i="7"/>
  <c r="BD102" i="7" s="1"/>
  <c r="BD58" i="7"/>
  <c r="BD54" i="7"/>
  <c r="BC58" i="7"/>
  <c r="BC54" i="7"/>
  <c r="BD59" i="7"/>
  <c r="BC62" i="7"/>
  <c r="BC55" i="7"/>
  <c r="AQ48" i="59"/>
  <c r="AQ41" i="59"/>
  <c r="AQ43" i="59" s="1"/>
  <c r="AN121" i="8"/>
  <c r="AQ42" i="59"/>
  <c r="AN123" i="8"/>
  <c r="AN139" i="8"/>
  <c r="BG45" i="59"/>
  <c r="BD136" i="8"/>
  <c r="BG46" i="59"/>
  <c r="BD138" i="8"/>
  <c r="BD32" i="6"/>
  <c r="BD48" i="6"/>
  <c r="BD45" i="6"/>
  <c r="BC66" i="6"/>
  <c r="BD69" i="6"/>
  <c r="BG67" i="59"/>
  <c r="BE144" i="45"/>
  <c r="BG73" i="59" s="1"/>
  <c r="BE158" i="45"/>
  <c r="AN129" i="73"/>
  <c r="AN137" i="73" s="1"/>
  <c r="BE124" i="45"/>
  <c r="BE123" i="45"/>
  <c r="BG71" i="59" s="1"/>
  <c r="AM76" i="7"/>
  <c r="BC78" i="7"/>
  <c r="AL137" i="73"/>
  <c r="BD84" i="7"/>
  <c r="AJ137" i="73"/>
  <c r="BD69" i="7"/>
  <c r="BC12" i="6"/>
  <c r="BC221" i="6" s="1"/>
  <c r="AM221" i="6"/>
  <c r="BD12" i="6"/>
  <c r="BD221" i="6" s="1"/>
  <c r="AN221" i="6"/>
  <c r="BD13" i="6"/>
  <c r="BD222" i="6" s="1"/>
  <c r="AN222" i="6"/>
  <c r="BC13" i="6"/>
  <c r="BC222" i="6" s="1"/>
  <c r="AM222" i="6"/>
  <c r="BD78" i="7"/>
  <c r="BD81" i="7"/>
  <c r="BG28" i="59" s="1"/>
  <c r="BG33" i="59"/>
  <c r="BD76" i="7"/>
  <c r="BD80" i="7"/>
  <c r="AN76" i="7"/>
  <c r="AM81" i="7"/>
  <c r="AP28" i="59" s="1"/>
  <c r="BC80" i="7"/>
  <c r="BC81" i="7"/>
  <c r="BF28" i="59" s="1"/>
  <c r="BC76" i="7"/>
  <c r="AM78" i="7"/>
  <c r="BD165" i="6"/>
  <c r="BC131" i="73"/>
  <c r="BC135" i="73"/>
  <c r="AQ34" i="59"/>
  <c r="AN78" i="7"/>
  <c r="AN69" i="7"/>
  <c r="AM121" i="6"/>
  <c r="AN81" i="7"/>
  <c r="AQ28" i="59" s="1"/>
  <c r="AN121" i="6"/>
  <c r="AN21" i="7"/>
  <c r="AP37" i="36"/>
  <c r="AM37" i="36"/>
  <c r="AO72" i="36"/>
  <c r="AO71" i="36"/>
  <c r="AO69" i="36"/>
  <c r="AO67" i="36"/>
  <c r="AO66" i="36"/>
  <c r="AO29" i="36"/>
  <c r="AO28" i="36"/>
  <c r="AO27" i="36"/>
  <c r="AO23" i="36"/>
  <c r="AO22" i="36"/>
  <c r="AO21" i="36"/>
  <c r="AO17" i="36"/>
  <c r="AR54" i="59" s="1"/>
  <c r="AO16" i="36"/>
  <c r="AR53" i="59" s="1"/>
  <c r="AO9" i="36"/>
  <c r="AR10" i="59" s="1"/>
  <c r="AO8" i="36"/>
  <c r="AR9" i="59" s="1"/>
  <c r="AO7" i="36"/>
  <c r="AR8" i="59" s="1"/>
  <c r="AO5" i="36"/>
  <c r="AM72" i="36"/>
  <c r="AM69" i="36"/>
  <c r="AM71" i="36" s="1"/>
  <c r="AM67" i="36"/>
  <c r="AM66" i="36"/>
  <c r="AM59" i="36"/>
  <c r="AN37" i="36"/>
  <c r="AM29" i="36"/>
  <c r="AM28" i="36"/>
  <c r="AM27" i="36"/>
  <c r="AN23" i="36"/>
  <c r="AM23" i="36"/>
  <c r="AN22" i="36"/>
  <c r="AM22" i="36"/>
  <c r="AM21" i="36"/>
  <c r="AM17" i="36"/>
  <c r="AP54" i="59" s="1"/>
  <c r="AM16" i="36"/>
  <c r="AP53" i="59" s="1"/>
  <c r="AM9" i="36"/>
  <c r="AP10" i="59" s="1"/>
  <c r="AM8" i="36"/>
  <c r="AP9" i="59" s="1"/>
  <c r="AM7" i="36"/>
  <c r="AP8" i="59" s="1"/>
  <c r="AM5" i="36"/>
  <c r="AN27" i="21"/>
  <c r="BD27" i="21" s="1"/>
  <c r="AN26" i="21"/>
  <c r="BD26" i="21" s="1"/>
  <c r="AN23" i="21"/>
  <c r="BD23" i="21" s="1"/>
  <c r="AN22" i="21"/>
  <c r="BD22" i="21" s="1"/>
  <c r="AN19" i="21"/>
  <c r="BD19" i="21" s="1"/>
  <c r="AN17" i="21"/>
  <c r="BD17" i="21" s="1"/>
  <c r="AN16" i="21"/>
  <c r="BD16" i="21" s="1"/>
  <c r="AN11" i="21"/>
  <c r="BD11" i="21" s="1"/>
  <c r="AM11" i="21"/>
  <c r="BC11" i="21" s="1"/>
  <c r="AN10" i="21"/>
  <c r="BD10" i="21" s="1"/>
  <c r="AM10" i="21"/>
  <c r="BC10" i="21" s="1"/>
  <c r="AN9" i="21"/>
  <c r="BD9" i="21" s="1"/>
  <c r="AM9" i="21"/>
  <c r="BC9" i="21" s="1"/>
  <c r="AN8" i="21"/>
  <c r="BD8" i="21" s="1"/>
  <c r="AM8" i="21"/>
  <c r="BC8" i="21" s="1"/>
  <c r="AN7" i="21"/>
  <c r="BD7" i="21" s="1"/>
  <c r="AM7" i="21"/>
  <c r="BC7" i="21" s="1"/>
  <c r="AN6" i="21"/>
  <c r="BD6" i="21" s="1"/>
  <c r="AM6" i="21"/>
  <c r="BC6" i="21" s="1"/>
  <c r="AN2" i="21"/>
  <c r="BD2" i="21" s="1"/>
  <c r="AM2" i="21"/>
  <c r="BC2" i="21" s="1"/>
  <c r="AO45" i="35"/>
  <c r="AS45" i="35" s="1"/>
  <c r="AW45" i="35" s="1"/>
  <c r="AO44" i="35"/>
  <c r="AS44" i="35" s="1"/>
  <c r="AW44" i="35" s="1"/>
  <c r="AO43" i="35"/>
  <c r="AS43" i="35" s="1"/>
  <c r="AW43" i="35" s="1"/>
  <c r="AN53" i="35"/>
  <c r="BD53" i="35" s="1"/>
  <c r="AM53" i="35"/>
  <c r="BC53" i="35" s="1"/>
  <c r="AN51" i="35"/>
  <c r="BD51" i="35" s="1"/>
  <c r="AM51" i="35"/>
  <c r="BC51" i="35" s="1"/>
  <c r="AN50" i="35"/>
  <c r="BD50" i="35" s="1"/>
  <c r="AM50" i="35"/>
  <c r="BC50" i="35" s="1"/>
  <c r="AN45" i="35"/>
  <c r="BD45" i="35" s="1"/>
  <c r="AN44" i="35"/>
  <c r="BD44" i="35" s="1"/>
  <c r="AN43" i="35"/>
  <c r="BD43" i="35" s="1"/>
  <c r="AN42" i="35"/>
  <c r="BD42" i="35" s="1"/>
  <c r="AN35" i="35"/>
  <c r="AN32" i="35"/>
  <c r="BD32" i="35" s="1"/>
  <c r="AN31" i="35"/>
  <c r="BD31" i="35" s="1"/>
  <c r="AN30" i="35"/>
  <c r="BD30" i="35" s="1"/>
  <c r="AN28" i="35"/>
  <c r="BD28" i="35" s="1"/>
  <c r="AM28" i="35"/>
  <c r="BC28" i="35" s="1"/>
  <c r="AN27" i="35"/>
  <c r="BD27" i="35" s="1"/>
  <c r="AM27" i="35"/>
  <c r="BC27" i="35" s="1"/>
  <c r="AN25" i="35"/>
  <c r="BD25" i="35" s="1"/>
  <c r="AM25" i="35"/>
  <c r="BC25" i="35" s="1"/>
  <c r="AN24" i="35"/>
  <c r="BD24" i="35" s="1"/>
  <c r="AM24" i="35"/>
  <c r="BC24" i="35" s="1"/>
  <c r="AN23" i="35"/>
  <c r="BD23" i="35" s="1"/>
  <c r="AM23" i="35"/>
  <c r="BC23" i="35" s="1"/>
  <c r="AN18" i="35"/>
  <c r="BD18" i="35" s="1"/>
  <c r="AN17" i="35"/>
  <c r="BD17" i="35" s="1"/>
  <c r="AN16" i="35"/>
  <c r="BD16" i="35" s="1"/>
  <c r="AN10" i="35"/>
  <c r="BD10" i="35" s="1"/>
  <c r="AN9" i="35"/>
  <c r="AN2" i="35"/>
  <c r="AM2" i="35"/>
  <c r="AN1" i="35"/>
  <c r="AM1" i="35"/>
  <c r="AN89" i="7" l="1"/>
  <c r="BG41" i="59"/>
  <c r="BD112" i="8"/>
  <c r="BD53" i="8" s="1"/>
  <c r="BC90" i="7"/>
  <c r="BF32" i="59" s="1"/>
  <c r="AM90" i="7"/>
  <c r="AP32" i="59" s="1"/>
  <c r="BD89" i="7"/>
  <c r="BG31" i="59" s="1"/>
  <c r="BD88" i="7"/>
  <c r="BG30" i="59" s="1"/>
  <c r="BD90" i="7"/>
  <c r="BG32" i="59" s="1"/>
  <c r="BC88" i="7"/>
  <c r="BC89" i="7"/>
  <c r="BE160" i="45"/>
  <c r="BD139" i="8"/>
  <c r="BG48" i="59"/>
  <c r="BG42" i="59"/>
  <c r="BG43" i="59" s="1"/>
  <c r="BD123" i="8"/>
  <c r="BD124" i="8" s="1"/>
  <c r="AN122" i="8"/>
  <c r="AN126" i="8" s="1"/>
  <c r="AN127" i="8" s="1"/>
  <c r="AN124" i="8"/>
  <c r="BE125" i="45"/>
  <c r="BD35" i="35"/>
  <c r="AM124" i="90"/>
  <c r="BD23" i="36"/>
  <c r="BC2" i="35"/>
  <c r="AM6" i="35"/>
  <c r="AM7" i="35"/>
  <c r="BD2" i="35"/>
  <c r="AN7" i="35"/>
  <c r="AN6" i="35"/>
  <c r="BD1" i="35"/>
  <c r="BD21" i="35" s="1"/>
  <c r="BD26" i="9" s="1"/>
  <c r="BD12" i="21"/>
  <c r="AQ31" i="59"/>
  <c r="BD9" i="6"/>
  <c r="AN9" i="6"/>
  <c r="BD9" i="35"/>
  <c r="BD8" i="6" s="1"/>
  <c r="AN8" i="6"/>
  <c r="AQ30" i="59"/>
  <c r="BC12" i="21"/>
  <c r="BD24" i="21"/>
  <c r="BD25" i="21" s="1"/>
  <c r="AN123" i="6"/>
  <c r="AN172" i="6" s="1"/>
  <c r="BD121" i="6"/>
  <c r="AM123" i="6"/>
  <c r="BC121" i="6"/>
  <c r="BD26" i="35"/>
  <c r="AL9" i="15"/>
  <c r="BB9" i="15"/>
  <c r="AM9" i="15"/>
  <c r="BC9" i="15"/>
  <c r="BC26" i="35"/>
  <c r="AN97" i="11"/>
  <c r="BD97" i="11"/>
  <c r="BD10" i="36"/>
  <c r="BD12" i="36"/>
  <c r="BD11" i="36"/>
  <c r="BC18" i="15"/>
  <c r="BD5" i="9"/>
  <c r="BD70" i="36"/>
  <c r="BC1" i="35"/>
  <c r="BC21" i="35" s="1"/>
  <c r="BC26" i="9" s="1"/>
  <c r="AN21" i="35"/>
  <c r="AN26" i="9" s="1"/>
  <c r="AN24" i="21"/>
  <c r="AN25" i="21" s="1"/>
  <c r="AN5" i="15"/>
  <c r="AR77" i="59"/>
  <c r="AN5" i="9"/>
  <c r="AN94" i="9" s="1"/>
  <c r="AM19" i="15" s="1"/>
  <c r="AM18" i="15"/>
  <c r="AL5" i="15"/>
  <c r="AP77" i="59"/>
  <c r="AN6" i="15"/>
  <c r="AR78" i="59"/>
  <c r="AL7" i="15"/>
  <c r="AP79" i="59"/>
  <c r="AN11" i="35"/>
  <c r="AN10" i="6" s="1"/>
  <c r="AL6" i="15"/>
  <c r="AP78" i="59"/>
  <c r="AN7" i="15"/>
  <c r="AR79" i="59"/>
  <c r="AN38" i="7"/>
  <c r="AM68" i="36"/>
  <c r="AO68" i="36"/>
  <c r="AO13" i="49"/>
  <c r="AR6" i="59"/>
  <c r="AM13" i="49"/>
  <c r="AP6" i="59"/>
  <c r="AN28" i="21"/>
  <c r="BD28" i="21" s="1"/>
  <c r="AN10" i="36"/>
  <c r="AQ36" i="59" s="1"/>
  <c r="AN11" i="36"/>
  <c r="AQ37" i="59" s="1"/>
  <c r="AN12" i="36"/>
  <c r="AQ38" i="59" s="1"/>
  <c r="AM12" i="21"/>
  <c r="AQ29" i="59"/>
  <c r="AN12" i="21"/>
  <c r="AN33" i="35"/>
  <c r="AM26" i="35"/>
  <c r="AN26" i="35"/>
  <c r="AM21" i="35"/>
  <c r="AM26" i="9" s="1"/>
  <c r="AM22" i="21" l="1"/>
  <c r="AM556" i="28"/>
  <c r="AM555" i="28"/>
  <c r="BC22" i="21"/>
  <c r="BC556" i="28"/>
  <c r="BC555" i="28"/>
  <c r="BD122" i="8"/>
  <c r="BD126" i="8" s="1"/>
  <c r="BD127" i="8" s="1"/>
  <c r="BD132" i="8" s="1"/>
  <c r="BD145" i="8" s="1"/>
  <c r="AN53" i="7"/>
  <c r="AN63" i="7" s="1"/>
  <c r="AN130" i="8"/>
  <c r="AN132" i="8"/>
  <c r="AN145" i="8" s="1"/>
  <c r="AN131" i="8"/>
  <c r="AN144" i="8" s="1"/>
  <c r="BC123" i="6"/>
  <c r="BD123" i="6"/>
  <c r="BG36" i="59"/>
  <c r="AM126" i="90"/>
  <c r="BC126" i="90" s="1"/>
  <c r="BC124" i="90"/>
  <c r="BG37" i="59"/>
  <c r="BG38" i="59"/>
  <c r="BD11" i="35"/>
  <c r="BD10" i="6" s="1"/>
  <c r="AN103" i="7"/>
  <c r="AN173" i="6"/>
  <c r="AQ22" i="59" s="1"/>
  <c r="AN175" i="6"/>
  <c r="AN89" i="9"/>
  <c r="AM172" i="6"/>
  <c r="AM173" i="6"/>
  <c r="AM175" i="6"/>
  <c r="BD33" i="35"/>
  <c r="AM6" i="6"/>
  <c r="AM16" i="6" s="1"/>
  <c r="BC7" i="35"/>
  <c r="BC6" i="6" s="1"/>
  <c r="BC16" i="6" s="1"/>
  <c r="BD34" i="22"/>
  <c r="BC130" i="26"/>
  <c r="BG59" i="59"/>
  <c r="BD78" i="9"/>
  <c r="BD94" i="9"/>
  <c r="BC19" i="15" s="1"/>
  <c r="BD76" i="9"/>
  <c r="BD89" i="9"/>
  <c r="AM5" i="6"/>
  <c r="AQ59" i="59"/>
  <c r="AM130" i="26"/>
  <c r="AN75" i="9"/>
  <c r="AN34" i="22"/>
  <c r="AN72" i="9"/>
  <c r="AN76" i="9"/>
  <c r="AN78" i="9"/>
  <c r="AN73" i="9"/>
  <c r="AN13" i="36"/>
  <c r="AQ39" i="59" s="1"/>
  <c r="AM8" i="35"/>
  <c r="H134" i="73"/>
  <c r="J134" i="73"/>
  <c r="L134" i="73"/>
  <c r="N134" i="73"/>
  <c r="P134" i="73"/>
  <c r="R134" i="73"/>
  <c r="T134" i="73"/>
  <c r="V134" i="73"/>
  <c r="X134" i="73"/>
  <c r="Z134" i="73"/>
  <c r="AB134" i="73"/>
  <c r="AD134" i="73"/>
  <c r="AF134" i="73"/>
  <c r="AH134" i="73"/>
  <c r="H130" i="73"/>
  <c r="J130" i="73"/>
  <c r="L130" i="73"/>
  <c r="N130" i="73"/>
  <c r="P130" i="73"/>
  <c r="R130" i="73"/>
  <c r="T130" i="73"/>
  <c r="V130" i="73"/>
  <c r="X130" i="73"/>
  <c r="Z130" i="73"/>
  <c r="Z129" i="73" s="1"/>
  <c r="AB130" i="73"/>
  <c r="AD130" i="73"/>
  <c r="AF130" i="73"/>
  <c r="AH130" i="73"/>
  <c r="H126" i="73"/>
  <c r="J126" i="73"/>
  <c r="L126" i="73"/>
  <c r="N126" i="73"/>
  <c r="P126" i="73"/>
  <c r="R126" i="73"/>
  <c r="T126" i="73"/>
  <c r="V126" i="73"/>
  <c r="X126" i="73"/>
  <c r="Z126" i="73"/>
  <c r="AB126" i="73"/>
  <c r="AD126" i="73"/>
  <c r="AF126" i="73"/>
  <c r="AH126" i="73"/>
  <c r="P118" i="73"/>
  <c r="R118" i="73"/>
  <c r="AO25" i="73"/>
  <c r="AS25" i="73" s="1"/>
  <c r="M7" i="73"/>
  <c r="Q7" i="73" s="1"/>
  <c r="U7" i="73" s="1"/>
  <c r="M9" i="73"/>
  <c r="Q9" i="73" s="1"/>
  <c r="U9" i="73" s="1"/>
  <c r="M10" i="73"/>
  <c r="Q10" i="73" s="1"/>
  <c r="U10" i="73" s="1"/>
  <c r="M14" i="73"/>
  <c r="Q14" i="73" s="1"/>
  <c r="U14" i="73" s="1"/>
  <c r="M21" i="73"/>
  <c r="Q21" i="73" s="1"/>
  <c r="U21" i="73" s="1"/>
  <c r="M23" i="73"/>
  <c r="Q23" i="73" s="1"/>
  <c r="U23" i="73" s="1"/>
  <c r="AA25" i="73"/>
  <c r="AE25" i="73" s="1"/>
  <c r="I7" i="73"/>
  <c r="I9" i="73"/>
  <c r="I10" i="73"/>
  <c r="I14" i="73"/>
  <c r="I21" i="73"/>
  <c r="I23" i="73"/>
  <c r="I25" i="73"/>
  <c r="F120" i="90"/>
  <c r="J8" i="73"/>
  <c r="J6" i="73" s="1"/>
  <c r="N8" i="73"/>
  <c r="N6" i="73" s="1"/>
  <c r="R8" i="73"/>
  <c r="R6" i="73" s="1"/>
  <c r="V8" i="73"/>
  <c r="V6" i="73" s="1"/>
  <c r="AB8" i="73"/>
  <c r="AB6" i="73" s="1"/>
  <c r="AF8" i="73"/>
  <c r="AF6" i="73" s="1"/>
  <c r="AN77" i="7" l="1"/>
  <c r="BD131" i="8"/>
  <c r="BD144" i="8" s="1"/>
  <c r="BD130" i="8"/>
  <c r="BD133" i="8" s="1"/>
  <c r="BD146" i="8" s="1"/>
  <c r="I22" i="73"/>
  <c r="BC173" i="6"/>
  <c r="BC175" i="6"/>
  <c r="BC172" i="6"/>
  <c r="BC174" i="6" s="1"/>
  <c r="AM15" i="6"/>
  <c r="AM98" i="6"/>
  <c r="BD143" i="8"/>
  <c r="BD173" i="6"/>
  <c r="BG22" i="59" s="1"/>
  <c r="BD175" i="6"/>
  <c r="BD172" i="6"/>
  <c r="AN133" i="8"/>
  <c r="AN146" i="8" s="1"/>
  <c r="AN143" i="8"/>
  <c r="I6" i="73"/>
  <c r="F46" i="28"/>
  <c r="AF137" i="73"/>
  <c r="BC123" i="26"/>
  <c r="BC125" i="26"/>
  <c r="BC116" i="26"/>
  <c r="BC114" i="26"/>
  <c r="BC118" i="26"/>
  <c r="BC126" i="26"/>
  <c r="BC120" i="26"/>
  <c r="BC117" i="26"/>
  <c r="BC122" i="26"/>
  <c r="BC121" i="26"/>
  <c r="BC124" i="26"/>
  <c r="BC119" i="26"/>
  <c r="BC115" i="26"/>
  <c r="BC127" i="26"/>
  <c r="AM116" i="26"/>
  <c r="AM118" i="26"/>
  <c r="AM126" i="26"/>
  <c r="AM122" i="26"/>
  <c r="AM124" i="26"/>
  <c r="AM125" i="26"/>
  <c r="AM127" i="26"/>
  <c r="AM121" i="26"/>
  <c r="AM115" i="26"/>
  <c r="AM123" i="26"/>
  <c r="AM128" i="26"/>
  <c r="AM114" i="26"/>
  <c r="AM117" i="26"/>
  <c r="AM119" i="26"/>
  <c r="AM120" i="26"/>
  <c r="AD137" i="73"/>
  <c r="AH137" i="73"/>
  <c r="J137" i="73"/>
  <c r="V137" i="73"/>
  <c r="R137" i="73"/>
  <c r="T137" i="73"/>
  <c r="AB137" i="73"/>
  <c r="P137" i="73"/>
  <c r="N137" i="73"/>
  <c r="X137" i="73"/>
  <c r="L137" i="73"/>
  <c r="AW25" i="73"/>
  <c r="AN174" i="6"/>
  <c r="AN8" i="36" s="1"/>
  <c r="AQ9" i="59" s="1"/>
  <c r="AM174" i="6"/>
  <c r="AA21" i="73"/>
  <c r="AE21" i="73" s="1"/>
  <c r="AI21" i="73" s="1"/>
  <c r="AO21" i="73" s="1"/>
  <c r="AS21" i="73" s="1"/>
  <c r="AW21" i="73" s="1"/>
  <c r="AA7" i="73"/>
  <c r="AE7" i="73" s="1"/>
  <c r="AA14" i="73"/>
  <c r="AE14" i="73" s="1"/>
  <c r="AI14" i="73" s="1"/>
  <c r="AO14" i="73" s="1"/>
  <c r="AS14" i="73" s="1"/>
  <c r="AW14" i="73" s="1"/>
  <c r="AA9" i="73"/>
  <c r="AE9" i="73" s="1"/>
  <c r="AA10" i="73"/>
  <c r="AE10" i="73" s="1"/>
  <c r="AM126" i="73"/>
  <c r="BC126" i="73" s="1"/>
  <c r="AM8" i="73"/>
  <c r="BC8" i="73" s="1"/>
  <c r="AA23" i="73"/>
  <c r="M22" i="73"/>
  <c r="Q22" i="73" s="1"/>
  <c r="U22" i="73" s="1"/>
  <c r="Y6" i="73"/>
  <c r="Y8" i="73"/>
  <c r="Y130" i="73"/>
  <c r="AM134" i="73"/>
  <c r="BC134" i="73" s="1"/>
  <c r="Y126" i="73"/>
  <c r="AM130" i="73"/>
  <c r="BC130" i="73" s="1"/>
  <c r="AM7" i="6"/>
  <c r="H137" i="73"/>
  <c r="I20" i="73"/>
  <c r="BC20" i="73"/>
  <c r="M20" i="73"/>
  <c r="I8" i="73"/>
  <c r="M6" i="73"/>
  <c r="M8" i="73"/>
  <c r="AO63" i="83"/>
  <c r="BE63" i="83" s="1"/>
  <c r="F35" i="28" l="1"/>
  <c r="I120" i="90"/>
  <c r="BD174" i="6"/>
  <c r="BD8" i="36" s="1"/>
  <c r="BG9" i="59" s="1"/>
  <c r="AM104" i="6"/>
  <c r="AM106" i="6" s="1"/>
  <c r="AM144" i="6" s="1"/>
  <c r="F67" i="28"/>
  <c r="F37" i="28"/>
  <c r="J35" i="28"/>
  <c r="J46" i="28"/>
  <c r="BC128" i="26"/>
  <c r="Q20" i="73"/>
  <c r="M120" i="90"/>
  <c r="BE25" i="73"/>
  <c r="BE21" i="73"/>
  <c r="BE14" i="73"/>
  <c r="AI9" i="73"/>
  <c r="AO9" i="73" s="1"/>
  <c r="AS9" i="73" s="1"/>
  <c r="AW9" i="73" s="1"/>
  <c r="AI7" i="73"/>
  <c r="AO7" i="73" s="1"/>
  <c r="AS7" i="73" s="1"/>
  <c r="AW7" i="73" s="1"/>
  <c r="AI10" i="73"/>
  <c r="AO10" i="73" s="1"/>
  <c r="AS10" i="73" s="1"/>
  <c r="AW10" i="73" s="1"/>
  <c r="AA22" i="73"/>
  <c r="AE22" i="73" s="1"/>
  <c r="AI22" i="73" s="1"/>
  <c r="AE23" i="73"/>
  <c r="AI23" i="73" s="1"/>
  <c r="AO23" i="73" s="1"/>
  <c r="Q6" i="73"/>
  <c r="U6" i="73" s="1"/>
  <c r="Q8" i="73"/>
  <c r="U8" i="73" s="1"/>
  <c r="AA20" i="73"/>
  <c r="Y5" i="73"/>
  <c r="AA8" i="73"/>
  <c r="AE8" i="73" s="1"/>
  <c r="AA6" i="73"/>
  <c r="AE6" i="73" s="1"/>
  <c r="AM6" i="73"/>
  <c r="BC6" i="73" s="1"/>
  <c r="AG63" i="83"/>
  <c r="AK63" i="83" s="1"/>
  <c r="AQ63" i="83" s="1"/>
  <c r="AU63" i="83" s="1"/>
  <c r="AY63" i="83" s="1"/>
  <c r="BG63" i="83" s="1"/>
  <c r="M5" i="73"/>
  <c r="Q5" i="73" s="1"/>
  <c r="U5" i="73" s="1"/>
  <c r="I5" i="73"/>
  <c r="F77" i="28" l="1"/>
  <c r="AM147" i="6"/>
  <c r="AM145" i="6"/>
  <c r="AM146" i="6" s="1"/>
  <c r="AE20" i="73"/>
  <c r="AA120" i="90"/>
  <c r="U20" i="73"/>
  <c r="U120" i="90" s="1"/>
  <c r="Q120" i="90"/>
  <c r="BE7" i="73"/>
  <c r="BE9" i="73"/>
  <c r="BE10" i="73"/>
  <c r="AI6" i="73"/>
  <c r="AO6" i="73" s="1"/>
  <c r="AS6" i="73" s="1"/>
  <c r="AW6" i="73" s="1"/>
  <c r="AS23" i="73"/>
  <c r="AO22" i="73"/>
  <c r="AI8" i="73"/>
  <c r="AO8" i="73" s="1"/>
  <c r="AS8" i="73" s="1"/>
  <c r="AW8" i="73" s="1"/>
  <c r="AA5" i="73"/>
  <c r="AE5" i="73" s="1"/>
  <c r="AI5" i="73" s="1"/>
  <c r="AO5" i="73" s="1"/>
  <c r="AS5" i="73" s="1"/>
  <c r="AM5" i="73"/>
  <c r="BC5" i="73" s="1"/>
  <c r="AI20" i="73" l="1"/>
  <c r="AE120" i="90"/>
  <c r="BE6" i="73"/>
  <c r="BE8" i="73"/>
  <c r="AW23" i="73"/>
  <c r="AS22" i="73"/>
  <c r="AW5" i="73"/>
  <c r="AO20" i="73" l="1"/>
  <c r="AI120" i="90"/>
  <c r="BE5" i="73"/>
  <c r="AW22" i="73"/>
  <c r="BE23" i="73"/>
  <c r="BE22" i="73" l="1"/>
  <c r="AO120" i="90"/>
  <c r="AS20" i="73"/>
  <c r="AW20" i="73" l="1"/>
  <c r="AS120" i="90"/>
  <c r="AH16" i="52"/>
  <c r="AG16" i="52"/>
  <c r="AH9" i="52"/>
  <c r="AG9" i="52"/>
  <c r="AW120" i="90" l="1"/>
  <c r="BE20" i="73"/>
  <c r="AH17" i="52"/>
  <c r="AG17" i="52"/>
  <c r="S58" i="83" l="1"/>
  <c r="W58" i="83" s="1"/>
  <c r="S59" i="83"/>
  <c r="W59" i="83" s="1"/>
  <c r="AO58" i="83"/>
  <c r="BE58" i="83" s="1"/>
  <c r="AO59" i="83"/>
  <c r="BE59" i="83" s="1"/>
  <c r="AO60" i="83"/>
  <c r="BE60" i="83" s="1"/>
  <c r="AG58" i="83" l="1"/>
  <c r="AK58" i="83" s="1"/>
  <c r="AQ58" i="83" s="1"/>
  <c r="AU58" i="83" s="1"/>
  <c r="AY58" i="83" s="1"/>
  <c r="BG58" i="83" s="1"/>
  <c r="AG59" i="83"/>
  <c r="AK59" i="83" s="1"/>
  <c r="AQ59" i="83" s="1"/>
  <c r="AU59" i="83" s="1"/>
  <c r="AY59" i="83" s="1"/>
  <c r="BG59" i="83" s="1"/>
  <c r="M100" i="73"/>
  <c r="Q100" i="73" s="1"/>
  <c r="U100" i="73" s="1"/>
  <c r="AA71" i="73" l="1"/>
  <c r="AE71" i="73" s="1"/>
  <c r="AA100" i="73"/>
  <c r="BE69" i="73"/>
  <c r="AI71" i="73" l="1"/>
  <c r="AO71" i="73" s="1"/>
  <c r="AS71" i="73" s="1"/>
  <c r="AW71" i="73" s="1"/>
  <c r="AM75" i="90"/>
  <c r="BC75" i="90" s="1"/>
  <c r="AM71" i="90"/>
  <c r="BC71" i="90" s="1"/>
  <c r="AE100" i="73"/>
  <c r="AI100" i="73" s="1"/>
  <c r="AO100" i="73" l="1"/>
  <c r="AS100" i="73" s="1"/>
  <c r="M71" i="90"/>
  <c r="AA71" i="90"/>
  <c r="Q71" i="90"/>
  <c r="AE71" i="90"/>
  <c r="U71" i="90"/>
  <c r="AO71" i="90"/>
  <c r="AS71" i="90" s="1"/>
  <c r="AW71" i="90" s="1"/>
  <c r="AO75" i="90"/>
  <c r="AS75" i="90" s="1"/>
  <c r="AW75" i="90" s="1"/>
  <c r="AW100" i="73" l="1"/>
  <c r="BE100" i="73" l="1"/>
  <c r="AO53" i="83"/>
  <c r="BE53" i="83" s="1"/>
  <c r="AO55" i="83"/>
  <c r="BE55" i="83" s="1"/>
  <c r="AO56" i="83"/>
  <c r="BE56" i="83" s="1"/>
  <c r="AO57" i="83"/>
  <c r="BE57" i="83" s="1"/>
  <c r="AO61" i="83"/>
  <c r="BE61" i="83" s="1"/>
  <c r="AO62" i="83"/>
  <c r="BE62" i="83" s="1"/>
  <c r="AO65" i="83"/>
  <c r="BE65" i="83" s="1"/>
  <c r="AO66" i="83"/>
  <c r="BE66" i="83" s="1"/>
  <c r="AO67" i="83"/>
  <c r="BE67" i="83" s="1"/>
  <c r="K19" i="83"/>
  <c r="AO17" i="83"/>
  <c r="BE17" i="83" s="1"/>
  <c r="AO18" i="83"/>
  <c r="BE18" i="83" s="1"/>
  <c r="AO19" i="83"/>
  <c r="BE19" i="83" s="1"/>
  <c r="AO24" i="83"/>
  <c r="BE24" i="83" s="1"/>
  <c r="AO25" i="83"/>
  <c r="BE25" i="83" s="1"/>
  <c r="AO27" i="83"/>
  <c r="BE27" i="83" s="1"/>
  <c r="AO29" i="83"/>
  <c r="BE29" i="83" s="1"/>
  <c r="AO30" i="83"/>
  <c r="BE30" i="83" s="1"/>
  <c r="AO31" i="83"/>
  <c r="BE31" i="83" s="1"/>
  <c r="AO32" i="83"/>
  <c r="BE32" i="83" s="1"/>
  <c r="AO33" i="83"/>
  <c r="BE33" i="83" s="1"/>
  <c r="AO34" i="83"/>
  <c r="BE34" i="83" s="1"/>
  <c r="AO35" i="83"/>
  <c r="BE35" i="83" s="1"/>
  <c r="AO36" i="83"/>
  <c r="BE36" i="83" s="1"/>
  <c r="AO37" i="83"/>
  <c r="BE37" i="83" s="1"/>
  <c r="BE15" i="61" l="1"/>
  <c r="S19" i="83"/>
  <c r="W19" i="83" s="1"/>
  <c r="W15" i="61" l="1"/>
  <c r="AG19" i="83"/>
  <c r="AK19" i="83" s="1"/>
  <c r="AG15" i="61" l="1"/>
  <c r="AQ19" i="83" l="1"/>
  <c r="AU19" i="83" s="1"/>
  <c r="AK15" i="61"/>
  <c r="AQ15" i="61" s="1"/>
  <c r="AU15" i="61" s="1"/>
  <c r="AN14" i="49"/>
  <c r="BD14" i="49" s="1"/>
  <c r="AY15" i="61" l="1"/>
  <c r="BG15" i="61" s="1"/>
  <c r="AY19" i="83"/>
  <c r="BG19" i="83" s="1"/>
  <c r="AN15" i="49"/>
  <c r="BD15" i="49" s="1"/>
  <c r="AN16" i="49" l="1"/>
  <c r="BD16" i="49" s="1"/>
  <c r="AH7" i="15"/>
  <c r="AH6" i="15"/>
  <c r="AH5" i="15"/>
  <c r="AI17" i="36"/>
  <c r="AI16" i="36"/>
  <c r="AI9" i="36"/>
  <c r="AI8" i="36"/>
  <c r="AI7" i="36"/>
  <c r="AI5" i="36"/>
  <c r="AI13" i="49" s="1"/>
  <c r="AN19" i="49" l="1"/>
  <c r="BD19" i="49" s="1"/>
  <c r="AH15" i="36" l="1"/>
  <c r="AK52" i="59" l="1"/>
  <c r="AJ104" i="50"/>
  <c r="AJ105" i="50" s="1"/>
  <c r="AH104" i="50"/>
  <c r="AH105" i="50" s="1"/>
  <c r="AI4" i="61" l="1"/>
  <c r="AI16" i="61" s="1"/>
  <c r="AE48" i="72"/>
  <c r="AE40" i="72"/>
  <c r="AK40" i="72" s="1"/>
  <c r="AE20" i="72"/>
  <c r="AK20" i="72" s="1"/>
  <c r="AL41" i="59"/>
  <c r="AH1" i="7"/>
  <c r="AH80" i="7" s="1"/>
  <c r="AG1" i="7"/>
  <c r="AG80" i="7" s="1"/>
  <c r="AK48" i="72" l="1"/>
  <c r="AE51" i="72"/>
  <c r="AE53" i="72" s="1"/>
  <c r="AI199" i="6"/>
  <c r="AI198" i="6"/>
  <c r="AI197" i="6"/>
  <c r="AI190" i="6"/>
  <c r="AI189" i="6"/>
  <c r="AI186" i="6"/>
  <c r="AI185" i="6"/>
  <c r="AI184" i="6"/>
  <c r="AI183" i="6"/>
  <c r="AI182" i="6"/>
  <c r="AI181" i="6"/>
  <c r="AI179" i="6"/>
  <c r="AI178" i="6"/>
  <c r="AI177" i="6"/>
  <c r="AI165" i="6"/>
  <c r="AI164" i="6"/>
  <c r="AI161" i="6"/>
  <c r="AI160" i="6"/>
  <c r="AI159" i="6"/>
  <c r="AI158" i="6"/>
  <c r="AI157" i="6"/>
  <c r="AI156" i="6"/>
  <c r="AI154" i="6"/>
  <c r="AI153" i="6"/>
  <c r="AI149" i="6"/>
  <c r="AI85" i="6"/>
  <c r="AI83" i="6"/>
  <c r="AI82" i="6"/>
  <c r="AI80" i="6"/>
  <c r="AI79" i="6"/>
  <c r="AI40" i="6"/>
  <c r="AI39" i="6"/>
  <c r="AI38" i="6"/>
  <c r="AI37" i="6"/>
  <c r="AK51" i="72" l="1"/>
  <c r="AI41" i="6"/>
  <c r="AP12" i="59"/>
  <c r="AM60" i="6"/>
  <c r="AP16" i="59" s="1"/>
  <c r="AM61" i="6"/>
  <c r="AP23" i="59" s="1"/>
  <c r="BC60" i="6" l="1"/>
  <c r="BF16" i="59" s="1"/>
  <c r="BC61" i="6"/>
  <c r="BF23" i="59" s="1"/>
  <c r="AH179" i="73" l="1"/>
  <c r="AF179" i="73"/>
  <c r="AH106" i="73"/>
  <c r="AH118" i="73" s="1"/>
  <c r="AL79" i="59"/>
  <c r="AL78" i="59"/>
  <c r="AL77" i="59"/>
  <c r="AL71" i="59"/>
  <c r="AL67" i="59"/>
  <c r="AL63" i="59"/>
  <c r="AL59" i="59"/>
  <c r="AL54" i="59"/>
  <c r="AL53" i="59"/>
  <c r="AL44" i="59"/>
  <c r="AL10" i="59"/>
  <c r="AL9" i="59"/>
  <c r="AL8" i="59"/>
  <c r="AL6" i="59"/>
  <c r="AM14" i="49" l="1"/>
  <c r="BC14" i="49" s="1"/>
  <c r="AM15" i="49" l="1"/>
  <c r="BC15" i="49" s="1"/>
  <c r="AM16" i="49" l="1"/>
  <c r="BC16" i="49" s="1"/>
  <c r="AH98" i="50"/>
  <c r="AH96" i="50" s="1"/>
  <c r="AM19" i="49" l="1"/>
  <c r="BC19" i="49" s="1"/>
  <c r="S60" i="83"/>
  <c r="AI80" i="83" l="1"/>
  <c r="AI78" i="83" s="1"/>
  <c r="W60" i="83"/>
  <c r="X51" i="26"/>
  <c r="AG60" i="83" l="1"/>
  <c r="AK60" i="83" s="1"/>
  <c r="AQ60" i="83" s="1"/>
  <c r="AU60" i="83" s="1"/>
  <c r="AY60" i="83" s="1"/>
  <c r="BG60" i="83" s="1"/>
  <c r="AF159" i="9" l="1"/>
  <c r="AF158" i="9"/>
  <c r="AF157" i="9"/>
  <c r="J14" i="7" l="1"/>
  <c r="AE70" i="83" l="1"/>
  <c r="AE72" i="83"/>
  <c r="AE73" i="83"/>
  <c r="AE74" i="83"/>
  <c r="AE75" i="83"/>
  <c r="AE68" i="83"/>
  <c r="AO68" i="83" s="1"/>
  <c r="BE68" i="83" s="1"/>
  <c r="AE52" i="83"/>
  <c r="AO52" i="83" s="1"/>
  <c r="BE52" i="83" s="1"/>
  <c r="AE48" i="83"/>
  <c r="AO48" i="83" s="1"/>
  <c r="BE48" i="83" s="1"/>
  <c r="AE50" i="83"/>
  <c r="AO50" i="83" s="1"/>
  <c r="BE50" i="83" s="1"/>
  <c r="AE46" i="83"/>
  <c r="AO46" i="83" s="1"/>
  <c r="BE46" i="83" s="1"/>
  <c r="AA48" i="83"/>
  <c r="AC48" i="83" s="1"/>
  <c r="W48" i="83"/>
  <c r="W50" i="83"/>
  <c r="AE40" i="83"/>
  <c r="AO40" i="83" s="1"/>
  <c r="BE40" i="83" s="1"/>
  <c r="AE41" i="83"/>
  <c r="AO41" i="83" s="1"/>
  <c r="BE41" i="83" s="1"/>
  <c r="AE42" i="83"/>
  <c r="AO42" i="83" s="1"/>
  <c r="BE42" i="83" s="1"/>
  <c r="AE43" i="83"/>
  <c r="AO43" i="83" s="1"/>
  <c r="BE43" i="83" s="1"/>
  <c r="AE44" i="83"/>
  <c r="AO44" i="83" s="1"/>
  <c r="BE44" i="83" s="1"/>
  <c r="AE39" i="83"/>
  <c r="AO39" i="83" s="1"/>
  <c r="BE39" i="83" s="1"/>
  <c r="AG13" i="83"/>
  <c r="AK13" i="83" s="1"/>
  <c r="G94" i="50"/>
  <c r="AD16" i="52"/>
  <c r="BE51" i="83" l="1"/>
  <c r="AO75" i="83"/>
  <c r="BE75" i="83" s="1"/>
  <c r="AO74" i="83"/>
  <c r="BE74" i="83" s="1"/>
  <c r="AO73" i="83"/>
  <c r="BE73" i="83" s="1"/>
  <c r="AO72" i="83"/>
  <c r="BE72" i="83" s="1"/>
  <c r="AO70" i="83"/>
  <c r="BE70" i="83" s="1"/>
  <c r="AO51" i="83"/>
  <c r="AO45" i="83"/>
  <c r="BE45" i="83" s="1"/>
  <c r="AG48" i="83"/>
  <c r="AK48" i="83" s="1"/>
  <c r="AQ48" i="83" s="1"/>
  <c r="AU48" i="83" s="1"/>
  <c r="AY48" i="83" s="1"/>
  <c r="BG48" i="83" s="1"/>
  <c r="AE51" i="83"/>
  <c r="AE45" i="83"/>
  <c r="AE76" i="83"/>
  <c r="AO76" i="83" l="1"/>
  <c r="BE76" i="83" s="1"/>
  <c r="AQ13" i="83" l="1"/>
  <c r="AU13" i="83" s="1"/>
  <c r="AM37" i="27"/>
  <c r="BC37" i="27" s="1"/>
  <c r="AM35" i="27"/>
  <c r="BC35" i="27" s="1"/>
  <c r="AM27" i="27"/>
  <c r="BC27" i="27" s="1"/>
  <c r="AM29" i="27"/>
  <c r="BC29" i="27" s="1"/>
  <c r="AM28" i="27"/>
  <c r="BC28" i="27" s="1"/>
  <c r="AM20" i="27"/>
  <c r="BC20" i="27" s="1"/>
  <c r="AM19" i="27"/>
  <c r="BC19" i="27" s="1"/>
  <c r="AM18" i="27"/>
  <c r="BC18" i="27" s="1"/>
  <c r="AY13" i="83" l="1"/>
  <c r="BG13" i="83" s="1"/>
  <c r="AM36" i="27"/>
  <c r="AM21" i="27"/>
  <c r="AC16" i="52"/>
  <c r="AM39" i="27" l="1"/>
  <c r="BC36" i="27"/>
  <c r="BC39" i="27" s="1"/>
  <c r="AM24" i="27"/>
  <c r="BC21" i="27"/>
  <c r="BC24" i="27" s="1"/>
  <c r="AL20" i="27"/>
  <c r="AM26" i="27"/>
  <c r="AD17" i="52"/>
  <c r="AC17" i="52"/>
  <c r="AM33" i="27" l="1"/>
  <c r="BC26" i="27"/>
  <c r="BC33" i="27" s="1"/>
  <c r="AL24" i="27"/>
  <c r="BB20" i="27"/>
  <c r="BB24" i="27" s="1"/>
  <c r="AM30" i="15"/>
  <c r="BC30" i="15" s="1"/>
  <c r="AM25" i="15"/>
  <c r="BC25" i="15" s="1"/>
  <c r="AM24" i="15"/>
  <c r="BC24" i="15" s="1"/>
  <c r="AM23" i="15"/>
  <c r="BC23" i="15" s="1"/>
  <c r="AM22" i="15"/>
  <c r="BC22" i="15" s="1"/>
  <c r="AM21" i="15"/>
  <c r="BC21" i="15" s="1"/>
  <c r="AM15" i="15"/>
  <c r="BC15" i="15" s="1"/>
  <c r="AM10" i="15"/>
  <c r="AM31" i="15" l="1"/>
  <c r="BC31" i="15" s="1"/>
  <c r="AM29" i="15"/>
  <c r="BC29" i="15" s="1"/>
  <c r="AN25" i="22"/>
  <c r="AN10" i="22"/>
  <c r="AL12" i="15"/>
  <c r="BB12" i="15" s="1"/>
  <c r="BB13" i="15" s="1"/>
  <c r="AN12" i="22" l="1"/>
  <c r="BD10" i="22"/>
  <c r="BD12" i="22" s="1"/>
  <c r="AN27" i="22"/>
  <c r="BD25" i="22"/>
  <c r="BD27" i="22" s="1"/>
  <c r="AM32" i="15"/>
  <c r="AD60" i="17"/>
  <c r="AH60" i="17" s="1"/>
  <c r="AM58" i="17"/>
  <c r="BC58" i="17" s="1"/>
  <c r="AL31" i="17"/>
  <c r="AL28" i="17"/>
  <c r="BB28" i="17" s="1"/>
  <c r="AL22" i="17"/>
  <c r="AL18" i="17"/>
  <c r="AL16" i="17"/>
  <c r="AL14" i="17"/>
  <c r="BB14" i="17" s="1"/>
  <c r="AL29" i="17" l="1"/>
  <c r="AL32" i="17" s="1"/>
  <c r="BB29" i="17"/>
  <c r="BB30" i="17" s="1"/>
  <c r="AL17" i="17"/>
  <c r="BB16" i="17"/>
  <c r="BB17" i="17" s="1"/>
  <c r="AL23" i="17"/>
  <c r="BB22" i="17"/>
  <c r="BB23" i="17" s="1"/>
  <c r="BB15" i="17"/>
  <c r="AL19" i="17"/>
  <c r="BB18" i="17"/>
  <c r="BB19" i="17" s="1"/>
  <c r="AM36" i="15"/>
  <c r="BC32" i="15"/>
  <c r="BC36" i="15" s="1"/>
  <c r="AM61" i="17"/>
  <c r="BC61" i="17" s="1"/>
  <c r="AN60" i="17"/>
  <c r="AR60" i="17" s="1"/>
  <c r="AV60" i="17" s="1"/>
  <c r="AL60" i="17"/>
  <c r="AL20" i="17"/>
  <c r="AL15" i="17"/>
  <c r="AM22" i="17"/>
  <c r="AM16" i="15"/>
  <c r="AL61" i="17" l="1"/>
  <c r="BB61" i="17" s="1"/>
  <c r="AL21" i="17"/>
  <c r="AL25" i="17" s="1"/>
  <c r="AL30" i="17"/>
  <c r="BD60" i="17"/>
  <c r="AZ60" i="17"/>
  <c r="BC22" i="17"/>
  <c r="BB21" i="17"/>
  <c r="BB20" i="17"/>
  <c r="AN34" i="35"/>
  <c r="BD34" i="35" s="1"/>
  <c r="AE128" i="50"/>
  <c r="AM17" i="15"/>
  <c r="BC16" i="15"/>
  <c r="BC17" i="15" s="1"/>
  <c r="AL24" i="17"/>
  <c r="AM23" i="17"/>
  <c r="AM24" i="17"/>
  <c r="AM25" i="17" s="1"/>
  <c r="AO128" i="50" l="1"/>
  <c r="BE128" i="50" s="1"/>
  <c r="BC23" i="17"/>
  <c r="BC24" i="17"/>
  <c r="BC25" i="17" s="1"/>
  <c r="BB25" i="17"/>
  <c r="BB24" i="17"/>
  <c r="AN36" i="35"/>
  <c r="AM94" i="26"/>
  <c r="BC94" i="26" s="1"/>
  <c r="AL110" i="26"/>
  <c r="BB110" i="26" s="1"/>
  <c r="AL108" i="26"/>
  <c r="BB108" i="26" s="1"/>
  <c r="AL98" i="26"/>
  <c r="BB98" i="26" s="1"/>
  <c r="AL78" i="26"/>
  <c r="BB78" i="26" s="1"/>
  <c r="AL76" i="26"/>
  <c r="BB76" i="26" s="1"/>
  <c r="AL71" i="26"/>
  <c r="BB71" i="26" s="1"/>
  <c r="AL69" i="26"/>
  <c r="BB69" i="26" s="1"/>
  <c r="AL52" i="26"/>
  <c r="BB52" i="26" s="1"/>
  <c r="AL50" i="26"/>
  <c r="BB50" i="26" s="1"/>
  <c r="AM55" i="26"/>
  <c r="BC55" i="26" s="1"/>
  <c r="AL46" i="26"/>
  <c r="AL39" i="26"/>
  <c r="BB39" i="26" s="1"/>
  <c r="AL31" i="26"/>
  <c r="BB31" i="26" s="1"/>
  <c r="AL17" i="26"/>
  <c r="BB17" i="26" s="1"/>
  <c r="AL15" i="26"/>
  <c r="BB15" i="26" s="1"/>
  <c r="AL11" i="26"/>
  <c r="BB11" i="26" s="1"/>
  <c r="AL9" i="26"/>
  <c r="BB9" i="26" s="1"/>
  <c r="AN103" i="9"/>
  <c r="BD103" i="9" s="1"/>
  <c r="AL23" i="26" l="1"/>
  <c r="AL29" i="26"/>
  <c r="BB29" i="26" s="1"/>
  <c r="AL57" i="26"/>
  <c r="BB57" i="26" s="1"/>
  <c r="AL65" i="26"/>
  <c r="BB65" i="26" s="1"/>
  <c r="AL100" i="26"/>
  <c r="BB100" i="26" s="1"/>
  <c r="AL25" i="26"/>
  <c r="BB25" i="26" s="1"/>
  <c r="AL37" i="26"/>
  <c r="BB37" i="26" s="1"/>
  <c r="AL59" i="26"/>
  <c r="BB59" i="26" s="1"/>
  <c r="AL67" i="26"/>
  <c r="BB67" i="26" s="1"/>
  <c r="AL102" i="26"/>
  <c r="BB102" i="26" s="1"/>
  <c r="AL35" i="26"/>
  <c r="BB35" i="26" s="1"/>
  <c r="AL33" i="26"/>
  <c r="BB33" i="26" s="1"/>
  <c r="AL104" i="26"/>
  <c r="BB104" i="26" s="1"/>
  <c r="AL21" i="26"/>
  <c r="BB21" i="26" s="1"/>
  <c r="AL41" i="26"/>
  <c r="AM84" i="7" s="1"/>
  <c r="BC84" i="7" s="1"/>
  <c r="AL63" i="26"/>
  <c r="BB63" i="26" s="1"/>
  <c r="AL106" i="26"/>
  <c r="BB106" i="26" s="1"/>
  <c r="BB80" i="26"/>
  <c r="BD36" i="35"/>
  <c r="BD37" i="35" s="1"/>
  <c r="BE98" i="50" s="1"/>
  <c r="AN48" i="35"/>
  <c r="BD48" i="35" s="1"/>
  <c r="AN37" i="35"/>
  <c r="AO98" i="50" s="1"/>
  <c r="AE9" i="50"/>
  <c r="AQ23" i="50"/>
  <c r="AU23" i="50" s="1"/>
  <c r="AY23" i="50" s="1"/>
  <c r="BG23" i="50" s="1"/>
  <c r="BB81" i="26"/>
  <c r="AL48" i="26"/>
  <c r="AL49" i="26" s="1"/>
  <c r="BB46" i="26"/>
  <c r="AM191" i="6"/>
  <c r="BB23" i="26"/>
  <c r="BB12" i="26"/>
  <c r="AN85" i="8"/>
  <c r="AN87" i="8" s="1"/>
  <c r="AL81" i="26"/>
  <c r="AE4" i="83"/>
  <c r="AL96" i="26"/>
  <c r="BB96" i="26" s="1"/>
  <c r="AL80" i="26"/>
  <c r="AL61" i="26"/>
  <c r="BB61" i="26" s="1"/>
  <c r="AL27" i="26"/>
  <c r="BB27" i="26" s="1"/>
  <c r="AL12" i="26"/>
  <c r="AL19" i="26" s="1"/>
  <c r="AM45" i="26"/>
  <c r="BC45" i="26" s="1"/>
  <c r="AM7" i="26"/>
  <c r="BC7" i="26" s="1"/>
  <c r="BC192" i="6" l="1"/>
  <c r="BB54" i="17"/>
  <c r="BB55" i="17"/>
  <c r="BC88" i="8"/>
  <c r="BB19" i="26"/>
  <c r="BC89" i="8"/>
  <c r="BB48" i="26"/>
  <c r="BB54" i="26" s="1"/>
  <c r="BC166" i="6"/>
  <c r="BC191" i="6"/>
  <c r="AM166" i="6"/>
  <c r="AO9" i="50"/>
  <c r="BE9" i="50" s="1"/>
  <c r="AM192" i="6"/>
  <c r="AM89" i="8"/>
  <c r="BB41" i="26"/>
  <c r="BB83" i="26"/>
  <c r="AL54" i="26"/>
  <c r="AN86" i="8"/>
  <c r="BD85" i="8"/>
  <c r="BD86" i="8" s="1"/>
  <c r="BB73" i="26"/>
  <c r="BB18" i="26"/>
  <c r="BB13" i="26"/>
  <c r="BB112" i="26"/>
  <c r="BB57" i="17"/>
  <c r="BD158" i="10"/>
  <c r="AN159" i="10"/>
  <c r="AN158" i="10"/>
  <c r="AN210" i="10" s="1"/>
  <c r="AE108" i="50"/>
  <c r="AL43" i="26"/>
  <c r="AN199" i="10"/>
  <c r="AO4" i="83"/>
  <c r="AE38" i="83"/>
  <c r="AL112" i="26"/>
  <c r="AL57" i="17"/>
  <c r="AL58" i="17" s="1"/>
  <c r="AL55" i="17"/>
  <c r="AL73" i="26"/>
  <c r="AL13" i="26"/>
  <c r="AL18" i="26"/>
  <c r="AL54" i="17"/>
  <c r="AL55" i="26"/>
  <c r="BB55" i="26" s="1"/>
  <c r="BB49" i="26" l="1"/>
  <c r="BB92" i="26"/>
  <c r="AO108" i="50"/>
  <c r="BE108" i="50" s="1"/>
  <c r="AN203" i="10"/>
  <c r="AO38" i="83"/>
  <c r="BE38" i="83" s="1"/>
  <c r="BE4" i="83"/>
  <c r="AL92" i="26"/>
  <c r="BB56" i="17"/>
  <c r="BB43" i="26"/>
  <c r="AL56" i="17"/>
  <c r="BD87" i="8"/>
  <c r="BD159" i="10"/>
  <c r="BD199" i="10"/>
  <c r="AN161" i="10"/>
  <c r="BD191" i="10"/>
  <c r="BD196" i="10"/>
  <c r="AN200" i="10"/>
  <c r="AN178" i="10"/>
  <c r="AQ65" i="59" s="1"/>
  <c r="AN191" i="10"/>
  <c r="AN196" i="10"/>
  <c r="AN188" i="6"/>
  <c r="BD203" i="10" l="1"/>
  <c r="BD161" i="10"/>
  <c r="BD21" i="36" s="1"/>
  <c r="BD178" i="10"/>
  <c r="BG65" i="59" s="1"/>
  <c r="BD200" i="10"/>
  <c r="AN190" i="6"/>
  <c r="BD188" i="6"/>
  <c r="BD193" i="10"/>
  <c r="AQ63" i="59"/>
  <c r="AN21" i="36"/>
  <c r="AN193" i="10"/>
  <c r="AE40" i="50"/>
  <c r="AE41" i="50"/>
  <c r="AE42" i="50"/>
  <c r="AE43" i="50"/>
  <c r="AE44" i="50"/>
  <c r="AE45" i="50"/>
  <c r="AE4" i="50"/>
  <c r="AM74" i="90"/>
  <c r="BC74" i="90" s="1"/>
  <c r="AM78" i="90"/>
  <c r="BC78" i="90" s="1"/>
  <c r="AM83" i="90"/>
  <c r="BC83" i="90" s="1"/>
  <c r="AO42" i="50" l="1"/>
  <c r="BE42" i="50" s="1"/>
  <c r="AO45" i="50"/>
  <c r="BE45" i="50" s="1"/>
  <c r="AO41" i="50"/>
  <c r="BE41" i="50" s="1"/>
  <c r="AO40" i="50"/>
  <c r="BE40" i="50" s="1"/>
  <c r="AO44" i="50"/>
  <c r="BE44" i="50" s="1"/>
  <c r="AO43" i="50"/>
  <c r="BE43" i="50" s="1"/>
  <c r="AW61" i="71"/>
  <c r="Y63" i="71"/>
  <c r="AM79" i="90"/>
  <c r="AM88" i="90"/>
  <c r="BC88" i="90" s="1"/>
  <c r="AM76" i="90"/>
  <c r="BC76" i="90" s="1"/>
  <c r="AM87" i="90"/>
  <c r="BC87" i="90" s="1"/>
  <c r="AM85" i="90"/>
  <c r="BC85" i="90" s="1"/>
  <c r="AE133" i="50"/>
  <c r="AM77" i="90"/>
  <c r="BC77" i="90" s="1"/>
  <c r="AM84" i="90"/>
  <c r="BC84" i="90" s="1"/>
  <c r="AM80" i="90"/>
  <c r="BC80" i="90" s="1"/>
  <c r="AM70" i="90"/>
  <c r="BC70" i="90" s="1"/>
  <c r="AM81" i="90"/>
  <c r="BC81" i="90" s="1"/>
  <c r="AM69" i="90"/>
  <c r="BC69" i="90" s="1"/>
  <c r="AE38" i="50"/>
  <c r="AO4" i="50"/>
  <c r="AE132" i="50"/>
  <c r="BS61" i="71"/>
  <c r="BS63" i="71" s="1"/>
  <c r="BG63" i="59"/>
  <c r="BD190" i="6"/>
  <c r="AO4" i="61"/>
  <c r="BE4" i="61" s="1"/>
  <c r="BE14" i="61"/>
  <c r="BE13" i="61"/>
  <c r="AE39" i="50"/>
  <c r="AF37" i="36"/>
  <c r="BC79" i="90" l="1"/>
  <c r="AE46" i="50"/>
  <c r="AE95" i="50" s="1"/>
  <c r="AD162" i="10"/>
  <c r="AM68" i="90"/>
  <c r="BC68" i="90" s="1"/>
  <c r="AO38" i="50"/>
  <c r="AN162" i="10" s="1"/>
  <c r="AN163" i="10" s="1"/>
  <c r="BE4" i="50"/>
  <c r="BE38" i="50" s="1"/>
  <c r="AO39" i="50"/>
  <c r="AE109" i="50"/>
  <c r="AE129" i="50"/>
  <c r="AE125" i="50"/>
  <c r="BE16" i="61"/>
  <c r="AO16" i="61"/>
  <c r="AO69" i="83"/>
  <c r="BE69" i="83" s="1"/>
  <c r="AE69" i="83"/>
  <c r="AE77" i="83" s="1"/>
  <c r="AO77" i="83" s="1"/>
  <c r="BE77" i="83" s="1"/>
  <c r="AO129" i="50" l="1"/>
  <c r="AO125" i="50"/>
  <c r="BE125" i="50" s="1"/>
  <c r="AD163" i="10"/>
  <c r="AO130" i="50"/>
  <c r="BE129" i="50"/>
  <c r="BE130" i="50" s="1"/>
  <c r="AO46" i="50"/>
  <c r="AO95" i="50" s="1"/>
  <c r="AO96" i="50" s="1"/>
  <c r="BE39" i="50"/>
  <c r="BE46" i="50" s="1"/>
  <c r="BE95" i="50" s="1"/>
  <c r="BE96" i="50" s="1"/>
  <c r="AE121" i="50"/>
  <c r="BD162" i="10"/>
  <c r="BD163" i="10" s="1"/>
  <c r="AE111" i="50"/>
  <c r="AO109" i="50"/>
  <c r="AE110" i="50"/>
  <c r="AE130" i="50"/>
  <c r="AE131" i="50"/>
  <c r="AE37" i="36"/>
  <c r="AO131" i="50" l="1"/>
  <c r="BE131" i="50" s="1"/>
  <c r="AO121" i="50"/>
  <c r="BE121" i="50" s="1"/>
  <c r="AO110" i="50"/>
  <c r="BE109" i="50"/>
  <c r="BE110" i="50" s="1"/>
  <c r="AE118" i="50"/>
  <c r="AO111" i="50"/>
  <c r="BE84" i="73"/>
  <c r="BE71" i="73"/>
  <c r="AO118" i="50" l="1"/>
  <c r="BE111" i="50"/>
  <c r="BE118" i="50" s="1"/>
  <c r="AN39" i="35" l="1"/>
  <c r="AQ46" i="38"/>
  <c r="AQ45" i="38"/>
  <c r="AQ44" i="38"/>
  <c r="AQ43" i="38"/>
  <c r="AQ38" i="38"/>
  <c r="AQ37" i="38"/>
  <c r="AQ36" i="38"/>
  <c r="AQ32" i="38"/>
  <c r="AQ31" i="38"/>
  <c r="AQ30" i="38"/>
  <c r="AQ29" i="38"/>
  <c r="AQ28" i="38"/>
  <c r="AQ27" i="38"/>
  <c r="AQ26" i="38"/>
  <c r="AQ25" i="38"/>
  <c r="AQ24" i="38"/>
  <c r="AQ23" i="38"/>
  <c r="AQ22" i="38"/>
  <c r="BG22" i="38" s="1"/>
  <c r="BC91" i="8" s="1"/>
  <c r="AQ21" i="38"/>
  <c r="AQ20" i="38"/>
  <c r="BG20" i="38" s="1"/>
  <c r="AQ19" i="38"/>
  <c r="AQ14" i="38"/>
  <c r="AQ13" i="38"/>
  <c r="AQ10" i="38"/>
  <c r="AQ9" i="38"/>
  <c r="AQ8" i="38"/>
  <c r="AQ7" i="38"/>
  <c r="BG19" i="38" l="1"/>
  <c r="BD39" i="35"/>
  <c r="BG76" i="59" s="1"/>
  <c r="AQ76" i="59"/>
  <c r="AR42" i="38"/>
  <c r="AR90" i="38" s="1"/>
  <c r="AQ35" i="38"/>
  <c r="BG35" i="38" s="1"/>
  <c r="BC167" i="6" s="1"/>
  <c r="AQ55" i="38"/>
  <c r="BG7" i="38"/>
  <c r="AQ71" i="38"/>
  <c r="BG23" i="38"/>
  <c r="BC99" i="9" s="1"/>
  <c r="AQ75" i="38"/>
  <c r="BG27" i="38"/>
  <c r="AQ79" i="38"/>
  <c r="BG31" i="38"/>
  <c r="AQ84" i="38"/>
  <c r="BG36" i="38"/>
  <c r="AQ93" i="38"/>
  <c r="BG45" i="38"/>
  <c r="AQ56" i="38"/>
  <c r="BG8" i="38"/>
  <c r="AQ61" i="38"/>
  <c r="BG13" i="38"/>
  <c r="AQ68" i="38"/>
  <c r="AQ72" i="38"/>
  <c r="BG24" i="38"/>
  <c r="AQ76" i="38"/>
  <c r="BG28" i="38"/>
  <c r="AQ80" i="38"/>
  <c r="BG32" i="38"/>
  <c r="AQ85" i="38"/>
  <c r="BG37" i="38"/>
  <c r="AQ94" i="38"/>
  <c r="BG46" i="38"/>
  <c r="AQ58" i="38"/>
  <c r="BG10" i="38"/>
  <c r="AQ57" i="38"/>
  <c r="BG9" i="38"/>
  <c r="AQ62" i="38"/>
  <c r="BG14" i="38"/>
  <c r="AQ69" i="38"/>
  <c r="BG21" i="38"/>
  <c r="AQ73" i="38"/>
  <c r="BG25" i="38"/>
  <c r="AQ77" i="38"/>
  <c r="BG29" i="38"/>
  <c r="AQ86" i="38"/>
  <c r="BG38" i="38"/>
  <c r="AQ91" i="38"/>
  <c r="BG43" i="38"/>
  <c r="AQ74" i="38"/>
  <c r="BG26" i="38"/>
  <c r="AQ78" i="38"/>
  <c r="BG30" i="38"/>
  <c r="AQ92" i="38"/>
  <c r="BG44" i="38"/>
  <c r="AQ70" i="38"/>
  <c r="AM91" i="8"/>
  <c r="AQ41" i="38"/>
  <c r="AR12" i="38"/>
  <c r="BH12" i="38" s="1"/>
  <c r="AR6" i="38"/>
  <c r="BH6" i="38" s="1"/>
  <c r="AR18" i="38"/>
  <c r="BH18" i="38" s="1"/>
  <c r="AR34" i="38"/>
  <c r="AQ67" i="38"/>
  <c r="AM193" i="6"/>
  <c r="AR40" i="38"/>
  <c r="AN40" i="35"/>
  <c r="BD40" i="35" s="1"/>
  <c r="AQ18" i="38"/>
  <c r="AQ6" i="38"/>
  <c r="AQ42" i="38"/>
  <c r="AQ12" i="38"/>
  <c r="BC193" i="6" l="1"/>
  <c r="BH42" i="38"/>
  <c r="BH90" i="38" s="1"/>
  <c r="AM167" i="6"/>
  <c r="AQ83" i="38"/>
  <c r="AQ34" i="38"/>
  <c r="BG34" i="38" s="1"/>
  <c r="BG82" i="38" s="1"/>
  <c r="AQ90" i="38"/>
  <c r="BG42" i="38"/>
  <c r="BG90" i="38" s="1"/>
  <c r="AQ60" i="38"/>
  <c r="BG12" i="38"/>
  <c r="BG60" i="38" s="1"/>
  <c r="AQ89" i="38"/>
  <c r="BG41" i="38"/>
  <c r="AQ54" i="38"/>
  <c r="BG6" i="38"/>
  <c r="BG54" i="38" s="1"/>
  <c r="AQ66" i="38"/>
  <c r="BG18" i="38"/>
  <c r="BG66" i="38" s="1"/>
  <c r="AR88" i="38"/>
  <c r="BH40" i="38"/>
  <c r="BH88" i="38" s="1"/>
  <c r="AR82" i="38"/>
  <c r="BH34" i="38"/>
  <c r="BH82" i="38" s="1"/>
  <c r="AR66" i="38"/>
  <c r="BH66" i="38"/>
  <c r="AR60" i="38"/>
  <c r="BH60" i="38"/>
  <c r="AR54" i="38"/>
  <c r="BH54" i="38"/>
  <c r="AR17" i="38"/>
  <c r="AQ40" i="38"/>
  <c r="AR15" i="38"/>
  <c r="AR39" i="38"/>
  <c r="AQ17" i="38"/>
  <c r="BG17" i="38" s="1"/>
  <c r="AQ15" i="38"/>
  <c r="AQ39" i="38"/>
  <c r="AF104" i="50"/>
  <c r="AF105" i="50" s="1"/>
  <c r="AD104" i="50"/>
  <c r="AD105" i="50" s="1"/>
  <c r="AE103" i="50"/>
  <c r="AE102" i="50"/>
  <c r="AO157" i="45"/>
  <c r="AO143" i="45"/>
  <c r="BE143" i="45" s="1"/>
  <c r="BD143" i="45"/>
  <c r="AO141" i="45"/>
  <c r="BE141" i="45" s="1"/>
  <c r="BD141" i="45"/>
  <c r="AO140" i="45"/>
  <c r="BE140" i="45" s="1"/>
  <c r="BD140" i="45"/>
  <c r="BD137" i="45"/>
  <c r="AN78" i="11"/>
  <c r="BD78" i="11" s="1"/>
  <c r="AM78" i="11"/>
  <c r="BC78" i="11" s="1"/>
  <c r="AN76" i="11"/>
  <c r="BD76" i="11" s="1"/>
  <c r="AM76" i="11"/>
  <c r="BC76" i="11" s="1"/>
  <c r="AN75" i="11"/>
  <c r="BD75" i="11" s="1"/>
  <c r="AM75" i="11"/>
  <c r="BC75" i="11" s="1"/>
  <c r="AN73" i="11"/>
  <c r="AN74" i="11" s="1"/>
  <c r="AM72" i="11"/>
  <c r="BC72" i="11" s="1"/>
  <c r="AN66" i="11"/>
  <c r="BG65" i="38" l="1"/>
  <c r="AK103" i="50"/>
  <c r="AK102" i="50"/>
  <c r="AQ82" i="38"/>
  <c r="BH15" i="38"/>
  <c r="BH63" i="38" s="1"/>
  <c r="AR16" i="38"/>
  <c r="BH16" i="38" s="1"/>
  <c r="BH64" i="38" s="1"/>
  <c r="BH17" i="38"/>
  <c r="AN67" i="11"/>
  <c r="BD66" i="11"/>
  <c r="BD67" i="11" s="1"/>
  <c r="BD73" i="11"/>
  <c r="BD74" i="11" s="1"/>
  <c r="AE120" i="50"/>
  <c r="AE124" i="50"/>
  <c r="BE157" i="45"/>
  <c r="BD138" i="45"/>
  <c r="AQ87" i="38"/>
  <c r="BG39" i="38"/>
  <c r="BG87" i="38" s="1"/>
  <c r="AQ63" i="38"/>
  <c r="BG15" i="38"/>
  <c r="AQ88" i="38"/>
  <c r="BG40" i="38"/>
  <c r="BG88" i="38" s="1"/>
  <c r="AR87" i="38"/>
  <c r="BH39" i="38"/>
  <c r="BH87" i="38" s="1"/>
  <c r="AR63" i="38"/>
  <c r="AQ65" i="38"/>
  <c r="AR65" i="38"/>
  <c r="AN26" i="36"/>
  <c r="AN25" i="36"/>
  <c r="AO131" i="45"/>
  <c r="AO138" i="45"/>
  <c r="AO139" i="45" s="1"/>
  <c r="AM66" i="11"/>
  <c r="AM73" i="11"/>
  <c r="AQ16" i="38"/>
  <c r="AQ48" i="38" s="1"/>
  <c r="BH65" i="38" l="1"/>
  <c r="AR48" i="38"/>
  <c r="AR64" i="38"/>
  <c r="AR96" i="38" s="1"/>
  <c r="BH96" i="38"/>
  <c r="BG63" i="38"/>
  <c r="BH48" i="38"/>
  <c r="AE126" i="50"/>
  <c r="AO124" i="50"/>
  <c r="AE122" i="50"/>
  <c r="AO120" i="50"/>
  <c r="BD26" i="36"/>
  <c r="BD25" i="36"/>
  <c r="BG75" i="59" s="1"/>
  <c r="AM67" i="11"/>
  <c r="BC66" i="11"/>
  <c r="BC67" i="11" s="1"/>
  <c r="BC73" i="11"/>
  <c r="AO132" i="45"/>
  <c r="BE131" i="45"/>
  <c r="BD131" i="45"/>
  <c r="BE138" i="45"/>
  <c r="AQ64" i="38"/>
  <c r="AQ96" i="38" s="1"/>
  <c r="BG16" i="38"/>
  <c r="BG64" i="38" s="1"/>
  <c r="BE139" i="45" l="1"/>
  <c r="BE132" i="45"/>
  <c r="BD132" i="45"/>
  <c r="AO122" i="50"/>
  <c r="BE120" i="50"/>
  <c r="BE122" i="50" s="1"/>
  <c r="AO126" i="50"/>
  <c r="BE124" i="50"/>
  <c r="BE126" i="50" s="1"/>
  <c r="BG48" i="38"/>
  <c r="BG96" i="38"/>
  <c r="AK5" i="61" l="1"/>
  <c r="AQ5" i="61" s="1"/>
  <c r="AU5" i="61" s="1"/>
  <c r="AY5" i="61" s="1"/>
  <c r="BG5" i="61" s="1"/>
  <c r="AN177" i="10"/>
  <c r="AM177" i="10"/>
  <c r="AN175" i="10"/>
  <c r="AM175" i="10"/>
  <c r="AN174" i="10"/>
  <c r="AM174" i="10"/>
  <c r="AM171" i="10"/>
  <c r="BC171" i="10" s="1"/>
  <c r="AN165" i="10" l="1"/>
  <c r="AM165" i="10"/>
  <c r="AM172" i="10"/>
  <c r="AN172" i="10"/>
  <c r="AN173" i="10" s="1"/>
  <c r="AM166" i="10" l="1"/>
  <c r="BC165" i="10"/>
  <c r="AN166" i="10"/>
  <c r="BD165" i="10"/>
  <c r="BC172" i="10"/>
  <c r="BD172" i="10"/>
  <c r="BD166" i="10" l="1"/>
  <c r="BC166" i="10"/>
  <c r="BD173" i="10"/>
  <c r="AE72" i="36"/>
  <c r="AE71" i="36"/>
  <c r="AE69" i="36"/>
  <c r="AE67" i="36"/>
  <c r="AE66" i="36"/>
  <c r="AE29" i="36"/>
  <c r="AD7" i="15" s="1"/>
  <c r="AE28" i="36"/>
  <c r="AD6" i="15" s="1"/>
  <c r="AE27" i="36"/>
  <c r="AD5" i="15" s="1"/>
  <c r="AE23" i="36"/>
  <c r="AE22" i="36"/>
  <c r="AE21" i="36"/>
  <c r="AE17" i="36"/>
  <c r="AE16" i="36"/>
  <c r="AE9" i="36"/>
  <c r="AE8" i="36"/>
  <c r="AE7" i="36"/>
  <c r="AE5" i="36"/>
  <c r="AE13" i="49" s="1"/>
  <c r="AN58" i="8"/>
  <c r="AN66" i="8"/>
  <c r="BD66" i="8" s="1"/>
  <c r="AN54" i="8" l="1"/>
  <c r="BD58" i="8"/>
  <c r="AN64" i="8"/>
  <c r="AN68" i="8"/>
  <c r="AE68" i="36"/>
  <c r="AN95" i="9"/>
  <c r="AN96" i="9" l="1"/>
  <c r="BD95" i="9"/>
  <c r="BD96" i="9" s="1"/>
  <c r="AN57" i="8"/>
  <c r="BD68" i="8"/>
  <c r="AN55" i="8"/>
  <c r="BD64" i="8"/>
  <c r="BD54" i="8"/>
  <c r="BA48" i="72"/>
  <c r="BA40" i="72"/>
  <c r="BA20" i="72"/>
  <c r="BD55" i="8" l="1"/>
  <c r="BD57" i="8"/>
  <c r="AM22" i="9"/>
  <c r="BC22" i="9" s="1"/>
  <c r="AM47" i="9"/>
  <c r="BC47" i="9" s="1"/>
  <c r="AM101" i="9"/>
  <c r="BC101" i="9" s="1"/>
  <c r="AM99" i="9"/>
  <c r="AN98" i="9"/>
  <c r="BD98" i="9" s="1"/>
  <c r="AM98" i="9"/>
  <c r="BC98" i="9" s="1"/>
  <c r="AN97" i="9"/>
  <c r="BD97" i="9" s="1"/>
  <c r="AM97" i="9"/>
  <c r="BC97" i="9" s="1"/>
  <c r="AN57" i="9"/>
  <c r="AN74" i="9" s="1"/>
  <c r="AM51" i="9"/>
  <c r="BC51" i="9" s="1"/>
  <c r="AE135" i="50"/>
  <c r="AM24" i="9"/>
  <c r="BC24" i="9" s="1"/>
  <c r="AN19" i="9"/>
  <c r="AE136" i="50" l="1"/>
  <c r="AN90" i="9"/>
  <c r="AN91" i="9" s="1"/>
  <c r="BD19" i="9"/>
  <c r="BC53" i="9"/>
  <c r="BC25" i="9"/>
  <c r="BC88" i="9" s="1"/>
  <c r="AN60" i="9"/>
  <c r="AM53" i="9"/>
  <c r="AM25" i="9"/>
  <c r="AM88" i="9" s="1"/>
  <c r="AN102" i="9"/>
  <c r="BD102" i="9" s="1"/>
  <c r="AN104" i="9"/>
  <c r="AN99" i="9"/>
  <c r="AN47" i="9"/>
  <c r="BD47" i="9" s="1"/>
  <c r="BD90" i="9" l="1"/>
  <c r="BD91" i="9" s="1"/>
  <c r="BA51" i="72"/>
  <c r="AK53" i="72"/>
  <c r="BC52" i="9"/>
  <c r="AN77" i="9"/>
  <c r="BD60" i="9"/>
  <c r="AQ58" i="59"/>
  <c r="BD104" i="9"/>
  <c r="BG58" i="59" s="1"/>
  <c r="AN100" i="9"/>
  <c r="BD100" i="9"/>
  <c r="AM52" i="9"/>
  <c r="AP57" i="59" s="1"/>
  <c r="AN14" i="9"/>
  <c r="BD14" i="9" s="1"/>
  <c r="AN62" i="9"/>
  <c r="AN48" i="9"/>
  <c r="BD77" i="9" l="1"/>
  <c r="AN79" i="9"/>
  <c r="BD62" i="9"/>
  <c r="AN49" i="9"/>
  <c r="AN52" i="9" s="1"/>
  <c r="AQ57" i="59" s="1"/>
  <c r="BD48" i="9"/>
  <c r="BD49" i="9" s="1"/>
  <c r="BF57" i="59"/>
  <c r="BD24" i="36"/>
  <c r="AN24" i="36"/>
  <c r="BD79" i="9" l="1"/>
  <c r="AN81" i="9"/>
  <c r="AN85" i="9"/>
  <c r="AN87" i="9"/>
  <c r="AQ60" i="59" s="1"/>
  <c r="AN80" i="9"/>
  <c r="AN83" i="9"/>
  <c r="AN82" i="9"/>
  <c r="AQ61" i="59" s="1"/>
  <c r="AN86" i="9"/>
  <c r="AN53" i="9"/>
  <c r="AN84" i="9"/>
  <c r="BD53" i="9"/>
  <c r="BD52" i="9"/>
  <c r="BG57" i="59" s="1"/>
  <c r="BD83" i="9"/>
  <c r="BD84" i="9"/>
  <c r="BD72" i="9"/>
  <c r="BD85" i="9"/>
  <c r="BD87" i="9"/>
  <c r="BG60" i="59" s="1"/>
  <c r="BD81" i="9"/>
  <c r="BD73" i="9"/>
  <c r="BD75" i="9"/>
  <c r="BD86" i="9"/>
  <c r="BD80" i="9"/>
  <c r="BD82" i="9"/>
  <c r="BG61" i="59" s="1"/>
  <c r="BD74" i="9"/>
  <c r="AF93" i="8" l="1"/>
  <c r="AN21" i="8"/>
  <c r="BD21" i="8" s="1"/>
  <c r="AN94" i="8"/>
  <c r="BD94" i="8" s="1"/>
  <c r="AN92" i="8"/>
  <c r="AN88" i="8"/>
  <c r="AM88" i="8"/>
  <c r="AE81" i="8"/>
  <c r="AE73" i="8"/>
  <c r="AN69" i="8"/>
  <c r="AN67" i="8"/>
  <c r="AN61" i="8"/>
  <c r="BD61" i="8" s="1"/>
  <c r="AN59" i="8"/>
  <c r="BD59" i="8" s="1"/>
  <c r="AE52" i="8"/>
  <c r="AH41" i="59" s="1"/>
  <c r="AN17" i="8"/>
  <c r="BD17" i="8" s="1"/>
  <c r="AM17" i="8"/>
  <c r="BC17" i="8" s="1"/>
  <c r="AN15" i="8"/>
  <c r="BD15" i="8" s="1"/>
  <c r="AM15" i="8"/>
  <c r="BC15" i="8" s="1"/>
  <c r="AN14" i="8"/>
  <c r="BD14" i="8" s="1"/>
  <c r="AM14" i="8"/>
  <c r="BC14" i="8" s="1"/>
  <c r="AN13" i="8"/>
  <c r="BD13" i="8" s="1"/>
  <c r="AM13" i="8"/>
  <c r="BC13" i="8" s="1"/>
  <c r="AM81" i="8" l="1"/>
  <c r="AP44" i="59" s="1"/>
  <c r="BC81" i="8"/>
  <c r="BF44" i="59" s="1"/>
  <c r="BC16" i="8"/>
  <c r="BD16" i="8"/>
  <c r="AN74" i="8"/>
  <c r="BD69" i="8"/>
  <c r="BD74" i="8" s="1"/>
  <c r="AN16" i="8"/>
  <c r="AM16" i="8"/>
  <c r="AN36" i="8"/>
  <c r="BD36" i="8" s="1"/>
  <c r="AN63" i="8"/>
  <c r="AN37" i="8"/>
  <c r="BD37" i="8" s="1"/>
  <c r="AN62" i="8"/>
  <c r="BD62" i="8" s="1"/>
  <c r="AE113" i="7"/>
  <c r="AE112" i="7"/>
  <c r="AE111" i="7"/>
  <c r="AE110" i="7"/>
  <c r="AE109" i="7"/>
  <c r="AE108" i="7"/>
  <c r="AE107" i="7"/>
  <c r="AE106" i="7"/>
  <c r="AE85" i="7"/>
  <c r="AN82" i="7"/>
  <c r="AD1" i="7"/>
  <c r="AD80" i="7" s="1"/>
  <c r="AC1" i="7"/>
  <c r="AC80" i="7" s="1"/>
  <c r="AE199" i="6"/>
  <c r="AE198" i="6"/>
  <c r="AE197" i="6"/>
  <c r="AE190" i="6"/>
  <c r="AE189" i="6"/>
  <c r="AE186" i="6"/>
  <c r="AE185" i="6"/>
  <c r="AE184" i="6"/>
  <c r="AE183" i="6"/>
  <c r="AE182" i="6"/>
  <c r="AE181" i="6"/>
  <c r="AE179" i="6"/>
  <c r="AE178" i="6"/>
  <c r="AE177" i="6"/>
  <c r="AE165" i="6"/>
  <c r="AE164" i="6"/>
  <c r="AE161" i="6"/>
  <c r="AE160" i="6"/>
  <c r="AE159" i="6"/>
  <c r="AE158" i="6"/>
  <c r="AE157" i="6"/>
  <c r="AE156" i="6"/>
  <c r="AE154" i="6"/>
  <c r="AE153" i="6"/>
  <c r="AE149" i="6"/>
  <c r="AN139" i="6"/>
  <c r="BD139" i="6" s="1"/>
  <c r="AN136" i="6"/>
  <c r="BD136" i="6" s="1"/>
  <c r="AM136" i="6"/>
  <c r="BC136" i="6" s="1"/>
  <c r="AN135" i="6"/>
  <c r="BD135" i="6" s="1"/>
  <c r="AM134" i="6"/>
  <c r="BC134" i="6" s="1"/>
  <c r="AM133" i="6"/>
  <c r="BC133" i="6" s="1"/>
  <c r="AM131" i="6"/>
  <c r="BC131" i="6" s="1"/>
  <c r="AN127" i="6"/>
  <c r="AN125" i="6"/>
  <c r="BD125" i="6" s="1"/>
  <c r="AM86" i="6"/>
  <c r="BC86" i="6" s="1"/>
  <c r="AE85" i="6"/>
  <c r="AE83" i="6"/>
  <c r="AE82" i="6"/>
  <c r="AE80" i="6"/>
  <c r="AE79" i="6"/>
  <c r="AE40" i="6"/>
  <c r="AE39" i="6"/>
  <c r="AE38" i="6"/>
  <c r="AE37" i="6"/>
  <c r="AN33" i="6"/>
  <c r="BD33" i="6" s="1"/>
  <c r="BD127" i="6" l="1"/>
  <c r="AM1" i="7"/>
  <c r="AM80" i="7" s="1"/>
  <c r="AN1" i="7"/>
  <c r="AN80" i="7" s="1"/>
  <c r="AN70" i="8"/>
  <c r="BD63" i="8"/>
  <c r="AN83" i="7"/>
  <c r="AQ35" i="59" s="1"/>
  <c r="BD82" i="7"/>
  <c r="BD83" i="7" s="1"/>
  <c r="BG35" i="59" s="1"/>
  <c r="AN126" i="6"/>
  <c r="BD126" i="6" s="1"/>
  <c r="AN55" i="6"/>
  <c r="BD55" i="6" s="1"/>
  <c r="AM135" i="6"/>
  <c r="BC135" i="6" s="1"/>
  <c r="AM41" i="7"/>
  <c r="AM21" i="6"/>
  <c r="BC21" i="6" s="1"/>
  <c r="AM17" i="6"/>
  <c r="AM28" i="6"/>
  <c r="BC28" i="6" s="1"/>
  <c r="AM18" i="6"/>
  <c r="AM195" i="6" s="1"/>
  <c r="AN56" i="6"/>
  <c r="BD56" i="6" s="1"/>
  <c r="AM87" i="6"/>
  <c r="BC87" i="6" s="1"/>
  <c r="AM125" i="6"/>
  <c r="BC125" i="6" s="1"/>
  <c r="AN133" i="6"/>
  <c r="BD133" i="6" s="1"/>
  <c r="AM71" i="7"/>
  <c r="AN112" i="7"/>
  <c r="BD112" i="7" s="1"/>
  <c r="AN106" i="7"/>
  <c r="BD106" i="7" s="1"/>
  <c r="AN107" i="7"/>
  <c r="BD107" i="7" s="1"/>
  <c r="AN113" i="7"/>
  <c r="BD113" i="7" s="1"/>
  <c r="AN108" i="7"/>
  <c r="BD108" i="7" s="1"/>
  <c r="AN109" i="7"/>
  <c r="BD109" i="7" s="1"/>
  <c r="AN110" i="7"/>
  <c r="BD110" i="7" s="1"/>
  <c r="AN85" i="7"/>
  <c r="BD85" i="7" s="1"/>
  <c r="AN111" i="7"/>
  <c r="BD111" i="7" s="1"/>
  <c r="AN49" i="8"/>
  <c r="AN14" i="36"/>
  <c r="AQ40" i="59" s="1"/>
  <c r="AN50" i="8"/>
  <c r="AN51" i="8" s="1"/>
  <c r="AN71" i="7"/>
  <c r="AE41" i="6"/>
  <c r="AM126" i="6"/>
  <c r="BC126" i="6" s="1"/>
  <c r="AN131" i="6"/>
  <c r="BD131" i="6" s="1"/>
  <c r="AN134" i="6"/>
  <c r="BD134" i="6" s="1"/>
  <c r="AN34" i="8"/>
  <c r="BD34" i="8" s="1"/>
  <c r="AN65" i="8"/>
  <c r="AN71" i="8"/>
  <c r="AN21" i="6"/>
  <c r="AN22" i="6"/>
  <c r="AM82" i="7"/>
  <c r="AN35" i="8"/>
  <c r="BD35" i="8" s="1"/>
  <c r="AN34" i="6"/>
  <c r="AM24" i="6"/>
  <c r="BC24" i="6" s="1"/>
  <c r="AM27" i="6"/>
  <c r="BC27" i="6" s="1"/>
  <c r="AM25" i="6"/>
  <c r="BC25" i="6" s="1"/>
  <c r="AM31" i="6"/>
  <c r="BC31" i="6" s="1"/>
  <c r="AM22" i="6"/>
  <c r="BC22" i="6" s="1"/>
  <c r="AM30" i="6"/>
  <c r="BC30" i="6" s="1"/>
  <c r="BD132" i="6" l="1"/>
  <c r="AM2" i="17"/>
  <c r="AM2" i="26"/>
  <c r="BC132" i="6"/>
  <c r="BC17" i="6"/>
  <c r="AM73" i="7"/>
  <c r="BC71" i="7"/>
  <c r="BC73" i="7" s="1"/>
  <c r="AN73" i="7"/>
  <c r="BD71" i="7"/>
  <c r="BD73" i="7" s="1"/>
  <c r="AM137" i="6"/>
  <c r="BC137" i="6" s="1"/>
  <c r="AN132" i="6"/>
  <c r="BC26" i="6"/>
  <c r="BD50" i="8"/>
  <c r="BD49" i="8"/>
  <c r="BD14" i="36"/>
  <c r="BC29" i="6"/>
  <c r="BC23" i="6"/>
  <c r="AM188" i="6"/>
  <c r="BC18" i="6"/>
  <c r="AM51" i="7"/>
  <c r="BC32" i="6"/>
  <c r="BD57" i="6"/>
  <c r="AN185" i="6"/>
  <c r="BD22" i="6"/>
  <c r="AN156" i="6"/>
  <c r="BD21" i="6"/>
  <c r="AN35" i="6"/>
  <c r="BD34" i="6"/>
  <c r="AN56" i="8"/>
  <c r="BD56" i="8" s="1"/>
  <c r="BD65" i="8"/>
  <c r="BD71" i="8"/>
  <c r="BD70" i="8"/>
  <c r="AM83" i="7"/>
  <c r="AP35" i="59" s="1"/>
  <c r="BC82" i="7"/>
  <c r="BC83" i="7" s="1"/>
  <c r="BF35" i="59" s="1"/>
  <c r="AM26" i="6"/>
  <c r="AM32" i="6"/>
  <c r="AN160" i="6"/>
  <c r="AN41" i="7"/>
  <c r="AM29" i="6"/>
  <c r="AN72" i="8"/>
  <c r="AN78" i="8"/>
  <c r="AM6" i="26"/>
  <c r="BC6" i="26" s="1"/>
  <c r="AM132" i="6"/>
  <c r="AM163" i="6"/>
  <c r="AM19" i="6"/>
  <c r="AM84" i="6" s="1"/>
  <c r="AM168" i="6"/>
  <c r="AN177" i="6"/>
  <c r="BD177" i="6" s="1"/>
  <c r="AN179" i="6"/>
  <c r="BD179" i="6" s="1"/>
  <c r="AN178" i="6"/>
  <c r="BD178" i="6" s="1"/>
  <c r="AN137" i="6"/>
  <c r="AM23" i="6"/>
  <c r="AN57" i="6"/>
  <c r="AM68" i="7"/>
  <c r="AN183" i="6"/>
  <c r="AN184" i="6"/>
  <c r="AN181" i="6"/>
  <c r="AN182" i="6"/>
  <c r="AN158" i="6"/>
  <c r="AQ17" i="59" s="1"/>
  <c r="AN186" i="6"/>
  <c r="AN161" i="6"/>
  <c r="AN23" i="6"/>
  <c r="AN159" i="6"/>
  <c r="AN157" i="6"/>
  <c r="AM34" i="6"/>
  <c r="BC34" i="6" s="1"/>
  <c r="AM33" i="6"/>
  <c r="BC33" i="6" s="1"/>
  <c r="AD179" i="73"/>
  <c r="AB179" i="73"/>
  <c r="AM168" i="73"/>
  <c r="AM122" i="73"/>
  <c r="AM137" i="73" s="1"/>
  <c r="AM113" i="73"/>
  <c r="AD106" i="73"/>
  <c r="AD118" i="73" s="1"/>
  <c r="AM30" i="73"/>
  <c r="BD51" i="8" l="1"/>
  <c r="BC188" i="6"/>
  <c r="BC169" i="6"/>
  <c r="BD35" i="6"/>
  <c r="BG40" i="59"/>
  <c r="BD78" i="8"/>
  <c r="BC2" i="17"/>
  <c r="BC2" i="26"/>
  <c r="BC163" i="6"/>
  <c r="BC168" i="6"/>
  <c r="BC19" i="6"/>
  <c r="BD157" i="6"/>
  <c r="BC195" i="6"/>
  <c r="AM138" i="6"/>
  <c r="BC138" i="6" s="1"/>
  <c r="AM69" i="7"/>
  <c r="BC68" i="7"/>
  <c r="BC69" i="7" s="1"/>
  <c r="AN138" i="6"/>
  <c r="BD138" i="6" s="1"/>
  <c r="BD137" i="6"/>
  <c r="BC194" i="6"/>
  <c r="BC35" i="6"/>
  <c r="AN51" i="7"/>
  <c r="BD182" i="6"/>
  <c r="BD156" i="6"/>
  <c r="AQ18" i="59"/>
  <c r="BD159" i="6"/>
  <c r="BG18" i="59" s="1"/>
  <c r="AN198" i="6"/>
  <c r="BD181" i="6"/>
  <c r="AQ19" i="59"/>
  <c r="BD160" i="6"/>
  <c r="BG19" i="59" s="1"/>
  <c r="AQ25" i="59"/>
  <c r="BD184" i="6"/>
  <c r="BG25" i="59" s="1"/>
  <c r="BD158" i="6"/>
  <c r="BG17" i="59" s="1"/>
  <c r="BD23" i="6"/>
  <c r="AQ20" i="59"/>
  <c r="BD161" i="6"/>
  <c r="BG20" i="59" s="1"/>
  <c r="AQ24" i="59"/>
  <c r="BD183" i="6"/>
  <c r="BG24" i="59" s="1"/>
  <c r="AQ27" i="59"/>
  <c r="BD186" i="6"/>
  <c r="BG27" i="59" s="1"/>
  <c r="AQ26" i="59"/>
  <c r="BD185" i="6"/>
  <c r="BG26" i="59" s="1"/>
  <c r="AM51" i="73"/>
  <c r="BC51" i="73" s="1"/>
  <c r="AM102" i="73"/>
  <c r="BC102" i="73" s="1"/>
  <c r="AM62" i="73"/>
  <c r="BC62" i="73" s="1"/>
  <c r="AM106" i="73"/>
  <c r="BC106" i="73" s="1"/>
  <c r="AM56" i="73"/>
  <c r="BC56" i="73" s="1"/>
  <c r="AM35" i="73"/>
  <c r="BC35" i="73" s="1"/>
  <c r="AM181" i="73"/>
  <c r="BC181" i="73" s="1"/>
  <c r="AM46" i="73"/>
  <c r="BC46" i="73" s="1"/>
  <c r="AN73" i="8"/>
  <c r="BD67" i="8"/>
  <c r="BD72" i="8"/>
  <c r="AM35" i="6"/>
  <c r="AM81" i="6"/>
  <c r="AM179" i="73"/>
  <c r="BC113" i="73"/>
  <c r="AH79" i="59"/>
  <c r="AH78" i="59"/>
  <c r="AH77" i="59"/>
  <c r="AH71" i="59"/>
  <c r="AH67" i="59"/>
  <c r="AH63" i="59"/>
  <c r="AH59" i="59"/>
  <c r="AH54" i="59"/>
  <c r="AH53" i="59"/>
  <c r="AH44" i="59"/>
  <c r="AH10" i="59"/>
  <c r="AH9" i="59"/>
  <c r="AH8" i="59"/>
  <c r="AH6" i="59"/>
  <c r="AM118" i="73" l="1"/>
  <c r="BD140" i="6"/>
  <c r="BC140" i="6"/>
  <c r="BD198" i="6"/>
  <c r="BC84" i="6"/>
  <c r="BC81" i="6"/>
  <c r="AM140" i="6"/>
  <c r="AM205" i="6" s="1"/>
  <c r="AN140" i="6"/>
  <c r="AN205" i="6" s="1"/>
  <c r="BD73" i="8"/>
  <c r="BC179" i="73"/>
  <c r="BC168" i="73"/>
  <c r="BC122" i="73"/>
  <c r="BC137" i="73" s="1"/>
  <c r="BC30" i="73"/>
  <c r="BC118" i="73" s="1"/>
  <c r="AM12" i="15"/>
  <c r="BC12" i="15" s="1"/>
  <c r="BC13" i="15" s="1"/>
  <c r="BC14" i="15" s="1"/>
  <c r="AM13" i="15"/>
  <c r="AM14" i="15" s="1"/>
  <c r="AN59" i="36"/>
  <c r="AN67" i="36" s="1"/>
  <c r="AM27" i="21"/>
  <c r="BC27" i="21" s="1"/>
  <c r="AN15" i="21"/>
  <c r="BD15" i="21" s="1"/>
  <c r="AM35" i="35"/>
  <c r="AM34" i="35"/>
  <c r="BC34" i="35" s="1"/>
  <c r="AM33" i="36"/>
  <c r="AM16" i="35"/>
  <c r="BC16" i="35" s="1"/>
  <c r="BC212" i="6" l="1"/>
  <c r="BC205" i="6"/>
  <c r="BD209" i="6"/>
  <c r="BD205" i="6"/>
  <c r="BD211" i="6"/>
  <c r="BD212" i="6"/>
  <c r="BD214" i="6"/>
  <c r="BD217" i="6"/>
  <c r="BD218" i="6" s="1"/>
  <c r="BD204" i="6"/>
  <c r="BD199" i="6"/>
  <c r="BC213" i="6"/>
  <c r="BC211" i="6"/>
  <c r="BC206" i="6"/>
  <c r="BC214" i="6"/>
  <c r="BD206" i="6"/>
  <c r="BD213" i="6"/>
  <c r="BD203" i="6"/>
  <c r="BC209" i="6"/>
  <c r="BC208" i="6"/>
  <c r="BD208" i="6"/>
  <c r="BC207" i="6"/>
  <c r="BC204" i="6"/>
  <c r="BC203" i="6"/>
  <c r="BC217" i="6"/>
  <c r="BC218" i="6" s="1"/>
  <c r="BD207" i="6"/>
  <c r="BC35" i="35"/>
  <c r="BB124" i="90" s="1"/>
  <c r="BB126" i="90" s="1"/>
  <c r="AL124" i="90"/>
  <c r="AL126" i="90" s="1"/>
  <c r="AN207" i="6"/>
  <c r="AM208" i="6"/>
  <c r="AM207" i="6"/>
  <c r="AN214" i="6"/>
  <c r="AN217" i="6"/>
  <c r="AN208" i="6"/>
  <c r="AM217" i="6"/>
  <c r="AM218" i="6" s="1"/>
  <c r="AM214" i="6"/>
  <c r="AM212" i="6"/>
  <c r="AM203" i="6"/>
  <c r="AM206" i="6"/>
  <c r="AM204" i="6"/>
  <c r="AM211" i="6"/>
  <c r="AM213" i="6"/>
  <c r="AM209" i="6"/>
  <c r="AN211" i="6"/>
  <c r="AN206" i="6"/>
  <c r="AN209" i="6"/>
  <c r="AN199" i="6"/>
  <c r="AN212" i="6"/>
  <c r="AN213" i="6"/>
  <c r="AN204" i="6"/>
  <c r="AN203" i="6"/>
  <c r="AM36" i="35"/>
  <c r="AM48" i="35" s="1"/>
  <c r="BC48" i="35" s="1"/>
  <c r="AM31" i="35"/>
  <c r="BC31" i="35" s="1"/>
  <c r="AM17" i="35"/>
  <c r="BC17" i="35" s="1"/>
  <c r="AM32" i="35"/>
  <c r="AN18" i="21"/>
  <c r="AN56" i="36"/>
  <c r="AN16" i="36" s="1"/>
  <c r="AN57" i="36"/>
  <c r="AN17" i="36" s="1"/>
  <c r="AQ54" i="59" s="1"/>
  <c r="AM18" i="35"/>
  <c r="BC18" i="35" s="1"/>
  <c r="AM30" i="35"/>
  <c r="BC30" i="35" s="1"/>
  <c r="AM64" i="36"/>
  <c r="AN33" i="36"/>
  <c r="AN40" i="36" s="1"/>
  <c r="AN61" i="36"/>
  <c r="AN62" i="36"/>
  <c r="AN70" i="36" s="1"/>
  <c r="AN64" i="36"/>
  <c r="AN72" i="36" s="1"/>
  <c r="AN58" i="36"/>
  <c r="AM56" i="36"/>
  <c r="BD215" i="6" l="1"/>
  <c r="BG11" i="59" s="1"/>
  <c r="BC215" i="6"/>
  <c r="BF11" i="59" s="1"/>
  <c r="BD210" i="6"/>
  <c r="BC210" i="6"/>
  <c r="BC216" i="6" s="1"/>
  <c r="BC219" i="6" s="1"/>
  <c r="AN121" i="45"/>
  <c r="AN139" i="45" s="1"/>
  <c r="BC32" i="35"/>
  <c r="AN120" i="45"/>
  <c r="AN124" i="45"/>
  <c r="AN123" i="45"/>
  <c r="AN144" i="45"/>
  <c r="AM210" i="6"/>
  <c r="AM215" i="6"/>
  <c r="AN210" i="6"/>
  <c r="AN218" i="6"/>
  <c r="AN27" i="36"/>
  <c r="AQ77" i="59" s="1"/>
  <c r="AN29" i="36"/>
  <c r="AN215" i="6"/>
  <c r="AQ11" i="59" s="1"/>
  <c r="BC36" i="35"/>
  <c r="AN20" i="21"/>
  <c r="BD18" i="21"/>
  <c r="BD20" i="21" s="1"/>
  <c r="AM159" i="10"/>
  <c r="AM173" i="10" s="1"/>
  <c r="AM56" i="11"/>
  <c r="BC56" i="11"/>
  <c r="BB18" i="15"/>
  <c r="BC26" i="36"/>
  <c r="BC5" i="9"/>
  <c r="BD121" i="45"/>
  <c r="AM61" i="36"/>
  <c r="AM63" i="36" s="1"/>
  <c r="AM58" i="36"/>
  <c r="AM60" i="36" s="1"/>
  <c r="AM5" i="9"/>
  <c r="AM104" i="9" s="1"/>
  <c r="AL18" i="15"/>
  <c r="AM26" i="36"/>
  <c r="AN18" i="36"/>
  <c r="AQ55" i="59" s="1"/>
  <c r="AQ53" i="59"/>
  <c r="AM33" i="35"/>
  <c r="AM37" i="35" s="1"/>
  <c r="AP98" i="50" s="1"/>
  <c r="AP96" i="50" s="1"/>
  <c r="AM15" i="21"/>
  <c r="BC15" i="21" s="1"/>
  <c r="AM69" i="9"/>
  <c r="AM67" i="9"/>
  <c r="AM65" i="9"/>
  <c r="AM63" i="9"/>
  <c r="AM68" i="9"/>
  <c r="AM27" i="9"/>
  <c r="BC27" i="9" s="1"/>
  <c r="AM64" i="9"/>
  <c r="AM59" i="9"/>
  <c r="AM92" i="9"/>
  <c r="BC92" i="9" s="1"/>
  <c r="AM70" i="9"/>
  <c r="AM95" i="9"/>
  <c r="AM61" i="9"/>
  <c r="AM66" i="9"/>
  <c r="AM56" i="9"/>
  <c r="AN28" i="36"/>
  <c r="AQ78" i="59" s="1"/>
  <c r="AL16" i="15"/>
  <c r="BB16" i="15" s="1"/>
  <c r="AL15" i="15"/>
  <c r="BB15" i="15" s="1"/>
  <c r="AM14" i="36"/>
  <c r="AP40" i="59" s="1"/>
  <c r="AM6" i="8"/>
  <c r="AM85" i="8"/>
  <c r="BC85" i="8" s="1"/>
  <c r="AM29" i="8"/>
  <c r="BC29" i="8" s="1"/>
  <c r="AM31" i="8"/>
  <c r="BC31" i="8" s="1"/>
  <c r="AN69" i="36"/>
  <c r="AN71" i="36" s="1"/>
  <c r="AN63" i="36"/>
  <c r="AN66" i="36"/>
  <c r="AN68" i="36" s="1"/>
  <c r="AN60" i="36"/>
  <c r="AQ74" i="59"/>
  <c r="AE45" i="35"/>
  <c r="AI45" i="35" s="1"/>
  <c r="AE44" i="35"/>
  <c r="AI44" i="35" s="1"/>
  <c r="AE43" i="35"/>
  <c r="AI43" i="35" s="1"/>
  <c r="AM42" i="35"/>
  <c r="BC42" i="35" s="1"/>
  <c r="AN41" i="35"/>
  <c r="BD41" i="35" s="1"/>
  <c r="AM41" i="35"/>
  <c r="BC41" i="35" s="1"/>
  <c r="AM39" i="35"/>
  <c r="BD6" i="35"/>
  <c r="BD5" i="6" s="1"/>
  <c r="BD216" i="6" l="1"/>
  <c r="BD219" i="6" s="1"/>
  <c r="BC39" i="35"/>
  <c r="BF76" i="59" s="1"/>
  <c r="AP76" i="59"/>
  <c r="AM84" i="8"/>
  <c r="AP50" i="59" s="1"/>
  <c r="BC74" i="11"/>
  <c r="BD139" i="45"/>
  <c r="BD120" i="45"/>
  <c r="AM58" i="11"/>
  <c r="AP67" i="59" s="1"/>
  <c r="AM74" i="11"/>
  <c r="AM5" i="15"/>
  <c r="AM216" i="6"/>
  <c r="AM219" i="6" s="1"/>
  <c r="AN216" i="6"/>
  <c r="AN219" i="6" s="1"/>
  <c r="AM79" i="11"/>
  <c r="AP69" i="59" s="1"/>
  <c r="AM102" i="9"/>
  <c r="BC102" i="9" s="1"/>
  <c r="BD9" i="36"/>
  <c r="BG10" i="59" s="1"/>
  <c r="AM55" i="11"/>
  <c r="AM97" i="11"/>
  <c r="AM83" i="8"/>
  <c r="AM9" i="35"/>
  <c r="AP71" i="59"/>
  <c r="AP73" i="59"/>
  <c r="BC49" i="35"/>
  <c r="AM34" i="36"/>
  <c r="BC97" i="11"/>
  <c r="BC55" i="11"/>
  <c r="BC79" i="11"/>
  <c r="BF69" i="59" s="1"/>
  <c r="BC58" i="11"/>
  <c r="BD124" i="45"/>
  <c r="BD123" i="45"/>
  <c r="BF71" i="59" s="1"/>
  <c r="BD144" i="45"/>
  <c r="BF73" i="59" s="1"/>
  <c r="AN49" i="35"/>
  <c r="AN55" i="35" s="1"/>
  <c r="BD49" i="35"/>
  <c r="BD55" i="35" s="1"/>
  <c r="BC159" i="10"/>
  <c r="BC33" i="35"/>
  <c r="BC37" i="35" s="1"/>
  <c r="BC34" i="22"/>
  <c r="BB130" i="26"/>
  <c r="BC89" i="9"/>
  <c r="BC100" i="9"/>
  <c r="BC7" i="9"/>
  <c r="AM158" i="10"/>
  <c r="AM210" i="10" s="1"/>
  <c r="AM161" i="10"/>
  <c r="AP63" i="59" s="1"/>
  <c r="AM90" i="8"/>
  <c r="BC6" i="8"/>
  <c r="AM86" i="9"/>
  <c r="BC69" i="9"/>
  <c r="BC86" i="9" s="1"/>
  <c r="AM81" i="9"/>
  <c r="BC64" i="9"/>
  <c r="BC81" i="9" s="1"/>
  <c r="AM73" i="9"/>
  <c r="BC56" i="9"/>
  <c r="AM85" i="9"/>
  <c r="BC68" i="9"/>
  <c r="BC85" i="9" s="1"/>
  <c r="AM80" i="9"/>
  <c r="BC63" i="9"/>
  <c r="BC80" i="9" s="1"/>
  <c r="AM76" i="9"/>
  <c r="BC59" i="9"/>
  <c r="BC93" i="9"/>
  <c r="BC94" i="9"/>
  <c r="BB19" i="15" s="1"/>
  <c r="AM83" i="9"/>
  <c r="BC66" i="9"/>
  <c r="BC83" i="9" s="1"/>
  <c r="AP58" i="59"/>
  <c r="BC104" i="9"/>
  <c r="BF58" i="59" s="1"/>
  <c r="AM78" i="9"/>
  <c r="BC61" i="9"/>
  <c r="AM96" i="9"/>
  <c r="BC95" i="9"/>
  <c r="BC96" i="9" s="1"/>
  <c r="AM82" i="9"/>
  <c r="AP61" i="59" s="1"/>
  <c r="BC65" i="9"/>
  <c r="BC82" i="9" s="1"/>
  <c r="BF61" i="59" s="1"/>
  <c r="AM87" i="9"/>
  <c r="AP60" i="59" s="1"/>
  <c r="BC70" i="9"/>
  <c r="BC87" i="9" s="1"/>
  <c r="BF60" i="59" s="1"/>
  <c r="AM84" i="9"/>
  <c r="BC67" i="9"/>
  <c r="BC84" i="9" s="1"/>
  <c r="BB17" i="15"/>
  <c r="BD15" i="6"/>
  <c r="AM6" i="15"/>
  <c r="AM28" i="8"/>
  <c r="AM69" i="8"/>
  <c r="BC69" i="8" s="1"/>
  <c r="AM92" i="8"/>
  <c r="AM49" i="8"/>
  <c r="AM82" i="8"/>
  <c r="AP51" i="59" s="1"/>
  <c r="AM24" i="8"/>
  <c r="BC24" i="8" s="1"/>
  <c r="AM94" i="9"/>
  <c r="AL19" i="15" s="1"/>
  <c r="AM93" i="9"/>
  <c r="AM55" i="9"/>
  <c r="AM58" i="9"/>
  <c r="AM60" i="9"/>
  <c r="AM47" i="8"/>
  <c r="AM45" i="8"/>
  <c r="AM50" i="8"/>
  <c r="AM51" i="8" s="1"/>
  <c r="AM25" i="36"/>
  <c r="AN5" i="6"/>
  <c r="AN98" i="6" s="1"/>
  <c r="AN104" i="6" s="1"/>
  <c r="AN106" i="6" s="1"/>
  <c r="AM49" i="35"/>
  <c r="AM55" i="35" s="1"/>
  <c r="AN19" i="36"/>
  <c r="AQ56" i="59" s="1"/>
  <c r="AM30" i="8"/>
  <c r="AM67" i="8"/>
  <c r="BC67" i="8" s="1"/>
  <c r="AM27" i="8"/>
  <c r="BC27" i="8" s="1"/>
  <c r="AM178" i="10"/>
  <c r="AP65" i="59" s="1"/>
  <c r="AM10" i="35"/>
  <c r="AM23" i="8"/>
  <c r="BC23" i="8" s="1"/>
  <c r="AM86" i="8"/>
  <c r="AM25" i="8"/>
  <c r="BC25" i="8" s="1"/>
  <c r="AM7" i="9"/>
  <c r="AM34" i="22"/>
  <c r="AM89" i="9"/>
  <c r="AL130" i="26"/>
  <c r="AM100" i="9"/>
  <c r="AQ79" i="59"/>
  <c r="AM7" i="15"/>
  <c r="AN144" i="6" l="1"/>
  <c r="AN145" i="6"/>
  <c r="AQ15" i="59" s="1"/>
  <c r="AN147" i="6"/>
  <c r="AN149" i="6"/>
  <c r="AN197" i="6" s="1"/>
  <c r="AN153" i="6"/>
  <c r="AN154" i="6"/>
  <c r="BC76" i="9"/>
  <c r="BC84" i="8"/>
  <c r="BF50" i="59" s="1"/>
  <c r="BC78" i="9"/>
  <c r="BC73" i="9"/>
  <c r="BB124" i="26"/>
  <c r="BB116" i="26"/>
  <c r="BB125" i="26"/>
  <c r="BB127" i="26"/>
  <c r="BB115" i="26"/>
  <c r="BB118" i="26"/>
  <c r="BB119" i="26"/>
  <c r="BB122" i="26"/>
  <c r="BB123" i="26"/>
  <c r="BB120" i="26"/>
  <c r="BB114" i="26"/>
  <c r="BB121" i="26"/>
  <c r="BB126" i="26"/>
  <c r="BB117" i="26"/>
  <c r="BD98" i="50"/>
  <c r="BD96" i="50" s="1"/>
  <c r="AM9" i="6"/>
  <c r="BC10" i="35"/>
  <c r="BC9" i="6" s="1"/>
  <c r="BC173" i="10"/>
  <c r="BC203" i="10"/>
  <c r="AL123" i="26"/>
  <c r="AL126" i="26"/>
  <c r="AL120" i="26"/>
  <c r="AL125" i="26"/>
  <c r="AL119" i="26"/>
  <c r="AL116" i="26"/>
  <c r="AL115" i="26"/>
  <c r="AL128" i="26"/>
  <c r="AL124" i="26"/>
  <c r="AL118" i="26"/>
  <c r="AL121" i="26"/>
  <c r="AL122" i="26"/>
  <c r="AL114" i="26"/>
  <c r="AL127" i="26"/>
  <c r="AL117" i="26"/>
  <c r="AL2" i="17"/>
  <c r="AL2" i="26"/>
  <c r="AN9" i="36"/>
  <c r="AQ10" i="59" s="1"/>
  <c r="BC55" i="35"/>
  <c r="BC83" i="8"/>
  <c r="BF49" i="59" s="1"/>
  <c r="AP49" i="59"/>
  <c r="BC9" i="35"/>
  <c r="BC8" i="6" s="1"/>
  <c r="AM8" i="6"/>
  <c r="AM35" i="36"/>
  <c r="BC158" i="10"/>
  <c r="BC178" i="10"/>
  <c r="BF65" i="59" s="1"/>
  <c r="BC161" i="10"/>
  <c r="BF63" i="59" s="1"/>
  <c r="AM11" i="35"/>
  <c r="AM10" i="6" s="1"/>
  <c r="BC25" i="36"/>
  <c r="BF75" i="59" s="1"/>
  <c r="AM26" i="21"/>
  <c r="BC43" i="8"/>
  <c r="BF45" i="59" s="1"/>
  <c r="BC92" i="8"/>
  <c r="BC82" i="8"/>
  <c r="BF51" i="59" s="1"/>
  <c r="BC49" i="8"/>
  <c r="AE80" i="83"/>
  <c r="AE78" i="83" s="1"/>
  <c r="AE98" i="50"/>
  <c r="AM46" i="8"/>
  <c r="AP46" i="59" s="1"/>
  <c r="BC30" i="8"/>
  <c r="BC46" i="8" s="1"/>
  <c r="BF46" i="59" s="1"/>
  <c r="BC90" i="8"/>
  <c r="AM78" i="8"/>
  <c r="BC14" i="36"/>
  <c r="BC50" i="8"/>
  <c r="BC11" i="36"/>
  <c r="BF37" i="59" s="1"/>
  <c r="BC40" i="8"/>
  <c r="AM44" i="8"/>
  <c r="AP47" i="59" s="1"/>
  <c r="BC28" i="8"/>
  <c r="BC44" i="8" s="1"/>
  <c r="BF47" i="59" s="1"/>
  <c r="BC86" i="8"/>
  <c r="BC10" i="36"/>
  <c r="BF36" i="59" s="1"/>
  <c r="BC39" i="8"/>
  <c r="BC26" i="8"/>
  <c r="BC47" i="8"/>
  <c r="BC12" i="36"/>
  <c r="BF38" i="59" s="1"/>
  <c r="BC41" i="8"/>
  <c r="BC45" i="8"/>
  <c r="AM75" i="9"/>
  <c r="BC58" i="9"/>
  <c r="AM72" i="9"/>
  <c r="BC55" i="9"/>
  <c r="AM77" i="9"/>
  <c r="BC60" i="9"/>
  <c r="AN6" i="6"/>
  <c r="AN16" i="6" s="1"/>
  <c r="BD7" i="35"/>
  <c r="BD6" i="6" s="1"/>
  <c r="AM74" i="8"/>
  <c r="AM36" i="8"/>
  <c r="BC36" i="8" s="1"/>
  <c r="AM59" i="8"/>
  <c r="BC59" i="8" s="1"/>
  <c r="AM7" i="22"/>
  <c r="AM8" i="22"/>
  <c r="AM22" i="22"/>
  <c r="BC22" i="22" s="1"/>
  <c r="AM23" i="22"/>
  <c r="BC23" i="22" s="1"/>
  <c r="AM40" i="8"/>
  <c r="AM11" i="36"/>
  <c r="AP37" i="59" s="1"/>
  <c r="AM41" i="8"/>
  <c r="AM12" i="36"/>
  <c r="AP38" i="59" s="1"/>
  <c r="AM14" i="35"/>
  <c r="BC14" i="35" s="1"/>
  <c r="AM65" i="8"/>
  <c r="BC65" i="8" s="1"/>
  <c r="AM109" i="8"/>
  <c r="AM111" i="8" s="1"/>
  <c r="AM43" i="8"/>
  <c r="AP45" i="59" s="1"/>
  <c r="AN8" i="35"/>
  <c r="AM13" i="35"/>
  <c r="BC13" i="35" s="1"/>
  <c r="AM34" i="8"/>
  <c r="BC34" i="8" s="1"/>
  <c r="AM10" i="36"/>
  <c r="AM39" i="8"/>
  <c r="AM26" i="8"/>
  <c r="AM37" i="8"/>
  <c r="BC37" i="8" s="1"/>
  <c r="AN15" i="6"/>
  <c r="AM62" i="9"/>
  <c r="AM57" i="9"/>
  <c r="AM74" i="9" s="1"/>
  <c r="AN34" i="36"/>
  <c r="AN41" i="36" s="1"/>
  <c r="AN18" i="6"/>
  <c r="AN61" i="6"/>
  <c r="AQ23" i="59" s="1"/>
  <c r="AN60" i="6"/>
  <c r="AQ16" i="59" s="1"/>
  <c r="AQ12" i="59"/>
  <c r="AD98" i="50"/>
  <c r="AD96" i="50" s="1"/>
  <c r="AN146" i="6" l="1"/>
  <c r="AN7" i="36" s="1"/>
  <c r="AQ8" i="59" s="1"/>
  <c r="BC51" i="8"/>
  <c r="BC75" i="9"/>
  <c r="BB128" i="26"/>
  <c r="BC24" i="36" s="1"/>
  <c r="BF40" i="59"/>
  <c r="BC77" i="9"/>
  <c r="AE96" i="50"/>
  <c r="BC78" i="8"/>
  <c r="BB2" i="17"/>
  <c r="BB2" i="26"/>
  <c r="AP48" i="59"/>
  <c r="BF48" i="59"/>
  <c r="AO80" i="83"/>
  <c r="BE80" i="83" s="1"/>
  <c r="BE78" i="83" s="1"/>
  <c r="AM52" i="8"/>
  <c r="AP41" i="59" s="1"/>
  <c r="BC26" i="21"/>
  <c r="AM28" i="21"/>
  <c r="BC28" i="21" s="1"/>
  <c r="BC74" i="8"/>
  <c r="AN195" i="6"/>
  <c r="BD18" i="6"/>
  <c r="BD60" i="6"/>
  <c r="BG16" i="59" s="1"/>
  <c r="BC72" i="8"/>
  <c r="BC109" i="8"/>
  <c r="BD61" i="6"/>
  <c r="BG23" i="59" s="1"/>
  <c r="BC42" i="8"/>
  <c r="BC52" i="8"/>
  <c r="BF41" i="59" s="1"/>
  <c r="BC57" i="9"/>
  <c r="BC72" i="9"/>
  <c r="AM79" i="9"/>
  <c r="BC62" i="9"/>
  <c r="BC24" i="22"/>
  <c r="AM15" i="22"/>
  <c r="BC7" i="22"/>
  <c r="AM9" i="22"/>
  <c r="BC8" i="22"/>
  <c r="AN7" i="6"/>
  <c r="BD16" i="6"/>
  <c r="BD7" i="6"/>
  <c r="AM24" i="22"/>
  <c r="AM15" i="35"/>
  <c r="AM42" i="8"/>
  <c r="AM110" i="8"/>
  <c r="AM112" i="8" s="1"/>
  <c r="AM53" i="8" s="1"/>
  <c r="AP42" i="59" s="1"/>
  <c r="AM24" i="36"/>
  <c r="AP74" i="59" s="1"/>
  <c r="AN83" i="6"/>
  <c r="AN80" i="6"/>
  <c r="AN35" i="36"/>
  <c r="AP36" i="59"/>
  <c r="AM13" i="36"/>
  <c r="AP39" i="59" s="1"/>
  <c r="AM36" i="36"/>
  <c r="AM20" i="49"/>
  <c r="AM15" i="36" s="1"/>
  <c r="AM72" i="8"/>
  <c r="AM63" i="8"/>
  <c r="AM35" i="8"/>
  <c r="BC35" i="8" s="1"/>
  <c r="AN194" i="6"/>
  <c r="AN189" i="6"/>
  <c r="AN17" i="6"/>
  <c r="AN36" i="36"/>
  <c r="BC79" i="9" l="1"/>
  <c r="BC74" i="9"/>
  <c r="BD189" i="6"/>
  <c r="AO78" i="83"/>
  <c r="AP43" i="59"/>
  <c r="BD83" i="6"/>
  <c r="BC9" i="22"/>
  <c r="BC111" i="8"/>
  <c r="BC110" i="8"/>
  <c r="AN169" i="6"/>
  <c r="BD17" i="6"/>
  <c r="AM71" i="8"/>
  <c r="BC63" i="8"/>
  <c r="BC71" i="8" s="1"/>
  <c r="BD195" i="6"/>
  <c r="AM10" i="22"/>
  <c r="BC10" i="22" s="1"/>
  <c r="AN79" i="6"/>
  <c r="AN85" i="6"/>
  <c r="AN82" i="6"/>
  <c r="AM25" i="22"/>
  <c r="BC25" i="22" s="1"/>
  <c r="AP52" i="59"/>
  <c r="AM11" i="22"/>
  <c r="BC11" i="22" s="1"/>
  <c r="AM13" i="22"/>
  <c r="AN168" i="6"/>
  <c r="AN19" i="6"/>
  <c r="AN84" i="6" s="1"/>
  <c r="AN164" i="6"/>
  <c r="AB37" i="36"/>
  <c r="AA37" i="36"/>
  <c r="BD98" i="6" l="1"/>
  <c r="BC112" i="8"/>
  <c r="BC53" i="8" s="1"/>
  <c r="BF42" i="59" s="1"/>
  <c r="BF43" i="59" s="1"/>
  <c r="BC12" i="22"/>
  <c r="BD79" i="6"/>
  <c r="BD85" i="6"/>
  <c r="BD19" i="6"/>
  <c r="BD164" i="6"/>
  <c r="BD169" i="6"/>
  <c r="BD80" i="6"/>
  <c r="BD82" i="6"/>
  <c r="AM14" i="22"/>
  <c r="BC13" i="22"/>
  <c r="BC14" i="22" s="1"/>
  <c r="BC15" i="22"/>
  <c r="AM12" i="22"/>
  <c r="AN81" i="6"/>
  <c r="AM28" i="22"/>
  <c r="BC28" i="22" s="1"/>
  <c r="AM26" i="22"/>
  <c r="AN40" i="6"/>
  <c r="AN38" i="6"/>
  <c r="AN39" i="6"/>
  <c r="AN37" i="6"/>
  <c r="BD104" i="6" l="1"/>
  <c r="BD84" i="6"/>
  <c r="BD39" i="6"/>
  <c r="BD40" i="6"/>
  <c r="BD38" i="6"/>
  <c r="BD37" i="6"/>
  <c r="AM27" i="22"/>
  <c r="BC26" i="22"/>
  <c r="BC27" i="22" s="1"/>
  <c r="AM30" i="22"/>
  <c r="AN41" i="6"/>
  <c r="AM29" i="22"/>
  <c r="F472" i="28"/>
  <c r="J472" i="28" s="1"/>
  <c r="F471" i="28"/>
  <c r="J471" i="28" s="1"/>
  <c r="F502" i="28" l="1"/>
  <c r="BD106" i="6"/>
  <c r="BD147" i="6" s="1"/>
  <c r="BD41" i="6"/>
  <c r="BC30" i="22"/>
  <c r="BC29" i="22"/>
  <c r="F526" i="28" l="1"/>
  <c r="J526" i="28" s="1"/>
  <c r="J502" i="28"/>
  <c r="BD149" i="6"/>
  <c r="BD197" i="6" s="1"/>
  <c r="BD153" i="6"/>
  <c r="BD144" i="6"/>
  <c r="BD145" i="6"/>
  <c r="BG15" i="59" s="1"/>
  <c r="BD154" i="6"/>
  <c r="BD146" i="6" l="1"/>
  <c r="BD7" i="36" s="1"/>
  <c r="BG8" i="59" s="1"/>
  <c r="M182" i="73"/>
  <c r="Q182" i="73" s="1"/>
  <c r="U182" i="73" s="1"/>
  <c r="M183" i="73"/>
  <c r="Q183" i="73" s="1"/>
  <c r="U183" i="73" s="1"/>
  <c r="M186" i="73"/>
  <c r="AA186" i="73" l="1"/>
  <c r="AE186" i="73" s="1"/>
  <c r="Q186" i="73"/>
  <c r="U186" i="73" s="1"/>
  <c r="AA183" i="73"/>
  <c r="AE183" i="73" s="1"/>
  <c r="AI183" i="73" s="1"/>
  <c r="AA182" i="73"/>
  <c r="AE182" i="73" s="1"/>
  <c r="AI182" i="73" l="1"/>
  <c r="AO182" i="73" s="1"/>
  <c r="AS182" i="73" s="1"/>
  <c r="AW182" i="73" s="1"/>
  <c r="AI186" i="73"/>
  <c r="AO186" i="73" s="1"/>
  <c r="AS186" i="73" s="1"/>
  <c r="AW186" i="73" s="1"/>
  <c r="AO183" i="73"/>
  <c r="AS183" i="73" s="1"/>
  <c r="Z73" i="6"/>
  <c r="Z74" i="6"/>
  <c r="Z75" i="6"/>
  <c r="Z76" i="6"/>
  <c r="BE186" i="73" l="1"/>
  <c r="BE182" i="73"/>
  <c r="AW183" i="73"/>
  <c r="AA50" i="83"/>
  <c r="BE183" i="73" l="1"/>
  <c r="AC50" i="83"/>
  <c r="AG50" i="83" s="1"/>
  <c r="AK50" i="83" s="1"/>
  <c r="AQ50" i="83" s="1"/>
  <c r="AU50" i="83" s="1"/>
  <c r="AY50" i="83" s="1"/>
  <c r="BG50" i="83" s="1"/>
  <c r="Z2" i="9"/>
  <c r="Y2" i="9"/>
  <c r="Z112" i="9"/>
  <c r="Z113" i="9"/>
  <c r="Z114" i="9"/>
  <c r="Z115" i="9"/>
  <c r="Z116" i="9"/>
  <c r="Z117" i="9"/>
  <c r="Z118" i="9"/>
  <c r="Z119" i="9"/>
  <c r="Z120" i="9"/>
  <c r="Z121" i="9"/>
  <c r="Z122" i="9"/>
  <c r="Z123" i="9"/>
  <c r="Z124" i="9"/>
  <c r="Z125" i="9"/>
  <c r="Z126" i="9"/>
  <c r="Z127" i="9"/>
  <c r="Z128" i="9"/>
  <c r="Z129" i="9"/>
  <c r="Z130" i="9"/>
  <c r="Z131" i="9"/>
  <c r="Z132" i="9"/>
  <c r="N43" i="35" l="1"/>
  <c r="R43" i="35" s="1"/>
  <c r="V43" i="35" s="1"/>
  <c r="N44" i="35"/>
  <c r="R44" i="35" s="1"/>
  <c r="V44" i="35" s="1"/>
  <c r="N45" i="35"/>
  <c r="R45" i="35" s="1"/>
  <c r="V45" i="35" s="1"/>
  <c r="Z9" i="6"/>
  <c r="N10" i="35"/>
  <c r="Y64" i="17"/>
  <c r="Y65" i="17"/>
  <c r="Y66" i="17"/>
  <c r="Y67" i="17"/>
  <c r="Y68" i="17"/>
  <c r="Y69" i="17"/>
  <c r="Y70" i="17"/>
  <c r="Y71" i="17"/>
  <c r="Y72" i="17"/>
  <c r="Y73" i="17"/>
  <c r="Y74" i="17"/>
  <c r="Y75" i="17"/>
  <c r="Y76" i="17"/>
  <c r="Y77" i="17"/>
  <c r="Y78" i="17"/>
  <c r="Y79" i="17"/>
  <c r="Y82" i="17"/>
  <c r="M64" i="17"/>
  <c r="M65" i="17"/>
  <c r="M66" i="17"/>
  <c r="M67" i="17"/>
  <c r="M68" i="17"/>
  <c r="M69" i="17"/>
  <c r="M70" i="17"/>
  <c r="M71" i="17"/>
  <c r="M72" i="17"/>
  <c r="M73" i="17"/>
  <c r="M74" i="17"/>
  <c r="M75" i="17"/>
  <c r="M76" i="17"/>
  <c r="M77" i="17"/>
  <c r="M78" i="17"/>
  <c r="M79" i="17"/>
  <c r="M82" i="17"/>
  <c r="M63" i="17"/>
  <c r="Y31" i="17"/>
  <c r="Y28" i="17"/>
  <c r="Y18" i="17"/>
  <c r="M18" i="17"/>
  <c r="M12" i="17"/>
  <c r="M10" i="17"/>
  <c r="M8" i="17"/>
  <c r="N9" i="6" l="1"/>
  <c r="R10" i="35"/>
  <c r="V10" i="35" s="1"/>
  <c r="V9" i="6" s="1"/>
  <c r="AA72" i="17"/>
  <c r="AE72" i="17" s="1"/>
  <c r="AA71" i="17"/>
  <c r="AE71" i="17" s="1"/>
  <c r="AA77" i="17"/>
  <c r="AE77" i="17" s="1"/>
  <c r="AA65" i="17"/>
  <c r="AE65" i="17" s="1"/>
  <c r="AA18" i="17"/>
  <c r="AE18" i="17" s="1"/>
  <c r="AA64" i="17"/>
  <c r="AE64" i="17" s="1"/>
  <c r="AA70" i="17"/>
  <c r="AE70" i="17" s="1"/>
  <c r="AA76" i="17"/>
  <c r="AE76" i="17" s="1"/>
  <c r="AA75" i="17"/>
  <c r="AE75" i="17" s="1"/>
  <c r="AA69" i="17"/>
  <c r="AE69" i="17" s="1"/>
  <c r="AA82" i="17"/>
  <c r="AE82" i="17" s="1"/>
  <c r="AA74" i="17"/>
  <c r="AE74" i="17" s="1"/>
  <c r="AA68" i="17"/>
  <c r="AE68" i="17" s="1"/>
  <c r="AA79" i="17"/>
  <c r="AE79" i="17" s="1"/>
  <c r="AA73" i="17"/>
  <c r="AE73" i="17" s="1"/>
  <c r="AA67" i="17"/>
  <c r="AE67" i="17" s="1"/>
  <c r="M14" i="17"/>
  <c r="AA78" i="17"/>
  <c r="AE78" i="17" s="1"/>
  <c r="AA66" i="17"/>
  <c r="AE66" i="17" s="1"/>
  <c r="AB45" i="35"/>
  <c r="AF45" i="35" s="1"/>
  <c r="AJ45" i="35" s="1"/>
  <c r="AP45" i="35" s="1"/>
  <c r="AB44" i="35"/>
  <c r="AF44" i="35" s="1"/>
  <c r="AJ44" i="35" s="1"/>
  <c r="AP44" i="35" s="1"/>
  <c r="AB43" i="35"/>
  <c r="AF43" i="35" s="1"/>
  <c r="AJ43" i="35" s="1"/>
  <c r="AP43" i="35" s="1"/>
  <c r="AI78" i="17" l="1"/>
  <c r="AO78" i="17" s="1"/>
  <c r="AI79" i="17"/>
  <c r="AO79" i="17" s="1"/>
  <c r="AI76" i="17"/>
  <c r="AO76" i="17" s="1"/>
  <c r="AI75" i="17"/>
  <c r="AO75" i="17" s="1"/>
  <c r="AI74" i="17"/>
  <c r="AO74" i="17" s="1"/>
  <c r="AI82" i="17"/>
  <c r="AO82" i="17" s="1"/>
  <c r="AI77" i="17"/>
  <c r="AO77" i="17" s="1"/>
  <c r="AI18" i="17"/>
  <c r="AO18" i="17" s="1"/>
  <c r="AS18" i="17" s="1"/>
  <c r="AI64" i="17"/>
  <c r="AO64" i="17" s="1"/>
  <c r="AI68" i="17"/>
  <c r="AO68" i="17" s="1"/>
  <c r="AI69" i="17"/>
  <c r="AO69" i="17" s="1"/>
  <c r="AI70" i="17"/>
  <c r="AO70" i="17" s="1"/>
  <c r="AI72" i="17"/>
  <c r="AO72" i="17" s="1"/>
  <c r="AI65" i="17"/>
  <c r="AO65" i="17" s="1"/>
  <c r="AI67" i="17"/>
  <c r="AO67" i="17" s="1"/>
  <c r="AI66" i="17"/>
  <c r="AO66" i="17" s="1"/>
  <c r="AI73" i="17"/>
  <c r="AO73" i="17" s="1"/>
  <c r="AI71" i="17"/>
  <c r="AO71" i="17" s="1"/>
  <c r="AT45" i="35"/>
  <c r="AX45" i="35" s="1"/>
  <c r="BF45" i="35" s="1"/>
  <c r="AT43" i="35"/>
  <c r="AX43" i="35" s="1"/>
  <c r="BF43" i="35" s="1"/>
  <c r="AT44" i="35"/>
  <c r="AX44" i="35" s="1"/>
  <c r="BF44" i="35" s="1"/>
  <c r="Y72" i="7"/>
  <c r="Z72" i="7"/>
  <c r="M72" i="7"/>
  <c r="N72" i="7"/>
  <c r="N42" i="7"/>
  <c r="N43" i="7"/>
  <c r="N44" i="7"/>
  <c r="N45" i="7"/>
  <c r="N46" i="7"/>
  <c r="N47" i="7"/>
  <c r="N48" i="7"/>
  <c r="N50" i="7"/>
  <c r="M42" i="7"/>
  <c r="M43" i="7"/>
  <c r="M44" i="7"/>
  <c r="M45" i="7"/>
  <c r="M46" i="7"/>
  <c r="M47" i="7"/>
  <c r="M48" i="7"/>
  <c r="M50" i="7"/>
  <c r="Z42" i="7"/>
  <c r="Z43" i="7"/>
  <c r="Z44" i="7"/>
  <c r="Z45" i="7"/>
  <c r="Z46" i="7"/>
  <c r="Z47" i="7"/>
  <c r="Z48" i="7"/>
  <c r="Z50" i="7"/>
  <c r="Y42" i="7"/>
  <c r="Y43" i="7"/>
  <c r="Y44" i="7"/>
  <c r="Y45" i="7"/>
  <c r="Y46" i="7"/>
  <c r="Y47" i="7"/>
  <c r="Y48" i="7"/>
  <c r="Y50" i="7"/>
  <c r="Y7" i="7"/>
  <c r="Z7" i="7"/>
  <c r="Y8" i="7"/>
  <c r="Z8" i="7"/>
  <c r="Y9" i="7"/>
  <c r="Z9" i="7"/>
  <c r="Y10" i="7"/>
  <c r="Z10" i="7"/>
  <c r="Y11" i="7"/>
  <c r="Z11" i="7"/>
  <c r="Y12" i="7"/>
  <c r="Y14" i="7"/>
  <c r="Z14" i="7"/>
  <c r="Y15" i="7"/>
  <c r="Z15" i="7"/>
  <c r="Y16" i="7"/>
  <c r="Z16" i="7"/>
  <c r="Y19" i="7"/>
  <c r="Z19" i="7"/>
  <c r="Y20" i="7"/>
  <c r="Z20" i="7"/>
  <c r="N7" i="7"/>
  <c r="N8" i="7"/>
  <c r="N9" i="7"/>
  <c r="N10" i="7"/>
  <c r="N11" i="7"/>
  <c r="N12" i="7"/>
  <c r="N14" i="7"/>
  <c r="N15" i="7"/>
  <c r="N16" i="7"/>
  <c r="N20" i="7"/>
  <c r="Z12" i="7"/>
  <c r="Z161" i="7" l="1"/>
  <c r="Y161" i="7"/>
  <c r="N157" i="7"/>
  <c r="N161" i="7"/>
  <c r="Z157" i="7"/>
  <c r="Y157" i="7"/>
  <c r="AW18" i="17"/>
  <c r="BE18" i="17" s="1"/>
  <c r="AS78" i="17"/>
  <c r="AS79" i="17"/>
  <c r="AS76" i="17"/>
  <c r="AS75" i="17"/>
  <c r="AS74" i="17"/>
  <c r="AS82" i="17"/>
  <c r="AS77" i="17"/>
  <c r="AS65" i="17"/>
  <c r="AS69" i="17"/>
  <c r="AS70" i="17"/>
  <c r="AS68" i="17"/>
  <c r="AS72" i="17"/>
  <c r="AS71" i="17"/>
  <c r="AS73" i="17"/>
  <c r="AS66" i="17"/>
  <c r="AS67" i="17"/>
  <c r="AS64" i="17"/>
  <c r="AB19" i="7"/>
  <c r="AB7" i="7"/>
  <c r="AB72" i="7"/>
  <c r="AF72" i="7" s="1"/>
  <c r="AJ72" i="7" s="1"/>
  <c r="AA72" i="7"/>
  <c r="AE72" i="7" s="1"/>
  <c r="AI72" i="7" s="1"/>
  <c r="AA48" i="7"/>
  <c r="AE48" i="7" s="1"/>
  <c r="AB44" i="7"/>
  <c r="AF44" i="7" s="1"/>
  <c r="AJ44" i="7" s="1"/>
  <c r="AA42" i="7"/>
  <c r="AE42" i="7" s="1"/>
  <c r="AB42" i="7"/>
  <c r="AF42" i="7" s="1"/>
  <c r="AJ42" i="7" s="1"/>
  <c r="AA47" i="7"/>
  <c r="AE47" i="7" s="1"/>
  <c r="AI47" i="7" s="1"/>
  <c r="AB50" i="7"/>
  <c r="AF50" i="7" s="1"/>
  <c r="AJ50" i="7" s="1"/>
  <c r="AA46" i="7"/>
  <c r="AE46" i="7" s="1"/>
  <c r="AB48" i="7"/>
  <c r="AF48" i="7" s="1"/>
  <c r="AJ48" i="7" s="1"/>
  <c r="AA45" i="7"/>
  <c r="AE45" i="7" s="1"/>
  <c r="AA44" i="7"/>
  <c r="AE44" i="7" s="1"/>
  <c r="AA43" i="7"/>
  <c r="AE43" i="7" s="1"/>
  <c r="AB11" i="7"/>
  <c r="AB16" i="7"/>
  <c r="AB45" i="7"/>
  <c r="AF45" i="7" s="1"/>
  <c r="AJ45" i="7" s="1"/>
  <c r="AA50" i="7"/>
  <c r="AB9" i="7"/>
  <c r="AB46" i="7"/>
  <c r="AF46" i="7" s="1"/>
  <c r="AJ46" i="7" s="1"/>
  <c r="AB12" i="7"/>
  <c r="AB20" i="7"/>
  <c r="AB8" i="7"/>
  <c r="AB10" i="7"/>
  <c r="AB43" i="7"/>
  <c r="AF43" i="7" s="1"/>
  <c r="AJ43" i="7" s="1"/>
  <c r="AB15" i="7"/>
  <c r="AB14" i="7"/>
  <c r="AB47" i="7"/>
  <c r="AF47" i="7" s="1"/>
  <c r="AJ47" i="7" s="1"/>
  <c r="Z10" i="8"/>
  <c r="Y10" i="8"/>
  <c r="Z9" i="8"/>
  <c r="Y9" i="8"/>
  <c r="N10" i="8"/>
  <c r="M10" i="8"/>
  <c r="M9" i="8"/>
  <c r="N9" i="8"/>
  <c r="Y19" i="8"/>
  <c r="Z19" i="8"/>
  <c r="Y20" i="8"/>
  <c r="Z20" i="8"/>
  <c r="Y21" i="8"/>
  <c r="M19" i="8"/>
  <c r="N19" i="8"/>
  <c r="M20" i="8"/>
  <c r="N20" i="8"/>
  <c r="Z30" i="8"/>
  <c r="Z157" i="8" s="1"/>
  <c r="Z31" i="8"/>
  <c r="Z156" i="8" s="1"/>
  <c r="Z29" i="8"/>
  <c r="Z155" i="8" s="1"/>
  <c r="Z28" i="8"/>
  <c r="Z27" i="8"/>
  <c r="Z154" i="8" s="1"/>
  <c r="Z24" i="8"/>
  <c r="Z151" i="8" s="1"/>
  <c r="Z25" i="8"/>
  <c r="Z153" i="8" s="1"/>
  <c r="N31" i="8"/>
  <c r="N156" i="8" s="1"/>
  <c r="N30" i="8"/>
  <c r="N157" i="8" s="1"/>
  <c r="N29" i="8"/>
  <c r="N155" i="8" s="1"/>
  <c r="N28" i="8"/>
  <c r="N27" i="8"/>
  <c r="N154" i="8" s="1"/>
  <c r="N24" i="8"/>
  <c r="N151" i="8" s="1"/>
  <c r="N25" i="8"/>
  <c r="N153" i="8" s="1"/>
  <c r="N23" i="8"/>
  <c r="N150" i="8" s="1"/>
  <c r="AD46" i="38"/>
  <c r="AD45" i="38"/>
  <c r="AD44" i="38"/>
  <c r="AD43" i="38"/>
  <c r="AD41" i="38"/>
  <c r="AD38" i="38"/>
  <c r="AD37" i="38"/>
  <c r="AD36" i="38"/>
  <c r="AD35" i="38"/>
  <c r="AD32" i="38"/>
  <c r="AD31" i="38"/>
  <c r="AD30" i="38"/>
  <c r="AD29" i="38"/>
  <c r="AD28" i="38"/>
  <c r="AD27" i="38"/>
  <c r="AD26" i="38"/>
  <c r="AD25" i="38"/>
  <c r="AD24" i="38"/>
  <c r="AD23" i="38"/>
  <c r="AD22" i="38"/>
  <c r="AD21" i="38"/>
  <c r="AD20" i="38"/>
  <c r="AD19" i="38"/>
  <c r="R20" i="38"/>
  <c r="R21" i="38"/>
  <c r="R22" i="38"/>
  <c r="R23" i="38"/>
  <c r="R24" i="38"/>
  <c r="R25" i="38"/>
  <c r="R26" i="38"/>
  <c r="R27" i="38"/>
  <c r="R28" i="38"/>
  <c r="R29" i="38"/>
  <c r="R30" i="38"/>
  <c r="R31" i="38"/>
  <c r="R32" i="38"/>
  <c r="AD14" i="38"/>
  <c r="AD13" i="38"/>
  <c r="AD7" i="38"/>
  <c r="AD8" i="38"/>
  <c r="AD9" i="38"/>
  <c r="AD10" i="38"/>
  <c r="R14" i="38"/>
  <c r="R7" i="38"/>
  <c r="R8" i="38"/>
  <c r="R9" i="38"/>
  <c r="R10" i="38"/>
  <c r="N85" i="8"/>
  <c r="Z56" i="9"/>
  <c r="Z58" i="9"/>
  <c r="Z59" i="9"/>
  <c r="Z61" i="9"/>
  <c r="Z63" i="9"/>
  <c r="Z65" i="9"/>
  <c r="Z66" i="9"/>
  <c r="Z67" i="9"/>
  <c r="Z68" i="9"/>
  <c r="Z69" i="9"/>
  <c r="Z70" i="9"/>
  <c r="N56" i="9"/>
  <c r="N58" i="9"/>
  <c r="N59" i="9"/>
  <c r="N61" i="9"/>
  <c r="N63" i="9"/>
  <c r="N64" i="9"/>
  <c r="N65" i="9"/>
  <c r="N66" i="9"/>
  <c r="N67" i="9"/>
  <c r="N68" i="9"/>
  <c r="N69" i="9"/>
  <c r="N70" i="9"/>
  <c r="Z88" i="9"/>
  <c r="N92" i="9"/>
  <c r="Z106" i="9"/>
  <c r="N112" i="9"/>
  <c r="AB112" i="9" s="1"/>
  <c r="AF112" i="9" s="1"/>
  <c r="N113" i="9"/>
  <c r="AB113" i="9" s="1"/>
  <c r="AF113" i="9" s="1"/>
  <c r="N114" i="9"/>
  <c r="AB114" i="9" s="1"/>
  <c r="AF114" i="9" s="1"/>
  <c r="N115" i="9"/>
  <c r="AB115" i="9" s="1"/>
  <c r="AF115" i="9" s="1"/>
  <c r="N116" i="9"/>
  <c r="AB116" i="9" s="1"/>
  <c r="AF116" i="9" s="1"/>
  <c r="N117" i="9"/>
  <c r="AB117" i="9" s="1"/>
  <c r="AF117" i="9" s="1"/>
  <c r="N118" i="9"/>
  <c r="AB118" i="9" s="1"/>
  <c r="AF118" i="9" s="1"/>
  <c r="N119" i="9"/>
  <c r="AB119" i="9" s="1"/>
  <c r="AF119" i="9" s="1"/>
  <c r="N120" i="9"/>
  <c r="AB120" i="9" s="1"/>
  <c r="AF120" i="9" s="1"/>
  <c r="N121" i="9"/>
  <c r="AB121" i="9" s="1"/>
  <c r="AF121" i="9" s="1"/>
  <c r="N122" i="9"/>
  <c r="AB122" i="9" s="1"/>
  <c r="AF122" i="9" s="1"/>
  <c r="N123" i="9"/>
  <c r="AB123" i="9" s="1"/>
  <c r="AF123" i="9" s="1"/>
  <c r="N124" i="9"/>
  <c r="AB124" i="9" s="1"/>
  <c r="AF124" i="9" s="1"/>
  <c r="N125" i="9"/>
  <c r="AB125" i="9" s="1"/>
  <c r="AF125" i="9" s="1"/>
  <c r="N126" i="9"/>
  <c r="AB126" i="9" s="1"/>
  <c r="AF126" i="9" s="1"/>
  <c r="N127" i="9"/>
  <c r="AB127" i="9" s="1"/>
  <c r="AF127" i="9" s="1"/>
  <c r="N128" i="9"/>
  <c r="AB128" i="9" s="1"/>
  <c r="AF128" i="9" s="1"/>
  <c r="N129" i="9"/>
  <c r="AB129" i="9" s="1"/>
  <c r="AF129" i="9" s="1"/>
  <c r="N130" i="9"/>
  <c r="AB130" i="9" s="1"/>
  <c r="AF130" i="9" s="1"/>
  <c r="N131" i="9"/>
  <c r="AB131" i="9" s="1"/>
  <c r="AF131" i="9" s="1"/>
  <c r="N132" i="9"/>
  <c r="AB132" i="9" s="1"/>
  <c r="AF132" i="9" s="1"/>
  <c r="Z169" i="10"/>
  <c r="Y169" i="10"/>
  <c r="Z167" i="10"/>
  <c r="Y167" i="10"/>
  <c r="N169" i="10"/>
  <c r="M169" i="10"/>
  <c r="N167" i="10"/>
  <c r="M167" i="10"/>
  <c r="Z7" i="10"/>
  <c r="Z199" i="10" s="1"/>
  <c r="N70" i="11"/>
  <c r="M70" i="11"/>
  <c r="Z70" i="11"/>
  <c r="Y70" i="11"/>
  <c r="Z68" i="11"/>
  <c r="Y68" i="11"/>
  <c r="M68" i="11"/>
  <c r="N68" i="11"/>
  <c r="Q120" i="50"/>
  <c r="Z44" i="11"/>
  <c r="N54" i="11"/>
  <c r="R54" i="11" s="1"/>
  <c r="N52" i="11"/>
  <c r="N51" i="11"/>
  <c r="N48" i="11"/>
  <c r="AB48" i="11" s="1"/>
  <c r="AF48" i="11" s="1"/>
  <c r="N47" i="11"/>
  <c r="AB47" i="11" s="1"/>
  <c r="AF47" i="11" s="1"/>
  <c r="N46" i="11"/>
  <c r="AB46" i="11" s="1"/>
  <c r="AF46" i="11" s="1"/>
  <c r="N45" i="11"/>
  <c r="N44" i="11"/>
  <c r="R44" i="11" s="1"/>
  <c r="AF19" i="7" l="1"/>
  <c r="AF20" i="7"/>
  <c r="AF15" i="7"/>
  <c r="AF16" i="7"/>
  <c r="AF14" i="7"/>
  <c r="AF12" i="7"/>
  <c r="AF11" i="7"/>
  <c r="AF10" i="7"/>
  <c r="AJ10" i="7" s="1"/>
  <c r="AF8" i="7"/>
  <c r="AB161" i="7"/>
  <c r="AF7" i="7"/>
  <c r="AF9" i="7"/>
  <c r="AB157" i="7"/>
  <c r="AW66" i="17"/>
  <c r="BE66" i="17" s="1"/>
  <c r="AW73" i="17"/>
  <c r="BE73" i="17" s="1"/>
  <c r="AW77" i="17"/>
  <c r="BE77" i="17" s="1"/>
  <c r="AW71" i="17"/>
  <c r="BE71" i="17" s="1"/>
  <c r="AW82" i="17"/>
  <c r="BE82" i="17" s="1"/>
  <c r="AW72" i="17"/>
  <c r="BE72" i="17" s="1"/>
  <c r="AW74" i="17"/>
  <c r="BE74" i="17" s="1"/>
  <c r="AW68" i="17"/>
  <c r="BE68" i="17" s="1"/>
  <c r="AW75" i="17"/>
  <c r="BE75" i="17" s="1"/>
  <c r="AW70" i="17"/>
  <c r="BE70" i="17" s="1"/>
  <c r="AW76" i="17"/>
  <c r="BE76" i="17" s="1"/>
  <c r="AW69" i="17"/>
  <c r="BE69" i="17" s="1"/>
  <c r="AW79" i="17"/>
  <c r="BE79" i="17" s="1"/>
  <c r="AW67" i="17"/>
  <c r="BE67" i="17" s="1"/>
  <c r="AW65" i="17"/>
  <c r="BE65" i="17" s="1"/>
  <c r="AW78" i="17"/>
  <c r="BE78" i="17" s="1"/>
  <c r="AW64" i="17"/>
  <c r="BE64" i="17" s="1"/>
  <c r="R52" i="11"/>
  <c r="V52" i="11" s="1"/>
  <c r="AB52" i="11"/>
  <c r="AF52" i="11" s="1"/>
  <c r="R51" i="11"/>
  <c r="V51" i="11" s="1"/>
  <c r="AB51" i="11"/>
  <c r="R45" i="11"/>
  <c r="V45" i="11" s="1"/>
  <c r="AB45" i="11"/>
  <c r="AJ48" i="11"/>
  <c r="AP48" i="11" s="1"/>
  <c r="AT48" i="11" s="1"/>
  <c r="R48" i="11"/>
  <c r="V48" i="11" s="1"/>
  <c r="AJ46" i="11"/>
  <c r="AP46" i="11" s="1"/>
  <c r="AT46" i="11" s="1"/>
  <c r="R46" i="11"/>
  <c r="V46" i="11" s="1"/>
  <c r="AJ47" i="11"/>
  <c r="AP47" i="11" s="1"/>
  <c r="AT47" i="11" s="1"/>
  <c r="R47" i="11"/>
  <c r="V47" i="11" s="1"/>
  <c r="AI46" i="7"/>
  <c r="AO46" i="7" s="1"/>
  <c r="AS46" i="7" s="1"/>
  <c r="AI48" i="7"/>
  <c r="AO48" i="7" s="1"/>
  <c r="AS48" i="7" s="1"/>
  <c r="AE50" i="7"/>
  <c r="AI50" i="7" s="1"/>
  <c r="AO50" i="7" s="1"/>
  <c r="AS50" i="7" s="1"/>
  <c r="AI43" i="7"/>
  <c r="AO43" i="7" s="1"/>
  <c r="AS43" i="7" s="1"/>
  <c r="AI44" i="7"/>
  <c r="AO44" i="7" s="1"/>
  <c r="AS44" i="7" s="1"/>
  <c r="AI45" i="7"/>
  <c r="AO45" i="7" s="1"/>
  <c r="AS45" i="7" s="1"/>
  <c r="AI42" i="7"/>
  <c r="AO42" i="7" s="1"/>
  <c r="AS42" i="7" s="1"/>
  <c r="AX50" i="11"/>
  <c r="BF39" i="11"/>
  <c r="BF26" i="11"/>
  <c r="BF11" i="11"/>
  <c r="AA120" i="50"/>
  <c r="AJ119" i="9"/>
  <c r="AP119" i="9" s="1"/>
  <c r="AT119" i="9" s="1"/>
  <c r="AJ113" i="9"/>
  <c r="AP113" i="9" s="1"/>
  <c r="AT113" i="9" s="1"/>
  <c r="AJ118" i="9"/>
  <c r="AP118" i="9" s="1"/>
  <c r="AT118" i="9" s="1"/>
  <c r="AJ112" i="9"/>
  <c r="AP112" i="9" s="1"/>
  <c r="AT112" i="9" s="1"/>
  <c r="AJ131" i="9"/>
  <c r="AP131" i="9" s="1"/>
  <c r="AT131" i="9" s="1"/>
  <c r="AJ129" i="9"/>
  <c r="AP129" i="9" s="1"/>
  <c r="AT129" i="9" s="1"/>
  <c r="AJ123" i="9"/>
  <c r="AP123" i="9" s="1"/>
  <c r="AT123" i="9" s="1"/>
  <c r="AJ117" i="9"/>
  <c r="AP117" i="9" s="1"/>
  <c r="AT117" i="9" s="1"/>
  <c r="AX117" i="9" s="1"/>
  <c r="AJ125" i="9"/>
  <c r="AP125" i="9" s="1"/>
  <c r="AT125" i="9" s="1"/>
  <c r="AJ128" i="9"/>
  <c r="AP128" i="9" s="1"/>
  <c r="AT128" i="9" s="1"/>
  <c r="AJ122" i="9"/>
  <c r="AP122" i="9" s="1"/>
  <c r="AT122" i="9" s="1"/>
  <c r="AJ116" i="9"/>
  <c r="AP116" i="9" s="1"/>
  <c r="AT116" i="9" s="1"/>
  <c r="AJ124" i="9"/>
  <c r="AP124" i="9" s="1"/>
  <c r="AT124" i="9" s="1"/>
  <c r="AJ127" i="9"/>
  <c r="AP127" i="9" s="1"/>
  <c r="AT127" i="9" s="1"/>
  <c r="AJ121" i="9"/>
  <c r="AP121" i="9" s="1"/>
  <c r="AT121" i="9" s="1"/>
  <c r="AJ115" i="9"/>
  <c r="AP115" i="9" s="1"/>
  <c r="AT115" i="9" s="1"/>
  <c r="AJ130" i="9"/>
  <c r="AP130" i="9" s="1"/>
  <c r="AT130" i="9" s="1"/>
  <c r="AJ132" i="9"/>
  <c r="AP132" i="9" s="1"/>
  <c r="AT132" i="9" s="1"/>
  <c r="AJ126" i="9"/>
  <c r="AP126" i="9" s="1"/>
  <c r="AT126" i="9" s="1"/>
  <c r="AJ120" i="9"/>
  <c r="AP120" i="9" s="1"/>
  <c r="AT120" i="9" s="1"/>
  <c r="AJ114" i="9"/>
  <c r="AP114" i="9" s="1"/>
  <c r="AT114" i="9" s="1"/>
  <c r="AB167" i="10"/>
  <c r="AF167" i="10" s="1"/>
  <c r="AB25" i="8"/>
  <c r="AB27" i="8"/>
  <c r="AB29" i="8"/>
  <c r="AB20" i="8"/>
  <c r="AF20" i="8" s="1"/>
  <c r="AB19" i="8"/>
  <c r="AF19" i="8" s="1"/>
  <c r="AB30" i="8"/>
  <c r="AF7" i="38"/>
  <c r="AJ7" i="38" s="1"/>
  <c r="AN7" i="38" s="1"/>
  <c r="AB28" i="8"/>
  <c r="AF28" i="8" s="1"/>
  <c r="AJ28" i="8" s="1"/>
  <c r="AA167" i="10"/>
  <c r="AE167" i="10" s="1"/>
  <c r="AF14" i="38"/>
  <c r="AJ14" i="38" s="1"/>
  <c r="AN14" i="38" s="1"/>
  <c r="AB24" i="8"/>
  <c r="AF22" i="38"/>
  <c r="AJ22" i="38" s="1"/>
  <c r="AB31" i="8"/>
  <c r="AB9" i="8"/>
  <c r="AF9" i="8" s="1"/>
  <c r="AA9" i="8"/>
  <c r="AE9" i="8" s="1"/>
  <c r="AF23" i="38"/>
  <c r="AJ23" i="38" s="1"/>
  <c r="AN23" i="38" s="1"/>
  <c r="AO47" i="7"/>
  <c r="AP72" i="7"/>
  <c r="AP42" i="7"/>
  <c r="AF8" i="38"/>
  <c r="AJ8" i="38" s="1"/>
  <c r="AN8" i="38" s="1"/>
  <c r="AF24" i="38"/>
  <c r="AJ24" i="38" s="1"/>
  <c r="AN24" i="38" s="1"/>
  <c r="AF28" i="38"/>
  <c r="AJ28" i="38" s="1"/>
  <c r="AN28" i="38" s="1"/>
  <c r="AA19" i="8"/>
  <c r="AE19" i="8" s="1"/>
  <c r="AA10" i="8"/>
  <c r="AE10" i="8" s="1"/>
  <c r="AP44" i="7"/>
  <c r="AP45" i="7"/>
  <c r="AP50" i="7"/>
  <c r="AF29" i="38"/>
  <c r="AJ29" i="38" s="1"/>
  <c r="AN29" i="38" s="1"/>
  <c r="AD6" i="38"/>
  <c r="AA20" i="8"/>
  <c r="AE20" i="8" s="1"/>
  <c r="AB10" i="8"/>
  <c r="AF10" i="8" s="1"/>
  <c r="AP48" i="7"/>
  <c r="AO72" i="7"/>
  <c r="AA169" i="10"/>
  <c r="AE169" i="10" s="1"/>
  <c r="AI169" i="10" s="1"/>
  <c r="AB169" i="10"/>
  <c r="AF169" i="10" s="1"/>
  <c r="AJ169" i="10" s="1"/>
  <c r="AB54" i="11"/>
  <c r="AF30" i="38"/>
  <c r="AJ30" i="38" s="1"/>
  <c r="AN30" i="38" s="1"/>
  <c r="AF25" i="38"/>
  <c r="AJ25" i="38" s="1"/>
  <c r="AN25" i="38" s="1"/>
  <c r="AF31" i="38"/>
  <c r="AJ31" i="38" s="1"/>
  <c r="AN31" i="38" s="1"/>
  <c r="AF10" i="38"/>
  <c r="AF20" i="38"/>
  <c r="AJ20" i="38" s="1"/>
  <c r="AN20" i="38" s="1"/>
  <c r="AF26" i="38"/>
  <c r="AJ26" i="38" s="1"/>
  <c r="AN26" i="38" s="1"/>
  <c r="AF32" i="38"/>
  <c r="AJ32" i="38" s="1"/>
  <c r="AN32" i="38" s="1"/>
  <c r="AF9" i="38"/>
  <c r="AJ9" i="38" s="1"/>
  <c r="AN9" i="38" s="1"/>
  <c r="AF21" i="38"/>
  <c r="AJ21" i="38" s="1"/>
  <c r="AN21" i="38" s="1"/>
  <c r="AF27" i="38"/>
  <c r="AJ27" i="38" s="1"/>
  <c r="AN27" i="38" s="1"/>
  <c r="AJ19" i="7" l="1"/>
  <c r="AJ20" i="7"/>
  <c r="AJ15" i="7"/>
  <c r="AJ16" i="7"/>
  <c r="AJ14" i="7"/>
  <c r="AJ12" i="7"/>
  <c r="AP12" i="7" s="1"/>
  <c r="AJ11" i="7"/>
  <c r="AF161" i="7"/>
  <c r="AJ7" i="7"/>
  <c r="AJ8" i="7"/>
  <c r="AP8" i="7" s="1"/>
  <c r="AF24" i="8"/>
  <c r="AJ24" i="8" s="1"/>
  <c r="AB151" i="8"/>
  <c r="AF29" i="8"/>
  <c r="AJ29" i="8" s="1"/>
  <c r="AP29" i="8" s="1"/>
  <c r="AT29" i="8" s="1"/>
  <c r="AB155" i="8"/>
  <c r="AF27" i="8"/>
  <c r="AJ27" i="8" s="1"/>
  <c r="AP27" i="8" s="1"/>
  <c r="AB154" i="8"/>
  <c r="AF25" i="8"/>
  <c r="AB153" i="8"/>
  <c r="AF30" i="8"/>
  <c r="AJ30" i="8" s="1"/>
  <c r="AP30" i="8" s="1"/>
  <c r="AT30" i="8" s="1"/>
  <c r="AB157" i="8"/>
  <c r="AF31" i="8"/>
  <c r="AJ31" i="8" s="1"/>
  <c r="AP31" i="8" s="1"/>
  <c r="AT31" i="8" s="1"/>
  <c r="AB156" i="8"/>
  <c r="AJ9" i="7"/>
  <c r="AP9" i="7" s="1"/>
  <c r="AF157" i="7"/>
  <c r="BF50" i="11"/>
  <c r="AF45" i="11"/>
  <c r="AJ45" i="11" s="1"/>
  <c r="AP45" i="11" s="1"/>
  <c r="AF51" i="11"/>
  <c r="AJ51" i="11" s="1"/>
  <c r="AP51" i="11" s="1"/>
  <c r="AK165" i="45"/>
  <c r="AW45" i="7"/>
  <c r="AW43" i="7"/>
  <c r="AW48" i="7"/>
  <c r="AW42" i="7"/>
  <c r="AW46" i="7"/>
  <c r="AW44" i="7"/>
  <c r="AW50" i="7"/>
  <c r="AX115" i="9"/>
  <c r="BF115" i="9" s="1"/>
  <c r="AX128" i="9"/>
  <c r="BF128" i="9" s="1"/>
  <c r="AX112" i="9"/>
  <c r="BF112" i="9" s="1"/>
  <c r="AX114" i="9"/>
  <c r="BF114" i="9" s="1"/>
  <c r="AX121" i="9"/>
  <c r="BF121" i="9" s="1"/>
  <c r="AX125" i="9"/>
  <c r="BF125" i="9" s="1"/>
  <c r="AX118" i="9"/>
  <c r="BF118" i="9" s="1"/>
  <c r="AX120" i="9"/>
  <c r="BF120" i="9" s="1"/>
  <c r="AX127" i="9"/>
  <c r="BF127" i="9" s="1"/>
  <c r="AX113" i="9"/>
  <c r="BF113" i="9" s="1"/>
  <c r="AX126" i="9"/>
  <c r="BF126" i="9" s="1"/>
  <c r="AX124" i="9"/>
  <c r="BF124" i="9" s="1"/>
  <c r="AX123" i="9"/>
  <c r="BF123" i="9" s="1"/>
  <c r="AX119" i="9"/>
  <c r="BF119" i="9" s="1"/>
  <c r="AX132" i="9"/>
  <c r="BF132" i="9" s="1"/>
  <c r="AX116" i="9"/>
  <c r="BF116" i="9" s="1"/>
  <c r="AX129" i="9"/>
  <c r="BF129" i="9" s="1"/>
  <c r="AX130" i="9"/>
  <c r="BF130" i="9" s="1"/>
  <c r="AX122" i="9"/>
  <c r="BF122" i="9" s="1"/>
  <c r="AX131" i="9"/>
  <c r="BF131" i="9" s="1"/>
  <c r="BF13" i="11"/>
  <c r="BF15" i="11"/>
  <c r="BF27" i="11"/>
  <c r="BF18" i="11"/>
  <c r="BF14" i="11"/>
  <c r="BF22" i="11"/>
  <c r="BF24" i="11"/>
  <c r="BF40" i="11"/>
  <c r="BF20" i="11"/>
  <c r="BF33" i="11"/>
  <c r="BF16" i="11"/>
  <c r="BF23" i="11"/>
  <c r="BF28" i="11"/>
  <c r="BF37" i="11"/>
  <c r="AX48" i="11"/>
  <c r="BF34" i="11"/>
  <c r="BF9" i="11"/>
  <c r="BF25" i="11"/>
  <c r="BF29" i="11"/>
  <c r="BF35" i="11"/>
  <c r="BF31" i="11"/>
  <c r="BF36" i="11"/>
  <c r="BF41" i="11"/>
  <c r="BF38" i="11"/>
  <c r="BF42" i="11"/>
  <c r="BF8" i="11"/>
  <c r="BF12" i="11"/>
  <c r="BF117" i="9"/>
  <c r="AI10" i="8"/>
  <c r="AO10" i="8" s="1"/>
  <c r="AS10" i="8" s="1"/>
  <c r="AJ10" i="8"/>
  <c r="AP10" i="8" s="1"/>
  <c r="AT10" i="8" s="1"/>
  <c r="AJ19" i="8"/>
  <c r="AP19" i="8" s="1"/>
  <c r="AT19" i="8" s="1"/>
  <c r="AI20" i="8"/>
  <c r="AO20" i="8" s="1"/>
  <c r="AS20" i="8" s="1"/>
  <c r="AJ20" i="8"/>
  <c r="AP20" i="8" s="1"/>
  <c r="AT20" i="8" s="1"/>
  <c r="AJ25" i="8"/>
  <c r="AI19" i="8"/>
  <c r="AO19" i="8" s="1"/>
  <c r="AS19" i="8" s="1"/>
  <c r="AI9" i="8"/>
  <c r="AO9" i="8" s="1"/>
  <c r="AS9" i="8" s="1"/>
  <c r="AJ9" i="8"/>
  <c r="AP9" i="8" s="1"/>
  <c r="AT9" i="8" s="1"/>
  <c r="AI167" i="10"/>
  <c r="AI168" i="10" s="1"/>
  <c r="AJ167" i="10"/>
  <c r="AJ168" i="10" s="1"/>
  <c r="AN22" i="38"/>
  <c r="AF54" i="11"/>
  <c r="AJ10" i="38"/>
  <c r="AN10" i="38" s="1"/>
  <c r="AF91" i="8"/>
  <c r="AS72" i="7"/>
  <c r="AW72" i="7" s="1"/>
  <c r="AT45" i="7"/>
  <c r="AX45" i="7" s="1"/>
  <c r="AS47" i="7"/>
  <c r="AW47" i="7" s="1"/>
  <c r="AP14" i="7"/>
  <c r="AP10" i="7"/>
  <c r="AP47" i="7"/>
  <c r="AT72" i="7"/>
  <c r="AX72" i="7" s="1"/>
  <c r="AP46" i="7"/>
  <c r="AT7" i="38"/>
  <c r="AP20" i="7"/>
  <c r="AT50" i="7"/>
  <c r="AX50" i="7" s="1"/>
  <c r="AT44" i="7"/>
  <c r="AX44" i="7" s="1"/>
  <c r="AP43" i="7"/>
  <c r="AP15" i="7"/>
  <c r="AP28" i="8"/>
  <c r="AT48" i="7"/>
  <c r="AX48" i="7" s="1"/>
  <c r="AT42" i="7"/>
  <c r="AX42" i="7" s="1"/>
  <c r="AT14" i="38"/>
  <c r="AO169" i="10"/>
  <c r="AE168" i="10"/>
  <c r="AH64" i="59" s="1"/>
  <c r="AE170" i="10"/>
  <c r="AP169" i="10"/>
  <c r="AF168" i="10"/>
  <c r="AI64" i="59" s="1"/>
  <c r="AF170" i="10"/>
  <c r="AF109" i="8" l="1"/>
  <c r="AF111" i="8" s="1"/>
  <c r="AP19" i="7"/>
  <c r="AP16" i="7"/>
  <c r="AP11" i="7"/>
  <c r="AP7" i="7"/>
  <c r="AP157" i="7"/>
  <c r="AP161" i="7"/>
  <c r="AJ157" i="7"/>
  <c r="AJ161" i="7"/>
  <c r="BE44" i="7"/>
  <c r="BE46" i="7"/>
  <c r="BE42" i="7"/>
  <c r="BE48" i="7"/>
  <c r="BE43" i="7"/>
  <c r="BE50" i="7"/>
  <c r="BE45" i="7"/>
  <c r="BF48" i="11"/>
  <c r="AT51" i="11"/>
  <c r="AT45" i="11"/>
  <c r="AK163" i="45"/>
  <c r="AK164" i="45"/>
  <c r="AQ165" i="45"/>
  <c r="AQ164" i="45"/>
  <c r="AQ163" i="45"/>
  <c r="AT22" i="38"/>
  <c r="AX22" i="38" s="1"/>
  <c r="BB22" i="38" s="1"/>
  <c r="AX10" i="8"/>
  <c r="BF10" i="8" s="1"/>
  <c r="AX9" i="8"/>
  <c r="BF9" i="8" s="1"/>
  <c r="AX29" i="8"/>
  <c r="AW20" i="8"/>
  <c r="BE20" i="8" s="1"/>
  <c r="AX19" i="8"/>
  <c r="BF19" i="8" s="1"/>
  <c r="AW19" i="8"/>
  <c r="BE19" i="8" s="1"/>
  <c r="AX31" i="8"/>
  <c r="AW9" i="8"/>
  <c r="BE9" i="8" s="1"/>
  <c r="AW10" i="8"/>
  <c r="BE10" i="8" s="1"/>
  <c r="AX20" i="8"/>
  <c r="BF20" i="8" s="1"/>
  <c r="AX30" i="8"/>
  <c r="AJ109" i="8"/>
  <c r="AJ111" i="8" s="1"/>
  <c r="AI170" i="10"/>
  <c r="AP24" i="8"/>
  <c r="AT24" i="8" s="1"/>
  <c r="AP25" i="8"/>
  <c r="AT25" i="8" s="1"/>
  <c r="AJ54" i="11"/>
  <c r="AP54" i="11" s="1"/>
  <c r="AT54" i="11" s="1"/>
  <c r="AJ52" i="11"/>
  <c r="AP52" i="11" s="1"/>
  <c r="AT52" i="11" s="1"/>
  <c r="AP167" i="10"/>
  <c r="AT167" i="10" s="1"/>
  <c r="AJ170" i="10"/>
  <c r="AO167" i="10"/>
  <c r="AS167" i="10" s="1"/>
  <c r="AJ91" i="8"/>
  <c r="AT10" i="38"/>
  <c r="AF110" i="8"/>
  <c r="BE72" i="7"/>
  <c r="BF72" i="7"/>
  <c r="BF44" i="7"/>
  <c r="BE47" i="7"/>
  <c r="BF42" i="7"/>
  <c r="BF48" i="7"/>
  <c r="BF50" i="7"/>
  <c r="BF45" i="7"/>
  <c r="AT28" i="38"/>
  <c r="AT31" i="38"/>
  <c r="AX14" i="38"/>
  <c r="AT12" i="7"/>
  <c r="AT8" i="7"/>
  <c r="AT28" i="8"/>
  <c r="AT43" i="7"/>
  <c r="AX43" i="7" s="1"/>
  <c r="AT9" i="7"/>
  <c r="AT47" i="7"/>
  <c r="AT21" i="38"/>
  <c r="AT25" i="38"/>
  <c r="AT20" i="38"/>
  <c r="AS169" i="10"/>
  <c r="AT23" i="38"/>
  <c r="AT9" i="38"/>
  <c r="AT20" i="7"/>
  <c r="AT30" i="38"/>
  <c r="AT8" i="38"/>
  <c r="AT46" i="7"/>
  <c r="AX46" i="7" s="1"/>
  <c r="AT26" i="38"/>
  <c r="AT32" i="38"/>
  <c r="AT24" i="38"/>
  <c r="AT27" i="8"/>
  <c r="AX27" i="8" s="1"/>
  <c r="AP109" i="8"/>
  <c r="AP111" i="8" s="1"/>
  <c r="AT29" i="38"/>
  <c r="AT27" i="38"/>
  <c r="AT169" i="10"/>
  <c r="AT15" i="7"/>
  <c r="AX7" i="38"/>
  <c r="AT10" i="7"/>
  <c r="AT14" i="7"/>
  <c r="AM64" i="59"/>
  <c r="AL64" i="59"/>
  <c r="M5" i="39"/>
  <c r="M6" i="39"/>
  <c r="M7" i="39"/>
  <c r="M9" i="39"/>
  <c r="M10" i="39"/>
  <c r="M11" i="39"/>
  <c r="M13" i="39"/>
  <c r="M12" i="39"/>
  <c r="M14" i="39"/>
  <c r="M15" i="39"/>
  <c r="M16" i="39"/>
  <c r="M17" i="39"/>
  <c r="M18" i="39"/>
  <c r="M19" i="39"/>
  <c r="M28" i="39"/>
  <c r="M29" i="39"/>
  <c r="M30" i="39"/>
  <c r="M31" i="39"/>
  <c r="M37" i="39"/>
  <c r="M38" i="39"/>
  <c r="M39" i="39"/>
  <c r="M43" i="39"/>
  <c r="M42" i="39"/>
  <c r="M48" i="39"/>
  <c r="M47" i="39"/>
  <c r="M46" i="39"/>
  <c r="M61" i="39"/>
  <c r="M60" i="39"/>
  <c r="M59" i="39"/>
  <c r="M58" i="39"/>
  <c r="M57" i="39"/>
  <c r="M56" i="39"/>
  <c r="M55" i="39"/>
  <c r="M54" i="39"/>
  <c r="M64" i="39"/>
  <c r="M165" i="73"/>
  <c r="Q165" i="73" s="1"/>
  <c r="M167" i="73"/>
  <c r="Q167" i="73" s="1"/>
  <c r="M64" i="73"/>
  <c r="M72" i="73"/>
  <c r="M73" i="73"/>
  <c r="M75" i="73"/>
  <c r="Q75" i="73" s="1"/>
  <c r="U75" i="73" s="1"/>
  <c r="M79" i="73"/>
  <c r="M80" i="73"/>
  <c r="M85" i="73"/>
  <c r="M87" i="73"/>
  <c r="M88" i="73"/>
  <c r="Q88" i="73" s="1"/>
  <c r="U88" i="73" s="1"/>
  <c r="M94" i="73"/>
  <c r="M95" i="73"/>
  <c r="Q95" i="73" s="1"/>
  <c r="U95" i="73" s="1"/>
  <c r="M96" i="73"/>
  <c r="Q96" i="73" s="1"/>
  <c r="U96" i="73" s="1"/>
  <c r="M97" i="73"/>
  <c r="M98" i="73"/>
  <c r="M99" i="73"/>
  <c r="M101" i="73"/>
  <c r="M54" i="73"/>
  <c r="Q54" i="73" s="1"/>
  <c r="U54" i="73" s="1"/>
  <c r="M37" i="73"/>
  <c r="Q37" i="73" s="1"/>
  <c r="U37" i="73" s="1"/>
  <c r="M38" i="73"/>
  <c r="Q38" i="73" s="1"/>
  <c r="U38" i="73" s="1"/>
  <c r="M40" i="73"/>
  <c r="Q40" i="73" s="1"/>
  <c r="U40" i="73" s="1"/>
  <c r="M41" i="73"/>
  <c r="Q41" i="73" s="1"/>
  <c r="U41" i="73" s="1"/>
  <c r="AA44" i="73"/>
  <c r="M45" i="73"/>
  <c r="Q45" i="73" s="1"/>
  <c r="U45" i="73" s="1"/>
  <c r="M32" i="73"/>
  <c r="Q32" i="73" s="1"/>
  <c r="U32" i="73" s="1"/>
  <c r="M33" i="73"/>
  <c r="Q33" i="73" s="1"/>
  <c r="U33" i="73" s="1"/>
  <c r="Y95" i="28"/>
  <c r="Y94" i="28"/>
  <c r="Y91" i="28"/>
  <c r="Y90" i="28"/>
  <c r="Y87" i="28"/>
  <c r="Y86" i="28"/>
  <c r="Y27" i="28"/>
  <c r="Y28" i="28"/>
  <c r="Y25" i="28"/>
  <c r="AT19" i="7" l="1"/>
  <c r="AX20" i="7"/>
  <c r="AX15" i="7"/>
  <c r="AT16" i="7"/>
  <c r="AX14" i="7"/>
  <c r="BF14" i="7" s="1"/>
  <c r="AX12" i="7"/>
  <c r="AT11" i="7"/>
  <c r="AX10" i="7"/>
  <c r="AX8" i="7"/>
  <c r="AT7" i="7"/>
  <c r="AX9" i="7"/>
  <c r="AT161" i="7"/>
  <c r="AT157" i="7"/>
  <c r="AX47" i="7"/>
  <c r="BF47" i="7" s="1"/>
  <c r="BB21" i="7"/>
  <c r="AX45" i="11"/>
  <c r="AX51" i="11"/>
  <c r="AX24" i="8"/>
  <c r="BF24" i="8" s="1"/>
  <c r="BF151" i="8" s="1"/>
  <c r="AO170" i="10"/>
  <c r="AP91" i="8"/>
  <c r="Q99" i="73"/>
  <c r="U99" i="73" s="1"/>
  <c r="Q98" i="73"/>
  <c r="U98" i="73" s="1"/>
  <c r="Q87" i="73"/>
  <c r="U87" i="73" s="1"/>
  <c r="Q97" i="73"/>
  <c r="U97" i="73" s="1"/>
  <c r="Q85" i="73"/>
  <c r="U85" i="73" s="1"/>
  <c r="Q73" i="73"/>
  <c r="U73" i="73" s="1"/>
  <c r="Q80" i="73"/>
  <c r="U80" i="73" s="1"/>
  <c r="Q72" i="73"/>
  <c r="U72" i="73" s="1"/>
  <c r="Q101" i="73"/>
  <c r="U101" i="73" s="1"/>
  <c r="Q94" i="73"/>
  <c r="U94" i="73" s="1"/>
  <c r="Q79" i="73"/>
  <c r="U79" i="73" s="1"/>
  <c r="Q64" i="73"/>
  <c r="U64" i="73" s="1"/>
  <c r="AU165" i="45"/>
  <c r="AU164" i="45"/>
  <c r="AU163" i="45"/>
  <c r="AO168" i="10"/>
  <c r="AR64" i="59" s="1"/>
  <c r="BB7" i="38"/>
  <c r="Q58" i="39"/>
  <c r="Q31" i="39"/>
  <c r="Q11" i="39"/>
  <c r="Q59" i="39"/>
  <c r="Q30" i="39"/>
  <c r="Q10" i="39"/>
  <c r="Q60" i="39"/>
  <c r="Q29" i="39"/>
  <c r="Q61" i="39"/>
  <c r="Q7" i="39"/>
  <c r="Q46" i="39"/>
  <c r="Q19" i="39"/>
  <c r="Q6" i="39"/>
  <c r="Q47" i="39"/>
  <c r="Q18" i="39"/>
  <c r="Q48" i="39"/>
  <c r="Q17" i="39"/>
  <c r="Q16" i="39"/>
  <c r="Q43" i="39"/>
  <c r="Q15" i="39"/>
  <c r="Q55" i="39"/>
  <c r="Q39" i="39"/>
  <c r="Q14" i="39"/>
  <c r="Q56" i="39"/>
  <c r="Q38" i="39"/>
  <c r="Q12" i="39"/>
  <c r="Q57" i="39"/>
  <c r="Q13" i="39"/>
  <c r="AX28" i="8"/>
  <c r="BF28" i="8" s="1"/>
  <c r="AJ110" i="8"/>
  <c r="AJ112" i="8" s="1"/>
  <c r="AJ53" i="8" s="1"/>
  <c r="AM42" i="59" s="1"/>
  <c r="BF29" i="8"/>
  <c r="BF155" i="8" s="1"/>
  <c r="AX25" i="8"/>
  <c r="BF31" i="8"/>
  <c r="BF156" i="8" s="1"/>
  <c r="BB14" i="38"/>
  <c r="BF30" i="8"/>
  <c r="BF157" i="8" s="1"/>
  <c r="AP170" i="10"/>
  <c r="AP168" i="10"/>
  <c r="AS64" i="59" s="1"/>
  <c r="AW167" i="10"/>
  <c r="AX169" i="10"/>
  <c r="AW169" i="10"/>
  <c r="AX167" i="10"/>
  <c r="AX54" i="11"/>
  <c r="AX52" i="11"/>
  <c r="BJ22" i="38"/>
  <c r="AX91" i="8"/>
  <c r="AA33" i="73"/>
  <c r="AA32" i="73"/>
  <c r="AE32" i="73" s="1"/>
  <c r="AA45" i="73"/>
  <c r="AE45" i="73" s="1"/>
  <c r="AA167" i="73"/>
  <c r="AE167" i="73" s="1"/>
  <c r="U167" i="73"/>
  <c r="AA165" i="73"/>
  <c r="AE165" i="73" s="1"/>
  <c r="AI165" i="73" s="1"/>
  <c r="U165" i="73"/>
  <c r="AA54" i="73"/>
  <c r="AA88" i="73"/>
  <c r="AA75" i="73"/>
  <c r="AA38" i="73"/>
  <c r="AA37" i="73"/>
  <c r="AE37" i="73" s="1"/>
  <c r="AA41" i="73"/>
  <c r="AA40" i="73"/>
  <c r="AA95" i="73"/>
  <c r="AA96" i="73"/>
  <c r="Y168" i="73"/>
  <c r="Y102" i="73"/>
  <c r="Y62" i="73"/>
  <c r="BD92" i="8"/>
  <c r="AF52" i="8"/>
  <c r="AI41" i="59" s="1"/>
  <c r="AF112" i="8"/>
  <c r="AF53" i="8" s="1"/>
  <c r="AI42" i="59" s="1"/>
  <c r="BF46" i="7"/>
  <c r="BF43" i="7"/>
  <c r="BF15" i="7"/>
  <c r="AA101" i="73"/>
  <c r="AA82" i="73"/>
  <c r="AA99" i="73"/>
  <c r="AA81" i="73"/>
  <c r="AA98" i="73"/>
  <c r="AA80" i="73"/>
  <c r="AA97" i="73"/>
  <c r="AA79" i="73"/>
  <c r="AA94" i="73"/>
  <c r="AA90" i="73"/>
  <c r="AA73" i="73"/>
  <c r="AA72" i="73"/>
  <c r="AA87" i="73"/>
  <c r="BE66" i="73"/>
  <c r="AA65" i="73"/>
  <c r="AA85" i="73"/>
  <c r="AA64" i="73"/>
  <c r="BB92" i="8"/>
  <c r="BF27" i="8"/>
  <c r="BF154" i="8" s="1"/>
  <c r="AX21" i="38"/>
  <c r="AT170" i="10"/>
  <c r="AT168" i="10"/>
  <c r="AW64" i="59" s="1"/>
  <c r="AX29" i="38"/>
  <c r="AP110" i="8"/>
  <c r="AX10" i="38"/>
  <c r="BB10" i="38" s="1"/>
  <c r="AX32" i="38"/>
  <c r="AX30" i="38"/>
  <c r="AX9" i="38"/>
  <c r="AX31" i="38"/>
  <c r="AS170" i="10"/>
  <c r="AS168" i="10"/>
  <c r="AV64" i="59" s="1"/>
  <c r="AX25" i="38"/>
  <c r="AX27" i="38"/>
  <c r="AT91" i="8"/>
  <c r="AT109" i="8"/>
  <c r="AX24" i="38"/>
  <c r="AX26" i="38"/>
  <c r="AX8" i="38"/>
  <c r="AX23" i="38"/>
  <c r="AX20" i="38"/>
  <c r="AX28" i="38"/>
  <c r="AE44" i="73"/>
  <c r="AX19" i="7" l="1"/>
  <c r="BF20" i="7"/>
  <c r="AX16" i="7"/>
  <c r="BF12" i="7"/>
  <c r="AX11" i="7"/>
  <c r="AX157" i="7"/>
  <c r="BF10" i="7"/>
  <c r="AX7" i="7"/>
  <c r="BF8" i="7"/>
  <c r="BF9" i="7"/>
  <c r="AX161" i="7"/>
  <c r="BF91" i="8"/>
  <c r="BB103" i="7"/>
  <c r="BB38" i="7"/>
  <c r="BB53" i="7" s="1"/>
  <c r="BF51" i="11"/>
  <c r="BF52" i="11"/>
  <c r="BF45" i="11"/>
  <c r="BF54" i="11"/>
  <c r="AT111" i="8"/>
  <c r="AI45" i="73"/>
  <c r="AO45" i="73" s="1"/>
  <c r="AS45" i="73" s="1"/>
  <c r="AW45" i="73" s="1"/>
  <c r="AI32" i="73"/>
  <c r="AO32" i="73" s="1"/>
  <c r="AS32" i="73" s="1"/>
  <c r="AW32" i="73" s="1"/>
  <c r="AI44" i="73"/>
  <c r="AO44" i="73" s="1"/>
  <c r="AS44" i="73" s="1"/>
  <c r="AW44" i="73" s="1"/>
  <c r="AI37" i="73"/>
  <c r="AO37" i="73" s="1"/>
  <c r="AS37" i="73" s="1"/>
  <c r="AW37" i="73" s="1"/>
  <c r="AI167" i="73"/>
  <c r="AO167" i="73" s="1"/>
  <c r="AS167" i="73" s="1"/>
  <c r="AJ52" i="8"/>
  <c r="AM41" i="59" s="1"/>
  <c r="AM43" i="59" s="1"/>
  <c r="AY165" i="45"/>
  <c r="AY164" i="45"/>
  <c r="AY163" i="45"/>
  <c r="BB23" i="38"/>
  <c r="BB30" i="38"/>
  <c r="BB32" i="38"/>
  <c r="BB26" i="38"/>
  <c r="BB24" i="38"/>
  <c r="BB29" i="38"/>
  <c r="BB8" i="38"/>
  <c r="BB27" i="38"/>
  <c r="BB25" i="38"/>
  <c r="BB21" i="38"/>
  <c r="BB28" i="38"/>
  <c r="BB31" i="38"/>
  <c r="BB20" i="38"/>
  <c r="BB9" i="38"/>
  <c r="BJ7" i="38"/>
  <c r="U16" i="39"/>
  <c r="U19" i="39"/>
  <c r="U10" i="39"/>
  <c r="U14" i="39"/>
  <c r="U17" i="39"/>
  <c r="U46" i="39"/>
  <c r="U30" i="39"/>
  <c r="U13" i="39"/>
  <c r="U39" i="39"/>
  <c r="U48" i="39"/>
  <c r="U7" i="39"/>
  <c r="U59" i="39"/>
  <c r="U57" i="39"/>
  <c r="U55" i="39"/>
  <c r="U18" i="39"/>
  <c r="U61" i="39"/>
  <c r="U11" i="39"/>
  <c r="U12" i="39"/>
  <c r="U15" i="39"/>
  <c r="U47" i="39"/>
  <c r="U29" i="39"/>
  <c r="U31" i="39"/>
  <c r="U56" i="39"/>
  <c r="U38" i="39"/>
  <c r="U43" i="39"/>
  <c r="U6" i="39"/>
  <c r="U60" i="39"/>
  <c r="U58" i="39"/>
  <c r="BF25" i="8"/>
  <c r="BF153" i="8" s="1"/>
  <c r="AX109" i="8"/>
  <c r="AX111" i="8" s="1"/>
  <c r="BJ14" i="38"/>
  <c r="AW170" i="10"/>
  <c r="AW168" i="10"/>
  <c r="AZ64" i="59" s="1"/>
  <c r="BE169" i="10"/>
  <c r="AX168" i="10"/>
  <c r="AX170" i="10"/>
  <c r="BF169" i="10"/>
  <c r="BF167" i="10"/>
  <c r="BE167" i="10"/>
  <c r="BF30" i="11"/>
  <c r="AO165" i="73"/>
  <c r="AE87" i="73"/>
  <c r="AI87" i="73" s="1"/>
  <c r="AE82" i="73"/>
  <c r="AI82" i="73" s="1"/>
  <c r="AE72" i="73"/>
  <c r="AI72" i="73" s="1"/>
  <c r="AE94" i="73"/>
  <c r="AE101" i="73"/>
  <c r="AE96" i="73"/>
  <c r="AI96" i="73" s="1"/>
  <c r="AE40" i="73"/>
  <c r="AE38" i="73"/>
  <c r="AE75" i="73"/>
  <c r="AI75" i="73" s="1"/>
  <c r="AE88" i="73"/>
  <c r="AI88" i="73" s="1"/>
  <c r="AE73" i="73"/>
  <c r="AI73" i="73" s="1"/>
  <c r="AE79" i="73"/>
  <c r="AI79" i="73" s="1"/>
  <c r="AE81" i="73"/>
  <c r="AI81" i="73" s="1"/>
  <c r="AE85" i="73"/>
  <c r="AI85" i="73" s="1"/>
  <c r="AE80" i="73"/>
  <c r="AI80" i="73" s="1"/>
  <c r="AE65" i="73"/>
  <c r="AI65" i="73" s="1"/>
  <c r="AE98" i="73"/>
  <c r="AI98" i="73" s="1"/>
  <c r="AE41" i="73"/>
  <c r="AE33" i="73"/>
  <c r="AE64" i="73"/>
  <c r="AI64" i="73" s="1"/>
  <c r="AE90" i="73"/>
  <c r="AI90" i="73" s="1"/>
  <c r="AE97" i="73"/>
  <c r="AI97" i="73" s="1"/>
  <c r="AE99" i="73"/>
  <c r="AI99" i="73" s="1"/>
  <c r="AE95" i="73"/>
  <c r="AI95" i="73" s="1"/>
  <c r="AI43" i="59"/>
  <c r="BJ10" i="38"/>
  <c r="BF109" i="8"/>
  <c r="BF111" i="8" s="1"/>
  <c r="AP52" i="8"/>
  <c r="AS41" i="59" s="1"/>
  <c r="AP112" i="8"/>
  <c r="AP53" i="8" s="1"/>
  <c r="AS42" i="59" s="1"/>
  <c r="AT110" i="8"/>
  <c r="Y99" i="28"/>
  <c r="Y98" i="28"/>
  <c r="Y83" i="28"/>
  <c r="Y82" i="28"/>
  <c r="Y64" i="28"/>
  <c r="Y33" i="28"/>
  <c r="Y20" i="28"/>
  <c r="Y19" i="28"/>
  <c r="Y17" i="28"/>
  <c r="Y16" i="28"/>
  <c r="Y12" i="28"/>
  <c r="Y11" i="28"/>
  <c r="Y9" i="28"/>
  <c r="BF19" i="7" l="1"/>
  <c r="BF16" i="7"/>
  <c r="BF11" i="7"/>
  <c r="BF7" i="7"/>
  <c r="BF161" i="7"/>
  <c r="BA64" i="59"/>
  <c r="BD21" i="7"/>
  <c r="BB77" i="7"/>
  <c r="BB63" i="7"/>
  <c r="AW167" i="73"/>
  <c r="BE44" i="73"/>
  <c r="BE45" i="73"/>
  <c r="BE37" i="73"/>
  <c r="BE32" i="73"/>
  <c r="AI40" i="73"/>
  <c r="AO40" i="73" s="1"/>
  <c r="AS40" i="73" s="1"/>
  <c r="AW40" i="73" s="1"/>
  <c r="AI101" i="73"/>
  <c r="AO101" i="73" s="1"/>
  <c r="AS101" i="73" s="1"/>
  <c r="AW101" i="73" s="1"/>
  <c r="AI94" i="73"/>
  <c r="AO94" i="73" s="1"/>
  <c r="AS94" i="73" s="1"/>
  <c r="AW94" i="73" s="1"/>
  <c r="AI33" i="73"/>
  <c r="AO33" i="73" s="1"/>
  <c r="AS33" i="73" s="1"/>
  <c r="AW33" i="73" s="1"/>
  <c r="AI41" i="73"/>
  <c r="AO41" i="73" s="1"/>
  <c r="AS41" i="73" s="1"/>
  <c r="AW41" i="73" s="1"/>
  <c r="AI38" i="73"/>
  <c r="AO38" i="73" s="1"/>
  <c r="AS38" i="73" s="1"/>
  <c r="AW38" i="73" s="1"/>
  <c r="BG165" i="45"/>
  <c r="AX110" i="8"/>
  <c r="AX52" i="8" s="1"/>
  <c r="BA41" i="59" s="1"/>
  <c r="AO99" i="73"/>
  <c r="AS99" i="73" s="1"/>
  <c r="BG164" i="45"/>
  <c r="BG163" i="45"/>
  <c r="AS165" i="73"/>
  <c r="AO85" i="73"/>
  <c r="AS85" i="73" s="1"/>
  <c r="AW85" i="73" s="1"/>
  <c r="AO75" i="73"/>
  <c r="AS75" i="73" s="1"/>
  <c r="AW75" i="73" s="1"/>
  <c r="BE75" i="73" s="1"/>
  <c r="AO72" i="73"/>
  <c r="AS72" i="73" s="1"/>
  <c r="AW72" i="73" s="1"/>
  <c r="AO98" i="73"/>
  <c r="AS98" i="73" s="1"/>
  <c r="AW98" i="73" s="1"/>
  <c r="AO81" i="73"/>
  <c r="AS81" i="73" s="1"/>
  <c r="AW81" i="73" s="1"/>
  <c r="AO82" i="73"/>
  <c r="AS82" i="73" s="1"/>
  <c r="AW82" i="73" s="1"/>
  <c r="AO97" i="73"/>
  <c r="AS97" i="73" s="1"/>
  <c r="AW97" i="73" s="1"/>
  <c r="AO65" i="73"/>
  <c r="AS65" i="73" s="1"/>
  <c r="AW65" i="73" s="1"/>
  <c r="AO79" i="73"/>
  <c r="AS79" i="73" s="1"/>
  <c r="AW79" i="73" s="1"/>
  <c r="AO87" i="73"/>
  <c r="AS87" i="73" s="1"/>
  <c r="AW87" i="73" s="1"/>
  <c r="AO90" i="73"/>
  <c r="AS90" i="73" s="1"/>
  <c r="AW90" i="73" s="1"/>
  <c r="AO80" i="73"/>
  <c r="AS80" i="73" s="1"/>
  <c r="AW80" i="73" s="1"/>
  <c r="AO73" i="73"/>
  <c r="AS73" i="73" s="1"/>
  <c r="AW73" i="73" s="1"/>
  <c r="AO96" i="73"/>
  <c r="AS96" i="73" s="1"/>
  <c r="AW96" i="73" s="1"/>
  <c r="AO88" i="73"/>
  <c r="AS88" i="73" s="1"/>
  <c r="AW88" i="73" s="1"/>
  <c r="AO95" i="73"/>
  <c r="AS95" i="73" s="1"/>
  <c r="AW95" i="73" s="1"/>
  <c r="AO64" i="73"/>
  <c r="AS64" i="73" s="1"/>
  <c r="AW64" i="73" s="1"/>
  <c r="BJ31" i="38"/>
  <c r="BJ29" i="38"/>
  <c r="BJ28" i="38"/>
  <c r="BJ24" i="38"/>
  <c r="BJ21" i="38"/>
  <c r="BJ26" i="38"/>
  <c r="BJ25" i="38"/>
  <c r="BJ32" i="38"/>
  <c r="BJ9" i="38"/>
  <c r="BJ27" i="38"/>
  <c r="BJ30" i="38"/>
  <c r="BJ20" i="38"/>
  <c r="BJ8" i="38"/>
  <c r="BJ23" i="38"/>
  <c r="AA12" i="39"/>
  <c r="AA59" i="39"/>
  <c r="AA46" i="39"/>
  <c r="AA11" i="39"/>
  <c r="AA17" i="39"/>
  <c r="AA31" i="39"/>
  <c r="AA61" i="39"/>
  <c r="AA48" i="39"/>
  <c r="AA14" i="39"/>
  <c r="AA60" i="39"/>
  <c r="AA29" i="39"/>
  <c r="AA18" i="39"/>
  <c r="AA39" i="39"/>
  <c r="AA10" i="39"/>
  <c r="AA56" i="39"/>
  <c r="AA38" i="39"/>
  <c r="AA7" i="39"/>
  <c r="AA58" i="39"/>
  <c r="AA6" i="39"/>
  <c r="AA47" i="39"/>
  <c r="AA55" i="39"/>
  <c r="AA13" i="39"/>
  <c r="AA19" i="39"/>
  <c r="AA43" i="39"/>
  <c r="AA15" i="39"/>
  <c r="AA57" i="39"/>
  <c r="AA30" i="39"/>
  <c r="AA16" i="39"/>
  <c r="BF168" i="10"/>
  <c r="BI64" i="59" s="1"/>
  <c r="BF170" i="10"/>
  <c r="BE170" i="10"/>
  <c r="BE168" i="10"/>
  <c r="AS43" i="59"/>
  <c r="BF110" i="8"/>
  <c r="BF112" i="8" s="1"/>
  <c r="BF53" i="8" s="1"/>
  <c r="AT112" i="8"/>
  <c r="AT53" i="8" s="1"/>
  <c r="AW42" i="59" s="1"/>
  <c r="AT52" i="8"/>
  <c r="Z105" i="9"/>
  <c r="Z55" i="9"/>
  <c r="BI42" i="59" l="1"/>
  <c r="BF123" i="8"/>
  <c r="BF99" i="9"/>
  <c r="BH64" i="59"/>
  <c r="BD103" i="7"/>
  <c r="BD38" i="7"/>
  <c r="BD53" i="7" s="1"/>
  <c r="BA51" i="39"/>
  <c r="BC51" i="39" s="1"/>
  <c r="BA49" i="39"/>
  <c r="BC49" i="39" s="1"/>
  <c r="BB41" i="7"/>
  <c r="AW165" i="73"/>
  <c r="BE167" i="73"/>
  <c r="BE96" i="73"/>
  <c r="BE87" i="73"/>
  <c r="BE82" i="73"/>
  <c r="BE33" i="73"/>
  <c r="BE101" i="73"/>
  <c r="BE64" i="73"/>
  <c r="BE73" i="73"/>
  <c r="BE79" i="73"/>
  <c r="BE81" i="73"/>
  <c r="BE85" i="73"/>
  <c r="BE95" i="73"/>
  <c r="BE80" i="73"/>
  <c r="BE65" i="73"/>
  <c r="BE98" i="73"/>
  <c r="BE38" i="73"/>
  <c r="BE94" i="73"/>
  <c r="BE88" i="73"/>
  <c r="BE90" i="73"/>
  <c r="BE97" i="73"/>
  <c r="BE72" i="73"/>
  <c r="BE40" i="73"/>
  <c r="BE41" i="73"/>
  <c r="AW41" i="59"/>
  <c r="AW43" i="59" s="1"/>
  <c r="AX112" i="8"/>
  <c r="AX53" i="8" s="1"/>
  <c r="BA42" i="59" s="1"/>
  <c r="BA43" i="59" s="1"/>
  <c r="AW99" i="73"/>
  <c r="AE31" i="39"/>
  <c r="AE7" i="39"/>
  <c r="AE29" i="39"/>
  <c r="AE17" i="39"/>
  <c r="AE11" i="39"/>
  <c r="AE55" i="39"/>
  <c r="AE56" i="39"/>
  <c r="AE14" i="39"/>
  <c r="AE46" i="39"/>
  <c r="AE38" i="39"/>
  <c r="AE43" i="39"/>
  <c r="AE19" i="39"/>
  <c r="AE60" i="39"/>
  <c r="AE30" i="39"/>
  <c r="AE57" i="39"/>
  <c r="AE47" i="39"/>
  <c r="AE10" i="39"/>
  <c r="AE48" i="39"/>
  <c r="AE59" i="39"/>
  <c r="AE58" i="39"/>
  <c r="AE16" i="39"/>
  <c r="AE18" i="39"/>
  <c r="AE13" i="39"/>
  <c r="AE15" i="39"/>
  <c r="AE6" i="39"/>
  <c r="AE39" i="39"/>
  <c r="AE61" i="39"/>
  <c r="AE12" i="39"/>
  <c r="BF52" i="8"/>
  <c r="Z28" i="22"/>
  <c r="Z26" i="22"/>
  <c r="Z23" i="22"/>
  <c r="Z22" i="22"/>
  <c r="Z44" i="22" s="1"/>
  <c r="Z13" i="22"/>
  <c r="Z11" i="22"/>
  <c r="Z8" i="22"/>
  <c r="Y38" i="27"/>
  <c r="X38" i="27"/>
  <c r="X32" i="27"/>
  <c r="Y32" i="27"/>
  <c r="Y23" i="27"/>
  <c r="X23" i="27"/>
  <c r="X7" i="27"/>
  <c r="X8" i="27"/>
  <c r="X9" i="27"/>
  <c r="X10" i="27"/>
  <c r="X11" i="27"/>
  <c r="X12" i="27"/>
  <c r="X13" i="27"/>
  <c r="X14" i="27"/>
  <c r="X15" i="27"/>
  <c r="X6" i="27"/>
  <c r="Y7" i="27"/>
  <c r="Y8" i="27"/>
  <c r="Y9" i="27"/>
  <c r="Y10" i="27"/>
  <c r="Y11" i="27"/>
  <c r="Y12" i="27"/>
  <c r="Y13" i="27"/>
  <c r="Y14" i="27"/>
  <c r="Y15" i="27"/>
  <c r="Y6" i="27"/>
  <c r="X22" i="15"/>
  <c r="BI41" i="59" l="1"/>
  <c r="BI43" i="59" s="1"/>
  <c r="BF121" i="8"/>
  <c r="BB51" i="7"/>
  <c r="BD41" i="7"/>
  <c r="BD51" i="7" s="1"/>
  <c r="BD63" i="7"/>
  <c r="BD77" i="7"/>
  <c r="BE165" i="73"/>
  <c r="BE99" i="73"/>
  <c r="AI55" i="39"/>
  <c r="AI11" i="39"/>
  <c r="AI15" i="39"/>
  <c r="AI43" i="39"/>
  <c r="AI47" i="39"/>
  <c r="AI38" i="39"/>
  <c r="AI17" i="39"/>
  <c r="AI19" i="39"/>
  <c r="AI61" i="39"/>
  <c r="AI16" i="39"/>
  <c r="AI57" i="39"/>
  <c r="AI46" i="39"/>
  <c r="AI29" i="39"/>
  <c r="AI13" i="39"/>
  <c r="AI18" i="39"/>
  <c r="AI10" i="39"/>
  <c r="AI12" i="39"/>
  <c r="AI39" i="39"/>
  <c r="AI58" i="39"/>
  <c r="AI30" i="39"/>
  <c r="AI14" i="39"/>
  <c r="AI7" i="39"/>
  <c r="AI48" i="39"/>
  <c r="AI6" i="39"/>
  <c r="AI59" i="39"/>
  <c r="AI60" i="39"/>
  <c r="AI56" i="39"/>
  <c r="AI31" i="39"/>
  <c r="Z111" i="9"/>
  <c r="BF122" i="8" l="1"/>
  <c r="BF126" i="8" s="1"/>
  <c r="BF127" i="8" s="1"/>
  <c r="BF124" i="8"/>
  <c r="AO47" i="39"/>
  <c r="AO6" i="39"/>
  <c r="AO10" i="39"/>
  <c r="AO43" i="39"/>
  <c r="AO18" i="39"/>
  <c r="AO61" i="39"/>
  <c r="AO15" i="39"/>
  <c r="AO46" i="39"/>
  <c r="AO48" i="39"/>
  <c r="AO57" i="39"/>
  <c r="AO16" i="39"/>
  <c r="AO60" i="39"/>
  <c r="AO30" i="39"/>
  <c r="AO13" i="39"/>
  <c r="AO19" i="39"/>
  <c r="AO11" i="39"/>
  <c r="AO39" i="39"/>
  <c r="AO12" i="39"/>
  <c r="AO31" i="39"/>
  <c r="AO56" i="39"/>
  <c r="AO38" i="39"/>
  <c r="AO7" i="39"/>
  <c r="AO14" i="39"/>
  <c r="AO59" i="39"/>
  <c r="AO58" i="39"/>
  <c r="AO29" i="39"/>
  <c r="AO17" i="39"/>
  <c r="AO55" i="39"/>
  <c r="AA70" i="83"/>
  <c r="AC70" i="83" s="1"/>
  <c r="AK70" i="83" s="1"/>
  <c r="Z7" i="24"/>
  <c r="Z8" i="24"/>
  <c r="Y7" i="24"/>
  <c r="Y8" i="24"/>
  <c r="Z6" i="52"/>
  <c r="Z8" i="52"/>
  <c r="Z11" i="52"/>
  <c r="Z12" i="52"/>
  <c r="Z13" i="52"/>
  <c r="Z14" i="52"/>
  <c r="Z15" i="52"/>
  <c r="Y11" i="52"/>
  <c r="Y12" i="52"/>
  <c r="Y13" i="52"/>
  <c r="Y14" i="52"/>
  <c r="Y15" i="52"/>
  <c r="Y6" i="52"/>
  <c r="Y8" i="52"/>
  <c r="X16" i="52"/>
  <c r="W16" i="52"/>
  <c r="X9" i="52"/>
  <c r="W9" i="52"/>
  <c r="BF131" i="8" l="1"/>
  <c r="BF132" i="8"/>
  <c r="BF130" i="8"/>
  <c r="AS60" i="39"/>
  <c r="AS61" i="39"/>
  <c r="AS59" i="39"/>
  <c r="AS14" i="39"/>
  <c r="AS39" i="39"/>
  <c r="AS16" i="39"/>
  <c r="AS18" i="39"/>
  <c r="AS55" i="39"/>
  <c r="AS7" i="39"/>
  <c r="AS11" i="39"/>
  <c r="AS57" i="39"/>
  <c r="AS43" i="39"/>
  <c r="AS17" i="39"/>
  <c r="AS38" i="39"/>
  <c r="AS19" i="39"/>
  <c r="AS48" i="39"/>
  <c r="AS10" i="39"/>
  <c r="AS12" i="39"/>
  <c r="AS29" i="39"/>
  <c r="AS56" i="39"/>
  <c r="AS13" i="39"/>
  <c r="AS46" i="39"/>
  <c r="AS6" i="39"/>
  <c r="AS58" i="39"/>
  <c r="AS31" i="39"/>
  <c r="AS30" i="39"/>
  <c r="AS15" i="39"/>
  <c r="AS47" i="39"/>
  <c r="W17" i="52"/>
  <c r="AG70" i="83"/>
  <c r="AQ70" i="83" s="1"/>
  <c r="X17" i="52"/>
  <c r="BF133" i="8" l="1"/>
  <c r="AW12" i="39"/>
  <c r="AW43" i="39"/>
  <c r="AW16" i="39"/>
  <c r="AW6" i="39"/>
  <c r="AW10" i="39"/>
  <c r="AW57" i="39"/>
  <c r="AW39" i="39"/>
  <c r="AW46" i="39"/>
  <c r="AW48" i="39"/>
  <c r="AW11" i="39"/>
  <c r="AW14" i="39"/>
  <c r="AW15" i="39"/>
  <c r="AW13" i="39"/>
  <c r="AW19" i="39"/>
  <c r="AW7" i="39"/>
  <c r="AW59" i="39"/>
  <c r="AW30" i="39"/>
  <c r="AW56" i="39"/>
  <c r="AW38" i="39"/>
  <c r="AW55" i="39"/>
  <c r="AW61" i="39"/>
  <c r="AW58" i="39"/>
  <c r="AW47" i="39"/>
  <c r="AW31" i="39"/>
  <c r="AW29" i="39"/>
  <c r="AW17" i="39"/>
  <c r="AW18" i="39"/>
  <c r="AW60" i="39"/>
  <c r="AU70" i="83"/>
  <c r="Y58" i="26"/>
  <c r="Y59" i="26"/>
  <c r="Y60" i="26"/>
  <c r="Y61" i="26"/>
  <c r="Y62" i="26"/>
  <c r="Y63" i="26"/>
  <c r="Y64" i="26"/>
  <c r="Y65" i="26"/>
  <c r="Y66" i="26"/>
  <c r="Y67" i="26"/>
  <c r="Y68" i="26"/>
  <c r="Y69" i="26"/>
  <c r="Y70" i="26"/>
  <c r="Y71" i="26"/>
  <c r="Y72" i="26"/>
  <c r="Y85" i="26"/>
  <c r="Y87" i="26"/>
  <c r="Y89" i="26"/>
  <c r="Y91" i="26"/>
  <c r="BE10" i="39" l="1"/>
  <c r="BE31" i="39"/>
  <c r="BE6" i="39"/>
  <c r="BE48" i="39"/>
  <c r="BE16" i="39"/>
  <c r="BE15" i="39"/>
  <c r="BE30" i="39"/>
  <c r="BE58" i="39"/>
  <c r="BE57" i="39"/>
  <c r="BE14" i="39"/>
  <c r="BE11" i="39"/>
  <c r="BE61" i="39"/>
  <c r="BE17" i="39"/>
  <c r="BE55" i="39"/>
  <c r="BE19" i="39"/>
  <c r="BE46" i="39"/>
  <c r="BE43" i="39"/>
  <c r="BE59" i="39"/>
  <c r="BE7" i="39"/>
  <c r="BE56" i="39"/>
  <c r="BE47" i="39"/>
  <c r="BE60" i="39"/>
  <c r="BE18" i="39"/>
  <c r="BE29" i="39"/>
  <c r="BE38" i="39"/>
  <c r="BE13" i="39"/>
  <c r="BE39" i="39"/>
  <c r="BE12" i="39"/>
  <c r="AY70" i="83"/>
  <c r="BG70" i="83" s="1"/>
  <c r="Z32" i="22"/>
  <c r="Z19" i="22"/>
  <c r="Z7" i="22"/>
  <c r="Z43" i="22" s="1"/>
  <c r="Z20" i="22" l="1"/>
  <c r="Z24" i="22"/>
  <c r="Z9" i="22"/>
  <c r="Z17" i="22"/>
  <c r="Z31" i="22"/>
  <c r="Z18" i="22"/>
  <c r="Z14" i="22"/>
  <c r="Y63" i="17" l="1"/>
  <c r="AA63" i="17" s="1"/>
  <c r="AE63" i="17" s="1"/>
  <c r="Y59" i="17"/>
  <c r="Y16" i="17"/>
  <c r="Y12" i="17"/>
  <c r="AA12" i="17" s="1"/>
  <c r="AE12" i="17" s="1"/>
  <c r="AI12" i="17" s="1"/>
  <c r="Y10" i="17"/>
  <c r="AA10" i="17" s="1"/>
  <c r="AE10" i="17" s="1"/>
  <c r="AI10" i="17" s="1"/>
  <c r="Y8" i="17"/>
  <c r="X59" i="17"/>
  <c r="AI63" i="17" l="1"/>
  <c r="AO63" i="17" s="1"/>
  <c r="AO10" i="17"/>
  <c r="AS10" i="17" s="1"/>
  <c r="AW10" i="17" s="1"/>
  <c r="AO12" i="17"/>
  <c r="AS12" i="17" s="1"/>
  <c r="AW12" i="17" s="1"/>
  <c r="Y14" i="17"/>
  <c r="AA14" i="17" s="1"/>
  <c r="AE14" i="17" s="1"/>
  <c r="AI14" i="17" s="1"/>
  <c r="AA8" i="17"/>
  <c r="AE8" i="17" s="1"/>
  <c r="AI8" i="17" s="1"/>
  <c r="AS63" i="17" l="1"/>
  <c r="BE12" i="17"/>
  <c r="BE10" i="17"/>
  <c r="AO8" i="17"/>
  <c r="AS8" i="17" s="1"/>
  <c r="AW8" i="17" s="1"/>
  <c r="AO14" i="17"/>
  <c r="AS14" i="17" s="1"/>
  <c r="AW63" i="17" l="1"/>
  <c r="BE63" i="17" s="1"/>
  <c r="AW14" i="17"/>
  <c r="BE14" i="17" s="1"/>
  <c r="BE8" i="17"/>
  <c r="Y29" i="17"/>
  <c r="AA558" i="28"/>
  <c r="AA557" i="28"/>
  <c r="Y558" i="28"/>
  <c r="Y557" i="28"/>
  <c r="Y32" i="17" l="1"/>
  <c r="AA147" i="45" l="1"/>
  <c r="AA146" i="45"/>
  <c r="AA152" i="45"/>
  <c r="AA151" i="45"/>
  <c r="AA156" i="45" s="1"/>
  <c r="AA148" i="45" l="1"/>
  <c r="AA155" i="45" l="1"/>
  <c r="Z16" i="21" l="1"/>
  <c r="Z17" i="21"/>
  <c r="Z19" i="21"/>
  <c r="Y7" i="21"/>
  <c r="Z7" i="21"/>
  <c r="Y8" i="21"/>
  <c r="Z8" i="21"/>
  <c r="Y9" i="21"/>
  <c r="Z9" i="21"/>
  <c r="Y10" i="21"/>
  <c r="Z10" i="21"/>
  <c r="Y11" i="21"/>
  <c r="Z11" i="21"/>
  <c r="M172" i="73" l="1"/>
  <c r="H179" i="73"/>
  <c r="J179" i="73"/>
  <c r="L179" i="73"/>
  <c r="N179" i="73"/>
  <c r="P179" i="73"/>
  <c r="R179" i="73"/>
  <c r="T179" i="73"/>
  <c r="V179" i="73"/>
  <c r="X179" i="73"/>
  <c r="Z179" i="73"/>
  <c r="M169" i="73"/>
  <c r="M170" i="73"/>
  <c r="M173" i="73"/>
  <c r="M176" i="73"/>
  <c r="M177" i="73"/>
  <c r="M178" i="73"/>
  <c r="M61" i="73"/>
  <c r="Q61" i="73" s="1"/>
  <c r="U61" i="73" s="1"/>
  <c r="I61" i="73"/>
  <c r="I101" i="73"/>
  <c r="I99" i="73"/>
  <c r="I60" i="73"/>
  <c r="M60" i="73"/>
  <c r="Q60" i="73" s="1"/>
  <c r="U60" i="73" s="1"/>
  <c r="I98" i="73"/>
  <c r="AE54" i="73"/>
  <c r="AI54" i="73" l="1"/>
  <c r="AO54" i="73" s="1"/>
  <c r="AS54" i="73" s="1"/>
  <c r="AW54" i="73" s="1"/>
  <c r="Q177" i="73"/>
  <c r="U177" i="73" s="1"/>
  <c r="Q176" i="73"/>
  <c r="U176" i="73" s="1"/>
  <c r="Q170" i="73"/>
  <c r="U170" i="73" s="1"/>
  <c r="Q178" i="73"/>
  <c r="U178" i="73" s="1"/>
  <c r="Q173" i="73"/>
  <c r="U173" i="73" s="1"/>
  <c r="Q169" i="73"/>
  <c r="U169" i="73" s="1"/>
  <c r="Q172" i="73"/>
  <c r="U172" i="73" s="1"/>
  <c r="AA61" i="73"/>
  <c r="AE61" i="73" s="1"/>
  <c r="AA60" i="73"/>
  <c r="AE60" i="73" s="1"/>
  <c r="AA176" i="73"/>
  <c r="AE176" i="73" s="1"/>
  <c r="AA173" i="73"/>
  <c r="AE173" i="73" s="1"/>
  <c r="AA177" i="73"/>
  <c r="AE177" i="73" s="1"/>
  <c r="AA170" i="73"/>
  <c r="AE170" i="73" s="1"/>
  <c r="AA178" i="73"/>
  <c r="AE178" i="73" s="1"/>
  <c r="AA169" i="73"/>
  <c r="AE169" i="73" s="1"/>
  <c r="AA172" i="73"/>
  <c r="AE172" i="73" s="1"/>
  <c r="Z37" i="36"/>
  <c r="BE54" i="73" l="1"/>
  <c r="AI61" i="73"/>
  <c r="AO61" i="73" s="1"/>
  <c r="AS61" i="73" s="1"/>
  <c r="AW61" i="73" s="1"/>
  <c r="AI60" i="73"/>
  <c r="AO60" i="73" s="1"/>
  <c r="AS60" i="73" s="1"/>
  <c r="AW60" i="73" s="1"/>
  <c r="AI172" i="73"/>
  <c r="AO172" i="73" s="1"/>
  <c r="AS172" i="73" s="1"/>
  <c r="AI176" i="73"/>
  <c r="AO176" i="73" s="1"/>
  <c r="AS176" i="73" s="1"/>
  <c r="AI169" i="73"/>
  <c r="AO169" i="73" s="1"/>
  <c r="AS169" i="73" s="1"/>
  <c r="AI178" i="73"/>
  <c r="AO178" i="73" s="1"/>
  <c r="AS178" i="73" s="1"/>
  <c r="AW178" i="73" s="1"/>
  <c r="AI170" i="73"/>
  <c r="AO170" i="73" s="1"/>
  <c r="AS170" i="73" s="1"/>
  <c r="AI177" i="73"/>
  <c r="AO177" i="73" s="1"/>
  <c r="AS177" i="73" s="1"/>
  <c r="AI173" i="73"/>
  <c r="AO173" i="73" s="1"/>
  <c r="AS173" i="73" s="1"/>
  <c r="U48" i="72"/>
  <c r="U40" i="72"/>
  <c r="W40" i="72" s="1"/>
  <c r="Y40" i="72" s="1"/>
  <c r="AC40" i="72" s="1"/>
  <c r="AG40" i="72" s="1"/>
  <c r="U20" i="72"/>
  <c r="W20" i="72" s="1"/>
  <c r="Y20" i="72" s="1"/>
  <c r="AC20" i="72" s="1"/>
  <c r="AG20" i="72" s="1"/>
  <c r="W48" i="72" l="1"/>
  <c r="Y48" i="72" s="1"/>
  <c r="AC48" i="72" s="1"/>
  <c r="AG48" i="72" s="1"/>
  <c r="AM48" i="72" s="1"/>
  <c r="AQ48" i="72" s="1"/>
  <c r="AU48" i="72" s="1"/>
  <c r="BC48" i="72" s="1"/>
  <c r="U51" i="72"/>
  <c r="AW173" i="73"/>
  <c r="AW169" i="73"/>
  <c r="AW176" i="73"/>
  <c r="AW170" i="73"/>
  <c r="AW172" i="73"/>
  <c r="AW177" i="73"/>
  <c r="BE61" i="73"/>
  <c r="BE178" i="73"/>
  <c r="BE60" i="73"/>
  <c r="AM40" i="72"/>
  <c r="AQ40" i="72" s="1"/>
  <c r="AU40" i="72" s="1"/>
  <c r="BC40" i="72" s="1"/>
  <c r="AM20" i="72"/>
  <c r="AQ20" i="72" s="1"/>
  <c r="AU20" i="72" s="1"/>
  <c r="BC20" i="72" s="1"/>
  <c r="M132" i="50"/>
  <c r="Q132" i="50"/>
  <c r="I133" i="50"/>
  <c r="AW133" i="50"/>
  <c r="M133" i="50"/>
  <c r="Y132" i="50"/>
  <c r="Q133" i="50"/>
  <c r="AS132" i="50"/>
  <c r="AW132" i="50"/>
  <c r="Y133" i="50"/>
  <c r="BA132" i="50"/>
  <c r="I132" i="50"/>
  <c r="BA133" i="50"/>
  <c r="G133" i="50"/>
  <c r="G132" i="50"/>
  <c r="AS133" i="50"/>
  <c r="AM133" i="50"/>
  <c r="AM132" i="50"/>
  <c r="M103" i="50"/>
  <c r="M104" i="50" s="1"/>
  <c r="M105" i="50" s="1"/>
  <c r="I103" i="50"/>
  <c r="I104" i="50" s="1"/>
  <c r="I105" i="50" s="1"/>
  <c r="U53" i="72"/>
  <c r="BE169" i="73" l="1"/>
  <c r="BE177" i="73"/>
  <c r="BE170" i="73"/>
  <c r="BE172" i="73"/>
  <c r="BE176" i="73"/>
  <c r="BE173" i="73"/>
  <c r="BC133" i="50"/>
  <c r="AW135" i="50"/>
  <c r="AW136" i="50" s="1"/>
  <c r="Y135" i="50"/>
  <c r="Y136" i="50" s="1"/>
  <c r="G89" i="90"/>
  <c r="AA132" i="50"/>
  <c r="K132" i="50"/>
  <c r="O132" i="50"/>
  <c r="AU89" i="90"/>
  <c r="O133" i="50"/>
  <c r="K133" i="50"/>
  <c r="AQ89" i="90"/>
  <c r="AQ96" i="90" s="1"/>
  <c r="BC132" i="50"/>
  <c r="AA133" i="50"/>
  <c r="AK89" i="90"/>
  <c r="BA135" i="50"/>
  <c r="O89" i="90"/>
  <c r="K89" i="90"/>
  <c r="K96" i="90" s="1"/>
  <c r="AA79" i="90"/>
  <c r="M79" i="90"/>
  <c r="AE79" i="90"/>
  <c r="Q79" i="90"/>
  <c r="U79" i="90"/>
  <c r="AO79" i="90"/>
  <c r="AA81" i="90"/>
  <c r="M81" i="90"/>
  <c r="AE81" i="90"/>
  <c r="Q81" i="90"/>
  <c r="AO81" i="90"/>
  <c r="AS81" i="90" s="1"/>
  <c r="AW81" i="90" s="1"/>
  <c r="U81" i="90"/>
  <c r="M78" i="90"/>
  <c r="AA78" i="90"/>
  <c r="AE78" i="90"/>
  <c r="Q78" i="90"/>
  <c r="U78" i="90"/>
  <c r="AO78" i="90"/>
  <c r="AS78" i="90" s="1"/>
  <c r="AW78" i="90" s="1"/>
  <c r="AA88" i="90"/>
  <c r="M88" i="90"/>
  <c r="U88" i="90"/>
  <c r="Q88" i="90"/>
  <c r="AE88" i="90"/>
  <c r="AO88" i="90"/>
  <c r="AS88" i="90" s="1"/>
  <c r="AW88" i="90" s="1"/>
  <c r="M84" i="90"/>
  <c r="AA84" i="90"/>
  <c r="AO84" i="90"/>
  <c r="AS84" i="90" s="1"/>
  <c r="AW84" i="90" s="1"/>
  <c r="Q84" i="90"/>
  <c r="AE84" i="90"/>
  <c r="U84" i="90"/>
  <c r="AA83" i="90"/>
  <c r="M83" i="90"/>
  <c r="Q83" i="90"/>
  <c r="AE83" i="90"/>
  <c r="U83" i="90"/>
  <c r="AO83" i="90"/>
  <c r="AS83" i="90" s="1"/>
  <c r="AW83" i="90" s="1"/>
  <c r="AA87" i="90"/>
  <c r="U87" i="90"/>
  <c r="Q87" i="90"/>
  <c r="M87" i="90"/>
  <c r="AE87" i="90"/>
  <c r="AO87" i="90"/>
  <c r="AS87" i="90" s="1"/>
  <c r="AW87" i="90" s="1"/>
  <c r="AA76" i="90"/>
  <c r="M76" i="90"/>
  <c r="Q76" i="90"/>
  <c r="AE76" i="90"/>
  <c r="U76" i="90"/>
  <c r="AO76" i="90"/>
  <c r="AS76" i="90" s="1"/>
  <c r="AW76" i="90" s="1"/>
  <c r="AA69" i="90"/>
  <c r="Q69" i="90"/>
  <c r="M69" i="90"/>
  <c r="U69" i="90"/>
  <c r="AE69" i="90"/>
  <c r="AO69" i="90"/>
  <c r="AS69" i="90" s="1"/>
  <c r="AW69" i="90" s="1"/>
  <c r="AA80" i="90"/>
  <c r="M80" i="90"/>
  <c r="AO80" i="90"/>
  <c r="AS80" i="90" s="1"/>
  <c r="AW80" i="90" s="1"/>
  <c r="U80" i="90"/>
  <c r="Q80" i="90"/>
  <c r="AE80" i="90"/>
  <c r="AA68" i="90"/>
  <c r="M68" i="90"/>
  <c r="Q68" i="90"/>
  <c r="I68" i="90"/>
  <c r="AO68" i="90"/>
  <c r="AS68" i="90" s="1"/>
  <c r="AW68" i="90" s="1"/>
  <c r="U68" i="90"/>
  <c r="AA85" i="90"/>
  <c r="M85" i="90"/>
  <c r="U85" i="90"/>
  <c r="Q85" i="90"/>
  <c r="AE85" i="90"/>
  <c r="AO85" i="90"/>
  <c r="AS85" i="90" s="1"/>
  <c r="AW85" i="90" s="1"/>
  <c r="AA70" i="90"/>
  <c r="M70" i="90"/>
  <c r="AE70" i="90"/>
  <c r="U70" i="90"/>
  <c r="Q70" i="90"/>
  <c r="AO70" i="90"/>
  <c r="AS70" i="90" s="1"/>
  <c r="AW70" i="90" s="1"/>
  <c r="AA74" i="90"/>
  <c r="M74" i="90"/>
  <c r="U74" i="90"/>
  <c r="AE74" i="90"/>
  <c r="Q74" i="90"/>
  <c r="AO74" i="90"/>
  <c r="AS74" i="90" s="1"/>
  <c r="AW74" i="90" s="1"/>
  <c r="M77" i="90"/>
  <c r="AA77" i="90"/>
  <c r="AE77" i="90"/>
  <c r="AO77" i="90"/>
  <c r="AS77" i="90" s="1"/>
  <c r="AW77" i="90" s="1"/>
  <c r="Q77" i="90"/>
  <c r="U77" i="90"/>
  <c r="AS135" i="50"/>
  <c r="AO133" i="50"/>
  <c r="AM135" i="50"/>
  <c r="AO132" i="50"/>
  <c r="I135" i="50"/>
  <c r="I136" i="50" s="1"/>
  <c r="M135" i="50"/>
  <c r="M136" i="50" s="1"/>
  <c r="Z104" i="50"/>
  <c r="Z105" i="50" s="1"/>
  <c r="AA103" i="50"/>
  <c r="AG103" i="50" s="1"/>
  <c r="AA101" i="50"/>
  <c r="AC52" i="38"/>
  <c r="Y29" i="36"/>
  <c r="X7" i="15" s="1"/>
  <c r="Y28" i="36"/>
  <c r="X6" i="15" s="1"/>
  <c r="Y27" i="36"/>
  <c r="X5" i="15" s="1"/>
  <c r="Y23" i="36"/>
  <c r="Y22" i="36"/>
  <c r="Y21" i="36"/>
  <c r="Y17" i="36"/>
  <c r="AB54" i="59" s="1"/>
  <c r="Y16" i="36"/>
  <c r="AB53" i="59" s="1"/>
  <c r="Y9" i="36"/>
  <c r="Y8" i="36"/>
  <c r="Y7" i="36"/>
  <c r="Y5" i="36"/>
  <c r="AS79" i="90" l="1"/>
  <c r="G96" i="90"/>
  <c r="G102" i="90" s="1"/>
  <c r="BE89" i="90"/>
  <c r="AU96" i="90"/>
  <c r="BA96" i="90" s="1"/>
  <c r="BA89" i="90"/>
  <c r="BA136" i="50"/>
  <c r="BE133" i="50"/>
  <c r="O96" i="90"/>
  <c r="O128" i="90" s="1"/>
  <c r="AI89" i="90"/>
  <c r="BC135" i="50"/>
  <c r="BC136" i="50" s="1"/>
  <c r="BE132" i="50"/>
  <c r="K102" i="90"/>
  <c r="K128" i="90"/>
  <c r="K131" i="90" s="1"/>
  <c r="Y89" i="90"/>
  <c r="AS136" i="50"/>
  <c r="AQ102" i="90"/>
  <c r="AQ128" i="90"/>
  <c r="AQ131" i="90" s="1"/>
  <c r="AC133" i="50"/>
  <c r="AG133" i="50" s="1"/>
  <c r="AK133" i="50" s="1"/>
  <c r="AQ133" i="50" s="1"/>
  <c r="AU133" i="50" s="1"/>
  <c r="AY133" i="50" s="1"/>
  <c r="BG133" i="50" s="1"/>
  <c r="S133" i="50"/>
  <c r="W133" i="50" s="1"/>
  <c r="AK96" i="90"/>
  <c r="AM89" i="90"/>
  <c r="AU128" i="90"/>
  <c r="S132" i="50"/>
  <c r="W132" i="50" s="1"/>
  <c r="AC132" i="50"/>
  <c r="AG132" i="50" s="1"/>
  <c r="AK132" i="50" s="1"/>
  <c r="AQ132" i="50" s="1"/>
  <c r="AU132" i="50" s="1"/>
  <c r="AY132" i="50" s="1"/>
  <c r="BG132" i="50" s="1"/>
  <c r="AA89" i="90"/>
  <c r="M89" i="90"/>
  <c r="I89" i="90"/>
  <c r="AO89" i="90"/>
  <c r="AS89" i="90" s="1"/>
  <c r="AW89" i="90" s="1"/>
  <c r="Q89" i="90"/>
  <c r="U89" i="90"/>
  <c r="AE89" i="90"/>
  <c r="AM136" i="50"/>
  <c r="AO135" i="50"/>
  <c r="AA102" i="50"/>
  <c r="G128" i="90" l="1"/>
  <c r="G131" i="90" s="1"/>
  <c r="AW79" i="90"/>
  <c r="AU102" i="90"/>
  <c r="BA102" i="90" s="1"/>
  <c r="BC89" i="90"/>
  <c r="AU131" i="90"/>
  <c r="BA131" i="90" s="1"/>
  <c r="BA128" i="90"/>
  <c r="Y96" i="90"/>
  <c r="AK102" i="90"/>
  <c r="AK128" i="90"/>
  <c r="AM96" i="90"/>
  <c r="AM102" i="90" s="1"/>
  <c r="AO136" i="50"/>
  <c r="BE135" i="50"/>
  <c r="BE136" i="50" s="1"/>
  <c r="Z39" i="35"/>
  <c r="AC76" i="59" s="1"/>
  <c r="Z40" i="35"/>
  <c r="AA104" i="50"/>
  <c r="AA105" i="50" s="1"/>
  <c r="AG102" i="50"/>
  <c r="BC102" i="90" l="1"/>
  <c r="BC96" i="90"/>
  <c r="Y128" i="90"/>
  <c r="AK131" i="90"/>
  <c r="AM128" i="90"/>
  <c r="AM131" i="90" s="1"/>
  <c r="BC131" i="90" s="1"/>
  <c r="Y13" i="49"/>
  <c r="BC128" i="90" l="1"/>
  <c r="AB93" i="8"/>
  <c r="Z93" i="8"/>
  <c r="Y73" i="8" l="1"/>
  <c r="M52" i="8"/>
  <c r="P41" i="59" s="1"/>
  <c r="Z2" i="6" l="1"/>
  <c r="Z53" i="6"/>
  <c r="Z52" i="6"/>
  <c r="Z50" i="6"/>
  <c r="Z49" i="6"/>
  <c r="Z47" i="6"/>
  <c r="Z46" i="6"/>
  <c r="Z44" i="6"/>
  <c r="Z43" i="6"/>
  <c r="Z12" i="6" l="1"/>
  <c r="Z221" i="6" s="1"/>
  <c r="Z13" i="6"/>
  <c r="Z222" i="6" s="1"/>
  <c r="Y18" i="49"/>
  <c r="Y17" i="49"/>
  <c r="Z51" i="6"/>
  <c r="Z45" i="6"/>
  <c r="V172" i="26"/>
  <c r="V167" i="26"/>
  <c r="Z48" i="6"/>
  <c r="Z54" i="6"/>
  <c r="Y14" i="49" l="1"/>
  <c r="V171" i="26"/>
  <c r="V164" i="26"/>
  <c r="Y15" i="49" l="1"/>
  <c r="X98" i="50"/>
  <c r="X96" i="50" s="1"/>
  <c r="Y16" i="49" l="1"/>
  <c r="X15" i="36"/>
  <c r="Q72" i="36"/>
  <c r="M72" i="36"/>
  <c r="I72" i="36"/>
  <c r="Q71" i="36"/>
  <c r="M71" i="36"/>
  <c r="I71" i="36"/>
  <c r="Q69" i="36"/>
  <c r="M69" i="36"/>
  <c r="I69" i="36"/>
  <c r="Q67" i="36"/>
  <c r="M67" i="36"/>
  <c r="I67" i="36"/>
  <c r="Q66" i="36"/>
  <c r="M66" i="36"/>
  <c r="I66" i="36"/>
  <c r="F64" i="36"/>
  <c r="F72" i="36" s="1"/>
  <c r="F62" i="36"/>
  <c r="F61" i="36"/>
  <c r="F69" i="36" s="1"/>
  <c r="F59" i="36"/>
  <c r="F67" i="36" s="1"/>
  <c r="F58" i="36"/>
  <c r="F66" i="36" s="1"/>
  <c r="N59" i="36"/>
  <c r="N61" i="36"/>
  <c r="AB61" i="9"/>
  <c r="AF61" i="9" s="1"/>
  <c r="AJ61" i="9" s="1"/>
  <c r="AJ64" i="36" s="1"/>
  <c r="J56" i="9"/>
  <c r="J58" i="9"/>
  <c r="J59" i="9"/>
  <c r="J61" i="9"/>
  <c r="D61" i="9"/>
  <c r="D59" i="9"/>
  <c r="D58" i="9"/>
  <c r="D56" i="9"/>
  <c r="D77" i="9"/>
  <c r="F60" i="9"/>
  <c r="F56" i="36"/>
  <c r="J62" i="36" l="1"/>
  <c r="AA52" i="59"/>
  <c r="Y19" i="49"/>
  <c r="BA70" i="36"/>
  <c r="N60" i="9"/>
  <c r="R60" i="9" s="1"/>
  <c r="V60" i="9" s="1"/>
  <c r="AW70" i="36"/>
  <c r="AF64" i="36"/>
  <c r="D60" i="9"/>
  <c r="I68" i="36"/>
  <c r="Z60" i="9"/>
  <c r="Z62" i="36"/>
  <c r="E74" i="9"/>
  <c r="E77" i="9"/>
  <c r="J59" i="36"/>
  <c r="J61" i="36"/>
  <c r="R61" i="9"/>
  <c r="V61" i="9" s="1"/>
  <c r="J64" i="36"/>
  <c r="N62" i="36"/>
  <c r="N63" i="36" s="1"/>
  <c r="N64" i="36"/>
  <c r="M68" i="36"/>
  <c r="Q68" i="36"/>
  <c r="F68" i="36"/>
  <c r="R56" i="9"/>
  <c r="V56" i="9" s="1"/>
  <c r="J60" i="9"/>
  <c r="R58" i="9"/>
  <c r="V58" i="9" s="1"/>
  <c r="R59" i="9"/>
  <c r="V59" i="9" s="1"/>
  <c r="V59" i="36" l="1"/>
  <c r="V64" i="36"/>
  <c r="V62" i="36"/>
  <c r="V61" i="36"/>
  <c r="BE70" i="36"/>
  <c r="AP61" i="9"/>
  <c r="AB60" i="9"/>
  <c r="AF60" i="9" s="1"/>
  <c r="AB62" i="36"/>
  <c r="R61" i="36"/>
  <c r="R64" i="36"/>
  <c r="J63" i="36"/>
  <c r="R62" i="36"/>
  <c r="R59" i="36"/>
  <c r="AJ60" i="9" l="1"/>
  <c r="V63" i="36"/>
  <c r="AT61" i="9"/>
  <c r="AX61" i="9" s="1"/>
  <c r="AP64" i="36"/>
  <c r="R63" i="36"/>
  <c r="AP60" i="9" l="1"/>
  <c r="AT60" i="9" s="1"/>
  <c r="BF61" i="9"/>
  <c r="AX64" i="36"/>
  <c r="AT64" i="36"/>
  <c r="AX60" i="9" l="1"/>
  <c r="BF60" i="9" s="1"/>
  <c r="F68" i="8"/>
  <c r="F66" i="8"/>
  <c r="F64" i="8"/>
  <c r="F58" i="8"/>
  <c r="H6" i="39"/>
  <c r="I6" i="39"/>
  <c r="H7" i="39"/>
  <c r="I7" i="39"/>
  <c r="H9" i="39"/>
  <c r="I9" i="39"/>
  <c r="H10" i="39"/>
  <c r="I10" i="39"/>
  <c r="H11" i="39"/>
  <c r="I11" i="39"/>
  <c r="H12" i="39"/>
  <c r="I12" i="39"/>
  <c r="H13" i="39"/>
  <c r="I13" i="39"/>
  <c r="H14" i="39"/>
  <c r="I14" i="39"/>
  <c r="H15" i="39"/>
  <c r="I15" i="39"/>
  <c r="H16" i="39"/>
  <c r="I16" i="39"/>
  <c r="H17" i="39"/>
  <c r="I17" i="39"/>
  <c r="H18" i="39"/>
  <c r="I18" i="39"/>
  <c r="H19" i="39"/>
  <c r="H23" i="39"/>
  <c r="H24" i="39"/>
  <c r="H28" i="39"/>
  <c r="I28" i="39"/>
  <c r="H29" i="39"/>
  <c r="I29" i="39"/>
  <c r="H30" i="39"/>
  <c r="I30" i="39"/>
  <c r="H31" i="39"/>
  <c r="I31" i="39"/>
  <c r="H34" i="39"/>
  <c r="H37" i="39"/>
  <c r="I37" i="39"/>
  <c r="H38" i="39"/>
  <c r="I38" i="39"/>
  <c r="H39" i="39"/>
  <c r="I39" i="39"/>
  <c r="H42" i="39"/>
  <c r="I42" i="39"/>
  <c r="H43" i="39"/>
  <c r="I43" i="39"/>
  <c r="H45" i="39"/>
  <c r="H46" i="39"/>
  <c r="I46" i="39"/>
  <c r="H47" i="39"/>
  <c r="I47" i="39"/>
  <c r="H48" i="39"/>
  <c r="I48" i="39"/>
  <c r="H49" i="39"/>
  <c r="H54" i="39"/>
  <c r="I54" i="39"/>
  <c r="H55" i="39"/>
  <c r="I55" i="39"/>
  <c r="H56" i="39"/>
  <c r="I56" i="39"/>
  <c r="H57" i="39"/>
  <c r="I57" i="39"/>
  <c r="H58" i="39"/>
  <c r="I58" i="39"/>
  <c r="H59" i="39"/>
  <c r="H60" i="39"/>
  <c r="I60" i="39"/>
  <c r="H61" i="39"/>
  <c r="I61" i="39"/>
  <c r="H64" i="39"/>
  <c r="I64" i="39"/>
  <c r="E8" i="39"/>
  <c r="F8" i="39"/>
  <c r="J8" i="39"/>
  <c r="N8" i="39"/>
  <c r="N50" i="39"/>
  <c r="J50" i="39"/>
  <c r="F50" i="39"/>
  <c r="N45" i="39"/>
  <c r="J45" i="39"/>
  <c r="H5" i="39"/>
  <c r="L48" i="39" l="1"/>
  <c r="L15" i="39"/>
  <c r="L9" i="39"/>
  <c r="L58" i="39"/>
  <c r="H8" i="39"/>
  <c r="L23" i="39"/>
  <c r="L19" i="39"/>
  <c r="L13" i="39"/>
  <c r="L6" i="39"/>
  <c r="L28" i="39"/>
  <c r="L37" i="39"/>
  <c r="E22" i="39"/>
  <c r="Q64" i="39"/>
  <c r="L64" i="39"/>
  <c r="L31" i="39"/>
  <c r="L18" i="39"/>
  <c r="L12" i="39"/>
  <c r="L14" i="39"/>
  <c r="L34" i="39"/>
  <c r="L61" i="39"/>
  <c r="L38" i="39"/>
  <c r="L47" i="39"/>
  <c r="L57" i="39"/>
  <c r="L5" i="39"/>
  <c r="L55" i="39"/>
  <c r="Q54" i="39"/>
  <c r="Q42" i="39"/>
  <c r="L30" i="39"/>
  <c r="L17" i="39"/>
  <c r="L11" i="39"/>
  <c r="L7" i="39"/>
  <c r="L46" i="39"/>
  <c r="L54" i="39"/>
  <c r="N22" i="39"/>
  <c r="L56" i="39"/>
  <c r="L60" i="39"/>
  <c r="L42" i="39"/>
  <c r="L29" i="39"/>
  <c r="L16" i="39"/>
  <c r="L10" i="39"/>
  <c r="J22" i="39"/>
  <c r="J24" i="39" s="1"/>
  <c r="Q37" i="39"/>
  <c r="L43" i="39"/>
  <c r="H50" i="39"/>
  <c r="L50" i="39" s="1"/>
  <c r="J51" i="39"/>
  <c r="L49" i="39"/>
  <c r="N51" i="39"/>
  <c r="L59" i="39"/>
  <c r="L39" i="39"/>
  <c r="Q9" i="39"/>
  <c r="N58" i="8"/>
  <c r="N62" i="8" s="1"/>
  <c r="Z58" i="8"/>
  <c r="N64" i="8"/>
  <c r="Z64" i="8"/>
  <c r="Z66" i="8"/>
  <c r="Z68" i="8"/>
  <c r="N68" i="8"/>
  <c r="N66" i="8"/>
  <c r="M8" i="39"/>
  <c r="L45" i="39"/>
  <c r="Q28" i="39"/>
  <c r="F51" i="39"/>
  <c r="F22" i="39"/>
  <c r="I8" i="39"/>
  <c r="I5" i="39"/>
  <c r="E45" i="39"/>
  <c r="E50" i="39"/>
  <c r="E23" i="39"/>
  <c r="P60" i="39" l="1"/>
  <c r="P14" i="39"/>
  <c r="L24" i="39"/>
  <c r="P59" i="39"/>
  <c r="H51" i="39"/>
  <c r="P12" i="39"/>
  <c r="P49" i="39"/>
  <c r="P47" i="39"/>
  <c r="P18" i="39"/>
  <c r="P28" i="39"/>
  <c r="P58" i="39"/>
  <c r="P5" i="39"/>
  <c r="P23" i="39"/>
  <c r="P56" i="39"/>
  <c r="P45" i="39"/>
  <c r="P16" i="39"/>
  <c r="P54" i="39"/>
  <c r="U42" i="39"/>
  <c r="P38" i="39"/>
  <c r="P31" i="39"/>
  <c r="P6" i="39"/>
  <c r="P9" i="39"/>
  <c r="U37" i="39"/>
  <c r="P17" i="39"/>
  <c r="P10" i="39"/>
  <c r="P37" i="39"/>
  <c r="P30" i="39"/>
  <c r="L8" i="39"/>
  <c r="M22" i="39"/>
  <c r="U9" i="39"/>
  <c r="P29" i="39"/>
  <c r="P46" i="39"/>
  <c r="U54" i="39"/>
  <c r="P61" i="39"/>
  <c r="P64" i="39"/>
  <c r="P13" i="39"/>
  <c r="P15" i="39"/>
  <c r="P11" i="39"/>
  <c r="H22" i="39"/>
  <c r="P57" i="39"/>
  <c r="U28" i="39"/>
  <c r="N24" i="39"/>
  <c r="P50" i="39"/>
  <c r="P53" i="39" s="1"/>
  <c r="P39" i="39"/>
  <c r="P43" i="39"/>
  <c r="P42" i="39"/>
  <c r="P7" i="39"/>
  <c r="P55" i="39"/>
  <c r="P34" i="39"/>
  <c r="U64" i="39"/>
  <c r="P19" i="39"/>
  <c r="P48" i="39"/>
  <c r="Q8" i="39"/>
  <c r="M23" i="39"/>
  <c r="Z54" i="8"/>
  <c r="AB66" i="8"/>
  <c r="AF66" i="8" s="1"/>
  <c r="AJ66" i="8" s="1"/>
  <c r="M50" i="39"/>
  <c r="M45" i="39"/>
  <c r="I22" i="39"/>
  <c r="I23" i="39"/>
  <c r="I45" i="39"/>
  <c r="I50" i="39"/>
  <c r="Q5" i="39"/>
  <c r="U8" i="39" l="1"/>
  <c r="T34" i="39"/>
  <c r="AA37" i="39"/>
  <c r="T50" i="39"/>
  <c r="Q22" i="39"/>
  <c r="T12" i="39"/>
  <c r="T58" i="39"/>
  <c r="T64" i="39"/>
  <c r="P8" i="39"/>
  <c r="T9" i="39"/>
  <c r="T16" i="39"/>
  <c r="T28" i="39"/>
  <c r="T59" i="39"/>
  <c r="T17" i="39"/>
  <c r="AA9" i="39"/>
  <c r="T54" i="39"/>
  <c r="T30" i="39"/>
  <c r="T6" i="39"/>
  <c r="T45" i="39"/>
  <c r="T18" i="39"/>
  <c r="P24" i="39"/>
  <c r="T29" i="39"/>
  <c r="T7" i="39"/>
  <c r="T48" i="39"/>
  <c r="T15" i="39"/>
  <c r="T13" i="39"/>
  <c r="T42" i="39"/>
  <c r="Q50" i="39"/>
  <c r="T19" i="39"/>
  <c r="T43" i="39"/>
  <c r="L22" i="39"/>
  <c r="AA54" i="39"/>
  <c r="T37" i="39"/>
  <c r="T31" i="39"/>
  <c r="T56" i="39"/>
  <c r="T47" i="39"/>
  <c r="T14" i="39"/>
  <c r="AA42" i="39"/>
  <c r="U5" i="39"/>
  <c r="T55" i="39"/>
  <c r="AA28" i="39"/>
  <c r="T57" i="39"/>
  <c r="T5" i="39"/>
  <c r="L51" i="39"/>
  <c r="T61" i="39"/>
  <c r="Q23" i="39"/>
  <c r="AA64" i="39"/>
  <c r="T39" i="39"/>
  <c r="T11" i="39"/>
  <c r="T46" i="39"/>
  <c r="T10" i="39"/>
  <c r="T38" i="39"/>
  <c r="T23" i="39"/>
  <c r="T49" i="39"/>
  <c r="T60" i="39"/>
  <c r="Z14" i="49"/>
  <c r="AP66" i="8"/>
  <c r="AT66" i="8" s="1"/>
  <c r="Q45" i="39"/>
  <c r="Z49" i="39" l="1"/>
  <c r="Z23" i="39"/>
  <c r="Z16" i="39"/>
  <c r="U22" i="39"/>
  <c r="Z57" i="39"/>
  <c r="Z6" i="39"/>
  <c r="AE64" i="39"/>
  <c r="U45" i="39"/>
  <c r="U50" i="39"/>
  <c r="Z9" i="39"/>
  <c r="T53" i="39"/>
  <c r="Z50" i="39"/>
  <c r="Z28" i="39"/>
  <c r="Z19" i="39"/>
  <c r="Z55" i="39"/>
  <c r="Z43" i="39"/>
  <c r="Z56" i="39"/>
  <c r="Z37" i="39"/>
  <c r="T24" i="39"/>
  <c r="AE9" i="39"/>
  <c r="T8" i="39"/>
  <c r="AE37" i="39"/>
  <c r="Z12" i="39"/>
  <c r="AE28" i="39"/>
  <c r="Z54" i="39"/>
  <c r="Z10" i="39"/>
  <c r="Z48" i="39"/>
  <c r="Z31" i="39"/>
  <c r="Z61" i="39"/>
  <c r="P51" i="39"/>
  <c r="Z18" i="39"/>
  <c r="Z64" i="39"/>
  <c r="Z34" i="39"/>
  <c r="Z47" i="39"/>
  <c r="Z30" i="39"/>
  <c r="U23" i="39"/>
  <c r="Z42" i="39"/>
  <c r="Z39" i="39"/>
  <c r="Z7" i="39"/>
  <c r="Z38" i="39"/>
  <c r="Z29" i="39"/>
  <c r="AA5" i="39"/>
  <c r="Z46" i="39"/>
  <c r="AE42" i="39"/>
  <c r="AE54" i="39"/>
  <c r="Z13" i="39"/>
  <c r="Z17" i="39"/>
  <c r="Z60" i="39"/>
  <c r="Z11" i="39"/>
  <c r="Z5" i="39"/>
  <c r="Z14" i="39"/>
  <c r="P22" i="39"/>
  <c r="Z15" i="39"/>
  <c r="Z45" i="39"/>
  <c r="Z59" i="39"/>
  <c r="Z58" i="39"/>
  <c r="AA8" i="39"/>
  <c r="AX66" i="8"/>
  <c r="Z15" i="49"/>
  <c r="BF66" i="8" l="1"/>
  <c r="AD54" i="39"/>
  <c r="AD28" i="39"/>
  <c r="AD6" i="39"/>
  <c r="AD46" i="39"/>
  <c r="AD57" i="39"/>
  <c r="AD50" i="39"/>
  <c r="AD17" i="39"/>
  <c r="AD56" i="39"/>
  <c r="AD11" i="39"/>
  <c r="AE5" i="39"/>
  <c r="AD9" i="39"/>
  <c r="AA22" i="39"/>
  <c r="Z24" i="39"/>
  <c r="T51" i="39"/>
  <c r="AD29" i="39"/>
  <c r="T22" i="39"/>
  <c r="AD47" i="39"/>
  <c r="AD31" i="39"/>
  <c r="AI37" i="39"/>
  <c r="AD43" i="39"/>
  <c r="AD18" i="39"/>
  <c r="AI28" i="39"/>
  <c r="AD61" i="39"/>
  <c r="AA50" i="39"/>
  <c r="AD16" i="39"/>
  <c r="AD60" i="39"/>
  <c r="AD15" i="39"/>
  <c r="AD7" i="39"/>
  <c r="Z8" i="39"/>
  <c r="AD55" i="39"/>
  <c r="AD12" i="39"/>
  <c r="AI54" i="39"/>
  <c r="AA45" i="39"/>
  <c r="AD23" i="39"/>
  <c r="AD42" i="39"/>
  <c r="AD37" i="39"/>
  <c r="AD30" i="39"/>
  <c r="AD13" i="39"/>
  <c r="AD14" i="39"/>
  <c r="AD34" i="39"/>
  <c r="AD58" i="39"/>
  <c r="AD5" i="39"/>
  <c r="AI42" i="39"/>
  <c r="AD39" i="39"/>
  <c r="AD64" i="39"/>
  <c r="AD10" i="39"/>
  <c r="AI9" i="39"/>
  <c r="AD19" i="39"/>
  <c r="AD59" i="39"/>
  <c r="AD45" i="39"/>
  <c r="AA23" i="39"/>
  <c r="AD38" i="39"/>
  <c r="AE8" i="39"/>
  <c r="AD48" i="39"/>
  <c r="AI64" i="39"/>
  <c r="AD49" i="39"/>
  <c r="Z16" i="49"/>
  <c r="L15" i="36"/>
  <c r="O52" i="59" l="1"/>
  <c r="AH55" i="39"/>
  <c r="AI8" i="39"/>
  <c r="AH9" i="39"/>
  <c r="AH57" i="39"/>
  <c r="AH37" i="39"/>
  <c r="AH5" i="39"/>
  <c r="AH61" i="39"/>
  <c r="AO28" i="39"/>
  <c r="AI5" i="39"/>
  <c r="AH46" i="39"/>
  <c r="AH50" i="39"/>
  <c r="AD53" i="39"/>
  <c r="AD8" i="39"/>
  <c r="AH10" i="39"/>
  <c r="AH48" i="39"/>
  <c r="AH42" i="39"/>
  <c r="AH38" i="39"/>
  <c r="AE45" i="39"/>
  <c r="AH18" i="39"/>
  <c r="AH29" i="39"/>
  <c r="AH11" i="39"/>
  <c r="AH6" i="39"/>
  <c r="AE22" i="39"/>
  <c r="AH47" i="39"/>
  <c r="AH23" i="39"/>
  <c r="AH64" i="39"/>
  <c r="AH31" i="39"/>
  <c r="AO9" i="39"/>
  <c r="AH34" i="39"/>
  <c r="AE23" i="39"/>
  <c r="AH49" i="39"/>
  <c r="AO54" i="39"/>
  <c r="AH60" i="39"/>
  <c r="AH43" i="39"/>
  <c r="Z51" i="39"/>
  <c r="AH56" i="39"/>
  <c r="AH28" i="39"/>
  <c r="AE50" i="39"/>
  <c r="AH58" i="39"/>
  <c r="AH7" i="39"/>
  <c r="AH14" i="39"/>
  <c r="AH39" i="39"/>
  <c r="AH19" i="39"/>
  <c r="Z22" i="39"/>
  <c r="AH15" i="39"/>
  <c r="AH45" i="39"/>
  <c r="AH13" i="39"/>
  <c r="AO64" i="39"/>
  <c r="AH59" i="39"/>
  <c r="AO42" i="39"/>
  <c r="AH30" i="39"/>
  <c r="AH12" i="39"/>
  <c r="AH16" i="39"/>
  <c r="AO37" i="39"/>
  <c r="AD24" i="39"/>
  <c r="AH17" i="39"/>
  <c r="AH54" i="39"/>
  <c r="Z19" i="49"/>
  <c r="N26" i="22"/>
  <c r="N32" i="22" s="1"/>
  <c r="N23" i="22"/>
  <c r="N22" i="22"/>
  <c r="N13" i="22"/>
  <c r="N11" i="22"/>
  <c r="N18" i="22" s="1"/>
  <c r="N8" i="22"/>
  <c r="N7" i="22"/>
  <c r="N93" i="8"/>
  <c r="AH8" i="39" l="1"/>
  <c r="AN5" i="39"/>
  <c r="AN23" i="39"/>
  <c r="AS37" i="39"/>
  <c r="AN50" i="39"/>
  <c r="AH53" i="39"/>
  <c r="AN37" i="39"/>
  <c r="AI22" i="39"/>
  <c r="AN38" i="39"/>
  <c r="AH24" i="39"/>
  <c r="AN39" i="39"/>
  <c r="AD51" i="39"/>
  <c r="AN7" i="39"/>
  <c r="AS9" i="39"/>
  <c r="AN6" i="39"/>
  <c r="AN42" i="39"/>
  <c r="AN18" i="39"/>
  <c r="AI45" i="39"/>
  <c r="AN34" i="39"/>
  <c r="AO5" i="39"/>
  <c r="AN9" i="39"/>
  <c r="AN19" i="39"/>
  <c r="AI23" i="39"/>
  <c r="AN16" i="39"/>
  <c r="AN57" i="39"/>
  <c r="AN12" i="39"/>
  <c r="AN54" i="39"/>
  <c r="AN58" i="39"/>
  <c r="AN60" i="39"/>
  <c r="AN31" i="39"/>
  <c r="AN11" i="39"/>
  <c r="AN48" i="39"/>
  <c r="AN49" i="39"/>
  <c r="AN47" i="39"/>
  <c r="AN13" i="39"/>
  <c r="AS28" i="39"/>
  <c r="AO8" i="39"/>
  <c r="AN59" i="39"/>
  <c r="AS64" i="39"/>
  <c r="AN14" i="39"/>
  <c r="AN43" i="39"/>
  <c r="AN30" i="39"/>
  <c r="AN17" i="39"/>
  <c r="AS42" i="39"/>
  <c r="AD22" i="39"/>
  <c r="AI50" i="39"/>
  <c r="AS54" i="39"/>
  <c r="AN64" i="39"/>
  <c r="AN29" i="39"/>
  <c r="AN10" i="39"/>
  <c r="AN28" i="39"/>
  <c r="AN56" i="39"/>
  <c r="AN46" i="39"/>
  <c r="AN45" i="39"/>
  <c r="AN15" i="39"/>
  <c r="AN61" i="39"/>
  <c r="AN55" i="39"/>
  <c r="P15" i="36"/>
  <c r="N20" i="22"/>
  <c r="N19" i="22"/>
  <c r="N17" i="22"/>
  <c r="N31" i="22"/>
  <c r="E71" i="8"/>
  <c r="S52" i="59" l="1"/>
  <c r="AR37" i="39"/>
  <c r="AR64" i="39"/>
  <c r="AN53" i="39"/>
  <c r="AR50" i="39"/>
  <c r="AR34" i="39"/>
  <c r="AR17" i="39"/>
  <c r="AS8" i="39"/>
  <c r="AR31" i="39"/>
  <c r="AR11" i="39"/>
  <c r="AO45" i="39"/>
  <c r="AR39" i="39"/>
  <c r="AR14" i="39"/>
  <c r="AR42" i="39"/>
  <c r="AN24" i="39"/>
  <c r="AR29" i="39"/>
  <c r="AR30" i="39"/>
  <c r="AR60" i="39"/>
  <c r="AO50" i="39"/>
  <c r="AR23" i="39"/>
  <c r="AR7" i="39"/>
  <c r="AR45" i="39"/>
  <c r="AR16" i="39"/>
  <c r="AR46" i="39"/>
  <c r="AR43" i="39"/>
  <c r="AW37" i="39"/>
  <c r="AH22" i="39"/>
  <c r="AR54" i="39"/>
  <c r="AR9" i="39"/>
  <c r="AR6" i="39"/>
  <c r="AR38" i="39"/>
  <c r="AR13" i="39"/>
  <c r="AR56" i="39"/>
  <c r="AR47" i="39"/>
  <c r="AR5" i="39"/>
  <c r="AR15" i="39"/>
  <c r="AW28" i="39"/>
  <c r="AO23" i="39"/>
  <c r="AR58" i="39"/>
  <c r="AR28" i="39"/>
  <c r="AR49" i="39"/>
  <c r="AR61" i="39"/>
  <c r="AR10" i="39"/>
  <c r="AW42" i="39"/>
  <c r="AR59" i="39"/>
  <c r="AR48" i="39"/>
  <c r="AR12" i="39"/>
  <c r="AS5" i="39"/>
  <c r="AW9" i="39"/>
  <c r="AO22" i="39"/>
  <c r="AR57" i="39"/>
  <c r="AH51" i="39"/>
  <c r="AW54" i="39"/>
  <c r="AR18" i="39"/>
  <c r="AR19" i="39"/>
  <c r="AR55" i="39"/>
  <c r="AW64" i="39"/>
  <c r="AN8" i="39"/>
  <c r="F6" i="35"/>
  <c r="F5" i="6" s="1"/>
  <c r="BE37" i="39" l="1"/>
  <c r="AS50" i="39"/>
  <c r="AV17" i="39"/>
  <c r="AW8" i="39"/>
  <c r="AS22" i="39"/>
  <c r="AW5" i="39"/>
  <c r="AV39" i="39"/>
  <c r="AV34" i="39"/>
  <c r="AV55" i="39"/>
  <c r="BE9" i="39"/>
  <c r="AV18" i="39"/>
  <c r="AV50" i="39"/>
  <c r="AV13" i="39"/>
  <c r="BE28" i="39"/>
  <c r="AV60" i="39"/>
  <c r="AV9" i="39"/>
  <c r="AV30" i="39"/>
  <c r="AS45" i="39"/>
  <c r="BE42" i="39"/>
  <c r="AV10" i="39"/>
  <c r="AV61" i="39"/>
  <c r="AV5" i="39"/>
  <c r="AS23" i="39"/>
  <c r="AV38" i="39"/>
  <c r="BE54" i="39"/>
  <c r="AN51" i="39"/>
  <c r="AV47" i="39"/>
  <c r="AV54" i="39"/>
  <c r="AV45" i="39"/>
  <c r="AV29" i="39"/>
  <c r="AV11" i="39"/>
  <c r="AV23" i="39"/>
  <c r="AV43" i="39"/>
  <c r="AV15" i="39"/>
  <c r="AV49" i="39"/>
  <c r="AR8" i="39"/>
  <c r="AV64" i="39"/>
  <c r="AV19" i="39"/>
  <c r="AV6" i="39"/>
  <c r="AV12" i="39"/>
  <c r="AV28" i="39"/>
  <c r="BE64" i="39"/>
  <c r="AV57" i="39"/>
  <c r="AV59" i="39"/>
  <c r="AV58" i="39"/>
  <c r="AV56" i="39"/>
  <c r="AN22" i="39"/>
  <c r="AV7" i="39"/>
  <c r="AR24" i="39"/>
  <c r="AV31" i="39"/>
  <c r="AV42" i="39"/>
  <c r="AV14" i="39"/>
  <c r="AV46" i="39"/>
  <c r="AV16" i="39"/>
  <c r="AV48" i="39"/>
  <c r="AV37" i="39"/>
  <c r="M61" i="6"/>
  <c r="P23" i="59" s="1"/>
  <c r="M60" i="6"/>
  <c r="P16" i="59" s="1"/>
  <c r="BB49" i="39" l="1"/>
  <c r="BD49" i="39"/>
  <c r="BB30" i="39"/>
  <c r="BD30" i="39"/>
  <c r="BD18" i="39"/>
  <c r="BB18" i="39"/>
  <c r="AW22" i="39"/>
  <c r="AW45" i="39"/>
  <c r="BB16" i="39"/>
  <c r="BD16" i="39"/>
  <c r="BB29" i="39"/>
  <c r="BD29" i="39"/>
  <c r="BB45" i="39"/>
  <c r="BD45" i="39"/>
  <c r="BB15" i="39"/>
  <c r="BD15" i="39"/>
  <c r="BB5" i="39"/>
  <c r="BD5" i="39"/>
  <c r="BB9" i="39"/>
  <c r="BD9" i="39"/>
  <c r="BE8" i="39"/>
  <c r="BB50" i="39"/>
  <c r="BD50" i="39"/>
  <c r="BB28" i="39"/>
  <c r="BD28" i="39"/>
  <c r="BB14" i="39"/>
  <c r="BD14" i="39"/>
  <c r="BB38" i="39"/>
  <c r="BD38" i="39"/>
  <c r="BD46" i="39"/>
  <c r="BB46" i="39"/>
  <c r="BD12" i="39"/>
  <c r="BB12" i="39"/>
  <c r="BD42" i="39"/>
  <c r="BB42" i="39"/>
  <c r="BD58" i="39"/>
  <c r="BB58" i="39"/>
  <c r="BB6" i="39"/>
  <c r="BD6" i="39"/>
  <c r="BD43" i="39"/>
  <c r="BB43" i="39"/>
  <c r="BB47" i="39"/>
  <c r="BD47" i="39"/>
  <c r="BB61" i="39"/>
  <c r="BD61" i="39"/>
  <c r="BB60" i="39"/>
  <c r="BD60" i="39"/>
  <c r="BD55" i="39"/>
  <c r="BB55" i="39"/>
  <c r="BB17" i="39"/>
  <c r="BD17" i="39"/>
  <c r="BE5" i="39"/>
  <c r="AW23" i="39"/>
  <c r="BD56" i="39"/>
  <c r="BB56" i="39"/>
  <c r="BD37" i="39"/>
  <c r="BB37" i="39"/>
  <c r="BB31" i="39"/>
  <c r="BD31" i="39"/>
  <c r="BD59" i="39"/>
  <c r="BB59" i="39"/>
  <c r="BB19" i="39"/>
  <c r="BD19" i="39"/>
  <c r="BB23" i="39"/>
  <c r="BD23" i="39"/>
  <c r="AR51" i="39"/>
  <c r="BB10" i="39"/>
  <c r="BD10" i="39"/>
  <c r="BD34" i="39"/>
  <c r="BB34" i="39"/>
  <c r="AW50" i="39"/>
  <c r="AV8" i="39"/>
  <c r="AR22" i="39"/>
  <c r="BB54" i="39"/>
  <c r="BD54" i="39"/>
  <c r="BB7" i="39"/>
  <c r="BD7" i="39"/>
  <c r="BB48" i="39"/>
  <c r="BD48" i="39"/>
  <c r="AV24" i="39"/>
  <c r="BB57" i="39"/>
  <c r="BD57" i="39"/>
  <c r="BB64" i="39"/>
  <c r="BD64" i="39"/>
  <c r="BB11" i="39"/>
  <c r="BD11" i="39"/>
  <c r="BB13" i="39"/>
  <c r="BD13" i="39"/>
  <c r="BB39" i="39"/>
  <c r="BD39" i="39"/>
  <c r="D21" i="35"/>
  <c r="D26" i="9" s="1"/>
  <c r="BE23" i="39" l="1"/>
  <c r="BE22" i="39"/>
  <c r="AV51" i="39"/>
  <c r="BB24" i="39"/>
  <c r="BD24" i="39"/>
  <c r="AV22" i="39"/>
  <c r="BB8" i="39"/>
  <c r="BD8" i="39"/>
  <c r="BE50" i="39"/>
  <c r="BE45" i="39"/>
  <c r="AA72" i="83"/>
  <c r="AG72" i="83" s="1"/>
  <c r="AQ72" i="83" s="1"/>
  <c r="AU72" i="83" s="1"/>
  <c r="AA73" i="83"/>
  <c r="AG73" i="83" s="1"/>
  <c r="AQ73" i="83" s="1"/>
  <c r="AU73" i="83" s="1"/>
  <c r="AA74" i="83"/>
  <c r="AG74" i="83" s="1"/>
  <c r="AQ74" i="83" s="1"/>
  <c r="AU74" i="83" s="1"/>
  <c r="AA75" i="83"/>
  <c r="AG75" i="83" s="1"/>
  <c r="AQ75" i="83" s="1"/>
  <c r="AU75" i="83" s="1"/>
  <c r="AA68" i="83"/>
  <c r="AA52" i="83"/>
  <c r="K5" i="83"/>
  <c r="K6" i="83"/>
  <c r="K7" i="83"/>
  <c r="K8" i="83"/>
  <c r="K10" i="83"/>
  <c r="K11" i="83"/>
  <c r="K12" i="83"/>
  <c r="K15" i="83"/>
  <c r="K16" i="83"/>
  <c r="K17" i="83"/>
  <c r="K18" i="83"/>
  <c r="K25" i="83"/>
  <c r="K32" i="83"/>
  <c r="K33" i="83"/>
  <c r="K34" i="83"/>
  <c r="K35" i="83"/>
  <c r="K36" i="83"/>
  <c r="K37" i="83"/>
  <c r="BB22" i="39" l="1"/>
  <c r="BD22" i="39"/>
  <c r="BB51" i="39"/>
  <c r="BD51" i="39"/>
  <c r="AY75" i="83"/>
  <c r="BG75" i="83" s="1"/>
  <c r="AY74" i="83"/>
  <c r="BG74" i="83" s="1"/>
  <c r="AY73" i="83"/>
  <c r="BG73" i="83" s="1"/>
  <c r="AY72" i="83"/>
  <c r="BG72" i="83" s="1"/>
  <c r="AU76" i="83"/>
  <c r="AQ76" i="83"/>
  <c r="AA4" i="83"/>
  <c r="AA76" i="83"/>
  <c r="AA69" i="83"/>
  <c r="D71" i="36"/>
  <c r="F70" i="36"/>
  <c r="G70" i="36" s="1"/>
  <c r="E71" i="36"/>
  <c r="F63" i="36"/>
  <c r="BG76" i="83" l="1"/>
  <c r="AY76" i="83"/>
  <c r="F71" i="36"/>
  <c r="Q4" i="50" l="1"/>
  <c r="T162" i="10"/>
  <c r="T163" i="10" s="1"/>
  <c r="Q38" i="50" l="1"/>
  <c r="AA4" i="50"/>
  <c r="AA38" i="50" s="1"/>
  <c r="T104" i="50"/>
  <c r="T105" i="50" s="1"/>
  <c r="P162" i="10" l="1"/>
  <c r="P163" i="10" s="1"/>
  <c r="AK13" i="61"/>
  <c r="AQ13" i="61" s="1"/>
  <c r="AU13" i="61" s="1"/>
  <c r="AY13" i="61" s="1"/>
  <c r="AG14" i="61"/>
  <c r="AK14" i="61" s="1"/>
  <c r="AQ14" i="61" s="1"/>
  <c r="AU14" i="61" s="1"/>
  <c r="AY14" i="61" s="1"/>
  <c r="AK12" i="61"/>
  <c r="AQ12" i="61" s="1"/>
  <c r="AU12" i="61" s="1"/>
  <c r="AY12" i="61" s="1"/>
  <c r="BG12" i="61" s="1"/>
  <c r="AK11" i="61" l="1"/>
  <c r="AQ11" i="61" s="1"/>
  <c r="AU11" i="61" s="1"/>
  <c r="AY11" i="61" s="1"/>
  <c r="BG11" i="61" s="1"/>
  <c r="Q124" i="50" l="1"/>
  <c r="AX47" i="11" l="1"/>
  <c r="AA124" i="50"/>
  <c r="BF47" i="11" l="1"/>
  <c r="AX46" i="11"/>
  <c r="BF146" i="10"/>
  <c r="Z160" i="10"/>
  <c r="BF46" i="11" l="1"/>
  <c r="AK122" i="45"/>
  <c r="AG122" i="45"/>
  <c r="AG150" i="45" l="1"/>
  <c r="AY122" i="45"/>
  <c r="AY159" i="45" s="1"/>
  <c r="AK150" i="45"/>
  <c r="AK159" i="45"/>
  <c r="AG159" i="45"/>
  <c r="AY150" i="45" l="1"/>
  <c r="AQ122" i="45"/>
  <c r="AQ159" i="45" l="1"/>
  <c r="AQ150" i="45"/>
  <c r="AU122" i="45"/>
  <c r="BG122" i="45" l="1"/>
  <c r="AU159" i="45"/>
  <c r="AU150" i="45"/>
  <c r="BG159" i="45" l="1"/>
  <c r="BG150" i="45"/>
  <c r="Z108" i="9"/>
  <c r="Z107" i="9"/>
  <c r="Z64" i="9" l="1"/>
  <c r="S16" i="52" l="1"/>
  <c r="T16" i="52"/>
  <c r="T9" i="52"/>
  <c r="S9" i="52"/>
  <c r="V104" i="50"/>
  <c r="V105" i="50" s="1"/>
  <c r="W102" i="50"/>
  <c r="S17" i="52" l="1"/>
  <c r="T17" i="52"/>
  <c r="W101" i="50"/>
  <c r="Y31" i="15" l="1"/>
  <c r="E82" i="8"/>
  <c r="H51" i="59" s="1"/>
  <c r="Q81" i="8"/>
  <c r="F15" i="35" l="1"/>
  <c r="F11" i="35"/>
  <c r="F10" i="6" s="1"/>
  <c r="Z56" i="6"/>
  <c r="J56" i="6"/>
  <c r="J55" i="6"/>
  <c r="F54" i="6"/>
  <c r="N53" i="6"/>
  <c r="N52" i="6"/>
  <c r="F51" i="6"/>
  <c r="N50" i="6"/>
  <c r="N49" i="6"/>
  <c r="F48" i="6"/>
  <c r="N47" i="6"/>
  <c r="N46" i="6"/>
  <c r="F45" i="6"/>
  <c r="N44" i="6"/>
  <c r="N43" i="6"/>
  <c r="J51" i="6" l="1"/>
  <c r="J45" i="6"/>
  <c r="J54" i="6"/>
  <c r="E34" i="39"/>
  <c r="J48" i="6"/>
  <c r="F57" i="6"/>
  <c r="R53" i="6"/>
  <c r="V53" i="6" s="1"/>
  <c r="AB53" i="6"/>
  <c r="AF53" i="6" s="1"/>
  <c r="AJ53" i="6" s="1"/>
  <c r="AP53" i="6" s="1"/>
  <c r="AT53" i="6" s="1"/>
  <c r="Z55" i="6"/>
  <c r="Z57" i="6" s="1"/>
  <c r="R43" i="6"/>
  <c r="V43" i="6" s="1"/>
  <c r="AB43" i="6"/>
  <c r="AF43" i="6" s="1"/>
  <c r="AJ43" i="6" s="1"/>
  <c r="N48" i="6"/>
  <c r="R44" i="6"/>
  <c r="V44" i="6" s="1"/>
  <c r="AB44" i="6"/>
  <c r="AF44" i="6" s="1"/>
  <c r="R50" i="6"/>
  <c r="V50" i="6" s="1"/>
  <c r="AB50" i="6"/>
  <c r="AF50" i="6" s="1"/>
  <c r="AJ50" i="6" s="1"/>
  <c r="AP50" i="6" s="1"/>
  <c r="R46" i="6"/>
  <c r="V46" i="6" s="1"/>
  <c r="AB46" i="6"/>
  <c r="AF46" i="6" s="1"/>
  <c r="R52" i="6"/>
  <c r="V52" i="6" s="1"/>
  <c r="AB52" i="6"/>
  <c r="AF52" i="6" s="1"/>
  <c r="R47" i="6"/>
  <c r="V47" i="6" s="1"/>
  <c r="AB47" i="6"/>
  <c r="AF47" i="6" s="1"/>
  <c r="AJ47" i="6" s="1"/>
  <c r="AP47" i="6" s="1"/>
  <c r="AT47" i="6" s="1"/>
  <c r="R49" i="6"/>
  <c r="V49" i="6" s="1"/>
  <c r="AB49" i="6"/>
  <c r="AF49" i="6" s="1"/>
  <c r="N45" i="6"/>
  <c r="N54" i="6"/>
  <c r="N55" i="6"/>
  <c r="N56" i="6"/>
  <c r="R56" i="6" s="1"/>
  <c r="V56" i="6" s="1"/>
  <c r="N51" i="6"/>
  <c r="J57" i="6" l="1"/>
  <c r="V54" i="6"/>
  <c r="AX53" i="6"/>
  <c r="V48" i="6"/>
  <c r="V51" i="6"/>
  <c r="AX47" i="6"/>
  <c r="V45" i="6"/>
  <c r="T80" i="83"/>
  <c r="T98" i="50"/>
  <c r="T96" i="50" s="1"/>
  <c r="N57" i="6"/>
  <c r="R54" i="6"/>
  <c r="AJ46" i="6"/>
  <c r="AF48" i="6"/>
  <c r="AF45" i="6"/>
  <c r="AJ44" i="6"/>
  <c r="AP44" i="6" s="1"/>
  <c r="AT44" i="6" s="1"/>
  <c r="AX44" i="6" s="1"/>
  <c r="AP43" i="6"/>
  <c r="AF51" i="6"/>
  <c r="AJ49" i="6"/>
  <c r="AJ52" i="6"/>
  <c r="AF54" i="6"/>
  <c r="AT50" i="6"/>
  <c r="M34" i="39"/>
  <c r="R45" i="6"/>
  <c r="R48" i="6"/>
  <c r="AB54" i="6"/>
  <c r="R55" i="6"/>
  <c r="AB55" i="6"/>
  <c r="AF55" i="6" s="1"/>
  <c r="R51" i="6"/>
  <c r="AB51" i="6"/>
  <c r="AB56" i="6"/>
  <c r="AF56" i="6" s="1"/>
  <c r="AJ56" i="6" s="1"/>
  <c r="AP56" i="6" s="1"/>
  <c r="AT56" i="6" s="1"/>
  <c r="I34" i="39"/>
  <c r="AB48" i="6"/>
  <c r="AB45" i="6"/>
  <c r="D13" i="8"/>
  <c r="BF47" i="6" l="1"/>
  <c r="BF53" i="6"/>
  <c r="AX56" i="6"/>
  <c r="AX50" i="6"/>
  <c r="R57" i="6"/>
  <c r="V55" i="6"/>
  <c r="V57" i="6" s="1"/>
  <c r="BF44" i="6"/>
  <c r="Q34" i="39"/>
  <c r="AJ55" i="6"/>
  <c r="AF57" i="6"/>
  <c r="AJ51" i="6"/>
  <c r="AP49" i="6"/>
  <c r="AJ45" i="6"/>
  <c r="AJ54" i="6"/>
  <c r="AP52" i="6"/>
  <c r="AT43" i="6"/>
  <c r="AX43" i="6" s="1"/>
  <c r="AP45" i="6"/>
  <c r="AJ48" i="6"/>
  <c r="AP46" i="6"/>
  <c r="AB57" i="6"/>
  <c r="AX45" i="6" l="1"/>
  <c r="BF50" i="6"/>
  <c r="BF56" i="6"/>
  <c r="U34" i="39"/>
  <c r="AT45" i="6"/>
  <c r="AT49" i="6"/>
  <c r="AX49" i="6" s="1"/>
  <c r="AP51" i="6"/>
  <c r="AP55" i="6"/>
  <c r="AJ57" i="6"/>
  <c r="AT46" i="6"/>
  <c r="AX46" i="6" s="1"/>
  <c r="AP48" i="6"/>
  <c r="AT52" i="6"/>
  <c r="AX52" i="6" s="1"/>
  <c r="AP54" i="6"/>
  <c r="AX51" i="6" l="1"/>
  <c r="AX54" i="6"/>
  <c r="AX48" i="6"/>
  <c r="AA34" i="39"/>
  <c r="AT48" i="6"/>
  <c r="AT54" i="6"/>
  <c r="AT51" i="6"/>
  <c r="BF43" i="6"/>
  <c r="AT55" i="6"/>
  <c r="AX55" i="6" s="1"/>
  <c r="AP57" i="6"/>
  <c r="I14" i="7"/>
  <c r="BF45" i="6" l="1"/>
  <c r="AX57" i="6"/>
  <c r="AE34" i="39"/>
  <c r="BF46" i="6"/>
  <c r="BF49" i="6"/>
  <c r="BF52" i="6"/>
  <c r="AT57" i="6"/>
  <c r="BF54" i="6" l="1"/>
  <c r="BF48" i="6"/>
  <c r="BF51" i="6"/>
  <c r="AI34" i="39"/>
  <c r="BF55" i="6"/>
  <c r="S36" i="83"/>
  <c r="W36" i="83" s="1"/>
  <c r="AG36" i="83"/>
  <c r="AK36" i="83" s="1"/>
  <c r="AA40" i="83"/>
  <c r="AA41" i="83"/>
  <c r="AA42" i="83"/>
  <c r="AA43" i="83"/>
  <c r="AA44" i="83"/>
  <c r="AA39" i="83"/>
  <c r="M14" i="7"/>
  <c r="N152" i="9"/>
  <c r="R152" i="9" s="1"/>
  <c r="V152" i="9" s="1"/>
  <c r="N153" i="9"/>
  <c r="R153" i="9" s="1"/>
  <c r="V153" i="9" s="1"/>
  <c r="N151" i="9"/>
  <c r="R151" i="9" s="1"/>
  <c r="V151" i="9" s="1"/>
  <c r="N143" i="9"/>
  <c r="R143" i="9" s="1"/>
  <c r="V143" i="9" s="1"/>
  <c r="N144" i="9"/>
  <c r="R144" i="9" s="1"/>
  <c r="V144" i="9" s="1"/>
  <c r="N145" i="9"/>
  <c r="R145" i="9" s="1"/>
  <c r="V145" i="9" s="1"/>
  <c r="N146" i="9"/>
  <c r="R146" i="9" s="1"/>
  <c r="V146" i="9" s="1"/>
  <c r="N142" i="9"/>
  <c r="R142" i="9" s="1"/>
  <c r="V142" i="9" s="1"/>
  <c r="BF57" i="6" l="1"/>
  <c r="AO34" i="39"/>
  <c r="AQ36" i="83"/>
  <c r="AU36" i="83" s="1"/>
  <c r="V147" i="9"/>
  <c r="Q14" i="7"/>
  <c r="U14" i="7" s="1"/>
  <c r="AA14" i="7"/>
  <c r="AE14" i="7" s="1"/>
  <c r="AA45" i="83"/>
  <c r="AA46" i="83"/>
  <c r="AA51" i="83" s="1"/>
  <c r="R14" i="7"/>
  <c r="N147" i="9"/>
  <c r="R147" i="9"/>
  <c r="V14" i="7" l="1"/>
  <c r="AI14" i="7"/>
  <c r="AO14" i="7" s="1"/>
  <c r="AS14" i="7" s="1"/>
  <c r="AW14" i="7" s="1"/>
  <c r="AS34" i="39"/>
  <c r="AY36" i="83"/>
  <c r="BG36" i="83" s="1"/>
  <c r="R104" i="50"/>
  <c r="R105" i="50" s="1"/>
  <c r="P104" i="50"/>
  <c r="P105" i="50" s="1"/>
  <c r="N104" i="50"/>
  <c r="N105" i="50" s="1"/>
  <c r="L104" i="50"/>
  <c r="L105" i="50" s="1"/>
  <c r="J104" i="50"/>
  <c r="J105" i="50" s="1"/>
  <c r="AW34" i="39" l="1"/>
  <c r="BF141" i="10"/>
  <c r="BE14" i="7" l="1"/>
  <c r="BE34" i="39"/>
  <c r="Z159" i="10"/>
  <c r="Z158" i="10"/>
  <c r="Z210" i="10" s="1"/>
  <c r="Q117" i="50"/>
  <c r="Q108" i="50"/>
  <c r="AA38" i="83"/>
  <c r="AA77" i="83"/>
  <c r="X52" i="26"/>
  <c r="X50" i="26"/>
  <c r="Z200" i="10" l="1"/>
  <c r="Z203" i="10"/>
  <c r="AA108" i="50"/>
  <c r="AA117" i="50"/>
  <c r="Q109" i="50"/>
  <c r="Q111" i="50" l="1"/>
  <c r="AA109" i="50"/>
  <c r="AA110" i="50" s="1"/>
  <c r="Q110" i="50"/>
  <c r="Z162" i="10"/>
  <c r="Z163" i="10" s="1"/>
  <c r="AA111" i="50" l="1"/>
  <c r="AA118" i="50" s="1"/>
  <c r="Q118" i="50"/>
  <c r="Q40" i="50"/>
  <c r="Q41" i="50"/>
  <c r="Q42" i="50"/>
  <c r="Q43" i="50"/>
  <c r="Q44" i="50"/>
  <c r="Q45" i="50"/>
  <c r="Q39" i="50"/>
  <c r="AA43" i="50" l="1"/>
  <c r="AA42" i="50"/>
  <c r="AA45" i="50"/>
  <c r="AA41" i="50"/>
  <c r="AA44" i="50"/>
  <c r="AA40" i="50"/>
  <c r="Q46" i="50"/>
  <c r="AA39" i="50"/>
  <c r="Y30" i="15"/>
  <c r="Y25" i="15"/>
  <c r="Y24" i="15"/>
  <c r="Y23" i="15"/>
  <c r="Y22" i="15"/>
  <c r="Y21" i="15"/>
  <c r="Y15" i="15"/>
  <c r="Y10" i="15"/>
  <c r="AA46" i="50" l="1"/>
  <c r="AA95" i="50" s="1"/>
  <c r="Q95" i="50"/>
  <c r="Q121" i="50"/>
  <c r="Y29" i="15"/>
  <c r="Q125" i="50"/>
  <c r="X12" i="15"/>
  <c r="Q126" i="50" l="1"/>
  <c r="AA125" i="50"/>
  <c r="Q122" i="50"/>
  <c r="AA121" i="50"/>
  <c r="Y32" i="15"/>
  <c r="G42" i="50"/>
  <c r="O42" i="50" l="1"/>
  <c r="AC46" i="38"/>
  <c r="AC45" i="38"/>
  <c r="AC44" i="38"/>
  <c r="AC43" i="38"/>
  <c r="AC38" i="38"/>
  <c r="AC37" i="38"/>
  <c r="AC36" i="38"/>
  <c r="AC35" i="38"/>
  <c r="AC32" i="38"/>
  <c r="AC31" i="38"/>
  <c r="AC30" i="38"/>
  <c r="AC29" i="38"/>
  <c r="AC28" i="38"/>
  <c r="AC27" i="38"/>
  <c r="AC26" i="38"/>
  <c r="AC25" i="38"/>
  <c r="AC24" i="38"/>
  <c r="AC23" i="38"/>
  <c r="AC22" i="38"/>
  <c r="AC21" i="38"/>
  <c r="AC20" i="38"/>
  <c r="AC19" i="38"/>
  <c r="AC14" i="38"/>
  <c r="AC13" i="38"/>
  <c r="AC10" i="38"/>
  <c r="AC9" i="38"/>
  <c r="AC8" i="38"/>
  <c r="AC7" i="38"/>
  <c r="AB76" i="59" l="1"/>
  <c r="S42" i="50"/>
  <c r="W42" i="50" s="1"/>
  <c r="AC42" i="50"/>
  <c r="AG42" i="50" s="1"/>
  <c r="AK42" i="50" s="1"/>
  <c r="AQ42" i="50" s="1"/>
  <c r="AU42" i="50" s="1"/>
  <c r="AY42" i="50" s="1"/>
  <c r="BG42" i="50" s="1"/>
  <c r="AC40" i="38"/>
  <c r="AC41" i="38"/>
  <c r="AC6" i="38"/>
  <c r="AC34" i="38"/>
  <c r="AC18" i="38"/>
  <c r="AC12" i="38"/>
  <c r="Z66" i="11"/>
  <c r="AC39" i="38" l="1"/>
  <c r="AC42" i="38"/>
  <c r="Z73" i="11"/>
  <c r="Y66" i="11"/>
  <c r="AC17" i="38"/>
  <c r="AC15" i="38"/>
  <c r="AC16" i="38" l="1"/>
  <c r="AC48" i="38" s="1"/>
  <c r="Z165" i="10"/>
  <c r="Z172" i="10" l="1"/>
  <c r="Z173" i="10" s="1"/>
  <c r="Q135" i="50"/>
  <c r="Q52" i="8"/>
  <c r="T41" i="59" s="1"/>
  <c r="Q102" i="50" l="1"/>
  <c r="D85" i="8" l="1"/>
  <c r="Q73" i="8" l="1"/>
  <c r="R93" i="8"/>
  <c r="Z37" i="8" l="1"/>
  <c r="Z135" i="6" l="1"/>
  <c r="Y135" i="6"/>
  <c r="Z127" i="6"/>
  <c r="Z126" i="6"/>
  <c r="Z125" i="6"/>
  <c r="Y460" i="28" l="1"/>
  <c r="AA460" i="28" s="1"/>
  <c r="BE460" i="28" s="1"/>
  <c r="Y325" i="28"/>
  <c r="Y284" i="28"/>
  <c r="Y68" i="28"/>
  <c r="Y67" i="28"/>
  <c r="Y65" i="28"/>
  <c r="Y56" i="73"/>
  <c r="Y35" i="73"/>
  <c r="Y30" i="73"/>
  <c r="Y113" i="73" l="1"/>
  <c r="Y12" i="15" l="1"/>
  <c r="Y13" i="15"/>
  <c r="Y15" i="28"/>
  <c r="Y23" i="28"/>
  <c r="Y29" i="28" l="1"/>
  <c r="X16" i="15"/>
  <c r="X15" i="15"/>
  <c r="Y13" i="28"/>
  <c r="Y326" i="28"/>
  <c r="Y21" i="28"/>
  <c r="Y76" i="28" l="1"/>
  <c r="Y327" i="28"/>
  <c r="Y75" i="28"/>
  <c r="Y74" i="28"/>
  <c r="Y89" i="28" l="1"/>
  <c r="Y9" i="6"/>
  <c r="Y445" i="28"/>
  <c r="Y260" i="28"/>
  <c r="Y81" i="28"/>
  <c r="Y31" i="28"/>
  <c r="P98" i="50"/>
  <c r="P96" i="50" s="1"/>
  <c r="S53" i="83"/>
  <c r="S55" i="83"/>
  <c r="S56" i="83"/>
  <c r="S57" i="83"/>
  <c r="S61" i="83"/>
  <c r="S62" i="83"/>
  <c r="S65" i="83"/>
  <c r="Y85" i="28" l="1"/>
  <c r="S67" i="83"/>
  <c r="W67" i="83" s="1"/>
  <c r="AG67" i="83"/>
  <c r="AK67" i="83" s="1"/>
  <c r="AQ67" i="83" s="1"/>
  <c r="AU67" i="83" s="1"/>
  <c r="AY67" i="83" s="1"/>
  <c r="BG67" i="83" s="1"/>
  <c r="S66" i="83"/>
  <c r="W66" i="83" s="1"/>
  <c r="AG66" i="83"/>
  <c r="AK66" i="83" s="1"/>
  <c r="AQ66" i="83" s="1"/>
  <c r="AU66" i="83" s="1"/>
  <c r="AY66" i="83" s="1"/>
  <c r="BG66" i="83" s="1"/>
  <c r="W57" i="83"/>
  <c r="AG57" i="83"/>
  <c r="AK57" i="83" s="1"/>
  <c r="AQ57" i="83" s="1"/>
  <c r="AU57" i="83" s="1"/>
  <c r="AY57" i="83" s="1"/>
  <c r="BG57" i="83" s="1"/>
  <c r="W53" i="83"/>
  <c r="AG53" i="83"/>
  <c r="AK53" i="83" s="1"/>
  <c r="AQ53" i="83" s="1"/>
  <c r="AU53" i="83" s="1"/>
  <c r="AY53" i="83" s="1"/>
  <c r="BG53" i="83" s="1"/>
  <c r="W65" i="83"/>
  <c r="AG65" i="83"/>
  <c r="AK65" i="83" s="1"/>
  <c r="AQ65" i="83" s="1"/>
  <c r="AU65" i="83" s="1"/>
  <c r="AY65" i="83" s="1"/>
  <c r="BG65" i="83" s="1"/>
  <c r="W56" i="83"/>
  <c r="AG56" i="83"/>
  <c r="AK56" i="83" s="1"/>
  <c r="AQ56" i="83" s="1"/>
  <c r="AU56" i="83" s="1"/>
  <c r="AY56" i="83" s="1"/>
  <c r="BG56" i="83" s="1"/>
  <c r="W61" i="83"/>
  <c r="AG61" i="83"/>
  <c r="AK61" i="83" s="1"/>
  <c r="AQ61" i="83" s="1"/>
  <c r="AU61" i="83" s="1"/>
  <c r="AY61" i="83" s="1"/>
  <c r="BG61" i="83" s="1"/>
  <c r="W62" i="83"/>
  <c r="AG62" i="83"/>
  <c r="AK62" i="83" s="1"/>
  <c r="AQ62" i="83" s="1"/>
  <c r="AU62" i="83" s="1"/>
  <c r="AY62" i="83" s="1"/>
  <c r="BG62" i="83" s="1"/>
  <c r="W55" i="83"/>
  <c r="AG55" i="83"/>
  <c r="P80" i="83"/>
  <c r="Y37" i="28"/>
  <c r="G145" i="50"/>
  <c r="K145" i="50" l="1"/>
  <c r="O145" i="50"/>
  <c r="AK55" i="83"/>
  <c r="AQ55" i="83" s="1"/>
  <c r="AU55" i="83" s="1"/>
  <c r="AY55" i="83" s="1"/>
  <c r="BG55" i="83" s="1"/>
  <c r="Y63" i="28"/>
  <c r="Y77" i="28"/>
  <c r="G146" i="50"/>
  <c r="AC145" i="50" l="1"/>
  <c r="AG145" i="50" s="1"/>
  <c r="AK145" i="50" s="1"/>
  <c r="AQ145" i="50" s="1"/>
  <c r="AU145" i="50" s="1"/>
  <c r="AY145" i="50" s="1"/>
  <c r="BG145" i="50" s="1"/>
  <c r="S145" i="50"/>
  <c r="W145" i="50" s="1"/>
  <c r="O146" i="50"/>
  <c r="K146" i="50"/>
  <c r="Y69" i="28"/>
  <c r="Y93" i="28"/>
  <c r="Y78" i="28"/>
  <c r="S146" i="50" l="1"/>
  <c r="W146" i="50" s="1"/>
  <c r="AC146" i="50"/>
  <c r="AG146" i="50" s="1"/>
  <c r="AK146" i="50" s="1"/>
  <c r="AQ146" i="50" s="1"/>
  <c r="AU146" i="50" s="1"/>
  <c r="AY146" i="50" s="1"/>
  <c r="BG146" i="50" s="1"/>
  <c r="Y97" i="28"/>
  <c r="G128" i="50" l="1"/>
  <c r="K128" i="50" l="1"/>
  <c r="O128" i="50"/>
  <c r="G76" i="83"/>
  <c r="O75" i="83"/>
  <c r="S75" i="83"/>
  <c r="O74" i="83"/>
  <c r="O73" i="83"/>
  <c r="O72" i="83"/>
  <c r="K67" i="83"/>
  <c r="O52" i="83"/>
  <c r="AC52" i="83" s="1"/>
  <c r="AG52" i="83" s="1"/>
  <c r="K52" i="83"/>
  <c r="G46" i="83"/>
  <c r="G51" i="83" s="1"/>
  <c r="G44" i="83"/>
  <c r="K44" i="83" s="1"/>
  <c r="G43" i="83"/>
  <c r="K43" i="83" s="1"/>
  <c r="G42" i="83"/>
  <c r="K42" i="83" s="1"/>
  <c r="G41" i="83"/>
  <c r="K41" i="83" s="1"/>
  <c r="G40" i="83"/>
  <c r="K40" i="83" s="1"/>
  <c r="G39" i="83"/>
  <c r="AK52" i="83" l="1"/>
  <c r="S73" i="83"/>
  <c r="W73" i="83" s="1"/>
  <c r="AC73" i="83"/>
  <c r="AK73" i="83" s="1"/>
  <c r="W75" i="83"/>
  <c r="AC75" i="83"/>
  <c r="AK75" i="83" s="1"/>
  <c r="S72" i="83"/>
  <c r="W72" i="83" s="1"/>
  <c r="AC72" i="83"/>
  <c r="AK72" i="83" s="1"/>
  <c r="S74" i="83"/>
  <c r="W74" i="83" s="1"/>
  <c r="AC74" i="83"/>
  <c r="AK74" i="83" s="1"/>
  <c r="S52" i="83"/>
  <c r="K46" i="83"/>
  <c r="K51" i="83" s="1"/>
  <c r="S5" i="83"/>
  <c r="S17" i="83"/>
  <c r="S7" i="83"/>
  <c r="O42" i="83"/>
  <c r="S18" i="83"/>
  <c r="O39" i="83"/>
  <c r="O43" i="83"/>
  <c r="S10" i="83"/>
  <c r="S12" i="83"/>
  <c r="S6" i="83"/>
  <c r="S15" i="83"/>
  <c r="K39" i="83"/>
  <c r="K76" i="83"/>
  <c r="O40" i="83"/>
  <c r="O44" i="83"/>
  <c r="O76" i="83"/>
  <c r="AC76" i="83" s="1"/>
  <c r="S8" i="83"/>
  <c r="S11" i="83"/>
  <c r="S16" i="83"/>
  <c r="O46" i="83"/>
  <c r="O51" i="83" s="1"/>
  <c r="O41" i="83"/>
  <c r="G45" i="83"/>
  <c r="AQ52" i="83" l="1"/>
  <c r="AK76" i="83"/>
  <c r="AG76" i="83"/>
  <c r="W76" i="83"/>
  <c r="AC46" i="83"/>
  <c r="S76" i="83"/>
  <c r="W12" i="83"/>
  <c r="AG12" i="83"/>
  <c r="AK12" i="83" s="1"/>
  <c r="S39" i="83"/>
  <c r="W39" i="83" s="1"/>
  <c r="AC39" i="83"/>
  <c r="AG39" i="83" s="1"/>
  <c r="AK39" i="83" s="1"/>
  <c r="AQ39" i="83" s="1"/>
  <c r="S35" i="83"/>
  <c r="W35" i="83" s="1"/>
  <c r="AG35" i="83"/>
  <c r="AK35" i="83" s="1"/>
  <c r="W11" i="83"/>
  <c r="AG11" i="83"/>
  <c r="AK11" i="83" s="1"/>
  <c r="AQ11" i="83" s="1"/>
  <c r="W8" i="83"/>
  <c r="AG8" i="83"/>
  <c r="AK8" i="83" s="1"/>
  <c r="AQ8" i="83" s="1"/>
  <c r="S32" i="83"/>
  <c r="W32" i="83" s="1"/>
  <c r="AG32" i="83"/>
  <c r="AK32" i="83" s="1"/>
  <c r="W18" i="83"/>
  <c r="AG18" i="83"/>
  <c r="AK18" i="83" s="1"/>
  <c r="W17" i="83"/>
  <c r="AG17" i="83"/>
  <c r="AK17" i="83" s="1"/>
  <c r="W5" i="83"/>
  <c r="AG5" i="83"/>
  <c r="AK5" i="83" s="1"/>
  <c r="AQ5" i="83" s="1"/>
  <c r="S41" i="83"/>
  <c r="W41" i="83" s="1"/>
  <c r="AC41" i="83"/>
  <c r="AG41" i="83" s="1"/>
  <c r="AK41" i="83" s="1"/>
  <c r="AQ41" i="83" s="1"/>
  <c r="AU41" i="83" s="1"/>
  <c r="AY41" i="83" s="1"/>
  <c r="BG41" i="83" s="1"/>
  <c r="S40" i="83"/>
  <c r="W40" i="83" s="1"/>
  <c r="AC40" i="83"/>
  <c r="AG40" i="83" s="1"/>
  <c r="AK40" i="83" s="1"/>
  <c r="AQ40" i="83" s="1"/>
  <c r="AU40" i="83" s="1"/>
  <c r="AY40" i="83" s="1"/>
  <c r="BG40" i="83" s="1"/>
  <c r="W15" i="83"/>
  <c r="AG15" i="83"/>
  <c r="AK15" i="83" s="1"/>
  <c r="W10" i="83"/>
  <c r="AG10" i="83"/>
  <c r="AK10" i="83" s="1"/>
  <c r="AQ10" i="83" s="1"/>
  <c r="S37" i="83"/>
  <c r="W37" i="83" s="1"/>
  <c r="AG37" i="83"/>
  <c r="W7" i="83"/>
  <c r="AG7" i="83"/>
  <c r="AK7" i="83" s="1"/>
  <c r="AQ7" i="83" s="1"/>
  <c r="W16" i="83"/>
  <c r="AG16" i="83"/>
  <c r="AK16" i="83" s="1"/>
  <c r="S44" i="83"/>
  <c r="W44" i="83" s="1"/>
  <c r="AC44" i="83"/>
  <c r="AG44" i="83" s="1"/>
  <c r="AK44" i="83" s="1"/>
  <c r="AQ44" i="83" s="1"/>
  <c r="AU44" i="83" s="1"/>
  <c r="AY44" i="83" s="1"/>
  <c r="BG44" i="83" s="1"/>
  <c r="S34" i="83"/>
  <c r="W34" i="83" s="1"/>
  <c r="AG34" i="83"/>
  <c r="AK34" i="83" s="1"/>
  <c r="W6" i="83"/>
  <c r="AG6" i="83"/>
  <c r="AK6" i="83" s="1"/>
  <c r="AQ6" i="83" s="1"/>
  <c r="S43" i="83"/>
  <c r="W43" i="83" s="1"/>
  <c r="AC43" i="83"/>
  <c r="AG43" i="83" s="1"/>
  <c r="AK43" i="83" s="1"/>
  <c r="AQ43" i="83" s="1"/>
  <c r="AU43" i="83" s="1"/>
  <c r="AY43" i="83" s="1"/>
  <c r="BG43" i="83" s="1"/>
  <c r="S42" i="83"/>
  <c r="W42" i="83" s="1"/>
  <c r="AC42" i="83"/>
  <c r="AG42" i="83" s="1"/>
  <c r="AK42" i="83" s="1"/>
  <c r="AQ42" i="83" s="1"/>
  <c r="AU42" i="83" s="1"/>
  <c r="AY42" i="83" s="1"/>
  <c r="BG42" i="83" s="1"/>
  <c r="S33" i="83"/>
  <c r="W33" i="83" s="1"/>
  <c r="AG33" i="83"/>
  <c r="AK33" i="83" s="1"/>
  <c r="W52" i="83"/>
  <c r="S46" i="83"/>
  <c r="K45" i="83"/>
  <c r="O45" i="83"/>
  <c r="AC45" i="83" s="1"/>
  <c r="N18" i="8"/>
  <c r="AK37" i="83" l="1"/>
  <c r="AQ37" i="83" s="1"/>
  <c r="AU37" i="83" s="1"/>
  <c r="AU6" i="83"/>
  <c r="AY6" i="83" s="1"/>
  <c r="BG6" i="83" s="1"/>
  <c r="AU11" i="83"/>
  <c r="AY11" i="83" s="1"/>
  <c r="BG11" i="83" s="1"/>
  <c r="AU10" i="83"/>
  <c r="AY10" i="83" s="1"/>
  <c r="BG10" i="83" s="1"/>
  <c r="AU8" i="83"/>
  <c r="AY8" i="83" s="1"/>
  <c r="BG8" i="83" s="1"/>
  <c r="AU7" i="83"/>
  <c r="AY7" i="83" s="1"/>
  <c r="BG7" i="83" s="1"/>
  <c r="AU5" i="83"/>
  <c r="AY5" i="83" s="1"/>
  <c r="BG5" i="83" s="1"/>
  <c r="AU39" i="83"/>
  <c r="AY39" i="83" s="1"/>
  <c r="AU52" i="83"/>
  <c r="AY52" i="83" s="1"/>
  <c r="BG52" i="83" s="1"/>
  <c r="AQ45" i="83"/>
  <c r="AK45" i="83"/>
  <c r="AG45" i="83"/>
  <c r="AC51" i="83"/>
  <c r="AG46" i="83"/>
  <c r="W45" i="83"/>
  <c r="S45" i="83"/>
  <c r="S51" i="83"/>
  <c r="W46" i="83"/>
  <c r="W51" i="83" s="1"/>
  <c r="N107" i="9"/>
  <c r="AB107" i="9" s="1"/>
  <c r="AF107" i="9" s="1"/>
  <c r="N108" i="9"/>
  <c r="AB108" i="9" s="1"/>
  <c r="AF108" i="9" s="1"/>
  <c r="M136" i="73"/>
  <c r="Q136" i="73" s="1"/>
  <c r="U136" i="73" s="1"/>
  <c r="M135" i="73"/>
  <c r="Q135" i="73" s="1"/>
  <c r="U135" i="73" s="1"/>
  <c r="M131" i="73"/>
  <c r="Q131" i="73" s="1"/>
  <c r="U131" i="73" s="1"/>
  <c r="M128" i="73"/>
  <c r="Q128" i="73" s="1"/>
  <c r="M127" i="73"/>
  <c r="Q127" i="73" s="1"/>
  <c r="M125" i="73"/>
  <c r="Q125" i="73" s="1"/>
  <c r="M124" i="73"/>
  <c r="Q124" i="73" s="1"/>
  <c r="M123" i="73"/>
  <c r="Q123" i="73" s="1"/>
  <c r="M115" i="73"/>
  <c r="M114" i="73"/>
  <c r="M111" i="73"/>
  <c r="M109" i="73"/>
  <c r="Q109" i="73" s="1"/>
  <c r="U109" i="73" s="1"/>
  <c r="M108" i="73"/>
  <c r="M107" i="73"/>
  <c r="M105" i="73"/>
  <c r="M117" i="73"/>
  <c r="M104" i="73"/>
  <c r="M103" i="73"/>
  <c r="M63" i="73"/>
  <c r="M59" i="73"/>
  <c r="M57" i="73"/>
  <c r="Q57" i="73" s="1"/>
  <c r="U57" i="73" s="1"/>
  <c r="M55" i="73"/>
  <c r="Q55" i="73" s="1"/>
  <c r="U55" i="73" s="1"/>
  <c r="M53" i="73"/>
  <c r="Q53" i="73" s="1"/>
  <c r="U53" i="73" s="1"/>
  <c r="M52" i="73"/>
  <c r="M50" i="73"/>
  <c r="Q50" i="73" s="1"/>
  <c r="U50" i="73" s="1"/>
  <c r="M49" i="73"/>
  <c r="Q49" i="73" s="1"/>
  <c r="U49" i="73" s="1"/>
  <c r="M48" i="73"/>
  <c r="Q48" i="73" s="1"/>
  <c r="U48" i="73" s="1"/>
  <c r="M47" i="73"/>
  <c r="M36" i="73"/>
  <c r="M34" i="73"/>
  <c r="Q34" i="73" s="1"/>
  <c r="U34" i="73" s="1"/>
  <c r="M31" i="73"/>
  <c r="Q114" i="73" l="1"/>
  <c r="U114" i="73" s="1"/>
  <c r="Q108" i="73"/>
  <c r="U108" i="73" s="1"/>
  <c r="Q105" i="73"/>
  <c r="U105" i="73" s="1"/>
  <c r="Q115" i="73"/>
  <c r="U115" i="73" s="1"/>
  <c r="Q59" i="73"/>
  <c r="U59" i="73" s="1"/>
  <c r="Q103" i="73"/>
  <c r="U103" i="73" s="1"/>
  <c r="Q104" i="73"/>
  <c r="U104" i="73" s="1"/>
  <c r="Q31" i="73"/>
  <c r="U31" i="73" s="1"/>
  <c r="Q107" i="73"/>
  <c r="U107" i="73" s="1"/>
  <c r="Q52" i="73"/>
  <c r="U52" i="73" s="1"/>
  <c r="Q63" i="73"/>
  <c r="U63" i="73" s="1"/>
  <c r="Q47" i="73"/>
  <c r="U47" i="73" s="1"/>
  <c r="Q117" i="73"/>
  <c r="U117" i="73" s="1"/>
  <c r="Q111" i="73"/>
  <c r="U111" i="73" s="1"/>
  <c r="Q36" i="73"/>
  <c r="U36" i="73" s="1"/>
  <c r="AY45" i="83"/>
  <c r="BG39" i="83"/>
  <c r="AY37" i="83"/>
  <c r="BG37" i="83" s="1"/>
  <c r="AQ15" i="83"/>
  <c r="AU15" i="83" s="1"/>
  <c r="AQ33" i="83"/>
  <c r="AU33" i="83" s="1"/>
  <c r="AQ17" i="83"/>
  <c r="AU17" i="83" s="1"/>
  <c r="AQ35" i="83"/>
  <c r="AU35" i="83" s="1"/>
  <c r="AQ18" i="83"/>
  <c r="AU18" i="83" s="1"/>
  <c r="AQ16" i="83"/>
  <c r="AQ34" i="83"/>
  <c r="AU34" i="83" s="1"/>
  <c r="AQ32" i="83"/>
  <c r="AQ12" i="83"/>
  <c r="AJ108" i="9"/>
  <c r="AP108" i="9" s="1"/>
  <c r="AT108" i="9" s="1"/>
  <c r="AJ107" i="9"/>
  <c r="AP107" i="9" s="1"/>
  <c r="AT107" i="9" s="1"/>
  <c r="AA34" i="73"/>
  <c r="AE34" i="73" s="1"/>
  <c r="AA49" i="73"/>
  <c r="AE49" i="73" s="1"/>
  <c r="AA50" i="73"/>
  <c r="AE50" i="73" s="1"/>
  <c r="AA57" i="73"/>
  <c r="AE57" i="73" s="1"/>
  <c r="AA48" i="73"/>
  <c r="AE48" i="73" s="1"/>
  <c r="AA125" i="73"/>
  <c r="U125" i="73"/>
  <c r="AA123" i="73"/>
  <c r="U123" i="73"/>
  <c r="AA124" i="73"/>
  <c r="U124" i="73"/>
  <c r="AA127" i="73"/>
  <c r="U127" i="73"/>
  <c r="AA136" i="73"/>
  <c r="AA128" i="73"/>
  <c r="U128" i="73"/>
  <c r="AA53" i="73"/>
  <c r="AE53" i="73" s="1"/>
  <c r="AA55" i="73"/>
  <c r="AE55" i="73" s="1"/>
  <c r="AA109" i="73"/>
  <c r="AE109" i="73" s="1"/>
  <c r="AU45" i="83"/>
  <c r="BG14" i="61"/>
  <c r="BG13" i="61"/>
  <c r="M130" i="73"/>
  <c r="AA131" i="73"/>
  <c r="AA105" i="73"/>
  <c r="AA111" i="73"/>
  <c r="AA114" i="73"/>
  <c r="AA47" i="73"/>
  <c r="AA107" i="73"/>
  <c r="AA52" i="73"/>
  <c r="AA115" i="73"/>
  <c r="AA117" i="73"/>
  <c r="AA59" i="73"/>
  <c r="AE59" i="73" s="1"/>
  <c r="AA63" i="73"/>
  <c r="AA104" i="73"/>
  <c r="AA108" i="73"/>
  <c r="M134" i="73"/>
  <c r="AA135" i="73"/>
  <c r="AA31" i="73"/>
  <c r="AE31" i="73" s="1"/>
  <c r="AI31" i="73" s="1"/>
  <c r="AA36" i="73"/>
  <c r="AE36" i="73" s="1"/>
  <c r="AI36" i="73" s="1"/>
  <c r="AA103" i="73"/>
  <c r="M126" i="73"/>
  <c r="AG51" i="83"/>
  <c r="AK46" i="83"/>
  <c r="R108" i="9"/>
  <c r="V108" i="9" s="1"/>
  <c r="R107" i="9"/>
  <c r="V107" i="9" s="1"/>
  <c r="AI48" i="73" l="1"/>
  <c r="AO48" i="73" s="1"/>
  <c r="AS48" i="73" s="1"/>
  <c r="AW48" i="73" s="1"/>
  <c r="AI57" i="73"/>
  <c r="AO57" i="73" s="1"/>
  <c r="AS57" i="73" s="1"/>
  <c r="AW57" i="73" s="1"/>
  <c r="AI34" i="73"/>
  <c r="AO34" i="73" s="1"/>
  <c r="AS34" i="73" s="1"/>
  <c r="AW34" i="73" s="1"/>
  <c r="AI59" i="73"/>
  <c r="AO59" i="73" s="1"/>
  <c r="AS59" i="73" s="1"/>
  <c r="AW59" i="73" s="1"/>
  <c r="AI53" i="73"/>
  <c r="AO53" i="73" s="1"/>
  <c r="AS53" i="73" s="1"/>
  <c r="AW53" i="73" s="1"/>
  <c r="AI49" i="73"/>
  <c r="AO49" i="73" s="1"/>
  <c r="AS49" i="73" s="1"/>
  <c r="AW49" i="73" s="1"/>
  <c r="AI109" i="73"/>
  <c r="AO109" i="73" s="1"/>
  <c r="AS109" i="73" s="1"/>
  <c r="AW109" i="73" s="1"/>
  <c r="AI50" i="73"/>
  <c r="AO50" i="73" s="1"/>
  <c r="AS50" i="73" s="1"/>
  <c r="AW50" i="73" s="1"/>
  <c r="AI55" i="73"/>
  <c r="AO55" i="73" s="1"/>
  <c r="AS55" i="73" s="1"/>
  <c r="AW55" i="73" s="1"/>
  <c r="AA134" i="73"/>
  <c r="Q134" i="73"/>
  <c r="U134" i="73" s="1"/>
  <c r="AA126" i="73"/>
  <c r="Q126" i="73"/>
  <c r="AA130" i="73"/>
  <c r="Q130" i="73"/>
  <c r="U130" i="73" s="1"/>
  <c r="AX107" i="9"/>
  <c r="BF107" i="9" s="1"/>
  <c r="AX108" i="9"/>
  <c r="BF108" i="9" s="1"/>
  <c r="AY17" i="83"/>
  <c r="BG17" i="83" s="1"/>
  <c r="AY33" i="83"/>
  <c r="BG33" i="83" s="1"/>
  <c r="AY34" i="83"/>
  <c r="BG34" i="83" s="1"/>
  <c r="AY15" i="83"/>
  <c r="BG15" i="83" s="1"/>
  <c r="AY18" i="83"/>
  <c r="BG18" i="83" s="1"/>
  <c r="AY35" i="83"/>
  <c r="BG35" i="83" s="1"/>
  <c r="AU12" i="83"/>
  <c r="AU16" i="83"/>
  <c r="AU32" i="83"/>
  <c r="U126" i="73"/>
  <c r="AK51" i="83"/>
  <c r="AQ46" i="83"/>
  <c r="AE127" i="73"/>
  <c r="N106" i="9"/>
  <c r="AB106" i="9" s="1"/>
  <c r="AF106" i="9" s="1"/>
  <c r="N105" i="9"/>
  <c r="J106" i="9"/>
  <c r="J105" i="9"/>
  <c r="BE109" i="73" l="1"/>
  <c r="BE59" i="73"/>
  <c r="BE55" i="73"/>
  <c r="BE49" i="73"/>
  <c r="BE57" i="73"/>
  <c r="BE50" i="73"/>
  <c r="BE53" i="73"/>
  <c r="BE48" i="73"/>
  <c r="BE34" i="73"/>
  <c r="BG45" i="83"/>
  <c r="AY16" i="83"/>
  <c r="BG16" i="83" s="1"/>
  <c r="AY12" i="83"/>
  <c r="BG12" i="83" s="1"/>
  <c r="AY32" i="83"/>
  <c r="BG32" i="83" s="1"/>
  <c r="AJ106" i="9"/>
  <c r="AP106" i="9" s="1"/>
  <c r="AT106" i="9" s="1"/>
  <c r="AQ51" i="83"/>
  <c r="AU46" i="83"/>
  <c r="AI127" i="73"/>
  <c r="R106" i="9"/>
  <c r="V106" i="9" s="1"/>
  <c r="R105" i="9"/>
  <c r="V105" i="9" s="1"/>
  <c r="AB105" i="9"/>
  <c r="AF105" i="9" s="1"/>
  <c r="AX106" i="9" l="1"/>
  <c r="BF106" i="9" s="1"/>
  <c r="AU51" i="83"/>
  <c r="AY46" i="83"/>
  <c r="BG46" i="83" s="1"/>
  <c r="BG51" i="83" s="1"/>
  <c r="AJ105" i="9"/>
  <c r="AO127" i="73"/>
  <c r="AS127" i="73" s="1"/>
  <c r="M73" i="8"/>
  <c r="I73" i="8"/>
  <c r="AP105" i="9" l="1"/>
  <c r="AT105" i="9" s="1"/>
  <c r="AX105" i="9" s="1"/>
  <c r="BF105" i="9" s="1"/>
  <c r="AY51" i="83"/>
  <c r="AW127" i="73"/>
  <c r="BE127" i="73" l="1"/>
  <c r="L16" i="52" l="1"/>
  <c r="K16" i="52"/>
  <c r="M12" i="52" l="1"/>
  <c r="Q12" i="52" l="1"/>
  <c r="U12" i="52" s="1"/>
  <c r="AA12" i="52"/>
  <c r="AE12" i="52" s="1"/>
  <c r="AI12" i="52" s="1"/>
  <c r="AO12" i="52" s="1"/>
  <c r="AS12" i="52" l="1"/>
  <c r="AW12" i="52" s="1"/>
  <c r="BE12" i="52" s="1"/>
  <c r="I558" i="28"/>
  <c r="I557" i="28"/>
  <c r="I59" i="73" l="1"/>
  <c r="N7" i="10" l="1"/>
  <c r="N199" i="10" s="1"/>
  <c r="AB7" i="10" l="1"/>
  <c r="AB199" i="10" s="1"/>
  <c r="R7" i="10"/>
  <c r="V7" i="10" l="1"/>
  <c r="V199" i="10" s="1"/>
  <c r="R199" i="10"/>
  <c r="AF7" i="10"/>
  <c r="AJ7" i="10" s="1"/>
  <c r="V158" i="10" l="1"/>
  <c r="V210" i="10" s="1"/>
  <c r="V159" i="10"/>
  <c r="AJ159" i="10"/>
  <c r="AJ158" i="10"/>
  <c r="AJ210" i="10" s="1"/>
  <c r="AP7" i="10"/>
  <c r="AT7" i="10" s="1"/>
  <c r="V200" i="10" l="1"/>
  <c r="V191" i="10"/>
  <c r="V193" i="10" s="1"/>
  <c r="V196" i="10"/>
  <c r="AX7" i="10"/>
  <c r="AJ196" i="10"/>
  <c r="AJ191" i="10"/>
  <c r="AJ178" i="10"/>
  <c r="AJ200" i="10"/>
  <c r="R30" i="8"/>
  <c r="V30" i="8" s="1"/>
  <c r="BF7" i="10" l="1"/>
  <c r="AJ193" i="10"/>
  <c r="AX158" i="10"/>
  <c r="AX199" i="10"/>
  <c r="AX159" i="10"/>
  <c r="R130" i="9"/>
  <c r="V130" i="9" s="1"/>
  <c r="R129" i="9"/>
  <c r="V129" i="9" s="1"/>
  <c r="BF199" i="10" l="1"/>
  <c r="AX178" i="10"/>
  <c r="AX200" i="10"/>
  <c r="AX191" i="10"/>
  <c r="AX196" i="10"/>
  <c r="K115" i="7"/>
  <c r="K114" i="7"/>
  <c r="AX193" i="10" l="1"/>
  <c r="M112" i="6"/>
  <c r="Q112" i="6" s="1"/>
  <c r="U112" i="6" s="1"/>
  <c r="N112" i="6"/>
  <c r="R112" i="6" s="1"/>
  <c r="V112" i="6" s="1"/>
  <c r="M96" i="6"/>
  <c r="Q96" i="6" s="1"/>
  <c r="U96" i="6" s="1"/>
  <c r="N96" i="6"/>
  <c r="R96" i="6" s="1"/>
  <c r="V96" i="6" s="1"/>
  <c r="P59" i="59" l="1"/>
  <c r="G101" i="50" l="1"/>
  <c r="K101" i="50" l="1"/>
  <c r="O101" i="50"/>
  <c r="I61" i="6" l="1"/>
  <c r="L23" i="59" s="1"/>
  <c r="I60" i="6"/>
  <c r="L16" i="59" s="1"/>
  <c r="E166" i="6" l="1"/>
  <c r="E88" i="8"/>
  <c r="E89" i="8"/>
  <c r="F109" i="8"/>
  <c r="H51" i="26" l="1"/>
  <c r="L51" i="26" s="1"/>
  <c r="H87" i="26"/>
  <c r="L87" i="26" s="1"/>
  <c r="P87" i="26" s="1"/>
  <c r="T87" i="26" s="1"/>
  <c r="I87" i="26"/>
  <c r="M87" i="26" s="1"/>
  <c r="H89" i="26"/>
  <c r="L89" i="26" s="1"/>
  <c r="P89" i="26" s="1"/>
  <c r="T89" i="26" s="1"/>
  <c r="I89" i="26"/>
  <c r="M89" i="26" s="1"/>
  <c r="I91" i="26"/>
  <c r="I85" i="26"/>
  <c r="M85" i="26" s="1"/>
  <c r="Q85" i="26" s="1"/>
  <c r="U85" i="26" s="1"/>
  <c r="H85" i="26"/>
  <c r="L85" i="26" s="1"/>
  <c r="P85" i="26" s="1"/>
  <c r="T85" i="26" s="1"/>
  <c r="P51" i="26" l="1"/>
  <c r="T51" i="26" s="1"/>
  <c r="Z51" i="26"/>
  <c r="AD51" i="26" s="1"/>
  <c r="Q87" i="26"/>
  <c r="U87" i="26" s="1"/>
  <c r="AA87" i="26"/>
  <c r="AE87" i="26" s="1"/>
  <c r="Q89" i="26"/>
  <c r="U89" i="26" s="1"/>
  <c r="AA89" i="26"/>
  <c r="AE89" i="26" s="1"/>
  <c r="J93" i="8"/>
  <c r="AI89" i="26" l="1"/>
  <c r="AO89" i="26" s="1"/>
  <c r="AS89" i="26" s="1"/>
  <c r="AI87" i="26"/>
  <c r="AO87" i="26" s="1"/>
  <c r="AS87" i="26" s="1"/>
  <c r="AH51" i="26"/>
  <c r="AN51" i="26" s="1"/>
  <c r="AR51" i="26" s="1"/>
  <c r="AW87" i="26" l="1"/>
  <c r="BE87" i="26" s="1"/>
  <c r="AW89" i="26"/>
  <c r="BE89" i="26" s="1"/>
  <c r="AV51" i="26"/>
  <c r="BD51" i="26" s="1"/>
  <c r="H52" i="26"/>
  <c r="L52" i="26" s="1"/>
  <c r="P52" i="26" l="1"/>
  <c r="T52" i="26" s="1"/>
  <c r="Z52" i="26"/>
  <c r="AD52" i="26" s="1"/>
  <c r="S25" i="83"/>
  <c r="W25" i="83" s="1"/>
  <c r="AG25" i="83"/>
  <c r="AK25" i="83" s="1"/>
  <c r="H50" i="26"/>
  <c r="L50" i="26" s="1"/>
  <c r="AH52" i="26" l="1"/>
  <c r="AN52" i="26" s="1"/>
  <c r="AR52" i="26" s="1"/>
  <c r="P50" i="26"/>
  <c r="T50" i="26" s="1"/>
  <c r="Z50" i="26"/>
  <c r="I23" i="59"/>
  <c r="I16" i="59"/>
  <c r="H16" i="59"/>
  <c r="P12" i="59"/>
  <c r="I12" i="59"/>
  <c r="H12" i="59"/>
  <c r="AV52" i="26" l="1"/>
  <c r="BD52" i="26" s="1"/>
  <c r="AQ25" i="83"/>
  <c r="AU25" i="83" s="1"/>
  <c r="M21" i="15"/>
  <c r="Q21" i="15" s="1"/>
  <c r="I21" i="15"/>
  <c r="I58" i="59"/>
  <c r="H58" i="59"/>
  <c r="I50" i="59"/>
  <c r="I49" i="59"/>
  <c r="H15" i="59"/>
  <c r="AY25" i="83" l="1"/>
  <c r="BG25" i="83" s="1"/>
  <c r="U21" i="15"/>
  <c r="AA21" i="15"/>
  <c r="AE21" i="15" s="1"/>
  <c r="AI21" i="15" l="1"/>
  <c r="AO21" i="15" s="1"/>
  <c r="AS21" i="15" s="1"/>
  <c r="I57" i="73"/>
  <c r="AW21" i="15" l="1"/>
  <c r="BE21" i="15" s="1"/>
  <c r="H16" i="52"/>
  <c r="G16" i="52"/>
  <c r="N12" i="52"/>
  <c r="R12" i="52" l="1"/>
  <c r="V12" i="52" s="1"/>
  <c r="AB12" i="52"/>
  <c r="AF12" i="52" s="1"/>
  <c r="AJ12" i="52" s="1"/>
  <c r="AP12" i="52" s="1"/>
  <c r="AT12" i="52" s="1"/>
  <c r="AX12" i="52" s="1"/>
  <c r="BF12" i="52" s="1"/>
  <c r="J1" i="35"/>
  <c r="I1" i="35"/>
  <c r="I187" i="73" l="1"/>
  <c r="H56" i="73"/>
  <c r="H118" i="73" s="1"/>
  <c r="I48" i="73"/>
  <c r="M56" i="73" l="1"/>
  <c r="I56" i="73"/>
  <c r="Q56" i="73" l="1"/>
  <c r="U56" i="73" s="1"/>
  <c r="AA56" i="73"/>
  <c r="J11" i="52" l="1"/>
  <c r="J12" i="52"/>
  <c r="J13" i="52"/>
  <c r="J14" i="52"/>
  <c r="J15" i="52"/>
  <c r="I11" i="52"/>
  <c r="I12" i="52"/>
  <c r="I13" i="52"/>
  <c r="I14" i="52"/>
  <c r="I15" i="52"/>
  <c r="J199" i="10" l="1"/>
  <c r="J30" i="8" l="1"/>
  <c r="J42" i="7" l="1"/>
  <c r="J43" i="7"/>
  <c r="J44" i="7"/>
  <c r="J45" i="7"/>
  <c r="J46" i="7"/>
  <c r="J47" i="7"/>
  <c r="J48" i="7"/>
  <c r="J50" i="7"/>
  <c r="I42" i="7"/>
  <c r="I43" i="7"/>
  <c r="I44" i="7"/>
  <c r="I45" i="7"/>
  <c r="I46" i="7"/>
  <c r="I47" i="7"/>
  <c r="I48" i="7"/>
  <c r="I50" i="7"/>
  <c r="I7" i="7"/>
  <c r="I8" i="7"/>
  <c r="I9" i="7"/>
  <c r="I10" i="7"/>
  <c r="I11" i="7"/>
  <c r="I12" i="7"/>
  <c r="I15" i="7"/>
  <c r="I16" i="7"/>
  <c r="I19" i="7"/>
  <c r="I20" i="7"/>
  <c r="J7" i="7"/>
  <c r="J8" i="7"/>
  <c r="J9" i="7"/>
  <c r="J10" i="7"/>
  <c r="J11" i="7"/>
  <c r="J12" i="7"/>
  <c r="J15" i="7"/>
  <c r="J16" i="7"/>
  <c r="J19" i="7"/>
  <c r="J20" i="7"/>
  <c r="G115" i="7"/>
  <c r="G114" i="7"/>
  <c r="J112" i="6"/>
  <c r="I112" i="6"/>
  <c r="J118" i="6"/>
  <c r="I118" i="6"/>
  <c r="I161" i="7" l="1"/>
  <c r="J157" i="7"/>
  <c r="J161" i="7"/>
  <c r="I157" i="7"/>
  <c r="J7" i="28"/>
  <c r="I177" i="73" l="1"/>
  <c r="I127" i="73"/>
  <c r="I109" i="73"/>
  <c r="I95" i="73"/>
  <c r="I96" i="73"/>
  <c r="I97" i="73"/>
  <c r="I105" i="73"/>
  <c r="AA19" i="28" l="1"/>
  <c r="AA11" i="28"/>
  <c r="AA9" i="28"/>
  <c r="BE9" i="28" s="1"/>
  <c r="AA12" i="28"/>
  <c r="AA28" i="28"/>
  <c r="AA27" i="28"/>
  <c r="AA20" i="28"/>
  <c r="AA33" i="28"/>
  <c r="BE33" i="28" s="1"/>
  <c r="AE33" i="28" l="1"/>
  <c r="AI33" i="28" s="1"/>
  <c r="AE9" i="28"/>
  <c r="AI9" i="28" s="1"/>
  <c r="AO33" i="28" l="1"/>
  <c r="AS33" i="28" s="1"/>
  <c r="AW33" i="28" s="1"/>
  <c r="AO9" i="28"/>
  <c r="AS9" i="28" s="1"/>
  <c r="AW9" i="28" s="1"/>
  <c r="AA17" i="28"/>
  <c r="AA25" i="28"/>
  <c r="H98" i="50"/>
  <c r="H96" i="50" s="1"/>
  <c r="AE25" i="28" l="1"/>
  <c r="AI25" i="28" s="1"/>
  <c r="AO25" i="28" s="1"/>
  <c r="BE25" i="28"/>
  <c r="AE17" i="28"/>
  <c r="AI17" i="28" s="1"/>
  <c r="AO17" i="28" s="1"/>
  <c r="BE17" i="28"/>
  <c r="AE460" i="28"/>
  <c r="AI460" i="28" s="1"/>
  <c r="AO460" i="28" s="1"/>
  <c r="AE333" i="28"/>
  <c r="AI333" i="28" s="1"/>
  <c r="AO333" i="28" s="1"/>
  <c r="N60" i="6"/>
  <c r="N61" i="6"/>
  <c r="G9" i="50" l="1"/>
  <c r="K9" i="50" s="1"/>
  <c r="K29" i="83"/>
  <c r="K9" i="83"/>
  <c r="K27" i="83"/>
  <c r="K24" i="83"/>
  <c r="K30" i="83"/>
  <c r="K31" i="83"/>
  <c r="G4" i="50"/>
  <c r="G4" i="83"/>
  <c r="E73" i="8"/>
  <c r="F196" i="10" l="1"/>
  <c r="F200" i="10"/>
  <c r="O9" i="50"/>
  <c r="J158" i="10"/>
  <c r="J159" i="10"/>
  <c r="N158" i="10"/>
  <c r="N210" i="10" s="1"/>
  <c r="N159" i="10"/>
  <c r="O4" i="50"/>
  <c r="K4" i="50"/>
  <c r="AS333" i="28"/>
  <c r="AW333" i="28" s="1"/>
  <c r="AS17" i="28"/>
  <c r="AW17" i="28" s="1"/>
  <c r="AS460" i="28"/>
  <c r="AW460" i="28" s="1"/>
  <c r="AS25" i="28"/>
  <c r="AW25" i="28" s="1"/>
  <c r="S24" i="83"/>
  <c r="S9" i="83"/>
  <c r="K4" i="83"/>
  <c r="G38" i="83"/>
  <c r="O4" i="83"/>
  <c r="G117" i="50"/>
  <c r="N200" i="10" l="1"/>
  <c r="J200" i="10"/>
  <c r="O38" i="50"/>
  <c r="AC9" i="50"/>
  <c r="AG9" i="50" s="1"/>
  <c r="S9" i="50"/>
  <c r="W9" i="50" s="1"/>
  <c r="AQ27" i="50"/>
  <c r="AU27" i="50" s="1"/>
  <c r="AY27" i="50" s="1"/>
  <c r="BG27" i="50" s="1"/>
  <c r="AQ29" i="50"/>
  <c r="AU29" i="50" s="1"/>
  <c r="AY29" i="50" s="1"/>
  <c r="BG29" i="50" s="1"/>
  <c r="AQ30" i="50"/>
  <c r="AU30" i="50" s="1"/>
  <c r="AY30" i="50" s="1"/>
  <c r="BG30" i="50" s="1"/>
  <c r="K117" i="50"/>
  <c r="O117" i="50"/>
  <c r="AC4" i="50"/>
  <c r="S4" i="50"/>
  <c r="S27" i="83"/>
  <c r="W27" i="83" s="1"/>
  <c r="AG27" i="83"/>
  <c r="AK27" i="83" s="1"/>
  <c r="S31" i="83"/>
  <c r="W31" i="83" s="1"/>
  <c r="AG31" i="83"/>
  <c r="AK31" i="83" s="1"/>
  <c r="S30" i="83"/>
  <c r="W30" i="83" s="1"/>
  <c r="AG30" i="83"/>
  <c r="AK30" i="83" s="1"/>
  <c r="W9" i="83"/>
  <c r="AG9" i="83"/>
  <c r="AK9" i="83" s="1"/>
  <c r="AQ9" i="83" s="1"/>
  <c r="W24" i="83"/>
  <c r="AG24" i="83"/>
  <c r="AK24" i="83" s="1"/>
  <c r="S4" i="83"/>
  <c r="W4" i="83" s="1"/>
  <c r="AC4" i="83"/>
  <c r="AG4" i="83" s="1"/>
  <c r="AK4" i="83" s="1"/>
  <c r="AQ4" i="83" s="1"/>
  <c r="S29" i="83"/>
  <c r="W29" i="83" s="1"/>
  <c r="AG29" i="83"/>
  <c r="AK29" i="83" s="1"/>
  <c r="O38" i="83"/>
  <c r="AC38" i="83" s="1"/>
  <c r="K38" i="83"/>
  <c r="AK9" i="50" l="1"/>
  <c r="AQ9" i="50" s="1"/>
  <c r="AU9" i="50" s="1"/>
  <c r="AY9" i="50" s="1"/>
  <c r="BG9" i="50" s="1"/>
  <c r="AU9" i="83"/>
  <c r="AY9" i="83" s="1"/>
  <c r="BG9" i="83" s="1"/>
  <c r="S117" i="50"/>
  <c r="W117" i="50" s="1"/>
  <c r="AC117" i="50"/>
  <c r="AG117" i="50" s="1"/>
  <c r="AK117" i="50" s="1"/>
  <c r="AQ117" i="50" s="1"/>
  <c r="AU117" i="50" s="1"/>
  <c r="AY117" i="50" s="1"/>
  <c r="BG117" i="50" s="1"/>
  <c r="AC38" i="50"/>
  <c r="S38" i="50"/>
  <c r="W4" i="50"/>
  <c r="W38" i="50" s="1"/>
  <c r="AG4" i="50"/>
  <c r="AU4" i="83"/>
  <c r="AG38" i="83"/>
  <c r="W38" i="83"/>
  <c r="S38" i="83"/>
  <c r="D56" i="28"/>
  <c r="AY4" i="83" l="1"/>
  <c r="BG4" i="83" s="1"/>
  <c r="AQ30" i="83"/>
  <c r="AU30" i="83" s="1"/>
  <c r="AQ24" i="83"/>
  <c r="AQ29" i="83"/>
  <c r="AU29" i="83" s="1"/>
  <c r="AQ27" i="83"/>
  <c r="AU27" i="83" s="1"/>
  <c r="AQ31" i="83"/>
  <c r="AU31" i="83" s="1"/>
  <c r="AK38" i="83"/>
  <c r="AK4" i="50"/>
  <c r="AG38" i="50"/>
  <c r="V162" i="10"/>
  <c r="V163" i="10" s="1"/>
  <c r="I284" i="28"/>
  <c r="AY27" i="83" l="1"/>
  <c r="BG27" i="83" s="1"/>
  <c r="AY30" i="83"/>
  <c r="BG30" i="83" s="1"/>
  <c r="AY29" i="83"/>
  <c r="BG29" i="83" s="1"/>
  <c r="AY31" i="83"/>
  <c r="BG31" i="83" s="1"/>
  <c r="AU24" i="83"/>
  <c r="AK38" i="50"/>
  <c r="AQ4" i="50"/>
  <c r="AQ38" i="83"/>
  <c r="AA284" i="28"/>
  <c r="BE284" i="28" s="1"/>
  <c r="AA65" i="28"/>
  <c r="BE65" i="28" s="1"/>
  <c r="I62" i="73"/>
  <c r="M62" i="73"/>
  <c r="AE105" i="73"/>
  <c r="D27" i="21"/>
  <c r="AE65" i="28" l="1"/>
  <c r="AI65" i="28" s="1"/>
  <c r="AE284" i="28"/>
  <c r="AI284" i="28" s="1"/>
  <c r="AI105" i="73"/>
  <c r="AO105" i="73" s="1"/>
  <c r="AS105" i="73" s="1"/>
  <c r="AW105" i="73" s="1"/>
  <c r="Q62" i="73"/>
  <c r="U62" i="73" s="1"/>
  <c r="AY24" i="83"/>
  <c r="BG24" i="83" s="1"/>
  <c r="BG38" i="83" s="1"/>
  <c r="AQ38" i="50"/>
  <c r="AP162" i="10" s="1"/>
  <c r="AU4" i="50"/>
  <c r="AU38" i="83"/>
  <c r="AJ162" i="10"/>
  <c r="AJ163" i="10" s="1"/>
  <c r="AA62" i="73"/>
  <c r="AO284" i="28" l="1"/>
  <c r="AS284" i="28" s="1"/>
  <c r="AW284" i="28" s="1"/>
  <c r="AO65" i="28"/>
  <c r="AS65" i="28" s="1"/>
  <c r="AW65" i="28" s="1"/>
  <c r="BE105" i="73"/>
  <c r="AY38" i="83"/>
  <c r="AU38" i="50"/>
  <c r="AT162" i="10" s="1"/>
  <c r="AY4" i="50"/>
  <c r="M30" i="15"/>
  <c r="Q30" i="15" s="1"/>
  <c r="I30" i="15"/>
  <c r="F16" i="52"/>
  <c r="E16" i="52"/>
  <c r="F444" i="28"/>
  <c r="J444" i="28" s="1"/>
  <c r="F326" i="28"/>
  <c r="F325" i="28"/>
  <c r="F259" i="28"/>
  <c r="F256" i="28"/>
  <c r="F56" i="28"/>
  <c r="F557" i="28" s="1"/>
  <c r="J557" i="28" s="1"/>
  <c r="N557" i="28" s="1"/>
  <c r="R557" i="28" s="1"/>
  <c r="V557" i="28" s="1"/>
  <c r="AB557" i="28" s="1"/>
  <c r="F48" i="28"/>
  <c r="BF557" i="28" l="1"/>
  <c r="AF557" i="28"/>
  <c r="AJ557" i="28" s="1"/>
  <c r="AP557" i="28" s="1"/>
  <c r="AT557" i="28" s="1"/>
  <c r="AX557" i="28" s="1"/>
  <c r="J48" i="28"/>
  <c r="N48" i="28" s="1"/>
  <c r="R48" i="28" s="1"/>
  <c r="V48" i="28" s="1"/>
  <c r="AB48" i="28" s="1"/>
  <c r="J56" i="28"/>
  <c r="N56" i="28" s="1"/>
  <c r="R56" i="28" s="1"/>
  <c r="V56" i="28" s="1"/>
  <c r="AB56" i="28" s="1"/>
  <c r="J325" i="28"/>
  <c r="J326" i="28"/>
  <c r="J259" i="28"/>
  <c r="J256" i="28"/>
  <c r="AY38" i="50"/>
  <c r="AX162" i="10" s="1"/>
  <c r="BG4" i="50"/>
  <c r="U30" i="15"/>
  <c r="AA30" i="15"/>
  <c r="AE30" i="15" s="1"/>
  <c r="J37" i="28"/>
  <c r="N37" i="28" s="1"/>
  <c r="R37" i="28" s="1"/>
  <c r="V37" i="28" s="1"/>
  <c r="AB37" i="28" s="1"/>
  <c r="J33" i="28"/>
  <c r="J32" i="28"/>
  <c r="G40" i="50"/>
  <c r="G41" i="50"/>
  <c r="G43" i="50"/>
  <c r="G44" i="50"/>
  <c r="G45" i="50"/>
  <c r="G39" i="50"/>
  <c r="BF56" i="28" l="1"/>
  <c r="AF56" i="28"/>
  <c r="AJ56" i="28" s="1"/>
  <c r="AP56" i="28" s="1"/>
  <c r="AT56" i="28" s="1"/>
  <c r="AX56" i="28" s="1"/>
  <c r="BF48" i="28"/>
  <c r="AF48" i="28"/>
  <c r="AJ48" i="28" s="1"/>
  <c r="AP48" i="28" s="1"/>
  <c r="AT48" i="28" s="1"/>
  <c r="AX48" i="28" s="1"/>
  <c r="AF37" i="28"/>
  <c r="AJ37" i="28" s="1"/>
  <c r="AP37" i="28" s="1"/>
  <c r="AT37" i="28" s="1"/>
  <c r="AX37" i="28" s="1"/>
  <c r="BF37" i="28"/>
  <c r="BG38" i="50"/>
  <c r="AI30" i="15"/>
  <c r="AO30" i="15" s="1"/>
  <c r="AS30" i="15" s="1"/>
  <c r="O40" i="50"/>
  <c r="O41" i="50"/>
  <c r="O39" i="50"/>
  <c r="O45" i="50"/>
  <c r="O44" i="50"/>
  <c r="O43" i="50"/>
  <c r="J67" i="28"/>
  <c r="J63" i="28"/>
  <c r="J68" i="28"/>
  <c r="J64" i="28"/>
  <c r="J65" i="28"/>
  <c r="N63" i="28" l="1"/>
  <c r="BF162" i="10"/>
  <c r="AW30" i="15"/>
  <c r="BE30" i="15" s="1"/>
  <c r="AC44" i="50"/>
  <c r="AG44" i="50" s="1"/>
  <c r="AK44" i="50" s="1"/>
  <c r="AQ44" i="50" s="1"/>
  <c r="AU44" i="50" s="1"/>
  <c r="AY44" i="50" s="1"/>
  <c r="BG44" i="50" s="1"/>
  <c r="S44" i="50"/>
  <c r="W44" i="50" s="1"/>
  <c r="S43" i="50"/>
  <c r="W43" i="50" s="1"/>
  <c r="AC43" i="50"/>
  <c r="AG43" i="50" s="1"/>
  <c r="AK43" i="50" s="1"/>
  <c r="AQ43" i="50" s="1"/>
  <c r="AU43" i="50" s="1"/>
  <c r="AY43" i="50" s="1"/>
  <c r="BG43" i="50" s="1"/>
  <c r="AC45" i="50"/>
  <c r="AG45" i="50" s="1"/>
  <c r="AK45" i="50" s="1"/>
  <c r="AQ45" i="50" s="1"/>
  <c r="AU45" i="50" s="1"/>
  <c r="AY45" i="50" s="1"/>
  <c r="BG45" i="50" s="1"/>
  <c r="S45" i="50"/>
  <c r="W45" i="50" s="1"/>
  <c r="AC39" i="50"/>
  <c r="O46" i="50"/>
  <c r="O95" i="50" s="1"/>
  <c r="S39" i="50"/>
  <c r="S41" i="50"/>
  <c r="W41" i="50" s="1"/>
  <c r="AC41" i="50"/>
  <c r="AG41" i="50" s="1"/>
  <c r="AK41" i="50" s="1"/>
  <c r="AQ41" i="50" s="1"/>
  <c r="AU41" i="50" s="1"/>
  <c r="AY41" i="50" s="1"/>
  <c r="BG41" i="50" s="1"/>
  <c r="AC40" i="50"/>
  <c r="AG40" i="50" s="1"/>
  <c r="AK40" i="50" s="1"/>
  <c r="AQ40" i="50" s="1"/>
  <c r="AU40" i="50" s="1"/>
  <c r="AY40" i="50" s="1"/>
  <c r="BG40" i="50" s="1"/>
  <c r="S40" i="50"/>
  <c r="W40" i="50" s="1"/>
  <c r="R63" i="28" l="1"/>
  <c r="AC46" i="50"/>
  <c r="AC95" i="50" s="1"/>
  <c r="AG39" i="50"/>
  <c r="W39" i="50"/>
  <c r="W46" i="50" s="1"/>
  <c r="W95" i="50" s="1"/>
  <c r="S46" i="50"/>
  <c r="S95" i="50" s="1"/>
  <c r="D39" i="27"/>
  <c r="E36" i="27"/>
  <c r="D33" i="27"/>
  <c r="E26" i="27"/>
  <c r="D24" i="27"/>
  <c r="E24" i="27"/>
  <c r="G125" i="50"/>
  <c r="G38" i="50"/>
  <c r="K38" i="50" s="1"/>
  <c r="G4" i="61"/>
  <c r="V63" i="28" l="1"/>
  <c r="F162" i="10"/>
  <c r="E33" i="27"/>
  <c r="E39" i="27"/>
  <c r="O125" i="50"/>
  <c r="K125" i="50"/>
  <c r="AG46" i="50"/>
  <c r="AG95" i="50" s="1"/>
  <c r="AK39" i="50"/>
  <c r="G109" i="50"/>
  <c r="AB162" i="10"/>
  <c r="N25" i="22"/>
  <c r="N10" i="22"/>
  <c r="N15" i="22" s="1"/>
  <c r="G139" i="50"/>
  <c r="J15" i="22"/>
  <c r="AB63" i="28" l="1"/>
  <c r="F163" i="10"/>
  <c r="AK46" i="50"/>
  <c r="AK95" i="50" s="1"/>
  <c r="AQ39" i="50"/>
  <c r="O139" i="50"/>
  <c r="K139" i="50"/>
  <c r="O109" i="50"/>
  <c r="K109" i="50"/>
  <c r="S125" i="50"/>
  <c r="W125" i="50" s="1"/>
  <c r="AC125" i="50"/>
  <c r="AG125" i="50" s="1"/>
  <c r="AK125" i="50" s="1"/>
  <c r="AQ125" i="50" s="1"/>
  <c r="AU125" i="50" s="1"/>
  <c r="AY125" i="50" s="1"/>
  <c r="BG125" i="50" s="1"/>
  <c r="M31" i="15"/>
  <c r="Q31" i="15" s="1"/>
  <c r="I31" i="15"/>
  <c r="M25" i="15"/>
  <c r="Q25" i="15" s="1"/>
  <c r="I25" i="15"/>
  <c r="I24" i="15"/>
  <c r="M24" i="15"/>
  <c r="Q24" i="15" s="1"/>
  <c r="I23" i="15"/>
  <c r="M23" i="15"/>
  <c r="Q23" i="15" s="1"/>
  <c r="M22" i="15"/>
  <c r="Q22" i="15" s="1"/>
  <c r="I22" i="15"/>
  <c r="M29" i="15"/>
  <c r="Q29" i="15" s="1"/>
  <c r="I29" i="15"/>
  <c r="G141" i="50"/>
  <c r="G140" i="50"/>
  <c r="BF63" i="28" l="1"/>
  <c r="AF63" i="28"/>
  <c r="AQ46" i="50"/>
  <c r="AQ95" i="50" s="1"/>
  <c r="AU39" i="50"/>
  <c r="AC139" i="50"/>
  <c r="AG139" i="50" s="1"/>
  <c r="AK139" i="50" s="1"/>
  <c r="AQ139" i="50" s="1"/>
  <c r="S139" i="50"/>
  <c r="W139" i="50" s="1"/>
  <c r="AC109" i="50"/>
  <c r="AG109" i="50" s="1"/>
  <c r="AK109" i="50" s="1"/>
  <c r="AQ109" i="50" s="1"/>
  <c r="AU109" i="50" s="1"/>
  <c r="AY109" i="50" s="1"/>
  <c r="BG109" i="50" s="1"/>
  <c r="S109" i="50"/>
  <c r="W109" i="50" s="1"/>
  <c r="O141" i="50"/>
  <c r="K141" i="50"/>
  <c r="G147" i="50"/>
  <c r="U31" i="15"/>
  <c r="AA31" i="15"/>
  <c r="AE31" i="15" s="1"/>
  <c r="U25" i="15"/>
  <c r="AA25" i="15"/>
  <c r="AE25" i="15" s="1"/>
  <c r="U24" i="15"/>
  <c r="AA24" i="15"/>
  <c r="AE24" i="15" s="1"/>
  <c r="U23" i="15"/>
  <c r="AA23" i="15"/>
  <c r="AE23" i="15" s="1"/>
  <c r="U22" i="15"/>
  <c r="AA22" i="15"/>
  <c r="AE22" i="15" s="1"/>
  <c r="I32" i="15"/>
  <c r="M32" i="15"/>
  <c r="Q32" i="15" s="1"/>
  <c r="Q36" i="15" s="1"/>
  <c r="AA29" i="15"/>
  <c r="F135" i="6"/>
  <c r="AJ63" i="28" l="1"/>
  <c r="I36" i="15"/>
  <c r="N130" i="6"/>
  <c r="AB130" i="6" s="1"/>
  <c r="AF130" i="6" s="1"/>
  <c r="AJ130" i="6" s="1"/>
  <c r="AP130" i="6" s="1"/>
  <c r="AT130" i="6" s="1"/>
  <c r="AX130" i="6" s="1"/>
  <c r="BF130" i="6" s="1"/>
  <c r="J135" i="6"/>
  <c r="AI31" i="15"/>
  <c r="AO31" i="15" s="1"/>
  <c r="AS31" i="15" s="1"/>
  <c r="AU46" i="50"/>
  <c r="AU95" i="50" s="1"/>
  <c r="AY39" i="50"/>
  <c r="AQ140" i="50"/>
  <c r="AU139" i="50"/>
  <c r="AI25" i="15"/>
  <c r="AO25" i="15" s="1"/>
  <c r="AS25" i="15" s="1"/>
  <c r="S141" i="50"/>
  <c r="W141" i="50" s="1"/>
  <c r="AC141" i="50"/>
  <c r="AG141" i="50" s="1"/>
  <c r="AK141" i="50" s="1"/>
  <c r="AQ141" i="50" s="1"/>
  <c r="AU141" i="50" s="1"/>
  <c r="AY141" i="50" s="1"/>
  <c r="BG141" i="50" s="1"/>
  <c r="K147" i="50"/>
  <c r="O147" i="50"/>
  <c r="AI22" i="15"/>
  <c r="AO22" i="15" s="1"/>
  <c r="AS22" i="15" s="1"/>
  <c r="AW22" i="15" s="1"/>
  <c r="AI23" i="15"/>
  <c r="AO23" i="15" s="1"/>
  <c r="AS23" i="15" s="1"/>
  <c r="AI24" i="15"/>
  <c r="AO24" i="15" s="1"/>
  <c r="AS24" i="15" s="1"/>
  <c r="U32" i="15"/>
  <c r="AA32" i="15"/>
  <c r="AE32" i="15" s="1"/>
  <c r="M36" i="15"/>
  <c r="AE29" i="15"/>
  <c r="AI29" i="15" s="1"/>
  <c r="U29" i="15"/>
  <c r="J127" i="6"/>
  <c r="N127" i="6"/>
  <c r="AP63" i="28" l="1"/>
  <c r="AB127" i="6"/>
  <c r="R130" i="6"/>
  <c r="V130" i="6" s="1"/>
  <c r="AW25" i="15"/>
  <c r="BE25" i="15" s="1"/>
  <c r="AW23" i="15"/>
  <c r="BE23" i="15" s="1"/>
  <c r="AW24" i="15"/>
  <c r="BE24" i="15" s="1"/>
  <c r="AW31" i="15"/>
  <c r="AY46" i="50"/>
  <c r="AY95" i="50" s="1"/>
  <c r="BG39" i="50"/>
  <c r="AU140" i="50"/>
  <c r="AY139" i="50"/>
  <c r="BE22" i="15"/>
  <c r="S147" i="50"/>
  <c r="W147" i="50" s="1"/>
  <c r="AC147" i="50"/>
  <c r="AG147" i="50" s="1"/>
  <c r="AK147" i="50" s="1"/>
  <c r="AQ147" i="50" s="1"/>
  <c r="AI32" i="15"/>
  <c r="R127" i="6"/>
  <c r="M106" i="73"/>
  <c r="Q106" i="73" s="1"/>
  <c r="U106" i="73" s="1"/>
  <c r="AT63" i="28" l="1"/>
  <c r="V127" i="6"/>
  <c r="AF127" i="6"/>
  <c r="BG46" i="50"/>
  <c r="BG95" i="50" s="1"/>
  <c r="AU147" i="50"/>
  <c r="AY147" i="50" s="1"/>
  <c r="BG147" i="50" s="1"/>
  <c r="BE147" i="50"/>
  <c r="BE31" i="15"/>
  <c r="AY140" i="50"/>
  <c r="BG139" i="50"/>
  <c r="AO32" i="15"/>
  <c r="AO29" i="15"/>
  <c r="G124" i="50"/>
  <c r="AX63" i="28" l="1"/>
  <c r="AJ127" i="6"/>
  <c r="BG140" i="50"/>
  <c r="AS32" i="15"/>
  <c r="O124" i="50"/>
  <c r="K124" i="50"/>
  <c r="AS29" i="15"/>
  <c r="AW29" i="15" s="1"/>
  <c r="G126" i="50"/>
  <c r="AP127" i="6" l="1"/>
  <c r="AW32" i="15"/>
  <c r="S124" i="50"/>
  <c r="W124" i="50" s="1"/>
  <c r="AC124" i="50"/>
  <c r="AG124" i="50" s="1"/>
  <c r="AK124" i="50" s="1"/>
  <c r="AT127" i="6" l="1"/>
  <c r="BE32" i="15"/>
  <c r="AK126" i="50"/>
  <c r="AQ124" i="50"/>
  <c r="BE29" i="15"/>
  <c r="G103" i="50"/>
  <c r="N95" i="9"/>
  <c r="AX127" i="6" l="1"/>
  <c r="AQ126" i="50"/>
  <c r="AU124" i="50"/>
  <c r="K103" i="50"/>
  <c r="F111" i="8"/>
  <c r="F94" i="8"/>
  <c r="F91" i="8"/>
  <c r="F89" i="8"/>
  <c r="F69" i="8"/>
  <c r="F65" i="8"/>
  <c r="F61" i="8"/>
  <c r="F26" i="8"/>
  <c r="F17" i="8"/>
  <c r="N15" i="8"/>
  <c r="N14" i="8"/>
  <c r="F13" i="8"/>
  <c r="F6" i="8"/>
  <c r="D30" i="8"/>
  <c r="F49" i="8" l="1"/>
  <c r="F96" i="8" s="1"/>
  <c r="BF127" i="6"/>
  <c r="N91" i="8"/>
  <c r="AU126" i="50"/>
  <c r="AY124" i="50"/>
  <c r="F44" i="8"/>
  <c r="F62" i="8"/>
  <c r="R66" i="8"/>
  <c r="V66" i="8" s="1"/>
  <c r="D67" i="8"/>
  <c r="D37" i="8" s="1"/>
  <c r="F67" i="8"/>
  <c r="J66" i="8"/>
  <c r="F16" i="8"/>
  <c r="F82" i="8"/>
  <c r="F92" i="8"/>
  <c r="F39" i="8"/>
  <c r="F45" i="8"/>
  <c r="F72" i="8"/>
  <c r="F34" i="8"/>
  <c r="F74" i="8"/>
  <c r="F36" i="8"/>
  <c r="F40" i="8"/>
  <c r="F46" i="8"/>
  <c r="F86" i="8"/>
  <c r="F41" i="8"/>
  <c r="F47" i="8"/>
  <c r="F59" i="8"/>
  <c r="F110" i="8"/>
  <c r="F43" i="8"/>
  <c r="E134" i="6"/>
  <c r="E135" i="6"/>
  <c r="D134" i="6"/>
  <c r="D135" i="6"/>
  <c r="D136" i="6"/>
  <c r="J56" i="8" l="1"/>
  <c r="N56" i="8" s="1"/>
  <c r="N67" i="8" s="1"/>
  <c r="F51" i="8"/>
  <c r="E6" i="26"/>
  <c r="N34" i="8"/>
  <c r="N36" i="8"/>
  <c r="I135" i="6"/>
  <c r="I47" i="59"/>
  <c r="F137" i="8"/>
  <c r="I46" i="59"/>
  <c r="F138" i="8"/>
  <c r="I45" i="59"/>
  <c r="F136" i="8"/>
  <c r="I130" i="6"/>
  <c r="M130" i="6"/>
  <c r="E2" i="17"/>
  <c r="E2" i="26"/>
  <c r="AY126" i="50"/>
  <c r="BG124" i="50"/>
  <c r="F37" i="8"/>
  <c r="F73" i="8"/>
  <c r="I127" i="6"/>
  <c r="M127" i="6"/>
  <c r="J67" i="8"/>
  <c r="J73" i="8" s="1"/>
  <c r="F42" i="8"/>
  <c r="F52" i="8"/>
  <c r="F112" i="8"/>
  <c r="F53" i="8" s="1"/>
  <c r="F63" i="8"/>
  <c r="F71" i="8" l="1"/>
  <c r="N37" i="8"/>
  <c r="AB37" i="8" s="1"/>
  <c r="AF37" i="8" s="1"/>
  <c r="AJ37" i="8" s="1"/>
  <c r="AP37" i="8" s="1"/>
  <c r="AT37" i="8" s="1"/>
  <c r="BG126" i="50"/>
  <c r="I48" i="59"/>
  <c r="I41" i="59"/>
  <c r="F121" i="8"/>
  <c r="I42" i="59"/>
  <c r="F123" i="8"/>
  <c r="F139" i="8"/>
  <c r="AA130" i="6"/>
  <c r="AE130" i="6" s="1"/>
  <c r="AI130" i="6" s="1"/>
  <c r="AO130" i="6" s="1"/>
  <c r="AS130" i="6" s="1"/>
  <c r="AW130" i="6" s="1"/>
  <c r="Q130" i="6"/>
  <c r="U130" i="6" s="1"/>
  <c r="Q127" i="6"/>
  <c r="R56" i="8"/>
  <c r="V56" i="8" s="1"/>
  <c r="J37" i="8"/>
  <c r="R67" i="8"/>
  <c r="V67" i="8" s="1"/>
  <c r="V73" i="8" s="1"/>
  <c r="N73" i="8"/>
  <c r="F35" i="8"/>
  <c r="F70" i="8"/>
  <c r="D13" i="36"/>
  <c r="G39" i="59" s="1"/>
  <c r="R37" i="8" l="1"/>
  <c r="V37" i="8" s="1"/>
  <c r="U127" i="6"/>
  <c r="N35" i="8"/>
  <c r="I43" i="59"/>
  <c r="BE130" i="6"/>
  <c r="F122" i="8"/>
  <c r="F126" i="8" s="1"/>
  <c r="F127" i="8" s="1"/>
  <c r="F124" i="8"/>
  <c r="AX37" i="8"/>
  <c r="R73" i="8"/>
  <c r="BF37" i="8" l="1"/>
  <c r="F132" i="8"/>
  <c r="F145" i="8" s="1"/>
  <c r="F130" i="8"/>
  <c r="F131" i="8"/>
  <c r="F144" i="8" s="1"/>
  <c r="F133" i="8" l="1"/>
  <c r="F146" i="8" s="1"/>
  <c r="F143" i="8"/>
  <c r="AA23" i="28"/>
  <c r="BE23" i="28" s="1"/>
  <c r="AA15" i="28"/>
  <c r="BE15" i="28" s="1"/>
  <c r="AE15" i="28" l="1"/>
  <c r="AI15" i="28" s="1"/>
  <c r="AE23" i="28"/>
  <c r="AI23" i="28" s="1"/>
  <c r="H10" i="15"/>
  <c r="AO23" i="28" l="1"/>
  <c r="AS23" i="28" s="1"/>
  <c r="AW23" i="28" s="1"/>
  <c r="AO15" i="28"/>
  <c r="AS15" i="28" s="1"/>
  <c r="AW15" i="28" s="1"/>
  <c r="I10" i="15"/>
  <c r="V106" i="73" l="1"/>
  <c r="V118" i="73" s="1"/>
  <c r="T106" i="73"/>
  <c r="T118" i="73" s="1"/>
  <c r="Y106" i="73"/>
  <c r="AA106" i="73" s="1"/>
  <c r="Z85" i="26" l="1"/>
  <c r="AD85" i="26" s="1"/>
  <c r="AH85" i="26" s="1"/>
  <c r="AN85" i="26" s="1"/>
  <c r="AR85" i="26" s="1"/>
  <c r="AV85" i="26" s="1"/>
  <c r="BD85" i="26" s="1"/>
  <c r="AA85" i="26"/>
  <c r="AE85" i="26" s="1"/>
  <c r="Z87" i="26"/>
  <c r="AD87" i="26" s="1"/>
  <c r="AH87" i="26" s="1"/>
  <c r="AN87" i="26" s="1"/>
  <c r="AR87" i="26" s="1"/>
  <c r="AV87" i="26" s="1"/>
  <c r="BD87" i="26" s="1"/>
  <c r="Z89" i="26"/>
  <c r="AD89" i="26" s="1"/>
  <c r="AH89" i="26" s="1"/>
  <c r="AN89" i="26" s="1"/>
  <c r="AR89" i="26" s="1"/>
  <c r="AV89" i="26" s="1"/>
  <c r="BD89" i="26" s="1"/>
  <c r="AI85" i="26" l="1"/>
  <c r="AO85" i="26" s="1"/>
  <c r="AS85" i="26" s="1"/>
  <c r="M135" i="6"/>
  <c r="N135" i="6"/>
  <c r="AB135" i="6" s="1"/>
  <c r="AF135" i="6" s="1"/>
  <c r="M118" i="6"/>
  <c r="Q118" i="6" s="1"/>
  <c r="U118" i="6" s="1"/>
  <c r="N118" i="6"/>
  <c r="Y118" i="6"/>
  <c r="Z118" i="6"/>
  <c r="AW85" i="26" l="1"/>
  <c r="BE85" i="26" s="1"/>
  <c r="AJ135" i="6"/>
  <c r="Q135" i="6"/>
  <c r="U135" i="6" s="1"/>
  <c r="AA135" i="6"/>
  <c r="AE135" i="6" s="1"/>
  <c r="AI135" i="6" s="1"/>
  <c r="R118" i="6"/>
  <c r="V118" i="6" s="1"/>
  <c r="AB118" i="6"/>
  <c r="AF118" i="6" s="1"/>
  <c r="AJ118" i="6" s="1"/>
  <c r="AP118" i="6" s="1"/>
  <c r="AT118" i="6" s="1"/>
  <c r="R135" i="6"/>
  <c r="V135" i="6" s="1"/>
  <c r="AA118" i="6"/>
  <c r="AE118" i="6" s="1"/>
  <c r="AI118" i="6" s="1"/>
  <c r="AO118" i="6" s="1"/>
  <c r="AS118" i="6" s="1"/>
  <c r="AX118" i="6" l="1"/>
  <c r="AW118" i="6"/>
  <c r="AO135" i="6"/>
  <c r="AP135" i="6"/>
  <c r="BE118" i="6" l="1"/>
  <c r="BF118" i="6"/>
  <c r="AT135" i="6"/>
  <c r="AX135" i="6" s="1"/>
  <c r="AS135" i="6"/>
  <c r="AW135" i="6" s="1"/>
  <c r="BF135" i="6" l="1"/>
  <c r="BE135" i="6"/>
  <c r="E41" i="8"/>
  <c r="BC69" i="36" l="1"/>
  <c r="BC67" i="36"/>
  <c r="BC66" i="36"/>
  <c r="BC29" i="36"/>
  <c r="BC28" i="36"/>
  <c r="BC27" i="36"/>
  <c r="BC23" i="36"/>
  <c r="BC22" i="36"/>
  <c r="BC21" i="36"/>
  <c r="BC16" i="36"/>
  <c r="BC9" i="36"/>
  <c r="BF10" i="59" s="1"/>
  <c r="BC8" i="36"/>
  <c r="BF9" i="59" s="1"/>
  <c r="BC7" i="36"/>
  <c r="BF8" i="59" s="1"/>
  <c r="BC5" i="36"/>
  <c r="BA69" i="36"/>
  <c r="BA67" i="36"/>
  <c r="BA66" i="36"/>
  <c r="BB64" i="36"/>
  <c r="BB72" i="36" s="1"/>
  <c r="BB61" i="36"/>
  <c r="BB59" i="36"/>
  <c r="BB67" i="36" s="1"/>
  <c r="BA59" i="36"/>
  <c r="BB58" i="36"/>
  <c r="BB66" i="36" s="1"/>
  <c r="BB57" i="36"/>
  <c r="BB17" i="36" s="1"/>
  <c r="BB56" i="36"/>
  <c r="BB16" i="36" s="1"/>
  <c r="BA56" i="36"/>
  <c r="BB37" i="36"/>
  <c r="BA37" i="36"/>
  <c r="BA29" i="36"/>
  <c r="BA28" i="36"/>
  <c r="BA27" i="36"/>
  <c r="BA23" i="36"/>
  <c r="BA22" i="36"/>
  <c r="BA21" i="36"/>
  <c r="BA16" i="36"/>
  <c r="BA9" i="36"/>
  <c r="BD10" i="59" s="1"/>
  <c r="BA8" i="36"/>
  <c r="BD9" i="59" s="1"/>
  <c r="BA7" i="36"/>
  <c r="BD8" i="59" s="1"/>
  <c r="BA5" i="36"/>
  <c r="BD53" i="59" l="1"/>
  <c r="BE53" i="59"/>
  <c r="BF67" i="59"/>
  <c r="BE54" i="59"/>
  <c r="BF53" i="59"/>
  <c r="BD67" i="59"/>
  <c r="BD79" i="59"/>
  <c r="AZ7" i="15"/>
  <c r="BF79" i="59"/>
  <c r="BB7" i="15"/>
  <c r="BD78" i="59"/>
  <c r="AZ6" i="15"/>
  <c r="BF78" i="59"/>
  <c r="BB6" i="15"/>
  <c r="BF77" i="59"/>
  <c r="BB5" i="15"/>
  <c r="BD77" i="59"/>
  <c r="AZ5" i="15"/>
  <c r="BF6" i="59"/>
  <c r="BC13" i="49"/>
  <c r="BD6" i="59"/>
  <c r="BA13" i="49"/>
  <c r="BA20" i="49" s="1"/>
  <c r="BA15" i="36" s="1"/>
  <c r="BD52" i="59" s="1"/>
  <c r="BB63" i="36"/>
  <c r="BB69" i="36"/>
  <c r="BB71" i="36" s="1"/>
  <c r="BA68" i="36"/>
  <c r="BC68" i="36"/>
  <c r="BB60" i="36"/>
  <c r="BC20" i="49" l="1"/>
  <c r="BC15" i="36" s="1"/>
  <c r="BF52" i="59" s="1"/>
  <c r="BB18" i="36"/>
  <c r="BB68" i="36"/>
  <c r="BB19" i="36" s="1"/>
  <c r="BE56" i="59" l="1"/>
  <c r="BE55" i="59"/>
  <c r="Q103" i="50"/>
  <c r="W103" i="50" l="1"/>
  <c r="W104" i="50" s="1"/>
  <c r="I182" i="73" l="1"/>
  <c r="I183" i="73"/>
  <c r="I186" i="73"/>
  <c r="I167" i="73"/>
  <c r="I169" i="73"/>
  <c r="I170" i="73"/>
  <c r="I173" i="73"/>
  <c r="I178" i="73"/>
  <c r="I123" i="73"/>
  <c r="I124" i="73"/>
  <c r="I125" i="73"/>
  <c r="I128" i="73"/>
  <c r="I131" i="73"/>
  <c r="I135" i="73"/>
  <c r="I136" i="73"/>
  <c r="I31" i="73"/>
  <c r="I32" i="73"/>
  <c r="I33" i="73"/>
  <c r="I34" i="73"/>
  <c r="I36" i="73"/>
  <c r="I37" i="73"/>
  <c r="I47" i="73"/>
  <c r="I49" i="73"/>
  <c r="I50" i="73"/>
  <c r="I52" i="73"/>
  <c r="I53" i="73"/>
  <c r="I111" i="73"/>
  <c r="I63" i="73"/>
  <c r="I103" i="73"/>
  <c r="I104" i="73"/>
  <c r="I117" i="73"/>
  <c r="I108" i="73"/>
  <c r="I114" i="73"/>
  <c r="I115" i="73"/>
  <c r="I126" i="73" l="1"/>
  <c r="I130" i="73"/>
  <c r="I134" i="73"/>
  <c r="AE115" i="73"/>
  <c r="AE104" i="73"/>
  <c r="AE52" i="73"/>
  <c r="AO36" i="73"/>
  <c r="AS36" i="73" s="1"/>
  <c r="AE124" i="73"/>
  <c r="AI124" i="73" s="1"/>
  <c r="AO124" i="73" s="1"/>
  <c r="AS124" i="73" s="1"/>
  <c r="AE111" i="73"/>
  <c r="AO31" i="73"/>
  <c r="AS31" i="73" s="1"/>
  <c r="AE123" i="73"/>
  <c r="AI123" i="73" s="1"/>
  <c r="AO123" i="73" s="1"/>
  <c r="AS123" i="73" s="1"/>
  <c r="AE114" i="73"/>
  <c r="AE103" i="73"/>
  <c r="AE63" i="73"/>
  <c r="AE47" i="73"/>
  <c r="AE125" i="73"/>
  <c r="AI125" i="73" s="1"/>
  <c r="AO125" i="73" s="1"/>
  <c r="AS125" i="73" s="1"/>
  <c r="AE108" i="73"/>
  <c r="AE117" i="73"/>
  <c r="AI103" i="73" l="1"/>
  <c r="AO103" i="73" s="1"/>
  <c r="AS103" i="73" s="1"/>
  <c r="AW103" i="73" s="1"/>
  <c r="AI104" i="73"/>
  <c r="AO104" i="73" s="1"/>
  <c r="AS104" i="73" s="1"/>
  <c r="AW104" i="73" s="1"/>
  <c r="AI63" i="73"/>
  <c r="AO63" i="73" s="1"/>
  <c r="AS63" i="73" s="1"/>
  <c r="AW63" i="73" s="1"/>
  <c r="AI111" i="73"/>
  <c r="AO111" i="73" s="1"/>
  <c r="AS111" i="73" s="1"/>
  <c r="AW111" i="73" s="1"/>
  <c r="AI117" i="73"/>
  <c r="AO117" i="73" s="1"/>
  <c r="AS117" i="73" s="1"/>
  <c r="AW117" i="73" s="1"/>
  <c r="AI108" i="73"/>
  <c r="AO108" i="73" s="1"/>
  <c r="AS108" i="73" s="1"/>
  <c r="AW108" i="73" s="1"/>
  <c r="AI115" i="73"/>
  <c r="AO115" i="73" s="1"/>
  <c r="AS115" i="73" s="1"/>
  <c r="AW115" i="73" s="1"/>
  <c r="AI114" i="73"/>
  <c r="AO114" i="73" s="1"/>
  <c r="AS114" i="73" s="1"/>
  <c r="AW114" i="73" s="1"/>
  <c r="AI52" i="73"/>
  <c r="AO52" i="73" s="1"/>
  <c r="AS52" i="73" s="1"/>
  <c r="AW52" i="73" s="1"/>
  <c r="AI47" i="73"/>
  <c r="AO47" i="73" s="1"/>
  <c r="AS47" i="73" s="1"/>
  <c r="AW47" i="73" s="1"/>
  <c r="AW31" i="73"/>
  <c r="AW125" i="73"/>
  <c r="AW123" i="73"/>
  <c r="AW124" i="73"/>
  <c r="AW36" i="73"/>
  <c r="AE128" i="73"/>
  <c r="AE135" i="73"/>
  <c r="AI135" i="73" s="1"/>
  <c r="AE131" i="73"/>
  <c r="AI131" i="73" s="1"/>
  <c r="AE136" i="73"/>
  <c r="AI136" i="73" s="1"/>
  <c r="BE124" i="73" l="1"/>
  <c r="BE114" i="73"/>
  <c r="BE115" i="73"/>
  <c r="BE108" i="73"/>
  <c r="BE123" i="73"/>
  <c r="BE125" i="73"/>
  <c r="BE111" i="73"/>
  <c r="BE10" i="15" s="1"/>
  <c r="BE36" i="73"/>
  <c r="BE63" i="73"/>
  <c r="BE47" i="73"/>
  <c r="BE104" i="73"/>
  <c r="BE52" i="73"/>
  <c r="BE103" i="73"/>
  <c r="BE117" i="73"/>
  <c r="BE31" i="73"/>
  <c r="AE130" i="73"/>
  <c r="AI130" i="73" s="1"/>
  <c r="AE134" i="73"/>
  <c r="AI134" i="73" s="1"/>
  <c r="AI128" i="73"/>
  <c r="AE126" i="73"/>
  <c r="AO128" i="73" l="1"/>
  <c r="AS128" i="73" s="1"/>
  <c r="AW128" i="73" s="1"/>
  <c r="AI126" i="73"/>
  <c r="AO126" i="73" s="1"/>
  <c r="AO135" i="73"/>
  <c r="AS135" i="73" s="1"/>
  <c r="AW135" i="73" s="1"/>
  <c r="AO134" i="73"/>
  <c r="AO136" i="73"/>
  <c r="AS136" i="73" s="1"/>
  <c r="AO131" i="73"/>
  <c r="AS131" i="73" s="1"/>
  <c r="AW131" i="73" s="1"/>
  <c r="AO130" i="73"/>
  <c r="AW126" i="73" l="1"/>
  <c r="AW134" i="73"/>
  <c r="AW130" i="73"/>
  <c r="AW136" i="73"/>
  <c r="AS130" i="73"/>
  <c r="AS134" i="73"/>
  <c r="AS126" i="73"/>
  <c r="BE136" i="73" l="1"/>
  <c r="BE128" i="73"/>
  <c r="BE126" i="73" s="1"/>
  <c r="BE135" i="73"/>
  <c r="BE134" i="73" s="1"/>
  <c r="BE131" i="73"/>
  <c r="BE130" i="73" s="1"/>
  <c r="M20" i="7" l="1"/>
  <c r="Q20" i="7" l="1"/>
  <c r="U20" i="7" s="1"/>
  <c r="AA20" i="7"/>
  <c r="R20" i="7"/>
  <c r="V20" i="7" l="1"/>
  <c r="AE20" i="7"/>
  <c r="B25" i="15"/>
  <c r="AI20" i="7" l="1"/>
  <c r="D21" i="7"/>
  <c r="AO20" i="7" l="1"/>
  <c r="E49" i="39"/>
  <c r="AS20" i="7" l="1"/>
  <c r="AW20" i="7" s="1"/>
  <c r="BE20" i="7" s="1"/>
  <c r="M49" i="39"/>
  <c r="I49" i="39"/>
  <c r="E51" i="39"/>
  <c r="M51" i="39" l="1"/>
  <c r="Q49" i="39"/>
  <c r="I51" i="39"/>
  <c r="U49" i="39" l="1"/>
  <c r="Q51" i="39"/>
  <c r="BQ24" i="21"/>
  <c r="BA41" i="7" l="1"/>
  <c r="BC21" i="7"/>
  <c r="U51" i="39"/>
  <c r="AA49" i="39"/>
  <c r="Y127" i="6"/>
  <c r="AA127" i="6" l="1"/>
  <c r="BA51" i="7"/>
  <c r="BC41" i="7"/>
  <c r="BC51" i="7" s="1"/>
  <c r="AE49" i="39"/>
  <c r="AA51" i="39"/>
  <c r="AE127" i="6" l="1"/>
  <c r="AE51" i="39"/>
  <c r="AI49" i="39"/>
  <c r="AI127" i="6" l="1"/>
  <c r="AO49" i="39"/>
  <c r="AI51" i="39"/>
  <c r="AO127" i="6" l="1"/>
  <c r="AO51" i="39"/>
  <c r="AS49" i="39"/>
  <c r="AS127" i="6" l="1"/>
  <c r="AW49" i="39"/>
  <c r="AS51" i="39"/>
  <c r="AF160" i="10"/>
  <c r="AB160" i="10"/>
  <c r="V54" i="11"/>
  <c r="AB44" i="11"/>
  <c r="AF44" i="11" s="1"/>
  <c r="AJ44" i="11" s="1"/>
  <c r="AW127" i="6" l="1"/>
  <c r="AF192" i="10"/>
  <c r="AW51" i="39"/>
  <c r="BE49" i="39"/>
  <c r="AJ57" i="11"/>
  <c r="AB159" i="10"/>
  <c r="AB158" i="10"/>
  <c r="AB210" i="10" s="1"/>
  <c r="AP160" i="10"/>
  <c r="AF184" i="10"/>
  <c r="AF57" i="11"/>
  <c r="AF93" i="11" s="1"/>
  <c r="F39" i="35"/>
  <c r="BE127" i="6" l="1"/>
  <c r="AB200" i="10"/>
  <c r="BE51" i="39"/>
  <c r="AJ93" i="11"/>
  <c r="AJ85" i="11"/>
  <c r="AF158" i="10"/>
  <c r="AF210" i="10" s="1"/>
  <c r="AF159" i="10"/>
  <c r="AB163" i="10"/>
  <c r="AT160" i="10"/>
  <c r="AF85" i="11"/>
  <c r="AP44" i="11"/>
  <c r="AT44" i="11" s="1"/>
  <c r="AF199" i="10"/>
  <c r="Z98" i="8"/>
  <c r="Z149" i="8" s="1"/>
  <c r="AX44" i="11" l="1"/>
  <c r="AT57" i="11"/>
  <c r="AT85" i="11" s="1"/>
  <c r="AP192" i="10"/>
  <c r="AP184" i="10"/>
  <c r="AT184" i="10" s="1"/>
  <c r="AX184" i="10" s="1"/>
  <c r="AP57" i="11"/>
  <c r="AF200" i="10"/>
  <c r="AF178" i="10"/>
  <c r="AI65" i="59" s="1"/>
  <c r="AF191" i="10"/>
  <c r="AF196" i="10"/>
  <c r="Z10" i="52"/>
  <c r="Y10" i="52"/>
  <c r="Z5" i="52"/>
  <c r="Y5" i="52"/>
  <c r="AX57" i="11" l="1"/>
  <c r="AX93" i="11" s="1"/>
  <c r="AF193" i="10"/>
  <c r="AT93" i="11"/>
  <c r="BF44" i="11"/>
  <c r="BF57" i="11" s="1"/>
  <c r="AP159" i="10"/>
  <c r="AP158" i="10"/>
  <c r="AP210" i="10" s="1"/>
  <c r="BF160" i="10"/>
  <c r="AP199" i="10"/>
  <c r="AT192" i="10"/>
  <c r="AP93" i="11"/>
  <c r="AP85" i="11"/>
  <c r="AM65" i="59"/>
  <c r="Y9" i="52"/>
  <c r="Z16" i="52"/>
  <c r="Y16" i="52"/>
  <c r="Z9" i="52"/>
  <c r="AX85" i="11" l="1"/>
  <c r="AP163" i="10"/>
  <c r="AP191" i="10"/>
  <c r="BF93" i="11"/>
  <c r="BF85" i="11"/>
  <c r="AP200" i="10"/>
  <c r="BF192" i="10"/>
  <c r="BF184" i="10"/>
  <c r="AP178" i="10"/>
  <c r="AS65" i="59" s="1"/>
  <c r="AT158" i="10"/>
  <c r="AT210" i="10" s="1"/>
  <c r="AT159" i="10"/>
  <c r="AP196" i="10"/>
  <c r="AT199" i="10"/>
  <c r="Y17" i="52"/>
  <c r="Z17" i="52"/>
  <c r="AT163" i="10" l="1"/>
  <c r="AP193" i="10"/>
  <c r="AT191" i="10"/>
  <c r="AT178" i="10"/>
  <c r="AW65" i="59" s="1"/>
  <c r="AT196" i="10"/>
  <c r="AT200" i="10"/>
  <c r="AT193" i="10" l="1"/>
  <c r="BF159" i="10"/>
  <c r="BF158" i="10"/>
  <c r="BA65" i="59"/>
  <c r="F59" i="11"/>
  <c r="V44" i="11"/>
  <c r="V57" i="11" s="1"/>
  <c r="BF200" i="10" l="1"/>
  <c r="BF163" i="10"/>
  <c r="V85" i="11"/>
  <c r="V93" i="11"/>
  <c r="BF191" i="10"/>
  <c r="BF196" i="10"/>
  <c r="R159" i="10"/>
  <c r="BF178" i="10"/>
  <c r="N196" i="10"/>
  <c r="R200" i="10" l="1"/>
  <c r="BI65" i="59"/>
  <c r="R160" i="10"/>
  <c r="R158" i="10"/>
  <c r="R210" i="10" s="1"/>
  <c r="BF193" i="10"/>
  <c r="Y190" i="6" l="1"/>
  <c r="Y73" i="11" l="1"/>
  <c r="Y172" i="10"/>
  <c r="AA122" i="45" l="1"/>
  <c r="Z57" i="11"/>
  <c r="AA159" i="45" l="1"/>
  <c r="AA150" i="45"/>
  <c r="Z196" i="10"/>
  <c r="Z39" i="9"/>
  <c r="Z40" i="9"/>
  <c r="Z41" i="9"/>
  <c r="Z42" i="9"/>
  <c r="Y119" i="90" s="1"/>
  <c r="Z43" i="9"/>
  <c r="Z44" i="9"/>
  <c r="Y6" i="7" l="1"/>
  <c r="W115" i="7"/>
  <c r="W114" i="7"/>
  <c r="Y21" i="7" l="1"/>
  <c r="Z117" i="6" l="1"/>
  <c r="Y117" i="6"/>
  <c r="Z112" i="6"/>
  <c r="AB112" i="6" s="1"/>
  <c r="AF112" i="6" s="1"/>
  <c r="AJ112" i="6" s="1"/>
  <c r="AP112" i="6" s="1"/>
  <c r="AT112" i="6" s="1"/>
  <c r="Y112" i="6"/>
  <c r="AA112" i="6" s="1"/>
  <c r="AE112" i="6" s="1"/>
  <c r="AI112" i="6" s="1"/>
  <c r="AO112" i="6" s="1"/>
  <c r="AS112" i="6" s="1"/>
  <c r="Z100" i="6"/>
  <c r="Y100" i="6"/>
  <c r="Z96" i="6"/>
  <c r="AB96" i="6" s="1"/>
  <c r="AF96" i="6" s="1"/>
  <c r="AJ96" i="6" s="1"/>
  <c r="AP96" i="6" s="1"/>
  <c r="AT96" i="6" s="1"/>
  <c r="Z97" i="6"/>
  <c r="Y96" i="6"/>
  <c r="Z139" i="6"/>
  <c r="Z136" i="6"/>
  <c r="Z134" i="6"/>
  <c r="Z133" i="6"/>
  <c r="AX112" i="6" l="1"/>
  <c r="AW112" i="6"/>
  <c r="AX96" i="6"/>
  <c r="Y61" i="6"/>
  <c r="AB23" i="59" s="1"/>
  <c r="AB12" i="59"/>
  <c r="Y60" i="6"/>
  <c r="AB16" i="59" s="1"/>
  <c r="AA96" i="6"/>
  <c r="AE96" i="6" s="1"/>
  <c r="AI96" i="6" s="1"/>
  <c r="AO96" i="6" s="1"/>
  <c r="AS96" i="6" s="1"/>
  <c r="BF96" i="6" l="1"/>
  <c r="BE112" i="6"/>
  <c r="BF112" i="6"/>
  <c r="AW96" i="6"/>
  <c r="Z8" i="6"/>
  <c r="X9" i="15"/>
  <c r="Y9" i="15"/>
  <c r="Y56" i="11"/>
  <c r="Y74" i="11" s="1"/>
  <c r="Z121" i="45"/>
  <c r="BE96" i="6" l="1"/>
  <c r="AA140" i="50"/>
  <c r="Y55" i="11"/>
  <c r="Y97" i="11"/>
  <c r="Y18" i="15"/>
  <c r="Z70" i="36"/>
  <c r="Z10" i="6"/>
  <c r="Z124" i="45"/>
  <c r="Z120" i="45"/>
  <c r="N11" i="52" l="1"/>
  <c r="AB11" i="52" s="1"/>
  <c r="AF11" i="52" s="1"/>
  <c r="AJ11" i="52" s="1"/>
  <c r="AP11" i="52" s="1"/>
  <c r="AT11" i="52" s="1"/>
  <c r="AX11" i="52" s="1"/>
  <c r="BF11" i="52" s="1"/>
  <c r="M11" i="52"/>
  <c r="AA11" i="52" s="1"/>
  <c r="AE11" i="52" s="1"/>
  <c r="AI11" i="52" s="1"/>
  <c r="AO11" i="52" s="1"/>
  <c r="AS11" i="52" l="1"/>
  <c r="AW11" i="52" s="1"/>
  <c r="BE11" i="52" s="1"/>
  <c r="Q11" i="52"/>
  <c r="U11" i="52" s="1"/>
  <c r="R11" i="52"/>
  <c r="V11" i="52" s="1"/>
  <c r="AD42" i="38" l="1"/>
  <c r="AD40" i="38"/>
  <c r="AD34" i="38"/>
  <c r="AD18" i="38"/>
  <c r="AD12" i="38"/>
  <c r="AA157" i="45"/>
  <c r="AA135" i="50" l="1"/>
  <c r="Z57" i="9"/>
  <c r="AD17" i="38"/>
  <c r="AD39" i="38"/>
  <c r="AD15" i="38"/>
  <c r="Z26" i="36" l="1"/>
  <c r="Z62" i="9"/>
  <c r="AD16" i="38"/>
  <c r="AD48" i="38" s="1"/>
  <c r="Z91" i="8" l="1"/>
  <c r="AB91" i="8" s="1"/>
  <c r="Z21" i="8"/>
  <c r="Z15" i="8"/>
  <c r="AB15" i="8" s="1"/>
  <c r="AF15" i="8" s="1"/>
  <c r="Y15" i="8"/>
  <c r="Z14" i="8"/>
  <c r="AB14" i="8" s="1"/>
  <c r="AF14" i="8" s="1"/>
  <c r="Y14" i="8"/>
  <c r="AJ15" i="8" l="1"/>
  <c r="AP15" i="8" s="1"/>
  <c r="AT15" i="8" s="1"/>
  <c r="AJ14" i="8"/>
  <c r="AP14" i="8" s="1"/>
  <c r="AT14" i="8" s="1"/>
  <c r="Z14" i="36"/>
  <c r="Z36" i="8"/>
  <c r="AB36" i="8" s="1"/>
  <c r="AF36" i="8" s="1"/>
  <c r="Y136" i="6"/>
  <c r="Y134" i="6"/>
  <c r="Y133" i="6"/>
  <c r="Y126" i="6"/>
  <c r="Y125" i="6"/>
  <c r="AX14" i="8" l="1"/>
  <c r="BF14" i="8" s="1"/>
  <c r="AX15" i="8"/>
  <c r="BF15" i="8" s="1"/>
  <c r="AJ36" i="8"/>
  <c r="AP36" i="8" s="1"/>
  <c r="AT36" i="8" s="1"/>
  <c r="Z35" i="8"/>
  <c r="AB35" i="8" s="1"/>
  <c r="AF35" i="8" s="1"/>
  <c r="Z34" i="8"/>
  <c r="AB34" i="8" s="1"/>
  <c r="AF34" i="8" s="1"/>
  <c r="AX36" i="8" l="1"/>
  <c r="AJ35" i="8"/>
  <c r="AP35" i="8" s="1"/>
  <c r="AT35" i="8" s="1"/>
  <c r="AJ34" i="8"/>
  <c r="AP34" i="8" s="1"/>
  <c r="AT34" i="8" s="1"/>
  <c r="Y181" i="73"/>
  <c r="Y51" i="73"/>
  <c r="Y46" i="73"/>
  <c r="Y118" i="73" l="1"/>
  <c r="BF36" i="8"/>
  <c r="AX34" i="8"/>
  <c r="AX35" i="8"/>
  <c r="Y122" i="73"/>
  <c r="Y179" i="73"/>
  <c r="T7" i="15"/>
  <c r="T6" i="15"/>
  <c r="T5" i="15"/>
  <c r="Z18" i="21"/>
  <c r="BF35" i="8" l="1"/>
  <c r="BF34" i="8"/>
  <c r="AC12" i="59"/>
  <c r="Z61" i="6"/>
  <c r="AC23" i="59" s="1"/>
  <c r="Z60" i="6"/>
  <c r="AC16" i="59" s="1"/>
  <c r="Q115" i="7" l="1"/>
  <c r="Q114" i="7"/>
  <c r="Q113" i="7"/>
  <c r="Q112" i="7"/>
  <c r="Q111" i="7"/>
  <c r="Q110" i="7"/>
  <c r="Q109" i="7"/>
  <c r="Q108" i="7"/>
  <c r="Q107" i="7"/>
  <c r="Q106" i="7"/>
  <c r="Q85" i="7"/>
  <c r="Z1" i="35" l="1"/>
  <c r="Y1" i="35"/>
  <c r="Y21" i="35" s="1"/>
  <c r="Q23" i="36"/>
  <c r="Q22" i="36"/>
  <c r="Q21" i="36"/>
  <c r="Z21" i="35" l="1"/>
  <c r="O103" i="50"/>
  <c r="S103" i="50" l="1"/>
  <c r="Q199" i="6"/>
  <c r="Q198" i="6"/>
  <c r="Q197" i="6"/>
  <c r="Q190" i="6"/>
  <c r="Q189" i="6"/>
  <c r="Q186" i="6"/>
  <c r="Q185" i="6"/>
  <c r="Q184" i="6"/>
  <c r="Q183" i="6"/>
  <c r="Q182" i="6"/>
  <c r="Q181" i="6"/>
  <c r="Q179" i="6"/>
  <c r="Q178" i="6"/>
  <c r="Q177" i="6"/>
  <c r="Q165" i="6"/>
  <c r="Q164" i="6"/>
  <c r="Q161" i="6"/>
  <c r="Q160" i="6"/>
  <c r="Q159" i="6"/>
  <c r="Q158" i="6"/>
  <c r="Q157" i="6"/>
  <c r="Q156" i="6"/>
  <c r="Q154" i="6"/>
  <c r="Q153" i="6"/>
  <c r="Q149" i="6"/>
  <c r="Q85" i="6"/>
  <c r="Q83" i="6"/>
  <c r="Q82" i="6"/>
  <c r="Q80" i="6"/>
  <c r="Q79" i="6"/>
  <c r="Q40" i="6"/>
  <c r="Q39" i="6"/>
  <c r="Q38" i="6"/>
  <c r="Q37" i="6"/>
  <c r="Q41" i="6" l="1"/>
  <c r="Y14" i="36" l="1"/>
  <c r="N1" i="35" l="1"/>
  <c r="M1" i="35"/>
  <c r="Q1" i="35" s="1"/>
  <c r="R1" i="35" l="1"/>
  <c r="V1" i="35" s="1"/>
  <c r="U1" i="35"/>
  <c r="Y26" i="36"/>
  <c r="X18" i="15"/>
  <c r="AA1" i="35" l="1"/>
  <c r="AE1" i="35" s="1"/>
  <c r="AI1" i="35" s="1"/>
  <c r="AO1" i="35" s="1"/>
  <c r="AS1" i="35" s="1"/>
  <c r="AW1" i="35" s="1"/>
  <c r="BE1" i="35" s="1"/>
  <c r="AB1" i="35"/>
  <c r="AF1" i="35" l="1"/>
  <c r="AJ1" i="35" s="1"/>
  <c r="AP1" i="35" s="1"/>
  <c r="AT1" i="35" s="1"/>
  <c r="Y159" i="10"/>
  <c r="Y203" i="10" s="1"/>
  <c r="Y158" i="10" l="1"/>
  <c r="Y210" i="10" s="1"/>
  <c r="Y173" i="10"/>
  <c r="AX1" i="35"/>
  <c r="BF1" i="35" s="1"/>
  <c r="BE61" i="71"/>
  <c r="BA61" i="71"/>
  <c r="X31" i="17"/>
  <c r="Y61" i="17"/>
  <c r="X28" i="17"/>
  <c r="X22" i="17"/>
  <c r="X18" i="17"/>
  <c r="X16" i="17"/>
  <c r="X14" i="17"/>
  <c r="BC61" i="71" l="1"/>
  <c r="Y25" i="36"/>
  <c r="Z98" i="50"/>
  <c r="Z96" i="50" s="1"/>
  <c r="Z10" i="22"/>
  <c r="Z15" i="22" s="1"/>
  <c r="R15" i="22"/>
  <c r="X29" i="17"/>
  <c r="X32" i="17" s="1"/>
  <c r="Z25" i="22"/>
  <c r="Z27" i="22" s="1"/>
  <c r="Y22" i="17"/>
  <c r="X20" i="17"/>
  <c r="X24" i="17" s="1"/>
  <c r="J63" i="71"/>
  <c r="Y81" i="8"/>
  <c r="Y41" i="7"/>
  <c r="BK61" i="71" l="1"/>
  <c r="BG61" i="71"/>
  <c r="Z12" i="22"/>
  <c r="X61" i="17"/>
  <c r="Y20" i="17"/>
  <c r="M53" i="72" l="1"/>
  <c r="W51" i="72"/>
  <c r="Y24" i="17"/>
  <c r="Z48" i="9"/>
  <c r="Z47" i="9"/>
  <c r="Z49" i="9" l="1"/>
  <c r="Y8" i="6"/>
  <c r="Z84" i="9" l="1"/>
  <c r="Z86" i="9"/>
  <c r="Z80" i="9"/>
  <c r="Z83" i="9"/>
  <c r="Z85" i="9"/>
  <c r="Z82" i="9"/>
  <c r="Z87" i="9"/>
  <c r="Z81" i="9"/>
  <c r="Y10" i="6"/>
  <c r="E101" i="9" l="1"/>
  <c r="M38" i="27" l="1"/>
  <c r="AA38" i="27" s="1"/>
  <c r="AE38" i="27" s="1"/>
  <c r="L38" i="27"/>
  <c r="Z38" i="27" s="1"/>
  <c r="AD38" i="27" s="1"/>
  <c r="M32" i="27"/>
  <c r="L32" i="27"/>
  <c r="M23" i="27"/>
  <c r="L23" i="27"/>
  <c r="L7" i="27"/>
  <c r="Z7" i="27" s="1"/>
  <c r="AD7" i="27" s="1"/>
  <c r="M7" i="27"/>
  <c r="AA7" i="27" s="1"/>
  <c r="AE7" i="27" s="1"/>
  <c r="L8" i="27"/>
  <c r="Z8" i="27" s="1"/>
  <c r="AD8" i="27" s="1"/>
  <c r="M8" i="27"/>
  <c r="AA8" i="27" s="1"/>
  <c r="AE8" i="27" s="1"/>
  <c r="L9" i="27"/>
  <c r="Z9" i="27" s="1"/>
  <c r="AD9" i="27" s="1"/>
  <c r="M9" i="27"/>
  <c r="AA9" i="27" s="1"/>
  <c r="AE9" i="27" s="1"/>
  <c r="L10" i="27"/>
  <c r="Z10" i="27" s="1"/>
  <c r="AD10" i="27" s="1"/>
  <c r="M10" i="27"/>
  <c r="AA10" i="27" s="1"/>
  <c r="AE10" i="27" s="1"/>
  <c r="L11" i="27"/>
  <c r="Z11" i="27" s="1"/>
  <c r="AD11" i="27" s="1"/>
  <c r="M11" i="27"/>
  <c r="AA11" i="27" s="1"/>
  <c r="AE11" i="27" s="1"/>
  <c r="L12" i="27"/>
  <c r="Z12" i="27" s="1"/>
  <c r="AD12" i="27" s="1"/>
  <c r="M12" i="27"/>
  <c r="AA12" i="27" s="1"/>
  <c r="AE12" i="27" s="1"/>
  <c r="L13" i="27"/>
  <c r="Z13" i="27" s="1"/>
  <c r="AD13" i="27" s="1"/>
  <c r="M13" i="27"/>
  <c r="AA13" i="27" s="1"/>
  <c r="AE13" i="27" s="1"/>
  <c r="L14" i="27"/>
  <c r="P14" i="27" s="1"/>
  <c r="M14" i="27"/>
  <c r="AA14" i="27" s="1"/>
  <c r="AE14" i="27" s="1"/>
  <c r="L15" i="27"/>
  <c r="M15" i="27"/>
  <c r="AA15" i="27" s="1"/>
  <c r="AE15" i="27" s="1"/>
  <c r="M6" i="27"/>
  <c r="AA6" i="27" s="1"/>
  <c r="AE6" i="27" s="1"/>
  <c r="L6" i="27"/>
  <c r="Z14" i="27" l="1"/>
  <c r="AD14" i="27" s="1"/>
  <c r="T14" i="27"/>
  <c r="AH38" i="27"/>
  <c r="AN38" i="27" s="1"/>
  <c r="AI10" i="27"/>
  <c r="AO10" i="27" s="1"/>
  <c r="AS10" i="27" s="1"/>
  <c r="AI38" i="27"/>
  <c r="AO38" i="27" s="1"/>
  <c r="AI13" i="27"/>
  <c r="AO13" i="27" s="1"/>
  <c r="AS13" i="27" s="1"/>
  <c r="AH13" i="27"/>
  <c r="AN13" i="27" s="1"/>
  <c r="AR13" i="27" s="1"/>
  <c r="AI9" i="27"/>
  <c r="AO9" i="27" s="1"/>
  <c r="AS9" i="27" s="1"/>
  <c r="AH11" i="27"/>
  <c r="AN11" i="27" s="1"/>
  <c r="AR11" i="27" s="1"/>
  <c r="AI7" i="27"/>
  <c r="AO7" i="27" s="1"/>
  <c r="AS7" i="27" s="1"/>
  <c r="AH10" i="27"/>
  <c r="AN10" i="27" s="1"/>
  <c r="AR10" i="27" s="1"/>
  <c r="AI15" i="27"/>
  <c r="AO15" i="27" s="1"/>
  <c r="AS15" i="27" s="1"/>
  <c r="Z15" i="27"/>
  <c r="AD15" i="27" s="1"/>
  <c r="P15" i="27"/>
  <c r="T15" i="27" s="1"/>
  <c r="AH12" i="27"/>
  <c r="AN12" i="27" s="1"/>
  <c r="AH9" i="27"/>
  <c r="AN9" i="27" s="1"/>
  <c r="AR9" i="27" s="1"/>
  <c r="AH8" i="27"/>
  <c r="AN8" i="27" s="1"/>
  <c r="AR8" i="27" s="1"/>
  <c r="Z6" i="27"/>
  <c r="AD6" i="27" s="1"/>
  <c r="P6" i="27"/>
  <c r="T6" i="27" s="1"/>
  <c r="AI6" i="27"/>
  <c r="AO6" i="27" s="1"/>
  <c r="AS6" i="27" s="1"/>
  <c r="AH7" i="27"/>
  <c r="AN7" i="27" s="1"/>
  <c r="AR7" i="27" s="1"/>
  <c r="AI12" i="27"/>
  <c r="AO12" i="27" s="1"/>
  <c r="AS12" i="27" s="1"/>
  <c r="AI14" i="27"/>
  <c r="AO14" i="27" s="1"/>
  <c r="AS14" i="27" s="1"/>
  <c r="AI11" i="27"/>
  <c r="AO11" i="27" s="1"/>
  <c r="AS11" i="27" s="1"/>
  <c r="AI8" i="27"/>
  <c r="AO8" i="27" s="1"/>
  <c r="AS8" i="27" s="1"/>
  <c r="AW13" i="27" l="1"/>
  <c r="BE13" i="27" s="1"/>
  <c r="AW15" i="27"/>
  <c r="BE15" i="27" s="1"/>
  <c r="AS38" i="27"/>
  <c r="AW38" i="27" s="1"/>
  <c r="BE38" i="27" s="1"/>
  <c r="AV11" i="27"/>
  <c r="BD11" i="27" s="1"/>
  <c r="AW11" i="27"/>
  <c r="BE11" i="27" s="1"/>
  <c r="AV8" i="27"/>
  <c r="BD8" i="27" s="1"/>
  <c r="AW12" i="27"/>
  <c r="BE12" i="27" s="1"/>
  <c r="AW7" i="27"/>
  <c r="BE7" i="27" s="1"/>
  <c r="AV7" i="27"/>
  <c r="BD7" i="27" s="1"/>
  <c r="AW9" i="27"/>
  <c r="BE9" i="27" s="1"/>
  <c r="AW14" i="27"/>
  <c r="BE14" i="27" s="1"/>
  <c r="AV10" i="27"/>
  <c r="BD10" i="27" s="1"/>
  <c r="AV9" i="27"/>
  <c r="BD9" i="27" s="1"/>
  <c r="AW10" i="27"/>
  <c r="BE10" i="27" s="1"/>
  <c r="AR12" i="27"/>
  <c r="AR38" i="27"/>
  <c r="AV38" i="27" s="1"/>
  <c r="BD38" i="27" s="1"/>
  <c r="AW6" i="27"/>
  <c r="BE6" i="27" s="1"/>
  <c r="AW8" i="27"/>
  <c r="BE8" i="27" s="1"/>
  <c r="AV13" i="27"/>
  <c r="BD13" i="27" s="1"/>
  <c r="AH15" i="27"/>
  <c r="AN15" i="27" s="1"/>
  <c r="AR15" i="27" s="1"/>
  <c r="AH6" i="27"/>
  <c r="AN6" i="27" s="1"/>
  <c r="AR6" i="27" s="1"/>
  <c r="AH14" i="27"/>
  <c r="AN14" i="27" s="1"/>
  <c r="AR14" i="27" s="1"/>
  <c r="G46" i="50"/>
  <c r="AV12" i="27" l="1"/>
  <c r="BD12" i="27" s="1"/>
  <c r="AV6" i="27"/>
  <c r="BD6" i="27" s="1"/>
  <c r="AV14" i="27"/>
  <c r="BD14" i="27" s="1"/>
  <c r="AV15" i="27"/>
  <c r="BD15" i="27" s="1"/>
  <c r="G121" i="50"/>
  <c r="E26" i="9"/>
  <c r="F460" i="28"/>
  <c r="J460" i="28" l="1"/>
  <c r="O121" i="50"/>
  <c r="K121" i="50"/>
  <c r="F549" i="28"/>
  <c r="J549" i="28" s="1"/>
  <c r="S121" i="50" l="1"/>
  <c r="W121" i="50" s="1"/>
  <c r="AC121" i="50"/>
  <c r="AG121" i="50" s="1"/>
  <c r="AK121" i="50" s="1"/>
  <c r="AQ121" i="50" s="1"/>
  <c r="AU121" i="50" s="1"/>
  <c r="AY121" i="50" s="1"/>
  <c r="BG121" i="50" s="1"/>
  <c r="K7" i="72"/>
  <c r="M107" i="90" s="1"/>
  <c r="E53" i="72" l="1"/>
  <c r="L22" i="15"/>
  <c r="P22" i="15" s="1"/>
  <c r="M10" i="15"/>
  <c r="Q10" i="15" s="1"/>
  <c r="L10" i="15"/>
  <c r="P10" i="15" s="1"/>
  <c r="AA10" i="15" l="1"/>
  <c r="AE10" i="15" s="1"/>
  <c r="U10" i="15"/>
  <c r="AI10" i="15" l="1"/>
  <c r="AO10" i="15" s="1"/>
  <c r="AS10" i="15" s="1"/>
  <c r="AW10" i="15" s="1"/>
  <c r="T22" i="15"/>
  <c r="Z22" i="15"/>
  <c r="AD22" i="15" s="1"/>
  <c r="T10" i="15"/>
  <c r="X10" i="15"/>
  <c r="F57" i="9"/>
  <c r="N57" i="9" l="1"/>
  <c r="AH22" i="15"/>
  <c r="AN22" i="15" s="1"/>
  <c r="Z10" i="15"/>
  <c r="AD10" i="15" s="1"/>
  <c r="AH10" i="15" s="1"/>
  <c r="X13" i="15"/>
  <c r="F62" i="9"/>
  <c r="J57" i="9"/>
  <c r="N111" i="9"/>
  <c r="R92" i="9"/>
  <c r="V92" i="9" s="1"/>
  <c r="N88" i="9"/>
  <c r="R88" i="9" s="1"/>
  <c r="V88" i="9" s="1"/>
  <c r="R70" i="9"/>
  <c r="V70" i="9" s="1"/>
  <c r="R69" i="9"/>
  <c r="V69" i="9" s="1"/>
  <c r="R68" i="9"/>
  <c r="V68" i="9" s="1"/>
  <c r="R67" i="9"/>
  <c r="V67" i="9" s="1"/>
  <c r="R66" i="9"/>
  <c r="V66" i="9" s="1"/>
  <c r="R65" i="9"/>
  <c r="V65" i="9" s="1"/>
  <c r="R63" i="9"/>
  <c r="V63" i="9" s="1"/>
  <c r="N55" i="9"/>
  <c r="N45" i="9"/>
  <c r="R45" i="9" s="1"/>
  <c r="V45" i="9" s="1"/>
  <c r="N44" i="9"/>
  <c r="AB44" i="9" s="1"/>
  <c r="AF44" i="9" s="1"/>
  <c r="N43" i="9"/>
  <c r="AB43" i="9" s="1"/>
  <c r="AF43" i="9" s="1"/>
  <c r="N42" i="9"/>
  <c r="M119" i="90" s="1"/>
  <c r="N41" i="9"/>
  <c r="AB41" i="9" s="1"/>
  <c r="AF41" i="9" s="1"/>
  <c r="N40" i="9"/>
  <c r="AB40" i="9" s="1"/>
  <c r="AF40" i="9" s="1"/>
  <c r="N39" i="9"/>
  <c r="AB39" i="9" s="1"/>
  <c r="AF39" i="9" s="1"/>
  <c r="N38" i="9"/>
  <c r="R38" i="9" s="1"/>
  <c r="V38" i="9" s="1"/>
  <c r="N33" i="9"/>
  <c r="R33" i="9" s="1"/>
  <c r="V33" i="9" s="1"/>
  <c r="N32" i="9"/>
  <c r="R32" i="9" s="1"/>
  <c r="V32" i="9" s="1"/>
  <c r="N30" i="9"/>
  <c r="R30" i="9" s="1"/>
  <c r="V30" i="9" s="1"/>
  <c r="N29" i="9"/>
  <c r="N27" i="9"/>
  <c r="N24" i="9"/>
  <c r="N23" i="9"/>
  <c r="N22" i="9"/>
  <c r="N20" i="9"/>
  <c r="N93" i="9" s="1"/>
  <c r="N18" i="9"/>
  <c r="R18" i="9" s="1"/>
  <c r="V18" i="9" s="1"/>
  <c r="N17" i="9"/>
  <c r="R17" i="9" s="1"/>
  <c r="V17" i="9" s="1"/>
  <c r="N16" i="9"/>
  <c r="R16" i="9" s="1"/>
  <c r="V16" i="9" s="1"/>
  <c r="N15" i="9"/>
  <c r="N56" i="36" s="1"/>
  <c r="N13" i="9"/>
  <c r="R13" i="9" s="1"/>
  <c r="V13" i="9" s="1"/>
  <c r="N12" i="9"/>
  <c r="R12" i="9" s="1"/>
  <c r="V12" i="9" s="1"/>
  <c r="N11" i="9"/>
  <c r="R11" i="9" s="1"/>
  <c r="V11" i="9" s="1"/>
  <c r="N8" i="9"/>
  <c r="N9" i="9"/>
  <c r="N7" i="9"/>
  <c r="M53" i="9"/>
  <c r="M52" i="9"/>
  <c r="M51" i="9"/>
  <c r="E53" i="9"/>
  <c r="E52" i="9"/>
  <c r="H57" i="59" s="1"/>
  <c r="M38" i="9"/>
  <c r="Q29" i="9"/>
  <c r="U29" i="9" s="1"/>
  <c r="M20" i="9"/>
  <c r="Q20" i="9" s="1"/>
  <c r="U20" i="9" s="1"/>
  <c r="M15" i="9"/>
  <c r="Q15" i="9" s="1"/>
  <c r="U15" i="9" s="1"/>
  <c r="R13" i="38"/>
  <c r="AF13" i="38" s="1"/>
  <c r="AJ13" i="38" s="1"/>
  <c r="AN13" i="38" s="1"/>
  <c r="R19" i="38"/>
  <c r="R35" i="38"/>
  <c r="AF35" i="38" s="1"/>
  <c r="AJ35" i="38" s="1"/>
  <c r="AN35" i="38" s="1"/>
  <c r="R36" i="38"/>
  <c r="AF36" i="38" s="1"/>
  <c r="AJ36" i="38" s="1"/>
  <c r="AN36" i="38" s="1"/>
  <c r="R37" i="38"/>
  <c r="AF37" i="38" s="1"/>
  <c r="AJ37" i="38" s="1"/>
  <c r="AN37" i="38" s="1"/>
  <c r="R38" i="38"/>
  <c r="AF38" i="38" s="1"/>
  <c r="AJ38" i="38" s="1"/>
  <c r="AN38" i="38" s="1"/>
  <c r="R41" i="38"/>
  <c r="AF41" i="38" s="1"/>
  <c r="AJ41" i="38" s="1"/>
  <c r="AN41" i="38" s="1"/>
  <c r="R43" i="38"/>
  <c r="AF43" i="38" s="1"/>
  <c r="AJ43" i="38" s="1"/>
  <c r="AN43" i="38" s="1"/>
  <c r="R44" i="38"/>
  <c r="AF44" i="38" s="1"/>
  <c r="AJ44" i="38" s="1"/>
  <c r="AN44" i="38" s="1"/>
  <c r="R45" i="38"/>
  <c r="AF45" i="38" s="1"/>
  <c r="AJ45" i="38" s="1"/>
  <c r="AN45" i="38" s="1"/>
  <c r="R46" i="38"/>
  <c r="AF46" i="38" s="1"/>
  <c r="AJ46" i="38" s="1"/>
  <c r="AN46" i="38" s="1"/>
  <c r="N62" i="9" l="1"/>
  <c r="AF19" i="38"/>
  <c r="R29" i="9"/>
  <c r="BB22" i="15"/>
  <c r="AR22" i="15"/>
  <c r="AJ44" i="9"/>
  <c r="AP44" i="9" s="1"/>
  <c r="AT44" i="9" s="1"/>
  <c r="AJ39" i="9"/>
  <c r="AP39" i="9" s="1"/>
  <c r="AT39" i="9" s="1"/>
  <c r="AJ40" i="9"/>
  <c r="AP40" i="9" s="1"/>
  <c r="AT40" i="9" s="1"/>
  <c r="AJ41" i="9"/>
  <c r="AP41" i="9" s="1"/>
  <c r="AT41" i="9" s="1"/>
  <c r="AJ43" i="9"/>
  <c r="AP43" i="9" s="1"/>
  <c r="AT43" i="9" s="1"/>
  <c r="AB42" i="9"/>
  <c r="AA119" i="90" s="1"/>
  <c r="AF167" i="6"/>
  <c r="AN10" i="15"/>
  <c r="AR10" i="15" s="1"/>
  <c r="AV10" i="15" s="1"/>
  <c r="AL10" i="15"/>
  <c r="AL13" i="15" s="1"/>
  <c r="R111" i="9"/>
  <c r="V111" i="9" s="1"/>
  <c r="AB111" i="9"/>
  <c r="AF111" i="9" s="1"/>
  <c r="N58" i="36"/>
  <c r="R57" i="9"/>
  <c r="V57" i="9" s="1"/>
  <c r="AB62" i="9"/>
  <c r="AF62" i="9" s="1"/>
  <c r="J62" i="9"/>
  <c r="R55" i="9"/>
  <c r="V55" i="9" s="1"/>
  <c r="R27" i="9"/>
  <c r="V27" i="9" s="1"/>
  <c r="V148" i="9" s="1"/>
  <c r="N148" i="9"/>
  <c r="R113" i="9"/>
  <c r="V113" i="9" s="1"/>
  <c r="R119" i="9"/>
  <c r="V119" i="9" s="1"/>
  <c r="R125" i="9"/>
  <c r="V125" i="9" s="1"/>
  <c r="R114" i="9"/>
  <c r="V114" i="9" s="1"/>
  <c r="R120" i="9"/>
  <c r="V120" i="9" s="1"/>
  <c r="R126" i="9"/>
  <c r="V126" i="9" s="1"/>
  <c r="R115" i="9"/>
  <c r="V115" i="9" s="1"/>
  <c r="R127" i="9"/>
  <c r="V127" i="9" s="1"/>
  <c r="R116" i="9"/>
  <c r="V116" i="9" s="1"/>
  <c r="R122" i="9"/>
  <c r="V122" i="9" s="1"/>
  <c r="R128" i="9"/>
  <c r="V128" i="9" s="1"/>
  <c r="R117" i="9"/>
  <c r="V117" i="9" s="1"/>
  <c r="R123" i="9"/>
  <c r="V123" i="9" s="1"/>
  <c r="R131" i="9"/>
  <c r="V131" i="9" s="1"/>
  <c r="R112" i="9"/>
  <c r="V112" i="9" s="1"/>
  <c r="R118" i="9"/>
  <c r="V118" i="9" s="1"/>
  <c r="R132" i="9"/>
  <c r="V132" i="9" s="1"/>
  <c r="Q38" i="9"/>
  <c r="U38" i="9" s="1"/>
  <c r="N135" i="9"/>
  <c r="R8" i="9"/>
  <c r="V8" i="9" s="1"/>
  <c r="R39" i="9"/>
  <c r="V39" i="9" s="1"/>
  <c r="R40" i="9"/>
  <c r="V40" i="9" s="1"/>
  <c r="N101" i="9"/>
  <c r="R20" i="9"/>
  <c r="V20" i="9" s="1"/>
  <c r="R41" i="9"/>
  <c r="V41" i="9" s="1"/>
  <c r="N137" i="9"/>
  <c r="R22" i="9"/>
  <c r="V22" i="9" s="1"/>
  <c r="R42" i="9"/>
  <c r="Q119" i="90" s="1"/>
  <c r="Q51" i="9"/>
  <c r="U51" i="9" s="1"/>
  <c r="N134" i="9"/>
  <c r="R7" i="9"/>
  <c r="V7" i="9" s="1"/>
  <c r="N51" i="9"/>
  <c r="R15" i="9"/>
  <c r="V15" i="9" s="1"/>
  <c r="N138" i="9"/>
  <c r="R23" i="9"/>
  <c r="V23" i="9" s="1"/>
  <c r="R43" i="9"/>
  <c r="V43" i="9" s="1"/>
  <c r="N136" i="9"/>
  <c r="R9" i="9"/>
  <c r="V9" i="9" s="1"/>
  <c r="N139" i="9"/>
  <c r="R24" i="9"/>
  <c r="V24" i="9" s="1"/>
  <c r="R44" i="9"/>
  <c r="V44" i="9" s="1"/>
  <c r="R124" i="9"/>
  <c r="V124" i="9" s="1"/>
  <c r="R121" i="9"/>
  <c r="V121" i="9" s="1"/>
  <c r="N35" i="9"/>
  <c r="R35" i="9" s="1"/>
  <c r="V35" i="9" s="1"/>
  <c r="N31" i="9"/>
  <c r="R31" i="9" s="1"/>
  <c r="V31" i="9" s="1"/>
  <c r="N36" i="9"/>
  <c r="N46" i="9"/>
  <c r="R46" i="9" s="1"/>
  <c r="V46" i="9" s="1"/>
  <c r="N34" i="9"/>
  <c r="AJ19" i="38" l="1"/>
  <c r="V29" i="9"/>
  <c r="BK63" i="71" s="1"/>
  <c r="BG63" i="71"/>
  <c r="AV22" i="15"/>
  <c r="BD22" i="15" s="1"/>
  <c r="AX41" i="9"/>
  <c r="BF41" i="9" s="1"/>
  <c r="AX40" i="9"/>
  <c r="BF40" i="9" s="1"/>
  <c r="AX39" i="9"/>
  <c r="BF39" i="9" s="1"/>
  <c r="AX44" i="9"/>
  <c r="BF44" i="9" s="1"/>
  <c r="AX43" i="9"/>
  <c r="BF43" i="9" s="1"/>
  <c r="AJ62" i="9"/>
  <c r="AJ111" i="9"/>
  <c r="AP111" i="9" s="1"/>
  <c r="AT111" i="9" s="1"/>
  <c r="V93" i="9"/>
  <c r="V42" i="9"/>
  <c r="U119" i="90" s="1"/>
  <c r="V58" i="36"/>
  <c r="V10" i="9"/>
  <c r="V56" i="36"/>
  <c r="V25" i="9"/>
  <c r="R36" i="9"/>
  <c r="AF42" i="9"/>
  <c r="AE119" i="90" s="1"/>
  <c r="AT36" i="38"/>
  <c r="AT45" i="38"/>
  <c r="AT37" i="38"/>
  <c r="AT35" i="38"/>
  <c r="AJ167" i="6"/>
  <c r="AT46" i="38"/>
  <c r="AT38" i="38"/>
  <c r="AT43" i="38"/>
  <c r="AT13" i="38"/>
  <c r="AT44" i="38"/>
  <c r="AT41" i="38"/>
  <c r="R62" i="9"/>
  <c r="V62" i="9" s="1"/>
  <c r="N60" i="36"/>
  <c r="R58" i="36"/>
  <c r="R56" i="36"/>
  <c r="R148" i="9"/>
  <c r="R137" i="9"/>
  <c r="V137" i="9" s="1"/>
  <c r="R138" i="9"/>
  <c r="V138" i="9" s="1"/>
  <c r="R139" i="9"/>
  <c r="V139" i="9" s="1"/>
  <c r="R135" i="9"/>
  <c r="V135" i="9" s="1"/>
  <c r="N37" i="9"/>
  <c r="R37" i="9" s="1"/>
  <c r="V37" i="9" s="1"/>
  <c r="R34" i="9"/>
  <c r="V34" i="9" s="1"/>
  <c r="R136" i="9"/>
  <c r="V136" i="9" s="1"/>
  <c r="R51" i="9"/>
  <c r="V51" i="9" s="1"/>
  <c r="R134" i="9"/>
  <c r="V134" i="9" s="1"/>
  <c r="R10" i="9"/>
  <c r="R25" i="9"/>
  <c r="R101" i="9"/>
  <c r="V101" i="9" s="1"/>
  <c r="R93" i="9"/>
  <c r="AN19" i="38" l="1"/>
  <c r="AF193" i="6"/>
  <c r="AX111" i="9"/>
  <c r="BF111" i="9" s="1"/>
  <c r="AJ42" i="9"/>
  <c r="AI119" i="90" s="1"/>
  <c r="AP62" i="9"/>
  <c r="AT62" i="9" s="1"/>
  <c r="V36" i="9"/>
  <c r="V60" i="36"/>
  <c r="AX44" i="38"/>
  <c r="AX43" i="38"/>
  <c r="AX38" i="38"/>
  <c r="AX37" i="38"/>
  <c r="AX35" i="38"/>
  <c r="BB35" i="38" s="1"/>
  <c r="AP167" i="6"/>
  <c r="AX45" i="38"/>
  <c r="AX41" i="38"/>
  <c r="AX13" i="38"/>
  <c r="AX46" i="38"/>
  <c r="AX36" i="38"/>
  <c r="R60" i="36"/>
  <c r="M81" i="8"/>
  <c r="E81" i="8"/>
  <c r="M74" i="8"/>
  <c r="M72" i="8"/>
  <c r="M71" i="8"/>
  <c r="E74" i="8"/>
  <c r="E72" i="8"/>
  <c r="E52" i="8"/>
  <c r="H41" i="59" s="1"/>
  <c r="H43" i="59" s="1"/>
  <c r="M45" i="8"/>
  <c r="M44" i="8"/>
  <c r="P47" i="59" s="1"/>
  <c r="M43" i="8"/>
  <c r="P45" i="59" s="1"/>
  <c r="E45" i="8"/>
  <c r="E44" i="8"/>
  <c r="H47" i="59" s="1"/>
  <c r="E43" i="8"/>
  <c r="H45" i="59" s="1"/>
  <c r="E15" i="8"/>
  <c r="E14" i="8"/>
  <c r="E13" i="8"/>
  <c r="M87" i="8"/>
  <c r="E87" i="8"/>
  <c r="M61" i="8"/>
  <c r="N33" i="8"/>
  <c r="N152" i="8" s="1"/>
  <c r="M33" i="8"/>
  <c r="M21" i="8"/>
  <c r="Q21" i="8" s="1"/>
  <c r="U21" i="8" s="1"/>
  <c r="Q20" i="8"/>
  <c r="U20" i="8" s="1"/>
  <c r="Q19" i="8"/>
  <c r="U19" i="8" s="1"/>
  <c r="M18" i="8"/>
  <c r="Q10" i="8"/>
  <c r="U10" i="8" s="1"/>
  <c r="Q9" i="8"/>
  <c r="U9" i="8" s="1"/>
  <c r="N8" i="8"/>
  <c r="R8" i="8" s="1"/>
  <c r="V8" i="8" s="1"/>
  <c r="M8" i="8"/>
  <c r="N74" i="7"/>
  <c r="M74" i="7"/>
  <c r="R72" i="7"/>
  <c r="V72" i="7" s="1"/>
  <c r="Q72" i="7"/>
  <c r="U72" i="7" s="1"/>
  <c r="N68" i="7"/>
  <c r="N66" i="7"/>
  <c r="M66" i="7"/>
  <c r="Q66" i="7" s="1"/>
  <c r="U66" i="7" s="1"/>
  <c r="N65" i="7"/>
  <c r="M65" i="7"/>
  <c r="Q65" i="7" s="1"/>
  <c r="U65" i="7" s="1"/>
  <c r="R50" i="7"/>
  <c r="V50" i="7" s="1"/>
  <c r="R48" i="7"/>
  <c r="V48" i="7" s="1"/>
  <c r="R47" i="7"/>
  <c r="V47" i="7" s="1"/>
  <c r="R46" i="7"/>
  <c r="V46" i="7" s="1"/>
  <c r="R45" i="7"/>
  <c r="V45" i="7" s="1"/>
  <c r="R44" i="7"/>
  <c r="V44" i="7" s="1"/>
  <c r="R43" i="7"/>
  <c r="V43" i="7" s="1"/>
  <c r="R42" i="7"/>
  <c r="V42" i="7" s="1"/>
  <c r="M7" i="7"/>
  <c r="AA7" i="7" s="1"/>
  <c r="AE7" i="7" s="1"/>
  <c r="M8" i="7"/>
  <c r="M9" i="7"/>
  <c r="M10" i="7"/>
  <c r="M11" i="7"/>
  <c r="M12" i="7"/>
  <c r="M15" i="7"/>
  <c r="M16" i="7"/>
  <c r="N6" i="7"/>
  <c r="M6" i="7"/>
  <c r="M115" i="7"/>
  <c r="M114" i="7"/>
  <c r="M113" i="7"/>
  <c r="M112" i="7"/>
  <c r="M111" i="7"/>
  <c r="M110" i="7"/>
  <c r="M109" i="7"/>
  <c r="M108" i="7"/>
  <c r="M107" i="7"/>
  <c r="M106" i="7"/>
  <c r="M85" i="7"/>
  <c r="AT19" i="38" l="1"/>
  <c r="AJ193" i="6"/>
  <c r="M14" i="8"/>
  <c r="AA14" i="8" s="1"/>
  <c r="AE14" i="8" s="1"/>
  <c r="AI14" i="8" s="1"/>
  <c r="AO14" i="8" s="1"/>
  <c r="AS14" i="8" s="1"/>
  <c r="M15" i="8"/>
  <c r="AA15" i="8" s="1"/>
  <c r="AE15" i="8" s="1"/>
  <c r="AI15" i="8" s="1"/>
  <c r="AO15" i="8" s="1"/>
  <c r="AS15" i="8" s="1"/>
  <c r="M157" i="7"/>
  <c r="M161" i="7"/>
  <c r="AI7" i="7"/>
  <c r="AO7" i="7" s="1"/>
  <c r="AS7" i="7" s="1"/>
  <c r="AW7" i="7" s="1"/>
  <c r="BB36" i="38"/>
  <c r="BB37" i="38"/>
  <c r="BB43" i="38"/>
  <c r="BB13" i="38"/>
  <c r="BB45" i="38"/>
  <c r="BB38" i="38"/>
  <c r="BB44" i="38"/>
  <c r="BB41" i="38"/>
  <c r="BB46" i="38"/>
  <c r="AX62" i="9"/>
  <c r="BF62" i="9" s="1"/>
  <c r="BJ35" i="38"/>
  <c r="AX167" i="6"/>
  <c r="U67" i="7"/>
  <c r="H44" i="59"/>
  <c r="H48" i="59"/>
  <c r="H50" i="59"/>
  <c r="Q61" i="8"/>
  <c r="U61" i="8" s="1"/>
  <c r="BD168" i="6"/>
  <c r="BD194" i="6"/>
  <c r="AP42" i="9"/>
  <c r="AO119" i="90" s="1"/>
  <c r="BB168" i="6"/>
  <c r="BB194" i="6"/>
  <c r="AT167" i="6"/>
  <c r="Q8" i="8"/>
  <c r="U8" i="8" s="1"/>
  <c r="Q74" i="7"/>
  <c r="U74" i="7" s="1"/>
  <c r="U75" i="7" s="1"/>
  <c r="R74" i="7"/>
  <c r="V74" i="7" s="1"/>
  <c r="V75" i="7" s="1"/>
  <c r="R6" i="7"/>
  <c r="Q8" i="7"/>
  <c r="U8" i="7" s="1"/>
  <c r="AA8" i="7"/>
  <c r="AE8" i="7" s="1"/>
  <c r="AI8" i="7" s="1"/>
  <c r="R68" i="7"/>
  <c r="V68" i="7" s="1"/>
  <c r="AA19" i="7"/>
  <c r="Q16" i="7"/>
  <c r="U16" i="7" s="1"/>
  <c r="AA16" i="7"/>
  <c r="AE16" i="7" s="1"/>
  <c r="Q12" i="7"/>
  <c r="U12" i="7" s="1"/>
  <c r="AA12" i="7"/>
  <c r="AE12" i="7" s="1"/>
  <c r="R66" i="7"/>
  <c r="V66" i="7" s="1"/>
  <c r="Q15" i="7"/>
  <c r="U15" i="7" s="1"/>
  <c r="AA15" i="7"/>
  <c r="AE15" i="7" s="1"/>
  <c r="Q11" i="7"/>
  <c r="U11" i="7" s="1"/>
  <c r="AA11" i="7"/>
  <c r="AE11" i="7" s="1"/>
  <c r="Q10" i="7"/>
  <c r="U10" i="7" s="1"/>
  <c r="AA10" i="7"/>
  <c r="AE10" i="7" s="1"/>
  <c r="Q6" i="7"/>
  <c r="U6" i="7" s="1"/>
  <c r="AA6" i="7"/>
  <c r="AE6" i="7" s="1"/>
  <c r="AI6" i="7" s="1"/>
  <c r="Q9" i="7"/>
  <c r="AA9" i="7"/>
  <c r="AA161" i="7" s="1"/>
  <c r="R65" i="7"/>
  <c r="V65" i="7" s="1"/>
  <c r="R16" i="7"/>
  <c r="R12" i="7"/>
  <c r="R8" i="7"/>
  <c r="V19" i="7"/>
  <c r="R15" i="7"/>
  <c r="R11" i="7"/>
  <c r="R9" i="7"/>
  <c r="R10" i="7"/>
  <c r="N109" i="8"/>
  <c r="N110" i="8" s="1"/>
  <c r="Q33" i="8"/>
  <c r="U33" i="8" s="1"/>
  <c r="M11" i="49"/>
  <c r="Q11" i="49" s="1"/>
  <c r="U11" i="49" s="1"/>
  <c r="R7" i="7"/>
  <c r="N21" i="7"/>
  <c r="Q7" i="7"/>
  <c r="U7" i="7" s="1"/>
  <c r="M21" i="7"/>
  <c r="N87" i="8"/>
  <c r="R85" i="8"/>
  <c r="V85" i="8" s="1"/>
  <c r="R60" i="8"/>
  <c r="V60" i="8" s="1"/>
  <c r="R9" i="8"/>
  <c r="V9" i="8" s="1"/>
  <c r="R23" i="8"/>
  <c r="R24" i="8"/>
  <c r="R10" i="8"/>
  <c r="V10" i="8" s="1"/>
  <c r="R25" i="8"/>
  <c r="R27" i="8"/>
  <c r="V27" i="8" s="1"/>
  <c r="R28" i="8"/>
  <c r="V28" i="8" s="1"/>
  <c r="R29" i="8"/>
  <c r="V29" i="8" s="1"/>
  <c r="R31" i="8"/>
  <c r="V31" i="8" s="1"/>
  <c r="R19" i="8"/>
  <c r="V19" i="8" s="1"/>
  <c r="R33" i="8"/>
  <c r="V33" i="8" s="1"/>
  <c r="R20" i="8"/>
  <c r="V20" i="8" s="1"/>
  <c r="M8" i="15"/>
  <c r="R18" i="8"/>
  <c r="Q14" i="8"/>
  <c r="U14" i="8" s="1"/>
  <c r="L8" i="15"/>
  <c r="Q18" i="8"/>
  <c r="Q67" i="7"/>
  <c r="Q15" i="8"/>
  <c r="U15" i="8" s="1"/>
  <c r="M13" i="8"/>
  <c r="M75" i="7"/>
  <c r="N75" i="7"/>
  <c r="N67" i="7"/>
  <c r="M67" i="7"/>
  <c r="AX19" i="38" l="1"/>
  <c r="AP193" i="6"/>
  <c r="U32" i="7"/>
  <c r="U95" i="7" s="1"/>
  <c r="U27" i="7"/>
  <c r="U91" i="7" s="1"/>
  <c r="U23" i="7"/>
  <c r="U87" i="7" s="1"/>
  <c r="U35" i="7"/>
  <c r="U98" i="7" s="1"/>
  <c r="U31" i="7"/>
  <c r="U34" i="7"/>
  <c r="U97" i="7" s="1"/>
  <c r="U29" i="7"/>
  <c r="U93" i="7" s="1"/>
  <c r="U25" i="7"/>
  <c r="U37" i="7"/>
  <c r="U100" i="7" s="1"/>
  <c r="U33" i="7"/>
  <c r="U96" i="7" s="1"/>
  <c r="U28" i="7"/>
  <c r="U92" i="7" s="1"/>
  <c r="U24" i="7"/>
  <c r="U61" i="7"/>
  <c r="U102" i="7" s="1"/>
  <c r="N62" i="7"/>
  <c r="N61" i="7"/>
  <c r="N102" i="7" s="1"/>
  <c r="N60" i="7"/>
  <c r="N59" i="7"/>
  <c r="N58" i="7"/>
  <c r="N57" i="7"/>
  <c r="N56" i="7"/>
  <c r="N101" i="7" s="1"/>
  <c r="N55" i="7"/>
  <c r="N54" i="7"/>
  <c r="N35" i="7"/>
  <c r="N98" i="7" s="1"/>
  <c r="N36" i="7"/>
  <c r="N99" i="7" s="1"/>
  <c r="N34" i="7"/>
  <c r="N97" i="7" s="1"/>
  <c r="N37" i="7"/>
  <c r="N100" i="7" s="1"/>
  <c r="N24" i="7"/>
  <c r="N31" i="7"/>
  <c r="N29" i="7"/>
  <c r="N93" i="7" s="1"/>
  <c r="N33" i="7"/>
  <c r="N96" i="7" s="1"/>
  <c r="N26" i="7"/>
  <c r="N25" i="7"/>
  <c r="N27" i="7"/>
  <c r="N91" i="7" s="1"/>
  <c r="N28" i="7"/>
  <c r="N92" i="7" s="1"/>
  <c r="N32" i="7"/>
  <c r="N95" i="7" s="1"/>
  <c r="Q35" i="7"/>
  <c r="Q98" i="7" s="1"/>
  <c r="Q31" i="7"/>
  <c r="Q26" i="7"/>
  <c r="Q34" i="7"/>
  <c r="Q97" i="7" s="1"/>
  <c r="Q29" i="7"/>
  <c r="Q93" i="7" s="1"/>
  <c r="Q25" i="7"/>
  <c r="Q37" i="7"/>
  <c r="Q100" i="7" s="1"/>
  <c r="Q33" i="7"/>
  <c r="Q96" i="7" s="1"/>
  <c r="Q28" i="7"/>
  <c r="Q92" i="7" s="1"/>
  <c r="Q24" i="7"/>
  <c r="Q36" i="7"/>
  <c r="Q99" i="7" s="1"/>
  <c r="Q32" i="7"/>
  <c r="Q95" i="7" s="1"/>
  <c r="Q27" i="7"/>
  <c r="Q91" i="7" s="1"/>
  <c r="Q23" i="7"/>
  <c r="Q87" i="7" s="1"/>
  <c r="Q61" i="7"/>
  <c r="Q102" i="7" s="1"/>
  <c r="M34" i="7"/>
  <c r="M97" i="7" s="1"/>
  <c r="M29" i="7"/>
  <c r="M93" i="7" s="1"/>
  <c r="M25" i="7"/>
  <c r="M37" i="7"/>
  <c r="M100" i="7" s="1"/>
  <c r="M33" i="7"/>
  <c r="M96" i="7" s="1"/>
  <c r="M28" i="7"/>
  <c r="M92" i="7" s="1"/>
  <c r="M24" i="7"/>
  <c r="M36" i="7"/>
  <c r="M99" i="7" s="1"/>
  <c r="M32" i="7"/>
  <c r="M95" i="7" s="1"/>
  <c r="M27" i="7"/>
  <c r="M91" i="7" s="1"/>
  <c r="M23" i="7"/>
  <c r="M87" i="7" s="1"/>
  <c r="M35" i="7"/>
  <c r="M98" i="7" s="1"/>
  <c r="M31" i="7"/>
  <c r="M26" i="7"/>
  <c r="M62" i="7"/>
  <c r="M61" i="7"/>
  <c r="M102" i="7" s="1"/>
  <c r="M60" i="7"/>
  <c r="M59" i="7"/>
  <c r="M58" i="7"/>
  <c r="M57" i="7"/>
  <c r="M56" i="7"/>
  <c r="M101" i="7" s="1"/>
  <c r="M55" i="7"/>
  <c r="M54" i="7"/>
  <c r="N23" i="7"/>
  <c r="N87" i="7" s="1"/>
  <c r="V15" i="7"/>
  <c r="V16" i="7"/>
  <c r="V12" i="7"/>
  <c r="V11" i="7"/>
  <c r="V10" i="7"/>
  <c r="V7" i="7"/>
  <c r="V138" i="7" s="1"/>
  <c r="V140" i="7" s="1"/>
  <c r="V141" i="7" s="1"/>
  <c r="V6" i="7"/>
  <c r="R161" i="7"/>
  <c r="V8" i="7"/>
  <c r="BF167" i="6"/>
  <c r="V9" i="7"/>
  <c r="R157" i="7"/>
  <c r="AE9" i="7"/>
  <c r="AI9" i="7" s="1"/>
  <c r="AI161" i="7" s="1"/>
  <c r="AA157" i="7"/>
  <c r="U9" i="7"/>
  <c r="U26" i="7" s="1"/>
  <c r="BE7" i="7"/>
  <c r="AI12" i="7"/>
  <c r="AO12" i="7" s="1"/>
  <c r="AS12" i="7" s="1"/>
  <c r="AW12" i="7" s="1"/>
  <c r="AI10" i="7"/>
  <c r="AO10" i="7" s="1"/>
  <c r="AS10" i="7" s="1"/>
  <c r="AW10" i="7" s="1"/>
  <c r="AI11" i="7"/>
  <c r="AO11" i="7" s="1"/>
  <c r="AS11" i="7" s="1"/>
  <c r="AW11" i="7" s="1"/>
  <c r="AI16" i="7"/>
  <c r="AO16" i="7" s="1"/>
  <c r="AS16" i="7" s="1"/>
  <c r="AW16" i="7" s="1"/>
  <c r="AI15" i="7"/>
  <c r="AO15" i="7" s="1"/>
  <c r="AS15" i="7" s="1"/>
  <c r="AW15" i="7" s="1"/>
  <c r="BJ38" i="38"/>
  <c r="BJ43" i="38"/>
  <c r="BJ13" i="38"/>
  <c r="BJ41" i="38"/>
  <c r="BJ37" i="38"/>
  <c r="BJ45" i="38"/>
  <c r="BJ46" i="38"/>
  <c r="BJ44" i="38"/>
  <c r="BJ36" i="38"/>
  <c r="AW14" i="8"/>
  <c r="BE14" i="8" s="1"/>
  <c r="AW15" i="8"/>
  <c r="BE15" i="8" s="1"/>
  <c r="V67" i="7"/>
  <c r="U76" i="7"/>
  <c r="U81" i="7"/>
  <c r="X28" i="59" s="1"/>
  <c r="U18" i="8"/>
  <c r="T8" i="15" s="1"/>
  <c r="P8" i="15"/>
  <c r="V25" i="8"/>
  <c r="V23" i="8"/>
  <c r="V18" i="8"/>
  <c r="U8" i="15" s="1"/>
  <c r="Q8" i="15"/>
  <c r="V109" i="8"/>
  <c r="V110" i="8" s="1"/>
  <c r="V24" i="8"/>
  <c r="V144" i="7"/>
  <c r="V146" i="7" s="1"/>
  <c r="V147" i="7" s="1"/>
  <c r="U19" i="7"/>
  <c r="U36" i="7" s="1"/>
  <c r="U99" i="7" s="1"/>
  <c r="AE19" i="7"/>
  <c r="R75" i="7"/>
  <c r="R67" i="7"/>
  <c r="AT42" i="9"/>
  <c r="AS119" i="90" s="1"/>
  <c r="Q75" i="7"/>
  <c r="AO6" i="7"/>
  <c r="AO8" i="7"/>
  <c r="AS8" i="7" s="1"/>
  <c r="AW8" i="7" s="1"/>
  <c r="Q13" i="8"/>
  <c r="U13" i="8" s="1"/>
  <c r="U16" i="8" s="1"/>
  <c r="N111" i="8"/>
  <c r="N112" i="8" s="1"/>
  <c r="R21" i="7"/>
  <c r="N52" i="8"/>
  <c r="R109" i="8"/>
  <c r="R111" i="8" s="1"/>
  <c r="R26" i="8"/>
  <c r="Q21" i="7"/>
  <c r="R87" i="8"/>
  <c r="V87" i="8" s="1"/>
  <c r="N76" i="7"/>
  <c r="Q81" i="7"/>
  <c r="Q76" i="7"/>
  <c r="N78" i="7"/>
  <c r="M76" i="7"/>
  <c r="N69" i="7"/>
  <c r="N81" i="7"/>
  <c r="M81" i="7"/>
  <c r="N90" i="7" l="1"/>
  <c r="Q32" i="59" s="1"/>
  <c r="N89" i="7"/>
  <c r="V21" i="7"/>
  <c r="BB19" i="38"/>
  <c r="AT193" i="6"/>
  <c r="V24" i="7"/>
  <c r="V28" i="7"/>
  <c r="V92" i="7" s="1"/>
  <c r="M89" i="7"/>
  <c r="V33" i="7"/>
  <c r="V96" i="7" s="1"/>
  <c r="M88" i="7"/>
  <c r="R62" i="7"/>
  <c r="R61" i="7"/>
  <c r="R102" i="7" s="1"/>
  <c r="R60" i="7"/>
  <c r="R59" i="7"/>
  <c r="R58" i="7"/>
  <c r="R57" i="7"/>
  <c r="R56" i="7"/>
  <c r="R101" i="7" s="1"/>
  <c r="R55" i="7"/>
  <c r="R54" i="7"/>
  <c r="R36" i="7"/>
  <c r="R99" i="7" s="1"/>
  <c r="R35" i="7"/>
  <c r="R98" i="7" s="1"/>
  <c r="R34" i="7"/>
  <c r="R97" i="7" s="1"/>
  <c r="R31" i="7"/>
  <c r="U34" i="59" s="1"/>
  <c r="R37" i="7"/>
  <c r="R100" i="7" s="1"/>
  <c r="R25" i="7"/>
  <c r="R23" i="7"/>
  <c r="R87" i="7" s="1"/>
  <c r="R27" i="7"/>
  <c r="R91" i="7" s="1"/>
  <c r="R29" i="7"/>
  <c r="R93" i="7" s="1"/>
  <c r="U33" i="59" s="1"/>
  <c r="R32" i="7"/>
  <c r="R95" i="7" s="1"/>
  <c r="M90" i="7"/>
  <c r="P32" i="59" s="1"/>
  <c r="V62" i="7"/>
  <c r="V61" i="7"/>
  <c r="V102" i="7" s="1"/>
  <c r="V60" i="7"/>
  <c r="V59" i="7"/>
  <c r="V58" i="7"/>
  <c r="V57" i="7"/>
  <c r="V56" i="7"/>
  <c r="V101" i="7" s="1"/>
  <c r="V55" i="7"/>
  <c r="V54" i="7"/>
  <c r="V35" i="7"/>
  <c r="V98" i="7" s="1"/>
  <c r="V34" i="7"/>
  <c r="V97" i="7" s="1"/>
  <c r="V31" i="7"/>
  <c r="Y34" i="59" s="1"/>
  <c r="V37" i="7"/>
  <c r="V100" i="7" s="1"/>
  <c r="V26" i="7"/>
  <c r="V25" i="7"/>
  <c r="V23" i="7"/>
  <c r="V87" i="7" s="1"/>
  <c r="Y29" i="59" s="1"/>
  <c r="V27" i="7"/>
  <c r="V91" i="7" s="1"/>
  <c r="V29" i="7"/>
  <c r="V93" i="7" s="1"/>
  <c r="Y33" i="59" s="1"/>
  <c r="V32" i="7"/>
  <c r="V95" i="7" s="1"/>
  <c r="V36" i="7"/>
  <c r="V99" i="7" s="1"/>
  <c r="R26" i="7"/>
  <c r="R24" i="7"/>
  <c r="R28" i="7"/>
  <c r="R92" i="7" s="1"/>
  <c r="R33" i="7"/>
  <c r="R96" i="7" s="1"/>
  <c r="N88" i="7"/>
  <c r="Q41" i="59"/>
  <c r="N121" i="8"/>
  <c r="V157" i="7"/>
  <c r="V161" i="7"/>
  <c r="AE157" i="7"/>
  <c r="AE161" i="7"/>
  <c r="AO9" i="7"/>
  <c r="AO161" i="7" s="1"/>
  <c r="AI157" i="7"/>
  <c r="Q33" i="59"/>
  <c r="Q34" i="59"/>
  <c r="R81" i="7"/>
  <c r="R69" i="7"/>
  <c r="AE21" i="7"/>
  <c r="AI19" i="7"/>
  <c r="AI21" i="7" s="1"/>
  <c r="U21" i="7"/>
  <c r="AX42" i="9"/>
  <c r="AW119" i="90" s="1"/>
  <c r="V76" i="7"/>
  <c r="V81" i="7"/>
  <c r="Y28" i="59" s="1"/>
  <c r="V78" i="7"/>
  <c r="R76" i="7"/>
  <c r="V69" i="7"/>
  <c r="V123" i="7"/>
  <c r="V124" i="7" s="1"/>
  <c r="V52" i="8"/>
  <c r="V111" i="8"/>
  <c r="V112" i="8" s="1"/>
  <c r="V53" i="8" s="1"/>
  <c r="V26" i="8"/>
  <c r="R78" i="7"/>
  <c r="Q16" i="8"/>
  <c r="BE8" i="7"/>
  <c r="AS6" i="7"/>
  <c r="AW6" i="7" s="1"/>
  <c r="R110" i="8"/>
  <c r="R112" i="8" s="1"/>
  <c r="N53" i="8"/>
  <c r="N38" i="7"/>
  <c r="R90" i="7" l="1"/>
  <c r="U32" i="59" s="1"/>
  <c r="V90" i="7"/>
  <c r="Y32" i="59" s="1"/>
  <c r="V88" i="7"/>
  <c r="R88" i="7"/>
  <c r="BJ19" i="38"/>
  <c r="AX193" i="6"/>
  <c r="R89" i="7"/>
  <c r="V89" i="7"/>
  <c r="Y31" i="59" s="1"/>
  <c r="N53" i="7"/>
  <c r="N77" i="7" s="1"/>
  <c r="Q42" i="59"/>
  <c r="Q43" i="59" s="1"/>
  <c r="N123" i="8"/>
  <c r="N122" i="8" s="1"/>
  <c r="N126" i="8" s="1"/>
  <c r="N127" i="8" s="1"/>
  <c r="AS9" i="7"/>
  <c r="AO157" i="7"/>
  <c r="BE11" i="7"/>
  <c r="BE10" i="7"/>
  <c r="BE15" i="7"/>
  <c r="BE12" i="7"/>
  <c r="BE16" i="7"/>
  <c r="Y30" i="59"/>
  <c r="V125" i="7"/>
  <c r="V126" i="7"/>
  <c r="V127" i="7" s="1"/>
  <c r="V38" i="7"/>
  <c r="R38" i="7"/>
  <c r="R53" i="7" s="1"/>
  <c r="AO19" i="7"/>
  <c r="BF42" i="9"/>
  <c r="Y41" i="59"/>
  <c r="R53" i="8"/>
  <c r="U42" i="59" s="1"/>
  <c r="R52" i="8"/>
  <c r="U41" i="59" s="1"/>
  <c r="N103" i="7"/>
  <c r="N188" i="6"/>
  <c r="N163" i="6"/>
  <c r="N122" i="6"/>
  <c r="N119" i="6"/>
  <c r="M119" i="6"/>
  <c r="N117" i="6"/>
  <c r="M117" i="6"/>
  <c r="N116" i="6"/>
  <c r="M116" i="6"/>
  <c r="N113" i="6"/>
  <c r="R113" i="6" s="1"/>
  <c r="V113" i="6" s="1"/>
  <c r="M113" i="6"/>
  <c r="Q113" i="6" s="1"/>
  <c r="U113" i="6" s="1"/>
  <c r="N110" i="6"/>
  <c r="M110" i="6"/>
  <c r="N109" i="6"/>
  <c r="M109" i="6"/>
  <c r="N108" i="6"/>
  <c r="M108" i="6"/>
  <c r="N105" i="6"/>
  <c r="N100" i="6"/>
  <c r="M100" i="6"/>
  <c r="N99" i="6"/>
  <c r="M99" i="6"/>
  <c r="N97" i="6"/>
  <c r="R97" i="6" s="1"/>
  <c r="V97" i="6" s="1"/>
  <c r="M97" i="6"/>
  <c r="N93" i="6"/>
  <c r="M93" i="6"/>
  <c r="N92" i="6"/>
  <c r="M92" i="6"/>
  <c r="N91" i="6"/>
  <c r="M91" i="6"/>
  <c r="N88" i="6"/>
  <c r="N87" i="6"/>
  <c r="N86" i="6"/>
  <c r="N76" i="6"/>
  <c r="M76" i="6"/>
  <c r="N75" i="6"/>
  <c r="M75" i="6"/>
  <c r="N74" i="6"/>
  <c r="M74" i="6"/>
  <c r="N73" i="6"/>
  <c r="M73" i="6"/>
  <c r="N72" i="6"/>
  <c r="M72" i="6"/>
  <c r="N70" i="6"/>
  <c r="M70" i="6"/>
  <c r="N68" i="6"/>
  <c r="M68" i="6"/>
  <c r="N67" i="6"/>
  <c r="M67" i="6"/>
  <c r="N65" i="6"/>
  <c r="M65" i="6"/>
  <c r="N64" i="6"/>
  <c r="M64" i="6"/>
  <c r="N31" i="6"/>
  <c r="N30" i="6"/>
  <c r="N28" i="6"/>
  <c r="N27" i="6"/>
  <c r="N25" i="6"/>
  <c r="N24" i="6"/>
  <c r="BF193" i="6" l="1"/>
  <c r="V53" i="7"/>
  <c r="V77" i="7" s="1"/>
  <c r="N132" i="8"/>
  <c r="N131" i="8"/>
  <c r="N130" i="8"/>
  <c r="N124" i="8"/>
  <c r="AW9" i="7"/>
  <c r="AW161" i="7" s="1"/>
  <c r="AS161" i="7"/>
  <c r="AS157" i="7"/>
  <c r="R103" i="7"/>
  <c r="V128" i="7"/>
  <c r="V103" i="7"/>
  <c r="AS19" i="7"/>
  <c r="AW19" i="7" s="1"/>
  <c r="BE19" i="7" s="1"/>
  <c r="AO21" i="7"/>
  <c r="U43" i="59"/>
  <c r="AB75" i="6"/>
  <c r="AF75" i="6" s="1"/>
  <c r="AJ75" i="6" s="1"/>
  <c r="AP75" i="6" s="1"/>
  <c r="AT75" i="6" s="1"/>
  <c r="AB74" i="6"/>
  <c r="AF74" i="6" s="1"/>
  <c r="AJ74" i="6" s="1"/>
  <c r="AP74" i="6" s="1"/>
  <c r="AT74" i="6" s="1"/>
  <c r="AB76" i="6"/>
  <c r="AF76" i="6" s="1"/>
  <c r="AJ76" i="6" s="1"/>
  <c r="AP76" i="6" s="1"/>
  <c r="AT76" i="6" s="1"/>
  <c r="AB73" i="6"/>
  <c r="AF73" i="6" s="1"/>
  <c r="AJ73" i="6" s="1"/>
  <c r="AP73" i="6" s="1"/>
  <c r="AT73" i="6" s="1"/>
  <c r="BE6" i="7"/>
  <c r="R116" i="6"/>
  <c r="V116" i="6" s="1"/>
  <c r="R119" i="6"/>
  <c r="V119" i="6" s="1"/>
  <c r="R74" i="6"/>
  <c r="V74" i="6" s="1"/>
  <c r="R117" i="6"/>
  <c r="V117" i="6" s="1"/>
  <c r="AB117" i="6"/>
  <c r="AF117" i="6" s="1"/>
  <c r="AJ117" i="6" s="1"/>
  <c r="AP117" i="6" s="1"/>
  <c r="AT117" i="6" s="1"/>
  <c r="R122" i="6"/>
  <c r="V122" i="6" s="1"/>
  <c r="Y42" i="59"/>
  <c r="Y43" i="59" s="1"/>
  <c r="Q97" i="6"/>
  <c r="U97" i="6" s="1"/>
  <c r="R188" i="6"/>
  <c r="V188" i="6" s="1"/>
  <c r="N165" i="6"/>
  <c r="R163" i="6"/>
  <c r="V163" i="6" s="1"/>
  <c r="R105" i="6"/>
  <c r="V105" i="6" s="1"/>
  <c r="AB97" i="6"/>
  <c r="AF97" i="6" s="1"/>
  <c r="AJ97" i="6" s="1"/>
  <c r="AP97" i="6" s="1"/>
  <c r="AT97" i="6" s="1"/>
  <c r="R70" i="6"/>
  <c r="V70" i="6" s="1"/>
  <c r="Q70" i="6"/>
  <c r="U70" i="6" s="1"/>
  <c r="Q68" i="6"/>
  <c r="U68" i="6" s="1"/>
  <c r="R68" i="6"/>
  <c r="V68" i="6" s="1"/>
  <c r="R67" i="6"/>
  <c r="V67" i="6" s="1"/>
  <c r="Q67" i="6"/>
  <c r="U67" i="6" s="1"/>
  <c r="Q64" i="6"/>
  <c r="U64" i="6" s="1"/>
  <c r="R64" i="6"/>
  <c r="V64" i="6" s="1"/>
  <c r="R65" i="6"/>
  <c r="V65" i="6" s="1"/>
  <c r="Q65" i="6"/>
  <c r="U65" i="6" s="1"/>
  <c r="R31" i="6"/>
  <c r="V31" i="6" s="1"/>
  <c r="R30" i="6"/>
  <c r="V30" i="6" s="1"/>
  <c r="R28" i="6"/>
  <c r="V28" i="6" s="1"/>
  <c r="R27" i="6"/>
  <c r="V27" i="6" s="1"/>
  <c r="R25" i="6"/>
  <c r="V25" i="6" s="1"/>
  <c r="R24" i="6"/>
  <c r="V24" i="6" s="1"/>
  <c r="R108" i="6"/>
  <c r="V108" i="6" s="1"/>
  <c r="R109" i="6"/>
  <c r="V109" i="6" s="1"/>
  <c r="Q109" i="6"/>
  <c r="U109" i="6" s="1"/>
  <c r="Q110" i="6"/>
  <c r="U110" i="6" s="1"/>
  <c r="Q117" i="6"/>
  <c r="U117" i="6" s="1"/>
  <c r="AA117" i="6"/>
  <c r="AE117" i="6" s="1"/>
  <c r="AI117" i="6" s="1"/>
  <c r="AO117" i="6" s="1"/>
  <c r="AS117" i="6" s="1"/>
  <c r="Q108" i="6"/>
  <c r="U108" i="6" s="1"/>
  <c r="Q119" i="6"/>
  <c r="U119" i="6" s="1"/>
  <c r="Q116" i="6"/>
  <c r="U116" i="6" s="1"/>
  <c r="R110" i="6"/>
  <c r="V110" i="6" s="1"/>
  <c r="R91" i="6"/>
  <c r="V91" i="6" s="1"/>
  <c r="R73" i="6"/>
  <c r="V73" i="6" s="1"/>
  <c r="Q99" i="6"/>
  <c r="U99" i="6" s="1"/>
  <c r="R86" i="6"/>
  <c r="V86" i="6" s="1"/>
  <c r="R92" i="6"/>
  <c r="V92" i="6" s="1"/>
  <c r="R99" i="6"/>
  <c r="V99" i="6" s="1"/>
  <c r="Q91" i="6"/>
  <c r="U91" i="6" s="1"/>
  <c r="Q76" i="6"/>
  <c r="U76" i="6" s="1"/>
  <c r="R87" i="6"/>
  <c r="V87" i="6" s="1"/>
  <c r="Q93" i="6"/>
  <c r="U93" i="6" s="1"/>
  <c r="Q100" i="6"/>
  <c r="U100" i="6" s="1"/>
  <c r="AA100" i="6"/>
  <c r="AE100" i="6" s="1"/>
  <c r="AI100" i="6" s="1"/>
  <c r="AO100" i="6" s="1"/>
  <c r="AS100" i="6" s="1"/>
  <c r="R72" i="6"/>
  <c r="V72" i="6" s="1"/>
  <c r="R75" i="6"/>
  <c r="V75" i="6" s="1"/>
  <c r="Q73" i="6"/>
  <c r="U73" i="6" s="1"/>
  <c r="R76" i="6"/>
  <c r="V76" i="6" s="1"/>
  <c r="Q92" i="6"/>
  <c r="U92" i="6" s="1"/>
  <c r="Q74" i="6"/>
  <c r="U74" i="6" s="1"/>
  <c r="Q72" i="6"/>
  <c r="U72" i="6" s="1"/>
  <c r="Q75" i="6"/>
  <c r="U75" i="6" s="1"/>
  <c r="R88" i="6"/>
  <c r="V88" i="6" s="1"/>
  <c r="R93" i="6"/>
  <c r="V93" i="6" s="1"/>
  <c r="R100" i="6"/>
  <c r="V100" i="6" s="1"/>
  <c r="AB100" i="6"/>
  <c r="AF100" i="6" s="1"/>
  <c r="AJ100" i="6" s="1"/>
  <c r="AP100" i="6" s="1"/>
  <c r="AT100" i="6" s="1"/>
  <c r="N133" i="8" l="1"/>
  <c r="V63" i="7"/>
  <c r="AW157" i="7"/>
  <c r="BE9" i="7"/>
  <c r="U66" i="6"/>
  <c r="V103" i="6"/>
  <c r="V29" i="6"/>
  <c r="V69" i="6"/>
  <c r="AW21" i="7"/>
  <c r="V32" i="6"/>
  <c r="V120" i="6"/>
  <c r="V66" i="6"/>
  <c r="U69" i="6"/>
  <c r="U120" i="6"/>
  <c r="V26" i="6"/>
  <c r="AX100" i="6"/>
  <c r="AX75" i="6"/>
  <c r="AX117" i="6"/>
  <c r="AW100" i="6"/>
  <c r="AX97" i="6"/>
  <c r="U103" i="6"/>
  <c r="V115" i="6"/>
  <c r="AX73" i="6"/>
  <c r="U115" i="6"/>
  <c r="AW117" i="6"/>
  <c r="AX76" i="6"/>
  <c r="AX74" i="6"/>
  <c r="V77" i="6"/>
  <c r="U77" i="6"/>
  <c r="AS21" i="7"/>
  <c r="R29" i="6"/>
  <c r="R120" i="6"/>
  <c r="Q66" i="6"/>
  <c r="R32" i="6"/>
  <c r="Q69" i="6"/>
  <c r="R26" i="6"/>
  <c r="R69" i="6"/>
  <c r="R66" i="6"/>
  <c r="R165" i="6"/>
  <c r="V165" i="6" s="1"/>
  <c r="Q120" i="6"/>
  <c r="Q115" i="6"/>
  <c r="R77" i="6"/>
  <c r="Q77" i="6"/>
  <c r="R115" i="6"/>
  <c r="R103" i="6"/>
  <c r="Q103" i="6"/>
  <c r="O152" i="45"/>
  <c r="O147" i="45"/>
  <c r="O146" i="45"/>
  <c r="O135" i="45"/>
  <c r="N135" i="45"/>
  <c r="O133" i="45"/>
  <c r="N133" i="45"/>
  <c r="O122" i="45"/>
  <c r="O159" i="45" s="1"/>
  <c r="O8" i="45"/>
  <c r="O162" i="45" s="1"/>
  <c r="O168" i="45" s="1"/>
  <c r="O7" i="45"/>
  <c r="N7" i="45"/>
  <c r="BE161" i="7" l="1"/>
  <c r="BF73" i="6"/>
  <c r="BE117" i="6"/>
  <c r="BF117" i="6"/>
  <c r="BF97" i="6"/>
  <c r="BE100" i="6"/>
  <c r="BF74" i="6"/>
  <c r="BF75" i="6"/>
  <c r="BF100" i="6"/>
  <c r="BF76" i="6"/>
  <c r="BA21" i="7"/>
  <c r="O121" i="45"/>
  <c r="V121" i="6"/>
  <c r="V123" i="6" s="1"/>
  <c r="V175" i="6" s="1"/>
  <c r="U121" i="6"/>
  <c r="U123" i="6" s="1"/>
  <c r="U175" i="6" s="1"/>
  <c r="O137" i="45"/>
  <c r="O126" i="50"/>
  <c r="R121" i="6"/>
  <c r="R123" i="6" s="1"/>
  <c r="R172" i="6" s="1"/>
  <c r="Q121" i="6"/>
  <c r="Q123" i="6" s="1"/>
  <c r="Q175" i="6" s="1"/>
  <c r="N137" i="45"/>
  <c r="U173" i="6" l="1"/>
  <c r="V172" i="6"/>
  <c r="V173" i="6"/>
  <c r="Y22" i="59" s="1"/>
  <c r="U172" i="6"/>
  <c r="BE21" i="7"/>
  <c r="Q172" i="6"/>
  <c r="R175" i="6"/>
  <c r="R173" i="6"/>
  <c r="U22" i="59" s="1"/>
  <c r="Q173" i="6"/>
  <c r="AC122" i="45"/>
  <c r="U174" i="6" l="1"/>
  <c r="V174" i="6"/>
  <c r="V8" i="36" s="1"/>
  <c r="Y9" i="59" s="1"/>
  <c r="Q174" i="6"/>
  <c r="R174" i="6"/>
  <c r="N86" i="11" l="1"/>
  <c r="N91" i="11" s="1"/>
  <c r="N82" i="11"/>
  <c r="N81" i="11"/>
  <c r="N7" i="11"/>
  <c r="N5" i="11"/>
  <c r="M5" i="11"/>
  <c r="N185" i="10"/>
  <c r="N190" i="10" s="1"/>
  <c r="N181" i="10"/>
  <c r="N180" i="10"/>
  <c r="N5" i="10"/>
  <c r="N171" i="10" s="1"/>
  <c r="M5" i="10"/>
  <c r="N161" i="10" l="1"/>
  <c r="N72" i="11"/>
  <c r="N168" i="10"/>
  <c r="Q64" i="59" s="1"/>
  <c r="M72" i="11"/>
  <c r="AB57" i="11"/>
  <c r="N57" i="11"/>
  <c r="N59" i="11"/>
  <c r="N56" i="11"/>
  <c r="N55" i="11"/>
  <c r="N83" i="11"/>
  <c r="N90" i="11" s="1"/>
  <c r="M171" i="10"/>
  <c r="M69" i="11"/>
  <c r="P68" i="59" s="1"/>
  <c r="N170" i="10"/>
  <c r="N182" i="10"/>
  <c r="N189" i="10" s="1"/>
  <c r="N188" i="10"/>
  <c r="N69" i="11"/>
  <c r="Q68" i="59" s="1"/>
  <c r="N71" i="11"/>
  <c r="M71" i="11"/>
  <c r="N89" i="11"/>
  <c r="M170" i="10"/>
  <c r="M168" i="10"/>
  <c r="P64" i="59" s="1"/>
  <c r="N58" i="11" l="1"/>
  <c r="N183" i="10"/>
  <c r="N60" i="11"/>
  <c r="N84" i="11"/>
  <c r="R57" i="11"/>
  <c r="N27" i="21" l="1"/>
  <c r="R27" i="21" s="1"/>
  <c r="V27" i="21" s="1"/>
  <c r="N26" i="21"/>
  <c r="R26" i="21" s="1"/>
  <c r="N23" i="21"/>
  <c r="R23" i="21" s="1"/>
  <c r="V23" i="21" s="1"/>
  <c r="N22" i="21"/>
  <c r="R22" i="21" s="1"/>
  <c r="N19" i="21"/>
  <c r="N17" i="21"/>
  <c r="N16" i="21"/>
  <c r="M7" i="21"/>
  <c r="N7" i="21"/>
  <c r="M8" i="21"/>
  <c r="N8" i="21"/>
  <c r="M9" i="21"/>
  <c r="N9" i="21"/>
  <c r="M10" i="21"/>
  <c r="N10" i="21"/>
  <c r="M11" i="21"/>
  <c r="N11" i="21"/>
  <c r="N6" i="21"/>
  <c r="R6" i="21" s="1"/>
  <c r="N53" i="35"/>
  <c r="R53" i="35" s="1"/>
  <c r="M53" i="35"/>
  <c r="Q53" i="35" s="1"/>
  <c r="M51" i="35"/>
  <c r="M50" i="35"/>
  <c r="N42" i="35"/>
  <c r="R42" i="35" s="1"/>
  <c r="V42" i="35" s="1"/>
  <c r="N35" i="35"/>
  <c r="M124" i="90" s="1"/>
  <c r="M126" i="90" s="1"/>
  <c r="M35" i="35"/>
  <c r="L124" i="90" s="1"/>
  <c r="L126" i="90" s="1"/>
  <c r="N34" i="35"/>
  <c r="M34" i="35"/>
  <c r="M32" i="35"/>
  <c r="Q32" i="35" s="1"/>
  <c r="U32" i="35" s="1"/>
  <c r="V121" i="45" s="1"/>
  <c r="M31" i="35"/>
  <c r="Q31" i="35" s="1"/>
  <c r="U31" i="35" s="1"/>
  <c r="U56" i="11" s="1"/>
  <c r="N28" i="35"/>
  <c r="R28" i="35" s="1"/>
  <c r="M28" i="35"/>
  <c r="Q28" i="35" s="1"/>
  <c r="N27" i="35"/>
  <c r="M27" i="35"/>
  <c r="N25" i="35"/>
  <c r="M25" i="35"/>
  <c r="N24" i="35"/>
  <c r="M24" i="35"/>
  <c r="N23" i="35"/>
  <c r="M23" i="35"/>
  <c r="N18" i="35"/>
  <c r="R18" i="35" s="1"/>
  <c r="M18" i="35"/>
  <c r="Q18" i="35" s="1"/>
  <c r="N17" i="35"/>
  <c r="M17" i="35"/>
  <c r="N16" i="35"/>
  <c r="M16" i="35"/>
  <c r="N14" i="35"/>
  <c r="R14" i="35" s="1"/>
  <c r="V14" i="35" s="1"/>
  <c r="V5" i="36" s="1"/>
  <c r="N13" i="35"/>
  <c r="R13" i="35" s="1"/>
  <c r="AB10" i="35"/>
  <c r="N9" i="35"/>
  <c r="R28" i="21" l="1"/>
  <c r="V26" i="21"/>
  <c r="V28" i="21" s="1"/>
  <c r="V22" i="21"/>
  <c r="V24" i="21" s="1"/>
  <c r="V25" i="21" s="1"/>
  <c r="R24" i="21"/>
  <c r="R25" i="21" s="1"/>
  <c r="AB19" i="21"/>
  <c r="AF19" i="21" s="1"/>
  <c r="AJ19" i="21" s="1"/>
  <c r="AP19" i="21" s="1"/>
  <c r="AT19" i="21" s="1"/>
  <c r="AX19" i="21" s="1"/>
  <c r="BF19" i="21" s="1"/>
  <c r="R19" i="21"/>
  <c r="V19" i="21" s="1"/>
  <c r="AB17" i="21"/>
  <c r="AF17" i="21" s="1"/>
  <c r="AJ17" i="21" s="1"/>
  <c r="AP17" i="21" s="1"/>
  <c r="AT17" i="21" s="1"/>
  <c r="AX17" i="21" s="1"/>
  <c r="BF17" i="21" s="1"/>
  <c r="R17" i="21"/>
  <c r="V17" i="21" s="1"/>
  <c r="AB16" i="21"/>
  <c r="AF16" i="21" s="1"/>
  <c r="AJ16" i="21" s="1"/>
  <c r="AP16" i="21" s="1"/>
  <c r="AT16" i="21" s="1"/>
  <c r="AX16" i="21" s="1"/>
  <c r="BF16" i="21" s="1"/>
  <c r="R16" i="21"/>
  <c r="V16" i="21" s="1"/>
  <c r="AA8" i="21"/>
  <c r="AE8" i="21" s="1"/>
  <c r="AI8" i="21" s="1"/>
  <c r="AO8" i="21" s="1"/>
  <c r="AS8" i="21" s="1"/>
  <c r="AW8" i="21" s="1"/>
  <c r="BE8" i="21" s="1"/>
  <c r="Q8" i="21"/>
  <c r="U8" i="21" s="1"/>
  <c r="V6" i="21"/>
  <c r="AB8" i="21"/>
  <c r="AF8" i="21" s="1"/>
  <c r="AJ8" i="21" s="1"/>
  <c r="AP8" i="21" s="1"/>
  <c r="AT8" i="21" s="1"/>
  <c r="AX8" i="21" s="1"/>
  <c r="BF8" i="21" s="1"/>
  <c r="R8" i="21"/>
  <c r="V8" i="21" s="1"/>
  <c r="AB7" i="21"/>
  <c r="AF7" i="21" s="1"/>
  <c r="AJ7" i="21" s="1"/>
  <c r="AP7" i="21" s="1"/>
  <c r="AT7" i="21" s="1"/>
  <c r="AX7" i="21" s="1"/>
  <c r="BF7" i="21" s="1"/>
  <c r="R7" i="21"/>
  <c r="V7" i="21" s="1"/>
  <c r="AA9" i="21"/>
  <c r="AE9" i="21" s="1"/>
  <c r="AI9" i="21" s="1"/>
  <c r="AO9" i="21" s="1"/>
  <c r="AS9" i="21" s="1"/>
  <c r="AW9" i="21" s="1"/>
  <c r="BE9" i="21" s="1"/>
  <c r="Q9" i="21"/>
  <c r="U9" i="21" s="1"/>
  <c r="AB11" i="21"/>
  <c r="AF11" i="21" s="1"/>
  <c r="AJ11" i="21" s="1"/>
  <c r="AP11" i="21" s="1"/>
  <c r="AT11" i="21" s="1"/>
  <c r="AX11" i="21" s="1"/>
  <c r="BF11" i="21" s="1"/>
  <c r="R11" i="21"/>
  <c r="V11" i="21" s="1"/>
  <c r="AA11" i="21"/>
  <c r="AE11" i="21" s="1"/>
  <c r="AI11" i="21" s="1"/>
  <c r="AO11" i="21" s="1"/>
  <c r="AS11" i="21" s="1"/>
  <c r="AW11" i="21" s="1"/>
  <c r="BE11" i="21" s="1"/>
  <c r="Q11" i="21"/>
  <c r="U11" i="21" s="1"/>
  <c r="AA10" i="21"/>
  <c r="AE10" i="21" s="1"/>
  <c r="AI10" i="21" s="1"/>
  <c r="AO10" i="21" s="1"/>
  <c r="AS10" i="21" s="1"/>
  <c r="AW10" i="21" s="1"/>
  <c r="BE10" i="21" s="1"/>
  <c r="Q10" i="21"/>
  <c r="U10" i="21" s="1"/>
  <c r="AB10" i="21"/>
  <c r="AF10" i="21" s="1"/>
  <c r="AJ10" i="21" s="1"/>
  <c r="AP10" i="21" s="1"/>
  <c r="AT10" i="21" s="1"/>
  <c r="AX10" i="21" s="1"/>
  <c r="BF10" i="21" s="1"/>
  <c r="R10" i="21"/>
  <c r="V10" i="21" s="1"/>
  <c r="AB9" i="21"/>
  <c r="AF9" i="21" s="1"/>
  <c r="AJ9" i="21" s="1"/>
  <c r="AP9" i="21" s="1"/>
  <c r="AT9" i="21" s="1"/>
  <c r="AX9" i="21" s="1"/>
  <c r="BF9" i="21" s="1"/>
  <c r="R9" i="21"/>
  <c r="V9" i="21" s="1"/>
  <c r="AA7" i="21"/>
  <c r="AE7" i="21" s="1"/>
  <c r="AI7" i="21" s="1"/>
  <c r="AO7" i="21" s="1"/>
  <c r="AS7" i="21" s="1"/>
  <c r="AW7" i="21" s="1"/>
  <c r="BE7" i="21" s="1"/>
  <c r="Q7" i="21"/>
  <c r="U18" i="35"/>
  <c r="P18" i="15"/>
  <c r="R35" i="35"/>
  <c r="Q124" i="90" s="1"/>
  <c r="Q126" i="90" s="1"/>
  <c r="V13" i="35"/>
  <c r="V15" i="35" s="1"/>
  <c r="R15" i="35"/>
  <c r="AA50" i="35"/>
  <c r="AE50" i="35" s="1"/>
  <c r="AI50" i="35" s="1"/>
  <c r="AO50" i="35" s="1"/>
  <c r="AS50" i="35" s="1"/>
  <c r="AW50" i="35" s="1"/>
  <c r="BE50" i="35" s="1"/>
  <c r="Q50" i="35"/>
  <c r="U50" i="35" s="1"/>
  <c r="V18" i="35"/>
  <c r="Q18" i="15"/>
  <c r="AA16" i="35"/>
  <c r="AE16" i="35" s="1"/>
  <c r="AI16" i="35" s="1"/>
  <c r="AO16" i="35" s="1"/>
  <c r="AS16" i="35" s="1"/>
  <c r="AW16" i="35" s="1"/>
  <c r="BE16" i="35" s="1"/>
  <c r="Q16" i="35"/>
  <c r="U16" i="35" s="1"/>
  <c r="AB23" i="35"/>
  <c r="AF23" i="35" s="1"/>
  <c r="AJ23" i="35" s="1"/>
  <c r="AP23" i="35" s="1"/>
  <c r="AT23" i="35" s="1"/>
  <c r="AX23" i="35" s="1"/>
  <c r="BF23" i="35" s="1"/>
  <c r="R23" i="35"/>
  <c r="AB27" i="35"/>
  <c r="AF27" i="35" s="1"/>
  <c r="AJ27" i="35" s="1"/>
  <c r="AP27" i="35" s="1"/>
  <c r="AT27" i="35" s="1"/>
  <c r="AX27" i="35" s="1"/>
  <c r="BF27" i="35" s="1"/>
  <c r="R27" i="35"/>
  <c r="V27" i="35" s="1"/>
  <c r="AA34" i="35"/>
  <c r="AE34" i="35" s="1"/>
  <c r="Q34" i="35"/>
  <c r="AA51" i="35"/>
  <c r="AE51" i="35" s="1"/>
  <c r="AI51" i="35" s="1"/>
  <c r="AO51" i="35" s="1"/>
  <c r="AS51" i="35" s="1"/>
  <c r="AW51" i="35" s="1"/>
  <c r="BE51" i="35" s="1"/>
  <c r="Q51" i="35"/>
  <c r="U51" i="35" s="1"/>
  <c r="V13" i="49"/>
  <c r="Y6" i="59"/>
  <c r="AB25" i="35"/>
  <c r="AF25" i="35" s="1"/>
  <c r="AJ25" i="35" s="1"/>
  <c r="AP25" i="35" s="1"/>
  <c r="AT25" i="35" s="1"/>
  <c r="AX25" i="35" s="1"/>
  <c r="BF25" i="35" s="1"/>
  <c r="R25" i="35"/>
  <c r="V25" i="35" s="1"/>
  <c r="AA27" i="35"/>
  <c r="AE27" i="35" s="1"/>
  <c r="AI27" i="35" s="1"/>
  <c r="AO27" i="35" s="1"/>
  <c r="AS27" i="35" s="1"/>
  <c r="AW27" i="35" s="1"/>
  <c r="BE27" i="35" s="1"/>
  <c r="Q27" i="35"/>
  <c r="U27" i="35" s="1"/>
  <c r="AA17" i="35"/>
  <c r="AE17" i="35" s="1"/>
  <c r="AI17" i="35" s="1"/>
  <c r="AO17" i="35" s="1"/>
  <c r="AS17" i="35" s="1"/>
  <c r="AW17" i="35" s="1"/>
  <c r="BE17" i="35" s="1"/>
  <c r="Q17" i="35"/>
  <c r="U17" i="35" s="1"/>
  <c r="AA24" i="35"/>
  <c r="AE24" i="35" s="1"/>
  <c r="AI24" i="35" s="1"/>
  <c r="AO24" i="35" s="1"/>
  <c r="AS24" i="35" s="1"/>
  <c r="AW24" i="35" s="1"/>
  <c r="BE24" i="35" s="1"/>
  <c r="Q24" i="35"/>
  <c r="U24" i="35" s="1"/>
  <c r="U28" i="35"/>
  <c r="P9" i="15"/>
  <c r="U53" i="35"/>
  <c r="U21" i="35" s="1"/>
  <c r="U26" i="9" s="1"/>
  <c r="Q21" i="35"/>
  <c r="AA25" i="35"/>
  <c r="AE25" i="35" s="1"/>
  <c r="AI25" i="35" s="1"/>
  <c r="AO25" i="35" s="1"/>
  <c r="AS25" i="35" s="1"/>
  <c r="AW25" i="35" s="1"/>
  <c r="BE25" i="35" s="1"/>
  <c r="Q25" i="35"/>
  <c r="U25" i="35" s="1"/>
  <c r="U55" i="11"/>
  <c r="U97" i="11"/>
  <c r="AA23" i="35"/>
  <c r="AE23" i="35" s="1"/>
  <c r="AI23" i="35" s="1"/>
  <c r="AO23" i="35" s="1"/>
  <c r="AS23" i="35" s="1"/>
  <c r="AW23" i="35" s="1"/>
  <c r="BE23" i="35" s="1"/>
  <c r="Q23" i="35"/>
  <c r="AB16" i="35"/>
  <c r="AF16" i="35" s="1"/>
  <c r="AJ16" i="35" s="1"/>
  <c r="AP16" i="35" s="1"/>
  <c r="AT16" i="35" s="1"/>
  <c r="AX16" i="35" s="1"/>
  <c r="BF16" i="35" s="1"/>
  <c r="R16" i="35"/>
  <c r="V16" i="35" s="1"/>
  <c r="N8" i="6"/>
  <c r="R9" i="35"/>
  <c r="AB17" i="35"/>
  <c r="AF17" i="35" s="1"/>
  <c r="R17" i="35"/>
  <c r="V17" i="35" s="1"/>
  <c r="AB24" i="35"/>
  <c r="AF24" i="35" s="1"/>
  <c r="AJ24" i="35" s="1"/>
  <c r="AP24" i="35" s="1"/>
  <c r="AT24" i="35" s="1"/>
  <c r="R24" i="35"/>
  <c r="V24" i="35" s="1"/>
  <c r="V28" i="35"/>
  <c r="Q9" i="15"/>
  <c r="AA35" i="35"/>
  <c r="Q35" i="35"/>
  <c r="P124" i="90" s="1"/>
  <c r="P126" i="90" s="1"/>
  <c r="V53" i="35"/>
  <c r="V21" i="35" s="1"/>
  <c r="V26" i="9" s="1"/>
  <c r="R21" i="35"/>
  <c r="V120" i="45"/>
  <c r="V124" i="45"/>
  <c r="AF10" i="35"/>
  <c r="AB9" i="6"/>
  <c r="AB35" i="35"/>
  <c r="AA124" i="90" s="1"/>
  <c r="AA126" i="90" s="1"/>
  <c r="M64" i="36"/>
  <c r="M61" i="36"/>
  <c r="M63" i="36" s="1"/>
  <c r="M58" i="36"/>
  <c r="M60" i="36" s="1"/>
  <c r="N67" i="36"/>
  <c r="N69" i="36"/>
  <c r="N70" i="36"/>
  <c r="N72" i="36"/>
  <c r="N66" i="36"/>
  <c r="N15" i="35"/>
  <c r="AB9" i="35"/>
  <c r="N11" i="35"/>
  <c r="N10" i="6" s="1"/>
  <c r="AA32" i="35"/>
  <c r="AE32" i="35" s="1"/>
  <c r="N121" i="45"/>
  <c r="L9" i="15"/>
  <c r="AA28" i="35"/>
  <c r="AE28" i="35" s="1"/>
  <c r="M9" i="15"/>
  <c r="AB28" i="35"/>
  <c r="AF28" i="35" s="1"/>
  <c r="L18" i="15"/>
  <c r="AA18" i="35"/>
  <c r="AE18" i="35" s="1"/>
  <c r="AI18" i="35" s="1"/>
  <c r="M18" i="15"/>
  <c r="AB18" i="35"/>
  <c r="AF18" i="35" s="1"/>
  <c r="AJ18" i="35" s="1"/>
  <c r="AA31" i="35"/>
  <c r="AE31" i="35" s="1"/>
  <c r="M56" i="11"/>
  <c r="AB42" i="35"/>
  <c r="AF42" i="35" s="1"/>
  <c r="AJ42" i="35" s="1"/>
  <c r="AP42" i="35" s="1"/>
  <c r="AB53" i="35"/>
  <c r="AF53" i="35" s="1"/>
  <c r="N21" i="35"/>
  <c r="AA53" i="35"/>
  <c r="AE53" i="35" s="1"/>
  <c r="M21" i="35"/>
  <c r="M26" i="9" s="1"/>
  <c r="N28" i="21"/>
  <c r="N12" i="21"/>
  <c r="N24" i="21"/>
  <c r="N25" i="21" s="1"/>
  <c r="AE35" i="35" l="1"/>
  <c r="AD124" i="90" s="1"/>
  <c r="AD126" i="90" s="1"/>
  <c r="Z124" i="90"/>
  <c r="Z126" i="90" s="1"/>
  <c r="AJ72" i="36"/>
  <c r="AI58" i="36"/>
  <c r="AI60" i="36" s="1"/>
  <c r="AI64" i="36"/>
  <c r="AI61" i="36"/>
  <c r="AI63" i="36" s="1"/>
  <c r="O70" i="36"/>
  <c r="M97" i="11"/>
  <c r="R12" i="21"/>
  <c r="V12" i="21"/>
  <c r="U7" i="21"/>
  <c r="AE26" i="35"/>
  <c r="AJ17" i="35"/>
  <c r="AF11" i="36"/>
  <c r="AI37" i="59" s="1"/>
  <c r="AF12" i="36"/>
  <c r="AI38" i="59" s="1"/>
  <c r="AE101" i="50"/>
  <c r="AG101" i="50" s="1"/>
  <c r="AI26" i="35"/>
  <c r="AF26" i="35"/>
  <c r="AO26" i="35"/>
  <c r="AP26" i="35"/>
  <c r="AJ26" i="35"/>
  <c r="V9" i="35"/>
  <c r="R11" i="35"/>
  <c r="AI101" i="50"/>
  <c r="AP18" i="35"/>
  <c r="AO18" i="15" s="1"/>
  <c r="AI18" i="15"/>
  <c r="AJ5" i="9"/>
  <c r="V35" i="35"/>
  <c r="U124" i="90" s="1"/>
  <c r="U126" i="90" s="1"/>
  <c r="U35" i="35"/>
  <c r="T124" i="90" s="1"/>
  <c r="T126" i="90" s="1"/>
  <c r="V5" i="9"/>
  <c r="V67" i="36"/>
  <c r="V70" i="36"/>
  <c r="W70" i="36" s="1"/>
  <c r="V72" i="36"/>
  <c r="V69" i="36"/>
  <c r="V16" i="36"/>
  <c r="Y53" i="59" s="1"/>
  <c r="V66" i="36"/>
  <c r="V11" i="36"/>
  <c r="Y37" i="59" s="1"/>
  <c r="V10" i="36"/>
  <c r="V12" i="36"/>
  <c r="Y38" i="59" s="1"/>
  <c r="U23" i="35"/>
  <c r="U26" i="35" s="1"/>
  <c r="Q26" i="35"/>
  <c r="V23" i="35"/>
  <c r="V26" i="35" s="1"/>
  <c r="R26" i="35"/>
  <c r="AO18" i="35"/>
  <c r="AO58" i="36" s="1"/>
  <c r="AO60" i="36" s="1"/>
  <c r="AH18" i="15"/>
  <c r="AI5" i="9"/>
  <c r="U34" i="35"/>
  <c r="Q36" i="35"/>
  <c r="Q48" i="35" s="1"/>
  <c r="U5" i="9"/>
  <c r="U64" i="36"/>
  <c r="U58" i="36"/>
  <c r="U60" i="36" s="1"/>
  <c r="U61" i="36"/>
  <c r="U63" i="36" s="1"/>
  <c r="BC70" i="36"/>
  <c r="AI35" i="35"/>
  <c r="AH124" i="90" s="1"/>
  <c r="AH126" i="90" s="1"/>
  <c r="AF9" i="35"/>
  <c r="AF8" i="6" s="1"/>
  <c r="AB8" i="6"/>
  <c r="AJ10" i="35"/>
  <c r="AF9" i="6"/>
  <c r="O140" i="50"/>
  <c r="AF35" i="35"/>
  <c r="AE124" i="90" s="1"/>
  <c r="AE126" i="90" s="1"/>
  <c r="AW26" i="35"/>
  <c r="BE26" i="35"/>
  <c r="AT42" i="35"/>
  <c r="AX42" i="35" s="1"/>
  <c r="BF42" i="35" s="1"/>
  <c r="AS26" i="35"/>
  <c r="AT26" i="35"/>
  <c r="AX24" i="35"/>
  <c r="AI53" i="35"/>
  <c r="AE21" i="35"/>
  <c r="AE26" i="9" s="1"/>
  <c r="AJ28" i="35"/>
  <c r="AI9" i="15" s="1"/>
  <c r="AE9" i="15"/>
  <c r="AF21" i="35"/>
  <c r="AF26" i="9" s="1"/>
  <c r="AJ53" i="35"/>
  <c r="AJ21" i="35" s="1"/>
  <c r="AI28" i="35"/>
  <c r="AH9" i="15" s="1"/>
  <c r="AD9" i="15"/>
  <c r="AI34" i="35"/>
  <c r="AM101" i="50" s="1"/>
  <c r="AM104" i="50" s="1"/>
  <c r="AM105" i="50" s="1"/>
  <c r="AE36" i="35"/>
  <c r="AE48" i="35" s="1"/>
  <c r="AE56" i="11"/>
  <c r="AI31" i="35"/>
  <c r="AI56" i="11" s="1"/>
  <c r="AF121" i="45"/>
  <c r="AI32" i="35"/>
  <c r="AJ121" i="45" s="1"/>
  <c r="AD18" i="15"/>
  <c r="AE58" i="36"/>
  <c r="AE60" i="36" s="1"/>
  <c r="AE61" i="36"/>
  <c r="AE63" i="36" s="1"/>
  <c r="AE64" i="36"/>
  <c r="AE5" i="9"/>
  <c r="AF5" i="9"/>
  <c r="AE18" i="15"/>
  <c r="AF72" i="36"/>
  <c r="N68" i="36"/>
  <c r="AB70" i="36"/>
  <c r="AC70" i="36" s="1"/>
  <c r="N71" i="36"/>
  <c r="AB11" i="35"/>
  <c r="AB10" i="6" s="1"/>
  <c r="M55" i="11"/>
  <c r="M58" i="11"/>
  <c r="AA56" i="11"/>
  <c r="N124" i="45"/>
  <c r="N120" i="45"/>
  <c r="N123" i="45"/>
  <c r="M79" i="11"/>
  <c r="P69" i="59" s="1"/>
  <c r="AB121" i="45"/>
  <c r="F26" i="9"/>
  <c r="AE104" i="50" l="1"/>
  <c r="AE105" i="50" s="1"/>
  <c r="AF120" i="45"/>
  <c r="AE55" i="11"/>
  <c r="AP17" i="35"/>
  <c r="AJ11" i="36"/>
  <c r="AM37" i="59" s="1"/>
  <c r="AJ12" i="36"/>
  <c r="AM38" i="59" s="1"/>
  <c r="U36" i="35"/>
  <c r="U48" i="35" s="1"/>
  <c r="AI104" i="50"/>
  <c r="AI105" i="50" s="1"/>
  <c r="AQ101" i="50"/>
  <c r="AQ104" i="50" s="1"/>
  <c r="AQ105" i="50" s="1"/>
  <c r="AN18" i="15"/>
  <c r="AO5" i="9"/>
  <c r="AO34" i="22" s="1"/>
  <c r="AS18" i="35"/>
  <c r="AW18" i="35" s="1"/>
  <c r="AO64" i="36"/>
  <c r="AO61" i="36"/>
  <c r="AO63" i="36" s="1"/>
  <c r="AT18" i="35"/>
  <c r="AX18" i="35" s="1"/>
  <c r="V71" i="36"/>
  <c r="AP5" i="9"/>
  <c r="AO130" i="26" s="1"/>
  <c r="AP72" i="36"/>
  <c r="AI34" i="22"/>
  <c r="AH130" i="26"/>
  <c r="AI130" i="26"/>
  <c r="AJ34" i="22"/>
  <c r="AJ78" i="9"/>
  <c r="AJ77" i="9"/>
  <c r="AJ79" i="9"/>
  <c r="AI97" i="11"/>
  <c r="AI55" i="11"/>
  <c r="T130" i="26"/>
  <c r="U34" i="22"/>
  <c r="U89" i="9"/>
  <c r="Y36" i="59"/>
  <c r="V13" i="36"/>
  <c r="Y39" i="59" s="1"/>
  <c r="V68" i="36"/>
  <c r="U130" i="26"/>
  <c r="V34" i="22"/>
  <c r="V77" i="9"/>
  <c r="V76" i="9"/>
  <c r="V73" i="9"/>
  <c r="V75" i="9"/>
  <c r="V78" i="9"/>
  <c r="V94" i="9"/>
  <c r="Y59" i="59"/>
  <c r="V89" i="9"/>
  <c r="V72" i="9"/>
  <c r="V74" i="9"/>
  <c r="V79" i="9"/>
  <c r="AJ124" i="45"/>
  <c r="AJ120" i="45"/>
  <c r="AK101" i="50"/>
  <c r="AK104" i="50" s="1"/>
  <c r="AK105" i="50" s="1"/>
  <c r="V8" i="6"/>
  <c r="V11" i="35"/>
  <c r="V10" i="6" s="1"/>
  <c r="AF11" i="35"/>
  <c r="AF10" i="6" s="1"/>
  <c r="AJ9" i="35"/>
  <c r="AJ8" i="6" s="1"/>
  <c r="AO35" i="35"/>
  <c r="AN124" i="90" s="1"/>
  <c r="AN126" i="90" s="1"/>
  <c r="AP10" i="35"/>
  <c r="AJ9" i="6"/>
  <c r="AC140" i="50"/>
  <c r="AJ35" i="35"/>
  <c r="AI124" i="90" s="1"/>
  <c r="AI126" i="90" s="1"/>
  <c r="AX26" i="35"/>
  <c r="BF24" i="35"/>
  <c r="AI36" i="35"/>
  <c r="AI48" i="35" s="1"/>
  <c r="AO48" i="35" s="1"/>
  <c r="AO34" i="35"/>
  <c r="AS101" i="50" s="1"/>
  <c r="AG104" i="50"/>
  <c r="AP28" i="35"/>
  <c r="AP53" i="35"/>
  <c r="AJ26" i="9"/>
  <c r="AO28" i="35"/>
  <c r="AO53" i="35"/>
  <c r="AI21" i="35"/>
  <c r="AI26" i="9" s="1"/>
  <c r="AO32" i="35"/>
  <c r="AO31" i="35"/>
  <c r="AE97" i="11"/>
  <c r="AF124" i="45"/>
  <c r="AM59" i="59"/>
  <c r="AF34" i="22"/>
  <c r="AE130" i="26"/>
  <c r="AF78" i="9"/>
  <c r="AF79" i="9"/>
  <c r="AI59" i="59"/>
  <c r="AF77" i="9"/>
  <c r="AE34" i="22"/>
  <c r="AD130" i="26"/>
  <c r="AA55" i="11"/>
  <c r="AA97" i="11"/>
  <c r="AB124" i="45"/>
  <c r="AB120" i="45"/>
  <c r="BO42" i="35"/>
  <c r="BO39" i="35"/>
  <c r="BF26" i="35" l="1"/>
  <c r="AO121" i="26"/>
  <c r="AO124" i="26"/>
  <c r="AO116" i="26"/>
  <c r="AO122" i="26"/>
  <c r="AO125" i="26"/>
  <c r="AO126" i="26"/>
  <c r="AO115" i="26"/>
  <c r="AO127" i="26"/>
  <c r="AO117" i="26"/>
  <c r="AO123" i="26"/>
  <c r="AO114" i="26"/>
  <c r="AO120" i="26"/>
  <c r="AO118" i="26"/>
  <c r="AO119" i="26"/>
  <c r="AW18" i="15"/>
  <c r="AT72" i="36"/>
  <c r="AS59" i="59"/>
  <c r="V19" i="36"/>
  <c r="Y56" i="59" s="1"/>
  <c r="AP34" i="22"/>
  <c r="AP12" i="36"/>
  <c r="AS38" i="59" s="1"/>
  <c r="AT17" i="35"/>
  <c r="AX17" i="35" s="1"/>
  <c r="AP11" i="36"/>
  <c r="AS37" i="59" s="1"/>
  <c r="AS104" i="50"/>
  <c r="AS105" i="50" s="1"/>
  <c r="AU101" i="50"/>
  <c r="AU104" i="50" s="1"/>
  <c r="AU105" i="50" s="1"/>
  <c r="AN130" i="26"/>
  <c r="AN119" i="26" s="1"/>
  <c r="AW64" i="36"/>
  <c r="AV18" i="15"/>
  <c r="AW5" i="9"/>
  <c r="AP78" i="9"/>
  <c r="AS64" i="36"/>
  <c r="AW61" i="36"/>
  <c r="AW63" i="36" s="1"/>
  <c r="BE18" i="35"/>
  <c r="AS61" i="36"/>
  <c r="AS63" i="36" s="1"/>
  <c r="AR18" i="15"/>
  <c r="AS58" i="36"/>
  <c r="AS60" i="36" s="1"/>
  <c r="AW58" i="36"/>
  <c r="AW60" i="36" s="1"/>
  <c r="AP79" i="9"/>
  <c r="AP77" i="9"/>
  <c r="AS5" i="9"/>
  <c r="AS34" i="22" s="1"/>
  <c r="AT5" i="9"/>
  <c r="AS18" i="15"/>
  <c r="AP9" i="35"/>
  <c r="AP8" i="6" s="1"/>
  <c r="AJ11" i="35"/>
  <c r="AJ10" i="6" s="1"/>
  <c r="AS35" i="35"/>
  <c r="AR124" i="90" s="1"/>
  <c r="AR126" i="90" s="1"/>
  <c r="AP9" i="6"/>
  <c r="AT10" i="35"/>
  <c r="AG140" i="50"/>
  <c r="AP35" i="35"/>
  <c r="AO124" i="90" s="1"/>
  <c r="AO126" i="90" s="1"/>
  <c r="AS31" i="35"/>
  <c r="AS56" i="11" s="1"/>
  <c r="AS34" i="35"/>
  <c r="AW101" i="50" s="1"/>
  <c r="AY101" i="50" s="1"/>
  <c r="AY104" i="50" s="1"/>
  <c r="AY105" i="50" s="1"/>
  <c r="AO36" i="35"/>
  <c r="AP121" i="45"/>
  <c r="AP120" i="45" s="1"/>
  <c r="AS32" i="35"/>
  <c r="AS53" i="35"/>
  <c r="AO21" i="35"/>
  <c r="AO26" i="9" s="1"/>
  <c r="AT53" i="35"/>
  <c r="AP21" i="35"/>
  <c r="AP26" i="9" s="1"/>
  <c r="AT28" i="35"/>
  <c r="AO9" i="15"/>
  <c r="AN9" i="15"/>
  <c r="AS28" i="35"/>
  <c r="AO56" i="11"/>
  <c r="BT42" i="35"/>
  <c r="BQ48" i="35"/>
  <c r="BQ42" i="35"/>
  <c r="BQ41" i="35"/>
  <c r="BQ39" i="35"/>
  <c r="BP49" i="35"/>
  <c r="BR49" i="35"/>
  <c r="BS49" i="35"/>
  <c r="BO49" i="35"/>
  <c r="BE5" i="9" l="1"/>
  <c r="BD18" i="15"/>
  <c r="AX72" i="36"/>
  <c r="AX5" i="9"/>
  <c r="AX77" i="9" s="1"/>
  <c r="BF18" i="35"/>
  <c r="BE18" i="15" s="1"/>
  <c r="AN117" i="26"/>
  <c r="AN124" i="26"/>
  <c r="AN116" i="26"/>
  <c r="AN122" i="26"/>
  <c r="AN115" i="26"/>
  <c r="AN127" i="26"/>
  <c r="AN125" i="26"/>
  <c r="AN126" i="26"/>
  <c r="AN121" i="26"/>
  <c r="AN120" i="26"/>
  <c r="AN118" i="26"/>
  <c r="AN123" i="26"/>
  <c r="AO128" i="26"/>
  <c r="AN114" i="26"/>
  <c r="AW59" i="59"/>
  <c r="AP124" i="45"/>
  <c r="AT11" i="36"/>
  <c r="AW37" i="59" s="1"/>
  <c r="AT12" i="36"/>
  <c r="AW38" i="59" s="1"/>
  <c r="AW104" i="50"/>
  <c r="AW105" i="50" s="1"/>
  <c r="AW34" i="22"/>
  <c r="AV130" i="26"/>
  <c r="AR130" i="26"/>
  <c r="AR119" i="26" s="1"/>
  <c r="AT79" i="9"/>
  <c r="AS130" i="26"/>
  <c r="AS116" i="26" s="1"/>
  <c r="AT78" i="9"/>
  <c r="AT77" i="9"/>
  <c r="AT34" i="22"/>
  <c r="AP11" i="35"/>
  <c r="AP10" i="6" s="1"/>
  <c r="AT9" i="35"/>
  <c r="AT8" i="6" s="1"/>
  <c r="AK140" i="50"/>
  <c r="AW35" i="35"/>
  <c r="AV124" i="90" s="1"/>
  <c r="AV126" i="90" s="1"/>
  <c r="AX10" i="35"/>
  <c r="AX9" i="6" s="1"/>
  <c r="AT9" i="6"/>
  <c r="BE34" i="22"/>
  <c r="BD130" i="26"/>
  <c r="AT35" i="35"/>
  <c r="AS124" i="90" s="1"/>
  <c r="AS126" i="90" s="1"/>
  <c r="AS55" i="11"/>
  <c r="AS97" i="11"/>
  <c r="AW31" i="35"/>
  <c r="AS9" i="15"/>
  <c r="AX28" i="35"/>
  <c r="AW9" i="15" s="1"/>
  <c r="AT21" i="35"/>
  <c r="AT26" i="9" s="1"/>
  <c r="AX53" i="35"/>
  <c r="AS21" i="35"/>
  <c r="AS26" i="9" s="1"/>
  <c r="AW53" i="35"/>
  <c r="AS36" i="35"/>
  <c r="AS48" i="35" s="1"/>
  <c r="AW34" i="35"/>
  <c r="BA101" i="50" s="1"/>
  <c r="AR9" i="15"/>
  <c r="AW28" i="35"/>
  <c r="AV9" i="15" s="1"/>
  <c r="AT121" i="45"/>
  <c r="AT120" i="45" s="1"/>
  <c r="AW32" i="35"/>
  <c r="AO97" i="11"/>
  <c r="AO55" i="11"/>
  <c r="BQ49" i="35"/>
  <c r="BO55" i="35" s="1"/>
  <c r="BM55" i="35"/>
  <c r="BN55" i="35"/>
  <c r="BP55" i="35"/>
  <c r="AX78" i="9" l="1"/>
  <c r="BA59" i="59"/>
  <c r="AX79" i="9"/>
  <c r="AX34" i="22"/>
  <c r="BF5" i="9"/>
  <c r="BF78" i="9" s="1"/>
  <c r="BD121" i="26"/>
  <c r="BD120" i="26"/>
  <c r="BD114" i="26"/>
  <c r="BD124" i="26"/>
  <c r="BD116" i="26"/>
  <c r="BD127" i="26"/>
  <c r="BD117" i="26"/>
  <c r="BD122" i="26"/>
  <c r="BD123" i="26"/>
  <c r="BD125" i="26"/>
  <c r="BD119" i="26"/>
  <c r="BD126" i="26"/>
  <c r="BD118" i="26"/>
  <c r="BD115" i="26"/>
  <c r="BA104" i="50"/>
  <c r="BF34" i="22"/>
  <c r="AV119" i="26"/>
  <c r="AW130" i="26"/>
  <c r="AW116" i="26" s="1"/>
  <c r="BF79" i="9"/>
  <c r="AR122" i="26"/>
  <c r="AV122" i="26" s="1"/>
  <c r="AS120" i="26"/>
  <c r="AR117" i="26"/>
  <c r="AV117" i="26" s="1"/>
  <c r="AR120" i="26"/>
  <c r="AV120" i="26" s="1"/>
  <c r="AR127" i="26"/>
  <c r="AV127" i="26" s="1"/>
  <c r="AS121" i="26"/>
  <c r="AR121" i="26"/>
  <c r="AV121" i="26" s="1"/>
  <c r="AR124" i="26"/>
  <c r="AV124" i="26" s="1"/>
  <c r="AS122" i="26"/>
  <c r="AS127" i="26"/>
  <c r="AS124" i="26"/>
  <c r="AS117" i="26"/>
  <c r="AR114" i="26"/>
  <c r="AV114" i="26" s="1"/>
  <c r="AN128" i="26"/>
  <c r="AS119" i="26"/>
  <c r="AS126" i="26"/>
  <c r="AS118" i="26"/>
  <c r="AS125" i="26"/>
  <c r="AR125" i="26"/>
  <c r="AV125" i="26" s="1"/>
  <c r="AS114" i="26"/>
  <c r="AS115" i="26"/>
  <c r="AR115" i="26"/>
  <c r="AV115" i="26" s="1"/>
  <c r="AS123" i="26"/>
  <c r="AR123" i="26"/>
  <c r="AV123" i="26" s="1"/>
  <c r="AR126" i="26"/>
  <c r="AV126" i="26" s="1"/>
  <c r="AR116" i="26"/>
  <c r="AV116" i="26" s="1"/>
  <c r="AR118" i="26"/>
  <c r="AV118" i="26" s="1"/>
  <c r="AT124" i="45"/>
  <c r="BF17" i="35"/>
  <c r="AX11" i="36"/>
  <c r="BA37" i="59" s="1"/>
  <c r="AX12" i="36"/>
  <c r="BA38" i="59" s="1"/>
  <c r="BG101" i="50"/>
  <c r="BG104" i="50" s="1"/>
  <c r="BG105" i="50" s="1"/>
  <c r="AW56" i="11"/>
  <c r="BE32" i="35"/>
  <c r="BF121" i="45" s="1"/>
  <c r="AX121" i="45"/>
  <c r="AX120" i="45" s="1"/>
  <c r="AX9" i="35"/>
  <c r="AX8" i="6" s="1"/>
  <c r="AT11" i="35"/>
  <c r="AT10" i="6" s="1"/>
  <c r="BE35" i="35"/>
  <c r="BD124" i="90" s="1"/>
  <c r="BD126" i="90" s="1"/>
  <c r="BF10" i="35"/>
  <c r="BF9" i="6" s="1"/>
  <c r="BF28" i="35"/>
  <c r="AX35" i="35"/>
  <c r="AW124" i="90" s="1"/>
  <c r="AW126" i="90" s="1"/>
  <c r="AX21" i="35"/>
  <c r="AX26" i="9" s="1"/>
  <c r="BF53" i="35"/>
  <c r="BF21" i="35" s="1"/>
  <c r="AW21" i="35"/>
  <c r="AW26" i="9" s="1"/>
  <c r="BE53" i="35"/>
  <c r="BE21" i="35" s="1"/>
  <c r="BE26" i="9" s="1"/>
  <c r="BE31" i="35"/>
  <c r="BE28" i="35"/>
  <c r="BD9" i="15" s="1"/>
  <c r="AW36" i="35"/>
  <c r="AW48" i="35" s="1"/>
  <c r="BE48" i="35" s="1"/>
  <c r="BE34" i="35"/>
  <c r="N39" i="35"/>
  <c r="Q76" i="59" s="1"/>
  <c r="BE130" i="26" l="1"/>
  <c r="BI59" i="59"/>
  <c r="BF77" i="9"/>
  <c r="BF26" i="9"/>
  <c r="BE9" i="15"/>
  <c r="AW127" i="26"/>
  <c r="BE139" i="26"/>
  <c r="BE127" i="26"/>
  <c r="BE121" i="26"/>
  <c r="BE126" i="26"/>
  <c r="BE116" i="26"/>
  <c r="BE119" i="26"/>
  <c r="BE114" i="26"/>
  <c r="BE124" i="26"/>
  <c r="BE123" i="26"/>
  <c r="BE118" i="26"/>
  <c r="BE117" i="26"/>
  <c r="BE120" i="26"/>
  <c r="BE122" i="26"/>
  <c r="BE125" i="26"/>
  <c r="BE115" i="26"/>
  <c r="BF120" i="45"/>
  <c r="BD128" i="26"/>
  <c r="AW123" i="26"/>
  <c r="AW124" i="26"/>
  <c r="AW115" i="26"/>
  <c r="AW125" i="26"/>
  <c r="AW118" i="26"/>
  <c r="AW126" i="26"/>
  <c r="AW120" i="26"/>
  <c r="AW121" i="26"/>
  <c r="AW119" i="26"/>
  <c r="AW117" i="26"/>
  <c r="BA105" i="50"/>
  <c r="AW122" i="26"/>
  <c r="AV128" i="26"/>
  <c r="AW114" i="26"/>
  <c r="AS128" i="26"/>
  <c r="AR128" i="26"/>
  <c r="BF9" i="35"/>
  <c r="BF11" i="35" s="1"/>
  <c r="BF10" i="6" s="1"/>
  <c r="AW55" i="11"/>
  <c r="BE55" i="11" s="1"/>
  <c r="BF124" i="45"/>
  <c r="AW97" i="11"/>
  <c r="BF12" i="36"/>
  <c r="BI38" i="59" s="1"/>
  <c r="BF11" i="36"/>
  <c r="BI37" i="59" s="1"/>
  <c r="AX11" i="35"/>
  <c r="AX10" i="6" s="1"/>
  <c r="BE56" i="11"/>
  <c r="AX124" i="45"/>
  <c r="BE36" i="35"/>
  <c r="AB39" i="35"/>
  <c r="R39" i="35"/>
  <c r="V39" i="35" s="1"/>
  <c r="BF35" i="35"/>
  <c r="AF39" i="35" l="1"/>
  <c r="AE76" i="59"/>
  <c r="BE128" i="26"/>
  <c r="AW128" i="26"/>
  <c r="BF8" i="6"/>
  <c r="BE97" i="11"/>
  <c r="H22" i="15"/>
  <c r="AJ39" i="35" l="1"/>
  <c r="AI76" i="59"/>
  <c r="I73" i="17"/>
  <c r="Q73" i="17" s="1"/>
  <c r="U73" i="17" s="1"/>
  <c r="I74" i="17"/>
  <c r="Q74" i="17" s="1"/>
  <c r="U74" i="17" s="1"/>
  <c r="I75" i="17"/>
  <c r="Q75" i="17" s="1"/>
  <c r="U75" i="17" s="1"/>
  <c r="I76" i="17"/>
  <c r="Q76" i="17" s="1"/>
  <c r="U76" i="17" s="1"/>
  <c r="I77" i="17"/>
  <c r="Q77" i="17" s="1"/>
  <c r="U77" i="17" s="1"/>
  <c r="I78" i="17"/>
  <c r="Q78" i="17" s="1"/>
  <c r="U78" i="17" s="1"/>
  <c r="I79" i="17"/>
  <c r="Q79" i="17" s="1"/>
  <c r="U79" i="17" s="1"/>
  <c r="I82" i="17"/>
  <c r="Q82" i="17" s="1"/>
  <c r="U82" i="17" s="1"/>
  <c r="AP39" i="35" l="1"/>
  <c r="AM76" i="59"/>
  <c r="J10" i="52"/>
  <c r="I10" i="52"/>
  <c r="J6" i="52"/>
  <c r="J8" i="52"/>
  <c r="J5" i="52"/>
  <c r="I6" i="52"/>
  <c r="I8" i="52"/>
  <c r="I5" i="52"/>
  <c r="AT39" i="35" l="1"/>
  <c r="AS76" i="59"/>
  <c r="J9" i="52"/>
  <c r="J16" i="52"/>
  <c r="I9" i="52"/>
  <c r="I16" i="52"/>
  <c r="AX39" i="35" l="1"/>
  <c r="AW76" i="59"/>
  <c r="J17" i="52"/>
  <c r="I17" i="52"/>
  <c r="BF39" i="35" l="1"/>
  <c r="BI76" i="59" s="1"/>
  <c r="BA76" i="59"/>
  <c r="G63" i="71"/>
  <c r="F56" i="11" l="1"/>
  <c r="F60" i="11" l="1"/>
  <c r="G120" i="50"/>
  <c r="F172" i="26"/>
  <c r="N79" i="11"/>
  <c r="Q69" i="59" s="1"/>
  <c r="N22" i="36"/>
  <c r="Q67" i="59" s="1"/>
  <c r="F31" i="35"/>
  <c r="F167" i="26"/>
  <c r="F97" i="11" l="1"/>
  <c r="K120" i="50"/>
  <c r="O120" i="50"/>
  <c r="G122" i="50"/>
  <c r="N31" i="35"/>
  <c r="R31" i="35" s="1"/>
  <c r="V31" i="35" s="1"/>
  <c r="F171" i="26"/>
  <c r="F164" i="26"/>
  <c r="S120" i="50" l="1"/>
  <c r="W120" i="50" s="1"/>
  <c r="AC120" i="50"/>
  <c r="AG120" i="50" s="1"/>
  <c r="AK120" i="50" s="1"/>
  <c r="AQ120" i="50" s="1"/>
  <c r="AB31" i="35"/>
  <c r="AF31" i="35" s="1"/>
  <c r="N97" i="11"/>
  <c r="AQ122" i="50" l="1"/>
  <c r="AU120" i="50"/>
  <c r="AJ31" i="35"/>
  <c r="K122" i="45"/>
  <c r="AU122" i="50" l="1"/>
  <c r="AY120" i="50"/>
  <c r="O4" i="61"/>
  <c r="O16" i="61" s="1"/>
  <c r="AP31" i="35"/>
  <c r="F79" i="11"/>
  <c r="AY122" i="50" l="1"/>
  <c r="BG120" i="50"/>
  <c r="AT31" i="35"/>
  <c r="J57" i="11"/>
  <c r="BG122" i="50" l="1"/>
  <c r="AX31" i="35"/>
  <c r="BF31" i="35" s="1"/>
  <c r="M101" i="9"/>
  <c r="Q101" i="9" s="1"/>
  <c r="U101" i="9" s="1"/>
  <c r="J132" i="9" l="1"/>
  <c r="J30" i="9"/>
  <c r="J32" i="9"/>
  <c r="J33" i="9"/>
  <c r="J38" i="9"/>
  <c r="J39" i="9"/>
  <c r="J40" i="9"/>
  <c r="J41" i="9"/>
  <c r="J42" i="9"/>
  <c r="J43" i="9"/>
  <c r="J44" i="9"/>
  <c r="J45" i="9"/>
  <c r="I119" i="90" l="1"/>
  <c r="A41" i="9"/>
  <c r="AA85" i="7" l="1"/>
  <c r="Y85" i="7"/>
  <c r="I85" i="7"/>
  <c r="AA115" i="7"/>
  <c r="AA114" i="7"/>
  <c r="AA113" i="7"/>
  <c r="AA112" i="7"/>
  <c r="AA111" i="7"/>
  <c r="AA110" i="7"/>
  <c r="AA109" i="7"/>
  <c r="AA108" i="7"/>
  <c r="AA107" i="7"/>
  <c r="AA106" i="7"/>
  <c r="Y115" i="7"/>
  <c r="Y114" i="7"/>
  <c r="Y113" i="7"/>
  <c r="Y112" i="7"/>
  <c r="Y111" i="7"/>
  <c r="Y110" i="7"/>
  <c r="Y109" i="7"/>
  <c r="Y108" i="7"/>
  <c r="Y107" i="7"/>
  <c r="Y106" i="7"/>
  <c r="I115" i="7"/>
  <c r="I114" i="7"/>
  <c r="I113" i="7"/>
  <c r="I112" i="7"/>
  <c r="I111" i="7"/>
  <c r="I110" i="7"/>
  <c r="I109" i="7"/>
  <c r="I108" i="7"/>
  <c r="I107" i="7"/>
  <c r="I106" i="7"/>
  <c r="E115" i="7"/>
  <c r="E114" i="7"/>
  <c r="AA199" i="6" l="1"/>
  <c r="AA198" i="6"/>
  <c r="AA197" i="6"/>
  <c r="Y199" i="6"/>
  <c r="Y198" i="6"/>
  <c r="Y197" i="6"/>
  <c r="M199" i="6"/>
  <c r="M198" i="6"/>
  <c r="M197" i="6"/>
  <c r="I199" i="6"/>
  <c r="I198" i="6"/>
  <c r="I197" i="6"/>
  <c r="E199" i="6"/>
  <c r="E197" i="6"/>
  <c r="AA190" i="6"/>
  <c r="AA189" i="6"/>
  <c r="Y189" i="6"/>
  <c r="M190" i="6"/>
  <c r="M189" i="6"/>
  <c r="I190" i="6"/>
  <c r="I189" i="6"/>
  <c r="E190" i="6"/>
  <c r="E189" i="6"/>
  <c r="AA165" i="6"/>
  <c r="AA164" i="6"/>
  <c r="Y165" i="6"/>
  <c r="Y164" i="6"/>
  <c r="M165" i="6"/>
  <c r="M164" i="6"/>
  <c r="I165" i="6"/>
  <c r="I164" i="6"/>
  <c r="E165" i="6"/>
  <c r="E164" i="6"/>
  <c r="AA186" i="6"/>
  <c r="AA185" i="6"/>
  <c r="AA184" i="6"/>
  <c r="AA183" i="6"/>
  <c r="AA182" i="6"/>
  <c r="AA181" i="6"/>
  <c r="AA179" i="6"/>
  <c r="AA178" i="6"/>
  <c r="AA177" i="6"/>
  <c r="Y186" i="6"/>
  <c r="Y185" i="6"/>
  <c r="Y184" i="6"/>
  <c r="Y183" i="6"/>
  <c r="Y182" i="6"/>
  <c r="Y181" i="6"/>
  <c r="Y179" i="6"/>
  <c r="Y178" i="6"/>
  <c r="Y177" i="6"/>
  <c r="M186" i="6"/>
  <c r="M185" i="6"/>
  <c r="M184" i="6"/>
  <c r="M183" i="6"/>
  <c r="M182" i="6"/>
  <c r="M181" i="6"/>
  <c r="M179" i="6"/>
  <c r="M178" i="6"/>
  <c r="M177" i="6"/>
  <c r="I186" i="6"/>
  <c r="I185" i="6"/>
  <c r="I184" i="6"/>
  <c r="I183" i="6"/>
  <c r="I182" i="6"/>
  <c r="I181" i="6"/>
  <c r="I179" i="6"/>
  <c r="I178" i="6"/>
  <c r="I177" i="6"/>
  <c r="E186" i="6"/>
  <c r="E185" i="6"/>
  <c r="E184" i="6"/>
  <c r="E183" i="6"/>
  <c r="E182" i="6"/>
  <c r="E181" i="6"/>
  <c r="E179" i="6"/>
  <c r="E178" i="6"/>
  <c r="E177" i="6"/>
  <c r="AA161" i="6"/>
  <c r="AA160" i="6"/>
  <c r="AA159" i="6"/>
  <c r="AA158" i="6"/>
  <c r="AA157" i="6"/>
  <c r="AA156" i="6"/>
  <c r="Y161" i="6"/>
  <c r="Y160" i="6"/>
  <c r="Y159" i="6"/>
  <c r="Y158" i="6"/>
  <c r="Y157" i="6"/>
  <c r="Y156" i="6"/>
  <c r="M161" i="6"/>
  <c r="M160" i="6"/>
  <c r="M159" i="6"/>
  <c r="M158" i="6"/>
  <c r="M157" i="6"/>
  <c r="M156" i="6"/>
  <c r="I161" i="6"/>
  <c r="I160" i="6"/>
  <c r="I159" i="6"/>
  <c r="I158" i="6"/>
  <c r="I157" i="6"/>
  <c r="I156" i="6"/>
  <c r="E161" i="6"/>
  <c r="E160" i="6"/>
  <c r="E159" i="6"/>
  <c r="E158" i="6"/>
  <c r="E157" i="6"/>
  <c r="E156" i="6"/>
  <c r="AA154" i="6"/>
  <c r="AA153" i="6"/>
  <c r="AA149" i="6"/>
  <c r="Y154" i="6"/>
  <c r="Y153" i="6"/>
  <c r="Y149" i="6"/>
  <c r="M154" i="6"/>
  <c r="M153" i="6"/>
  <c r="M149" i="6"/>
  <c r="I154" i="6"/>
  <c r="I153" i="6"/>
  <c r="I149" i="6"/>
  <c r="E154" i="6"/>
  <c r="E153" i="6"/>
  <c r="E149" i="6"/>
  <c r="M88" i="6"/>
  <c r="M87" i="6"/>
  <c r="M86" i="6"/>
  <c r="AA85" i="6"/>
  <c r="AA83" i="6"/>
  <c r="AA82" i="6"/>
  <c r="AA80" i="6"/>
  <c r="AA79" i="6"/>
  <c r="Y85" i="6"/>
  <c r="Y83" i="6"/>
  <c r="Y82" i="6"/>
  <c r="Y80" i="6"/>
  <c r="Y79" i="6"/>
  <c r="M85" i="6"/>
  <c r="M83" i="6"/>
  <c r="M82" i="6"/>
  <c r="M80" i="6"/>
  <c r="M79" i="6"/>
  <c r="I85" i="6"/>
  <c r="I83" i="6"/>
  <c r="I82" i="6"/>
  <c r="I80" i="6"/>
  <c r="I79" i="6"/>
  <c r="E85" i="6"/>
  <c r="E83" i="6"/>
  <c r="E82" i="6"/>
  <c r="E80" i="6"/>
  <c r="E79" i="6"/>
  <c r="AA40" i="6"/>
  <c r="AA39" i="6"/>
  <c r="AA38" i="6"/>
  <c r="AA37" i="6"/>
  <c r="Y40" i="6"/>
  <c r="Y39" i="6"/>
  <c r="Y38" i="6"/>
  <c r="Y37" i="6"/>
  <c r="M40" i="6"/>
  <c r="M39" i="6"/>
  <c r="M38" i="6"/>
  <c r="M37" i="6"/>
  <c r="I40" i="6"/>
  <c r="I39" i="6"/>
  <c r="I38" i="6"/>
  <c r="I37" i="6"/>
  <c r="I117" i="6"/>
  <c r="J117" i="6"/>
  <c r="I100" i="6"/>
  <c r="J100" i="6"/>
  <c r="Q86" i="6" l="1"/>
  <c r="U86" i="6" s="1"/>
  <c r="Q87" i="6"/>
  <c r="U87" i="6" s="1"/>
  <c r="Q88" i="6"/>
  <c r="U88" i="6" s="1"/>
  <c r="M122" i="73" l="1"/>
  <c r="Q122" i="73" l="1"/>
  <c r="U122" i="73" s="1"/>
  <c r="M137" i="73"/>
  <c r="AA122" i="73"/>
  <c r="I122" i="73"/>
  <c r="I137" i="73" l="1"/>
  <c r="Q137" i="73"/>
  <c r="U137" i="73" s="1"/>
  <c r="AA137" i="73"/>
  <c r="AE137" i="73" s="1"/>
  <c r="AI137" i="73" s="1"/>
  <c r="BE69" i="36"/>
  <c r="BE67" i="36"/>
  <c r="BE66" i="36"/>
  <c r="AA72" i="36"/>
  <c r="AA69" i="36"/>
  <c r="AA71" i="36" s="1"/>
  <c r="AA67" i="36"/>
  <c r="AA66" i="36"/>
  <c r="Y72" i="36"/>
  <c r="Y69" i="36"/>
  <c r="Y71" i="36" s="1"/>
  <c r="Y67" i="36"/>
  <c r="Y66" i="36"/>
  <c r="BE29" i="36"/>
  <c r="BE28" i="36"/>
  <c r="BE27" i="36"/>
  <c r="AA29" i="36"/>
  <c r="AA28" i="36"/>
  <c r="AA27" i="36"/>
  <c r="Q29" i="36"/>
  <c r="P7" i="15" s="1"/>
  <c r="Q28" i="36"/>
  <c r="P6" i="15" s="1"/>
  <c r="Q27" i="36"/>
  <c r="P5" i="15" s="1"/>
  <c r="M29" i="36"/>
  <c r="M28" i="36"/>
  <c r="M27" i="36"/>
  <c r="I29" i="36"/>
  <c r="L79" i="59" s="1"/>
  <c r="I28" i="36"/>
  <c r="L78" i="59" s="1"/>
  <c r="I27" i="36"/>
  <c r="L77" i="59" s="1"/>
  <c r="BE23" i="36"/>
  <c r="BE22" i="36"/>
  <c r="BH67" i="59" s="1"/>
  <c r="BE21" i="36"/>
  <c r="AA23" i="36"/>
  <c r="AA22" i="36"/>
  <c r="AA21" i="36"/>
  <c r="M23" i="36"/>
  <c r="P71" i="59" s="1"/>
  <c r="M22" i="36"/>
  <c r="P67" i="59" s="1"/>
  <c r="M21" i="36"/>
  <c r="P63" i="59" s="1"/>
  <c r="I23" i="36"/>
  <c r="L71" i="59" s="1"/>
  <c r="I22" i="36"/>
  <c r="L67" i="59" s="1"/>
  <c r="I21" i="36"/>
  <c r="L63" i="59" s="1"/>
  <c r="BE16" i="36"/>
  <c r="AA17" i="36"/>
  <c r="AD54" i="59" s="1"/>
  <c r="AA16" i="36"/>
  <c r="AD53" i="59" s="1"/>
  <c r="Q17" i="36"/>
  <c r="Q16" i="36"/>
  <c r="M17" i="36"/>
  <c r="P54" i="59" s="1"/>
  <c r="M16" i="36"/>
  <c r="P53" i="59" s="1"/>
  <c r="I17" i="36"/>
  <c r="L54" i="59" s="1"/>
  <c r="I16" i="36"/>
  <c r="L53" i="59" s="1"/>
  <c r="BE9" i="36"/>
  <c r="BH10" i="59" s="1"/>
  <c r="BE8" i="36"/>
  <c r="BH9" i="59" s="1"/>
  <c r="BE7" i="36"/>
  <c r="BH8" i="59" s="1"/>
  <c r="BE5" i="36"/>
  <c r="AA9" i="36"/>
  <c r="AA8" i="36"/>
  <c r="AA7" i="36"/>
  <c r="AA5" i="36"/>
  <c r="Q9" i="36"/>
  <c r="Q8" i="36"/>
  <c r="Q7" i="36"/>
  <c r="Q5" i="36"/>
  <c r="Q13" i="49" s="1"/>
  <c r="M9" i="36"/>
  <c r="P10" i="59" s="1"/>
  <c r="M8" i="36"/>
  <c r="P9" i="59" s="1"/>
  <c r="M7" i="36"/>
  <c r="P8" i="59" s="1"/>
  <c r="M5" i="36"/>
  <c r="M13" i="49" s="1"/>
  <c r="I9" i="36"/>
  <c r="L10" i="59" s="1"/>
  <c r="I8" i="36"/>
  <c r="L9" i="59" s="1"/>
  <c r="I7" i="36"/>
  <c r="L8" i="59" s="1"/>
  <c r="I5" i="36"/>
  <c r="E72" i="36"/>
  <c r="E69" i="36"/>
  <c r="E67" i="36"/>
  <c r="E59" i="36" s="1"/>
  <c r="E66" i="36"/>
  <c r="D68" i="36"/>
  <c r="E29" i="36"/>
  <c r="D7" i="15" s="1"/>
  <c r="E28" i="36"/>
  <c r="D6" i="15" s="1"/>
  <c r="E27" i="36"/>
  <c r="D5" i="15" s="1"/>
  <c r="E23" i="36"/>
  <c r="E22" i="36"/>
  <c r="E21" i="36"/>
  <c r="E17" i="36"/>
  <c r="H54" i="59" s="1"/>
  <c r="E16" i="36"/>
  <c r="H53" i="59" s="1"/>
  <c r="E9" i="36"/>
  <c r="E8" i="36"/>
  <c r="E7" i="36"/>
  <c r="E5" i="36"/>
  <c r="BH53" i="59" l="1"/>
  <c r="I13" i="49"/>
  <c r="L6" i="59"/>
  <c r="BH79" i="59"/>
  <c r="BD7" i="15"/>
  <c r="BH78" i="59"/>
  <c r="BD6" i="15"/>
  <c r="BH77" i="59"/>
  <c r="BD5" i="15"/>
  <c r="BH6" i="59"/>
  <c r="BE13" i="49"/>
  <c r="D19" i="36"/>
  <c r="AE122" i="73"/>
  <c r="L5" i="15"/>
  <c r="P77" i="59"/>
  <c r="P6" i="59"/>
  <c r="L6" i="15"/>
  <c r="P78" i="59"/>
  <c r="L7" i="15"/>
  <c r="P79" i="59"/>
  <c r="Y68" i="36"/>
  <c r="AA68" i="36"/>
  <c r="BE68" i="36"/>
  <c r="AY19" i="36" l="1"/>
  <c r="BB56" i="59" s="1"/>
  <c r="G19" i="36"/>
  <c r="J56" i="59" s="1"/>
  <c r="AU19" i="36"/>
  <c r="AX56" i="59" s="1"/>
  <c r="AG19" i="36"/>
  <c r="AJ56" i="59" s="1"/>
  <c r="AQ19" i="36"/>
  <c r="AT56" i="59" s="1"/>
  <c r="AK19" i="36"/>
  <c r="AN56" i="59" s="1"/>
  <c r="O19" i="36"/>
  <c r="R56" i="59" s="1"/>
  <c r="AC19" i="36"/>
  <c r="AF56" i="59" s="1"/>
  <c r="W19" i="36"/>
  <c r="Z56" i="59" s="1"/>
  <c r="S19" i="36"/>
  <c r="V56" i="59" s="1"/>
  <c r="K19" i="36"/>
  <c r="N56" i="59" s="1"/>
  <c r="U19" i="36"/>
  <c r="X56" i="59" s="1"/>
  <c r="G56" i="59"/>
  <c r="BE19" i="36"/>
  <c r="BC19" i="36"/>
  <c r="M19" i="36"/>
  <c r="P56" i="59" s="1"/>
  <c r="Y19" i="36"/>
  <c r="AB56" i="59" s="1"/>
  <c r="AI19" i="36"/>
  <c r="AL56" i="59" s="1"/>
  <c r="AO19" i="36"/>
  <c r="AR56" i="59" s="1"/>
  <c r="AW19" i="36"/>
  <c r="AZ56" i="59" s="1"/>
  <c r="AA19" i="36"/>
  <c r="AD56" i="59" s="1"/>
  <c r="I19" i="36"/>
  <c r="L56" i="59" s="1"/>
  <c r="E19" i="36"/>
  <c r="H56" i="59" s="1"/>
  <c r="AS19" i="36"/>
  <c r="AV56" i="59" s="1"/>
  <c r="BA19" i="36"/>
  <c r="Q19" i="36"/>
  <c r="AE19" i="36"/>
  <c r="AH56" i="59" s="1"/>
  <c r="AM19" i="36"/>
  <c r="AP56" i="59" s="1"/>
  <c r="AI122" i="73"/>
  <c r="J10" i="21"/>
  <c r="J6" i="21"/>
  <c r="J42" i="35"/>
  <c r="J43" i="35"/>
  <c r="BD56" i="59" l="1"/>
  <c r="BF56" i="59"/>
  <c r="BH56" i="59"/>
  <c r="AO122" i="73"/>
  <c r="AO137" i="73" s="1"/>
  <c r="AS122" i="73" l="1"/>
  <c r="AS137" i="73" s="1"/>
  <c r="AW122" i="73" l="1"/>
  <c r="L15" i="15"/>
  <c r="P15" i="15" s="1"/>
  <c r="L13" i="15"/>
  <c r="P13" i="15" s="1"/>
  <c r="H13" i="15"/>
  <c r="L12" i="15"/>
  <c r="P12" i="15" s="1"/>
  <c r="H12" i="15"/>
  <c r="I15" i="15"/>
  <c r="M15" i="15"/>
  <c r="Q15" i="15" s="1"/>
  <c r="L16" i="15"/>
  <c r="P16" i="15" s="1"/>
  <c r="H15" i="15"/>
  <c r="AW137" i="73" l="1"/>
  <c r="P17" i="15"/>
  <c r="BE122" i="73"/>
  <c r="BE137" i="73" s="1"/>
  <c r="T13" i="15"/>
  <c r="T12" i="15"/>
  <c r="Z12" i="15"/>
  <c r="AD12" i="15" s="1"/>
  <c r="T15" i="15"/>
  <c r="U15" i="15"/>
  <c r="Z15" i="15"/>
  <c r="AD15" i="15" s="1"/>
  <c r="D172" i="26"/>
  <c r="AH15" i="15" l="1"/>
  <c r="AN15" i="15" s="1"/>
  <c r="AR15" i="15" s="1"/>
  <c r="AH12" i="15"/>
  <c r="AN12" i="15" s="1"/>
  <c r="AR12" i="15" s="1"/>
  <c r="T16" i="15"/>
  <c r="Z16" i="15"/>
  <c r="AD16" i="15" s="1"/>
  <c r="D167" i="26"/>
  <c r="D164" i="26"/>
  <c r="E57" i="17"/>
  <c r="D57" i="17"/>
  <c r="E56" i="17"/>
  <c r="D56" i="17"/>
  <c r="E55" i="17"/>
  <c r="D55" i="17"/>
  <c r="E54" i="17"/>
  <c r="D54" i="17"/>
  <c r="E53" i="17"/>
  <c r="D53" i="17"/>
  <c r="D31" i="17"/>
  <c r="D28" i="17"/>
  <c r="D25" i="17"/>
  <c r="E22" i="17"/>
  <c r="D22" i="17"/>
  <c r="E19" i="17"/>
  <c r="D18" i="17"/>
  <c r="D16" i="17"/>
  <c r="E14" i="17"/>
  <c r="D14" i="17"/>
  <c r="L14" i="17" s="1"/>
  <c r="Z14" i="17" s="1"/>
  <c r="AD14" i="17" s="1"/>
  <c r="AH14" i="17" s="1"/>
  <c r="E13" i="17"/>
  <c r="E11" i="17"/>
  <c r="E9" i="17"/>
  <c r="E15" i="17" l="1"/>
  <c r="AV12" i="15"/>
  <c r="BD12" i="15" s="1"/>
  <c r="AV15" i="15"/>
  <c r="BD15" i="15" s="1"/>
  <c r="AH16" i="15"/>
  <c r="AN16" i="15" s="1"/>
  <c r="AR16" i="15" s="1"/>
  <c r="AN14" i="17"/>
  <c r="AR14" i="17" s="1"/>
  <c r="E23" i="17"/>
  <c r="M22" i="17"/>
  <c r="AA22" i="17" s="1"/>
  <c r="AE22" i="17" s="1"/>
  <c r="AI22" i="17" s="1"/>
  <c r="Z17" i="15"/>
  <c r="D171" i="26"/>
  <c r="D20" i="17"/>
  <c r="E20" i="17"/>
  <c r="AV16" i="15" l="1"/>
  <c r="BD16" i="15" s="1"/>
  <c r="AV14" i="17"/>
  <c r="AO22" i="17"/>
  <c r="D24" i="17"/>
  <c r="E24" i="17"/>
  <c r="E21" i="17"/>
  <c r="AS22" i="17" l="1"/>
  <c r="O157" i="45"/>
  <c r="N131" i="45"/>
  <c r="BD14" i="17"/>
  <c r="E25" i="17"/>
  <c r="O131" i="45"/>
  <c r="O138" i="45"/>
  <c r="O139" i="45" s="1"/>
  <c r="AW22" i="17" l="1"/>
  <c r="O120" i="45"/>
  <c r="F32" i="35"/>
  <c r="E69" i="11"/>
  <c r="E56" i="11"/>
  <c r="F55" i="11"/>
  <c r="BE22" i="17" l="1"/>
  <c r="F23" i="36"/>
  <c r="E79" i="11"/>
  <c r="E97" i="11"/>
  <c r="N32" i="35"/>
  <c r="R32" i="35" s="1"/>
  <c r="V32" i="35" s="1"/>
  <c r="O123" i="45"/>
  <c r="O124" i="45"/>
  <c r="O125" i="45" s="1"/>
  <c r="F58" i="11"/>
  <c r="F22" i="36" s="1"/>
  <c r="E55" i="11"/>
  <c r="E58" i="11"/>
  <c r="AB32" i="35" l="1"/>
  <c r="AF32" i="35" s="1"/>
  <c r="N92" i="11"/>
  <c r="F91" i="11"/>
  <c r="F89" i="11"/>
  <c r="F90" i="11"/>
  <c r="F78" i="11"/>
  <c r="E78" i="11"/>
  <c r="F76" i="11"/>
  <c r="E76" i="11"/>
  <c r="F75" i="11"/>
  <c r="E75" i="11"/>
  <c r="F73" i="11"/>
  <c r="F71" i="11"/>
  <c r="E71" i="11"/>
  <c r="F69" i="11"/>
  <c r="F66" i="11"/>
  <c r="E66" i="11"/>
  <c r="F57" i="11"/>
  <c r="M66" i="11" l="1"/>
  <c r="M67" i="11" s="1"/>
  <c r="N73" i="11"/>
  <c r="N74" i="11" s="1"/>
  <c r="F74" i="11"/>
  <c r="AJ32" i="35"/>
  <c r="E67" i="11"/>
  <c r="F67" i="11"/>
  <c r="N66" i="11"/>
  <c r="N67" i="11" s="1"/>
  <c r="N85" i="11"/>
  <c r="N93" i="11"/>
  <c r="N94" i="11" s="1"/>
  <c r="F93" i="11"/>
  <c r="F84" i="11"/>
  <c r="F85" i="11"/>
  <c r="F92" i="11"/>
  <c r="AP32" i="35" l="1"/>
  <c r="AT32" i="35" s="1"/>
  <c r="F40" i="35"/>
  <c r="N40" i="35" s="1"/>
  <c r="R40" i="35" s="1"/>
  <c r="V40" i="35" s="1"/>
  <c r="G108" i="50"/>
  <c r="F94" i="11"/>
  <c r="F30" i="35"/>
  <c r="AX32" i="35" l="1"/>
  <c r="BF32" i="35" s="1"/>
  <c r="O108" i="50"/>
  <c r="K108" i="50"/>
  <c r="K110" i="50" s="1"/>
  <c r="N30" i="35"/>
  <c r="J40" i="35"/>
  <c r="G111" i="50"/>
  <c r="G110" i="50"/>
  <c r="AB40" i="35"/>
  <c r="AF40" i="35" s="1"/>
  <c r="AJ40" i="35" s="1"/>
  <c r="AP40" i="35" s="1"/>
  <c r="F21" i="36"/>
  <c r="N165" i="10"/>
  <c r="G118" i="50" l="1"/>
  <c r="R30" i="35"/>
  <c r="R33" i="35" s="1"/>
  <c r="N203" i="10"/>
  <c r="N172" i="10"/>
  <c r="K111" i="50"/>
  <c r="K118" i="50" s="1"/>
  <c r="O111" i="50"/>
  <c r="O118" i="50" s="1"/>
  <c r="S108" i="50"/>
  <c r="AC108" i="50"/>
  <c r="O110" i="50"/>
  <c r="AT40" i="35"/>
  <c r="AX40" i="35" s="1"/>
  <c r="BF40" i="35" s="1"/>
  <c r="AB30" i="35"/>
  <c r="AB203" i="10" s="1"/>
  <c r="R64" i="9"/>
  <c r="V64" i="9" s="1"/>
  <c r="R95" i="9"/>
  <c r="V95" i="9" s="1"/>
  <c r="V96" i="9" s="1"/>
  <c r="V30" i="35" l="1"/>
  <c r="V33" i="35" s="1"/>
  <c r="AB172" i="10"/>
  <c r="N173" i="10"/>
  <c r="AC111" i="50"/>
  <c r="S111" i="50"/>
  <c r="AG108" i="50"/>
  <c r="AC110" i="50"/>
  <c r="W108" i="50"/>
  <c r="W110" i="50" s="1"/>
  <c r="S110" i="50"/>
  <c r="AF30" i="35"/>
  <c r="AF203" i="10" s="1"/>
  <c r="N166" i="10"/>
  <c r="AF172" i="10" l="1"/>
  <c r="AB173" i="10"/>
  <c r="W111" i="50"/>
  <c r="W118" i="50" s="1"/>
  <c r="S118" i="50"/>
  <c r="AG111" i="50"/>
  <c r="AC118" i="50"/>
  <c r="AK108" i="50"/>
  <c r="AG110" i="50"/>
  <c r="AJ30" i="35"/>
  <c r="AF33" i="35"/>
  <c r="AP30" i="35" l="1"/>
  <c r="AJ203" i="10"/>
  <c r="AJ172" i="10"/>
  <c r="AF173" i="10"/>
  <c r="AK110" i="50"/>
  <c r="AQ108" i="50"/>
  <c r="AK111" i="50"/>
  <c r="AG118" i="50"/>
  <c r="AJ33" i="35"/>
  <c r="F99" i="9"/>
  <c r="N99" i="9" s="1"/>
  <c r="F98" i="9"/>
  <c r="E98" i="9"/>
  <c r="F97" i="9"/>
  <c r="E97" i="9"/>
  <c r="F93" i="9"/>
  <c r="E90" i="9"/>
  <c r="E89" i="9"/>
  <c r="E47" i="9"/>
  <c r="F46" i="9"/>
  <c r="F36" i="9"/>
  <c r="F35" i="9"/>
  <c r="F34" i="9"/>
  <c r="F31" i="9"/>
  <c r="F25" i="9"/>
  <c r="F19" i="9"/>
  <c r="F10" i="9"/>
  <c r="F5" i="9"/>
  <c r="E5" i="9"/>
  <c r="N21" i="8"/>
  <c r="R21" i="8" s="1"/>
  <c r="V21" i="8" s="1"/>
  <c r="F20" i="35" l="1"/>
  <c r="N20" i="35" s="1"/>
  <c r="F57" i="36"/>
  <c r="D130" i="26"/>
  <c r="E34" i="22"/>
  <c r="E130" i="26"/>
  <c r="F34" i="22"/>
  <c r="F14" i="9"/>
  <c r="AT30" i="35"/>
  <c r="AT33" i="35" s="1"/>
  <c r="AP203" i="10"/>
  <c r="AP33" i="35"/>
  <c r="AJ173" i="10"/>
  <c r="AP172" i="10"/>
  <c r="E90" i="90"/>
  <c r="G134" i="50"/>
  <c r="AQ110" i="50"/>
  <c r="AU108" i="50"/>
  <c r="AK118" i="50"/>
  <c r="AQ111" i="50"/>
  <c r="R20" i="35"/>
  <c r="V20" i="35" s="1"/>
  <c r="AB20" i="35"/>
  <c r="I59" i="59"/>
  <c r="F96" i="9"/>
  <c r="E59" i="9"/>
  <c r="E55" i="9"/>
  <c r="E61" i="9"/>
  <c r="E56" i="9"/>
  <c r="E58" i="9"/>
  <c r="G102" i="50"/>
  <c r="J46" i="9"/>
  <c r="J20" i="35" s="1"/>
  <c r="M47" i="9"/>
  <c r="M24" i="9"/>
  <c r="Q24" i="9" s="1"/>
  <c r="U24" i="9" s="1"/>
  <c r="J34" i="9"/>
  <c r="R99" i="9"/>
  <c r="V99" i="9" s="1"/>
  <c r="V100" i="9" s="1"/>
  <c r="J31" i="9"/>
  <c r="N19" i="9"/>
  <c r="M22" i="9"/>
  <c r="Q22" i="9" s="1"/>
  <c r="U22" i="9" s="1"/>
  <c r="F47" i="9"/>
  <c r="J35" i="9"/>
  <c r="F48" i="9"/>
  <c r="J36" i="9"/>
  <c r="E91" i="9"/>
  <c r="E67" i="9"/>
  <c r="F94" i="9"/>
  <c r="E19" i="15" s="1"/>
  <c r="F37" i="9"/>
  <c r="F100" i="9"/>
  <c r="F90" i="9"/>
  <c r="E25" i="9"/>
  <c r="E64" i="9"/>
  <c r="F89" i="9"/>
  <c r="E95" i="9"/>
  <c r="E19" i="9"/>
  <c r="E27" i="9"/>
  <c r="E65" i="9"/>
  <c r="E69" i="9"/>
  <c r="E92" i="9"/>
  <c r="E68" i="9"/>
  <c r="E7" i="9"/>
  <c r="E66" i="9"/>
  <c r="E70" i="9"/>
  <c r="E63" i="9"/>
  <c r="M95" i="9" l="1"/>
  <c r="Q95" i="9" s="1"/>
  <c r="U95" i="9" s="1"/>
  <c r="U96" i="9" s="1"/>
  <c r="M61" i="9"/>
  <c r="M59" i="9"/>
  <c r="F19" i="35"/>
  <c r="N19" i="35" s="1"/>
  <c r="R19" i="35" s="1"/>
  <c r="V19" i="35" s="1"/>
  <c r="M56" i="9"/>
  <c r="M27" i="9"/>
  <c r="Q27" i="9" s="1"/>
  <c r="U27" i="9" s="1"/>
  <c r="M19" i="9"/>
  <c r="Q19" i="9" s="1"/>
  <c r="U19" i="9" s="1"/>
  <c r="U90" i="9" s="1"/>
  <c r="U91" i="9" s="1"/>
  <c r="M58" i="9"/>
  <c r="E22" i="22"/>
  <c r="E23" i="22" s="1"/>
  <c r="E25" i="22" s="1"/>
  <c r="E26" i="22" s="1"/>
  <c r="E28" i="22" s="1"/>
  <c r="E7" i="22"/>
  <c r="E8" i="22" s="1"/>
  <c r="E10" i="22" s="1"/>
  <c r="E11" i="22" s="1"/>
  <c r="E13" i="22" s="1"/>
  <c r="AF20" i="35"/>
  <c r="AI90" i="90"/>
  <c r="BE90" i="90"/>
  <c r="M92" i="9"/>
  <c r="Q92" i="9" s="1"/>
  <c r="U92" i="9" s="1"/>
  <c r="U94" i="9" s="1"/>
  <c r="E93" i="9"/>
  <c r="AX30" i="35"/>
  <c r="AX33" i="35" s="1"/>
  <c r="AT203" i="10"/>
  <c r="AP173" i="10"/>
  <c r="AT172" i="10"/>
  <c r="E96" i="90"/>
  <c r="M90" i="90"/>
  <c r="I90" i="90"/>
  <c r="AA90" i="90"/>
  <c r="Q90" i="90"/>
  <c r="AE90" i="90"/>
  <c r="U90" i="90"/>
  <c r="AO90" i="90"/>
  <c r="AS90" i="90" s="1"/>
  <c r="AW90" i="90" s="1"/>
  <c r="U25" i="9"/>
  <c r="U88" i="9" s="1"/>
  <c r="O134" i="50"/>
  <c r="K134" i="50"/>
  <c r="AU110" i="50"/>
  <c r="AY108" i="50"/>
  <c r="AQ118" i="50"/>
  <c r="AU111" i="50"/>
  <c r="G104" i="50"/>
  <c r="M64" i="9"/>
  <c r="Q64" i="9" s="1"/>
  <c r="U64" i="9" s="1"/>
  <c r="M66" i="9"/>
  <c r="Q66" i="9" s="1"/>
  <c r="U66" i="9" s="1"/>
  <c r="M70" i="9"/>
  <c r="Q70" i="9" s="1"/>
  <c r="U70" i="9" s="1"/>
  <c r="M68" i="9"/>
  <c r="Q68" i="9" s="1"/>
  <c r="U68" i="9" s="1"/>
  <c r="M69" i="9"/>
  <c r="Q69" i="9" s="1"/>
  <c r="U69" i="9" s="1"/>
  <c r="M67" i="9"/>
  <c r="Q67" i="9" s="1"/>
  <c r="U67" i="9" s="1"/>
  <c r="M63" i="9"/>
  <c r="Q63" i="9" s="1"/>
  <c r="U63" i="9" s="1"/>
  <c r="M65" i="9"/>
  <c r="Q65" i="9" s="1"/>
  <c r="U65" i="9" s="1"/>
  <c r="I56" i="9"/>
  <c r="I61" i="9"/>
  <c r="R19" i="9"/>
  <c r="V19" i="9" s="1"/>
  <c r="N57" i="36"/>
  <c r="E57" i="9"/>
  <c r="E60" i="9"/>
  <c r="I58" i="9"/>
  <c r="I59" i="9"/>
  <c r="Q47" i="9"/>
  <c r="U47" i="9" s="1"/>
  <c r="K102" i="50"/>
  <c r="K104" i="50" s="1"/>
  <c r="O102" i="50"/>
  <c r="G135" i="50"/>
  <c r="N14" i="9"/>
  <c r="R14" i="9" s="1"/>
  <c r="V14" i="9" s="1"/>
  <c r="J37" i="9"/>
  <c r="J19" i="35" s="1"/>
  <c r="E88" i="9"/>
  <c r="Q25" i="9"/>
  <c r="Q88" i="9" s="1"/>
  <c r="J48" i="9"/>
  <c r="N48" i="9"/>
  <c r="J47" i="9"/>
  <c r="N47" i="9"/>
  <c r="F49" i="9"/>
  <c r="M55" i="9"/>
  <c r="F91" i="9"/>
  <c r="AB19" i="35" l="1"/>
  <c r="AF19" i="35" s="1"/>
  <c r="M60" i="9"/>
  <c r="M57" i="9"/>
  <c r="F84" i="9"/>
  <c r="BE96" i="90"/>
  <c r="Q93" i="9"/>
  <c r="U93" i="9"/>
  <c r="BF30" i="35"/>
  <c r="AX203" i="10"/>
  <c r="M22" i="22"/>
  <c r="E102" i="90"/>
  <c r="AI96" i="90"/>
  <c r="AX172" i="10"/>
  <c r="AT173" i="10"/>
  <c r="AA96" i="90"/>
  <c r="M96" i="90"/>
  <c r="M102" i="90" s="1"/>
  <c r="I96" i="90"/>
  <c r="I102" i="90" s="1"/>
  <c r="Q96" i="90"/>
  <c r="AE96" i="90"/>
  <c r="U96" i="90"/>
  <c r="AO96" i="90"/>
  <c r="E128" i="90"/>
  <c r="BE128" i="90" s="1"/>
  <c r="U85" i="9"/>
  <c r="U87" i="9"/>
  <c r="X60" i="59" s="1"/>
  <c r="U82" i="9"/>
  <c r="X61" i="59" s="1"/>
  <c r="U83" i="9"/>
  <c r="S134" i="50"/>
  <c r="W134" i="50" s="1"/>
  <c r="AC134" i="50"/>
  <c r="AG134" i="50" s="1"/>
  <c r="AK134" i="50" s="1"/>
  <c r="AQ134" i="50" s="1"/>
  <c r="AU134" i="50" s="1"/>
  <c r="AY134" i="50" s="1"/>
  <c r="BG134" i="50" s="1"/>
  <c r="AY110" i="50"/>
  <c r="BG108" i="50"/>
  <c r="AU118" i="50"/>
  <c r="AY111" i="50"/>
  <c r="K135" i="50"/>
  <c r="O135" i="50"/>
  <c r="U80" i="9"/>
  <c r="U81" i="9"/>
  <c r="U84" i="9"/>
  <c r="U53" i="9"/>
  <c r="U52" i="9"/>
  <c r="U86" i="9"/>
  <c r="V57" i="36"/>
  <c r="V17" i="36" s="1"/>
  <c r="V90" i="9"/>
  <c r="V91" i="9" s="1"/>
  <c r="Q53" i="9"/>
  <c r="Q80" i="9"/>
  <c r="Q84" i="9"/>
  <c r="Q86" i="9"/>
  <c r="Q82" i="9"/>
  <c r="Q85" i="9"/>
  <c r="Q87" i="9"/>
  <c r="Q83" i="9"/>
  <c r="Q81" i="9"/>
  <c r="M7" i="22"/>
  <c r="M15" i="22" s="1"/>
  <c r="E62" i="9"/>
  <c r="I57" i="9"/>
  <c r="Q58" i="9"/>
  <c r="U58" i="9" s="1"/>
  <c r="U75" i="9" s="1"/>
  <c r="F75" i="9"/>
  <c r="F73" i="9"/>
  <c r="F78" i="9"/>
  <c r="F72" i="9"/>
  <c r="F76" i="9"/>
  <c r="R57" i="36"/>
  <c r="Q56" i="9"/>
  <c r="U56" i="9" s="1"/>
  <c r="U73" i="9" s="1"/>
  <c r="Q59" i="9"/>
  <c r="U59" i="9" s="1"/>
  <c r="U76" i="9" s="1"/>
  <c r="I60" i="9"/>
  <c r="Q61" i="9"/>
  <c r="U61" i="9" s="1"/>
  <c r="U78" i="9" s="1"/>
  <c r="Q55" i="9"/>
  <c r="U55" i="9" s="1"/>
  <c r="U72" i="9" s="1"/>
  <c r="S102" i="50"/>
  <c r="O104" i="50"/>
  <c r="F86" i="9"/>
  <c r="F53" i="9"/>
  <c r="F85" i="9"/>
  <c r="Q52" i="9"/>
  <c r="J49" i="9"/>
  <c r="F82" i="9"/>
  <c r="F81" i="9"/>
  <c r="F52" i="9"/>
  <c r="F80" i="9"/>
  <c r="R47" i="9"/>
  <c r="V47" i="9" s="1"/>
  <c r="AB47" i="9"/>
  <c r="AF47" i="9" s="1"/>
  <c r="N49" i="9"/>
  <c r="R48" i="9"/>
  <c r="V48" i="9" s="1"/>
  <c r="AB48" i="9"/>
  <c r="AF48" i="9" s="1"/>
  <c r="F83" i="9"/>
  <c r="F87" i="9"/>
  <c r="E17" i="8"/>
  <c r="I17" i="8" s="1"/>
  <c r="M62" i="9" l="1"/>
  <c r="M17" i="8"/>
  <c r="BG110" i="50"/>
  <c r="BF33" i="35"/>
  <c r="BF203" i="10"/>
  <c r="M8" i="22"/>
  <c r="M9" i="22" s="1"/>
  <c r="M18" i="22" s="1"/>
  <c r="M23" i="22"/>
  <c r="M24" i="22" s="1"/>
  <c r="E131" i="90"/>
  <c r="AI128" i="90"/>
  <c r="AX173" i="10"/>
  <c r="BF172" i="10"/>
  <c r="AS96" i="90"/>
  <c r="AA128" i="90"/>
  <c r="I128" i="90"/>
  <c r="I131" i="90" s="1"/>
  <c r="M128" i="90"/>
  <c r="M131" i="90" s="1"/>
  <c r="U128" i="90"/>
  <c r="Q128" i="90"/>
  <c r="AO128" i="90"/>
  <c r="AE128" i="90"/>
  <c r="AY118" i="50"/>
  <c r="BG111" i="50"/>
  <c r="S135" i="50"/>
  <c r="AC135" i="50"/>
  <c r="X57" i="59"/>
  <c r="U7" i="9"/>
  <c r="AJ48" i="9"/>
  <c r="AP48" i="9" s="1"/>
  <c r="AT48" i="9" s="1"/>
  <c r="AJ47" i="9"/>
  <c r="AP47" i="9" s="1"/>
  <c r="AT47" i="9" s="1"/>
  <c r="Y54" i="59"/>
  <c r="V18" i="36"/>
  <c r="Y55" i="59" s="1"/>
  <c r="F74" i="9"/>
  <c r="Q17" i="8"/>
  <c r="U17" i="8" s="1"/>
  <c r="Q60" i="9"/>
  <c r="U60" i="9" s="1"/>
  <c r="U77" i="9" s="1"/>
  <c r="F77" i="9"/>
  <c r="Q57" i="9"/>
  <c r="U57" i="9" s="1"/>
  <c r="U74" i="9" s="1"/>
  <c r="I62" i="9"/>
  <c r="R49" i="9"/>
  <c r="V49" i="9" s="1"/>
  <c r="AB49" i="9"/>
  <c r="AF49" i="9" s="1"/>
  <c r="AJ49" i="9" s="1"/>
  <c r="D71" i="7"/>
  <c r="BG118" i="50" l="1"/>
  <c r="BF173" i="10"/>
  <c r="M25" i="22"/>
  <c r="M31" i="22" s="1"/>
  <c r="M10" i="22"/>
  <c r="M19" i="22" s="1"/>
  <c r="AW96" i="90"/>
  <c r="AS128" i="90"/>
  <c r="AX47" i="9"/>
  <c r="BF47" i="9" s="1"/>
  <c r="AX48" i="9"/>
  <c r="BF48" i="9" s="1"/>
  <c r="AG135" i="50"/>
  <c r="W135" i="50"/>
  <c r="V52" i="9"/>
  <c r="Y57" i="59" s="1"/>
  <c r="V53" i="9"/>
  <c r="V84" i="9"/>
  <c r="V85" i="9"/>
  <c r="V82" i="9"/>
  <c r="Y61" i="59" s="1"/>
  <c r="V86" i="9"/>
  <c r="V83" i="9"/>
  <c r="V80" i="9"/>
  <c r="V87" i="9"/>
  <c r="Y60" i="59" s="1"/>
  <c r="V81" i="9"/>
  <c r="F79" i="9"/>
  <c r="M17" i="22"/>
  <c r="R86" i="9"/>
  <c r="R84" i="9"/>
  <c r="R81" i="9"/>
  <c r="R83" i="9"/>
  <c r="Q62" i="9"/>
  <c r="U62" i="9" s="1"/>
  <c r="U79" i="9" s="1"/>
  <c r="R80" i="9"/>
  <c r="R82" i="9"/>
  <c r="R52" i="9"/>
  <c r="R85" i="9"/>
  <c r="R87" i="9"/>
  <c r="R53" i="9"/>
  <c r="F144" i="7"/>
  <c r="F138" i="7"/>
  <c r="F134" i="6"/>
  <c r="F17" i="49"/>
  <c r="N17" i="49" s="1"/>
  <c r="F11" i="49"/>
  <c r="E11" i="49"/>
  <c r="I11" i="49" s="1"/>
  <c r="F9" i="49"/>
  <c r="F8" i="49"/>
  <c r="F333" i="28"/>
  <c r="F284" i="28"/>
  <c r="F260" i="28"/>
  <c r="F98" i="28"/>
  <c r="F97" i="28"/>
  <c r="F95" i="28"/>
  <c r="F91" i="28"/>
  <c r="F87" i="28"/>
  <c r="F83" i="28"/>
  <c r="F29" i="28"/>
  <c r="J29" i="28" s="1"/>
  <c r="F21" i="28"/>
  <c r="J21" i="28" s="1"/>
  <c r="F13" i="28"/>
  <c r="J13" i="28" s="1"/>
  <c r="N13" i="28" s="1"/>
  <c r="R13" i="28" s="1"/>
  <c r="V13" i="28" s="1"/>
  <c r="AB13" i="28" s="1"/>
  <c r="BF13" i="28" l="1"/>
  <c r="AF13" i="28"/>
  <c r="AJ13" i="28" s="1"/>
  <c r="AP13" i="28" s="1"/>
  <c r="AT13" i="28" s="1"/>
  <c r="AX13" i="28" s="1"/>
  <c r="F541" i="28"/>
  <c r="J541" i="28" s="1"/>
  <c r="J284" i="28"/>
  <c r="J83" i="28"/>
  <c r="J333" i="28"/>
  <c r="J91" i="28"/>
  <c r="J95" i="28"/>
  <c r="J97" i="28"/>
  <c r="J87" i="28"/>
  <c r="J98" i="28"/>
  <c r="J260" i="28"/>
  <c r="M41" i="7"/>
  <c r="AA41" i="7" s="1"/>
  <c r="AE41" i="7" s="1"/>
  <c r="AI41" i="7" s="1"/>
  <c r="AI51" i="7" s="1"/>
  <c r="M26" i="22"/>
  <c r="M27" i="22" s="1"/>
  <c r="M11" i="22"/>
  <c r="M12" i="22" s="1"/>
  <c r="N113" i="7"/>
  <c r="N111" i="7"/>
  <c r="N110" i="7"/>
  <c r="N108" i="7"/>
  <c r="N107" i="7"/>
  <c r="AW128" i="90"/>
  <c r="AK135" i="50"/>
  <c r="AQ135" i="50" s="1"/>
  <c r="AU135" i="50" s="1"/>
  <c r="AY135" i="50" s="1"/>
  <c r="BG135" i="50" s="1"/>
  <c r="R17" i="49"/>
  <c r="V17" i="49" s="1"/>
  <c r="AB17" i="49"/>
  <c r="J11" i="49"/>
  <c r="N11" i="49"/>
  <c r="R11" i="49" s="1"/>
  <c r="V11" i="49" s="1"/>
  <c r="J8" i="49"/>
  <c r="N8" i="49"/>
  <c r="R8" i="49" s="1"/>
  <c r="V8" i="49" s="1"/>
  <c r="J9" i="49"/>
  <c r="N9" i="49"/>
  <c r="R9" i="49" s="1"/>
  <c r="V9" i="49" s="1"/>
  <c r="F18" i="49"/>
  <c r="J17" i="49"/>
  <c r="F545" i="28"/>
  <c r="J545" i="28" s="1"/>
  <c r="AP49" i="9"/>
  <c r="I325" i="28"/>
  <c r="I326" i="28"/>
  <c r="F558" i="28"/>
  <c r="J558" i="28" s="1"/>
  <c r="N558" i="28" s="1"/>
  <c r="R558" i="28" s="1"/>
  <c r="V558" i="28" s="1"/>
  <c r="AB558" i="28" s="1"/>
  <c r="F542" i="28"/>
  <c r="J542" i="28" s="1"/>
  <c r="F546" i="28"/>
  <c r="J546" i="28" s="1"/>
  <c r="H33" i="59"/>
  <c r="H29" i="59"/>
  <c r="F550" i="28"/>
  <c r="J550" i="28" s="1"/>
  <c r="N550" i="28" s="1"/>
  <c r="R550" i="28" s="1"/>
  <c r="V550" i="28" s="1"/>
  <c r="AB550" i="28" s="1"/>
  <c r="F74" i="28"/>
  <c r="F538" i="28"/>
  <c r="J538" i="28" s="1"/>
  <c r="N538" i="28" s="1"/>
  <c r="R538" i="28" s="1"/>
  <c r="V538" i="28" s="1"/>
  <c r="AB538" i="28" s="1"/>
  <c r="F539" i="28"/>
  <c r="J539" i="28" s="1"/>
  <c r="F540" i="28"/>
  <c r="J540" i="28" s="1"/>
  <c r="N540" i="28" s="1"/>
  <c r="R540" i="28" s="1"/>
  <c r="V540" i="28" s="1"/>
  <c r="AB540" i="28" s="1"/>
  <c r="F140" i="7"/>
  <c r="F146" i="7"/>
  <c r="J134" i="6"/>
  <c r="N134" i="6"/>
  <c r="AB134" i="6" s="1"/>
  <c r="AF134" i="6" s="1"/>
  <c r="M6" i="21"/>
  <c r="I6" i="21"/>
  <c r="I134" i="6"/>
  <c r="M134" i="6"/>
  <c r="F445" i="28"/>
  <c r="F123" i="7"/>
  <c r="H28" i="59"/>
  <c r="F99" i="28"/>
  <c r="F76" i="28"/>
  <c r="F327" i="28"/>
  <c r="F69" i="28"/>
  <c r="F75" i="28"/>
  <c r="AF550" i="28" l="1"/>
  <c r="AJ550" i="28" s="1"/>
  <c r="AP550" i="28" s="1"/>
  <c r="AT550" i="28" s="1"/>
  <c r="AX550" i="28" s="1"/>
  <c r="BF550" i="28"/>
  <c r="F70" i="28"/>
  <c r="F71" i="28"/>
  <c r="BF558" i="28"/>
  <c r="AF558" i="28"/>
  <c r="AJ558" i="28" s="1"/>
  <c r="AP558" i="28" s="1"/>
  <c r="AT558" i="28" s="1"/>
  <c r="AX558" i="28" s="1"/>
  <c r="BF538" i="28"/>
  <c r="AF538" i="28"/>
  <c r="AJ538" i="28" s="1"/>
  <c r="AP538" i="28" s="1"/>
  <c r="AT538" i="28" s="1"/>
  <c r="AX538" i="28" s="1"/>
  <c r="BF540" i="28"/>
  <c r="AF540" i="28"/>
  <c r="AJ540" i="28" s="1"/>
  <c r="AP540" i="28" s="1"/>
  <c r="AT540" i="28" s="1"/>
  <c r="AX540" i="28" s="1"/>
  <c r="J69" i="28"/>
  <c r="AE51" i="7"/>
  <c r="J76" i="28"/>
  <c r="J445" i="28"/>
  <c r="J99" i="28"/>
  <c r="J327" i="28"/>
  <c r="J74" i="28"/>
  <c r="N74" i="28" s="1"/>
  <c r="R74" i="28" s="1"/>
  <c r="V74" i="28" s="1"/>
  <c r="AB74" i="28" s="1"/>
  <c r="J77" i="28"/>
  <c r="N77" i="28" s="1"/>
  <c r="R77" i="28" s="1"/>
  <c r="V77" i="28" s="1"/>
  <c r="AB77" i="28" s="1"/>
  <c r="J75" i="28"/>
  <c r="M20" i="22"/>
  <c r="M28" i="22"/>
  <c r="M13" i="22"/>
  <c r="M14" i="22" s="1"/>
  <c r="H30" i="59"/>
  <c r="M12" i="21"/>
  <c r="M22" i="21" s="1"/>
  <c r="Q6" i="21"/>
  <c r="H31" i="59"/>
  <c r="AA325" i="28"/>
  <c r="AA326" i="28"/>
  <c r="J18" i="49"/>
  <c r="N18" i="49"/>
  <c r="AJ134" i="6"/>
  <c r="AO41" i="7"/>
  <c r="AT49" i="9"/>
  <c r="Q134" i="6"/>
  <c r="U134" i="6" s="1"/>
  <c r="AA134" i="6"/>
  <c r="AE134" i="6" s="1"/>
  <c r="AI134" i="6" s="1"/>
  <c r="M32" i="22"/>
  <c r="M30" i="22"/>
  <c r="R134" i="6"/>
  <c r="V134" i="6" s="1"/>
  <c r="F552" i="28"/>
  <c r="J552" i="28" s="1"/>
  <c r="N552" i="28" s="1"/>
  <c r="R552" i="28" s="1"/>
  <c r="V552" i="28" s="1"/>
  <c r="AB552" i="28" s="1"/>
  <c r="F100" i="28"/>
  <c r="F551" i="28"/>
  <c r="J551" i="28" s="1"/>
  <c r="F547" i="28"/>
  <c r="J547" i="28" s="1"/>
  <c r="F548" i="28"/>
  <c r="J548" i="28" s="1"/>
  <c r="F536" i="28"/>
  <c r="J536" i="28" s="1"/>
  <c r="F543" i="28"/>
  <c r="J543" i="28" s="1"/>
  <c r="F535" i="28"/>
  <c r="J535" i="28" s="1"/>
  <c r="F544" i="28"/>
  <c r="J544" i="28" s="1"/>
  <c r="F124" i="7"/>
  <c r="F147" i="7"/>
  <c r="F141" i="7"/>
  <c r="F530" i="28"/>
  <c r="J530" i="28" s="1"/>
  <c r="F529" i="28"/>
  <c r="J529" i="28" s="1"/>
  <c r="N529" i="28" s="1"/>
  <c r="R529" i="28" s="1"/>
  <c r="V529" i="28" s="1"/>
  <c r="AB529" i="28" s="1"/>
  <c r="F78" i="28"/>
  <c r="J70" i="28" l="1"/>
  <c r="N69" i="28"/>
  <c r="J71" i="28"/>
  <c r="BF552" i="28"/>
  <c r="AF552" i="28"/>
  <c r="AJ552" i="28" s="1"/>
  <c r="AP552" i="28" s="1"/>
  <c r="AT552" i="28" s="1"/>
  <c r="AX552" i="28" s="1"/>
  <c r="BF529" i="28"/>
  <c r="AF529" i="28"/>
  <c r="AJ529" i="28" s="1"/>
  <c r="AP529" i="28" s="1"/>
  <c r="AT529" i="28" s="1"/>
  <c r="AX529" i="28" s="1"/>
  <c r="BF77" i="28"/>
  <c r="AF77" i="28"/>
  <c r="AJ77" i="28" s="1"/>
  <c r="AP77" i="28" s="1"/>
  <c r="AT77" i="28" s="1"/>
  <c r="AX77" i="28" s="1"/>
  <c r="AE325" i="28"/>
  <c r="AI325" i="28" s="1"/>
  <c r="AS325" i="28" s="1"/>
  <c r="AW325" i="28" s="1"/>
  <c r="AE326" i="28"/>
  <c r="AI326" i="28" s="1"/>
  <c r="AS326" i="28" s="1"/>
  <c r="AW326" i="28" s="1"/>
  <c r="BF74" i="28"/>
  <c r="AF74" i="28"/>
  <c r="AJ74" i="28" s="1"/>
  <c r="AP74" i="28" s="1"/>
  <c r="AT74" i="28" s="1"/>
  <c r="AX74" i="28" s="1"/>
  <c r="AA76" i="28"/>
  <c r="BE76" i="28" s="1"/>
  <c r="J100" i="28"/>
  <c r="J78" i="28"/>
  <c r="N78" i="28" s="1"/>
  <c r="R78" i="28" s="1"/>
  <c r="V78" i="28" s="1"/>
  <c r="AB78" i="28" s="1"/>
  <c r="U6" i="21"/>
  <c r="U12" i="21" s="1"/>
  <c r="U22" i="21" s="1"/>
  <c r="Q12" i="21"/>
  <c r="Q22" i="21" s="1"/>
  <c r="AX49" i="9"/>
  <c r="R18" i="49"/>
  <c r="V18" i="49" s="1"/>
  <c r="AB18" i="49"/>
  <c r="F126" i="7"/>
  <c r="AP134" i="6"/>
  <c r="AS41" i="7"/>
  <c r="AW41" i="7" s="1"/>
  <c r="AO51" i="7"/>
  <c r="AO134" i="6"/>
  <c r="AA75" i="28"/>
  <c r="BE75" i="28" s="1"/>
  <c r="I74" i="28"/>
  <c r="M74" i="28" s="1"/>
  <c r="Q74" i="28" s="1"/>
  <c r="U74" i="28" s="1"/>
  <c r="I327" i="28"/>
  <c r="M327" i="28" s="1"/>
  <c r="I445" i="28"/>
  <c r="M445" i="28" s="1"/>
  <c r="F125" i="7"/>
  <c r="M536" i="28" l="1"/>
  <c r="Q327" i="28"/>
  <c r="M535" i="28"/>
  <c r="M544" i="28"/>
  <c r="M543" i="28"/>
  <c r="R69" i="28"/>
  <c r="N70" i="28"/>
  <c r="N71" i="28"/>
  <c r="Q445" i="28"/>
  <c r="M548" i="28"/>
  <c r="M547" i="28"/>
  <c r="AE76" i="28"/>
  <c r="AI76" i="28" s="1"/>
  <c r="AO76" i="28" s="1"/>
  <c r="AE75" i="28"/>
  <c r="AI75" i="28" s="1"/>
  <c r="BF78" i="28"/>
  <c r="AF78" i="28"/>
  <c r="AJ78" i="28" s="1"/>
  <c r="AP78" i="28" s="1"/>
  <c r="AT78" i="28" s="1"/>
  <c r="AX78" i="28" s="1"/>
  <c r="AW51" i="7"/>
  <c r="BF49" i="9"/>
  <c r="F127" i="7"/>
  <c r="AA29" i="28"/>
  <c r="BE29" i="28" s="1"/>
  <c r="AA21" i="28"/>
  <c r="BE21" i="28" s="1"/>
  <c r="AS51" i="7"/>
  <c r="AT134" i="6"/>
  <c r="AX134" i="6" s="1"/>
  <c r="AS134" i="6"/>
  <c r="AW134" i="6" s="1"/>
  <c r="I542" i="28"/>
  <c r="AA85" i="28"/>
  <c r="I538" i="28"/>
  <c r="I546" i="28"/>
  <c r="AA89" i="28"/>
  <c r="BE89" i="28" s="1"/>
  <c r="I548" i="28"/>
  <c r="I540" i="28"/>
  <c r="I536" i="28"/>
  <c r="I544" i="28"/>
  <c r="N94" i="8"/>
  <c r="N17" i="8"/>
  <c r="N13" i="8"/>
  <c r="V69" i="28" l="1"/>
  <c r="R71" i="28"/>
  <c r="R70" i="28"/>
  <c r="U445" i="28"/>
  <c r="Q548" i="28"/>
  <c r="Q547" i="28"/>
  <c r="Q536" i="28"/>
  <c r="U327" i="28"/>
  <c r="Q535" i="28"/>
  <c r="Q544" i="28"/>
  <c r="Q543" i="28"/>
  <c r="BE546" i="28"/>
  <c r="AE85" i="28"/>
  <c r="BE85" i="28"/>
  <c r="AO75" i="28"/>
  <c r="AS75" i="28" s="1"/>
  <c r="AW75" i="28" s="1"/>
  <c r="AS76" i="28"/>
  <c r="AW76" i="28" s="1"/>
  <c r="AE89" i="28"/>
  <c r="AE29" i="28"/>
  <c r="AI85" i="28"/>
  <c r="AO85" i="28" s="1"/>
  <c r="AE21" i="28"/>
  <c r="BE134" i="6"/>
  <c r="BF134" i="6"/>
  <c r="F128" i="7"/>
  <c r="BE41" i="7"/>
  <c r="I547" i="28"/>
  <c r="I543" i="28"/>
  <c r="I539" i="28"/>
  <c r="I535" i="28"/>
  <c r="R94" i="8"/>
  <c r="V94" i="8" s="1"/>
  <c r="R15" i="8"/>
  <c r="V15" i="8" s="1"/>
  <c r="R14" i="8"/>
  <c r="V14" i="8" s="1"/>
  <c r="R13" i="8"/>
  <c r="V13" i="8" s="1"/>
  <c r="R17" i="8"/>
  <c r="V17" i="8" s="1"/>
  <c r="F121" i="7"/>
  <c r="F129" i="7"/>
  <c r="H71" i="59"/>
  <c r="H67" i="59"/>
  <c r="H63" i="59"/>
  <c r="M168" i="73"/>
  <c r="Q168" i="73" s="1"/>
  <c r="M102" i="73"/>
  <c r="M51" i="73"/>
  <c r="M46" i="73"/>
  <c r="AB69" i="28" l="1"/>
  <c r="V70" i="28"/>
  <c r="V71" i="28"/>
  <c r="U536" i="28"/>
  <c r="U535" i="28"/>
  <c r="U544" i="28"/>
  <c r="U543" i="28"/>
  <c r="BE542" i="28"/>
  <c r="U547" i="28"/>
  <c r="U548" i="28"/>
  <c r="AI21" i="28"/>
  <c r="AO21" i="28" s="1"/>
  <c r="AE542" i="28"/>
  <c r="AE546" i="28"/>
  <c r="AI29" i="28"/>
  <c r="AO29" i="28" s="1"/>
  <c r="AS85" i="28"/>
  <c r="AI89" i="28"/>
  <c r="BE51" i="7"/>
  <c r="M35" i="73"/>
  <c r="Q35" i="73" s="1"/>
  <c r="U35" i="73" s="1"/>
  <c r="Q51" i="73"/>
  <c r="U51" i="73" s="1"/>
  <c r="Q102" i="73"/>
  <c r="U102" i="73" s="1"/>
  <c r="Q46" i="73"/>
  <c r="U46" i="73" s="1"/>
  <c r="V16" i="8"/>
  <c r="Y546" i="28"/>
  <c r="AA168" i="73"/>
  <c r="AA46" i="73"/>
  <c r="AA51" i="73"/>
  <c r="AA102" i="73"/>
  <c r="Y536" i="28"/>
  <c r="Y535" i="28"/>
  <c r="Y544" i="28"/>
  <c r="AA327" i="28"/>
  <c r="BE327" i="28" s="1"/>
  <c r="AA546" i="28"/>
  <c r="Y539" i="28"/>
  <c r="Y538" i="28"/>
  <c r="Y543" i="28"/>
  <c r="AA542" i="28"/>
  <c r="Y542" i="28"/>
  <c r="M179" i="73"/>
  <c r="M113" i="73"/>
  <c r="M30" i="73"/>
  <c r="M181" i="73"/>
  <c r="Q181" i="73" s="1"/>
  <c r="U181" i="73" s="1"/>
  <c r="I107" i="73"/>
  <c r="I113" i="73"/>
  <c r="I30" i="73"/>
  <c r="I35" i="73"/>
  <c r="I102" i="73"/>
  <c r="I46" i="73"/>
  <c r="I168" i="73"/>
  <c r="I51" i="73"/>
  <c r="R16" i="8"/>
  <c r="R62" i="8"/>
  <c r="V62" i="8" s="1"/>
  <c r="N57" i="8"/>
  <c r="N69" i="8" s="1"/>
  <c r="R68" i="8"/>
  <c r="V68" i="8" s="1"/>
  <c r="N55" i="8"/>
  <c r="N65" i="8" s="1"/>
  <c r="R64" i="8"/>
  <c r="V64" i="8" s="1"/>
  <c r="N54" i="8"/>
  <c r="R58" i="8"/>
  <c r="V58" i="8" s="1"/>
  <c r="I181" i="73"/>
  <c r="F10" i="49"/>
  <c r="N10" i="49" s="1"/>
  <c r="R10" i="49" s="1"/>
  <c r="V10" i="49" s="1"/>
  <c r="F131" i="7"/>
  <c r="F130" i="7"/>
  <c r="BE535" i="28" l="1"/>
  <c r="BE536" i="28"/>
  <c r="BE544" i="28"/>
  <c r="BE543" i="28"/>
  <c r="AO89" i="28"/>
  <c r="AO546" i="28" s="1"/>
  <c r="AF69" i="28"/>
  <c r="BF69" i="28"/>
  <c r="AB70" i="28"/>
  <c r="AB71" i="28"/>
  <c r="AO542" i="28"/>
  <c r="AW85" i="28"/>
  <c r="AI546" i="28"/>
  <c r="AE327" i="28"/>
  <c r="AI542" i="28"/>
  <c r="I179" i="73"/>
  <c r="I106" i="73"/>
  <c r="I118" i="73"/>
  <c r="M118" i="73"/>
  <c r="AA35" i="73"/>
  <c r="AE35" i="73" s="1"/>
  <c r="AA179" i="73"/>
  <c r="Q179" i="73"/>
  <c r="U179" i="73" s="1"/>
  <c r="Q113" i="73"/>
  <c r="U113" i="73" s="1"/>
  <c r="Q30" i="73"/>
  <c r="U30" i="73" s="1"/>
  <c r="U168" i="73"/>
  <c r="AA181" i="73"/>
  <c r="AE181" i="73" s="1"/>
  <c r="AI181" i="73" s="1"/>
  <c r="AA30" i="73"/>
  <c r="F12" i="49"/>
  <c r="J10" i="49"/>
  <c r="F132" i="7"/>
  <c r="AA113" i="73"/>
  <c r="AE113" i="73" s="1"/>
  <c r="AE168" i="73"/>
  <c r="AI168" i="73" s="1"/>
  <c r="Y548" i="28"/>
  <c r="AA445" i="28"/>
  <c r="BE445" i="28" s="1"/>
  <c r="Y547" i="28"/>
  <c r="Y540" i="28"/>
  <c r="AA543" i="28"/>
  <c r="AA536" i="28"/>
  <c r="AA535" i="28"/>
  <c r="AA544" i="28"/>
  <c r="R65" i="8"/>
  <c r="V65" i="8" s="1"/>
  <c r="V72" i="8" s="1"/>
  <c r="N61" i="8"/>
  <c r="N59" i="8"/>
  <c r="R69" i="8"/>
  <c r="V69" i="8" s="1"/>
  <c r="V74" i="8" s="1"/>
  <c r="AE107" i="73"/>
  <c r="AI107" i="73" s="1"/>
  <c r="AE102" i="73"/>
  <c r="AE56" i="73"/>
  <c r="AE51" i="73"/>
  <c r="AI51" i="73" s="1"/>
  <c r="AE62" i="73"/>
  <c r="AE46" i="73"/>
  <c r="R35" i="8"/>
  <c r="V35" i="8" s="1"/>
  <c r="R34" i="8"/>
  <c r="V34" i="8" s="1"/>
  <c r="R55" i="8"/>
  <c r="V55" i="8" s="1"/>
  <c r="R36" i="8"/>
  <c r="V36" i="8" s="1"/>
  <c r="R54" i="8"/>
  <c r="V54" i="8" s="1"/>
  <c r="R57" i="8"/>
  <c r="V57" i="8" s="1"/>
  <c r="M16" i="15"/>
  <c r="Q16" i="15" s="1"/>
  <c r="Q17" i="15" s="1"/>
  <c r="AF71" i="28" l="1"/>
  <c r="AJ69" i="28"/>
  <c r="AF70" i="28"/>
  <c r="AS89" i="28"/>
  <c r="AW89" i="28" s="1"/>
  <c r="BE548" i="28"/>
  <c r="BE547" i="28"/>
  <c r="BF70" i="28"/>
  <c r="BF71" i="28"/>
  <c r="AS21" i="28"/>
  <c r="AS29" i="28"/>
  <c r="AE445" i="28"/>
  <c r="AE535" i="28"/>
  <c r="AI327" i="28"/>
  <c r="AO327" i="28" s="1"/>
  <c r="AE536" i="28"/>
  <c r="AE543" i="28"/>
  <c r="AE544" i="28"/>
  <c r="AA118" i="73"/>
  <c r="AI46" i="73"/>
  <c r="AO46" i="73" s="1"/>
  <c r="AS46" i="73" s="1"/>
  <c r="AW46" i="73" s="1"/>
  <c r="AI62" i="73"/>
  <c r="AO62" i="73" s="1"/>
  <c r="AS62" i="73" s="1"/>
  <c r="AW62" i="73" s="1"/>
  <c r="AI56" i="73"/>
  <c r="AO56" i="73" s="1"/>
  <c r="AS56" i="73" s="1"/>
  <c r="AW56" i="73" s="1"/>
  <c r="AI102" i="73"/>
  <c r="AO102" i="73" s="1"/>
  <c r="AS102" i="73" s="1"/>
  <c r="AW102" i="73" s="1"/>
  <c r="AI35" i="73"/>
  <c r="AO35" i="73" s="1"/>
  <c r="AS35" i="73" s="1"/>
  <c r="AW35" i="73" s="1"/>
  <c r="AI113" i="73"/>
  <c r="Q118" i="73"/>
  <c r="U118" i="73" s="1"/>
  <c r="AO51" i="73"/>
  <c r="AS51" i="73" s="1"/>
  <c r="F133" i="7"/>
  <c r="J12" i="49"/>
  <c r="N12" i="49"/>
  <c r="R12" i="49" s="1"/>
  <c r="V12" i="49" s="1"/>
  <c r="R61" i="8"/>
  <c r="V61" i="8" s="1"/>
  <c r="AE30" i="73"/>
  <c r="AO181" i="73"/>
  <c r="AS181" i="73" s="1"/>
  <c r="AE106" i="73"/>
  <c r="AI106" i="73" s="1"/>
  <c r="AE179" i="73"/>
  <c r="AI179" i="73" s="1"/>
  <c r="R72" i="8"/>
  <c r="AA548" i="28"/>
  <c r="AA547" i="28"/>
  <c r="N63" i="8"/>
  <c r="R63" i="8" s="1"/>
  <c r="V63" i="8" s="1"/>
  <c r="R59" i="8"/>
  <c r="V59" i="8" s="1"/>
  <c r="R74" i="8"/>
  <c r="M17" i="15"/>
  <c r="I16" i="15"/>
  <c r="AJ71" i="28" l="1"/>
  <c r="AP69" i="28"/>
  <c r="AJ70" i="28"/>
  <c r="AO536" i="28"/>
  <c r="AO535" i="28"/>
  <c r="AO543" i="28"/>
  <c r="AO544" i="28"/>
  <c r="AI445" i="28"/>
  <c r="AO445" i="28" s="1"/>
  <c r="AE548" i="28"/>
  <c r="AE547" i="28"/>
  <c r="AW21" i="28"/>
  <c r="AS542" i="28"/>
  <c r="AS546" i="28"/>
  <c r="AW29" i="28"/>
  <c r="AI536" i="28"/>
  <c r="AI535" i="28"/>
  <c r="AI543" i="28"/>
  <c r="AI544" i="28"/>
  <c r="I17" i="15"/>
  <c r="AI30" i="73"/>
  <c r="AI118" i="73" s="1"/>
  <c r="AE118" i="73"/>
  <c r="BE102" i="73"/>
  <c r="BE56" i="73"/>
  <c r="BE62" i="73"/>
  <c r="BE46" i="73"/>
  <c r="AO113" i="73"/>
  <c r="AS113" i="73" s="1"/>
  <c r="AW113" i="73" s="1"/>
  <c r="AW51" i="73"/>
  <c r="AW181" i="73"/>
  <c r="BE35" i="73"/>
  <c r="F135" i="7"/>
  <c r="V71" i="8"/>
  <c r="V70" i="8"/>
  <c r="AO106" i="73"/>
  <c r="AO107" i="73"/>
  <c r="AS107" i="73" s="1"/>
  <c r="AW107" i="73" s="1"/>
  <c r="AO179" i="73"/>
  <c r="AO168" i="73"/>
  <c r="AS168" i="73" s="1"/>
  <c r="R71" i="8"/>
  <c r="R70" i="8"/>
  <c r="D133" i="6"/>
  <c r="D120" i="6"/>
  <c r="D115" i="6"/>
  <c r="D98" i="6"/>
  <c r="D77" i="6"/>
  <c r="D69" i="6"/>
  <c r="D66" i="6"/>
  <c r="D41" i="6"/>
  <c r="D16" i="6"/>
  <c r="D17" i="6"/>
  <c r="F193" i="6"/>
  <c r="F192" i="6"/>
  <c r="E192" i="6"/>
  <c r="F191" i="6"/>
  <c r="E191" i="6"/>
  <c r="F167" i="6"/>
  <c r="F166" i="6"/>
  <c r="F139" i="6"/>
  <c r="F136" i="6"/>
  <c r="E136" i="6"/>
  <c r="F133" i="6"/>
  <c r="E133" i="6"/>
  <c r="N131" i="6"/>
  <c r="M131" i="6"/>
  <c r="AA131" i="6" s="1"/>
  <c r="N126" i="6"/>
  <c r="AB126" i="6" s="1"/>
  <c r="AF126" i="6" s="1"/>
  <c r="M126" i="6"/>
  <c r="F120" i="6"/>
  <c r="E120" i="6"/>
  <c r="E115" i="6"/>
  <c r="F103" i="6"/>
  <c r="E103" i="6"/>
  <c r="F98" i="6"/>
  <c r="E98" i="6"/>
  <c r="F77" i="6"/>
  <c r="E77" i="6"/>
  <c r="F69" i="6"/>
  <c r="E69" i="6"/>
  <c r="F66" i="6"/>
  <c r="E66" i="6"/>
  <c r="E41" i="6"/>
  <c r="F32" i="6"/>
  <c r="F29" i="6"/>
  <c r="F26" i="6"/>
  <c r="E18" i="6"/>
  <c r="AT69" i="28" l="1"/>
  <c r="AP71" i="28"/>
  <c r="AP70" i="28"/>
  <c r="AO547" i="28"/>
  <c r="AO548" i="28"/>
  <c r="AW546" i="28"/>
  <c r="AW542" i="28"/>
  <c r="AS327" i="28"/>
  <c r="AI547" i="28"/>
  <c r="AI548" i="28"/>
  <c r="M133" i="6"/>
  <c r="AA133" i="6" s="1"/>
  <c r="AE133" i="6" s="1"/>
  <c r="AI133" i="6" s="1"/>
  <c r="N133" i="6"/>
  <c r="AB133" i="6" s="1"/>
  <c r="AF133" i="6" s="1"/>
  <c r="AJ133" i="6" s="1"/>
  <c r="N136" i="6"/>
  <c r="AB136" i="6" s="1"/>
  <c r="AF136" i="6" s="1"/>
  <c r="AJ136" i="6" s="1"/>
  <c r="M125" i="6"/>
  <c r="Q125" i="6" s="1"/>
  <c r="U125" i="6" s="1"/>
  <c r="N167" i="6"/>
  <c r="N193" i="6"/>
  <c r="N125" i="6"/>
  <c r="AB125" i="6" s="1"/>
  <c r="AF125" i="6" s="1"/>
  <c r="AJ125" i="6" s="1"/>
  <c r="AW168" i="73"/>
  <c r="BE181" i="73"/>
  <c r="BE113" i="73"/>
  <c r="AW106" i="73"/>
  <c r="BE51" i="73"/>
  <c r="AB131" i="6"/>
  <c r="AF131" i="6" s="1"/>
  <c r="AJ131" i="6" s="1"/>
  <c r="N139" i="6"/>
  <c r="R139" i="6" s="1"/>
  <c r="V139" i="6" s="1"/>
  <c r="M18" i="6"/>
  <c r="M195" i="6" s="1"/>
  <c r="AS179" i="73"/>
  <c r="AS106" i="73"/>
  <c r="AJ126" i="6"/>
  <c r="AO30" i="73"/>
  <c r="AO118" i="73" s="1"/>
  <c r="Q126" i="6"/>
  <c r="U126" i="6" s="1"/>
  <c r="AA126" i="6"/>
  <c r="AE126" i="6" s="1"/>
  <c r="AI126" i="6" s="1"/>
  <c r="Q133" i="6"/>
  <c r="U133" i="6" s="1"/>
  <c r="Q131" i="6"/>
  <c r="U131" i="6" s="1"/>
  <c r="AE131" i="6"/>
  <c r="AI131" i="6" s="1"/>
  <c r="R131" i="6"/>
  <c r="V131" i="6" s="1"/>
  <c r="R126" i="6"/>
  <c r="V126" i="6" s="1"/>
  <c r="M136" i="6"/>
  <c r="D137" i="6"/>
  <c r="N21" i="6"/>
  <c r="F34" i="6"/>
  <c r="N22" i="6"/>
  <c r="E7" i="6"/>
  <c r="F121" i="6"/>
  <c r="F198" i="6"/>
  <c r="D163" i="6"/>
  <c r="E15" i="6"/>
  <c r="D15" i="6"/>
  <c r="E17" i="6"/>
  <c r="F137" i="6"/>
  <c r="D132" i="6"/>
  <c r="F132" i="6"/>
  <c r="D7" i="6"/>
  <c r="D18" i="6"/>
  <c r="D27" i="6"/>
  <c r="D104" i="6"/>
  <c r="D106" i="6" s="1"/>
  <c r="D147" i="6" s="1"/>
  <c r="D121" i="6"/>
  <c r="D123" i="6" s="1"/>
  <c r="D168" i="6"/>
  <c r="D30" i="6"/>
  <c r="D24" i="6"/>
  <c r="D21" i="6"/>
  <c r="E132" i="6"/>
  <c r="E31" i="6"/>
  <c r="E28" i="6"/>
  <c r="E25" i="6"/>
  <c r="E188" i="6"/>
  <c r="E22" i="6"/>
  <c r="F104" i="6"/>
  <c r="F106" i="6" s="1"/>
  <c r="F147" i="6" s="1"/>
  <c r="E137" i="6"/>
  <c r="E16" i="6"/>
  <c r="E104" i="6"/>
  <c r="E106" i="6" s="1"/>
  <c r="E147" i="6" s="1"/>
  <c r="E121" i="6"/>
  <c r="F23" i="6"/>
  <c r="F33" i="6"/>
  <c r="AT71" i="28" l="1"/>
  <c r="AX69" i="28"/>
  <c r="AT70" i="28"/>
  <c r="AS536" i="28"/>
  <c r="AW327" i="28"/>
  <c r="AS535" i="28"/>
  <c r="AS543" i="28"/>
  <c r="AS544" i="28"/>
  <c r="AS445" i="28"/>
  <c r="D172" i="6"/>
  <c r="D175" i="6"/>
  <c r="R125" i="6"/>
  <c r="V125" i="6" s="1"/>
  <c r="V132" i="6" s="1"/>
  <c r="M22" i="6"/>
  <c r="M25" i="6"/>
  <c r="Q25" i="6" s="1"/>
  <c r="U25" i="6" s="1"/>
  <c r="AF137" i="6"/>
  <c r="M28" i="6"/>
  <c r="Q28" i="6" s="1"/>
  <c r="U28" i="6" s="1"/>
  <c r="F123" i="6"/>
  <c r="F175" i="6" s="1"/>
  <c r="R136" i="6"/>
  <c r="V136" i="6" s="1"/>
  <c r="E123" i="6"/>
  <c r="E175" i="6" s="1"/>
  <c r="AA125" i="6"/>
  <c r="AE125" i="6" s="1"/>
  <c r="AE132" i="6" s="1"/>
  <c r="M31" i="6"/>
  <c r="Q31" i="6" s="1"/>
  <c r="U31" i="6" s="1"/>
  <c r="R133" i="6"/>
  <c r="V133" i="6" s="1"/>
  <c r="AW179" i="73"/>
  <c r="Q18" i="6"/>
  <c r="U18" i="6" s="1"/>
  <c r="U188" i="6" s="1"/>
  <c r="AB139" i="6"/>
  <c r="AF139" i="6" s="1"/>
  <c r="AJ139" i="6" s="1"/>
  <c r="AF132" i="6"/>
  <c r="U132" i="6"/>
  <c r="M17" i="6"/>
  <c r="Q17" i="6" s="1"/>
  <c r="BE107" i="73"/>
  <c r="BE106" i="73" s="1"/>
  <c r="BE168" i="73"/>
  <c r="BE179" i="73" s="1"/>
  <c r="AP126" i="6"/>
  <c r="AO131" i="6"/>
  <c r="AO133" i="6"/>
  <c r="AO126" i="6"/>
  <c r="AP136" i="6"/>
  <c r="AP133" i="6"/>
  <c r="AJ137" i="6"/>
  <c r="AP131" i="6"/>
  <c r="AP125" i="6"/>
  <c r="AS30" i="73"/>
  <c r="AS118" i="73" s="1"/>
  <c r="Q132" i="6"/>
  <c r="Q136" i="6"/>
  <c r="U136" i="6" s="1"/>
  <c r="U137" i="6" s="1"/>
  <c r="AA136" i="6"/>
  <c r="AE136" i="6" s="1"/>
  <c r="D138" i="6"/>
  <c r="D140" i="6" s="1"/>
  <c r="N34" i="6"/>
  <c r="R34" i="6" s="1"/>
  <c r="V34" i="6" s="1"/>
  <c r="N160" i="6"/>
  <c r="Q22" i="6"/>
  <c r="U22" i="6" s="1"/>
  <c r="N159" i="6"/>
  <c r="N158" i="6"/>
  <c r="N181" i="6"/>
  <c r="R22" i="6"/>
  <c r="V22" i="6" s="1"/>
  <c r="N156" i="6"/>
  <c r="R21" i="6"/>
  <c r="V21" i="6" s="1"/>
  <c r="N184" i="6"/>
  <c r="N186" i="6"/>
  <c r="N185" i="6"/>
  <c r="N183" i="6"/>
  <c r="N182" i="6"/>
  <c r="F35" i="6"/>
  <c r="N33" i="6"/>
  <c r="N157" i="6"/>
  <c r="N161" i="6"/>
  <c r="E19" i="6"/>
  <c r="E21" i="6"/>
  <c r="E163" i="6"/>
  <c r="E27" i="6"/>
  <c r="E24" i="6"/>
  <c r="E30" i="6"/>
  <c r="F138" i="6"/>
  <c r="E138" i="6"/>
  <c r="D145" i="6"/>
  <c r="D188" i="6"/>
  <c r="D25" i="6"/>
  <c r="D26" i="6" s="1"/>
  <c r="D22" i="6"/>
  <c r="D23" i="6" s="1"/>
  <c r="D28" i="6"/>
  <c r="D29" i="6" s="1"/>
  <c r="D31" i="6"/>
  <c r="D32" i="6" s="1"/>
  <c r="D194" i="6"/>
  <c r="D19" i="6"/>
  <c r="D33" i="6"/>
  <c r="D173" i="6"/>
  <c r="D174" i="6" s="1"/>
  <c r="D144" i="6"/>
  <c r="E145" i="6"/>
  <c r="E144" i="6"/>
  <c r="E34" i="6"/>
  <c r="AX70" i="28" l="1"/>
  <c r="AX71" i="28"/>
  <c r="AW445" i="28"/>
  <c r="AS547" i="28"/>
  <c r="AS548" i="28"/>
  <c r="AW536" i="28"/>
  <c r="AW535" i="28"/>
  <c r="AW543" i="28"/>
  <c r="AW544" i="28"/>
  <c r="D217" i="6"/>
  <c r="D218" i="6" s="1"/>
  <c r="D207" i="6"/>
  <c r="D205" i="6"/>
  <c r="D206" i="6"/>
  <c r="Q188" i="6"/>
  <c r="R132" i="6"/>
  <c r="F144" i="6"/>
  <c r="F145" i="6"/>
  <c r="I15" i="59" s="1"/>
  <c r="E172" i="6"/>
  <c r="R137" i="6"/>
  <c r="AI125" i="6"/>
  <c r="AO125" i="6" s="1"/>
  <c r="F172" i="6"/>
  <c r="F173" i="6"/>
  <c r="I22" i="59" s="1"/>
  <c r="V137" i="6"/>
  <c r="V138" i="6" s="1"/>
  <c r="V140" i="6" s="1"/>
  <c r="AF138" i="6"/>
  <c r="AF140" i="6" s="1"/>
  <c r="AF205" i="6" s="1"/>
  <c r="M34" i="6"/>
  <c r="E140" i="6"/>
  <c r="Q195" i="6"/>
  <c r="U195" i="6" s="1"/>
  <c r="M21" i="6"/>
  <c r="E173" i="6"/>
  <c r="AJ132" i="6"/>
  <c r="AJ138" i="6" s="1"/>
  <c r="AJ140" i="6" s="1"/>
  <c r="M169" i="6"/>
  <c r="Q169" i="6" s="1"/>
  <c r="D211" i="6"/>
  <c r="AW30" i="73"/>
  <c r="AW118" i="73" s="1"/>
  <c r="Q19" i="6"/>
  <c r="Q84" i="6" s="1"/>
  <c r="U17" i="6"/>
  <c r="V23" i="6"/>
  <c r="U138" i="6"/>
  <c r="U140" i="6" s="1"/>
  <c r="U205" i="6" s="1"/>
  <c r="Q137" i="6"/>
  <c r="Q138" i="6" s="1"/>
  <c r="Q140" i="6" s="1"/>
  <c r="Q205" i="6" s="1"/>
  <c r="AE137" i="6"/>
  <c r="AE138" i="6" s="1"/>
  <c r="AE140" i="6" s="1"/>
  <c r="AE205" i="6" s="1"/>
  <c r="AI136" i="6"/>
  <c r="AT133" i="6"/>
  <c r="AX133" i="6" s="1"/>
  <c r="AP137" i="6"/>
  <c r="AS126" i="6"/>
  <c r="AW126" i="6" s="1"/>
  <c r="AS131" i="6"/>
  <c r="AT125" i="6"/>
  <c r="AX125" i="6" s="1"/>
  <c r="AP132" i="6"/>
  <c r="AT131" i="6"/>
  <c r="AX131" i="6" s="1"/>
  <c r="AT136" i="6"/>
  <c r="AX136" i="6" s="1"/>
  <c r="AS133" i="6"/>
  <c r="AW133" i="6" s="1"/>
  <c r="AP139" i="6"/>
  <c r="AT126" i="6"/>
  <c r="AX126" i="6" s="1"/>
  <c r="R157" i="6"/>
  <c r="V157" i="6" s="1"/>
  <c r="R158" i="6"/>
  <c r="V158" i="6" s="1"/>
  <c r="R161" i="6"/>
  <c r="V161" i="6" s="1"/>
  <c r="R159" i="6"/>
  <c r="V159" i="6" s="1"/>
  <c r="R160" i="6"/>
  <c r="V160" i="6" s="1"/>
  <c r="D203" i="6"/>
  <c r="D212" i="6"/>
  <c r="D204" i="6"/>
  <c r="D209" i="6"/>
  <c r="D214" i="6"/>
  <c r="D213" i="6"/>
  <c r="D208" i="6"/>
  <c r="Q163" i="6"/>
  <c r="Q34" i="6"/>
  <c r="U34" i="6" s="1"/>
  <c r="R33" i="6"/>
  <c r="V33" i="6" s="1"/>
  <c r="V35" i="6" s="1"/>
  <c r="R156" i="6"/>
  <c r="V156" i="6" s="1"/>
  <c r="R182" i="6"/>
  <c r="V182" i="6" s="1"/>
  <c r="R181" i="6"/>
  <c r="V181" i="6" s="1"/>
  <c r="R183" i="6"/>
  <c r="V183" i="6" s="1"/>
  <c r="R23" i="6"/>
  <c r="R185" i="6"/>
  <c r="V185" i="6" s="1"/>
  <c r="R186" i="6"/>
  <c r="V186" i="6" s="1"/>
  <c r="R184" i="6"/>
  <c r="V184" i="6" s="1"/>
  <c r="D84" i="6"/>
  <c r="E84" i="6"/>
  <c r="E29" i="6"/>
  <c r="M27" i="6"/>
  <c r="E26" i="6"/>
  <c r="M24" i="6"/>
  <c r="E32" i="6"/>
  <c r="M30" i="6"/>
  <c r="E23" i="6"/>
  <c r="E33" i="6"/>
  <c r="F140" i="6"/>
  <c r="E81" i="6"/>
  <c r="D81" i="6"/>
  <c r="D146" i="6"/>
  <c r="D34" i="6"/>
  <c r="D35" i="6" s="1"/>
  <c r="E146" i="6"/>
  <c r="AW547" i="28" l="1"/>
  <c r="AW548" i="28"/>
  <c r="E174" i="6"/>
  <c r="V207" i="6"/>
  <c r="V205" i="6"/>
  <c r="AJ207" i="6"/>
  <c r="AJ205" i="6"/>
  <c r="F206" i="6"/>
  <c r="F205" i="6"/>
  <c r="F209" i="6"/>
  <c r="F207" i="6"/>
  <c r="F208" i="6"/>
  <c r="F203" i="6"/>
  <c r="F204" i="6"/>
  <c r="F217" i="6"/>
  <c r="F199" i="6"/>
  <c r="E217" i="6"/>
  <c r="F174" i="6"/>
  <c r="E206" i="6"/>
  <c r="E207" i="6"/>
  <c r="E205" i="6"/>
  <c r="R138" i="6"/>
  <c r="R140" i="6" s="1"/>
  <c r="R205" i="6" s="1"/>
  <c r="AI132" i="6"/>
  <c r="F146" i="6"/>
  <c r="E208" i="6"/>
  <c r="E211" i="6"/>
  <c r="V208" i="6"/>
  <c r="E209" i="6"/>
  <c r="V213" i="6"/>
  <c r="E213" i="6"/>
  <c r="E203" i="6"/>
  <c r="V199" i="6"/>
  <c r="V209" i="6"/>
  <c r="V204" i="6"/>
  <c r="V217" i="6"/>
  <c r="V211" i="6"/>
  <c r="V206" i="6"/>
  <c r="V212" i="6"/>
  <c r="V203" i="6"/>
  <c r="E212" i="6"/>
  <c r="V214" i="6"/>
  <c r="BE126" i="6"/>
  <c r="BF133" i="6"/>
  <c r="BF126" i="6"/>
  <c r="BE133" i="6"/>
  <c r="E214" i="6"/>
  <c r="BF136" i="6"/>
  <c r="BF131" i="6"/>
  <c r="BF125" i="6"/>
  <c r="E204" i="6"/>
  <c r="Q81" i="6"/>
  <c r="AF199" i="6"/>
  <c r="AF207" i="6"/>
  <c r="U204" i="6"/>
  <c r="U207" i="6"/>
  <c r="AE211" i="6"/>
  <c r="AE207" i="6"/>
  <c r="Q211" i="6"/>
  <c r="Q207" i="6"/>
  <c r="U206" i="6"/>
  <c r="U217" i="6"/>
  <c r="U218" i="6" s="1"/>
  <c r="U203" i="6"/>
  <c r="Q209" i="6"/>
  <c r="Q203" i="6"/>
  <c r="U213" i="6"/>
  <c r="Q212" i="6"/>
  <c r="U214" i="6"/>
  <c r="V198" i="6"/>
  <c r="U211" i="6"/>
  <c r="U169" i="6"/>
  <c r="AX137" i="6"/>
  <c r="Q208" i="6"/>
  <c r="Q213" i="6"/>
  <c r="AX132" i="6"/>
  <c r="U209" i="6"/>
  <c r="U212" i="6"/>
  <c r="U19" i="6"/>
  <c r="U81" i="6" s="1"/>
  <c r="U163" i="6"/>
  <c r="Q214" i="6"/>
  <c r="AW131" i="6"/>
  <c r="U208" i="6"/>
  <c r="Q206" i="6"/>
  <c r="Q204" i="6"/>
  <c r="Q217" i="6"/>
  <c r="Q218" i="6" s="1"/>
  <c r="BE30" i="73"/>
  <c r="BE118" i="73" s="1"/>
  <c r="AE203" i="6"/>
  <c r="AE213" i="6"/>
  <c r="AE214" i="6"/>
  <c r="AE209" i="6"/>
  <c r="AE208" i="6"/>
  <c r="AE217" i="6"/>
  <c r="AE218" i="6" s="1"/>
  <c r="AE206" i="6"/>
  <c r="AP138" i="6"/>
  <c r="AP140" i="6" s="1"/>
  <c r="AE204" i="6"/>
  <c r="AE212" i="6"/>
  <c r="AJ199" i="6"/>
  <c r="AJ217" i="6"/>
  <c r="AO136" i="6"/>
  <c r="AI137" i="6"/>
  <c r="AS125" i="6"/>
  <c r="AW125" i="6" s="1"/>
  <c r="AO132" i="6"/>
  <c r="AT132" i="6"/>
  <c r="AT139" i="6"/>
  <c r="AF206" i="6"/>
  <c r="AF213" i="6"/>
  <c r="AF212" i="6"/>
  <c r="AF204" i="6"/>
  <c r="AF214" i="6"/>
  <c r="AF203" i="6"/>
  <c r="AF208" i="6"/>
  <c r="AF209" i="6"/>
  <c r="AF211" i="6"/>
  <c r="AF217" i="6"/>
  <c r="AT137" i="6"/>
  <c r="AJ206" i="6"/>
  <c r="AJ213" i="6"/>
  <c r="AJ212" i="6"/>
  <c r="AJ211" i="6"/>
  <c r="AJ208" i="6"/>
  <c r="AJ204" i="6"/>
  <c r="AJ214" i="6"/>
  <c r="AJ203" i="6"/>
  <c r="AJ209" i="6"/>
  <c r="Y18" i="59"/>
  <c r="Y17" i="59"/>
  <c r="R198" i="6"/>
  <c r="Y20" i="59"/>
  <c r="R206" i="6"/>
  <c r="Y19" i="59"/>
  <c r="Y24" i="59"/>
  <c r="D215" i="6"/>
  <c r="D210" i="6"/>
  <c r="F213" i="6"/>
  <c r="R35" i="6"/>
  <c r="Q21" i="6"/>
  <c r="Q24" i="6"/>
  <c r="Q27" i="6"/>
  <c r="Q30" i="6"/>
  <c r="F211" i="6"/>
  <c r="F197" i="6"/>
  <c r="Y25" i="59"/>
  <c r="Y27" i="59"/>
  <c r="Y26" i="59"/>
  <c r="E35" i="6"/>
  <c r="M33" i="6"/>
  <c r="F214" i="6"/>
  <c r="F212" i="6"/>
  <c r="R214" i="6" l="1"/>
  <c r="R203" i="6"/>
  <c r="R212" i="6"/>
  <c r="R213" i="6"/>
  <c r="R204" i="6"/>
  <c r="R209" i="6"/>
  <c r="R211" i="6"/>
  <c r="AI138" i="6"/>
  <c r="AI140" i="6" s="1"/>
  <c r="AI209" i="6" s="1"/>
  <c r="R217" i="6"/>
  <c r="R208" i="6"/>
  <c r="R207" i="6"/>
  <c r="R199" i="6"/>
  <c r="AP207" i="6"/>
  <c r="AP205" i="6"/>
  <c r="E218" i="6"/>
  <c r="V215" i="6"/>
  <c r="V218" i="6"/>
  <c r="E215" i="6"/>
  <c r="BF137" i="6"/>
  <c r="V210" i="6"/>
  <c r="BF132" i="6"/>
  <c r="E210" i="6"/>
  <c r="BE131" i="6"/>
  <c r="BE125" i="6"/>
  <c r="AW132" i="6"/>
  <c r="Q215" i="6"/>
  <c r="Q210" i="6"/>
  <c r="U215" i="6"/>
  <c r="U210" i="6"/>
  <c r="AX138" i="6"/>
  <c r="Q29" i="6"/>
  <c r="U27" i="6"/>
  <c r="U29" i="6" s="1"/>
  <c r="Q23" i="6"/>
  <c r="U21" i="6"/>
  <c r="U23" i="6" s="1"/>
  <c r="AX139" i="6"/>
  <c r="Q26" i="6"/>
  <c r="U24" i="6"/>
  <c r="U26" i="6" s="1"/>
  <c r="Q32" i="6"/>
  <c r="U30" i="6"/>
  <c r="U32" i="6" s="1"/>
  <c r="U84" i="6"/>
  <c r="AE215" i="6"/>
  <c r="AP217" i="6"/>
  <c r="AE210" i="6"/>
  <c r="AJ215" i="6"/>
  <c r="AM11" i="59" s="1"/>
  <c r="AJ210" i="6"/>
  <c r="AJ218" i="6"/>
  <c r="AS136" i="6"/>
  <c r="AW136" i="6" s="1"/>
  <c r="AO137" i="6"/>
  <c r="AO138" i="6" s="1"/>
  <c r="AO140" i="6" s="1"/>
  <c r="AO205" i="6" s="1"/>
  <c r="AV11" i="59"/>
  <c r="AF210" i="6"/>
  <c r="AS132" i="6"/>
  <c r="AF215" i="6"/>
  <c r="AI11" i="59" s="1"/>
  <c r="AT138" i="6"/>
  <c r="AT140" i="6" s="1"/>
  <c r="AP199" i="6"/>
  <c r="AP206" i="6"/>
  <c r="AP213" i="6"/>
  <c r="AP212" i="6"/>
  <c r="AP214" i="6"/>
  <c r="AP204" i="6"/>
  <c r="AP208" i="6"/>
  <c r="AP211" i="6"/>
  <c r="AP203" i="6"/>
  <c r="AP209" i="6"/>
  <c r="AF218" i="6"/>
  <c r="AP11" i="59"/>
  <c r="AR11" i="59"/>
  <c r="AL11" i="59"/>
  <c r="AH11" i="59"/>
  <c r="AD11" i="59"/>
  <c r="AB11" i="59"/>
  <c r="R218" i="6"/>
  <c r="R215" i="6"/>
  <c r="U11" i="59" s="1"/>
  <c r="D216" i="6"/>
  <c r="P11" i="59"/>
  <c r="T11" i="59"/>
  <c r="H11" i="59"/>
  <c r="F218" i="6"/>
  <c r="Q33" i="6"/>
  <c r="U33" i="6" s="1"/>
  <c r="U35" i="6" s="1"/>
  <c r="F210" i="6"/>
  <c r="F215" i="6"/>
  <c r="R210" i="6" l="1"/>
  <c r="V216" i="6"/>
  <c r="AI205" i="6"/>
  <c r="AI203" i="6"/>
  <c r="AI207" i="6"/>
  <c r="AI214" i="6"/>
  <c r="AI212" i="6"/>
  <c r="AI213" i="6"/>
  <c r="AI206" i="6"/>
  <c r="AI211" i="6"/>
  <c r="AI217" i="6"/>
  <c r="AI218" i="6" s="1"/>
  <c r="AI204" i="6"/>
  <c r="AI208" i="6"/>
  <c r="AT207" i="6"/>
  <c r="AT205" i="6"/>
  <c r="V219" i="6"/>
  <c r="D219" i="6"/>
  <c r="E216" i="6"/>
  <c r="BF138" i="6"/>
  <c r="BE132" i="6"/>
  <c r="BE136" i="6"/>
  <c r="BF139" i="6"/>
  <c r="AO214" i="6"/>
  <c r="AO207" i="6"/>
  <c r="Q216" i="6"/>
  <c r="Q219" i="6" s="1"/>
  <c r="I11" i="59"/>
  <c r="U216" i="6"/>
  <c r="U219" i="6" s="1"/>
  <c r="AX140" i="6"/>
  <c r="AX205" i="6" s="1"/>
  <c r="AW137" i="6"/>
  <c r="AE216" i="6"/>
  <c r="AE219" i="6" s="1"/>
  <c r="AP218" i="6"/>
  <c r="R216" i="6"/>
  <c r="R219" i="6" s="1"/>
  <c r="AJ216" i="6"/>
  <c r="AJ9" i="36" s="1"/>
  <c r="AM10" i="59" s="1"/>
  <c r="AP210" i="6"/>
  <c r="AT217" i="6"/>
  <c r="AP215" i="6"/>
  <c r="AS11" i="59" s="1"/>
  <c r="AT199" i="6"/>
  <c r="AT206" i="6"/>
  <c r="AT213" i="6"/>
  <c r="AT212" i="6"/>
  <c r="AT214" i="6"/>
  <c r="AT208" i="6"/>
  <c r="AT204" i="6"/>
  <c r="AT209" i="6"/>
  <c r="AT203" i="6"/>
  <c r="AT211" i="6"/>
  <c r="AF216" i="6"/>
  <c r="AO206" i="6"/>
  <c r="AO213" i="6"/>
  <c r="AO212" i="6"/>
  <c r="AO204" i="6"/>
  <c r="AO217" i="6"/>
  <c r="AO218" i="6" s="1"/>
  <c r="AO211" i="6"/>
  <c r="AO209" i="6"/>
  <c r="AO208" i="6"/>
  <c r="AO203" i="6"/>
  <c r="AS137" i="6"/>
  <c r="AS138" i="6" s="1"/>
  <c r="AS140" i="6" s="1"/>
  <c r="Y11" i="59"/>
  <c r="Q35" i="6"/>
  <c r="F216" i="6"/>
  <c r="Q46" i="38"/>
  <c r="AE46" i="38" s="1"/>
  <c r="AI46" i="38" s="1"/>
  <c r="AM46" i="38" s="1"/>
  <c r="Q45" i="38"/>
  <c r="AE45" i="38" s="1"/>
  <c r="AI45" i="38" s="1"/>
  <c r="AM45" i="38" s="1"/>
  <c r="Q44" i="38"/>
  <c r="AE44" i="38" s="1"/>
  <c r="AI44" i="38" s="1"/>
  <c r="AM44" i="38" s="1"/>
  <c r="Q43" i="38"/>
  <c r="AE43" i="38" s="1"/>
  <c r="AI43" i="38" s="1"/>
  <c r="AM43" i="38" s="1"/>
  <c r="Q38" i="38"/>
  <c r="AE38" i="38" s="1"/>
  <c r="AI38" i="38" s="1"/>
  <c r="AM38" i="38" s="1"/>
  <c r="Q37" i="38"/>
  <c r="AE37" i="38" s="1"/>
  <c r="AI37" i="38" s="1"/>
  <c r="AM37" i="38" s="1"/>
  <c r="Q36" i="38"/>
  <c r="AE36" i="38" s="1"/>
  <c r="AI36" i="38" s="1"/>
  <c r="AM36" i="38" s="1"/>
  <c r="Q32" i="38"/>
  <c r="AE32" i="38" s="1"/>
  <c r="AI32" i="38" s="1"/>
  <c r="AM32" i="38" s="1"/>
  <c r="Q31" i="38"/>
  <c r="AE31" i="38" s="1"/>
  <c r="AI31" i="38" s="1"/>
  <c r="AM31" i="38" s="1"/>
  <c r="Q30" i="38"/>
  <c r="AE30" i="38" s="1"/>
  <c r="AI30" i="38" s="1"/>
  <c r="AM30" i="38" s="1"/>
  <c r="Q29" i="38"/>
  <c r="AE29" i="38" s="1"/>
  <c r="AI29" i="38" s="1"/>
  <c r="AM29" i="38" s="1"/>
  <c r="Q28" i="38"/>
  <c r="AE28" i="38" s="1"/>
  <c r="AI28" i="38" s="1"/>
  <c r="AM28" i="38" s="1"/>
  <c r="Q27" i="38"/>
  <c r="AE27" i="38" s="1"/>
  <c r="AI27" i="38" s="1"/>
  <c r="AM27" i="38" s="1"/>
  <c r="Q26" i="38"/>
  <c r="AE26" i="38" s="1"/>
  <c r="AI26" i="38" s="1"/>
  <c r="AM26" i="38" s="1"/>
  <c r="Q25" i="38"/>
  <c r="AE25" i="38" s="1"/>
  <c r="AI25" i="38" s="1"/>
  <c r="AM25" i="38" s="1"/>
  <c r="Q24" i="38"/>
  <c r="AE24" i="38" s="1"/>
  <c r="AI24" i="38" s="1"/>
  <c r="AM24" i="38" s="1"/>
  <c r="Q23" i="38"/>
  <c r="AE23" i="38" s="1"/>
  <c r="AI23" i="38" s="1"/>
  <c r="AM23" i="38" s="1"/>
  <c r="Q22" i="38"/>
  <c r="AE22" i="38" s="1"/>
  <c r="AI22" i="38" s="1"/>
  <c r="AM22" i="38" s="1"/>
  <c r="Q21" i="38"/>
  <c r="AE21" i="38" s="1"/>
  <c r="AI21" i="38" s="1"/>
  <c r="AM21" i="38" s="1"/>
  <c r="Q20" i="38"/>
  <c r="AE20" i="38" s="1"/>
  <c r="AI20" i="38" s="1"/>
  <c r="AM20" i="38" s="1"/>
  <c r="R18" i="38"/>
  <c r="AF18" i="38" s="1"/>
  <c r="AJ18" i="38" s="1"/>
  <c r="AN18" i="38" s="1"/>
  <c r="Q14" i="38"/>
  <c r="AE14" i="38" s="1"/>
  <c r="AI14" i="38" s="1"/>
  <c r="AM14" i="38" s="1"/>
  <c r="Q13" i="38"/>
  <c r="AE13" i="38" s="1"/>
  <c r="AI13" i="38" s="1"/>
  <c r="AM13" i="38" s="1"/>
  <c r="AI210" i="6" l="1"/>
  <c r="AI215" i="6"/>
  <c r="AS207" i="6"/>
  <c r="AS205" i="6"/>
  <c r="E219" i="6"/>
  <c r="BE137" i="6"/>
  <c r="BF140" i="6"/>
  <c r="BF205" i="6" s="1"/>
  <c r="AW138" i="6"/>
  <c r="AX207" i="6"/>
  <c r="F219" i="6"/>
  <c r="AX206" i="6"/>
  <c r="AX213" i="6"/>
  <c r="AX212" i="6"/>
  <c r="AX204" i="6"/>
  <c r="AX211" i="6"/>
  <c r="AX209" i="6"/>
  <c r="AX208" i="6"/>
  <c r="AX214" i="6"/>
  <c r="AX203" i="6"/>
  <c r="AX199" i="6"/>
  <c r="AX217" i="6"/>
  <c r="AT218" i="6"/>
  <c r="AP216" i="6"/>
  <c r="AP219" i="6" s="1"/>
  <c r="AJ219" i="6"/>
  <c r="AO210" i="6"/>
  <c r="AI216" i="6"/>
  <c r="AI219" i="6" s="1"/>
  <c r="AS212" i="6"/>
  <c r="AS213" i="6"/>
  <c r="AS206" i="6"/>
  <c r="AS208" i="6"/>
  <c r="AS209" i="6"/>
  <c r="AS204" i="6"/>
  <c r="AS211" i="6"/>
  <c r="AS217" i="6"/>
  <c r="AS218" i="6" s="1"/>
  <c r="AS203" i="6"/>
  <c r="AS214" i="6"/>
  <c r="AF9" i="36"/>
  <c r="AI10" i="59" s="1"/>
  <c r="AF219" i="6"/>
  <c r="AO215" i="6"/>
  <c r="AT215" i="6"/>
  <c r="AW11" i="59" s="1"/>
  <c r="AT210" i="6"/>
  <c r="AE91" i="8"/>
  <c r="R12" i="38"/>
  <c r="AF12" i="38" s="1"/>
  <c r="AJ12" i="38" s="1"/>
  <c r="AN12" i="38" s="1"/>
  <c r="E99" i="9"/>
  <c r="Q40" i="38"/>
  <c r="AE40" i="38" s="1"/>
  <c r="AI40" i="38" s="1"/>
  <c r="AM40" i="38" s="1"/>
  <c r="Q41" i="38"/>
  <c r="AE41" i="38" s="1"/>
  <c r="AI41" i="38" s="1"/>
  <c r="AM41" i="38" s="1"/>
  <c r="R42" i="38"/>
  <c r="AF42" i="38" s="1"/>
  <c r="AJ42" i="38" s="1"/>
  <c r="AN42" i="38" s="1"/>
  <c r="R6" i="38"/>
  <c r="R34" i="38"/>
  <c r="AF34" i="38" s="1"/>
  <c r="AJ34" i="38" s="1"/>
  <c r="AN34" i="38" s="1"/>
  <c r="E193" i="6"/>
  <c r="Q19" i="38"/>
  <c r="E73" i="11"/>
  <c r="E74" i="11" s="1"/>
  <c r="E167" i="6"/>
  <c r="Q35" i="38"/>
  <c r="AE35" i="38" s="1"/>
  <c r="AI35" i="38" s="1"/>
  <c r="AM35" i="38" s="1"/>
  <c r="R40" i="38"/>
  <c r="AF40" i="38" s="1"/>
  <c r="AJ40" i="38" s="1"/>
  <c r="AN40" i="38" s="1"/>
  <c r="Q42" i="38"/>
  <c r="AE42" i="38" s="1"/>
  <c r="AI42" i="38" s="1"/>
  <c r="AM42" i="38" s="1"/>
  <c r="Q18" i="38"/>
  <c r="AE18" i="38" s="1"/>
  <c r="AI18" i="38" s="1"/>
  <c r="AM18" i="38" s="1"/>
  <c r="Q34" i="38"/>
  <c r="AE34" i="38" s="1"/>
  <c r="AI34" i="38" s="1"/>
  <c r="AM34" i="38" s="1"/>
  <c r="Q12" i="38"/>
  <c r="AE12" i="38" s="1"/>
  <c r="AI12" i="38" s="1"/>
  <c r="AM12" i="38" s="1"/>
  <c r="I71" i="59"/>
  <c r="I67" i="59"/>
  <c r="I63" i="59"/>
  <c r="M99" i="9" l="1"/>
  <c r="AE19" i="38"/>
  <c r="BF207" i="6"/>
  <c r="BE138" i="6"/>
  <c r="E194" i="6"/>
  <c r="H35" i="59"/>
  <c r="E168" i="6"/>
  <c r="AW140" i="6"/>
  <c r="AW205" i="6" s="1"/>
  <c r="AX215" i="6"/>
  <c r="BA11" i="59" s="1"/>
  <c r="BF199" i="6"/>
  <c r="BF208" i="6"/>
  <c r="BF209" i="6"/>
  <c r="AX218" i="6"/>
  <c r="AX210" i="6"/>
  <c r="AS22" i="38"/>
  <c r="BG70" i="38" s="1"/>
  <c r="AI91" i="8"/>
  <c r="V9" i="36"/>
  <c r="Y10" i="59" s="1"/>
  <c r="AT216" i="6"/>
  <c r="AT9" i="36" s="1"/>
  <c r="AW10" i="59" s="1"/>
  <c r="AP9" i="36"/>
  <c r="AS10" i="59" s="1"/>
  <c r="AO216" i="6"/>
  <c r="AO219" i="6" s="1"/>
  <c r="BF217" i="6"/>
  <c r="BF206" i="6"/>
  <c r="BF213" i="6"/>
  <c r="BF212" i="6"/>
  <c r="BF211" i="6"/>
  <c r="BF214" i="6"/>
  <c r="BF204" i="6"/>
  <c r="BF203" i="6"/>
  <c r="AS38" i="38"/>
  <c r="BG86" i="38" s="1"/>
  <c r="AS14" i="38"/>
  <c r="BG62" i="38" s="1"/>
  <c r="AS37" i="38"/>
  <c r="BG85" i="38" s="1"/>
  <c r="AS36" i="38"/>
  <c r="BG84" i="38" s="1"/>
  <c r="AS43" i="38"/>
  <c r="BG91" i="38" s="1"/>
  <c r="AS215" i="6"/>
  <c r="AS45" i="38"/>
  <c r="BG93" i="38" s="1"/>
  <c r="AS44" i="38"/>
  <c r="BG92" i="38" s="1"/>
  <c r="AT18" i="38"/>
  <c r="AS13" i="38"/>
  <c r="BG61" i="38" s="1"/>
  <c r="AS46" i="38"/>
  <c r="BG94" i="38" s="1"/>
  <c r="AS210" i="6"/>
  <c r="AS29" i="38"/>
  <c r="BG77" i="38" s="1"/>
  <c r="AS27" i="38"/>
  <c r="BG75" i="38" s="1"/>
  <c r="AS32" i="38"/>
  <c r="BG80" i="38" s="1"/>
  <c r="AS31" i="38"/>
  <c r="BG79" i="38" s="1"/>
  <c r="AS23" i="38"/>
  <c r="BG71" i="38" s="1"/>
  <c r="AS28" i="38"/>
  <c r="BG76" i="38" s="1"/>
  <c r="AS20" i="38"/>
  <c r="BG68" i="38" s="1"/>
  <c r="AS25" i="38"/>
  <c r="BG73" i="38" s="1"/>
  <c r="AS21" i="38"/>
  <c r="BG69" i="38" s="1"/>
  <c r="AS24" i="38"/>
  <c r="BG72" i="38" s="1"/>
  <c r="AS30" i="38"/>
  <c r="BG78" i="38" s="1"/>
  <c r="AS26" i="38"/>
  <c r="BG74" i="38" s="1"/>
  <c r="AS35" i="38"/>
  <c r="BG83" i="38" s="1"/>
  <c r="AE167" i="6"/>
  <c r="M73" i="11"/>
  <c r="M74" i="11" s="1"/>
  <c r="M172" i="10"/>
  <c r="AA172" i="10" s="1"/>
  <c r="AE172" i="10" s="1"/>
  <c r="AI172" i="10" s="1"/>
  <c r="Q39" i="38"/>
  <c r="AE39" i="38" s="1"/>
  <c r="AI39" i="38" s="1"/>
  <c r="AM39" i="38" s="1"/>
  <c r="N138" i="45"/>
  <c r="N139" i="45" s="1"/>
  <c r="R17" i="38"/>
  <c r="AF17" i="38" s="1"/>
  <c r="AJ17" i="38" s="1"/>
  <c r="AN17" i="38" s="1"/>
  <c r="AJ26" i="36" s="1"/>
  <c r="R15" i="38"/>
  <c r="E100" i="9"/>
  <c r="Q99" i="9"/>
  <c r="U99" i="9" s="1"/>
  <c r="U100" i="9" s="1"/>
  <c r="R39" i="38"/>
  <c r="AF39" i="38" s="1"/>
  <c r="AJ39" i="38" s="1"/>
  <c r="AN39" i="38" s="1"/>
  <c r="Q17" i="38"/>
  <c r="AE17" i="38" s="1"/>
  <c r="AI17" i="38" s="1"/>
  <c r="AM17" i="38" s="1"/>
  <c r="AI26" i="36" s="1"/>
  <c r="AI19" i="38" l="1"/>
  <c r="BE140" i="6"/>
  <c r="BE205" i="6" s="1"/>
  <c r="AW207" i="6"/>
  <c r="AW209" i="6"/>
  <c r="AW217" i="6"/>
  <c r="AW218" i="6" s="1"/>
  <c r="AW213" i="6"/>
  <c r="AW214" i="6"/>
  <c r="AW204" i="6"/>
  <c r="AW208" i="6"/>
  <c r="AW212" i="6"/>
  <c r="AW203" i="6"/>
  <c r="AW211" i="6"/>
  <c r="AW206" i="6"/>
  <c r="AX216" i="6"/>
  <c r="AX219" i="6" s="1"/>
  <c r="AW22" i="38"/>
  <c r="BA22" i="38" s="1"/>
  <c r="BI22" i="38" s="1"/>
  <c r="BE91" i="8" s="1"/>
  <c r="AO91" i="8"/>
  <c r="AT219" i="6"/>
  <c r="BE211" i="6"/>
  <c r="BE204" i="6"/>
  <c r="BE212" i="6"/>
  <c r="BA92" i="8"/>
  <c r="BF215" i="6"/>
  <c r="BF218" i="6"/>
  <c r="BF210" i="6"/>
  <c r="AS216" i="6"/>
  <c r="AS219" i="6" s="1"/>
  <c r="AW26" i="38"/>
  <c r="AW25" i="38"/>
  <c r="AW28" i="38"/>
  <c r="AW31" i="38"/>
  <c r="AW27" i="38"/>
  <c r="AW14" i="38"/>
  <c r="AT40" i="38"/>
  <c r="AS34" i="38"/>
  <c r="AW35" i="38"/>
  <c r="BA35" i="38" s="1"/>
  <c r="AO167" i="6"/>
  <c r="AW46" i="38"/>
  <c r="AX18" i="38"/>
  <c r="AW44" i="38"/>
  <c r="AW24" i="38"/>
  <c r="AW43" i="38"/>
  <c r="AW38" i="38"/>
  <c r="AS12" i="38"/>
  <c r="AS42" i="38"/>
  <c r="AW30" i="38"/>
  <c r="AW21" i="38"/>
  <c r="AW20" i="38"/>
  <c r="AW23" i="38"/>
  <c r="AW32" i="38"/>
  <c r="AW29" i="38"/>
  <c r="AW36" i="38"/>
  <c r="AW37" i="38"/>
  <c r="AS40" i="38"/>
  <c r="AS41" i="38"/>
  <c r="BG89" i="38" s="1"/>
  <c r="AT34" i="38"/>
  <c r="AW13" i="38"/>
  <c r="AT12" i="38"/>
  <c r="AW45" i="38"/>
  <c r="AT42" i="38"/>
  <c r="AS18" i="38"/>
  <c r="AM194" i="6"/>
  <c r="AI167" i="6"/>
  <c r="AO172" i="10"/>
  <c r="AE26" i="36"/>
  <c r="AT17" i="38"/>
  <c r="AF26" i="36"/>
  <c r="Q16" i="38"/>
  <c r="AE16" i="38" s="1"/>
  <c r="AI16" i="38" s="1"/>
  <c r="AM16" i="38" s="1"/>
  <c r="R16" i="38"/>
  <c r="AF16" i="38" s="1"/>
  <c r="AJ16" i="38" s="1"/>
  <c r="AN16" i="38" s="1"/>
  <c r="D18" i="36"/>
  <c r="G18" i="36" s="1"/>
  <c r="J55" i="59" s="1"/>
  <c r="F28" i="21"/>
  <c r="E27" i="21"/>
  <c r="F24" i="21"/>
  <c r="F25" i="21" s="1"/>
  <c r="F18" i="21"/>
  <c r="F15" i="21"/>
  <c r="N15" i="21" s="1"/>
  <c r="R15" i="21" s="1"/>
  <c r="F12" i="21"/>
  <c r="E12" i="21"/>
  <c r="BE209" i="6" l="1"/>
  <c r="BE208" i="6"/>
  <c r="BE217" i="6"/>
  <c r="BE218" i="6" s="1"/>
  <c r="BE214" i="6"/>
  <c r="BE213" i="6"/>
  <c r="BE215" i="6" s="1"/>
  <c r="BE203" i="6"/>
  <c r="BE206" i="6"/>
  <c r="AM19" i="38"/>
  <c r="AE193" i="6"/>
  <c r="AW215" i="6"/>
  <c r="BE207" i="6"/>
  <c r="AU18" i="36"/>
  <c r="AX55" i="59" s="1"/>
  <c r="AY18" i="36"/>
  <c r="BB55" i="59" s="1"/>
  <c r="AW210" i="6"/>
  <c r="AW216" i="6" s="1"/>
  <c r="AW219" i="6" s="1"/>
  <c r="AG18" i="36"/>
  <c r="AJ55" i="59" s="1"/>
  <c r="AQ18" i="36"/>
  <c r="AT55" i="59" s="1"/>
  <c r="AK18" i="36"/>
  <c r="AN55" i="59" s="1"/>
  <c r="AC18" i="36"/>
  <c r="AF55" i="59" s="1"/>
  <c r="W18" i="36"/>
  <c r="Z55" i="59" s="1"/>
  <c r="S18" i="36"/>
  <c r="V55" i="59" s="1"/>
  <c r="O18" i="36"/>
  <c r="R55" i="59" s="1"/>
  <c r="K18" i="36"/>
  <c r="N55" i="59" s="1"/>
  <c r="AW91" i="8"/>
  <c r="U18" i="36"/>
  <c r="X55" i="59" s="1"/>
  <c r="V15" i="21"/>
  <c r="AS91" i="8"/>
  <c r="BA20" i="38"/>
  <c r="BA24" i="38"/>
  <c r="BA27" i="38"/>
  <c r="BA21" i="38"/>
  <c r="BA31" i="38"/>
  <c r="BA30" i="38"/>
  <c r="BA14" i="38"/>
  <c r="BA29" i="38"/>
  <c r="BA44" i="38"/>
  <c r="BA28" i="38"/>
  <c r="BA45" i="38"/>
  <c r="BA32" i="38"/>
  <c r="BB18" i="38"/>
  <c r="BA25" i="38"/>
  <c r="BA13" i="38"/>
  <c r="BA38" i="38"/>
  <c r="BA43" i="38"/>
  <c r="BA37" i="38"/>
  <c r="BA36" i="38"/>
  <c r="BA23" i="38"/>
  <c r="BA46" i="38"/>
  <c r="BA26" i="38"/>
  <c r="R48" i="38"/>
  <c r="BI11" i="59"/>
  <c r="BI35" i="38"/>
  <c r="BE167" i="6" s="1"/>
  <c r="AW167" i="6"/>
  <c r="G55" i="59"/>
  <c r="BF216" i="6"/>
  <c r="BA168" i="6"/>
  <c r="BA194" i="6"/>
  <c r="AX9" i="36"/>
  <c r="BA10" i="59" s="1"/>
  <c r="AW18" i="36"/>
  <c r="AZ55" i="59" s="1"/>
  <c r="AX17" i="38"/>
  <c r="AP26" i="36"/>
  <c r="AW34" i="38"/>
  <c r="AT39" i="38"/>
  <c r="AX12" i="38"/>
  <c r="AX34" i="38"/>
  <c r="AW40" i="38"/>
  <c r="AW12" i="38"/>
  <c r="AS18" i="36"/>
  <c r="AV55" i="59" s="1"/>
  <c r="AM18" i="36"/>
  <c r="AP55" i="59" s="1"/>
  <c r="AO18" i="36"/>
  <c r="AR55" i="59" s="1"/>
  <c r="AS172" i="10"/>
  <c r="AW172" i="10" s="1"/>
  <c r="AX42" i="38"/>
  <c r="AS167" i="6"/>
  <c r="AS39" i="38"/>
  <c r="AW18" i="38"/>
  <c r="AW41" i="38"/>
  <c r="AW42" i="38"/>
  <c r="AX40" i="38"/>
  <c r="AQ75" i="59"/>
  <c r="AS17" i="38"/>
  <c r="AI18" i="36"/>
  <c r="AL55" i="59" s="1"/>
  <c r="AE18" i="36"/>
  <c r="AH55" i="59" s="1"/>
  <c r="Y18" i="36"/>
  <c r="AB55" i="59" s="1"/>
  <c r="N18" i="21"/>
  <c r="R18" i="21" s="1"/>
  <c r="V18" i="21" s="1"/>
  <c r="F20" i="21"/>
  <c r="F555" i="28"/>
  <c r="J555" i="28" s="1"/>
  <c r="N555" i="28" s="1"/>
  <c r="R555" i="28" s="1"/>
  <c r="V555" i="28" s="1"/>
  <c r="AB555" i="28" s="1"/>
  <c r="F556" i="28"/>
  <c r="J556" i="28" s="1"/>
  <c r="N556" i="28" s="1"/>
  <c r="R556" i="28" s="1"/>
  <c r="V556" i="28" s="1"/>
  <c r="AB556" i="28" s="1"/>
  <c r="BA18" i="36"/>
  <c r="BC18" i="36"/>
  <c r="M12" i="15"/>
  <c r="I12" i="15"/>
  <c r="M27" i="21"/>
  <c r="Q27" i="21" s="1"/>
  <c r="U27" i="21" s="1"/>
  <c r="BE18" i="36"/>
  <c r="Q18" i="36"/>
  <c r="M18" i="36"/>
  <c r="P55" i="59" s="1"/>
  <c r="I18" i="36"/>
  <c r="L55" i="59" s="1"/>
  <c r="E18" i="36"/>
  <c r="H55" i="59" s="1"/>
  <c r="AA18" i="36"/>
  <c r="AD55" i="59" s="1"/>
  <c r="E22" i="21"/>
  <c r="E15" i="21"/>
  <c r="BE210" i="6" l="1"/>
  <c r="BF555" i="28"/>
  <c r="AF555" i="28"/>
  <c r="AJ555" i="28" s="1"/>
  <c r="AP555" i="28" s="1"/>
  <c r="AT555" i="28" s="1"/>
  <c r="AX555" i="28" s="1"/>
  <c r="BF556" i="28"/>
  <c r="AF556" i="28"/>
  <c r="AJ556" i="28" s="1"/>
  <c r="AP556" i="28" s="1"/>
  <c r="AT556" i="28" s="1"/>
  <c r="AX556" i="28" s="1"/>
  <c r="M15" i="21"/>
  <c r="Q15" i="21" s="1"/>
  <c r="U15" i="21" s="1"/>
  <c r="AS19" i="38"/>
  <c r="AI193" i="6"/>
  <c r="BD55" i="59"/>
  <c r="BH55" i="59"/>
  <c r="BF55" i="59"/>
  <c r="R20" i="21"/>
  <c r="V20" i="21"/>
  <c r="BI30" i="38"/>
  <c r="BI43" i="38"/>
  <c r="BI45" i="38"/>
  <c r="BI31" i="38"/>
  <c r="BA12" i="38"/>
  <c r="BI26" i="38"/>
  <c r="BI38" i="38"/>
  <c r="BI28" i="38"/>
  <c r="BI21" i="38"/>
  <c r="BB34" i="38"/>
  <c r="BI37" i="38"/>
  <c r="BA40" i="38"/>
  <c r="BA41" i="38"/>
  <c r="BI46" i="38"/>
  <c r="BI13" i="38"/>
  <c r="BI44" i="38"/>
  <c r="BI27" i="38"/>
  <c r="BB40" i="38"/>
  <c r="BB17" i="38"/>
  <c r="AX26" i="36" s="1"/>
  <c r="BA42" i="38"/>
  <c r="BA34" i="38"/>
  <c r="BI23" i="38"/>
  <c r="BE99" i="9" s="1"/>
  <c r="BI25" i="38"/>
  <c r="BI29" i="38"/>
  <c r="BI24" i="38"/>
  <c r="BI32" i="38"/>
  <c r="BA18" i="38"/>
  <c r="BB42" i="38"/>
  <c r="BI36" i="38"/>
  <c r="BJ18" i="38"/>
  <c r="BI14" i="38"/>
  <c r="BI20" i="38"/>
  <c r="BB12" i="38"/>
  <c r="BF9" i="36"/>
  <c r="BI10" i="59" s="1"/>
  <c r="BH11" i="59"/>
  <c r="Q12" i="15"/>
  <c r="U12" i="15" s="1"/>
  <c r="BF219" i="6"/>
  <c r="BE216" i="6"/>
  <c r="BE172" i="10"/>
  <c r="AX39" i="38"/>
  <c r="AW17" i="38"/>
  <c r="AO26" i="36"/>
  <c r="AW39" i="38"/>
  <c r="AT26" i="36"/>
  <c r="AS16" i="38"/>
  <c r="AT16" i="38"/>
  <c r="AP75" i="59"/>
  <c r="N20" i="21"/>
  <c r="AB18" i="21"/>
  <c r="AF18" i="21" s="1"/>
  <c r="AJ18" i="21" s="1"/>
  <c r="AP18" i="21" s="1"/>
  <c r="AT18" i="21" s="1"/>
  <c r="AX18" i="21" s="1"/>
  <c r="BF18" i="21" s="1"/>
  <c r="AA12" i="15"/>
  <c r="AE12" i="15" s="1"/>
  <c r="M13" i="15"/>
  <c r="Q13" i="15" s="1"/>
  <c r="Q14" i="15" s="1"/>
  <c r="I13" i="15"/>
  <c r="N51" i="35"/>
  <c r="N50" i="35"/>
  <c r="E42" i="35"/>
  <c r="D42" i="35"/>
  <c r="F41" i="35"/>
  <c r="E41" i="35"/>
  <c r="D41" i="35"/>
  <c r="E39" i="35"/>
  <c r="D39" i="35"/>
  <c r="F36" i="35"/>
  <c r="F48" i="35" s="1"/>
  <c r="N48" i="35" s="1"/>
  <c r="E36" i="35"/>
  <c r="E37" i="28" s="1"/>
  <c r="D36" i="35"/>
  <c r="F33" i="35"/>
  <c r="E33" i="35"/>
  <c r="D33" i="35"/>
  <c r="F26" i="35"/>
  <c r="E26" i="35"/>
  <c r="D26" i="35"/>
  <c r="E10" i="35"/>
  <c r="D10" i="35"/>
  <c r="E9" i="35"/>
  <c r="D9" i="35"/>
  <c r="E8" i="35"/>
  <c r="D8" i="35"/>
  <c r="F7" i="35"/>
  <c r="F8" i="35" s="1"/>
  <c r="D48" i="35" l="1"/>
  <c r="D37" i="28"/>
  <c r="I37" i="28"/>
  <c r="M37" i="28" s="1"/>
  <c r="E31" i="28"/>
  <c r="E526" i="28"/>
  <c r="I526" i="28" s="1"/>
  <c r="M526" i="28" s="1"/>
  <c r="E77" i="28"/>
  <c r="E26" i="21"/>
  <c r="M26" i="21" s="1"/>
  <c r="E9" i="6"/>
  <c r="D34" i="36"/>
  <c r="D35" i="36" s="1"/>
  <c r="D36" i="36" s="1"/>
  <c r="D38" i="36" s="1"/>
  <c r="D26" i="21"/>
  <c r="M41" i="35"/>
  <c r="Q41" i="35" s="1"/>
  <c r="U41" i="35" s="1"/>
  <c r="BG67" i="38"/>
  <c r="AW19" i="38"/>
  <c r="AO193" i="6"/>
  <c r="BJ17" i="38"/>
  <c r="BJ42" i="38"/>
  <c r="BI18" i="38"/>
  <c r="BA39" i="38"/>
  <c r="BI12" i="38"/>
  <c r="BA17" i="38"/>
  <c r="BB39" i="38"/>
  <c r="BI34" i="38"/>
  <c r="BI41" i="38"/>
  <c r="BJ34" i="38"/>
  <c r="BJ40" i="38"/>
  <c r="BI42" i="38"/>
  <c r="BI40" i="38"/>
  <c r="BJ12" i="38"/>
  <c r="BE219" i="6"/>
  <c r="AB51" i="35"/>
  <c r="AF51" i="35" s="1"/>
  <c r="AJ51" i="35" s="1"/>
  <c r="AP51" i="35" s="1"/>
  <c r="AT51" i="35" s="1"/>
  <c r="AX51" i="35" s="1"/>
  <c r="BF51" i="35" s="1"/>
  <c r="R51" i="35"/>
  <c r="V51" i="35" s="1"/>
  <c r="AB50" i="35"/>
  <c r="AF50" i="35" s="1"/>
  <c r="AJ50" i="35" s="1"/>
  <c r="AP50" i="35" s="1"/>
  <c r="AT50" i="35" s="1"/>
  <c r="AX50" i="35" s="1"/>
  <c r="BF50" i="35" s="1"/>
  <c r="R50" i="35"/>
  <c r="V50" i="35" s="1"/>
  <c r="AI12" i="15"/>
  <c r="AO12" i="15" s="1"/>
  <c r="AS12" i="15" s="1"/>
  <c r="E13" i="35"/>
  <c r="E8" i="6"/>
  <c r="D14" i="35"/>
  <c r="D9" i="6"/>
  <c r="D13" i="35"/>
  <c r="D8" i="6"/>
  <c r="M10" i="35"/>
  <c r="E14" i="35"/>
  <c r="M14" i="35" s="1"/>
  <c r="E28" i="21"/>
  <c r="AX16" i="38"/>
  <c r="AW16" i="38"/>
  <c r="AS26" i="36"/>
  <c r="D11" i="35"/>
  <c r="D10" i="6" s="1"/>
  <c r="M9" i="35"/>
  <c r="Q9" i="35" s="1"/>
  <c r="E11" i="35"/>
  <c r="M14" i="15"/>
  <c r="F6" i="6"/>
  <c r="M42" i="35"/>
  <c r="Q42" i="35" s="1"/>
  <c r="U42" i="35" s="1"/>
  <c r="I42" i="35"/>
  <c r="J41" i="35"/>
  <c r="N41" i="35"/>
  <c r="R41" i="35" s="1"/>
  <c r="F37" i="35"/>
  <c r="I76" i="59" s="1"/>
  <c r="F49" i="35"/>
  <c r="D49" i="35"/>
  <c r="D37" i="35"/>
  <c r="E37" i="35"/>
  <c r="E48" i="35"/>
  <c r="I31" i="28" l="1"/>
  <c r="M31" i="28" s="1"/>
  <c r="Q31" i="28" s="1"/>
  <c r="U31" i="28" s="1"/>
  <c r="E63" i="28"/>
  <c r="M529" i="28"/>
  <c r="Q526" i="28"/>
  <c r="AA526" i="28"/>
  <c r="BE526" i="28" s="1"/>
  <c r="D31" i="28"/>
  <c r="D63" i="28" s="1"/>
  <c r="D69" i="28" s="1"/>
  <c r="D77" i="28"/>
  <c r="D526" i="28"/>
  <c r="I77" i="28"/>
  <c r="M77" i="28" s="1"/>
  <c r="Q77" i="28" s="1"/>
  <c r="U77" i="28" s="1"/>
  <c r="E93" i="28"/>
  <c r="I93" i="28" s="1"/>
  <c r="M93" i="28" s="1"/>
  <c r="M530" i="28" s="1"/>
  <c r="E78" i="28"/>
  <c r="M552" i="28"/>
  <c r="Q37" i="28"/>
  <c r="D41" i="36"/>
  <c r="D43" i="36" s="1"/>
  <c r="D31" i="36" s="1"/>
  <c r="AA41" i="35"/>
  <c r="AE41" i="35" s="1"/>
  <c r="AI41" i="35" s="1"/>
  <c r="AO41" i="35" s="1"/>
  <c r="AS41" i="35" s="1"/>
  <c r="AW41" i="35" s="1"/>
  <c r="BE41" i="35" s="1"/>
  <c r="E10" i="6"/>
  <c r="BA19" i="38"/>
  <c r="AS193" i="6"/>
  <c r="BF26" i="36"/>
  <c r="D15" i="35"/>
  <c r="BB16" i="38"/>
  <c r="BA16" i="38"/>
  <c r="BJ39" i="38"/>
  <c r="BI17" i="38"/>
  <c r="AW26" i="36"/>
  <c r="BI39" i="38"/>
  <c r="AW12" i="15"/>
  <c r="BE12" i="15" s="1"/>
  <c r="M28" i="21"/>
  <c r="Q26" i="21"/>
  <c r="AA14" i="35"/>
  <c r="AE14" i="35" s="1"/>
  <c r="AI14" i="35" s="1"/>
  <c r="AO14" i="35" s="1"/>
  <c r="AS14" i="35" s="1"/>
  <c r="AW14" i="35" s="1"/>
  <c r="BE14" i="35" s="1"/>
  <c r="Q14" i="35"/>
  <c r="U14" i="35" s="1"/>
  <c r="U9" i="35"/>
  <c r="M9" i="6"/>
  <c r="Q10" i="35"/>
  <c r="U10" i="35" s="1"/>
  <c r="U9" i="6" s="1"/>
  <c r="V41" i="35"/>
  <c r="F80" i="83"/>
  <c r="AA10" i="35"/>
  <c r="AA9" i="6" s="1"/>
  <c r="AA9" i="35"/>
  <c r="AA8" i="6" s="1"/>
  <c r="M8" i="6"/>
  <c r="G80" i="83"/>
  <c r="O80" i="83" s="1"/>
  <c r="G98" i="50"/>
  <c r="F18" i="6"/>
  <c r="M13" i="35"/>
  <c r="Q13" i="35" s="1"/>
  <c r="E15" i="35"/>
  <c r="M11" i="35"/>
  <c r="M10" i="6" s="1"/>
  <c r="U13" i="15"/>
  <c r="U14" i="15" s="1"/>
  <c r="J60" i="6"/>
  <c r="M16" i="59" s="1"/>
  <c r="J61" i="6"/>
  <c r="M23" i="59" s="1"/>
  <c r="F16" i="6"/>
  <c r="AA42" i="35"/>
  <c r="AE42" i="35" s="1"/>
  <c r="AB41" i="35"/>
  <c r="AF41" i="35" s="1"/>
  <c r="E49" i="35"/>
  <c r="E55" i="35" s="1"/>
  <c r="M48" i="35"/>
  <c r="F55" i="35"/>
  <c r="F17" i="6"/>
  <c r="F15" i="6"/>
  <c r="F7" i="6"/>
  <c r="D93" i="28" l="1"/>
  <c r="D78" i="28"/>
  <c r="D97" i="28" s="1"/>
  <c r="Q529" i="28"/>
  <c r="U526" i="28"/>
  <c r="Q93" i="28"/>
  <c r="U93" i="28" s="1"/>
  <c r="M551" i="28"/>
  <c r="M550" i="28"/>
  <c r="I78" i="28"/>
  <c r="M78" i="28" s="1"/>
  <c r="E97" i="28"/>
  <c r="I97" i="28" s="1"/>
  <c r="M97" i="28" s="1"/>
  <c r="Q97" i="28" s="1"/>
  <c r="U97" i="28" s="1"/>
  <c r="Q552" i="28"/>
  <c r="U37" i="28"/>
  <c r="I63" i="28"/>
  <c r="M63" i="28" s="1"/>
  <c r="Q63" i="28" s="1"/>
  <c r="U63" i="28" s="1"/>
  <c r="E69" i="28"/>
  <c r="I69" i="28" s="1"/>
  <c r="M69" i="28" s="1"/>
  <c r="AW193" i="6"/>
  <c r="BI19" i="38"/>
  <c r="AE526" i="28"/>
  <c r="AA77" i="28"/>
  <c r="BE77" i="28" s="1"/>
  <c r="BI16" i="38"/>
  <c r="BE26" i="36"/>
  <c r="BJ16" i="38"/>
  <c r="Q28" i="21"/>
  <c r="U26" i="21"/>
  <c r="U28" i="21" s="1"/>
  <c r="U11" i="35"/>
  <c r="U10" i="6" s="1"/>
  <c r="U8" i="6"/>
  <c r="Q11" i="35"/>
  <c r="U13" i="35"/>
  <c r="U15" i="35" s="1"/>
  <c r="Q15" i="35"/>
  <c r="AA31" i="28"/>
  <c r="BE31" i="28" s="1"/>
  <c r="AA11" i="35"/>
  <c r="AA10" i="6" s="1"/>
  <c r="N18" i="6"/>
  <c r="N80" i="6" s="1"/>
  <c r="F194" i="6"/>
  <c r="F189" i="6"/>
  <c r="AJ41" i="35"/>
  <c r="AI42" i="35"/>
  <c r="AA13" i="35"/>
  <c r="AE13" i="35" s="1"/>
  <c r="M15" i="35"/>
  <c r="Q23" i="59"/>
  <c r="Q16" i="59"/>
  <c r="I552" i="28"/>
  <c r="Q12" i="59"/>
  <c r="N17" i="6"/>
  <c r="N85" i="6" s="1"/>
  <c r="F168" i="6"/>
  <c r="F19" i="6"/>
  <c r="M556" i="28" l="1"/>
  <c r="Q78" i="28"/>
  <c r="Q551" i="28"/>
  <c r="Q69" i="28"/>
  <c r="M555" i="28"/>
  <c r="Q550" i="28"/>
  <c r="Q530" i="28"/>
  <c r="U552" i="28"/>
  <c r="U550" i="28"/>
  <c r="U551" i="28"/>
  <c r="U530" i="28"/>
  <c r="U529" i="28"/>
  <c r="AE77" i="28"/>
  <c r="AI77" i="28" s="1"/>
  <c r="AO77" i="28" s="1"/>
  <c r="AE31" i="28"/>
  <c r="AI31" i="28" s="1"/>
  <c r="AI526" i="28"/>
  <c r="AO526" i="28" s="1"/>
  <c r="BE193" i="6"/>
  <c r="AA93" i="28"/>
  <c r="BE93" i="28" s="1"/>
  <c r="R18" i="6"/>
  <c r="V18" i="6" s="1"/>
  <c r="V189" i="6" s="1"/>
  <c r="N195" i="6"/>
  <c r="R195" i="6" s="1"/>
  <c r="V195" i="6" s="1"/>
  <c r="N83" i="6"/>
  <c r="N82" i="6"/>
  <c r="N79" i="6"/>
  <c r="AE15" i="35"/>
  <c r="AI13" i="35"/>
  <c r="AO42" i="35"/>
  <c r="AP41" i="35"/>
  <c r="N169" i="6"/>
  <c r="I529" i="28"/>
  <c r="I530" i="28"/>
  <c r="R17" i="6"/>
  <c r="V17" i="6" s="1"/>
  <c r="F84" i="6"/>
  <c r="F81" i="6"/>
  <c r="F38" i="6"/>
  <c r="F39" i="6"/>
  <c r="F40" i="6"/>
  <c r="F37" i="6"/>
  <c r="U69" i="28" l="1"/>
  <c r="U555" i="28" s="1"/>
  <c r="Q555" i="28"/>
  <c r="Q556" i="28"/>
  <c r="U78" i="28"/>
  <c r="U556" i="28" s="1"/>
  <c r="BE530" i="28"/>
  <c r="BE551" i="28"/>
  <c r="AO31" i="28"/>
  <c r="AS31" i="28" s="1"/>
  <c r="AW31" i="28" s="1"/>
  <c r="AS77" i="28"/>
  <c r="AW77" i="28" s="1"/>
  <c r="AE93" i="28"/>
  <c r="R83" i="6"/>
  <c r="V83" i="6" s="1"/>
  <c r="R82" i="6"/>
  <c r="V82" i="6" s="1"/>
  <c r="R79" i="6"/>
  <c r="V79" i="6" s="1"/>
  <c r="R85" i="6"/>
  <c r="V85" i="6" s="1"/>
  <c r="R80" i="6"/>
  <c r="V80" i="6" s="1"/>
  <c r="R189" i="6"/>
  <c r="V164" i="6"/>
  <c r="V19" i="6"/>
  <c r="R169" i="6"/>
  <c r="V169" i="6" s="1"/>
  <c r="AA37" i="28"/>
  <c r="BE37" i="28" s="1"/>
  <c r="AS42" i="35"/>
  <c r="AO13" i="35"/>
  <c r="BC15" i="35" s="1"/>
  <c r="AI15" i="35"/>
  <c r="AT41" i="35"/>
  <c r="Y552" i="28"/>
  <c r="I551" i="28"/>
  <c r="I550" i="28"/>
  <c r="R19" i="6"/>
  <c r="R164" i="6"/>
  <c r="F41" i="6"/>
  <c r="BE552" i="28" l="1"/>
  <c r="BE550" i="28"/>
  <c r="BE529" i="28"/>
  <c r="AE37" i="28"/>
  <c r="AI93" i="28"/>
  <c r="AO93" i="28" s="1"/>
  <c r="AE551" i="28"/>
  <c r="AE530" i="28"/>
  <c r="V40" i="6"/>
  <c r="V38" i="6"/>
  <c r="V39" i="6"/>
  <c r="V37" i="6"/>
  <c r="AA552" i="28"/>
  <c r="AX41" i="35"/>
  <c r="AW42" i="35"/>
  <c r="AS13" i="35"/>
  <c r="AO15" i="35"/>
  <c r="Y529" i="28"/>
  <c r="AA529" i="28"/>
  <c r="R40" i="6"/>
  <c r="R38" i="6"/>
  <c r="R39" i="6"/>
  <c r="R37" i="6"/>
  <c r="AO551" i="28" l="1"/>
  <c r="AO530" i="28"/>
  <c r="AE552" i="28"/>
  <c r="AI37" i="28"/>
  <c r="AO37" i="28" s="1"/>
  <c r="AE550" i="28"/>
  <c r="AE529" i="28"/>
  <c r="AS526" i="28"/>
  <c r="AI551" i="28"/>
  <c r="AI530" i="28"/>
  <c r="V41" i="6"/>
  <c r="BE42" i="35"/>
  <c r="BF41" i="35"/>
  <c r="AS15" i="35"/>
  <c r="AW13" i="35"/>
  <c r="AA551" i="28"/>
  <c r="AA550" i="28"/>
  <c r="AA530" i="28"/>
  <c r="Y551" i="28"/>
  <c r="Y550" i="28"/>
  <c r="Y530" i="28"/>
  <c r="R41" i="6"/>
  <c r="K63" i="71"/>
  <c r="H63" i="71"/>
  <c r="AO550" i="28" l="1"/>
  <c r="AO552" i="28"/>
  <c r="AO529" i="28"/>
  <c r="AW526" i="28"/>
  <c r="AI550" i="28"/>
  <c r="AI552" i="28"/>
  <c r="AI529" i="28"/>
  <c r="AS93" i="28"/>
  <c r="AW15" i="35"/>
  <c r="BE13" i="35"/>
  <c r="BE15" i="35" s="1"/>
  <c r="AS37" i="28" l="1"/>
  <c r="AW93" i="28"/>
  <c r="AW530" i="28" s="1"/>
  <c r="AS551" i="28"/>
  <c r="AS530" i="28"/>
  <c r="AW551" i="28" l="1"/>
  <c r="AW37" i="28"/>
  <c r="AS550" i="28"/>
  <c r="AS552" i="28"/>
  <c r="AS529" i="28"/>
  <c r="W7" i="72"/>
  <c r="Y107" i="90" s="1"/>
  <c r="F61" i="71"/>
  <c r="CO61" i="71"/>
  <c r="CO63" i="71" s="1"/>
  <c r="CK61" i="71"/>
  <c r="CK63" i="71" s="1"/>
  <c r="AW552" i="28" l="1"/>
  <c r="AW550" i="28"/>
  <c r="AW529" i="28"/>
  <c r="AU61" i="71"/>
  <c r="F63" i="71"/>
  <c r="BM61" i="71"/>
  <c r="BM63" i="71" s="1"/>
  <c r="CG61" i="71"/>
  <c r="CQ61" i="71"/>
  <c r="CQ63" i="71" s="1"/>
  <c r="CA61" i="71"/>
  <c r="CA63" i="71" s="1"/>
  <c r="CU61" i="71"/>
  <c r="BW61" i="71"/>
  <c r="BW63" i="71" s="1"/>
  <c r="BY61" i="71"/>
  <c r="BO61" i="71"/>
  <c r="Y7" i="72"/>
  <c r="BA63" i="71"/>
  <c r="BE63" i="71"/>
  <c r="AW63" i="71"/>
  <c r="AY61" i="71" l="1"/>
  <c r="AU63" i="71"/>
  <c r="AC7" i="72"/>
  <c r="AA107" i="90"/>
  <c r="CG63" i="71"/>
  <c r="I63" i="71"/>
  <c r="C53" i="72"/>
  <c r="K51" i="72"/>
  <c r="Y51" i="72" s="1"/>
  <c r="AC51" i="72" s="1"/>
  <c r="AG51" i="72" s="1"/>
  <c r="O51" i="72"/>
  <c r="S51" i="72" s="1"/>
  <c r="G51" i="72"/>
  <c r="CC61" i="71"/>
  <c r="CC63" i="71" s="1"/>
  <c r="CS61" i="71"/>
  <c r="CS63" i="71" s="1"/>
  <c r="BU61" i="71"/>
  <c r="BQ61" i="71"/>
  <c r="A84" i="9"/>
  <c r="AG7" i="72" l="1"/>
  <c r="AI107" i="90" s="1"/>
  <c r="AE107" i="90"/>
  <c r="AM51" i="72"/>
  <c r="CE61" i="71"/>
  <c r="O53" i="72"/>
  <c r="AM7" i="72"/>
  <c r="AO107" i="90" s="1"/>
  <c r="AQ51" i="72" l="1"/>
  <c r="CI61" i="71"/>
  <c r="AQ7" i="72"/>
  <c r="AU7" i="72" l="1"/>
  <c r="AW107" i="90" s="1"/>
  <c r="AS107" i="90"/>
  <c r="AU51" i="72"/>
  <c r="CM61" i="71"/>
  <c r="BA53" i="72"/>
  <c r="X166" i="26"/>
  <c r="L166" i="26"/>
  <c r="BC51" i="72" l="1"/>
  <c r="BC7" i="72"/>
  <c r="Z166" i="26"/>
  <c r="BE37" i="36" l="1"/>
  <c r="BB2" i="36"/>
  <c r="BA2" i="36"/>
  <c r="BB13" i="36" l="1"/>
  <c r="BE39" i="59" l="1"/>
  <c r="BA13" i="36"/>
  <c r="BD39" i="59" l="1"/>
  <c r="BS25" i="21"/>
  <c r="BS20" i="21"/>
  <c r="I74" i="59" l="1"/>
  <c r="I77" i="59"/>
  <c r="I78" i="59"/>
  <c r="I79" i="59"/>
  <c r="I40" i="59"/>
  <c r="I44" i="59"/>
  <c r="T8" i="59"/>
  <c r="AB8" i="59"/>
  <c r="AD8" i="59"/>
  <c r="T9" i="59"/>
  <c r="AB9" i="59"/>
  <c r="AD9" i="59"/>
  <c r="T10" i="59"/>
  <c r="AB10" i="59"/>
  <c r="AD10" i="59"/>
  <c r="I17" i="59"/>
  <c r="I18" i="59"/>
  <c r="I19" i="59"/>
  <c r="I20" i="59"/>
  <c r="I24" i="59"/>
  <c r="I25" i="59"/>
  <c r="I26" i="59"/>
  <c r="I27" i="59"/>
  <c r="AA13" i="15" l="1"/>
  <c r="AE13" i="15" s="1"/>
  <c r="AI13" i="15" s="1"/>
  <c r="BD64" i="36" l="1"/>
  <c r="BD72" i="36" s="1"/>
  <c r="BD61" i="36"/>
  <c r="BD59" i="36"/>
  <c r="BD67" i="36" s="1"/>
  <c r="BC59" i="36"/>
  <c r="BD58" i="36"/>
  <c r="BD66" i="36" s="1"/>
  <c r="BD57" i="36"/>
  <c r="BD17" i="36" s="1"/>
  <c r="BD56" i="36"/>
  <c r="BD16" i="36" s="1"/>
  <c r="BC56" i="36"/>
  <c r="BG53" i="59" l="1"/>
  <c r="BG54" i="59"/>
  <c r="BD63" i="36"/>
  <c r="BD69" i="36"/>
  <c r="BD71" i="36" s="1"/>
  <c r="AO13" i="15"/>
  <c r="BU20" i="21"/>
  <c r="AS13" i="15" l="1"/>
  <c r="AW13" i="15" l="1"/>
  <c r="BE13" i="15" l="1"/>
  <c r="S31" i="52"/>
  <c r="N31" i="52"/>
  <c r="M31" i="52"/>
  <c r="L31" i="52"/>
  <c r="H31" i="52"/>
  <c r="G31" i="52"/>
  <c r="F31" i="52"/>
  <c r="O30" i="52"/>
  <c r="K30" i="52"/>
  <c r="O29" i="52"/>
  <c r="K29" i="52"/>
  <c r="O28" i="52"/>
  <c r="K28" i="52"/>
  <c r="O27" i="52"/>
  <c r="K27" i="52"/>
  <c r="O26" i="52"/>
  <c r="K26" i="52"/>
  <c r="O25" i="52"/>
  <c r="K25" i="52"/>
  <c r="O24" i="52"/>
  <c r="K24" i="52"/>
  <c r="N15" i="52"/>
  <c r="N14" i="52"/>
  <c r="N13" i="52"/>
  <c r="N10" i="52"/>
  <c r="N8" i="52"/>
  <c r="N6" i="52"/>
  <c r="N5" i="52"/>
  <c r="M15" i="52"/>
  <c r="M14" i="52"/>
  <c r="M13" i="52"/>
  <c r="M10" i="52"/>
  <c r="M8" i="52"/>
  <c r="M6" i="52"/>
  <c r="M5" i="52"/>
  <c r="Q13" i="52" l="1"/>
  <c r="U13" i="52" s="1"/>
  <c r="AA13" i="52"/>
  <c r="AE13" i="52" s="1"/>
  <c r="AI13" i="52" s="1"/>
  <c r="AO13" i="52" s="1"/>
  <c r="R14" i="52"/>
  <c r="V14" i="52" s="1"/>
  <c r="AB14" i="52"/>
  <c r="AF14" i="52" s="1"/>
  <c r="AJ14" i="52" s="1"/>
  <c r="AP14" i="52" s="1"/>
  <c r="AT14" i="52" s="1"/>
  <c r="AX14" i="52" s="1"/>
  <c r="BF14" i="52" s="1"/>
  <c r="Q6" i="52"/>
  <c r="U6" i="52" s="1"/>
  <c r="AA6" i="52"/>
  <c r="AE6" i="52" s="1"/>
  <c r="AI6" i="52" s="1"/>
  <c r="AO6" i="52" s="1"/>
  <c r="AS6" i="52" s="1"/>
  <c r="AW6" i="52" s="1"/>
  <c r="BE6" i="52" s="1"/>
  <c r="Q14" i="52"/>
  <c r="U14" i="52" s="1"/>
  <c r="AA14" i="52"/>
  <c r="AE14" i="52" s="1"/>
  <c r="AI14" i="52" s="1"/>
  <c r="AO14" i="52" s="1"/>
  <c r="AS14" i="52" s="1"/>
  <c r="AW14" i="52" s="1"/>
  <c r="BE14" i="52" s="1"/>
  <c r="R8" i="52"/>
  <c r="V8" i="52" s="1"/>
  <c r="AB8" i="52"/>
  <c r="AF8" i="52" s="1"/>
  <c r="AJ8" i="52" s="1"/>
  <c r="AP8" i="52" s="1"/>
  <c r="AT8" i="52" s="1"/>
  <c r="AX8" i="52" s="1"/>
  <c r="BF8" i="52" s="1"/>
  <c r="R15" i="52"/>
  <c r="V15" i="52" s="1"/>
  <c r="AB15" i="52"/>
  <c r="AF15" i="52" s="1"/>
  <c r="AJ15" i="52" s="1"/>
  <c r="AP15" i="52" s="1"/>
  <c r="AT15" i="52" s="1"/>
  <c r="AX15" i="52" s="1"/>
  <c r="BF15" i="52" s="1"/>
  <c r="R13" i="52"/>
  <c r="V13" i="52" s="1"/>
  <c r="AB13" i="52"/>
  <c r="AF13" i="52" s="1"/>
  <c r="AJ13" i="52" s="1"/>
  <c r="AP13" i="52" s="1"/>
  <c r="AT13" i="52" s="1"/>
  <c r="AX13" i="52" s="1"/>
  <c r="BF13" i="52" s="1"/>
  <c r="R6" i="52"/>
  <c r="V6" i="52" s="1"/>
  <c r="AB6" i="52"/>
  <c r="AF6" i="52" s="1"/>
  <c r="AJ6" i="52" s="1"/>
  <c r="AP6" i="52" s="1"/>
  <c r="AT6" i="52" s="1"/>
  <c r="AX6" i="52" s="1"/>
  <c r="BF6" i="52" s="1"/>
  <c r="Q8" i="52"/>
  <c r="U8" i="52" s="1"/>
  <c r="AA8" i="52"/>
  <c r="AE8" i="52" s="1"/>
  <c r="AI8" i="52" s="1"/>
  <c r="AO8" i="52" s="1"/>
  <c r="AS8" i="52" s="1"/>
  <c r="AW8" i="52" s="1"/>
  <c r="BE8" i="52" s="1"/>
  <c r="Q15" i="52"/>
  <c r="U15" i="52" s="1"/>
  <c r="AA15" i="52"/>
  <c r="AE15" i="52" s="1"/>
  <c r="AI15" i="52" s="1"/>
  <c r="AO15" i="52" s="1"/>
  <c r="AS15" i="52" s="1"/>
  <c r="AW15" i="52" s="1"/>
  <c r="BE15" i="52" s="1"/>
  <c r="N16" i="52"/>
  <c r="M16" i="52"/>
  <c r="AA10" i="52"/>
  <c r="Q10" i="52"/>
  <c r="U10" i="52" s="1"/>
  <c r="AB10" i="52"/>
  <c r="AF10" i="52" s="1"/>
  <c r="R10" i="52"/>
  <c r="V10" i="52" s="1"/>
  <c r="AA5" i="52"/>
  <c r="AE5" i="52" s="1"/>
  <c r="Q5" i="52"/>
  <c r="U5" i="52" s="1"/>
  <c r="AB5" i="52"/>
  <c r="AF5" i="52" s="1"/>
  <c r="R5" i="52"/>
  <c r="V5" i="52" s="1"/>
  <c r="P27" i="52"/>
  <c r="T27" i="52" s="1"/>
  <c r="P25" i="52"/>
  <c r="T25" i="52" s="1"/>
  <c r="P29" i="52"/>
  <c r="T29" i="52" s="1"/>
  <c r="P24" i="52"/>
  <c r="T24" i="52" s="1"/>
  <c r="P26" i="52"/>
  <c r="T26" i="52" s="1"/>
  <c r="P28" i="52"/>
  <c r="T28" i="52" s="1"/>
  <c r="P30" i="52"/>
  <c r="T30" i="52" s="1"/>
  <c r="O31" i="52"/>
  <c r="K31" i="52"/>
  <c r="AS13" i="52" l="1"/>
  <c r="AW13" i="52" s="1"/>
  <c r="BE13" i="52" s="1"/>
  <c r="U16" i="52"/>
  <c r="AJ5" i="52"/>
  <c r="AF9" i="52"/>
  <c r="AA16" i="52"/>
  <c r="AE10" i="52"/>
  <c r="AI5" i="52"/>
  <c r="AE9" i="52"/>
  <c r="AJ10" i="52"/>
  <c r="AF16" i="52"/>
  <c r="V9" i="52"/>
  <c r="U9" i="52"/>
  <c r="V16" i="52"/>
  <c r="AB16" i="52"/>
  <c r="Q16" i="52"/>
  <c r="R16" i="52"/>
  <c r="AB9" i="52"/>
  <c r="R9" i="52"/>
  <c r="Q9" i="52"/>
  <c r="AA9" i="52"/>
  <c r="T31" i="52"/>
  <c r="P31" i="52"/>
  <c r="U17" i="52" l="1"/>
  <c r="AO5" i="52"/>
  <c r="AI9" i="52"/>
  <c r="AF17" i="52"/>
  <c r="AI10" i="52"/>
  <c r="AE16" i="52"/>
  <c r="AE17" i="52" s="1"/>
  <c r="V17" i="52"/>
  <c r="AP10" i="52"/>
  <c r="AJ16" i="52"/>
  <c r="AP5" i="52"/>
  <c r="AJ9" i="52"/>
  <c r="R17" i="52"/>
  <c r="AA17" i="52"/>
  <c r="Q17" i="52"/>
  <c r="AB17" i="52"/>
  <c r="AP9" i="52" l="1"/>
  <c r="AT5" i="52"/>
  <c r="AO9" i="52"/>
  <c r="AS5" i="52"/>
  <c r="AP16" i="52"/>
  <c r="AT10" i="52"/>
  <c r="AJ17" i="52"/>
  <c r="AO10" i="52"/>
  <c r="AI16" i="52"/>
  <c r="AI17" i="52" s="1"/>
  <c r="N98" i="8"/>
  <c r="N149" i="8" s="1"/>
  <c r="AT16" i="52" l="1"/>
  <c r="AX10" i="52"/>
  <c r="AS9" i="52"/>
  <c r="AW5" i="52"/>
  <c r="AT9" i="52"/>
  <c r="AX5" i="52"/>
  <c r="AP17" i="52"/>
  <c r="AO16" i="52"/>
  <c r="AO17" i="52" s="1"/>
  <c r="AS10" i="52"/>
  <c r="R98" i="8"/>
  <c r="AB98" i="8"/>
  <c r="AB149" i="8" s="1"/>
  <c r="AF98" i="8" l="1"/>
  <c r="V98" i="8"/>
  <c r="V149" i="8" s="1"/>
  <c r="R149" i="8"/>
  <c r="AS16" i="52"/>
  <c r="AS17" i="52" s="1"/>
  <c r="AW10" i="52"/>
  <c r="BF10" i="52"/>
  <c r="BF16" i="52" s="1"/>
  <c r="AX16" i="52"/>
  <c r="BF5" i="52"/>
  <c r="BF9" i="52" s="1"/>
  <c r="AX9" i="52"/>
  <c r="BE5" i="52"/>
  <c r="BE9" i="52" s="1"/>
  <c r="AW9" i="52"/>
  <c r="AT17" i="52"/>
  <c r="AJ98" i="8" l="1"/>
  <c r="AJ149" i="8" s="1"/>
  <c r="AF149" i="8"/>
  <c r="AF18" i="49"/>
  <c r="AJ18" i="49" s="1"/>
  <c r="AP18" i="49" s="1"/>
  <c r="AT18" i="49" s="1"/>
  <c r="AX18" i="49" s="1"/>
  <c r="BF18" i="49" s="1"/>
  <c r="AF17" i="49"/>
  <c r="AJ17" i="49" s="1"/>
  <c r="AP17" i="49" s="1"/>
  <c r="AT17" i="49" s="1"/>
  <c r="AX17" i="49" s="1"/>
  <c r="BF17" i="49" s="1"/>
  <c r="AX17" i="52"/>
  <c r="BF17" i="52"/>
  <c r="BE10" i="52"/>
  <c r="BE16" i="52" s="1"/>
  <c r="AW16" i="52"/>
  <c r="AW17" i="52" s="1"/>
  <c r="AP98" i="8"/>
  <c r="AT98" i="8" l="1"/>
  <c r="AP149" i="8"/>
  <c r="BE17" i="52"/>
  <c r="AX98" i="8" l="1"/>
  <c r="AT149" i="8"/>
  <c r="H79" i="59"/>
  <c r="H78" i="59"/>
  <c r="H77" i="59"/>
  <c r="H74" i="59"/>
  <c r="H8" i="59"/>
  <c r="H9" i="59"/>
  <c r="H10" i="59"/>
  <c r="AX149" i="8" l="1"/>
  <c r="BF98" i="8"/>
  <c r="BF149" i="8" s="1"/>
  <c r="Y110" i="26"/>
  <c r="X110" i="26"/>
  <c r="Y108" i="26"/>
  <c r="X108" i="26"/>
  <c r="Y106" i="26"/>
  <c r="X106" i="26"/>
  <c r="Y104" i="26"/>
  <c r="X104" i="26"/>
  <c r="Y102" i="26"/>
  <c r="X102" i="26"/>
  <c r="Y100" i="26"/>
  <c r="X100" i="26"/>
  <c r="Y98" i="26"/>
  <c r="X98" i="26"/>
  <c r="Y96" i="26"/>
  <c r="X96" i="26"/>
  <c r="Y83" i="26"/>
  <c r="Y78" i="26"/>
  <c r="X78" i="26"/>
  <c r="Y76" i="26"/>
  <c r="X71" i="26"/>
  <c r="X69" i="26"/>
  <c r="X67" i="26"/>
  <c r="X65" i="26"/>
  <c r="X63" i="26"/>
  <c r="X61" i="26"/>
  <c r="X59" i="26"/>
  <c r="Y57" i="26"/>
  <c r="X57" i="26"/>
  <c r="Y52" i="26"/>
  <c r="Y50" i="26"/>
  <c r="Y46" i="26"/>
  <c r="Y41" i="26"/>
  <c r="Y39" i="26"/>
  <c r="X39" i="26"/>
  <c r="Y37" i="26"/>
  <c r="Y35" i="26"/>
  <c r="Y33" i="26"/>
  <c r="Y31" i="26"/>
  <c r="Y29" i="26"/>
  <c r="Y27" i="26"/>
  <c r="Y25" i="26"/>
  <c r="Y23" i="26"/>
  <c r="Y17" i="26"/>
  <c r="Y80" i="26" l="1"/>
  <c r="K157" i="45" l="1"/>
  <c r="K152" i="45"/>
  <c r="S157" i="45" l="1"/>
  <c r="W157" i="45" s="1"/>
  <c r="AC157" i="45"/>
  <c r="AG157" i="45" s="1"/>
  <c r="AC152" i="45"/>
  <c r="AG152" i="45" s="1"/>
  <c r="S152" i="45"/>
  <c r="W152" i="45" s="1"/>
  <c r="AK152" i="45" l="1"/>
  <c r="AQ152" i="45" s="1"/>
  <c r="AU152" i="45" s="1"/>
  <c r="AK157" i="45"/>
  <c r="AQ157" i="45" s="1"/>
  <c r="AU157" i="45" s="1"/>
  <c r="AA4" i="61"/>
  <c r="AA16" i="61" s="1"/>
  <c r="AY157" i="45" l="1"/>
  <c r="AY152" i="45"/>
  <c r="AA135" i="45"/>
  <c r="Z135" i="45"/>
  <c r="AA133" i="45"/>
  <c r="Z133" i="45"/>
  <c r="AA8" i="45"/>
  <c r="AA162" i="45" s="1"/>
  <c r="AA168" i="45" s="1"/>
  <c r="AA7" i="45"/>
  <c r="Z7" i="45"/>
  <c r="AA2" i="45"/>
  <c r="AA142" i="45" s="1"/>
  <c r="Z2" i="45"/>
  <c r="Z142" i="45" s="1"/>
  <c r="Z86" i="11"/>
  <c r="Z91" i="11" s="1"/>
  <c r="Z82" i="11"/>
  <c r="Z81" i="11"/>
  <c r="Z7" i="11"/>
  <c r="Z5" i="11"/>
  <c r="Y5" i="11"/>
  <c r="Z2" i="11"/>
  <c r="Z77" i="11" s="1"/>
  <c r="Y2" i="11"/>
  <c r="Y77" i="11" s="1"/>
  <c r="Z185" i="10"/>
  <c r="Z190" i="10" s="1"/>
  <c r="Z180" i="10"/>
  <c r="Z181" i="10"/>
  <c r="Z5" i="10"/>
  <c r="Z161" i="10" s="1"/>
  <c r="Y5" i="10"/>
  <c r="Y161" i="10" s="1"/>
  <c r="Z2" i="10"/>
  <c r="Z176" i="10" s="1"/>
  <c r="Y2" i="10"/>
  <c r="Y176" i="10" s="1"/>
  <c r="D100" i="9"/>
  <c r="D95" i="9"/>
  <c r="D92" i="9"/>
  <c r="D93" i="9" s="1"/>
  <c r="D90" i="9"/>
  <c r="D89" i="9"/>
  <c r="D74" i="9"/>
  <c r="D79" i="9" s="1"/>
  <c r="G79" i="9" s="1"/>
  <c r="D70" i="9"/>
  <c r="D69" i="9"/>
  <c r="D68" i="9"/>
  <c r="D67" i="9"/>
  <c r="D66" i="9"/>
  <c r="D65" i="9"/>
  <c r="D64" i="9"/>
  <c r="D63" i="9"/>
  <c r="D57" i="9"/>
  <c r="D62" i="9" s="1"/>
  <c r="D47" i="9"/>
  <c r="D27" i="9"/>
  <c r="D7" i="9"/>
  <c r="D88" i="9" s="1"/>
  <c r="Z18" i="9"/>
  <c r="AB18" i="9" s="1"/>
  <c r="AF18" i="9" s="1"/>
  <c r="J18" i="9"/>
  <c r="Z15" i="9"/>
  <c r="Y15" i="9"/>
  <c r="Z8" i="9"/>
  <c r="AB8" i="9" s="1"/>
  <c r="AF8" i="9" s="1"/>
  <c r="AJ8" i="9" s="1"/>
  <c r="Z7" i="9"/>
  <c r="AB7" i="9" s="1"/>
  <c r="AF7" i="9" s="1"/>
  <c r="AJ7" i="9" s="1"/>
  <c r="D92" i="8"/>
  <c r="BG152" i="45" l="1"/>
  <c r="BG157" i="45"/>
  <c r="AU79" i="9"/>
  <c r="AY79" i="9"/>
  <c r="AG79" i="9"/>
  <c r="AK79" i="9"/>
  <c r="AC79" i="9"/>
  <c r="W79" i="9"/>
  <c r="S79" i="9"/>
  <c r="O79" i="9"/>
  <c r="K79" i="9"/>
  <c r="AA121" i="45"/>
  <c r="AQ79" i="9"/>
  <c r="AJ18" i="9"/>
  <c r="AP18" i="9" s="1"/>
  <c r="AT18" i="9" s="1"/>
  <c r="AA126" i="50"/>
  <c r="Z56" i="11"/>
  <c r="Z74" i="11" s="1"/>
  <c r="Z55" i="11"/>
  <c r="AB15" i="9"/>
  <c r="AF15" i="9" s="1"/>
  <c r="AJ15" i="9" s="1"/>
  <c r="AA137" i="45"/>
  <c r="AA154" i="45"/>
  <c r="AA149" i="45"/>
  <c r="Z72" i="11"/>
  <c r="E79" i="9"/>
  <c r="Y51" i="9"/>
  <c r="AA15" i="9"/>
  <c r="AE15" i="9" s="1"/>
  <c r="AI15" i="9" s="1"/>
  <c r="AI89" i="9" s="1"/>
  <c r="Z171" i="10"/>
  <c r="Z21" i="36"/>
  <c r="AA120" i="45"/>
  <c r="AA158" i="45" s="1"/>
  <c r="AA160" i="45" s="1"/>
  <c r="Z137" i="45"/>
  <c r="Z123" i="45"/>
  <c r="Y72" i="11"/>
  <c r="Y58" i="11"/>
  <c r="Z59" i="11"/>
  <c r="Z89" i="11"/>
  <c r="D25" i="9"/>
  <c r="D91" i="9"/>
  <c r="Z83" i="11"/>
  <c r="Z84" i="11" s="1"/>
  <c r="Z188" i="10"/>
  <c r="Y171" i="10"/>
  <c r="AA136" i="45"/>
  <c r="Z136" i="45"/>
  <c r="Z134" i="45"/>
  <c r="AB72" i="59" s="1"/>
  <c r="AA134" i="45"/>
  <c r="AC72" i="59" s="1"/>
  <c r="Z93" i="11"/>
  <c r="Y168" i="10"/>
  <c r="AB64" i="59" s="1"/>
  <c r="Z166" i="10"/>
  <c r="Z182" i="10"/>
  <c r="Z189" i="10" s="1"/>
  <c r="Z170" i="10"/>
  <c r="Y170" i="10"/>
  <c r="Z168" i="10"/>
  <c r="AC64" i="59" s="1"/>
  <c r="D19" i="9"/>
  <c r="D49" i="8"/>
  <c r="D50" i="8" s="1"/>
  <c r="D51" i="8" s="1"/>
  <c r="D25" i="8"/>
  <c r="D24" i="8"/>
  <c r="D23" i="8"/>
  <c r="D31" i="8"/>
  <c r="D29" i="8"/>
  <c r="D28" i="8"/>
  <c r="D69" i="8" s="1"/>
  <c r="D27" i="8"/>
  <c r="D16" i="8"/>
  <c r="Z6" i="7"/>
  <c r="D75" i="7"/>
  <c r="D73" i="7"/>
  <c r="D67" i="7"/>
  <c r="D51" i="7"/>
  <c r="D1" i="7"/>
  <c r="D26" i="7" l="1"/>
  <c r="D31" i="7"/>
  <c r="D35" i="7"/>
  <c r="D98" i="7" s="1"/>
  <c r="D27" i="7"/>
  <c r="D91" i="7" s="1"/>
  <c r="D32" i="7"/>
  <c r="D95" i="7" s="1"/>
  <c r="D36" i="7"/>
  <c r="D99" i="7" s="1"/>
  <c r="D24" i="7"/>
  <c r="D28" i="7"/>
  <c r="D92" i="7" s="1"/>
  <c r="D33" i="7"/>
  <c r="D96" i="7" s="1"/>
  <c r="D37" i="7"/>
  <c r="D100" i="7" s="1"/>
  <c r="D25" i="7"/>
  <c r="D29" i="7"/>
  <c r="D93" i="7" s="1"/>
  <c r="D34" i="7"/>
  <c r="D97" i="7" s="1"/>
  <c r="AJ89" i="9"/>
  <c r="AJ56" i="36"/>
  <c r="D61" i="7"/>
  <c r="D102" i="7" s="1"/>
  <c r="AX18" i="9"/>
  <c r="BF18" i="9" s="1"/>
  <c r="D57" i="7"/>
  <c r="D62" i="7"/>
  <c r="D58" i="7"/>
  <c r="D54" i="7"/>
  <c r="D55" i="7"/>
  <c r="D59" i="7"/>
  <c r="D56" i="7"/>
  <c r="D101" i="7" s="1"/>
  <c r="D60" i="7"/>
  <c r="Z97" i="11"/>
  <c r="AA122" i="50"/>
  <c r="AP7" i="9"/>
  <c r="AF56" i="36"/>
  <c r="AF16" i="36" s="1"/>
  <c r="AF89" i="9"/>
  <c r="AP8" i="9"/>
  <c r="AE89" i="9"/>
  <c r="Z58" i="11"/>
  <c r="Z22" i="36" s="1"/>
  <c r="D59" i="8"/>
  <c r="D63" i="8" s="1"/>
  <c r="D35" i="8" s="1"/>
  <c r="D109" i="8"/>
  <c r="D111" i="8" s="1"/>
  <c r="Z21" i="7"/>
  <c r="AB6" i="7"/>
  <c r="D68" i="7"/>
  <c r="AA51" i="9"/>
  <c r="AE51" i="9" s="1"/>
  <c r="AI51" i="9" s="1"/>
  <c r="Z60" i="11"/>
  <c r="AA123" i="45"/>
  <c r="Z23" i="36" s="1"/>
  <c r="AA124" i="45"/>
  <c r="AA125" i="45" s="1"/>
  <c r="D23" i="7"/>
  <c r="D87" i="7" s="1"/>
  <c r="D65" i="8"/>
  <c r="D34" i="8" s="1"/>
  <c r="Z90" i="11"/>
  <c r="D83" i="7"/>
  <c r="D81" i="7"/>
  <c r="D76" i="7"/>
  <c r="D78" i="7"/>
  <c r="D26" i="8"/>
  <c r="D80" i="7"/>
  <c r="D36" i="8"/>
  <c r="Z183" i="10"/>
  <c r="Z85" i="11"/>
  <c r="D42" i="8"/>
  <c r="D89" i="7" l="1"/>
  <c r="D90" i="7"/>
  <c r="AF6" i="7"/>
  <c r="D88" i="7"/>
  <c r="D103" i="7" s="1"/>
  <c r="AP33" i="59"/>
  <c r="X34" i="59"/>
  <c r="X33" i="59"/>
  <c r="D110" i="8"/>
  <c r="D112" i="8" s="1"/>
  <c r="BF34" i="59"/>
  <c r="BD34" i="59"/>
  <c r="BF31" i="59"/>
  <c r="BF33" i="59"/>
  <c r="BD33" i="59"/>
  <c r="AP34" i="59"/>
  <c r="AO15" i="9"/>
  <c r="AF21" i="7"/>
  <c r="AT8" i="9"/>
  <c r="AX8" i="9" s="1"/>
  <c r="AP15" i="9"/>
  <c r="AT7" i="9"/>
  <c r="AX7" i="9" s="1"/>
  <c r="D38" i="7"/>
  <c r="D53" i="7" s="1"/>
  <c r="D77" i="7" s="1"/>
  <c r="T34" i="59"/>
  <c r="T33" i="59"/>
  <c r="P33" i="59"/>
  <c r="AJ6" i="7" l="1"/>
  <c r="AP30" i="59"/>
  <c r="BD31" i="59"/>
  <c r="P31" i="59"/>
  <c r="P34" i="59"/>
  <c r="BD30" i="59"/>
  <c r="P30" i="59"/>
  <c r="U38" i="7"/>
  <c r="AP31" i="59"/>
  <c r="X29" i="59"/>
  <c r="BF30" i="59"/>
  <c r="BA38" i="7"/>
  <c r="BA53" i="7" s="1"/>
  <c r="BC38" i="7"/>
  <c r="BC53" i="7" s="1"/>
  <c r="BF7" i="9"/>
  <c r="BF8" i="9"/>
  <c r="AT15" i="9"/>
  <c r="AX15" i="9" s="1"/>
  <c r="AX89" i="9" s="1"/>
  <c r="AP56" i="36"/>
  <c r="AP16" i="36" s="1"/>
  <c r="AP89" i="9"/>
  <c r="AM38" i="7"/>
  <c r="AM53" i="7" s="1"/>
  <c r="AP6" i="7"/>
  <c r="AO51" i="9"/>
  <c r="AS15" i="9"/>
  <c r="AW15" i="9" s="1"/>
  <c r="AW89" i="9" s="1"/>
  <c r="AO89" i="9"/>
  <c r="M38" i="7"/>
  <c r="M53" i="7" s="1"/>
  <c r="Q38" i="7"/>
  <c r="D63" i="7"/>
  <c r="AJ21" i="7" l="1"/>
  <c r="Q53" i="7"/>
  <c r="U53" i="7"/>
  <c r="BC63" i="7"/>
  <c r="BC77" i="7"/>
  <c r="BF29" i="59"/>
  <c r="BC103" i="7"/>
  <c r="BA77" i="7"/>
  <c r="BA63" i="7"/>
  <c r="BD29" i="59"/>
  <c r="BA103" i="7"/>
  <c r="AS89" i="9"/>
  <c r="BF15" i="9"/>
  <c r="AX56" i="36"/>
  <c r="AX16" i="36" s="1"/>
  <c r="BA53" i="59" s="1"/>
  <c r="AS53" i="59"/>
  <c r="AS51" i="9"/>
  <c r="AW51" i="9" s="1"/>
  <c r="AM77" i="7"/>
  <c r="AM63" i="7"/>
  <c r="AT56" i="36"/>
  <c r="AT16" i="36" s="1"/>
  <c r="AT89" i="9"/>
  <c r="AT6" i="7"/>
  <c r="AP21" i="7"/>
  <c r="AM103" i="7"/>
  <c r="AP29" i="59"/>
  <c r="M103" i="7"/>
  <c r="P29" i="59"/>
  <c r="M77" i="7"/>
  <c r="M63" i="7"/>
  <c r="Z122" i="6"/>
  <c r="AB122" i="6" s="1"/>
  <c r="AF122" i="6" s="1"/>
  <c r="AJ122" i="6" s="1"/>
  <c r="AP122" i="6" s="1"/>
  <c r="AT122" i="6" s="1"/>
  <c r="Z105" i="6"/>
  <c r="Y92" i="6"/>
  <c r="AA92" i="6" s="1"/>
  <c r="AE92" i="6" s="1"/>
  <c r="AI92" i="6" s="1"/>
  <c r="AO92" i="6" s="1"/>
  <c r="AS92" i="6" s="1"/>
  <c r="Z92" i="6"/>
  <c r="AB92" i="6" s="1"/>
  <c r="AF92" i="6" s="1"/>
  <c r="AJ92" i="6" s="1"/>
  <c r="AP92" i="6" s="1"/>
  <c r="AT92" i="6" s="1"/>
  <c r="Y93" i="6"/>
  <c r="AA93" i="6" s="1"/>
  <c r="AE93" i="6" s="1"/>
  <c r="AI93" i="6" s="1"/>
  <c r="AO93" i="6" s="1"/>
  <c r="AS93" i="6" s="1"/>
  <c r="Z93" i="6"/>
  <c r="AB93" i="6" s="1"/>
  <c r="AF93" i="6" s="1"/>
  <c r="AJ93" i="6" s="1"/>
  <c r="AP93" i="6" s="1"/>
  <c r="AT93" i="6" s="1"/>
  <c r="Y97" i="6"/>
  <c r="AA97" i="6" s="1"/>
  <c r="AE97" i="6" s="1"/>
  <c r="AI97" i="6" s="1"/>
  <c r="AO97" i="6" s="1"/>
  <c r="AS97" i="6" s="1"/>
  <c r="Z91" i="6"/>
  <c r="AB91" i="6" s="1"/>
  <c r="AF91" i="6" s="1"/>
  <c r="Z109" i="6"/>
  <c r="AB109" i="6" s="1"/>
  <c r="AF109" i="6" s="1"/>
  <c r="AJ109" i="6" s="1"/>
  <c r="AP109" i="6" s="1"/>
  <c r="AT109" i="6" s="1"/>
  <c r="Z110" i="6"/>
  <c r="AB110" i="6" s="1"/>
  <c r="AF110" i="6" s="1"/>
  <c r="AJ110" i="6" s="1"/>
  <c r="AP110" i="6" s="1"/>
  <c r="AT110" i="6" s="1"/>
  <c r="Z113" i="6"/>
  <c r="Y113" i="6"/>
  <c r="AA113" i="6" s="1"/>
  <c r="AE113" i="6" s="1"/>
  <c r="AI113" i="6" s="1"/>
  <c r="AO113" i="6" s="1"/>
  <c r="AS113" i="6" s="1"/>
  <c r="AX6" i="7" l="1"/>
  <c r="BF89" i="9"/>
  <c r="AX21" i="7"/>
  <c r="AW92" i="6"/>
  <c r="AW97" i="6"/>
  <c r="AX109" i="6"/>
  <c r="AX93" i="6"/>
  <c r="AW93" i="6"/>
  <c r="AW113" i="6"/>
  <c r="AX110" i="6"/>
  <c r="AX92" i="6"/>
  <c r="AX122" i="6"/>
  <c r="BF6" i="7"/>
  <c r="BE15" i="9"/>
  <c r="AJ91" i="6"/>
  <c r="AW53" i="59"/>
  <c r="AT21" i="7"/>
  <c r="AB105" i="6"/>
  <c r="AF105" i="6" s="1"/>
  <c r="AJ105" i="6" s="1"/>
  <c r="AP105" i="6" s="1"/>
  <c r="AT105" i="6" s="1"/>
  <c r="AB113" i="6"/>
  <c r="AF113" i="6" s="1"/>
  <c r="AJ113" i="6" s="1"/>
  <c r="AP113" i="6" s="1"/>
  <c r="AT113" i="6" s="1"/>
  <c r="Z64" i="36"/>
  <c r="Z61" i="36"/>
  <c r="Z63" i="36" s="1"/>
  <c r="Z57" i="36"/>
  <c r="Z17" i="36" s="1"/>
  <c r="AC54" i="59" s="1"/>
  <c r="Z58" i="36"/>
  <c r="Z56" i="36"/>
  <c r="Z16" i="36" s="1"/>
  <c r="Y59" i="36"/>
  <c r="BE113" i="6" l="1"/>
  <c r="BF110" i="6"/>
  <c r="BE93" i="6"/>
  <c r="BE97" i="6"/>
  <c r="BF122" i="6"/>
  <c r="BF93" i="6"/>
  <c r="BE92" i="6"/>
  <c r="BF92" i="6"/>
  <c r="BF109" i="6"/>
  <c r="BE89" i="9"/>
  <c r="AX105" i="6"/>
  <c r="AX113" i="6"/>
  <c r="BF21" i="7"/>
  <c r="BE51" i="9"/>
  <c r="AP91" i="6"/>
  <c r="Z18" i="36"/>
  <c r="AC55" i="59" s="1"/>
  <c r="AC53" i="59"/>
  <c r="Y56" i="36"/>
  <c r="BF113" i="6" l="1"/>
  <c r="BF105" i="6"/>
  <c r="AT91" i="6"/>
  <c r="AX91" i="6" s="1"/>
  <c r="D12" i="21"/>
  <c r="D15" i="21" s="1"/>
  <c r="Y6" i="21"/>
  <c r="BF91" i="6" l="1"/>
  <c r="D22" i="21"/>
  <c r="D28" i="21"/>
  <c r="J131" i="6" l="1"/>
  <c r="I131" i="6"/>
  <c r="J126" i="6"/>
  <c r="I125" i="6"/>
  <c r="J133" i="6"/>
  <c r="J122" i="6"/>
  <c r="J119" i="6"/>
  <c r="I119" i="6"/>
  <c r="J116" i="6"/>
  <c r="I116" i="6"/>
  <c r="J113" i="6"/>
  <c r="I113" i="6"/>
  <c r="J110" i="6"/>
  <c r="I110" i="6"/>
  <c r="J109" i="6"/>
  <c r="I109" i="6"/>
  <c r="J108" i="6"/>
  <c r="I108" i="6"/>
  <c r="J105" i="6"/>
  <c r="J99" i="6"/>
  <c r="I99" i="6"/>
  <c r="I92" i="6"/>
  <c r="J92" i="6"/>
  <c r="I93" i="6"/>
  <c r="J93" i="6"/>
  <c r="I97" i="6"/>
  <c r="J97" i="6"/>
  <c r="J91" i="6"/>
  <c r="I91" i="6"/>
  <c r="J103" i="6" l="1"/>
  <c r="J115" i="6"/>
  <c r="J139" i="6"/>
  <c r="J136" i="6"/>
  <c r="J137" i="6" s="1"/>
  <c r="I103" i="6"/>
  <c r="I115" i="6"/>
  <c r="I120" i="6"/>
  <c r="J120" i="6"/>
  <c r="I136" i="6"/>
  <c r="J125" i="6"/>
  <c r="J130" i="6"/>
  <c r="I133" i="6"/>
  <c r="I126" i="6"/>
  <c r="J121" i="6" l="1"/>
  <c r="J123" i="6" s="1"/>
  <c r="J175" i="6" s="1"/>
  <c r="I121" i="6"/>
  <c r="I123" i="6" s="1"/>
  <c r="I175" i="6" s="1"/>
  <c r="J132" i="6"/>
  <c r="I137" i="6"/>
  <c r="I132" i="6"/>
  <c r="I138" i="6" l="1"/>
  <c r="J138" i="6"/>
  <c r="J140" i="6" l="1"/>
  <c r="J217" i="6" s="1"/>
  <c r="J208" i="6" l="1"/>
  <c r="J204" i="6"/>
  <c r="J207" i="6"/>
  <c r="J203" i="6"/>
  <c r="J206" i="6"/>
  <c r="J209" i="6"/>
  <c r="J205" i="6"/>
  <c r="J213" i="6"/>
  <c r="J214" i="6"/>
  <c r="J211" i="6"/>
  <c r="J212" i="6"/>
  <c r="J215" i="6" l="1"/>
  <c r="J210" i="6"/>
  <c r="J218" i="6"/>
  <c r="M11" i="59" l="1"/>
  <c r="J216" i="6"/>
  <c r="J219" i="6" s="1"/>
  <c r="AB93" i="11" l="1"/>
  <c r="AB85" i="11"/>
  <c r="K4" i="61" l="1"/>
  <c r="K16" i="61" s="1"/>
  <c r="N184" i="10" l="1"/>
  <c r="N192" i="10"/>
  <c r="G16" i="61"/>
  <c r="X76" i="26" l="1"/>
  <c r="X80" i="26" s="1"/>
  <c r="X46" i="26"/>
  <c r="Z59" i="36" l="1"/>
  <c r="Z60" i="36" s="1"/>
  <c r="Y58" i="9" l="1"/>
  <c r="Y61" i="9"/>
  <c r="Y55" i="9"/>
  <c r="Y59" i="9"/>
  <c r="Y56" i="9"/>
  <c r="Y68" i="9"/>
  <c r="Y64" i="9"/>
  <c r="Y67" i="9"/>
  <c r="Y63" i="9"/>
  <c r="Y65" i="9"/>
  <c r="Y70" i="9"/>
  <c r="Y66" i="9"/>
  <c r="Y69" i="9"/>
  <c r="Y57" i="9" l="1"/>
  <c r="Y60" i="9"/>
  <c r="Y7" i="22"/>
  <c r="Y15" i="22" s="1"/>
  <c r="Y22" i="22"/>
  <c r="AA61" i="9" l="1"/>
  <c r="AE61" i="9" s="1"/>
  <c r="AI61" i="9" s="1"/>
  <c r="AI78" i="9" s="1"/>
  <c r="Y62" i="9"/>
  <c r="AE78" i="9" l="1"/>
  <c r="AA60" i="9"/>
  <c r="AE60" i="9" s="1"/>
  <c r="AI60" i="9" s="1"/>
  <c r="AI77" i="9" s="1"/>
  <c r="Y8" i="22"/>
  <c r="Y9" i="22" s="1"/>
  <c r="Y23" i="22"/>
  <c r="Y24" i="22" s="1"/>
  <c r="Y25" i="22"/>
  <c r="Y10" i="22"/>
  <c r="AO61" i="9" l="1"/>
  <c r="AE77" i="9"/>
  <c r="AA62" i="9"/>
  <c r="AE62" i="9" s="1"/>
  <c r="AI62" i="9" s="1"/>
  <c r="AI79" i="9" s="1"/>
  <c r="Y11" i="22"/>
  <c r="Y26" i="22"/>
  <c r="Y30" i="8"/>
  <c r="Y31" i="8"/>
  <c r="Y28" i="8"/>
  <c r="Y29" i="8"/>
  <c r="AO78" i="9" l="1"/>
  <c r="AS61" i="9"/>
  <c r="AW61" i="9" s="1"/>
  <c r="AW78" i="9" s="1"/>
  <c r="AO60" i="9"/>
  <c r="AE79" i="9"/>
  <c r="Y25" i="8"/>
  <c r="Y24" i="8"/>
  <c r="Y27" i="8"/>
  <c r="Y109" i="8" s="1"/>
  <c r="Y110" i="8" s="1"/>
  <c r="Y28" i="22"/>
  <c r="Y27" i="22"/>
  <c r="Y30" i="22"/>
  <c r="Y13" i="22"/>
  <c r="Y12" i="22"/>
  <c r="Y36" i="8"/>
  <c r="Y35" i="8"/>
  <c r="AS78" i="9" l="1"/>
  <c r="AO77" i="9"/>
  <c r="AS60" i="9"/>
  <c r="AW60" i="9" s="1"/>
  <c r="AW77" i="9" s="1"/>
  <c r="AO62" i="9"/>
  <c r="Y111" i="8"/>
  <c r="Y112" i="8" s="1"/>
  <c r="Y29" i="22"/>
  <c r="Y14" i="22"/>
  <c r="Y37" i="8"/>
  <c r="Y67" i="8"/>
  <c r="Y34" i="8"/>
  <c r="BE61" i="9" l="1"/>
  <c r="AS77" i="9"/>
  <c r="AO79" i="9"/>
  <c r="AS62" i="9"/>
  <c r="AW62" i="9" s="1"/>
  <c r="AW79" i="9" s="1"/>
  <c r="BE78" i="9" l="1"/>
  <c r="BE60" i="9"/>
  <c r="AS79" i="9"/>
  <c r="BE77" i="9" l="1"/>
  <c r="BE62" i="9"/>
  <c r="BE79" i="9" l="1"/>
  <c r="Z92" i="11"/>
  <c r="AC67" i="59" l="1"/>
  <c r="Z79" i="11"/>
  <c r="AC69" i="59" s="1"/>
  <c r="Z94" i="11"/>
  <c r="AA143" i="45"/>
  <c r="Z143" i="45"/>
  <c r="AA141" i="45"/>
  <c r="Z141" i="45"/>
  <c r="AA140" i="45"/>
  <c r="Z78" i="11"/>
  <c r="Y78" i="11"/>
  <c r="Z76" i="11"/>
  <c r="Y76" i="11"/>
  <c r="Z75" i="11"/>
  <c r="J7" i="11"/>
  <c r="AB7" i="11" l="1"/>
  <c r="AF7" i="11" s="1"/>
  <c r="J59" i="11"/>
  <c r="J56" i="11"/>
  <c r="J55" i="11"/>
  <c r="AJ7" i="11" l="1"/>
  <c r="AF56" i="11"/>
  <c r="AF59" i="11"/>
  <c r="AF55" i="11"/>
  <c r="AF92" i="11" s="1"/>
  <c r="J196" i="10"/>
  <c r="J60" i="11"/>
  <c r="AB56" i="11"/>
  <c r="AB59" i="11"/>
  <c r="AB55" i="11"/>
  <c r="Z144" i="45"/>
  <c r="AA144" i="45"/>
  <c r="AJ56" i="11" l="1"/>
  <c r="AJ59" i="11"/>
  <c r="AJ55" i="11"/>
  <c r="AJ92" i="11" s="1"/>
  <c r="AP7" i="11"/>
  <c r="AF60" i="11"/>
  <c r="AF97" i="11"/>
  <c r="AF94" i="11"/>
  <c r="AB97" i="11"/>
  <c r="AB60" i="11"/>
  <c r="AC73" i="59"/>
  <c r="AB71" i="59"/>
  <c r="AJ60" i="11" l="1"/>
  <c r="AT7" i="11"/>
  <c r="AP59" i="11"/>
  <c r="AP55" i="11"/>
  <c r="AP92" i="11" s="1"/>
  <c r="AP94" i="11" s="1"/>
  <c r="AP56" i="11"/>
  <c r="AJ94" i="11"/>
  <c r="AJ97" i="11"/>
  <c r="R196" i="10"/>
  <c r="AC71" i="59"/>
  <c r="AX7" i="11" l="1"/>
  <c r="AP97" i="11"/>
  <c r="AX56" i="11"/>
  <c r="AX55" i="11"/>
  <c r="AX59" i="11"/>
  <c r="AP60" i="11"/>
  <c r="AT59" i="11"/>
  <c r="AT56" i="11"/>
  <c r="AT55" i="11"/>
  <c r="H60" i="17"/>
  <c r="H59" i="17"/>
  <c r="L59" i="17" s="1"/>
  <c r="P59" i="17" s="1"/>
  <c r="T59" i="17" s="1"/>
  <c r="H32" i="27"/>
  <c r="AX92" i="11" l="1"/>
  <c r="AT92" i="11"/>
  <c r="AT97" i="11"/>
  <c r="AX60" i="11"/>
  <c r="AT60" i="11"/>
  <c r="BF7" i="11"/>
  <c r="AX97" i="11"/>
  <c r="L60" i="17"/>
  <c r="P60" i="17" s="1"/>
  <c r="P32" i="27"/>
  <c r="T32" i="27" s="1"/>
  <c r="Z59" i="17"/>
  <c r="AD59" i="17" s="1"/>
  <c r="AH59" i="17" s="1"/>
  <c r="AX94" i="11" l="1"/>
  <c r="AT94" i="11"/>
  <c r="BF55" i="11"/>
  <c r="BF59" i="11"/>
  <c r="BF56" i="11"/>
  <c r="T60" i="17"/>
  <c r="X60" i="17" s="1"/>
  <c r="AN59" i="17"/>
  <c r="Z32" i="27"/>
  <c r="AD32" i="27" s="1"/>
  <c r="BF97" i="11" l="1"/>
  <c r="AR59" i="17"/>
  <c r="BF92" i="11"/>
  <c r="AH32" i="27"/>
  <c r="AN32" i="27" s="1"/>
  <c r="AR32" i="27" s="1"/>
  <c r="BF60" i="11"/>
  <c r="X17" i="26"/>
  <c r="X15" i="26"/>
  <c r="X11" i="26"/>
  <c r="X9" i="26"/>
  <c r="AV59" i="17" l="1"/>
  <c r="BD59" i="17" s="1"/>
  <c r="BF94" i="11"/>
  <c r="AV32" i="27"/>
  <c r="BD32" i="27" s="1"/>
  <c r="X12" i="26"/>
  <c r="X19" i="26" s="1"/>
  <c r="R37" i="36" l="1"/>
  <c r="Q37" i="36"/>
  <c r="J7" i="45"/>
  <c r="Y64" i="36"/>
  <c r="Y61" i="36"/>
  <c r="Y63" i="36" s="1"/>
  <c r="J137" i="45" l="1"/>
  <c r="Y37" i="36"/>
  <c r="Y57" i="36"/>
  <c r="Y33" i="36"/>
  <c r="Z33" i="36"/>
  <c r="Z40" i="36" s="1"/>
  <c r="R7" i="45"/>
  <c r="V7" i="45" s="1"/>
  <c r="AB7" i="45"/>
  <c r="AF7" i="45" s="1"/>
  <c r="AJ7" i="45" s="1"/>
  <c r="Y58" i="36"/>
  <c r="AJ123" i="45" l="1"/>
  <c r="V123" i="45"/>
  <c r="AP7" i="45"/>
  <c r="AF123" i="45"/>
  <c r="AB79" i="59"/>
  <c r="Z29" i="36"/>
  <c r="Y7" i="15" s="1"/>
  <c r="Z28" i="36"/>
  <c r="Y6" i="15" s="1"/>
  <c r="Z27" i="36"/>
  <c r="Y5" i="15" s="1"/>
  <c r="AB123" i="45"/>
  <c r="AB77" i="59"/>
  <c r="AB78" i="59"/>
  <c r="Y60" i="36"/>
  <c r="AP123" i="45" l="1"/>
  <c r="AR71" i="59" s="1"/>
  <c r="AT7" i="45"/>
  <c r="AX7" i="45" s="1"/>
  <c r="AX123" i="45" s="1"/>
  <c r="AT123" i="45" l="1"/>
  <c r="AV71" i="59" s="1"/>
  <c r="BF7" i="45" l="1"/>
  <c r="AZ71" i="59"/>
  <c r="N191" i="10"/>
  <c r="BF123" i="45" l="1"/>
  <c r="N193" i="10"/>
  <c r="AC4" i="61"/>
  <c r="N178" i="10"/>
  <c r="Q65" i="59" s="1"/>
  <c r="S4" i="61"/>
  <c r="BH71" i="59" l="1"/>
  <c r="W4" i="61"/>
  <c r="W16" i="61" s="1"/>
  <c r="S16" i="61"/>
  <c r="AG4" i="61"/>
  <c r="AG16" i="61" s="1"/>
  <c r="AC16" i="61"/>
  <c r="AK4" i="61" l="1"/>
  <c r="AK16" i="61" s="1"/>
  <c r="X18" i="26"/>
  <c r="AQ4" i="61" l="1"/>
  <c r="AQ16" i="61" s="1"/>
  <c r="R7" i="11"/>
  <c r="V7" i="11" s="1"/>
  <c r="I20" i="8"/>
  <c r="J20" i="8"/>
  <c r="AU4" i="61" l="1"/>
  <c r="AY4" i="61" s="1"/>
  <c r="AY16" i="61" s="1"/>
  <c r="V56" i="11"/>
  <c r="V59" i="11"/>
  <c r="V55" i="11"/>
  <c r="V92" i="11" s="1"/>
  <c r="R56" i="11"/>
  <c r="R59" i="11"/>
  <c r="R55" i="11"/>
  <c r="V60" i="11" l="1"/>
  <c r="AU16" i="61"/>
  <c r="V94" i="11"/>
  <c r="V97" i="11"/>
  <c r="BG4" i="61"/>
  <c r="BG16" i="61" s="1"/>
  <c r="R60" i="11"/>
  <c r="S122" i="45"/>
  <c r="AC150" i="45"/>
  <c r="AC159" i="45" l="1"/>
  <c r="H15" i="26" l="1"/>
  <c r="L15" i="26" s="1"/>
  <c r="P15" i="26" s="1"/>
  <c r="T15" i="26" s="1"/>
  <c r="H17" i="26"/>
  <c r="L17" i="26" s="1"/>
  <c r="P17" i="26" s="1"/>
  <c r="T17" i="26" s="1"/>
  <c r="Z15" i="26" l="1"/>
  <c r="AD15" i="26" s="1"/>
  <c r="AH15" i="26" l="1"/>
  <c r="AN15" i="26" s="1"/>
  <c r="AR15" i="26" s="1"/>
  <c r="Z17" i="26"/>
  <c r="AD17" i="26" s="1"/>
  <c r="AV15" i="26" l="1"/>
  <c r="BD15" i="26" s="1"/>
  <c r="AH17" i="26"/>
  <c r="F9" i="52"/>
  <c r="G9" i="52"/>
  <c r="H9" i="52"/>
  <c r="K9" i="52"/>
  <c r="L9" i="52"/>
  <c r="AN17" i="26" l="1"/>
  <c r="AR17" i="26" s="1"/>
  <c r="G17" i="52"/>
  <c r="F17" i="52"/>
  <c r="H17" i="52"/>
  <c r="L17" i="52"/>
  <c r="K17" i="52"/>
  <c r="M9" i="52"/>
  <c r="N9" i="52"/>
  <c r="AV17" i="26" l="1"/>
  <c r="BD17" i="26" s="1"/>
  <c r="N17" i="52"/>
  <c r="M17" i="52" l="1"/>
  <c r="H11" i="26" l="1"/>
  <c r="L11" i="26" s="1"/>
  <c r="P11" i="26" s="1"/>
  <c r="T11" i="26" s="1"/>
  <c r="H9" i="26"/>
  <c r="L9" i="26" s="1"/>
  <c r="P9" i="26" s="1"/>
  <c r="T9" i="26" s="1"/>
  <c r="N82" i="7"/>
  <c r="T12" i="26" l="1"/>
  <c r="T19" i="26" s="1"/>
  <c r="P12" i="26"/>
  <c r="P19" i="26" s="1"/>
  <c r="N83" i="7"/>
  <c r="R82" i="7"/>
  <c r="V82" i="7" s="1"/>
  <c r="V83" i="7" s="1"/>
  <c r="Y35" i="59" s="1"/>
  <c r="L12" i="26"/>
  <c r="L18" i="26" s="1"/>
  <c r="Z11" i="26"/>
  <c r="AD11" i="26" s="1"/>
  <c r="I17" i="26"/>
  <c r="M17" i="26" s="1"/>
  <c r="Q17" i="26" s="1"/>
  <c r="U17" i="26" s="1"/>
  <c r="I15" i="26"/>
  <c r="M15" i="26" s="1"/>
  <c r="Q15" i="26" s="1"/>
  <c r="U15" i="26" s="1"/>
  <c r="Z9" i="26"/>
  <c r="AD9" i="26" s="1"/>
  <c r="H12" i="26"/>
  <c r="H18" i="26" s="1"/>
  <c r="K8" i="45"/>
  <c r="I21" i="8"/>
  <c r="K162" i="45" l="1"/>
  <c r="K168" i="45" s="1"/>
  <c r="AH11" i="26"/>
  <c r="AN11" i="26" s="1"/>
  <c r="AR11" i="26" s="1"/>
  <c r="AH9" i="26"/>
  <c r="T18" i="26"/>
  <c r="N162" i="10"/>
  <c r="N163" i="10" s="1"/>
  <c r="AD12" i="26"/>
  <c r="P18" i="26"/>
  <c r="K121" i="45"/>
  <c r="K120" i="45"/>
  <c r="R83" i="7"/>
  <c r="L19" i="26"/>
  <c r="Z12" i="26"/>
  <c r="Z19" i="26" s="1"/>
  <c r="J162" i="10"/>
  <c r="H19" i="26"/>
  <c r="J163" i="10" l="1"/>
  <c r="K126" i="50"/>
  <c r="AV11" i="26"/>
  <c r="BD11" i="26" s="1"/>
  <c r="AH12" i="26"/>
  <c r="AH19" i="26" s="1"/>
  <c r="AN9" i="26"/>
  <c r="K122" i="50"/>
  <c r="R162" i="10"/>
  <c r="R163" i="10" s="1"/>
  <c r="AD19" i="26"/>
  <c r="AD18" i="26"/>
  <c r="K124" i="45"/>
  <c r="Z18" i="26"/>
  <c r="AA17" i="26"/>
  <c r="AE17" i="26" s="1"/>
  <c r="K125" i="45" l="1"/>
  <c r="AH18" i="26"/>
  <c r="AI17" i="26"/>
  <c r="AO17" i="26" s="1"/>
  <c r="AS17" i="26" s="1"/>
  <c r="AR9" i="26"/>
  <c r="AV9" i="26" s="1"/>
  <c r="AV12" i="26" s="1"/>
  <c r="AN12" i="26"/>
  <c r="AF162" i="10"/>
  <c r="AF163" i="10" s="1"/>
  <c r="E9" i="52"/>
  <c r="H68" i="59"/>
  <c r="H64" i="59"/>
  <c r="AW17" i="26" l="1"/>
  <c r="BE17" i="26" s="1"/>
  <c r="AV18" i="26"/>
  <c r="AV19" i="26"/>
  <c r="AK122" i="50"/>
  <c r="AN18" i="26"/>
  <c r="AN19" i="26"/>
  <c r="AR12" i="26"/>
  <c r="O122" i="50"/>
  <c r="S122" i="50"/>
  <c r="W122" i="50"/>
  <c r="AC122" i="50"/>
  <c r="E17" i="52"/>
  <c r="AR19" i="26" l="1"/>
  <c r="AR18" i="26"/>
  <c r="BD9" i="26"/>
  <c r="AG122" i="50"/>
  <c r="BD12" i="26" l="1"/>
  <c r="BD18" i="26" s="1"/>
  <c r="R184" i="10"/>
  <c r="R192" i="10"/>
  <c r="BD19" i="26" l="1"/>
  <c r="AB92" i="11"/>
  <c r="AB94" i="11" l="1"/>
  <c r="BA64" i="36" l="1"/>
  <c r="BC64" i="36" s="1"/>
  <c r="BA61" i="36"/>
  <c r="BA58" i="36"/>
  <c r="BA33" i="36"/>
  <c r="BA34" i="36"/>
  <c r="BC34" i="36" s="1"/>
  <c r="BC61" i="36" l="1"/>
  <c r="BC63" i="36" s="1"/>
  <c r="BA63" i="36"/>
  <c r="BB33" i="36"/>
  <c r="BB40" i="36" s="1"/>
  <c r="BD74" i="59"/>
  <c r="BC33" i="36"/>
  <c r="BA60" i="36"/>
  <c r="BC58" i="36"/>
  <c r="BA35" i="36"/>
  <c r="BC35" i="36" s="1"/>
  <c r="BA57" i="36"/>
  <c r="BA17" i="36" s="1"/>
  <c r="BB34" i="36"/>
  <c r="BD34" i="36" l="1"/>
  <c r="BD41" i="36" s="1"/>
  <c r="BB41" i="36"/>
  <c r="BB43" i="36" s="1"/>
  <c r="BD54" i="59"/>
  <c r="BD33" i="36"/>
  <c r="BD40" i="36" s="1"/>
  <c r="BB27" i="36"/>
  <c r="BB28" i="36"/>
  <c r="BB29" i="36"/>
  <c r="BF74" i="59"/>
  <c r="BA36" i="36"/>
  <c r="BA38" i="36" s="1"/>
  <c r="BB35" i="36"/>
  <c r="BD35" i="36" s="1"/>
  <c r="BD29" i="36" l="1"/>
  <c r="BE79" i="59"/>
  <c r="BA7" i="15"/>
  <c r="BD28" i="36"/>
  <c r="BE78" i="59"/>
  <c r="BA6" i="15"/>
  <c r="BD27" i="36"/>
  <c r="BE77" i="59"/>
  <c r="BA5" i="15"/>
  <c r="BA30" i="36"/>
  <c r="BD80" i="59" s="1"/>
  <c r="BC36" i="36"/>
  <c r="X144" i="7"/>
  <c r="X146" i="7" s="1"/>
  <c r="X147" i="7" s="1"/>
  <c r="L144" i="7"/>
  <c r="L146" i="7" s="1"/>
  <c r="L147" i="7" s="1"/>
  <c r="H144" i="7"/>
  <c r="BG79" i="59" l="1"/>
  <c r="BC7" i="15"/>
  <c r="BG77" i="59"/>
  <c r="BC5" i="15"/>
  <c r="BG78" i="59"/>
  <c r="BC6" i="15"/>
  <c r="H146" i="7"/>
  <c r="BB36" i="36"/>
  <c r="BB38" i="36" s="1"/>
  <c r="H147" i="7" l="1"/>
  <c r="BB30" i="36"/>
  <c r="BE80" i="59" s="1"/>
  <c r="BD36" i="36"/>
  <c r="X138" i="7" l="1"/>
  <c r="X140" i="7" s="1"/>
  <c r="X141" i="7" s="1"/>
  <c r="L138" i="7"/>
  <c r="L140" i="7" s="1"/>
  <c r="L141" i="7" s="1"/>
  <c r="H138" i="7"/>
  <c r="J98" i="8"/>
  <c r="H140" i="7" l="1"/>
  <c r="H141" i="7" l="1"/>
  <c r="L121" i="7"/>
  <c r="H121" i="7"/>
  <c r="X129" i="7"/>
  <c r="X121" i="7" l="1"/>
  <c r="X130" i="7" s="1"/>
  <c r="L129" i="7"/>
  <c r="H129" i="7"/>
  <c r="X131" i="7"/>
  <c r="Z121" i="7" l="1"/>
  <c r="X132" i="7"/>
  <c r="X133" i="7" s="1"/>
  <c r="J121" i="7"/>
  <c r="H131" i="7"/>
  <c r="H130" i="7"/>
  <c r="L130" i="7"/>
  <c r="L131" i="7"/>
  <c r="L132" i="7" s="1"/>
  <c r="V121" i="7" l="1"/>
  <c r="H132" i="7"/>
  <c r="N121" i="7"/>
  <c r="L133" i="7"/>
  <c r="H133" i="7" l="1"/>
  <c r="R121" i="7"/>
  <c r="V129" i="7" l="1"/>
  <c r="V131" i="7" l="1"/>
  <c r="V132" i="7" s="1"/>
  <c r="V130" i="7"/>
  <c r="V133" i="7" s="1"/>
  <c r="V135" i="7" s="1"/>
  <c r="AB121" i="7"/>
  <c r="I140" i="6" l="1"/>
  <c r="I208" i="6" l="1"/>
  <c r="I206" i="6"/>
  <c r="I204" i="6"/>
  <c r="I207" i="6"/>
  <c r="I203" i="6"/>
  <c r="I209" i="6"/>
  <c r="I205" i="6"/>
  <c r="I217" i="6"/>
  <c r="I213" i="6"/>
  <c r="I211" i="6"/>
  <c r="I214" i="6"/>
  <c r="I212" i="6"/>
  <c r="I218" i="6" l="1"/>
  <c r="I210" i="6"/>
  <c r="I215" i="6"/>
  <c r="I216" i="6" l="1"/>
  <c r="I219" i="6" l="1"/>
  <c r="AM2" i="36" l="1"/>
  <c r="AM38" i="36" s="1"/>
  <c r="AN2" i="36"/>
  <c r="AN38" i="36" l="1"/>
  <c r="AN43" i="36"/>
  <c r="BC2" i="36"/>
  <c r="BC38" i="36" s="1"/>
  <c r="AM30" i="36"/>
  <c r="AP80" i="59" s="1"/>
  <c r="BD2" i="36"/>
  <c r="AN30" i="36"/>
  <c r="AQ80" i="59" s="1"/>
  <c r="BD38" i="36" l="1"/>
  <c r="BD43" i="36"/>
  <c r="BD13" i="36"/>
  <c r="BG39" i="59" l="1"/>
  <c r="AA56" i="9" l="1"/>
  <c r="AE56" i="9" s="1"/>
  <c r="AI56" i="9" s="1"/>
  <c r="AI73" i="9" s="1"/>
  <c r="E68" i="36"/>
  <c r="AA59" i="36"/>
  <c r="AE73" i="9" l="1"/>
  <c r="AB56" i="9"/>
  <c r="AF56" i="9" s="1"/>
  <c r="AJ56" i="9" s="1"/>
  <c r="F60" i="36"/>
  <c r="AB59" i="36"/>
  <c r="AJ73" i="9" l="1"/>
  <c r="AJ59" i="36"/>
  <c r="AJ67" i="36" s="1"/>
  <c r="AF59" i="36"/>
  <c r="AF67" i="36" s="1"/>
  <c r="AF73" i="9"/>
  <c r="AO56" i="9"/>
  <c r="AP56" i="9" l="1"/>
  <c r="AO73" i="9"/>
  <c r="AS56" i="9"/>
  <c r="AW56" i="9" s="1"/>
  <c r="AW73" i="9" s="1"/>
  <c r="BE59" i="36"/>
  <c r="AS73" i="9" l="1"/>
  <c r="AT56" i="9"/>
  <c r="AX56" i="9" s="1"/>
  <c r="AX73" i="9" s="1"/>
  <c r="AP59" i="36"/>
  <c r="AP67" i="36" s="1"/>
  <c r="AP73" i="9"/>
  <c r="BF56" i="9" l="1"/>
  <c r="AX59" i="36"/>
  <c r="AX67" i="36" s="1"/>
  <c r="BE56" i="9"/>
  <c r="AT59" i="36"/>
  <c r="AT73" i="9"/>
  <c r="K147" i="45"/>
  <c r="K146" i="45"/>
  <c r="K135" i="45"/>
  <c r="J135" i="45"/>
  <c r="I72" i="59"/>
  <c r="H72" i="59"/>
  <c r="K133" i="45"/>
  <c r="J133" i="45"/>
  <c r="K7" i="45"/>
  <c r="K2" i="45"/>
  <c r="K142" i="45" s="1"/>
  <c r="J2" i="45"/>
  <c r="K123" i="45" l="1"/>
  <c r="BE73" i="9"/>
  <c r="BF73" i="9"/>
  <c r="N2" i="45"/>
  <c r="N142" i="45" s="1"/>
  <c r="J142" i="45"/>
  <c r="AT67" i="36"/>
  <c r="BF59" i="36"/>
  <c r="BF67" i="36" s="1"/>
  <c r="AC133" i="45"/>
  <c r="AG133" i="45" s="1"/>
  <c r="AK133" i="45" s="1"/>
  <c r="Z131" i="45"/>
  <c r="S146" i="45"/>
  <c r="W146" i="45" s="1"/>
  <c r="AC146" i="45"/>
  <c r="AG146" i="45" s="1"/>
  <c r="AK146" i="45" s="1"/>
  <c r="AA131" i="45"/>
  <c r="S147" i="45"/>
  <c r="W147" i="45" s="1"/>
  <c r="AC147" i="45"/>
  <c r="AG147" i="45" s="1"/>
  <c r="AA138" i="45"/>
  <c r="AA139" i="45" s="1"/>
  <c r="N23" i="36"/>
  <c r="Q71" i="59" s="1"/>
  <c r="J134" i="45"/>
  <c r="K134" i="45"/>
  <c r="J141" i="45"/>
  <c r="J140" i="45"/>
  <c r="J143" i="45"/>
  <c r="K141" i="45"/>
  <c r="K140" i="45"/>
  <c r="O2" i="45"/>
  <c r="O142" i="45" s="1"/>
  <c r="K143" i="45"/>
  <c r="I73" i="59"/>
  <c r="H73" i="59"/>
  <c r="K136" i="45"/>
  <c r="O144" i="45"/>
  <c r="Q73" i="59" s="1"/>
  <c r="K138" i="45"/>
  <c r="K154" i="45"/>
  <c r="K137" i="45"/>
  <c r="J131" i="45"/>
  <c r="O148" i="45"/>
  <c r="K131" i="45"/>
  <c r="S133" i="45"/>
  <c r="W133" i="45" s="1"/>
  <c r="J136" i="45"/>
  <c r="K148" i="45"/>
  <c r="N140" i="45" l="1"/>
  <c r="L72" i="59"/>
  <c r="K139" i="45"/>
  <c r="M72" i="59"/>
  <c r="N141" i="45"/>
  <c r="N143" i="45"/>
  <c r="AB2" i="45"/>
  <c r="AF2" i="45" s="1"/>
  <c r="AJ2" i="45" s="1"/>
  <c r="AP2" i="45" s="1"/>
  <c r="AT2" i="45" s="1"/>
  <c r="AX2" i="45" s="1"/>
  <c r="BF2" i="45" s="1"/>
  <c r="R2" i="45"/>
  <c r="V2" i="45" s="1"/>
  <c r="W148" i="45"/>
  <c r="W155" i="45" s="1"/>
  <c r="AK147" i="45"/>
  <c r="AK148" i="45" s="1"/>
  <c r="AQ146" i="45"/>
  <c r="AQ133" i="45"/>
  <c r="AU133" i="45" s="1"/>
  <c r="AG148" i="45"/>
  <c r="O140" i="45"/>
  <c r="O141" i="45"/>
  <c r="O143" i="45"/>
  <c r="AC135" i="45"/>
  <c r="AG135" i="45" s="1"/>
  <c r="AK135" i="45" s="1"/>
  <c r="AK134" i="45" s="1"/>
  <c r="AB135" i="45"/>
  <c r="AF135" i="45" s="1"/>
  <c r="AJ135" i="45" s="1"/>
  <c r="AC7" i="45"/>
  <c r="AG7" i="45" s="1"/>
  <c r="AK7" i="45" s="1"/>
  <c r="N144" i="45"/>
  <c r="P73" i="59" s="1"/>
  <c r="S148" i="45"/>
  <c r="S155" i="45" s="1"/>
  <c r="AC148" i="45"/>
  <c r="AC155" i="45" s="1"/>
  <c r="S2" i="45"/>
  <c r="W2" i="45" s="1"/>
  <c r="AC2" i="45"/>
  <c r="AG2" i="45" s="1"/>
  <c r="AK2" i="45" s="1"/>
  <c r="AQ2" i="45" s="1"/>
  <c r="AU2" i="45" s="1"/>
  <c r="AY2" i="45" s="1"/>
  <c r="BG2" i="45" s="1"/>
  <c r="R133" i="45"/>
  <c r="V133" i="45" s="1"/>
  <c r="AB133" i="45"/>
  <c r="AF133" i="45" s="1"/>
  <c r="AJ133" i="45" s="1"/>
  <c r="AA132" i="45"/>
  <c r="Z132" i="45"/>
  <c r="O154" i="45"/>
  <c r="S7" i="45"/>
  <c r="J132" i="45"/>
  <c r="AB131" i="45"/>
  <c r="AF131" i="45" s="1"/>
  <c r="AC138" i="45"/>
  <c r="AG138" i="45" s="1"/>
  <c r="AK138" i="45" s="1"/>
  <c r="K155" i="45"/>
  <c r="K149" i="45"/>
  <c r="O136" i="45"/>
  <c r="S135" i="45"/>
  <c r="W135" i="45" s="1"/>
  <c r="W134" i="45" s="1"/>
  <c r="O134" i="45"/>
  <c r="Q72" i="59" s="1"/>
  <c r="K132" i="45"/>
  <c r="AC131" i="45"/>
  <c r="AG131" i="45" s="1"/>
  <c r="AK131" i="45" s="1"/>
  <c r="AK132" i="45" s="1"/>
  <c r="O155" i="45"/>
  <c r="O149" i="45"/>
  <c r="N136" i="45"/>
  <c r="R135" i="45"/>
  <c r="V135" i="45" s="1"/>
  <c r="N134" i="45"/>
  <c r="P72" i="59" s="1"/>
  <c r="K159" i="45"/>
  <c r="K150" i="45"/>
  <c r="R143" i="45" l="1"/>
  <c r="V143" i="45" s="1"/>
  <c r="AB142" i="45"/>
  <c r="AF142" i="45" s="1"/>
  <c r="AJ142" i="45" s="1"/>
  <c r="AP142" i="45" s="1"/>
  <c r="AT142" i="45" s="1"/>
  <c r="AX142" i="45" s="1"/>
  <c r="R141" i="45"/>
  <c r="V141" i="45" s="1"/>
  <c r="R142" i="45"/>
  <c r="V142" i="45" s="1"/>
  <c r="AB141" i="45"/>
  <c r="AF141" i="45" s="1"/>
  <c r="AB143" i="45"/>
  <c r="AF143" i="45" s="1"/>
  <c r="AJ143" i="45" s="1"/>
  <c r="AP143" i="45" s="1"/>
  <c r="AT143" i="45" s="1"/>
  <c r="AY133" i="45"/>
  <c r="BG133" i="45" s="1"/>
  <c r="AK149" i="45"/>
  <c r="AK155" i="45"/>
  <c r="W136" i="45"/>
  <c r="S142" i="45"/>
  <c r="W142" i="45" s="1"/>
  <c r="V136" i="45"/>
  <c r="V134" i="45"/>
  <c r="X72" i="59" s="1"/>
  <c r="V144" i="45"/>
  <c r="W7" i="45"/>
  <c r="AJ136" i="45"/>
  <c r="AJ134" i="45"/>
  <c r="AJ144" i="45"/>
  <c r="AL73" i="59" s="1"/>
  <c r="AK136" i="45"/>
  <c r="AJ131" i="45"/>
  <c r="AJ132" i="45" s="1"/>
  <c r="AQ147" i="45"/>
  <c r="AU147" i="45" s="1"/>
  <c r="AK154" i="45"/>
  <c r="AC142" i="45"/>
  <c r="AG142" i="45" s="1"/>
  <c r="AK142" i="45" s="1"/>
  <c r="AQ142" i="45" s="1"/>
  <c r="AU142" i="45" s="1"/>
  <c r="AY142" i="45" s="1"/>
  <c r="AJ141" i="45"/>
  <c r="AP141" i="45" s="1"/>
  <c r="AT141" i="45" s="1"/>
  <c r="AU146" i="45"/>
  <c r="AQ135" i="45"/>
  <c r="AU135" i="45" s="1"/>
  <c r="AM72" i="59"/>
  <c r="AF132" i="45"/>
  <c r="AQ7" i="45"/>
  <c r="AG132" i="45"/>
  <c r="AP135" i="45"/>
  <c r="AT135" i="45" s="1"/>
  <c r="AX135" i="45" s="1"/>
  <c r="AG154" i="45"/>
  <c r="AF134" i="45"/>
  <c r="AH72" i="59" s="1"/>
  <c r="AF136" i="45"/>
  <c r="AF144" i="45"/>
  <c r="AH73" i="59" s="1"/>
  <c r="AG136" i="45"/>
  <c r="AG134" i="45"/>
  <c r="AI72" i="59" s="1"/>
  <c r="AG155" i="45"/>
  <c r="AG149" i="45"/>
  <c r="Y72" i="59"/>
  <c r="AC137" i="45"/>
  <c r="AG137" i="45" s="1"/>
  <c r="AK137" i="45" s="1"/>
  <c r="AC134" i="45"/>
  <c r="AE72" i="59" s="1"/>
  <c r="AC136" i="45"/>
  <c r="AC154" i="45"/>
  <c r="AB144" i="45"/>
  <c r="AC8" i="45"/>
  <c r="AC162" i="45" s="1"/>
  <c r="AC168" i="45" s="1"/>
  <c r="AC149" i="45"/>
  <c r="AB134" i="45"/>
  <c r="AD72" i="59" s="1"/>
  <c r="AC132" i="45"/>
  <c r="AB136" i="45"/>
  <c r="R137" i="45"/>
  <c r="V137" i="45" s="1"/>
  <c r="AB137" i="45"/>
  <c r="AF137" i="45" s="1"/>
  <c r="S140" i="45"/>
  <c r="W140" i="45" s="1"/>
  <c r="AC140" i="45"/>
  <c r="AG140" i="45" s="1"/>
  <c r="S141" i="45"/>
  <c r="W141" i="45" s="1"/>
  <c r="AC141" i="45"/>
  <c r="AG141" i="45" s="1"/>
  <c r="S143" i="45"/>
  <c r="W143" i="45" s="1"/>
  <c r="AC143" i="45"/>
  <c r="AG143" i="45" s="1"/>
  <c r="AB132" i="45"/>
  <c r="S8" i="45"/>
  <c r="S162" i="45" s="1"/>
  <c r="S168" i="45" s="1"/>
  <c r="S149" i="45"/>
  <c r="S154" i="45"/>
  <c r="S137" i="45"/>
  <c r="R136" i="45"/>
  <c r="R134" i="45"/>
  <c r="T72" i="59" s="1"/>
  <c r="S131" i="45"/>
  <c r="W131" i="45" s="1"/>
  <c r="W132" i="45" s="1"/>
  <c r="O132" i="45"/>
  <c r="K158" i="45"/>
  <c r="S138" i="45"/>
  <c r="W138" i="45" s="1"/>
  <c r="O150" i="45"/>
  <c r="R131" i="45"/>
  <c r="V131" i="45" s="1"/>
  <c r="V132" i="45" s="1"/>
  <c r="N132" i="45"/>
  <c r="S159" i="45"/>
  <c r="S150" i="45"/>
  <c r="S136" i="45"/>
  <c r="S134" i="45"/>
  <c r="U72" i="59" s="1"/>
  <c r="AY135" i="45" l="1"/>
  <c r="AY146" i="45"/>
  <c r="AG8" i="45"/>
  <c r="AG162" i="45" s="1"/>
  <c r="AG168" i="45" s="1"/>
  <c r="W8" i="45"/>
  <c r="W162" i="45" s="1"/>
  <c r="W168" i="45" s="1"/>
  <c r="W137" i="45"/>
  <c r="AY147" i="45"/>
  <c r="AX141" i="45"/>
  <c r="BF141" i="45" s="1"/>
  <c r="AX144" i="45"/>
  <c r="AZ73" i="59" s="1"/>
  <c r="AY134" i="45"/>
  <c r="AX143" i="45"/>
  <c r="BF143" i="45" s="1"/>
  <c r="AP131" i="45"/>
  <c r="AT131" i="45" s="1"/>
  <c r="AJ137" i="45"/>
  <c r="AP137" i="45" s="1"/>
  <c r="AT137" i="45" s="1"/>
  <c r="W154" i="45"/>
  <c r="W149" i="45"/>
  <c r="AQ148" i="45"/>
  <c r="AQ155" i="45" s="1"/>
  <c r="AK143" i="45"/>
  <c r="AQ143" i="45" s="1"/>
  <c r="AU143" i="45" s="1"/>
  <c r="AK141" i="45"/>
  <c r="AQ141" i="45" s="1"/>
  <c r="AU141" i="45" s="1"/>
  <c r="AK140" i="45"/>
  <c r="AQ140" i="45" s="1"/>
  <c r="AU140" i="45" s="1"/>
  <c r="AU148" i="45"/>
  <c r="BG135" i="45"/>
  <c r="BF135" i="45"/>
  <c r="AU134" i="45"/>
  <c r="AW72" i="59" s="1"/>
  <c r="AU136" i="45"/>
  <c r="AT144" i="45"/>
  <c r="AV73" i="59" s="1"/>
  <c r="AQ154" i="45"/>
  <c r="AU7" i="45"/>
  <c r="AQ137" i="45"/>
  <c r="AP133" i="45"/>
  <c r="AP134" i="45" s="1"/>
  <c r="AR72" i="59" s="1"/>
  <c r="AP144" i="45"/>
  <c r="AR73" i="59" s="1"/>
  <c r="AQ131" i="45"/>
  <c r="AL72" i="59"/>
  <c r="AQ134" i="45"/>
  <c r="AS72" i="59" s="1"/>
  <c r="AQ136" i="45"/>
  <c r="AQ138" i="45"/>
  <c r="AC121" i="45"/>
  <c r="S121" i="45"/>
  <c r="S139" i="45" s="1"/>
  <c r="AC120" i="45"/>
  <c r="AC158" i="45" s="1"/>
  <c r="S120" i="45"/>
  <c r="AD71" i="59"/>
  <c r="R132" i="45"/>
  <c r="K160" i="45"/>
  <c r="O158" i="45"/>
  <c r="S132" i="45"/>
  <c r="W120" i="45" l="1"/>
  <c r="W158" i="45" s="1"/>
  <c r="W160" i="45" s="1"/>
  <c r="BG147" i="45"/>
  <c r="BA72" i="59"/>
  <c r="AY136" i="45"/>
  <c r="AU155" i="45"/>
  <c r="AY7" i="45"/>
  <c r="AG120" i="45"/>
  <c r="AG158" i="45" s="1"/>
  <c r="AG160" i="45" s="1"/>
  <c r="AG121" i="45"/>
  <c r="AG139" i="45" s="1"/>
  <c r="O160" i="45"/>
  <c r="AC126" i="50"/>
  <c r="AC139" i="45"/>
  <c r="W121" i="45"/>
  <c r="AK8" i="45"/>
  <c r="AK162" i="45" s="1"/>
  <c r="AK168" i="45" s="1"/>
  <c r="AQ149" i="45"/>
  <c r="S126" i="50"/>
  <c r="AG126" i="50"/>
  <c r="AY148" i="45"/>
  <c r="AY141" i="45"/>
  <c r="BG141" i="45" s="1"/>
  <c r="AX137" i="45"/>
  <c r="BF137" i="45" s="1"/>
  <c r="AY143" i="45"/>
  <c r="BG143" i="45" s="1"/>
  <c r="AX131" i="45"/>
  <c r="BF131" i="45" s="1"/>
  <c r="AY140" i="45"/>
  <c r="BG140" i="45" s="1"/>
  <c r="AU154" i="45"/>
  <c r="BG146" i="45"/>
  <c r="BF144" i="45"/>
  <c r="AP136" i="45"/>
  <c r="BG134" i="45"/>
  <c r="BG136" i="45"/>
  <c r="AU137" i="45"/>
  <c r="AP132" i="45"/>
  <c r="AT133" i="45"/>
  <c r="AU149" i="45"/>
  <c r="AU138" i="45"/>
  <c r="AQ132" i="45"/>
  <c r="AU131" i="45"/>
  <c r="W126" i="50"/>
  <c r="S124" i="45"/>
  <c r="S125" i="45" s="1"/>
  <c r="S123" i="45"/>
  <c r="S144" i="45"/>
  <c r="U73" i="59" s="1"/>
  <c r="AC123" i="45"/>
  <c r="AE71" i="59" s="1"/>
  <c r="AC124" i="45"/>
  <c r="AC125" i="45" s="1"/>
  <c r="AC144" i="45"/>
  <c r="AE73" i="59" s="1"/>
  <c r="AC160" i="45"/>
  <c r="S158" i="45"/>
  <c r="AY154" i="45" l="1"/>
  <c r="AY155" i="45"/>
  <c r="AY137" i="45"/>
  <c r="AG123" i="45"/>
  <c r="AF23" i="36" s="1"/>
  <c r="AI71" i="59" s="1"/>
  <c r="AX133" i="45"/>
  <c r="AX134" i="45" s="1"/>
  <c r="AZ72" i="59" s="1"/>
  <c r="AG124" i="45"/>
  <c r="AG125" i="45" s="1"/>
  <c r="AY131" i="45"/>
  <c r="AY132" i="45" s="1"/>
  <c r="AG144" i="45"/>
  <c r="AI73" i="59" s="1"/>
  <c r="AY138" i="45"/>
  <c r="W124" i="45"/>
  <c r="W125" i="45" s="1"/>
  <c r="W139" i="45"/>
  <c r="W144" i="45"/>
  <c r="Y73" i="59" s="1"/>
  <c r="W123" i="45"/>
  <c r="AK120" i="45"/>
  <c r="AK158" i="45" s="1"/>
  <c r="AK160" i="45" s="1"/>
  <c r="AQ8" i="45"/>
  <c r="AK121" i="45"/>
  <c r="AK139" i="45" s="1"/>
  <c r="AY149" i="45"/>
  <c r="BH73" i="59"/>
  <c r="BG148" i="45"/>
  <c r="BI72" i="59"/>
  <c r="AX136" i="45"/>
  <c r="AU132" i="45"/>
  <c r="BG7" i="45"/>
  <c r="AT136" i="45"/>
  <c r="AT132" i="45"/>
  <c r="AT134" i="45"/>
  <c r="AV72" i="59" s="1"/>
  <c r="U71" i="59"/>
  <c r="R23" i="36"/>
  <c r="AB23" i="36"/>
  <c r="S160" i="45"/>
  <c r="BF133" i="45" l="1"/>
  <c r="AX132" i="45"/>
  <c r="AQ162" i="45"/>
  <c r="AQ168" i="45" s="1"/>
  <c r="AQ120" i="45"/>
  <c r="AQ158" i="45" s="1"/>
  <c r="AQ160" i="45" s="1"/>
  <c r="AK124" i="45"/>
  <c r="AK125" i="45" s="1"/>
  <c r="AK123" i="45"/>
  <c r="AK144" i="45"/>
  <c r="AM73" i="59" s="1"/>
  <c r="AU8" i="45"/>
  <c r="AQ121" i="45"/>
  <c r="AQ139" i="45" s="1"/>
  <c r="BG154" i="45"/>
  <c r="BG137" i="45"/>
  <c r="BG155" i="45"/>
  <c r="Y71" i="59"/>
  <c r="V23" i="36"/>
  <c r="BG149" i="45"/>
  <c r="BG131" i="45"/>
  <c r="BG138" i="45"/>
  <c r="BF132" i="45"/>
  <c r="BF136" i="45"/>
  <c r="BF134" i="45"/>
  <c r="AU162" i="45" l="1"/>
  <c r="AU168" i="45" s="1"/>
  <c r="AU120" i="45"/>
  <c r="AJ23" i="36"/>
  <c r="AM71" i="59" s="1"/>
  <c r="AQ144" i="45"/>
  <c r="AS73" i="59" s="1"/>
  <c r="AQ124" i="45"/>
  <c r="AQ125" i="45" s="1"/>
  <c r="AQ123" i="45"/>
  <c r="AY8" i="45"/>
  <c r="AU121" i="45"/>
  <c r="BH72" i="59"/>
  <c r="BG132" i="45"/>
  <c r="BC13" i="36"/>
  <c r="BF39" i="59" l="1"/>
  <c r="AU139" i="45"/>
  <c r="AU158" i="45"/>
  <c r="AY162" i="45"/>
  <c r="AY168" i="45" s="1"/>
  <c r="AY120" i="45"/>
  <c r="AY158" i="45" s="1"/>
  <c r="AY160" i="45" s="1"/>
  <c r="AP23" i="36"/>
  <c r="AS71" i="59"/>
  <c r="AU144" i="45"/>
  <c r="AW73" i="59" s="1"/>
  <c r="AU123" i="45"/>
  <c r="AU124" i="45"/>
  <c r="BG8" i="45"/>
  <c r="AY121" i="45"/>
  <c r="AY139" i="45" s="1"/>
  <c r="Z3" i="22"/>
  <c r="Y3" i="22"/>
  <c r="J3" i="22"/>
  <c r="N3" i="22" s="1"/>
  <c r="R3" i="22" s="1"/>
  <c r="I3" i="22"/>
  <c r="M3" i="22" s="1"/>
  <c r="Q3" i="22" s="1"/>
  <c r="AU125" i="45" l="1"/>
  <c r="AU160" i="45"/>
  <c r="BG162" i="45"/>
  <c r="BG168" i="45" s="1"/>
  <c r="BG120" i="45"/>
  <c r="U3" i="22"/>
  <c r="AA3" i="22" s="1"/>
  <c r="AE3" i="22" s="1"/>
  <c r="AI3" i="22" s="1"/>
  <c r="AO3" i="22" s="1"/>
  <c r="AS3" i="22" s="1"/>
  <c r="AW3" i="22" s="1"/>
  <c r="BE3" i="22" s="1"/>
  <c r="V3" i="22"/>
  <c r="AB3" i="22" s="1"/>
  <c r="AF3" i="22" s="1"/>
  <c r="AJ3" i="22" s="1"/>
  <c r="AP3" i="22" s="1"/>
  <c r="AT3" i="22" s="1"/>
  <c r="AX3" i="22" s="1"/>
  <c r="BF3" i="22" s="1"/>
  <c r="AY144" i="45"/>
  <c r="BA73" i="59" s="1"/>
  <c r="AY123" i="45"/>
  <c r="AY124" i="45"/>
  <c r="AY125" i="45" s="1"/>
  <c r="AW71" i="59"/>
  <c r="AT23" i="36"/>
  <c r="BG121" i="45"/>
  <c r="Y2" i="27"/>
  <c r="X2" i="27"/>
  <c r="BG139" i="45" l="1"/>
  <c r="BG123" i="45"/>
  <c r="BG144" i="45"/>
  <c r="BG124" i="45"/>
  <c r="BA71" i="59"/>
  <c r="AX23" i="36"/>
  <c r="BG158" i="45"/>
  <c r="Y22" i="27"/>
  <c r="Y31" i="27"/>
  <c r="Y19" i="27"/>
  <c r="Y20" i="27"/>
  <c r="Y18" i="27"/>
  <c r="Y37" i="27"/>
  <c r="Y28" i="27"/>
  <c r="Y27" i="27"/>
  <c r="Y29" i="27"/>
  <c r="Y35" i="27"/>
  <c r="Y21" i="27"/>
  <c r="Y26" i="27"/>
  <c r="Y36" i="27"/>
  <c r="X36" i="27"/>
  <c r="X29" i="27"/>
  <c r="X37" i="27"/>
  <c r="X35" i="27"/>
  <c r="X27" i="27"/>
  <c r="X30" i="27"/>
  <c r="X28" i="27"/>
  <c r="X26" i="27"/>
  <c r="X20" i="27"/>
  <c r="X18" i="27"/>
  <c r="X31" i="27"/>
  <c r="X22" i="27"/>
  <c r="X19" i="27"/>
  <c r="X21" i="27"/>
  <c r="Y75" i="26"/>
  <c r="Y48" i="26"/>
  <c r="Y21" i="26"/>
  <c r="Y15" i="26"/>
  <c r="AA15" i="26" s="1"/>
  <c r="AE15" i="26" s="1"/>
  <c r="Y11" i="26"/>
  <c r="Y9" i="26"/>
  <c r="X3" i="26"/>
  <c r="Y3" i="26"/>
  <c r="Y3" i="17"/>
  <c r="X3" i="17"/>
  <c r="AB88" i="9"/>
  <c r="AF88" i="9" s="1"/>
  <c r="Z92" i="9"/>
  <c r="AB68" i="9"/>
  <c r="AF68" i="9" s="1"/>
  <c r="AJ68" i="9" s="1"/>
  <c r="AJ85" i="9" s="1"/>
  <c r="AB67" i="9"/>
  <c r="AF67" i="9" s="1"/>
  <c r="AJ67" i="9" s="1"/>
  <c r="AJ84" i="9" s="1"/>
  <c r="AB66" i="9"/>
  <c r="AF66" i="9" s="1"/>
  <c r="AJ66" i="9" s="1"/>
  <c r="AJ83" i="9" s="1"/>
  <c r="AB63" i="9"/>
  <c r="AF63" i="9" s="1"/>
  <c r="AJ63" i="9" s="1"/>
  <c r="AJ80" i="9" s="1"/>
  <c r="AB59" i="9"/>
  <c r="AF59" i="9" s="1"/>
  <c r="AJ59" i="9" s="1"/>
  <c r="AB58" i="9"/>
  <c r="AF58" i="9" s="1"/>
  <c r="AJ58" i="9" s="1"/>
  <c r="Y38" i="9"/>
  <c r="AA38" i="9" s="1"/>
  <c r="AE38" i="9" s="1"/>
  <c r="AI38" i="9" s="1"/>
  <c r="AF53" i="72" s="1"/>
  <c r="Z45" i="9"/>
  <c r="AB45" i="9" s="1"/>
  <c r="AF45" i="9" s="1"/>
  <c r="Z38" i="9"/>
  <c r="W53" i="72" s="1"/>
  <c r="Y29" i="9"/>
  <c r="Z33" i="9"/>
  <c r="AB33" i="9" s="1"/>
  <c r="AF33" i="9" s="1"/>
  <c r="Z32" i="9"/>
  <c r="Z30" i="9"/>
  <c r="Z29" i="9"/>
  <c r="Z24" i="9"/>
  <c r="Z23" i="9"/>
  <c r="Z22" i="9"/>
  <c r="Y20" i="9"/>
  <c r="Z16" i="9"/>
  <c r="AB16" i="9" s="1"/>
  <c r="AF16" i="9" s="1"/>
  <c r="Z20" i="9"/>
  <c r="Z51" i="9"/>
  <c r="AB51" i="9" s="1"/>
  <c r="AF51" i="9" s="1"/>
  <c r="AJ51" i="9" s="1"/>
  <c r="Z13" i="9"/>
  <c r="AB13" i="9" s="1"/>
  <c r="AF13" i="9" s="1"/>
  <c r="Z12" i="9"/>
  <c r="AB12" i="9" s="1"/>
  <c r="AF12" i="9" s="1"/>
  <c r="Z11" i="9"/>
  <c r="AB11" i="9" s="1"/>
  <c r="AF11" i="9" s="1"/>
  <c r="Z135" i="9"/>
  <c r="AB135" i="9" s="1"/>
  <c r="AF135" i="9" s="1"/>
  <c r="Z9" i="9"/>
  <c r="Z134" i="9"/>
  <c r="AB134" i="9" s="1"/>
  <c r="AF134" i="9" s="1"/>
  <c r="X38" i="17" l="1"/>
  <c r="AJ75" i="9"/>
  <c r="AJ61" i="36"/>
  <c r="AJ76" i="9"/>
  <c r="AJ62" i="36"/>
  <c r="AJ70" i="36" s="1"/>
  <c r="AK70" i="36" s="1"/>
  <c r="BO63" i="71"/>
  <c r="BG125" i="45"/>
  <c r="BI73" i="59"/>
  <c r="BG160" i="45"/>
  <c r="BF23" i="36"/>
  <c r="BI71" i="59"/>
  <c r="AI15" i="26"/>
  <c r="AO15" i="26" s="1"/>
  <c r="AS15" i="26" s="1"/>
  <c r="AJ135" i="9"/>
  <c r="AP135" i="9" s="1"/>
  <c r="AT135" i="9" s="1"/>
  <c r="AJ45" i="9"/>
  <c r="AP45" i="9" s="1"/>
  <c r="AT45" i="9" s="1"/>
  <c r="AJ11" i="9"/>
  <c r="AP11" i="9" s="1"/>
  <c r="AT11" i="9" s="1"/>
  <c r="AJ33" i="9"/>
  <c r="AP33" i="9" s="1"/>
  <c r="AT33" i="9" s="1"/>
  <c r="AJ88" i="9"/>
  <c r="AP88" i="9" s="1"/>
  <c r="AT88" i="9" s="1"/>
  <c r="AJ16" i="9"/>
  <c r="AP16" i="9" s="1"/>
  <c r="AT16" i="9" s="1"/>
  <c r="AJ12" i="9"/>
  <c r="AP12" i="9" s="1"/>
  <c r="AT12" i="9" s="1"/>
  <c r="AJ13" i="9"/>
  <c r="AP13" i="9" s="1"/>
  <c r="AT13" i="9" s="1"/>
  <c r="AA29" i="9"/>
  <c r="BN63" i="71"/>
  <c r="AJ134" i="9"/>
  <c r="AP134" i="9" s="1"/>
  <c r="AT134" i="9" s="1"/>
  <c r="AO38" i="9"/>
  <c r="AI20" i="35"/>
  <c r="AP51" i="9"/>
  <c r="AT51" i="9" s="1"/>
  <c r="AF80" i="9"/>
  <c r="AF83" i="9"/>
  <c r="AF61" i="36"/>
  <c r="AF75" i="9"/>
  <c r="AF84" i="9"/>
  <c r="AF62" i="36"/>
  <c r="AF70" i="36" s="1"/>
  <c r="AG70" i="36" s="1"/>
  <c r="AF76" i="9"/>
  <c r="AF85" i="9"/>
  <c r="Y24" i="27"/>
  <c r="X33" i="27"/>
  <c r="Y33" i="27"/>
  <c r="X24" i="27"/>
  <c r="X51" i="17"/>
  <c r="X45" i="17"/>
  <c r="X35" i="17"/>
  <c r="X42" i="17"/>
  <c r="X48" i="17"/>
  <c r="X43" i="17"/>
  <c r="X41" i="17"/>
  <c r="X52" i="17"/>
  <c r="X47" i="17"/>
  <c r="X36" i="17"/>
  <c r="X19" i="17"/>
  <c r="X30" i="17"/>
  <c r="X23" i="17"/>
  <c r="X17" i="17"/>
  <c r="X15" i="17"/>
  <c r="Y54" i="17"/>
  <c r="Y55" i="17"/>
  <c r="Y56" i="17"/>
  <c r="Y57" i="17"/>
  <c r="Y58" i="17" s="1"/>
  <c r="Y42" i="17"/>
  <c r="Y35" i="17"/>
  <c r="Y41" i="17"/>
  <c r="Y43" i="17"/>
  <c r="Y48" i="17"/>
  <c r="Y52" i="17"/>
  <c r="Y47" i="17"/>
  <c r="Y38" i="17"/>
  <c r="Y51" i="17"/>
  <c r="Y45" i="17"/>
  <c r="Y36" i="17"/>
  <c r="Y19" i="17"/>
  <c r="Y11" i="17"/>
  <c r="Y17" i="17"/>
  <c r="Y9" i="17"/>
  <c r="Y13" i="17"/>
  <c r="Y30" i="17"/>
  <c r="Y15" i="17"/>
  <c r="Y23" i="17"/>
  <c r="Y21" i="17"/>
  <c r="Y25" i="17"/>
  <c r="X57" i="17"/>
  <c r="X58" i="17" s="1"/>
  <c r="X55" i="17"/>
  <c r="AB92" i="9"/>
  <c r="AF92" i="9" s="1"/>
  <c r="AJ92" i="9" s="1"/>
  <c r="Y101" i="9"/>
  <c r="AA20" i="9"/>
  <c r="AE20" i="9" s="1"/>
  <c r="AI20" i="9" s="1"/>
  <c r="Z138" i="9"/>
  <c r="AB23" i="9"/>
  <c r="AF23" i="9" s="1"/>
  <c r="AJ23" i="9" s="1"/>
  <c r="AB65" i="9"/>
  <c r="AF65" i="9" s="1"/>
  <c r="AJ65" i="9" s="1"/>
  <c r="AJ82" i="9" s="1"/>
  <c r="Z139" i="9"/>
  <c r="AB24" i="9"/>
  <c r="AF24" i="9" s="1"/>
  <c r="AJ24" i="9" s="1"/>
  <c r="AB38" i="9"/>
  <c r="Z46" i="9"/>
  <c r="Z34" i="9"/>
  <c r="AB32" i="9"/>
  <c r="AF32" i="9" s="1"/>
  <c r="Z136" i="9"/>
  <c r="AB9" i="9"/>
  <c r="AF9" i="9" s="1"/>
  <c r="AJ9" i="9" s="1"/>
  <c r="AJ10" i="9" s="1"/>
  <c r="Z101" i="9"/>
  <c r="AB20" i="9"/>
  <c r="AF20" i="9" s="1"/>
  <c r="AJ20" i="9" s="1"/>
  <c r="AB29" i="9"/>
  <c r="Z35" i="9"/>
  <c r="Z31" i="9"/>
  <c r="Z129" i="7"/>
  <c r="AB69" i="9"/>
  <c r="AF69" i="9" s="1"/>
  <c r="AJ69" i="9" s="1"/>
  <c r="AJ86" i="9" s="1"/>
  <c r="Z137" i="9"/>
  <c r="AB22" i="9"/>
  <c r="AF22" i="9" s="1"/>
  <c r="AJ22" i="9" s="1"/>
  <c r="Z36" i="9"/>
  <c r="AB30" i="9"/>
  <c r="AB70" i="9"/>
  <c r="AF70" i="9" s="1"/>
  <c r="AJ70" i="9" s="1"/>
  <c r="AJ87" i="9" s="1"/>
  <c r="AB55" i="9"/>
  <c r="AF55" i="9" s="1"/>
  <c r="AJ55" i="9" s="1"/>
  <c r="Y12" i="26"/>
  <c r="Y19" i="26" s="1"/>
  <c r="X13" i="26"/>
  <c r="Y112" i="26"/>
  <c r="Y94" i="26" s="1"/>
  <c r="Y92" i="26"/>
  <c r="Y43" i="26"/>
  <c r="Y49" i="26"/>
  <c r="Y54" i="26"/>
  <c r="X49" i="17" l="1"/>
  <c r="Y49" i="17"/>
  <c r="AJ72" i="9"/>
  <c r="AJ58" i="36"/>
  <c r="AJ69" i="36"/>
  <c r="AJ71" i="36" s="1"/>
  <c r="AJ63" i="36"/>
  <c r="X44" i="17"/>
  <c r="Y44" i="17"/>
  <c r="AX134" i="9"/>
  <c r="BF134" i="9" s="1"/>
  <c r="AX88" i="9"/>
  <c r="BF88" i="9" s="1"/>
  <c r="AX33" i="9"/>
  <c r="BF33" i="9" s="1"/>
  <c r="AX11" i="9"/>
  <c r="BF11" i="9" s="1"/>
  <c r="AX51" i="9"/>
  <c r="BF51" i="9" s="1"/>
  <c r="AX13" i="9"/>
  <c r="BF13" i="9" s="1"/>
  <c r="AX45" i="9"/>
  <c r="BF45" i="9" s="1"/>
  <c r="AX12" i="9"/>
  <c r="BF12" i="9" s="1"/>
  <c r="AX135" i="9"/>
  <c r="BF135" i="9" s="1"/>
  <c r="AX16" i="9"/>
  <c r="BF16" i="9" s="1"/>
  <c r="AW15" i="26"/>
  <c r="BE15" i="26" s="1"/>
  <c r="AS38" i="9"/>
  <c r="AO20" i="35"/>
  <c r="AF38" i="9"/>
  <c r="Y53" i="72"/>
  <c r="AE29" i="9"/>
  <c r="BP63" i="71"/>
  <c r="AJ94" i="9"/>
  <c r="AI19" i="15" s="1"/>
  <c r="AJ93" i="9"/>
  <c r="AJ53" i="9"/>
  <c r="AJ32" i="9"/>
  <c r="AP32" i="9" s="1"/>
  <c r="AT32" i="9" s="1"/>
  <c r="AJ25" i="9"/>
  <c r="AJ52" i="9" s="1"/>
  <c r="AF29" i="9"/>
  <c r="BQ63" i="71"/>
  <c r="AF10" i="9"/>
  <c r="AF82" i="9"/>
  <c r="AI61" i="59" s="1"/>
  <c r="AO20" i="9"/>
  <c r="AP67" i="9"/>
  <c r="AB36" i="9"/>
  <c r="AF30" i="9"/>
  <c r="AF86" i="9"/>
  <c r="AP66" i="9"/>
  <c r="AF58" i="36"/>
  <c r="AF72" i="9"/>
  <c r="AF53" i="9"/>
  <c r="AF93" i="9"/>
  <c r="AF94" i="9"/>
  <c r="AE19" i="15" s="1"/>
  <c r="AP59" i="9"/>
  <c r="AF63" i="36"/>
  <c r="AF69" i="36"/>
  <c r="AF71" i="36" s="1"/>
  <c r="AF87" i="9"/>
  <c r="AI60" i="59" s="1"/>
  <c r="AF25" i="9"/>
  <c r="AF52" i="9" s="1"/>
  <c r="AI57" i="59" s="1"/>
  <c r="AP68" i="9"/>
  <c r="AP58" i="9"/>
  <c r="AP63" i="9"/>
  <c r="Y53" i="17"/>
  <c r="Y37" i="17"/>
  <c r="Y39" i="17" s="1"/>
  <c r="X53" i="17"/>
  <c r="X37" i="17"/>
  <c r="X39" i="17" s="1"/>
  <c r="X21" i="17"/>
  <c r="AA15" i="15"/>
  <c r="AE15" i="15" s="1"/>
  <c r="AI15" i="15" s="1"/>
  <c r="AB139" i="9"/>
  <c r="AF139" i="9" s="1"/>
  <c r="AJ139" i="9" s="1"/>
  <c r="AB138" i="9"/>
  <c r="AF138" i="9" s="1"/>
  <c r="AJ138" i="9" s="1"/>
  <c r="AB136" i="9"/>
  <c r="AF136" i="9" s="1"/>
  <c r="AJ136" i="9" s="1"/>
  <c r="AA101" i="9"/>
  <c r="AE101" i="9" s="1"/>
  <c r="AI101" i="9" s="1"/>
  <c r="AB137" i="9"/>
  <c r="AF137" i="9" s="1"/>
  <c r="AJ137" i="9" s="1"/>
  <c r="AB34" i="9"/>
  <c r="AF34" i="9" s="1"/>
  <c r="AB101" i="9"/>
  <c r="AF101" i="9" s="1"/>
  <c r="AJ101" i="9" s="1"/>
  <c r="AB31" i="9"/>
  <c r="AF31" i="9" s="1"/>
  <c r="AB35" i="9"/>
  <c r="AF35" i="9" s="1"/>
  <c r="Z37" i="9"/>
  <c r="AB46" i="9"/>
  <c r="AF46" i="9" s="1"/>
  <c r="AJ46" i="9" s="1"/>
  <c r="Y18" i="26"/>
  <c r="Z131" i="7"/>
  <c r="Z130" i="7"/>
  <c r="Y13" i="26"/>
  <c r="Z10" i="9"/>
  <c r="AS20" i="35" l="1"/>
  <c r="Y85" i="17"/>
  <c r="X85" i="17"/>
  <c r="AJ66" i="36"/>
  <c r="AJ68" i="36" s="1"/>
  <c r="AJ60" i="36"/>
  <c r="BU63" i="71"/>
  <c r="AW38" i="9"/>
  <c r="AI29" i="9"/>
  <c r="AI19" i="35" s="1"/>
  <c r="BT63" i="71"/>
  <c r="AX32" i="9"/>
  <c r="BF32" i="9" s="1"/>
  <c r="Z132" i="7"/>
  <c r="AJ35" i="9"/>
  <c r="AP35" i="9" s="1"/>
  <c r="AT35" i="9" s="1"/>
  <c r="AJ29" i="9"/>
  <c r="AJ31" i="9"/>
  <c r="AP31" i="9" s="1"/>
  <c r="AT31" i="9" s="1"/>
  <c r="AJ34" i="9"/>
  <c r="AP34" i="9" s="1"/>
  <c r="AT34" i="9" s="1"/>
  <c r="AJ30" i="9"/>
  <c r="AP30" i="9" s="1"/>
  <c r="AT30" i="9" s="1"/>
  <c r="AJ38" i="9"/>
  <c r="AC53" i="72"/>
  <c r="AP46" i="9"/>
  <c r="AJ20" i="35"/>
  <c r="AF36" i="9"/>
  <c r="AT63" i="9"/>
  <c r="AX63" i="9" s="1"/>
  <c r="AX80" i="9" s="1"/>
  <c r="AP80" i="9"/>
  <c r="AP20" i="9"/>
  <c r="AP55" i="9"/>
  <c r="AP69" i="9"/>
  <c r="AT67" i="9"/>
  <c r="AX67" i="9" s="1"/>
  <c r="AX84" i="9" s="1"/>
  <c r="AP84" i="9"/>
  <c r="AP65" i="9"/>
  <c r="AM61" i="59"/>
  <c r="AT68" i="9"/>
  <c r="AX68" i="9" s="1"/>
  <c r="AX85" i="9" s="1"/>
  <c r="AP85" i="9"/>
  <c r="AP24" i="9"/>
  <c r="AO101" i="9"/>
  <c r="AS20" i="9"/>
  <c r="AW20" i="9" s="1"/>
  <c r="AP70" i="9"/>
  <c r="AM60" i="59"/>
  <c r="AP92" i="9"/>
  <c r="AT66" i="9"/>
  <c r="AX66" i="9" s="1"/>
  <c r="AX83" i="9" s="1"/>
  <c r="AP83" i="9"/>
  <c r="AP9" i="9"/>
  <c r="AT58" i="9"/>
  <c r="AX58" i="9" s="1"/>
  <c r="AX75" i="9" s="1"/>
  <c r="AP61" i="36"/>
  <c r="AP75" i="9"/>
  <c r="AP22" i="9"/>
  <c r="AM57" i="59"/>
  <c r="AT59" i="9"/>
  <c r="AX59" i="9" s="1"/>
  <c r="AX76" i="9" s="1"/>
  <c r="AP62" i="36"/>
  <c r="AP70" i="36" s="1"/>
  <c r="AQ70" i="36" s="1"/>
  <c r="AP76" i="9"/>
  <c r="AP23" i="9"/>
  <c r="AF60" i="36"/>
  <c r="AF66" i="36"/>
  <c r="AF68" i="36" s="1"/>
  <c r="X25" i="17"/>
  <c r="AB37" i="9"/>
  <c r="AF37" i="9" s="1"/>
  <c r="AJ37" i="9" s="1"/>
  <c r="Z133" i="7"/>
  <c r="Z25" i="9"/>
  <c r="Z93" i="9"/>
  <c r="AW20" i="35" l="1"/>
  <c r="BE38" i="9"/>
  <c r="AT53" i="72"/>
  <c r="BX63" i="71"/>
  <c r="AX30" i="9"/>
  <c r="BF30" i="9" s="1"/>
  <c r="AX35" i="9"/>
  <c r="BF35" i="9" s="1"/>
  <c r="AX34" i="9"/>
  <c r="BF34" i="9" s="1"/>
  <c r="AX31" i="9"/>
  <c r="BF31" i="9" s="1"/>
  <c r="AO29" i="9"/>
  <c r="AO19" i="35" s="1"/>
  <c r="AS19" i="35" s="1"/>
  <c r="AW19" i="35" s="1"/>
  <c r="BE19" i="35" s="1"/>
  <c r="AP29" i="9"/>
  <c r="BY63" i="71"/>
  <c r="AT46" i="9"/>
  <c r="AP20" i="35"/>
  <c r="AP38" i="9"/>
  <c r="AG53" i="72"/>
  <c r="AJ36" i="9"/>
  <c r="AP37" i="9"/>
  <c r="AJ19" i="35"/>
  <c r="AT84" i="9"/>
  <c r="AT85" i="9"/>
  <c r="AP138" i="9"/>
  <c r="AT83" i="9"/>
  <c r="BF59" i="9"/>
  <c r="AX62" i="36"/>
  <c r="AX70" i="36" s="1"/>
  <c r="AY70" i="36" s="1"/>
  <c r="BE20" i="9"/>
  <c r="BF58" i="9"/>
  <c r="AX61" i="36"/>
  <c r="AT80" i="9"/>
  <c r="AS101" i="9"/>
  <c r="AW101" i="9" s="1"/>
  <c r="AP101" i="9"/>
  <c r="AF19" i="36"/>
  <c r="AP137" i="9"/>
  <c r="AT22" i="9"/>
  <c r="AX22" i="9" s="1"/>
  <c r="AT20" i="9"/>
  <c r="AP53" i="9"/>
  <c r="AP136" i="9"/>
  <c r="AT9" i="9"/>
  <c r="AX9" i="9" s="1"/>
  <c r="AP10" i="9"/>
  <c r="AT70" i="9"/>
  <c r="AX70" i="9" s="1"/>
  <c r="AX87" i="9" s="1"/>
  <c r="AP87" i="9"/>
  <c r="AS60" i="59" s="1"/>
  <c r="AP25" i="9"/>
  <c r="AP52" i="9" s="1"/>
  <c r="AS57" i="59" s="1"/>
  <c r="AT23" i="9"/>
  <c r="AX23" i="9" s="1"/>
  <c r="AT62" i="36"/>
  <c r="AT70" i="36" s="1"/>
  <c r="AU70" i="36" s="1"/>
  <c r="AT76" i="9"/>
  <c r="AP63" i="36"/>
  <c r="AP69" i="36"/>
  <c r="AP71" i="36" s="1"/>
  <c r="AP139" i="9"/>
  <c r="AT24" i="9"/>
  <c r="AX24" i="9" s="1"/>
  <c r="AT55" i="9"/>
  <c r="AX55" i="9" s="1"/>
  <c r="AX72" i="9" s="1"/>
  <c r="AP58" i="36"/>
  <c r="AP72" i="9"/>
  <c r="AT61" i="36"/>
  <c r="AT75" i="9"/>
  <c r="AT92" i="9"/>
  <c r="AP93" i="9"/>
  <c r="AP94" i="9"/>
  <c r="AO19" i="15" s="1"/>
  <c r="AT65" i="9"/>
  <c r="AX65" i="9" s="1"/>
  <c r="AX82" i="9" s="1"/>
  <c r="AP82" i="9"/>
  <c r="AS61" i="59" s="1"/>
  <c r="AT69" i="9"/>
  <c r="AX69" i="9" s="1"/>
  <c r="AX86" i="9" s="1"/>
  <c r="AP86" i="9"/>
  <c r="AO15" i="15"/>
  <c r="Z74" i="7"/>
  <c r="AB74" i="7" s="1"/>
  <c r="AF74" i="7" s="1"/>
  <c r="AJ74" i="7" s="1"/>
  <c r="AJ75" i="7" s="1"/>
  <c r="Y74" i="7"/>
  <c r="AA74" i="7" s="1"/>
  <c r="AE74" i="7" s="1"/>
  <c r="AI74" i="7" s="1"/>
  <c r="AI75" i="7" s="1"/>
  <c r="Z68" i="7"/>
  <c r="AB68" i="7" s="1"/>
  <c r="AF68" i="7" s="1"/>
  <c r="AJ68" i="7" s="1"/>
  <c r="Z66" i="7"/>
  <c r="AB66" i="7" s="1"/>
  <c r="AF66" i="7" s="1"/>
  <c r="Y66" i="7"/>
  <c r="Z65" i="7"/>
  <c r="AB65" i="7" s="1"/>
  <c r="AF65" i="7" s="1"/>
  <c r="AJ65" i="7" s="1"/>
  <c r="Y65" i="7"/>
  <c r="Z2" i="7"/>
  <c r="Y2" i="7"/>
  <c r="Y159" i="7" s="1"/>
  <c r="X1" i="7"/>
  <c r="X80" i="7" s="1"/>
  <c r="W1" i="7"/>
  <c r="W80" i="7" s="1"/>
  <c r="BE20" i="35" l="1"/>
  <c r="AT20" i="35"/>
  <c r="BF75" i="9"/>
  <c r="Z84" i="7"/>
  <c r="Z159" i="7"/>
  <c r="AT38" i="9"/>
  <c r="AQ53" i="72" s="1"/>
  <c r="AM53" i="72"/>
  <c r="AX92" i="9"/>
  <c r="BF92" i="9" s="1"/>
  <c r="AX20" i="9"/>
  <c r="AX53" i="9" s="1"/>
  <c r="CD63" i="71"/>
  <c r="AJ66" i="7"/>
  <c r="AP66" i="7" s="1"/>
  <c r="AT66" i="7" s="1"/>
  <c r="AX10" i="9"/>
  <c r="AT29" i="9"/>
  <c r="CE63" i="71"/>
  <c r="AS29" i="9"/>
  <c r="AX25" i="9"/>
  <c r="AX52" i="9" s="1"/>
  <c r="AX46" i="9"/>
  <c r="BF46" i="9" s="1"/>
  <c r="AT37" i="9"/>
  <c r="AP19" i="35"/>
  <c r="AT19" i="35" s="1"/>
  <c r="AX19" i="35" s="1"/>
  <c r="BF19" i="35" s="1"/>
  <c r="AP36" i="9"/>
  <c r="BF76" i="9"/>
  <c r="BF62" i="36"/>
  <c r="BF70" i="36" s="1"/>
  <c r="BF9" i="9"/>
  <c r="BF10" i="9" s="1"/>
  <c r="BF63" i="9"/>
  <c r="BF80" i="9" s="1"/>
  <c r="BE101" i="9"/>
  <c r="BF55" i="9"/>
  <c r="AX58" i="36"/>
  <c r="BF22" i="9"/>
  <c r="BF24" i="9"/>
  <c r="AT138" i="9"/>
  <c r="AX138" i="9" s="1"/>
  <c r="AT137" i="9"/>
  <c r="AX137" i="9" s="1"/>
  <c r="BF68" i="9"/>
  <c r="BF85" i="9" s="1"/>
  <c r="AX63" i="36"/>
  <c r="AX69" i="36"/>
  <c r="AX71" i="36" s="1"/>
  <c r="BF67" i="9"/>
  <c r="BF84" i="9" s="1"/>
  <c r="AT87" i="9"/>
  <c r="AW60" i="59" s="1"/>
  <c r="AT86" i="9"/>
  <c r="AT82" i="9"/>
  <c r="AW61" i="59" s="1"/>
  <c r="BF66" i="9"/>
  <c r="BF83" i="9" s="1"/>
  <c r="AT139" i="9"/>
  <c r="AX139" i="9" s="1"/>
  <c r="AS15" i="15"/>
  <c r="AW15" i="15" s="1"/>
  <c r="AT58" i="36"/>
  <c r="AT72" i="9"/>
  <c r="AT25" i="9"/>
  <c r="AT52" i="9" s="1"/>
  <c r="AW57" i="59" s="1"/>
  <c r="AE1" i="7"/>
  <c r="AE75" i="7"/>
  <c r="AT63" i="36"/>
  <c r="AT69" i="36"/>
  <c r="AT71" i="36" s="1"/>
  <c r="AF67" i="7"/>
  <c r="AF1" i="7"/>
  <c r="AF75" i="7"/>
  <c r="AT136" i="9"/>
  <c r="AX136" i="9" s="1"/>
  <c r="AT10" i="9"/>
  <c r="AT93" i="9"/>
  <c r="AT94" i="9"/>
  <c r="AS19" i="15" s="1"/>
  <c r="AP60" i="36"/>
  <c r="AP66" i="36"/>
  <c r="AP68" i="36" s="1"/>
  <c r="AT101" i="9"/>
  <c r="AT53" i="9"/>
  <c r="Z144" i="7"/>
  <c r="Z146" i="7" s="1"/>
  <c r="Z147" i="7" s="1"/>
  <c r="Y67" i="7"/>
  <c r="Z138" i="7"/>
  <c r="Z140" i="7" s="1"/>
  <c r="Z141" i="7" s="1"/>
  <c r="Z67" i="7"/>
  <c r="Z75" i="7"/>
  <c r="Y75" i="7"/>
  <c r="X123" i="7"/>
  <c r="X124" i="7" s="1"/>
  <c r="Z35" i="7" l="1"/>
  <c r="Z98" i="7" s="1"/>
  <c r="Z61" i="7"/>
  <c r="Z102" i="7" s="1"/>
  <c r="Z34" i="7"/>
  <c r="Z97" i="7" s="1"/>
  <c r="Z60" i="7"/>
  <c r="Z25" i="7"/>
  <c r="Z59" i="7"/>
  <c r="Z55" i="7"/>
  <c r="Z57" i="7"/>
  <c r="Z62" i="7"/>
  <c r="Z58" i="7"/>
  <c r="Z29" i="7"/>
  <c r="Z93" i="7" s="1"/>
  <c r="Z36" i="7"/>
  <c r="Z99" i="7" s="1"/>
  <c r="Z33" i="7"/>
  <c r="Z96" i="7" s="1"/>
  <c r="Z54" i="7"/>
  <c r="Z32" i="7"/>
  <c r="Z95" i="7" s="1"/>
  <c r="Z24" i="7"/>
  <c r="Z88" i="7" s="1"/>
  <c r="Z31" i="7"/>
  <c r="Z56" i="7"/>
  <c r="Z101" i="7" s="1"/>
  <c r="Z28" i="7"/>
  <c r="Z92" i="7" s="1"/>
  <c r="Z26" i="7"/>
  <c r="Z37" i="7"/>
  <c r="Z100" i="7" s="1"/>
  <c r="Z27" i="7"/>
  <c r="Z91" i="7" s="1"/>
  <c r="Z23" i="7"/>
  <c r="Z87" i="7" s="1"/>
  <c r="Y35" i="7"/>
  <c r="Y98" i="7" s="1"/>
  <c r="Y61" i="7"/>
  <c r="Y102" i="7" s="1"/>
  <c r="Y34" i="7"/>
  <c r="Y97" i="7" s="1"/>
  <c r="Y57" i="7"/>
  <c r="Y32" i="7"/>
  <c r="Y95" i="7" s="1"/>
  <c r="Y58" i="7"/>
  <c r="Y29" i="7"/>
  <c r="Y93" i="7" s="1"/>
  <c r="AB33" i="59" s="1"/>
  <c r="Y24" i="7"/>
  <c r="Y27" i="7"/>
  <c r="Y91" i="7" s="1"/>
  <c r="Y26" i="7"/>
  <c r="Y62" i="7"/>
  <c r="Y56" i="7"/>
  <c r="Y101" i="7" s="1"/>
  <c r="Y54" i="7"/>
  <c r="Y59" i="7"/>
  <c r="Y25" i="7"/>
  <c r="Y28" i="7"/>
  <c r="Y92" i="7" s="1"/>
  <c r="Y37" i="7"/>
  <c r="Y100" i="7" s="1"/>
  <c r="Y31" i="7"/>
  <c r="Y36" i="7"/>
  <c r="Y99" i="7" s="1"/>
  <c r="Y60" i="7"/>
  <c r="Y55" i="7"/>
  <c r="Y33" i="7"/>
  <c r="Y96" i="7" s="1"/>
  <c r="Y23" i="7"/>
  <c r="Y87" i="7" s="1"/>
  <c r="AB29" i="59" s="1"/>
  <c r="AX20" i="35"/>
  <c r="AF62" i="7"/>
  <c r="AF61" i="7"/>
  <c r="AF102" i="7" s="1"/>
  <c r="AF60" i="7"/>
  <c r="AF59" i="7"/>
  <c r="AF58" i="7"/>
  <c r="AF57" i="7"/>
  <c r="AF56" i="7"/>
  <c r="AF101" i="7" s="1"/>
  <c r="AF55" i="7"/>
  <c r="AF54" i="7"/>
  <c r="AF35" i="7"/>
  <c r="AF98" i="7" s="1"/>
  <c r="AF34" i="7"/>
  <c r="AF97" i="7" s="1"/>
  <c r="AF27" i="7"/>
  <c r="AF91" i="7" s="1"/>
  <c r="AF37" i="7"/>
  <c r="AF100" i="7" s="1"/>
  <c r="AF33" i="7"/>
  <c r="AF96" i="7" s="1"/>
  <c r="AF29" i="7"/>
  <c r="AF93" i="7" s="1"/>
  <c r="AI33" i="59" s="1"/>
  <c r="AF26" i="7"/>
  <c r="AF25" i="7"/>
  <c r="AF36" i="7"/>
  <c r="AF99" i="7" s="1"/>
  <c r="AF32" i="7"/>
  <c r="AF95" i="7" s="1"/>
  <c r="AF31" i="7"/>
  <c r="AI34" i="59" s="1"/>
  <c r="AF28" i="7"/>
  <c r="AF92" i="7" s="1"/>
  <c r="AF24" i="7"/>
  <c r="AF88" i="7" s="1"/>
  <c r="AF23" i="7"/>
  <c r="AF87" i="7" s="1"/>
  <c r="BF72" i="9"/>
  <c r="AX38" i="9"/>
  <c r="BF38" i="9" s="1"/>
  <c r="BC53" i="72" s="1"/>
  <c r="AJ67" i="7"/>
  <c r="AJ69" i="7" s="1"/>
  <c r="AX94" i="9"/>
  <c r="AW19" i="15" s="1"/>
  <c r="AX93" i="9"/>
  <c r="AX101" i="9"/>
  <c r="BF20" i="9"/>
  <c r="BF53" i="9" s="1"/>
  <c r="AX66" i="7"/>
  <c r="CI63" i="71"/>
  <c r="AX29" i="9"/>
  <c r="CH63" i="71"/>
  <c r="AW29" i="9"/>
  <c r="AX37" i="9"/>
  <c r="BF37" i="9" s="1"/>
  <c r="BF136" i="9"/>
  <c r="Y76" i="7"/>
  <c r="AT36" i="9"/>
  <c r="BF139" i="9"/>
  <c r="BF137" i="9"/>
  <c r="BF94" i="9"/>
  <c r="BE19" i="15" s="1"/>
  <c r="BF23" i="9"/>
  <c r="BF70" i="9"/>
  <c r="BF87" i="9" s="1"/>
  <c r="BI60" i="59" s="1"/>
  <c r="BA60" i="59"/>
  <c r="AX60" i="36"/>
  <c r="AX66" i="36"/>
  <c r="AX68" i="36" s="1"/>
  <c r="AX19" i="36" s="1"/>
  <c r="BA56" i="59" s="1"/>
  <c r="BF65" i="9"/>
  <c r="BF82" i="9" s="1"/>
  <c r="BI61" i="59" s="1"/>
  <c r="BA61" i="59"/>
  <c r="BF69" i="9"/>
  <c r="BF86" i="9" s="1"/>
  <c r="BA57" i="59"/>
  <c r="AO74" i="7"/>
  <c r="AI1" i="7"/>
  <c r="AJ1" i="7"/>
  <c r="AJ80" i="7" s="1"/>
  <c r="AP74" i="7"/>
  <c r="AT60" i="36"/>
  <c r="AT66" i="36"/>
  <c r="AT68" i="36" s="1"/>
  <c r="AP19" i="36"/>
  <c r="AS56" i="59" s="1"/>
  <c r="AP65" i="7"/>
  <c r="AP68" i="7"/>
  <c r="AF76" i="7"/>
  <c r="AF81" i="7"/>
  <c r="AI28" i="59" s="1"/>
  <c r="AF80" i="7"/>
  <c r="AF78" i="7"/>
  <c r="AF69" i="7"/>
  <c r="Z76" i="7"/>
  <c r="Z109" i="7"/>
  <c r="Z110" i="7"/>
  <c r="Z111" i="7"/>
  <c r="Z113" i="7"/>
  <c r="Z112" i="7"/>
  <c r="AB34" i="59"/>
  <c r="Z81" i="7"/>
  <c r="AC28" i="59" s="1"/>
  <c r="Y81" i="7"/>
  <c r="AB28" i="59" s="1"/>
  <c r="Z78" i="7"/>
  <c r="Z69" i="7"/>
  <c r="Z123" i="7"/>
  <c r="Z124" i="7" s="1"/>
  <c r="Z125" i="7" s="1"/>
  <c r="X125" i="7"/>
  <c r="X126" i="7"/>
  <c r="X127" i="7" s="1"/>
  <c r="Z90" i="7" l="1"/>
  <c r="AC32" i="59" s="1"/>
  <c r="Y90" i="7"/>
  <c r="AB32" i="59" s="1"/>
  <c r="Y88" i="7"/>
  <c r="Z89" i="7"/>
  <c r="Y89" i="7"/>
  <c r="AF90" i="7"/>
  <c r="AI32" i="59" s="1"/>
  <c r="AJ81" i="7"/>
  <c r="AM28" i="59" s="1"/>
  <c r="AU53" i="72"/>
  <c r="BF20" i="35"/>
  <c r="AF89" i="7"/>
  <c r="AI31" i="59" s="1"/>
  <c r="AJ62" i="7"/>
  <c r="AJ61" i="7"/>
  <c r="AJ102" i="7" s="1"/>
  <c r="AJ60" i="7"/>
  <c r="AJ59" i="7"/>
  <c r="AJ58" i="7"/>
  <c r="AJ57" i="7"/>
  <c r="AJ56" i="7"/>
  <c r="AJ101" i="7" s="1"/>
  <c r="AJ55" i="7"/>
  <c r="AJ54" i="7"/>
  <c r="AJ35" i="7"/>
  <c r="AJ98" i="7" s="1"/>
  <c r="AJ34" i="7"/>
  <c r="AJ97" i="7" s="1"/>
  <c r="AJ27" i="7"/>
  <c r="AJ91" i="7" s="1"/>
  <c r="AJ32" i="7"/>
  <c r="AJ95" i="7" s="1"/>
  <c r="AJ37" i="7"/>
  <c r="AJ100" i="7" s="1"/>
  <c r="AJ36" i="7"/>
  <c r="AJ99" i="7" s="1"/>
  <c r="AJ28" i="7"/>
  <c r="AJ92" i="7" s="1"/>
  <c r="AJ26" i="7"/>
  <c r="AJ25" i="7"/>
  <c r="AJ31" i="7"/>
  <c r="AM34" i="59" s="1"/>
  <c r="AJ29" i="7"/>
  <c r="AJ93" i="7" s="1"/>
  <c r="AM33" i="59" s="1"/>
  <c r="AJ33" i="7"/>
  <c r="AJ96" i="7" s="1"/>
  <c r="AJ24" i="7"/>
  <c r="AJ23" i="7"/>
  <c r="AJ87" i="7" s="1"/>
  <c r="AJ76" i="7"/>
  <c r="AJ78" i="7"/>
  <c r="BF93" i="9"/>
  <c r="BF101" i="9"/>
  <c r="CM63" i="71"/>
  <c r="CL63" i="71"/>
  <c r="BF66" i="7"/>
  <c r="AX36" i="9"/>
  <c r="BE29" i="9"/>
  <c r="BF29" i="9"/>
  <c r="AP1" i="7"/>
  <c r="AO1" i="7"/>
  <c r="Y38" i="7"/>
  <c r="Y53" i="7" s="1"/>
  <c r="AC31" i="59"/>
  <c r="BF138" i="9"/>
  <c r="BE15" i="15"/>
  <c r="BF25" i="9"/>
  <c r="BF52" i="9" s="1"/>
  <c r="BI57" i="59" s="1"/>
  <c r="AI30" i="59"/>
  <c r="AT65" i="7"/>
  <c r="AX65" i="7" s="1"/>
  <c r="AP67" i="7"/>
  <c r="AT19" i="36"/>
  <c r="AW56" i="59" s="1"/>
  <c r="AC30" i="59"/>
  <c r="AF38" i="7"/>
  <c r="AF53" i="7" s="1"/>
  <c r="AT68" i="7"/>
  <c r="AT74" i="7"/>
  <c r="AX74" i="7" s="1"/>
  <c r="AX75" i="7" s="1"/>
  <c r="AP75" i="7"/>
  <c r="AS74" i="7"/>
  <c r="AW74" i="7" s="1"/>
  <c r="AW75" i="7" s="1"/>
  <c r="AO75" i="7"/>
  <c r="AC34" i="59"/>
  <c r="AC33" i="59"/>
  <c r="AC29" i="59"/>
  <c r="Z38" i="7"/>
  <c r="Z126" i="7"/>
  <c r="Z127" i="7" s="1"/>
  <c r="X128" i="7"/>
  <c r="AJ88" i="7" l="1"/>
  <c r="AJ89" i="7"/>
  <c r="AJ103" i="7" s="1"/>
  <c r="AJ90" i="7"/>
  <c r="AM32" i="59" s="1"/>
  <c r="AP62" i="7"/>
  <c r="AP61" i="7"/>
  <c r="AP102" i="7" s="1"/>
  <c r="AP60" i="7"/>
  <c r="AP59" i="7"/>
  <c r="AP58" i="7"/>
  <c r="AP57" i="7"/>
  <c r="AP56" i="7"/>
  <c r="AP101" i="7" s="1"/>
  <c r="AP55" i="7"/>
  <c r="AP54" i="7"/>
  <c r="AP35" i="7"/>
  <c r="AP98" i="7" s="1"/>
  <c r="AP34" i="7"/>
  <c r="AP97" i="7" s="1"/>
  <c r="AP25" i="7"/>
  <c r="AP32" i="7"/>
  <c r="AP95" i="7" s="1"/>
  <c r="AP37" i="7"/>
  <c r="AP100" i="7" s="1"/>
  <c r="AP26" i="7"/>
  <c r="AP31" i="7"/>
  <c r="AP27" i="7"/>
  <c r="AP91" i="7" s="1"/>
  <c r="AP29" i="7"/>
  <c r="AP93" i="7" s="1"/>
  <c r="AS33" i="59" s="1"/>
  <c r="AP36" i="7"/>
  <c r="AP99" i="7" s="1"/>
  <c r="AP28" i="7"/>
  <c r="AP92" i="7" s="1"/>
  <c r="AP33" i="7"/>
  <c r="AP96" i="7" s="1"/>
  <c r="AP24" i="7"/>
  <c r="AP23" i="7"/>
  <c r="AP87" i="7" s="1"/>
  <c r="Z53" i="7"/>
  <c r="Z77" i="7" s="1"/>
  <c r="AJ38" i="7"/>
  <c r="AJ53" i="7" s="1"/>
  <c r="AJ77" i="7" s="1"/>
  <c r="AX67" i="7"/>
  <c r="CU63" i="71"/>
  <c r="CT63" i="71"/>
  <c r="AX68" i="7"/>
  <c r="Y77" i="7"/>
  <c r="Y63" i="7"/>
  <c r="AM31" i="59"/>
  <c r="AX1" i="7"/>
  <c r="BF74" i="7"/>
  <c r="AW1" i="7"/>
  <c r="BE74" i="7"/>
  <c r="AP69" i="7"/>
  <c r="AT67" i="7"/>
  <c r="BF36" i="9"/>
  <c r="AM30" i="59"/>
  <c r="AS1" i="7"/>
  <c r="AS75" i="7"/>
  <c r="AF63" i="7"/>
  <c r="AF77" i="7"/>
  <c r="AT1" i="7"/>
  <c r="AT75" i="7"/>
  <c r="AI29" i="59"/>
  <c r="AF103" i="7"/>
  <c r="AP81" i="7"/>
  <c r="AS28" i="59" s="1"/>
  <c r="AP76" i="7"/>
  <c r="AP80" i="7"/>
  <c r="AP78" i="7"/>
  <c r="AS34" i="59"/>
  <c r="Z128" i="7"/>
  <c r="X135" i="7"/>
  <c r="AD3" i="38"/>
  <c r="AC3" i="38"/>
  <c r="AX80" i="7" l="1"/>
  <c r="AP88" i="7"/>
  <c r="AP89" i="7"/>
  <c r="AP90" i="7"/>
  <c r="AS32" i="59" s="1"/>
  <c r="AT62" i="7"/>
  <c r="AT61" i="7"/>
  <c r="AT102" i="7" s="1"/>
  <c r="AT60" i="7"/>
  <c r="AT59" i="7"/>
  <c r="AT58" i="7"/>
  <c r="AT57" i="7"/>
  <c r="AT56" i="7"/>
  <c r="AT101" i="7" s="1"/>
  <c r="AT55" i="7"/>
  <c r="AT54" i="7"/>
  <c r="AT35" i="7"/>
  <c r="AT98" i="7" s="1"/>
  <c r="AT34" i="7"/>
  <c r="AT97" i="7" s="1"/>
  <c r="AT26" i="7"/>
  <c r="AT37" i="7"/>
  <c r="AT100" i="7" s="1"/>
  <c r="AT29" i="7"/>
  <c r="AT93" i="7" s="1"/>
  <c r="AT27" i="7"/>
  <c r="AT91" i="7" s="1"/>
  <c r="AT32" i="7"/>
  <c r="AT95" i="7" s="1"/>
  <c r="AT31" i="7"/>
  <c r="AW34" i="59" s="1"/>
  <c r="AT25" i="7"/>
  <c r="AT36" i="7"/>
  <c r="AT99" i="7" s="1"/>
  <c r="AT28" i="7"/>
  <c r="AT92" i="7" s="1"/>
  <c r="AT24" i="7"/>
  <c r="AT33" i="7"/>
  <c r="AT96" i="7" s="1"/>
  <c r="AT23" i="7"/>
  <c r="AT87" i="7" s="1"/>
  <c r="AX62" i="7"/>
  <c r="AX61" i="7"/>
  <c r="AX102" i="7" s="1"/>
  <c r="AX60" i="7"/>
  <c r="AX59" i="7"/>
  <c r="AX58" i="7"/>
  <c r="AX57" i="7"/>
  <c r="AX56" i="7"/>
  <c r="AX101" i="7" s="1"/>
  <c r="AX55" i="7"/>
  <c r="AX54" i="7"/>
  <c r="AX35" i="7"/>
  <c r="AX98" i="7" s="1"/>
  <c r="AX34" i="7"/>
  <c r="AX97" i="7" s="1"/>
  <c r="AX26" i="7"/>
  <c r="AX31" i="7"/>
  <c r="AX32" i="7"/>
  <c r="AX95" i="7" s="1"/>
  <c r="AX37" i="7"/>
  <c r="AX100" i="7" s="1"/>
  <c r="AX29" i="7"/>
  <c r="AX93" i="7" s="1"/>
  <c r="AX27" i="7"/>
  <c r="AX91" i="7" s="1"/>
  <c r="AX25" i="7"/>
  <c r="AX24" i="7"/>
  <c r="AX33" i="7"/>
  <c r="AX96" i="7" s="1"/>
  <c r="AX36" i="7"/>
  <c r="AX99" i="7" s="1"/>
  <c r="AX28" i="7"/>
  <c r="AX92" i="7" s="1"/>
  <c r="AX23" i="7"/>
  <c r="AX87" i="7" s="1"/>
  <c r="AJ63" i="7"/>
  <c r="AX78" i="7"/>
  <c r="AX81" i="7"/>
  <c r="AX76" i="7"/>
  <c r="BF68" i="7"/>
  <c r="AX69" i="7"/>
  <c r="AT81" i="7"/>
  <c r="AW28" i="59" s="1"/>
  <c r="AT78" i="7"/>
  <c r="AT76" i="7"/>
  <c r="AT80" i="7"/>
  <c r="AT69" i="7"/>
  <c r="AD59" i="38"/>
  <c r="AD58" i="38"/>
  <c r="AC59" i="38"/>
  <c r="AC58" i="38"/>
  <c r="AW33" i="59"/>
  <c r="BE1" i="7"/>
  <c r="BE75" i="7"/>
  <c r="BF1" i="7"/>
  <c r="BF75" i="7"/>
  <c r="BF65" i="7"/>
  <c r="AM29" i="59"/>
  <c r="AS30" i="59"/>
  <c r="AP38" i="7"/>
  <c r="AP53" i="7" s="1"/>
  <c r="AS31" i="59"/>
  <c r="AC51" i="38"/>
  <c r="AC65" i="38"/>
  <c r="AD51" i="38"/>
  <c r="AD65" i="38"/>
  <c r="Z135" i="7"/>
  <c r="AA81" i="8"/>
  <c r="AT88" i="7" l="1"/>
  <c r="AX90" i="7"/>
  <c r="BA32" i="59" s="1"/>
  <c r="AT90" i="7"/>
  <c r="AW32" i="59" s="1"/>
  <c r="AX88" i="7"/>
  <c r="AT89" i="7"/>
  <c r="AW31" i="59" s="1"/>
  <c r="AX89" i="7"/>
  <c r="AX103" i="7" s="1"/>
  <c r="BF67" i="7"/>
  <c r="BF80" i="7" s="1"/>
  <c r="AX38" i="7"/>
  <c r="AW30" i="59"/>
  <c r="AT38" i="7"/>
  <c r="BA28" i="59"/>
  <c r="BA34" i="59"/>
  <c r="BA33" i="59"/>
  <c r="AS29" i="59"/>
  <c r="AP103" i="7"/>
  <c r="AP77" i="7"/>
  <c r="AP63" i="7"/>
  <c r="AW29" i="59"/>
  <c r="AD44" i="59"/>
  <c r="BF62" i="7" l="1"/>
  <c r="BF61" i="7"/>
  <c r="BF102" i="7" s="1"/>
  <c r="BF60" i="7"/>
  <c r="BF59" i="7"/>
  <c r="BF58" i="7"/>
  <c r="BF57" i="7"/>
  <c r="BF56" i="7"/>
  <c r="BF101" i="7" s="1"/>
  <c r="BF55" i="7"/>
  <c r="BF54" i="7"/>
  <c r="BF35" i="7"/>
  <c r="BF98" i="7" s="1"/>
  <c r="BF34" i="7"/>
  <c r="BF97" i="7" s="1"/>
  <c r="BF32" i="7"/>
  <c r="BF95" i="7" s="1"/>
  <c r="BF31" i="7"/>
  <c r="BF26" i="7"/>
  <c r="BF37" i="7"/>
  <c r="BF100" i="7" s="1"/>
  <c r="BF29" i="7"/>
  <c r="BF93" i="7" s="1"/>
  <c r="BI33" i="59" s="1"/>
  <c r="BF27" i="7"/>
  <c r="BF91" i="7" s="1"/>
  <c r="BF25" i="7"/>
  <c r="BF36" i="7"/>
  <c r="BF99" i="7" s="1"/>
  <c r="BF28" i="7"/>
  <c r="BF92" i="7" s="1"/>
  <c r="BF33" i="7"/>
  <c r="BF96" i="7" s="1"/>
  <c r="BF24" i="7"/>
  <c r="BF88" i="7" s="1"/>
  <c r="BI30" i="59" s="1"/>
  <c r="BF23" i="7"/>
  <c r="BF87" i="7" s="1"/>
  <c r="AX53" i="7"/>
  <c r="AX77" i="7" s="1"/>
  <c r="AT53" i="7"/>
  <c r="AT77" i="7" s="1"/>
  <c r="BF78" i="7"/>
  <c r="BI34" i="59"/>
  <c r="BF81" i="7"/>
  <c r="BI28" i="59" s="1"/>
  <c r="BF76" i="7"/>
  <c r="BF69" i="7"/>
  <c r="AT103" i="7"/>
  <c r="BA29" i="59"/>
  <c r="BA31" i="59"/>
  <c r="BA30" i="59"/>
  <c r="BF90" i="7" l="1"/>
  <c r="BI32" i="59" s="1"/>
  <c r="BF89" i="7"/>
  <c r="BI31" i="59" s="1"/>
  <c r="AX63" i="7"/>
  <c r="AT63" i="7"/>
  <c r="BF38" i="7"/>
  <c r="BF53" i="7" s="1"/>
  <c r="BF77" i="7" s="1"/>
  <c r="BI29" i="59"/>
  <c r="BF103" i="7"/>
  <c r="AB44" i="59"/>
  <c r="BF63" i="7" l="1"/>
  <c r="Z85" i="8"/>
  <c r="AB85" i="8" s="1"/>
  <c r="Z57" i="8"/>
  <c r="Z55" i="8"/>
  <c r="Z60" i="8"/>
  <c r="AB60" i="8" s="1"/>
  <c r="AF60" i="8" s="1"/>
  <c r="Y61" i="8"/>
  <c r="AA61" i="8" s="1"/>
  <c r="Z33" i="8"/>
  <c r="Y33" i="8"/>
  <c r="Z23" i="8"/>
  <c r="Z150" i="8" s="1"/>
  <c r="Z18" i="8"/>
  <c r="Y8" i="15" s="1"/>
  <c r="Y14" i="15" s="1"/>
  <c r="Y18" i="8"/>
  <c r="Z17" i="8"/>
  <c r="AB17" i="8" s="1"/>
  <c r="AF17" i="8" s="1"/>
  <c r="Y17" i="8"/>
  <c r="AA17" i="8" s="1"/>
  <c r="AE17" i="8" s="1"/>
  <c r="Z13" i="8"/>
  <c r="AB13" i="8" s="1"/>
  <c r="AF13" i="8" s="1"/>
  <c r="AJ13" i="8" s="1"/>
  <c r="AJ16" i="8" s="1"/>
  <c r="Z8" i="8"/>
  <c r="AB8" i="8" s="1"/>
  <c r="AF8" i="8" s="1"/>
  <c r="Y8" i="8"/>
  <c r="AA8" i="8" s="1"/>
  <c r="AE8" i="8" s="1"/>
  <c r="Z2" i="8"/>
  <c r="Y2" i="8"/>
  <c r="Y89" i="8" s="1"/>
  <c r="Z11" i="49" l="1"/>
  <c r="Z152" i="8"/>
  <c r="Z88" i="8"/>
  <c r="AJ8" i="8"/>
  <c r="AP8" i="8" s="1"/>
  <c r="AT8" i="8" s="1"/>
  <c r="AI8" i="8"/>
  <c r="AO8" i="8" s="1"/>
  <c r="AS8" i="8" s="1"/>
  <c r="AJ60" i="8"/>
  <c r="AP60" i="8" s="1"/>
  <c r="AJ17" i="8"/>
  <c r="AP17" i="8" s="1"/>
  <c r="AT17" i="8" s="1"/>
  <c r="AI17" i="8"/>
  <c r="AO17" i="8" s="1"/>
  <c r="AS17" i="8" s="1"/>
  <c r="Z89" i="8"/>
  <c r="AF85" i="8"/>
  <c r="AF16" i="8"/>
  <c r="X8" i="15"/>
  <c r="AA18" i="8"/>
  <c r="AE18" i="8" s="1"/>
  <c r="AI18" i="8" s="1"/>
  <c r="AH8" i="15" s="1"/>
  <c r="Y11" i="49"/>
  <c r="AA33" i="8"/>
  <c r="AE33" i="8" s="1"/>
  <c r="AI33" i="8" s="1"/>
  <c r="Z12" i="36"/>
  <c r="AB23" i="8"/>
  <c r="Z10" i="36"/>
  <c r="Z8" i="49"/>
  <c r="Z11" i="36"/>
  <c r="Z9" i="49"/>
  <c r="Z109" i="8"/>
  <c r="Z110" i="8" s="1"/>
  <c r="Z87" i="8"/>
  <c r="AB58" i="8"/>
  <c r="AF58" i="8" s="1"/>
  <c r="AJ58" i="8" s="1"/>
  <c r="AB64" i="8"/>
  <c r="AF64" i="8" s="1"/>
  <c r="AJ64" i="8" s="1"/>
  <c r="AB68" i="8"/>
  <c r="AF68" i="8" s="1"/>
  <c r="AJ68" i="8" s="1"/>
  <c r="AB18" i="8"/>
  <c r="AF18" i="8" s="1"/>
  <c r="AJ18" i="8" s="1"/>
  <c r="AI8" i="15" s="1"/>
  <c r="AI14" i="15" s="1"/>
  <c r="AB33" i="8"/>
  <c r="Z81" i="8"/>
  <c r="AC44" i="59" s="1"/>
  <c r="Z26" i="8"/>
  <c r="AF23" i="8" l="1"/>
  <c r="AB150" i="8"/>
  <c r="AF33" i="8"/>
  <c r="AJ33" i="8" s="1"/>
  <c r="AB152" i="8"/>
  <c r="AW17" i="8"/>
  <c r="BE17" i="8" s="1"/>
  <c r="AX17" i="8"/>
  <c r="BF17" i="8" s="1"/>
  <c r="AW8" i="8"/>
  <c r="BE8" i="8" s="1"/>
  <c r="AX8" i="8"/>
  <c r="BF8" i="8" s="1"/>
  <c r="AJ85" i="8"/>
  <c r="AF10" i="36"/>
  <c r="AF13" i="36" s="1"/>
  <c r="AJ23" i="8"/>
  <c r="BD60" i="8"/>
  <c r="AT60" i="8"/>
  <c r="AE8" i="15"/>
  <c r="AE14" i="15" s="1"/>
  <c r="AP68" i="8"/>
  <c r="AP64" i="8"/>
  <c r="AF26" i="8"/>
  <c r="AD8" i="15"/>
  <c r="AP58" i="8"/>
  <c r="AT58" i="8" s="1"/>
  <c r="AP13" i="8"/>
  <c r="Z13" i="36"/>
  <c r="Z111" i="8"/>
  <c r="Z112" i="8" s="1"/>
  <c r="Z53" i="8" s="1"/>
  <c r="AC42" i="59" s="1"/>
  <c r="Z52" i="8"/>
  <c r="AC41" i="59" s="1"/>
  <c r="AB109" i="8"/>
  <c r="AB111" i="8" s="1"/>
  <c r="AB54" i="8"/>
  <c r="AF54" i="8" s="1"/>
  <c r="AJ54" i="8" s="1"/>
  <c r="AB57" i="8"/>
  <c r="AB55" i="8"/>
  <c r="AF55" i="8" s="1"/>
  <c r="AJ55" i="8" s="1"/>
  <c r="Z188" i="6"/>
  <c r="Z163" i="6"/>
  <c r="Z119" i="6"/>
  <c r="AB119" i="6" s="1"/>
  <c r="AF119" i="6" s="1"/>
  <c r="AJ119" i="6" s="1"/>
  <c r="AP119" i="6" s="1"/>
  <c r="Y119" i="6"/>
  <c r="AA119" i="6" s="1"/>
  <c r="AE119" i="6" s="1"/>
  <c r="AI119" i="6" s="1"/>
  <c r="AO119" i="6" s="1"/>
  <c r="AS119" i="6" s="1"/>
  <c r="Z116" i="6"/>
  <c r="AB116" i="6" s="1"/>
  <c r="AF116" i="6" s="1"/>
  <c r="Y116" i="6"/>
  <c r="AA116" i="6" s="1"/>
  <c r="AE116" i="6" s="1"/>
  <c r="AI116" i="6" s="1"/>
  <c r="Y110" i="6"/>
  <c r="Y109" i="6"/>
  <c r="Z108" i="6"/>
  <c r="AB108" i="6" s="1"/>
  <c r="AF108" i="6" s="1"/>
  <c r="Y108" i="6"/>
  <c r="AA108" i="6" s="1"/>
  <c r="AE108" i="6" s="1"/>
  <c r="Z99" i="6"/>
  <c r="AB99" i="6" s="1"/>
  <c r="AF99" i="6" s="1"/>
  <c r="Y99" i="6"/>
  <c r="AA99" i="6" s="1"/>
  <c r="AE99" i="6" s="1"/>
  <c r="Y91" i="6"/>
  <c r="Z88" i="6"/>
  <c r="AB88" i="6" s="1"/>
  <c r="AF88" i="6" s="1"/>
  <c r="AJ88" i="6" s="1"/>
  <c r="AP88" i="6" s="1"/>
  <c r="AT88" i="6" s="1"/>
  <c r="Y88" i="6"/>
  <c r="AA88" i="6" s="1"/>
  <c r="AE88" i="6" s="1"/>
  <c r="AI88" i="6" s="1"/>
  <c r="AO88" i="6" s="1"/>
  <c r="AS88" i="6" s="1"/>
  <c r="Z87" i="6"/>
  <c r="AB87" i="6" s="1"/>
  <c r="AF87" i="6" s="1"/>
  <c r="AJ87" i="6" s="1"/>
  <c r="AP87" i="6" s="1"/>
  <c r="AT87" i="6" s="1"/>
  <c r="Y87" i="6"/>
  <c r="AA87" i="6" s="1"/>
  <c r="AE87" i="6" s="1"/>
  <c r="AI87" i="6" s="1"/>
  <c r="AO87" i="6" s="1"/>
  <c r="AS87" i="6" s="1"/>
  <c r="Z86" i="6"/>
  <c r="AB86" i="6" s="1"/>
  <c r="AF86" i="6" s="1"/>
  <c r="AJ86" i="6" s="1"/>
  <c r="AP86" i="6" s="1"/>
  <c r="AT86" i="6" s="1"/>
  <c r="Y86" i="6"/>
  <c r="AA86" i="6" s="1"/>
  <c r="AE86" i="6" s="1"/>
  <c r="AI86" i="6" s="1"/>
  <c r="AO86" i="6" s="1"/>
  <c r="AS86" i="6" s="1"/>
  <c r="Y76" i="6"/>
  <c r="AA76" i="6" s="1"/>
  <c r="AE76" i="6" s="1"/>
  <c r="AI76" i="6" s="1"/>
  <c r="AO76" i="6" s="1"/>
  <c r="AS76" i="6" s="1"/>
  <c r="Y75" i="6"/>
  <c r="AA75" i="6" s="1"/>
  <c r="AE75" i="6" s="1"/>
  <c r="AI75" i="6" s="1"/>
  <c r="AO75" i="6" s="1"/>
  <c r="Y74" i="6"/>
  <c r="AA74" i="6" s="1"/>
  <c r="AE74" i="6" s="1"/>
  <c r="AI74" i="6" s="1"/>
  <c r="AO74" i="6" s="1"/>
  <c r="AS74" i="6" s="1"/>
  <c r="Y73" i="6"/>
  <c r="AA73" i="6" s="1"/>
  <c r="AE73" i="6" s="1"/>
  <c r="AI73" i="6" s="1"/>
  <c r="AO73" i="6" s="1"/>
  <c r="AS73" i="6" s="1"/>
  <c r="Z72" i="6"/>
  <c r="AB72" i="6" s="1"/>
  <c r="AF72" i="6" s="1"/>
  <c r="Y72" i="6"/>
  <c r="AA72" i="6" s="1"/>
  <c r="AE72" i="6" s="1"/>
  <c r="Z70" i="6"/>
  <c r="AB70" i="6" s="1"/>
  <c r="AF70" i="6" s="1"/>
  <c r="AJ70" i="6" s="1"/>
  <c r="AP70" i="6" s="1"/>
  <c r="AT70" i="6" s="1"/>
  <c r="Y70" i="6"/>
  <c r="AA70" i="6" s="1"/>
  <c r="AE70" i="6" s="1"/>
  <c r="AI70" i="6" s="1"/>
  <c r="AO70" i="6" s="1"/>
  <c r="AS70" i="6" s="1"/>
  <c r="Z68" i="6"/>
  <c r="Y68" i="6"/>
  <c r="AA68" i="6" s="1"/>
  <c r="AE68" i="6" s="1"/>
  <c r="AI68" i="6" s="1"/>
  <c r="AO68" i="6" s="1"/>
  <c r="AS68" i="6" s="1"/>
  <c r="Z67" i="6"/>
  <c r="Y67" i="6"/>
  <c r="AA67" i="6" s="1"/>
  <c r="AE67" i="6" s="1"/>
  <c r="Z65" i="6"/>
  <c r="AB65" i="6" s="1"/>
  <c r="AF65" i="6" s="1"/>
  <c r="AJ65" i="6" s="1"/>
  <c r="AP65" i="6" s="1"/>
  <c r="AT65" i="6" s="1"/>
  <c r="AX65" i="6" s="1"/>
  <c r="Y65" i="6"/>
  <c r="AA65" i="6" s="1"/>
  <c r="AE65" i="6" s="1"/>
  <c r="AI65" i="6" s="1"/>
  <c r="AO65" i="6" s="1"/>
  <c r="AS65" i="6" s="1"/>
  <c r="Z64" i="6"/>
  <c r="AB64" i="6" s="1"/>
  <c r="AF64" i="6" s="1"/>
  <c r="Y64" i="6"/>
  <c r="AA64" i="6" s="1"/>
  <c r="AE64" i="6" s="1"/>
  <c r="Z31" i="6"/>
  <c r="AB31" i="6" s="1"/>
  <c r="AF31" i="6" s="1"/>
  <c r="AJ31" i="6" s="1"/>
  <c r="AP31" i="6" s="1"/>
  <c r="AT31" i="6" s="1"/>
  <c r="Z30" i="6"/>
  <c r="AB30" i="6" s="1"/>
  <c r="AF30" i="6" s="1"/>
  <c r="Z28" i="6"/>
  <c r="AB28" i="6" s="1"/>
  <c r="AF28" i="6" s="1"/>
  <c r="AJ28" i="6" s="1"/>
  <c r="AP28" i="6" s="1"/>
  <c r="AT28" i="6" s="1"/>
  <c r="Z27" i="6"/>
  <c r="AB27" i="6" s="1"/>
  <c r="AF27" i="6" s="1"/>
  <c r="Z25" i="6"/>
  <c r="AB25" i="6" s="1"/>
  <c r="AF25" i="6" s="1"/>
  <c r="AJ25" i="6" s="1"/>
  <c r="AP25" i="6" s="1"/>
  <c r="AT25" i="6" s="1"/>
  <c r="Z24" i="6"/>
  <c r="AB24" i="6" s="1"/>
  <c r="AF24" i="6" s="1"/>
  <c r="AX58" i="8" l="1"/>
  <c r="AX60" i="8"/>
  <c r="BF60" i="8" s="1"/>
  <c r="AX87" i="6"/>
  <c r="AW119" i="6"/>
  <c r="AW65" i="6"/>
  <c r="AW88" i="6"/>
  <c r="AW70" i="6"/>
  <c r="AW76" i="6"/>
  <c r="AX88" i="6"/>
  <c r="AX28" i="6"/>
  <c r="AW86" i="6"/>
  <c r="AW74" i="6"/>
  <c r="AX31" i="6"/>
  <c r="AX86" i="6"/>
  <c r="AX25" i="6"/>
  <c r="AX70" i="6"/>
  <c r="AW68" i="6"/>
  <c r="AW73" i="6"/>
  <c r="AW87" i="6"/>
  <c r="AJ10" i="36"/>
  <c r="AJ13" i="36" s="1"/>
  <c r="AJ26" i="8"/>
  <c r="AP85" i="8"/>
  <c r="AT85" i="8" s="1"/>
  <c r="AP54" i="8"/>
  <c r="AT54" i="8" s="1"/>
  <c r="AC43" i="59"/>
  <c r="BF65" i="6"/>
  <c r="AJ72" i="6"/>
  <c r="AF77" i="6"/>
  <c r="AI99" i="6"/>
  <c r="AE103" i="6"/>
  <c r="AI108" i="6"/>
  <c r="AO116" i="6"/>
  <c r="AI120" i="6"/>
  <c r="AF29" i="6"/>
  <c r="AJ27" i="6"/>
  <c r="AI64" i="6"/>
  <c r="AE66" i="6"/>
  <c r="AI67" i="6"/>
  <c r="AE69" i="6"/>
  <c r="AJ99" i="6"/>
  <c r="AF103" i="6"/>
  <c r="AJ108" i="6"/>
  <c r="AF115" i="6"/>
  <c r="AJ116" i="6"/>
  <c r="AF120" i="6"/>
  <c r="AO18" i="8"/>
  <c r="AP23" i="8"/>
  <c r="AP33" i="8"/>
  <c r="AO33" i="8"/>
  <c r="AJ30" i="6"/>
  <c r="AF32" i="6"/>
  <c r="AJ64" i="6"/>
  <c r="AF66" i="6"/>
  <c r="AP16" i="8"/>
  <c r="AT13" i="8"/>
  <c r="AX13" i="8" s="1"/>
  <c r="AX16" i="8" s="1"/>
  <c r="AI36" i="59"/>
  <c r="AI39" i="59"/>
  <c r="AP55" i="8"/>
  <c r="AT64" i="8"/>
  <c r="AT68" i="8"/>
  <c r="AJ24" i="6"/>
  <c r="AF26" i="6"/>
  <c r="AI72" i="6"/>
  <c r="AE77" i="6"/>
  <c r="AS75" i="6"/>
  <c r="AT119" i="6"/>
  <c r="AP18" i="8"/>
  <c r="AF57" i="8"/>
  <c r="AE120" i="6"/>
  <c r="Z165" i="6"/>
  <c r="AB163" i="6"/>
  <c r="AF163" i="6" s="1"/>
  <c r="AJ163" i="6" s="1"/>
  <c r="AB67" i="6"/>
  <c r="AF67" i="6" s="1"/>
  <c r="AB110" i="8"/>
  <c r="AB52" i="8" s="1"/>
  <c r="AE41" i="59" s="1"/>
  <c r="AB68" i="6"/>
  <c r="AF68" i="6" s="1"/>
  <c r="AJ68" i="6" s="1"/>
  <c r="AP68" i="6" s="1"/>
  <c r="AT68" i="6" s="1"/>
  <c r="AX68" i="6" s="1"/>
  <c r="Z190" i="6"/>
  <c r="AB188" i="6"/>
  <c r="AF188" i="6" s="1"/>
  <c r="AJ188" i="6" s="1"/>
  <c r="AP188" i="6" s="1"/>
  <c r="AA110" i="6"/>
  <c r="AE110" i="6" s="1"/>
  <c r="AI110" i="6" s="1"/>
  <c r="AO110" i="6" s="1"/>
  <c r="AS110" i="6" s="1"/>
  <c r="AA109" i="6"/>
  <c r="AE109" i="6" s="1"/>
  <c r="AI109" i="6" s="1"/>
  <c r="AO109" i="6" s="1"/>
  <c r="AS109" i="6" s="1"/>
  <c r="AA91" i="6"/>
  <c r="AE91" i="6" s="1"/>
  <c r="Z103" i="6"/>
  <c r="Y103" i="6"/>
  <c r="Y115" i="6"/>
  <c r="Y120" i="6"/>
  <c r="Z115" i="6"/>
  <c r="Z120" i="6"/>
  <c r="Y2" i="6"/>
  <c r="Z29" i="6"/>
  <c r="Z26" i="6"/>
  <c r="BF88" i="6" l="1"/>
  <c r="BE73" i="6"/>
  <c r="BE88" i="6"/>
  <c r="BE86" i="6"/>
  <c r="BE76" i="6"/>
  <c r="BE87" i="6"/>
  <c r="BE68" i="6"/>
  <c r="BE65" i="6"/>
  <c r="BE74" i="6"/>
  <c r="BE70" i="6"/>
  <c r="BF70" i="6"/>
  <c r="BE119" i="6"/>
  <c r="BF25" i="6"/>
  <c r="BF87" i="6"/>
  <c r="BF28" i="6"/>
  <c r="BF86" i="6"/>
  <c r="BF31" i="6"/>
  <c r="AX85" i="8"/>
  <c r="AX54" i="8"/>
  <c r="AX68" i="8"/>
  <c r="AX64" i="8"/>
  <c r="BF58" i="8"/>
  <c r="Y12" i="6"/>
  <c r="Y221" i="6" s="1"/>
  <c r="Y13" i="6"/>
  <c r="Y222" i="6" s="1"/>
  <c r="AW109" i="6"/>
  <c r="AX119" i="6"/>
  <c r="AW110" i="6"/>
  <c r="AW75" i="6"/>
  <c r="AJ57" i="8"/>
  <c r="AP57" i="8" s="1"/>
  <c r="AT57" i="8" s="1"/>
  <c r="BF68" i="6"/>
  <c r="AT16" i="8"/>
  <c r="AT18" i="8"/>
  <c r="AX18" i="8" s="1"/>
  <c r="AO8" i="15"/>
  <c r="AO14" i="15" s="1"/>
  <c r="AS116" i="6"/>
  <c r="AW116" i="6" s="1"/>
  <c r="AO120" i="6"/>
  <c r="AO99" i="6"/>
  <c r="AI103" i="6"/>
  <c r="AO72" i="6"/>
  <c r="AI77" i="6"/>
  <c r="AP30" i="6"/>
  <c r="AJ32" i="6"/>
  <c r="AT33" i="8"/>
  <c r="AX33" i="8" s="1"/>
  <c r="AT23" i="8"/>
  <c r="AP26" i="8"/>
  <c r="AP10" i="36"/>
  <c r="AP116" i="6"/>
  <c r="AJ120" i="6"/>
  <c r="AP99" i="6"/>
  <c r="AJ103" i="6"/>
  <c r="AI66" i="6"/>
  <c r="AO64" i="6"/>
  <c r="AE115" i="6"/>
  <c r="AE121" i="6" s="1"/>
  <c r="AE123" i="6" s="1"/>
  <c r="AE173" i="6" s="1"/>
  <c r="AI91" i="6"/>
  <c r="AT188" i="6"/>
  <c r="AX188" i="6" s="1"/>
  <c r="AJ67" i="6"/>
  <c r="AF69" i="6"/>
  <c r="AT55" i="8"/>
  <c r="AP64" i="6"/>
  <c r="AJ66" i="6"/>
  <c r="AM36" i="59"/>
  <c r="AM39" i="59"/>
  <c r="AF121" i="6"/>
  <c r="AF123" i="6" s="1"/>
  <c r="AF175" i="6" s="1"/>
  <c r="AP27" i="6"/>
  <c r="AJ29" i="6"/>
  <c r="AO108" i="6"/>
  <c r="AI115" i="6"/>
  <c r="AI121" i="6" s="1"/>
  <c r="AI123" i="6" s="1"/>
  <c r="AI173" i="6" s="1"/>
  <c r="AP72" i="6"/>
  <c r="AJ77" i="6"/>
  <c r="AP163" i="6"/>
  <c r="AP24" i="6"/>
  <c r="AJ26" i="6"/>
  <c r="AS33" i="8"/>
  <c r="AW33" i="8" s="1"/>
  <c r="AS18" i="8"/>
  <c r="AW18" i="8" s="1"/>
  <c r="AN8" i="15"/>
  <c r="AP108" i="6"/>
  <c r="AJ115" i="6"/>
  <c r="AO67" i="6"/>
  <c r="AI69" i="6"/>
  <c r="AB112" i="8"/>
  <c r="AB53" i="8" s="1"/>
  <c r="AE42" i="59" s="1"/>
  <c r="AE43" i="59" s="1"/>
  <c r="Z137" i="6"/>
  <c r="Y192" i="6"/>
  <c r="Y137" i="6"/>
  <c r="Z121" i="6"/>
  <c r="Z123" i="6" s="1"/>
  <c r="Z175" i="6" s="1"/>
  <c r="Y121" i="6"/>
  <c r="Y123" i="6" s="1"/>
  <c r="Y175" i="6" s="1"/>
  <c r="Y132" i="6"/>
  <c r="Z132" i="6"/>
  <c r="Z77" i="6"/>
  <c r="Z69" i="6"/>
  <c r="Z66" i="6"/>
  <c r="Z32" i="6"/>
  <c r="BE75" i="6" l="1"/>
  <c r="BE110" i="6"/>
  <c r="BF119" i="6"/>
  <c r="BE109" i="6"/>
  <c r="BF188" i="6"/>
  <c r="AX23" i="8"/>
  <c r="AX10" i="36" s="1"/>
  <c r="BA36" i="59" s="1"/>
  <c r="BF54" i="8"/>
  <c r="AV8" i="15"/>
  <c r="AW8" i="15"/>
  <c r="AW14" i="15" s="1"/>
  <c r="BF85" i="8"/>
  <c r="AW120" i="6"/>
  <c r="BE116" i="6"/>
  <c r="AX55" i="8"/>
  <c r="BF64" i="8"/>
  <c r="AX57" i="8"/>
  <c r="BF68" i="8"/>
  <c r="AE172" i="6"/>
  <c r="AE174" i="6" s="1"/>
  <c r="AE175" i="6"/>
  <c r="AS120" i="6"/>
  <c r="BF18" i="8"/>
  <c r="BF13" i="8"/>
  <c r="BE18" i="8"/>
  <c r="AS67" i="6"/>
  <c r="AW67" i="6" s="1"/>
  <c r="AO69" i="6"/>
  <c r="AR8" i="15"/>
  <c r="AT64" i="6"/>
  <c r="AX64" i="6" s="1"/>
  <c r="AP66" i="6"/>
  <c r="AT99" i="6"/>
  <c r="AX99" i="6" s="1"/>
  <c r="AP103" i="6"/>
  <c r="AS72" i="6"/>
  <c r="AW72" i="6" s="1"/>
  <c r="AO77" i="6"/>
  <c r="AJ121" i="6"/>
  <c r="AJ123" i="6" s="1"/>
  <c r="AJ172" i="6" s="1"/>
  <c r="AT24" i="6"/>
  <c r="AX24" i="6" s="1"/>
  <c r="AP26" i="6"/>
  <c r="AT72" i="6"/>
  <c r="AX72" i="6" s="1"/>
  <c r="AP77" i="6"/>
  <c r="AS64" i="6"/>
  <c r="AW64" i="6" s="1"/>
  <c r="AO66" i="6"/>
  <c r="AT108" i="6"/>
  <c r="AX108" i="6" s="1"/>
  <c r="AP115" i="6"/>
  <c r="AT163" i="6"/>
  <c r="AX163" i="6" s="1"/>
  <c r="AI172" i="6"/>
  <c r="AI174" i="6" s="1"/>
  <c r="AI175" i="6"/>
  <c r="AT27" i="6"/>
  <c r="AX27" i="6" s="1"/>
  <c r="AP29" i="6"/>
  <c r="AT116" i="6"/>
  <c r="AX116" i="6" s="1"/>
  <c r="AP120" i="6"/>
  <c r="AT26" i="8"/>
  <c r="AT10" i="36"/>
  <c r="AT30" i="6"/>
  <c r="AX30" i="6" s="1"/>
  <c r="AP32" i="6"/>
  <c r="AS99" i="6"/>
  <c r="AW99" i="6" s="1"/>
  <c r="AO103" i="6"/>
  <c r="AS8" i="15"/>
  <c r="AS14" i="15" s="1"/>
  <c r="AS108" i="6"/>
  <c r="AW108" i="6" s="1"/>
  <c r="AO115" i="6"/>
  <c r="AO121" i="6" s="1"/>
  <c r="AO123" i="6" s="1"/>
  <c r="AF172" i="6"/>
  <c r="AP67" i="6"/>
  <c r="AJ69" i="6"/>
  <c r="AO91" i="6"/>
  <c r="AS36" i="59"/>
  <c r="AP13" i="36"/>
  <c r="AS39" i="59" s="1"/>
  <c r="AF173" i="6"/>
  <c r="AI22" i="59" s="1"/>
  <c r="Y138" i="6"/>
  <c r="Z138" i="6"/>
  <c r="Y173" i="6"/>
  <c r="Z173" i="6"/>
  <c r="AC22" i="59" s="1"/>
  <c r="Z172" i="6"/>
  <c r="Y172" i="6"/>
  <c r="F10" i="36"/>
  <c r="I36" i="59" s="1"/>
  <c r="F11" i="36"/>
  <c r="I37" i="59" s="1"/>
  <c r="F12" i="36"/>
  <c r="I38" i="59" s="1"/>
  <c r="F5" i="36"/>
  <c r="Z2" i="36"/>
  <c r="Y2" i="36"/>
  <c r="Z23" i="21"/>
  <c r="Z27" i="21"/>
  <c r="Y27" i="21"/>
  <c r="Z26" i="21"/>
  <c r="Y26" i="21"/>
  <c r="Z22" i="21"/>
  <c r="Z6" i="21"/>
  <c r="Z2" i="21"/>
  <c r="Y2" i="21"/>
  <c r="BF23" i="8" l="1"/>
  <c r="BF150" i="8" s="1"/>
  <c r="BF16" i="8"/>
  <c r="BD8" i="15"/>
  <c r="BE8" i="15"/>
  <c r="BE14" i="15" s="1"/>
  <c r="BE120" i="6"/>
  <c r="AX66" i="6"/>
  <c r="AX77" i="6"/>
  <c r="AW69" i="6"/>
  <c r="AW66" i="6"/>
  <c r="AX26" i="6"/>
  <c r="AX29" i="6"/>
  <c r="AW77" i="6"/>
  <c r="AX32" i="6"/>
  <c r="AX26" i="8"/>
  <c r="BF163" i="6"/>
  <c r="BF57" i="8"/>
  <c r="BF55" i="8"/>
  <c r="AX103" i="6"/>
  <c r="BF99" i="6"/>
  <c r="AX115" i="6"/>
  <c r="BF108" i="6"/>
  <c r="AW115" i="6"/>
  <c r="BE108" i="6"/>
  <c r="AW103" i="6"/>
  <c r="BE99" i="6"/>
  <c r="AX120" i="6"/>
  <c r="BF116" i="6"/>
  <c r="AJ173" i="6"/>
  <c r="AM22" i="59" s="1"/>
  <c r="BF64" i="6"/>
  <c r="AS69" i="6"/>
  <c r="AS66" i="6"/>
  <c r="AT32" i="6"/>
  <c r="AT26" i="6"/>
  <c r="AT29" i="6"/>
  <c r="BF10" i="36"/>
  <c r="BI36" i="59" s="1"/>
  <c r="AT103" i="6"/>
  <c r="AT120" i="6"/>
  <c r="AS103" i="6"/>
  <c r="AS115" i="6"/>
  <c r="AS121" i="6" s="1"/>
  <c r="AS123" i="6" s="1"/>
  <c r="AT115" i="6"/>
  <c r="AS77" i="6"/>
  <c r="AX13" i="36"/>
  <c r="BA39" i="59" s="1"/>
  <c r="BE33" i="8"/>
  <c r="BF33" i="8"/>
  <c r="BF152" i="8" s="1"/>
  <c r="BF26" i="8"/>
  <c r="AT77" i="6"/>
  <c r="AO175" i="6"/>
  <c r="AO173" i="6"/>
  <c r="AW36" i="59"/>
  <c r="AT13" i="36"/>
  <c r="AW39" i="59" s="1"/>
  <c r="AJ175" i="6"/>
  <c r="AT67" i="6"/>
  <c r="AX67" i="6" s="1"/>
  <c r="AP69" i="6"/>
  <c r="AF174" i="6"/>
  <c r="AF8" i="36" s="1"/>
  <c r="AI9" i="59" s="1"/>
  <c r="AP121" i="6"/>
  <c r="AP123" i="6" s="1"/>
  <c r="AP175" i="6" s="1"/>
  <c r="AS91" i="6"/>
  <c r="AW91" i="6" s="1"/>
  <c r="AO172" i="6"/>
  <c r="AT66" i="6"/>
  <c r="Y140" i="6"/>
  <c r="Y205" i="6" s="1"/>
  <c r="Z140" i="6"/>
  <c r="Z205" i="6" s="1"/>
  <c r="Y26" i="9"/>
  <c r="AB67" i="59"/>
  <c r="Y79" i="11"/>
  <c r="AB69" i="59" s="1"/>
  <c r="I6" i="59"/>
  <c r="F13" i="49"/>
  <c r="F14" i="49" s="1"/>
  <c r="N14" i="49" s="1"/>
  <c r="Z174" i="6"/>
  <c r="Z8" i="36" s="1"/>
  <c r="Y174" i="6"/>
  <c r="AB73" i="59"/>
  <c r="Z66" i="36"/>
  <c r="Z67" i="36"/>
  <c r="Z72" i="36"/>
  <c r="Z69" i="36"/>
  <c r="Z71" i="36" s="1"/>
  <c r="AC38" i="59"/>
  <c r="AC37" i="59"/>
  <c r="AC36" i="59"/>
  <c r="Y5" i="9"/>
  <c r="Y89" i="9" s="1"/>
  <c r="Z5" i="9"/>
  <c r="F13" i="36"/>
  <c r="I39" i="59" s="1"/>
  <c r="Z12" i="21"/>
  <c r="Y28" i="21"/>
  <c r="Z28" i="21"/>
  <c r="Z24" i="21"/>
  <c r="Z25" i="21" s="1"/>
  <c r="Y12" i="21"/>
  <c r="BF66" i="6" l="1"/>
  <c r="BE103" i="6"/>
  <c r="BF115" i="6"/>
  <c r="BF120" i="6"/>
  <c r="BE115" i="6"/>
  <c r="BF103" i="6"/>
  <c r="AX69" i="6"/>
  <c r="AW121" i="6"/>
  <c r="AX121" i="6"/>
  <c r="Y208" i="6"/>
  <c r="Y207" i="6"/>
  <c r="Z213" i="6"/>
  <c r="Z207" i="6"/>
  <c r="BE91" i="6"/>
  <c r="AJ174" i="6"/>
  <c r="AJ8" i="36" s="1"/>
  <c r="AM9" i="59" s="1"/>
  <c r="R14" i="49"/>
  <c r="V14" i="49" s="1"/>
  <c r="AB14" i="49"/>
  <c r="AF14" i="49" s="1"/>
  <c r="AJ14" i="49" s="1"/>
  <c r="AP14" i="49" s="1"/>
  <c r="AT14" i="49" s="1"/>
  <c r="AX14" i="49" s="1"/>
  <c r="BF14" i="49" s="1"/>
  <c r="F15" i="49"/>
  <c r="N15" i="49" s="1"/>
  <c r="J14" i="49"/>
  <c r="AO174" i="6"/>
  <c r="AT121" i="6"/>
  <c r="AT123" i="6" s="1"/>
  <c r="AT175" i="6" s="1"/>
  <c r="BF67" i="6"/>
  <c r="BE67" i="6"/>
  <c r="BE64" i="6"/>
  <c r="BF24" i="6"/>
  <c r="BF27" i="6"/>
  <c r="BF30" i="6"/>
  <c r="Z208" i="6"/>
  <c r="Y206" i="6"/>
  <c r="Z203" i="6"/>
  <c r="Y209" i="6"/>
  <c r="Y204" i="6"/>
  <c r="Y203" i="6"/>
  <c r="Y213" i="6"/>
  <c r="Y214" i="6"/>
  <c r="Y217" i="6"/>
  <c r="Y218" i="6" s="1"/>
  <c r="BF72" i="6"/>
  <c r="BE72" i="6"/>
  <c r="Y212" i="6"/>
  <c r="Y211" i="6"/>
  <c r="AP172" i="6"/>
  <c r="Z211" i="6"/>
  <c r="Z204" i="6"/>
  <c r="Z206" i="6"/>
  <c r="AS175" i="6"/>
  <c r="AS173" i="6"/>
  <c r="AT69" i="6"/>
  <c r="AP173" i="6"/>
  <c r="AS22" i="59" s="1"/>
  <c r="Z209" i="6"/>
  <c r="AS172" i="6"/>
  <c r="Z214" i="6"/>
  <c r="Z212" i="6"/>
  <c r="Z217" i="6"/>
  <c r="Z199" i="6"/>
  <c r="Y34" i="22"/>
  <c r="Y75" i="9"/>
  <c r="Y72" i="9"/>
  <c r="Y74" i="9"/>
  <c r="Y78" i="9"/>
  <c r="Y76" i="9"/>
  <c r="Y73" i="9"/>
  <c r="Y77" i="9"/>
  <c r="Y79" i="9"/>
  <c r="Z78" i="9"/>
  <c r="Z75" i="9"/>
  <c r="Z72" i="9"/>
  <c r="Z76" i="9"/>
  <c r="Z73" i="9"/>
  <c r="Z77" i="9"/>
  <c r="Z74" i="9"/>
  <c r="Z79" i="9"/>
  <c r="Z89" i="9"/>
  <c r="Y22" i="21"/>
  <c r="Y555" i="28"/>
  <c r="Y556" i="28"/>
  <c r="Z34" i="22"/>
  <c r="AC59" i="59"/>
  <c r="AB63" i="59"/>
  <c r="Y178" i="10"/>
  <c r="AB65" i="59" s="1"/>
  <c r="Z68" i="36"/>
  <c r="AC39" i="59"/>
  <c r="Y130" i="26"/>
  <c r="Z102" i="9"/>
  <c r="Z104" i="9"/>
  <c r="AC58" i="59" s="1"/>
  <c r="Z94" i="9"/>
  <c r="Y19" i="15" s="1"/>
  <c r="Y104" i="9"/>
  <c r="AB58" i="59" s="1"/>
  <c r="Y102" i="9"/>
  <c r="X130" i="26"/>
  <c r="BE66" i="6" l="1"/>
  <c r="BF121" i="6"/>
  <c r="BE121" i="6"/>
  <c r="BF77" i="6"/>
  <c r="BF69" i="6"/>
  <c r="BE77" i="6"/>
  <c r="BF32" i="6"/>
  <c r="BF26" i="6"/>
  <c r="BE69" i="6"/>
  <c r="BF29" i="6"/>
  <c r="AX123" i="6"/>
  <c r="AX173" i="6" s="1"/>
  <c r="AW123" i="6"/>
  <c r="R15" i="49"/>
  <c r="V15" i="49" s="1"/>
  <c r="AB15" i="49"/>
  <c r="AT172" i="6"/>
  <c r="AT173" i="6"/>
  <c r="AW22" i="59" s="1"/>
  <c r="F16" i="49"/>
  <c r="N16" i="49" s="1"/>
  <c r="J15" i="49"/>
  <c r="Y215" i="6"/>
  <c r="Z210" i="6"/>
  <c r="Y210" i="6"/>
  <c r="AP174" i="6"/>
  <c r="AP8" i="36" s="1"/>
  <c r="AS9" i="59" s="1"/>
  <c r="Z215" i="6"/>
  <c r="AC11" i="59" s="1"/>
  <c r="AS174" i="6"/>
  <c r="Z218" i="6"/>
  <c r="Z19" i="36"/>
  <c r="AC56" i="59" s="1"/>
  <c r="Z26" i="9"/>
  <c r="Z2" i="35"/>
  <c r="Y2" i="35"/>
  <c r="BE123" i="6" l="1"/>
  <c r="BE173" i="6" s="1"/>
  <c r="BF123" i="6"/>
  <c r="BF172" i="6" s="1"/>
  <c r="AW173" i="6"/>
  <c r="AW175" i="6"/>
  <c r="AW172" i="6"/>
  <c r="AX172" i="6"/>
  <c r="AX174" i="6" s="1"/>
  <c r="AX175" i="6"/>
  <c r="Z6" i="35"/>
  <c r="Z7" i="35"/>
  <c r="Y6" i="35"/>
  <c r="Y7" i="35"/>
  <c r="Y6" i="6" s="1"/>
  <c r="R16" i="49"/>
  <c r="V16" i="49" s="1"/>
  <c r="AB16" i="49"/>
  <c r="Y216" i="6"/>
  <c r="Y219" i="6" s="1"/>
  <c r="AT174" i="6"/>
  <c r="AT8" i="36" s="1"/>
  <c r="AW9" i="59" s="1"/>
  <c r="F19" i="49"/>
  <c r="J16" i="49"/>
  <c r="BA22" i="59"/>
  <c r="BE175" i="6"/>
  <c r="Z216" i="6"/>
  <c r="Z9" i="36" s="1"/>
  <c r="E13" i="49"/>
  <c r="AW174" i="6" l="1"/>
  <c r="BF173" i="6"/>
  <c r="BI22" i="59" s="1"/>
  <c r="BE172" i="6"/>
  <c r="BE174" i="6" s="1"/>
  <c r="BF175" i="6"/>
  <c r="Z8" i="35"/>
  <c r="Y8" i="35"/>
  <c r="Y5" i="6"/>
  <c r="AX8" i="36"/>
  <c r="BA9" i="59" s="1"/>
  <c r="J19" i="49"/>
  <c r="N19" i="49"/>
  <c r="Z219" i="6"/>
  <c r="H6" i="59"/>
  <c r="BS33" i="35"/>
  <c r="BT33" i="35"/>
  <c r="BS36" i="35"/>
  <c r="BT36" i="35"/>
  <c r="BT48" i="35" s="1"/>
  <c r="BT49" i="35" s="1"/>
  <c r="Y7" i="6" l="1"/>
  <c r="Y98" i="6"/>
  <c r="BF174" i="6"/>
  <c r="BF8" i="36" s="1"/>
  <c r="BI9" i="59" s="1"/>
  <c r="R19" i="49"/>
  <c r="V19" i="49" s="1"/>
  <c r="AB19" i="49"/>
  <c r="BS37" i="35"/>
  <c r="BT37" i="35"/>
  <c r="BR55" i="35" s="1"/>
  <c r="Y104" i="6" l="1"/>
  <c r="Y106" i="6" s="1"/>
  <c r="Y144" i="6" s="1"/>
  <c r="BQ55" i="35"/>
  <c r="Z17" i="9"/>
  <c r="AB17" i="9" s="1"/>
  <c r="AF17" i="9" s="1"/>
  <c r="Y147" i="6" l="1"/>
  <c r="Y145" i="6"/>
  <c r="Y146" i="6" s="1"/>
  <c r="AJ17" i="9"/>
  <c r="AP17" i="9" s="1"/>
  <c r="AT17" i="9" s="1"/>
  <c r="Z15" i="21"/>
  <c r="AX17" i="9" l="1"/>
  <c r="BF17" i="9" s="1"/>
  <c r="Z20" i="21"/>
  <c r="Y91" i="8" l="1"/>
  <c r="T1" i="7" l="1"/>
  <c r="T80" i="7" s="1"/>
  <c r="S1" i="7"/>
  <c r="S80" i="7" s="1"/>
  <c r="E61" i="36" l="1"/>
  <c r="E63" i="36" s="1"/>
  <c r="E64" i="36"/>
  <c r="E58" i="36"/>
  <c r="E60" i="36" s="1"/>
  <c r="Y16" i="6" l="1"/>
  <c r="Y15" i="6"/>
  <c r="Z94" i="8" l="1"/>
  <c r="AB94" i="8" l="1"/>
  <c r="AF94" i="8" s="1"/>
  <c r="AJ94" i="8" s="1"/>
  <c r="J17" i="35"/>
  <c r="J14" i="36" l="1"/>
  <c r="M40" i="59" s="1"/>
  <c r="AP94" i="8"/>
  <c r="I60" i="17"/>
  <c r="M60" i="17" s="1"/>
  <c r="Q60" i="17" s="1"/>
  <c r="I59" i="17"/>
  <c r="M59" i="17" s="1"/>
  <c r="Q59" i="17" s="1"/>
  <c r="U59" i="17" s="1"/>
  <c r="AT94" i="8" l="1"/>
  <c r="U60" i="17"/>
  <c r="AA59" i="17"/>
  <c r="AE59" i="17" s="1"/>
  <c r="AI59" i="17" s="1"/>
  <c r="I22" i="17"/>
  <c r="Q22" i="17" s="1"/>
  <c r="U22" i="17" s="1"/>
  <c r="I18" i="17"/>
  <c r="I16" i="17"/>
  <c r="M16" i="17" s="1"/>
  <c r="I12" i="17"/>
  <c r="Q12" i="17" s="1"/>
  <c r="U12" i="17" s="1"/>
  <c r="I10" i="17"/>
  <c r="I8" i="17"/>
  <c r="K1" i="7"/>
  <c r="K80" i="7" s="1"/>
  <c r="L1" i="7"/>
  <c r="L80" i="7" s="1"/>
  <c r="O1" i="7"/>
  <c r="O80" i="7" s="1"/>
  <c r="P1" i="7"/>
  <c r="P80" i="7" s="1"/>
  <c r="F1" i="7"/>
  <c r="F80" i="7" s="1"/>
  <c r="G1" i="7"/>
  <c r="G80" i="7" s="1"/>
  <c r="H1" i="7"/>
  <c r="H80" i="7" s="1"/>
  <c r="E1" i="7"/>
  <c r="E80" i="7" s="1"/>
  <c r="AX94" i="8" l="1"/>
  <c r="Y60" i="17"/>
  <c r="AA60" i="17" s="1"/>
  <c r="AE60" i="17" s="1"/>
  <c r="AO59" i="17"/>
  <c r="Q16" i="17"/>
  <c r="U16" i="17" s="1"/>
  <c r="AA16" i="17"/>
  <c r="AE16" i="17" s="1"/>
  <c r="AI16" i="17" s="1"/>
  <c r="AI20" i="17" s="1"/>
  <c r="Z1" i="7"/>
  <c r="Z80" i="7" s="1"/>
  <c r="Y1" i="7"/>
  <c r="Y80" i="7" s="1"/>
  <c r="Q10" i="17"/>
  <c r="U10" i="17" s="1"/>
  <c r="Q8" i="17"/>
  <c r="U8" i="17" s="1"/>
  <c r="Q18" i="17"/>
  <c r="U18" i="17" s="1"/>
  <c r="BF94" i="8" l="1"/>
  <c r="AS59" i="17"/>
  <c r="AI24" i="17"/>
  <c r="AI60" i="17"/>
  <c r="AO60" i="17" s="1"/>
  <c r="AS60" i="17" s="1"/>
  <c r="AW60" i="17" s="1"/>
  <c r="AO16" i="17"/>
  <c r="AS16" i="17" s="1"/>
  <c r="AE20" i="17"/>
  <c r="AW59" i="17" l="1"/>
  <c r="BE59" i="17" s="1"/>
  <c r="AM60" i="17"/>
  <c r="AW16" i="17"/>
  <c r="AW20" i="17" s="1"/>
  <c r="AS20" i="17"/>
  <c r="BE60" i="17"/>
  <c r="BA60" i="17"/>
  <c r="BC60" i="17" s="1"/>
  <c r="AO20" i="17"/>
  <c r="AE24" i="17"/>
  <c r="Z95" i="9"/>
  <c r="Z27" i="9"/>
  <c r="AB27" i="9" s="1"/>
  <c r="AF27" i="9" s="1"/>
  <c r="Y95" i="9"/>
  <c r="AA95" i="9" s="1"/>
  <c r="AE95" i="9" s="1"/>
  <c r="AI95" i="9" s="1"/>
  <c r="AI96" i="9" s="1"/>
  <c r="Y92" i="9"/>
  <c r="AA92" i="9" s="1"/>
  <c r="AE92" i="9" s="1"/>
  <c r="AA70" i="9"/>
  <c r="AE70" i="9" s="1"/>
  <c r="AI70" i="9" s="1"/>
  <c r="AA69" i="9"/>
  <c r="AE69" i="9" s="1"/>
  <c r="AI69" i="9" s="1"/>
  <c r="AA68" i="9"/>
  <c r="AE68" i="9" s="1"/>
  <c r="AI68" i="9" s="1"/>
  <c r="AA67" i="9"/>
  <c r="AE67" i="9" s="1"/>
  <c r="AI67" i="9" s="1"/>
  <c r="AA66" i="9"/>
  <c r="AE66" i="9" s="1"/>
  <c r="AI66" i="9" s="1"/>
  <c r="AA65" i="9"/>
  <c r="AE65" i="9" s="1"/>
  <c r="AI65" i="9" s="1"/>
  <c r="AA63" i="9"/>
  <c r="AE63" i="9" s="1"/>
  <c r="AI63" i="9" s="1"/>
  <c r="AA59" i="9"/>
  <c r="AE59" i="9" s="1"/>
  <c r="AI59" i="9" s="1"/>
  <c r="AI76" i="9" s="1"/>
  <c r="AA58" i="9"/>
  <c r="AE58" i="9" s="1"/>
  <c r="AI58" i="9" s="1"/>
  <c r="AI75" i="9" s="1"/>
  <c r="Y47" i="9"/>
  <c r="Y27" i="9"/>
  <c r="AA27" i="9" s="1"/>
  <c r="AE27" i="9" s="1"/>
  <c r="Y24" i="9"/>
  <c r="AA24" i="9" s="1"/>
  <c r="AE24" i="9" s="1"/>
  <c r="Y22" i="9"/>
  <c r="AA22" i="9" s="1"/>
  <c r="AE22" i="9" s="1"/>
  <c r="AI22" i="9" s="1"/>
  <c r="J94" i="8"/>
  <c r="Z62" i="8"/>
  <c r="AB62" i="8" s="1"/>
  <c r="AF62" i="8" s="1"/>
  <c r="Z61" i="8"/>
  <c r="Z59" i="8"/>
  <c r="BE16" i="17" l="1"/>
  <c r="AS24" i="17"/>
  <c r="AW24" i="17"/>
  <c r="AJ62" i="8"/>
  <c r="AP62" i="8" s="1"/>
  <c r="AT62" i="8" s="1"/>
  <c r="AJ27" i="9"/>
  <c r="AP27" i="9" s="1"/>
  <c r="AT27" i="9" s="1"/>
  <c r="AI92" i="9"/>
  <c r="AI24" i="9"/>
  <c r="AI25" i="9" s="1"/>
  <c r="AI88" i="9" s="1"/>
  <c r="AI27" i="9"/>
  <c r="AO27" i="9" s="1"/>
  <c r="AS27" i="9" s="1"/>
  <c r="AB61" i="8"/>
  <c r="AF61" i="8" s="1"/>
  <c r="BE20" i="17"/>
  <c r="AE25" i="9"/>
  <c r="AE88" i="9" s="1"/>
  <c r="AO68" i="9"/>
  <c r="AO70" i="9"/>
  <c r="AO69" i="9"/>
  <c r="AO65" i="9"/>
  <c r="AO67" i="9"/>
  <c r="AO63" i="9"/>
  <c r="AO66" i="9"/>
  <c r="AO24" i="17"/>
  <c r="AE96" i="9"/>
  <c r="AE75" i="9"/>
  <c r="AE76" i="9"/>
  <c r="AE94" i="9"/>
  <c r="AD19" i="15" s="1"/>
  <c r="AE93" i="9"/>
  <c r="Y81" i="9"/>
  <c r="Y80" i="9"/>
  <c r="Y86" i="9"/>
  <c r="Y83" i="9"/>
  <c r="Y85" i="9"/>
  <c r="Y84" i="9"/>
  <c r="Y82" i="9"/>
  <c r="Y87" i="9"/>
  <c r="AB59" i="8"/>
  <c r="AF59" i="8" s="1"/>
  <c r="AJ59" i="8" s="1"/>
  <c r="Z96" i="9"/>
  <c r="AB95" i="9"/>
  <c r="AF95" i="9" s="1"/>
  <c r="AJ95" i="9" s="1"/>
  <c r="AJ96" i="9" s="1"/>
  <c r="AA47" i="9"/>
  <c r="AE47" i="9" s="1"/>
  <c r="AI47" i="9" s="1"/>
  <c r="AI87" i="9" s="1"/>
  <c r="N6" i="8"/>
  <c r="F6" i="49"/>
  <c r="N6" i="49" s="1"/>
  <c r="R6" i="49" s="1"/>
  <c r="N14" i="36"/>
  <c r="Q40" i="59" s="1"/>
  <c r="I51" i="59"/>
  <c r="AB64" i="9"/>
  <c r="AF64" i="9" s="1"/>
  <c r="AJ64" i="9" s="1"/>
  <c r="AJ81" i="9" s="1"/>
  <c r="Z65" i="8"/>
  <c r="Z10" i="49" s="1"/>
  <c r="Z12" i="49" s="1"/>
  <c r="Z69" i="8"/>
  <c r="Z19" i="9"/>
  <c r="Z90" i="9" s="1"/>
  <c r="Z99" i="9"/>
  <c r="Z14" i="9"/>
  <c r="AB14" i="9" s="1"/>
  <c r="AF14" i="9" s="1"/>
  <c r="AW27" i="9" l="1"/>
  <c r="BE27" i="9" s="1"/>
  <c r="AX27" i="9"/>
  <c r="BF27" i="9" s="1"/>
  <c r="AX62" i="8"/>
  <c r="AJ61" i="8"/>
  <c r="AI85" i="9"/>
  <c r="AI84" i="9"/>
  <c r="AO24" i="9"/>
  <c r="AS24" i="9" s="1"/>
  <c r="AI86" i="9"/>
  <c r="AI83" i="9"/>
  <c r="AI52" i="9"/>
  <c r="AI7" i="9" s="1"/>
  <c r="AI53" i="9"/>
  <c r="AI93" i="9"/>
  <c r="AI94" i="9"/>
  <c r="AH19" i="15" s="1"/>
  <c r="AI82" i="9"/>
  <c r="AL61" i="59" s="1"/>
  <c r="AJ14" i="9"/>
  <c r="AP14" i="9" s="1"/>
  <c r="AT14" i="9" s="1"/>
  <c r="AO92" i="9"/>
  <c r="AI80" i="9"/>
  <c r="V6" i="49"/>
  <c r="V20" i="49" s="1"/>
  <c r="R20" i="49"/>
  <c r="F20" i="49"/>
  <c r="J6" i="49"/>
  <c r="BE24" i="17"/>
  <c r="AO47" i="9"/>
  <c r="AO83" i="9" s="1"/>
  <c r="AP59" i="8"/>
  <c r="AL60" i="59"/>
  <c r="AO22" i="9"/>
  <c r="AF96" i="9"/>
  <c r="AS63" i="9"/>
  <c r="AW63" i="9" s="1"/>
  <c r="AS69" i="9"/>
  <c r="AW69" i="9" s="1"/>
  <c r="AS68" i="9"/>
  <c r="AW68" i="9" s="1"/>
  <c r="AF81" i="9"/>
  <c r="AS66" i="9"/>
  <c r="AW66" i="9" s="1"/>
  <c r="AS67" i="9"/>
  <c r="AW67" i="9" s="1"/>
  <c r="AS65" i="9"/>
  <c r="AW65" i="9" s="1"/>
  <c r="AS70" i="9"/>
  <c r="AW70" i="9" s="1"/>
  <c r="AO58" i="9"/>
  <c r="AO95" i="9"/>
  <c r="AO59" i="9"/>
  <c r="AE86" i="9"/>
  <c r="AE52" i="9"/>
  <c r="AE85" i="9"/>
  <c r="AE53" i="9"/>
  <c r="AE80" i="9"/>
  <c r="AE84" i="9"/>
  <c r="AE83" i="9"/>
  <c r="AE87" i="9"/>
  <c r="AH60" i="59" s="1"/>
  <c r="AE82" i="9"/>
  <c r="AH61" i="59" s="1"/>
  <c r="AB65" i="8"/>
  <c r="AF65" i="8" s="1"/>
  <c r="AJ65" i="8" s="1"/>
  <c r="AJ72" i="8" s="1"/>
  <c r="Z56" i="8"/>
  <c r="N46" i="8"/>
  <c r="AB19" i="9"/>
  <c r="AF19" i="9" s="1"/>
  <c r="AJ19" i="9" s="1"/>
  <c r="Z100" i="9"/>
  <c r="AB99" i="9"/>
  <c r="AF99" i="9" s="1"/>
  <c r="AJ99" i="9" s="1"/>
  <c r="AJ100" i="9" s="1"/>
  <c r="Z74" i="8"/>
  <c r="AB69" i="8"/>
  <c r="AF69" i="8" s="1"/>
  <c r="AJ69" i="8" s="1"/>
  <c r="AJ74" i="8" s="1"/>
  <c r="AA55" i="9"/>
  <c r="AE55" i="9" s="1"/>
  <c r="AI55" i="9" s="1"/>
  <c r="AI72" i="9" s="1"/>
  <c r="R6" i="8"/>
  <c r="N49" i="8"/>
  <c r="N50" i="8"/>
  <c r="N51" i="8" s="1"/>
  <c r="N83" i="8"/>
  <c r="Q49" i="59" s="1"/>
  <c r="N84" i="8"/>
  <c r="Q50" i="59" s="1"/>
  <c r="N90" i="8"/>
  <c r="Z72" i="8"/>
  <c r="Z63" i="8"/>
  <c r="Q46" i="59" l="1"/>
  <c r="N138" i="8"/>
  <c r="N145" i="8" s="1"/>
  <c r="V6" i="8"/>
  <c r="V45" i="8" s="1"/>
  <c r="BF62" i="8"/>
  <c r="AJ90" i="9"/>
  <c r="AJ91" i="9" s="1"/>
  <c r="AJ57" i="36"/>
  <c r="M2" i="26"/>
  <c r="M2" i="17"/>
  <c r="AX14" i="9"/>
  <c r="BF14" i="9" s="1"/>
  <c r="AW24" i="9"/>
  <c r="BE24" i="9" s="1"/>
  <c r="AP61" i="8"/>
  <c r="AT61" i="8" s="1"/>
  <c r="AS92" i="9"/>
  <c r="AW92" i="9" s="1"/>
  <c r="AO94" i="9"/>
  <c r="AN19" i="15" s="1"/>
  <c r="AO93" i="9"/>
  <c r="V86" i="8"/>
  <c r="V46" i="8"/>
  <c r="Y46" i="59" s="1"/>
  <c r="V82" i="8"/>
  <c r="Y51" i="59" s="1"/>
  <c r="V39" i="8"/>
  <c r="AO86" i="9"/>
  <c r="BE65" i="9"/>
  <c r="BE70" i="9"/>
  <c r="BE67" i="9"/>
  <c r="BE69" i="9"/>
  <c r="BE63" i="9"/>
  <c r="BE66" i="9"/>
  <c r="BE68" i="9"/>
  <c r="AO87" i="9"/>
  <c r="AR60" i="59" s="1"/>
  <c r="AO84" i="9"/>
  <c r="AT59" i="8"/>
  <c r="AF74" i="8"/>
  <c r="AF57" i="36"/>
  <c r="AF17" i="36" s="1"/>
  <c r="AF18" i="36" s="1"/>
  <c r="AF90" i="9"/>
  <c r="AF91" i="9" s="1"/>
  <c r="AP65" i="8"/>
  <c r="AO96" i="9"/>
  <c r="AS95" i="9"/>
  <c r="AW95" i="9" s="1"/>
  <c r="AW96" i="9" s="1"/>
  <c r="AO85" i="9"/>
  <c r="AO80" i="9"/>
  <c r="AO25" i="9"/>
  <c r="AO88" i="9" s="1"/>
  <c r="AS22" i="9"/>
  <c r="AW22" i="9" s="1"/>
  <c r="AP64" i="9"/>
  <c r="AO82" i="9"/>
  <c r="AR61" i="59" s="1"/>
  <c r="AO76" i="9"/>
  <c r="AS59" i="9"/>
  <c r="AW59" i="9" s="1"/>
  <c r="AW76" i="9" s="1"/>
  <c r="AP95" i="9"/>
  <c r="AS47" i="9"/>
  <c r="AW47" i="9" s="1"/>
  <c r="AW84" i="9" s="1"/>
  <c r="AO53" i="9"/>
  <c r="AO75" i="9"/>
  <c r="AS58" i="9"/>
  <c r="AW58" i="9" s="1"/>
  <c r="AW75" i="9" s="1"/>
  <c r="AF100" i="9"/>
  <c r="AE72" i="9"/>
  <c r="AE7" i="9"/>
  <c r="AH57" i="59"/>
  <c r="AF72" i="8"/>
  <c r="Z67" i="8"/>
  <c r="AB56" i="8"/>
  <c r="AF56" i="8" s="1"/>
  <c r="AB63" i="8"/>
  <c r="AF63" i="8" s="1"/>
  <c r="AJ63" i="8" s="1"/>
  <c r="AJ71" i="8" s="1"/>
  <c r="Z71" i="8"/>
  <c r="R46" i="8"/>
  <c r="U46" i="59" s="1"/>
  <c r="R90" i="8"/>
  <c r="V90" i="8" s="1"/>
  <c r="R83" i="8"/>
  <c r="V83" i="8" s="1"/>
  <c r="R84" i="8"/>
  <c r="V84" i="8" s="1"/>
  <c r="R49" i="8"/>
  <c r="R86" i="8"/>
  <c r="R44" i="8"/>
  <c r="U47" i="59" s="1"/>
  <c r="R47" i="8"/>
  <c r="R40" i="8"/>
  <c r="R39" i="8"/>
  <c r="R43" i="8"/>
  <c r="U45" i="59" s="1"/>
  <c r="R41" i="8"/>
  <c r="R45" i="8"/>
  <c r="R82" i="8"/>
  <c r="M6" i="26"/>
  <c r="R50" i="8"/>
  <c r="R51" i="8" s="1"/>
  <c r="Z70" i="8"/>
  <c r="AC61" i="59"/>
  <c r="Z52" i="9"/>
  <c r="AC57" i="59" s="1"/>
  <c r="Z53" i="9"/>
  <c r="AC60" i="59"/>
  <c r="Z192" i="6"/>
  <c r="Z191" i="6"/>
  <c r="Z166" i="6"/>
  <c r="V40" i="8" l="1"/>
  <c r="V41" i="8"/>
  <c r="V42" i="8" s="1"/>
  <c r="V47" i="8"/>
  <c r="V44" i="8"/>
  <c r="Y47" i="59" s="1"/>
  <c r="V43" i="8"/>
  <c r="Y45" i="59" s="1"/>
  <c r="AW25" i="9"/>
  <c r="AW88" i="9" s="1"/>
  <c r="V49" i="8"/>
  <c r="Q2" i="17"/>
  <c r="Q2" i="26"/>
  <c r="AW87" i="9"/>
  <c r="AW80" i="9"/>
  <c r="AW82" i="9"/>
  <c r="AW83" i="9"/>
  <c r="AW85" i="9"/>
  <c r="AW53" i="9"/>
  <c r="AW94" i="9"/>
  <c r="AV19" i="15" s="1"/>
  <c r="AW93" i="9"/>
  <c r="AW86" i="9"/>
  <c r="AX59" i="8"/>
  <c r="AX61" i="8"/>
  <c r="BF61" i="8" s="1"/>
  <c r="AJ56" i="8"/>
  <c r="AP56" i="8" s="1"/>
  <c r="AT56" i="8" s="1"/>
  <c r="AJ70" i="8"/>
  <c r="AS93" i="9"/>
  <c r="AS94" i="9"/>
  <c r="AR19" i="15" s="1"/>
  <c r="V50" i="8"/>
  <c r="V51" i="8" s="1"/>
  <c r="V14" i="36"/>
  <c r="Y40" i="59" s="1"/>
  <c r="U48" i="59"/>
  <c r="AO52" i="9"/>
  <c r="AO7" i="9" s="1"/>
  <c r="AS25" i="9"/>
  <c r="AS88" i="9" s="1"/>
  <c r="AS85" i="9"/>
  <c r="AS76" i="9"/>
  <c r="AS96" i="9"/>
  <c r="AS75" i="9"/>
  <c r="AS84" i="9"/>
  <c r="AT95" i="9"/>
  <c r="AX95" i="9" s="1"/>
  <c r="AX96" i="9" s="1"/>
  <c r="AP96" i="9"/>
  <c r="AS86" i="9"/>
  <c r="AL57" i="59"/>
  <c r="AS80" i="9"/>
  <c r="AP63" i="8"/>
  <c r="AS83" i="9"/>
  <c r="AS87" i="9"/>
  <c r="AV60" i="59" s="1"/>
  <c r="AS53" i="9"/>
  <c r="AS82" i="9"/>
  <c r="AV61" i="59" s="1"/>
  <c r="AP72" i="8"/>
  <c r="AT65" i="8"/>
  <c r="AP19" i="9"/>
  <c r="AT64" i="9"/>
  <c r="AX64" i="9" s="1"/>
  <c r="AX81" i="9" s="1"/>
  <c r="AP81" i="9"/>
  <c r="AP69" i="8"/>
  <c r="AO55" i="9"/>
  <c r="AP99" i="9"/>
  <c r="AF70" i="8"/>
  <c r="AF71" i="8"/>
  <c r="Z73" i="8"/>
  <c r="AB67" i="8"/>
  <c r="AF67" i="8" s="1"/>
  <c r="AJ67" i="8" s="1"/>
  <c r="AJ73" i="8" s="1"/>
  <c r="U50" i="59"/>
  <c r="Y50" i="59"/>
  <c r="U49" i="59"/>
  <c r="Y49" i="59"/>
  <c r="R42" i="8"/>
  <c r="Y48" i="59" l="1"/>
  <c r="AW52" i="9"/>
  <c r="AW7" i="9" s="1"/>
  <c r="U2" i="26"/>
  <c r="U2" i="17"/>
  <c r="AX56" i="8"/>
  <c r="BF56" i="8" s="1"/>
  <c r="AX65" i="8"/>
  <c r="BF59" i="8"/>
  <c r="BE92" i="9"/>
  <c r="AR57" i="59"/>
  <c r="BE47" i="9"/>
  <c r="AZ61" i="59"/>
  <c r="AZ60" i="59"/>
  <c r="AS52" i="9"/>
  <c r="AS7" i="9" s="1"/>
  <c r="BE22" i="9"/>
  <c r="BE25" i="9" s="1"/>
  <c r="BE88" i="9" s="1"/>
  <c r="BE58" i="9"/>
  <c r="AT96" i="9"/>
  <c r="BE95" i="9"/>
  <c r="BE96" i="9" s="1"/>
  <c r="BE59" i="9"/>
  <c r="AT81" i="9"/>
  <c r="AT19" i="9"/>
  <c r="AX19" i="9" s="1"/>
  <c r="AX90" i="9" s="1"/>
  <c r="AX91" i="9" s="1"/>
  <c r="AP57" i="36"/>
  <c r="AP17" i="36" s="1"/>
  <c r="AP90" i="9"/>
  <c r="AP91" i="9" s="1"/>
  <c r="AP67" i="8"/>
  <c r="AP100" i="9"/>
  <c r="AT99" i="9"/>
  <c r="AX99" i="9" s="1"/>
  <c r="AT69" i="8"/>
  <c r="AX69" i="8" s="1"/>
  <c r="AP74" i="8"/>
  <c r="AT72" i="8"/>
  <c r="AT63" i="8"/>
  <c r="AP70" i="8"/>
  <c r="AP71" i="8"/>
  <c r="AO72" i="9"/>
  <c r="AS55" i="9"/>
  <c r="AW55" i="9" s="1"/>
  <c r="AW72" i="9" s="1"/>
  <c r="AF73" i="8"/>
  <c r="AB73" i="8"/>
  <c r="BE76" i="9" l="1"/>
  <c r="BE75" i="9"/>
  <c r="AX72" i="8"/>
  <c r="AX74" i="8"/>
  <c r="AX100" i="9"/>
  <c r="BF65" i="8"/>
  <c r="AX63" i="8"/>
  <c r="BE93" i="9"/>
  <c r="BE94" i="9"/>
  <c r="AZ57" i="59"/>
  <c r="AV57" i="59"/>
  <c r="BE53" i="9"/>
  <c r="BE52" i="9"/>
  <c r="BE80" i="9"/>
  <c r="BE84" i="9"/>
  <c r="BE83" i="9"/>
  <c r="BE85" i="9"/>
  <c r="BE82" i="9"/>
  <c r="BH61" i="59" s="1"/>
  <c r="BE86" i="9"/>
  <c r="BE87" i="9"/>
  <c r="BH60" i="59" s="1"/>
  <c r="BF95" i="9"/>
  <c r="BF96" i="9" s="1"/>
  <c r="BF64" i="9"/>
  <c r="BF81" i="9" s="1"/>
  <c r="BF19" i="9"/>
  <c r="AX57" i="36"/>
  <c r="AX17" i="36" s="1"/>
  <c r="BA54" i="59" s="1"/>
  <c r="AS72" i="9"/>
  <c r="AT100" i="9"/>
  <c r="AT74" i="8"/>
  <c r="AT57" i="36"/>
  <c r="AT17" i="36" s="1"/>
  <c r="AT90" i="9"/>
  <c r="AT91" i="9" s="1"/>
  <c r="AT67" i="8"/>
  <c r="AX67" i="8" s="1"/>
  <c r="AP73" i="8"/>
  <c r="AT70" i="8"/>
  <c r="AT71" i="8"/>
  <c r="AS54" i="59"/>
  <c r="AP18" i="36"/>
  <c r="AS55" i="59" s="1"/>
  <c r="J70" i="11"/>
  <c r="J68" i="11"/>
  <c r="I68" i="59"/>
  <c r="BF72" i="8" l="1"/>
  <c r="BF90" i="9"/>
  <c r="BF91" i="9" s="1"/>
  <c r="AX73" i="8"/>
  <c r="AX70" i="8"/>
  <c r="AX71" i="8"/>
  <c r="BF63" i="8"/>
  <c r="BE7" i="9"/>
  <c r="BH57" i="59"/>
  <c r="AX18" i="36"/>
  <c r="BA55" i="59" s="1"/>
  <c r="BE55" i="9"/>
  <c r="BF100" i="9"/>
  <c r="BF69" i="8"/>
  <c r="AT73" i="8"/>
  <c r="AW54" i="59"/>
  <c r="AT18" i="36"/>
  <c r="AW55" i="59" s="1"/>
  <c r="R70" i="11"/>
  <c r="V70" i="11" s="1"/>
  <c r="AB70" i="11"/>
  <c r="AF70" i="11" s="1"/>
  <c r="J66" i="11"/>
  <c r="R68" i="11"/>
  <c r="V68" i="11" s="1"/>
  <c r="J69" i="11"/>
  <c r="M68" i="59" s="1"/>
  <c r="BE72" i="9" l="1"/>
  <c r="BF74" i="8"/>
  <c r="BF70" i="8"/>
  <c r="BF71" i="8"/>
  <c r="AJ70" i="11"/>
  <c r="V69" i="11"/>
  <c r="Y68" i="59" s="1"/>
  <c r="V71" i="11"/>
  <c r="V79" i="11"/>
  <c r="Y69" i="59" s="1"/>
  <c r="BF67" i="8"/>
  <c r="AF79" i="11"/>
  <c r="AI69" i="59" s="1"/>
  <c r="AB79" i="11"/>
  <c r="AE69" i="59" s="1"/>
  <c r="R71" i="11"/>
  <c r="R69" i="11"/>
  <c r="U68" i="59" s="1"/>
  <c r="J67" i="11"/>
  <c r="AB66" i="11"/>
  <c r="AF66" i="11" s="1"/>
  <c r="BF73" i="8" l="1"/>
  <c r="AJ79" i="11"/>
  <c r="AM69" i="59" s="1"/>
  <c r="AJ66" i="11"/>
  <c r="AP66" i="11" s="1"/>
  <c r="AT66" i="11" s="1"/>
  <c r="AP70" i="11"/>
  <c r="Z71" i="11"/>
  <c r="Z69" i="11"/>
  <c r="AC68" i="59" s="1"/>
  <c r="Z67" i="11"/>
  <c r="AB68" i="11"/>
  <c r="AF68" i="11" s="1"/>
  <c r="R66" i="11"/>
  <c r="V66" i="11" s="1"/>
  <c r="V67" i="11" s="1"/>
  <c r="J169" i="10"/>
  <c r="J167" i="10"/>
  <c r="J165" i="10"/>
  <c r="AX66" i="11" l="1"/>
  <c r="AT70" i="11"/>
  <c r="AP79" i="11"/>
  <c r="AS69" i="59" s="1"/>
  <c r="AJ68" i="11"/>
  <c r="AP68" i="11" s="1"/>
  <c r="AB67" i="11"/>
  <c r="AF67" i="11"/>
  <c r="AF69" i="11"/>
  <c r="AI68" i="59" s="1"/>
  <c r="AF71" i="11"/>
  <c r="AB71" i="11"/>
  <c r="AB69" i="11"/>
  <c r="AE68" i="59" s="1"/>
  <c r="R169" i="10"/>
  <c r="V169" i="10" s="1"/>
  <c r="R167" i="10"/>
  <c r="V167" i="10" s="1"/>
  <c r="R67" i="11"/>
  <c r="J166" i="10"/>
  <c r="J168" i="10"/>
  <c r="M64" i="59" s="1"/>
  <c r="BF66" i="11" l="1"/>
  <c r="AX70" i="11"/>
  <c r="AT68" i="11"/>
  <c r="AP71" i="11"/>
  <c r="AP69" i="11"/>
  <c r="AS68" i="59" s="1"/>
  <c r="AP67" i="11"/>
  <c r="AJ67" i="11"/>
  <c r="AJ69" i="11"/>
  <c r="AM68" i="59" s="1"/>
  <c r="AJ71" i="11"/>
  <c r="AT79" i="11"/>
  <c r="AW69" i="59" s="1"/>
  <c r="V170" i="10"/>
  <c r="V168" i="10"/>
  <c r="Y64" i="59" s="1"/>
  <c r="V178" i="10"/>
  <c r="Y65" i="59" s="1"/>
  <c r="R178" i="10"/>
  <c r="R165" i="10"/>
  <c r="V165" i="10" s="1"/>
  <c r="V166" i="10" s="1"/>
  <c r="AB165" i="10"/>
  <c r="AF165" i="10" s="1"/>
  <c r="AJ165" i="10" s="1"/>
  <c r="AJ166" i="10" s="1"/>
  <c r="AB168" i="10"/>
  <c r="AE64" i="59" s="1"/>
  <c r="AB170" i="10"/>
  <c r="R168" i="10"/>
  <c r="U64" i="59" s="1"/>
  <c r="R170" i="10"/>
  <c r="AX79" i="11" l="1"/>
  <c r="BA69" i="59" s="1"/>
  <c r="AX68" i="11"/>
  <c r="AX71" i="11" s="1"/>
  <c r="BF70" i="11"/>
  <c r="AT69" i="11"/>
  <c r="AW68" i="59" s="1"/>
  <c r="AT67" i="11"/>
  <c r="AT71" i="11"/>
  <c r="AF166" i="10"/>
  <c r="R166" i="10"/>
  <c r="AB166" i="10"/>
  <c r="AX67" i="11" l="1"/>
  <c r="AX69" i="11"/>
  <c r="BA68" i="59" s="1"/>
  <c r="BF68" i="11"/>
  <c r="BF67" i="11" s="1"/>
  <c r="BF79" i="11"/>
  <c r="AP165" i="10"/>
  <c r="I38" i="27"/>
  <c r="Q38" i="27" s="1"/>
  <c r="U38" i="27" s="1"/>
  <c r="H38" i="27"/>
  <c r="P38" i="27" s="1"/>
  <c r="T38" i="27" s="1"/>
  <c r="I23" i="27"/>
  <c r="H23" i="27"/>
  <c r="P23" i="27" s="1"/>
  <c r="T23" i="27" s="1"/>
  <c r="BI69" i="59" l="1"/>
  <c r="BF71" i="11"/>
  <c r="BF69" i="11"/>
  <c r="BI68" i="59" s="1"/>
  <c r="AT165" i="10"/>
  <c r="AX165" i="10" s="1"/>
  <c r="AP166" i="10"/>
  <c r="Z23" i="27"/>
  <c r="AD23" i="27" s="1"/>
  <c r="Q23" i="27"/>
  <c r="U23" i="27" s="1"/>
  <c r="AX166" i="10" l="1"/>
  <c r="AH23" i="27"/>
  <c r="AN23" i="27" s="1"/>
  <c r="AR23" i="27" s="1"/>
  <c r="AT166" i="10"/>
  <c r="AA23" i="27"/>
  <c r="AE23" i="27" s="1"/>
  <c r="AV23" i="27" l="1"/>
  <c r="BD23" i="27" s="1"/>
  <c r="AI23" i="27"/>
  <c r="AO23" i="27" s="1"/>
  <c r="AS23" i="27" s="1"/>
  <c r="BF165" i="10"/>
  <c r="J16" i="9"/>
  <c r="J17" i="9"/>
  <c r="BF166" i="10" l="1"/>
  <c r="AW23" i="27"/>
  <c r="BE23" i="27" s="1"/>
  <c r="Z82" i="7"/>
  <c r="Z83" i="7" l="1"/>
  <c r="AC35" i="59" s="1"/>
  <c r="AB82" i="7"/>
  <c r="AF82" i="7" s="1"/>
  <c r="AJ82" i="7" s="1"/>
  <c r="AJ83" i="7" s="1"/>
  <c r="Z138" i="45"/>
  <c r="Z139" i="45" s="1"/>
  <c r="AF83" i="7" l="1"/>
  <c r="AI35" i="59" s="1"/>
  <c r="Y99" i="9"/>
  <c r="AP82" i="7" l="1"/>
  <c r="AM35" i="59"/>
  <c r="Y100" i="9"/>
  <c r="AA99" i="9"/>
  <c r="AE99" i="9" s="1"/>
  <c r="AI99" i="9" s="1"/>
  <c r="AI100" i="9" s="1"/>
  <c r="AP83" i="7" l="1"/>
  <c r="AS35" i="59" s="1"/>
  <c r="AT82" i="7"/>
  <c r="AE100" i="9"/>
  <c r="Y17" i="6"/>
  <c r="Y18" i="6"/>
  <c r="Y27" i="6"/>
  <c r="AA27" i="6" s="1"/>
  <c r="AE27" i="6" s="1"/>
  <c r="AI27" i="6" s="1"/>
  <c r="AO27" i="6" s="1"/>
  <c r="Y30" i="6"/>
  <c r="AA30" i="6" s="1"/>
  <c r="AE30" i="6" s="1"/>
  <c r="AI30" i="6" s="1"/>
  <c r="Y24" i="6"/>
  <c r="AA24" i="6" s="1"/>
  <c r="AE24" i="6" s="1"/>
  <c r="AI24" i="6" s="1"/>
  <c r="AO24" i="6" s="1"/>
  <c r="AS24" i="6" s="1"/>
  <c r="Y31" i="6"/>
  <c r="AA31" i="6" s="1"/>
  <c r="AE31" i="6" s="1"/>
  <c r="AI31" i="6" s="1"/>
  <c r="AO31" i="6" s="1"/>
  <c r="AS31" i="6" s="1"/>
  <c r="Y25" i="6"/>
  <c r="AA25" i="6" s="1"/>
  <c r="AE25" i="6" s="1"/>
  <c r="AI25" i="6" s="1"/>
  <c r="AO25" i="6" s="1"/>
  <c r="AS25" i="6" s="1"/>
  <c r="Y28" i="6"/>
  <c r="AA28" i="6" s="1"/>
  <c r="AE28" i="6" s="1"/>
  <c r="AI28" i="6" s="1"/>
  <c r="AO28" i="6" s="1"/>
  <c r="AS28" i="6" s="1"/>
  <c r="AX82" i="7" l="1"/>
  <c r="AA18" i="6"/>
  <c r="AE18" i="6" s="1"/>
  <c r="AI18" i="6" s="1"/>
  <c r="AO18" i="6" s="1"/>
  <c r="AO194" i="6" s="1"/>
  <c r="Y195" i="6"/>
  <c r="AA195" i="6" s="1"/>
  <c r="AE195" i="6" s="1"/>
  <c r="AI195" i="6" s="1"/>
  <c r="AO195" i="6" s="1"/>
  <c r="AW28" i="6"/>
  <c r="AW24" i="6"/>
  <c r="AW25" i="6"/>
  <c r="AA17" i="6"/>
  <c r="AE17" i="6" s="1"/>
  <c r="AI17" i="6" s="1"/>
  <c r="AO17" i="6" s="1"/>
  <c r="AS17" i="6" s="1"/>
  <c r="Y169" i="6"/>
  <c r="AW31" i="6"/>
  <c r="AT83" i="7"/>
  <c r="AW35" i="59" s="1"/>
  <c r="AS26" i="6"/>
  <c r="AO29" i="6"/>
  <c r="AS27" i="6"/>
  <c r="AW27" i="6" s="1"/>
  <c r="AI32" i="6"/>
  <c r="AO30" i="6"/>
  <c r="AO26" i="6"/>
  <c r="AO99" i="9"/>
  <c r="AI29" i="6"/>
  <c r="AI188" i="6"/>
  <c r="AI26" i="6"/>
  <c r="AE29" i="6"/>
  <c r="AE188" i="6"/>
  <c r="AE194" i="6"/>
  <c r="AE32" i="6"/>
  <c r="AE26" i="6"/>
  <c r="Y188" i="6"/>
  <c r="Y163" i="6"/>
  <c r="Y22" i="6"/>
  <c r="Y21" i="6"/>
  <c r="Y19" i="6"/>
  <c r="Y81" i="6" s="1"/>
  <c r="Y33" i="6"/>
  <c r="AA33" i="6" s="1"/>
  <c r="AE33" i="6" s="1"/>
  <c r="AI33" i="6" s="1"/>
  <c r="AO33" i="6" s="1"/>
  <c r="AS33" i="6" s="1"/>
  <c r="Y34" i="6"/>
  <c r="AA34" i="6" s="1"/>
  <c r="AE34" i="6" s="1"/>
  <c r="AI34" i="6" s="1"/>
  <c r="AO34" i="6" s="1"/>
  <c r="AS34" i="6" s="1"/>
  <c r="Y6" i="8"/>
  <c r="E6" i="8"/>
  <c r="AS18" i="6" l="1"/>
  <c r="AS194" i="6" s="1"/>
  <c r="AI194" i="6"/>
  <c r="AO188" i="6"/>
  <c r="BE25" i="6"/>
  <c r="BE31" i="6"/>
  <c r="AX83" i="7"/>
  <c r="BA35" i="59" s="1"/>
  <c r="AS195" i="6"/>
  <c r="AO168" i="6"/>
  <c r="AE168" i="6"/>
  <c r="AW26" i="6"/>
  <c r="AI168" i="6"/>
  <c r="AE19" i="6"/>
  <c r="AE84" i="6" s="1"/>
  <c r="AI163" i="6"/>
  <c r="AE163" i="6"/>
  <c r="AI19" i="6"/>
  <c r="AI84" i="6" s="1"/>
  <c r="AO163" i="6"/>
  <c r="AA169" i="6"/>
  <c r="AE169" i="6" s="1"/>
  <c r="AI169" i="6" s="1"/>
  <c r="AO169" i="6" s="1"/>
  <c r="AS169" i="6" s="1"/>
  <c r="AW17" i="6"/>
  <c r="AS163" i="6"/>
  <c r="AS168" i="6"/>
  <c r="BE24" i="6"/>
  <c r="AW34" i="6"/>
  <c r="AW29" i="6"/>
  <c r="AW18" i="6"/>
  <c r="BE28" i="6"/>
  <c r="AW33" i="6"/>
  <c r="AO19" i="6"/>
  <c r="AO84" i="6" s="1"/>
  <c r="AS19" i="6"/>
  <c r="AS84" i="6" s="1"/>
  <c r="AS188" i="6"/>
  <c r="Y84" i="8"/>
  <c r="Y83" i="8"/>
  <c r="BF82" i="7"/>
  <c r="AS29" i="6"/>
  <c r="AS35" i="6"/>
  <c r="AO100" i="9"/>
  <c r="AS99" i="9"/>
  <c r="AW99" i="9" s="1"/>
  <c r="AW100" i="9" s="1"/>
  <c r="AO32" i="6"/>
  <c r="AS30" i="6"/>
  <c r="AW30" i="6" s="1"/>
  <c r="AO35" i="6"/>
  <c r="AI35" i="6"/>
  <c r="AE35" i="6"/>
  <c r="Y6" i="49"/>
  <c r="Y46" i="8"/>
  <c r="AB46" i="59" s="1"/>
  <c r="E30" i="8"/>
  <c r="AA21" i="6"/>
  <c r="AE21" i="6" s="1"/>
  <c r="AI21" i="6" s="1"/>
  <c r="AO21" i="6" s="1"/>
  <c r="AS21" i="6" s="1"/>
  <c r="AA22" i="6"/>
  <c r="AE22" i="6" s="1"/>
  <c r="Y84" i="6"/>
  <c r="E6" i="49"/>
  <c r="I6" i="49" s="1"/>
  <c r="M6" i="8"/>
  <c r="Z6" i="8"/>
  <c r="Y13" i="8"/>
  <c r="AA13" i="8" s="1"/>
  <c r="AE13" i="8" s="1"/>
  <c r="AI13" i="8" s="1"/>
  <c r="AI16" i="8" s="1"/>
  <c r="AC40" i="59"/>
  <c r="M83" i="8" l="1"/>
  <c r="P49" i="59" s="1"/>
  <c r="M30" i="8"/>
  <c r="AA30" i="8" s="1"/>
  <c r="AE30" i="8" s="1"/>
  <c r="AI30" i="8" s="1"/>
  <c r="BE26" i="6"/>
  <c r="BF83" i="7"/>
  <c r="BI35" i="59" s="1"/>
  <c r="AW32" i="6"/>
  <c r="BE34" i="6"/>
  <c r="AW195" i="6"/>
  <c r="AI81" i="6"/>
  <c r="AE81" i="6"/>
  <c r="AS81" i="6"/>
  <c r="AW35" i="6"/>
  <c r="BE18" i="6"/>
  <c r="AW21" i="6"/>
  <c r="BE33" i="6"/>
  <c r="AW169" i="6"/>
  <c r="AW19" i="6"/>
  <c r="AW163" i="6"/>
  <c r="AW168" i="6"/>
  <c r="AO81" i="6"/>
  <c r="AW188" i="6"/>
  <c r="AW194" i="6"/>
  <c r="BE17" i="6"/>
  <c r="AB49" i="59"/>
  <c r="AB50" i="59"/>
  <c r="M84" i="8"/>
  <c r="BE27" i="6"/>
  <c r="AS32" i="6"/>
  <c r="AS100" i="9"/>
  <c r="AE23" i="6"/>
  <c r="AI22" i="6"/>
  <c r="AO22" i="6" s="1"/>
  <c r="AE16" i="8"/>
  <c r="M6" i="49"/>
  <c r="Q6" i="49" s="1"/>
  <c r="U6" i="49" s="1"/>
  <c r="AA6" i="8"/>
  <c r="Z6" i="49"/>
  <c r="Z90" i="8"/>
  <c r="AB6" i="8"/>
  <c r="Z46" i="8"/>
  <c r="AC46" i="59" s="1"/>
  <c r="E67" i="8"/>
  <c r="I30" i="8"/>
  <c r="M90" i="8"/>
  <c r="Q6" i="8"/>
  <c r="Y47" i="8"/>
  <c r="Z41" i="8"/>
  <c r="Z40" i="8"/>
  <c r="Z39" i="8"/>
  <c r="Z82" i="8"/>
  <c r="AC51" i="59" s="1"/>
  <c r="Z44" i="8"/>
  <c r="AC47" i="59" s="1"/>
  <c r="Z47" i="8"/>
  <c r="Z43" i="8"/>
  <c r="AC45" i="59" s="1"/>
  <c r="Z45" i="8"/>
  <c r="Z86" i="8"/>
  <c r="Z49" i="8"/>
  <c r="Y49" i="8"/>
  <c r="Y82" i="8"/>
  <c r="AB51" i="59" s="1"/>
  <c r="Y50" i="8"/>
  <c r="Y51" i="8" s="1"/>
  <c r="Z83" i="8"/>
  <c r="Z84" i="8"/>
  <c r="Y90" i="8"/>
  <c r="Z50" i="8"/>
  <c r="Z51" i="8" s="1"/>
  <c r="Y59" i="8"/>
  <c r="Y69" i="8"/>
  <c r="Y45" i="8"/>
  <c r="U6" i="8" l="1"/>
  <c r="AF6" i="8"/>
  <c r="AJ6" i="8" s="1"/>
  <c r="AE6" i="8"/>
  <c r="AE92" i="8" s="1"/>
  <c r="BE35" i="6"/>
  <c r="BE29" i="6"/>
  <c r="BE21" i="6"/>
  <c r="AW81" i="6"/>
  <c r="BE195" i="6"/>
  <c r="BE194" i="6"/>
  <c r="Y78" i="8"/>
  <c r="X2" i="26"/>
  <c r="X2" i="17"/>
  <c r="Y2" i="26"/>
  <c r="Y2" i="17"/>
  <c r="BE169" i="6"/>
  <c r="AW84" i="6"/>
  <c r="BE188" i="6"/>
  <c r="BE163" i="6"/>
  <c r="BE168" i="6"/>
  <c r="BE19" i="6"/>
  <c r="AO30" i="8"/>
  <c r="AS30" i="8" s="1"/>
  <c r="P50" i="59"/>
  <c r="Q84" i="8"/>
  <c r="U82" i="8"/>
  <c r="Q83" i="8"/>
  <c r="AA84" i="8"/>
  <c r="AA83" i="8"/>
  <c r="AC48" i="59"/>
  <c r="M67" i="8"/>
  <c r="AA67" i="8" s="1"/>
  <c r="AE67" i="8" s="1"/>
  <c r="I67" i="8"/>
  <c r="I37" i="8" s="1"/>
  <c r="BE30" i="6"/>
  <c r="BE100" i="9"/>
  <c r="AI23" i="6"/>
  <c r="AO23" i="6"/>
  <c r="AS22" i="6"/>
  <c r="AW22" i="6" s="1"/>
  <c r="AO13" i="8"/>
  <c r="AF47" i="8"/>
  <c r="AF41" i="8"/>
  <c r="AF43" i="8"/>
  <c r="AI45" i="59" s="1"/>
  <c r="AF45" i="8"/>
  <c r="AF40" i="8"/>
  <c r="AF82" i="8"/>
  <c r="AI51" i="59" s="1"/>
  <c r="AF44" i="8"/>
  <c r="AI47" i="59" s="1"/>
  <c r="AF92" i="8"/>
  <c r="AF86" i="8"/>
  <c r="AF39" i="8"/>
  <c r="AE46" i="8"/>
  <c r="AH46" i="59" s="1"/>
  <c r="AA90" i="8"/>
  <c r="AB90" i="8"/>
  <c r="AF90" i="8" s="1"/>
  <c r="AB49" i="8"/>
  <c r="Y44" i="8"/>
  <c r="AB47" i="59" s="1"/>
  <c r="Y43" i="8"/>
  <c r="AB45" i="59" s="1"/>
  <c r="E37" i="8"/>
  <c r="Q30" i="8"/>
  <c r="U30" i="8" s="1"/>
  <c r="U46" i="8" s="1"/>
  <c r="M46" i="8"/>
  <c r="P46" i="59" s="1"/>
  <c r="P48" i="59" s="1"/>
  <c r="AB84" i="8"/>
  <c r="AC50" i="59"/>
  <c r="AB83" i="8"/>
  <c r="AC49" i="59"/>
  <c r="AB50" i="8"/>
  <c r="AB51" i="8" s="1"/>
  <c r="Z78" i="8"/>
  <c r="Q82" i="8"/>
  <c r="Q90" i="8"/>
  <c r="U90" i="8" s="1"/>
  <c r="Y6" i="26"/>
  <c r="Y74" i="8"/>
  <c r="Z42" i="8"/>
  <c r="AE90" i="8" l="1"/>
  <c r="AF46" i="8"/>
  <c r="AI46" i="59" s="1"/>
  <c r="AE82" i="8"/>
  <c r="AH51" i="59" s="1"/>
  <c r="AI6" i="8"/>
  <c r="BE84" i="6"/>
  <c r="BE32" i="6"/>
  <c r="M37" i="8"/>
  <c r="AA37" i="8" s="1"/>
  <c r="AE37" i="8" s="1"/>
  <c r="AI37" i="8" s="1"/>
  <c r="AO37" i="8" s="1"/>
  <c r="AS37" i="8" s="1"/>
  <c r="AW23" i="6"/>
  <c r="AW30" i="8"/>
  <c r="AF14" i="36"/>
  <c r="AI40" i="59" s="1"/>
  <c r="AA2" i="17"/>
  <c r="AA2" i="26"/>
  <c r="BE81" i="6"/>
  <c r="Q67" i="8"/>
  <c r="U67" i="8" s="1"/>
  <c r="AJ90" i="8"/>
  <c r="AJ46" i="8"/>
  <c r="AM46" i="59" s="1"/>
  <c r="AJ86" i="8"/>
  <c r="AJ43" i="8"/>
  <c r="AM45" i="59" s="1"/>
  <c r="AJ82" i="8"/>
  <c r="AM51" i="59" s="1"/>
  <c r="AJ39" i="8"/>
  <c r="AJ44" i="8"/>
  <c r="AM47" i="59" s="1"/>
  <c r="AJ41" i="8"/>
  <c r="AJ47" i="8"/>
  <c r="AJ40" i="8"/>
  <c r="AJ45" i="8"/>
  <c r="AJ92" i="8"/>
  <c r="AP6" i="8"/>
  <c r="AI67" i="8"/>
  <c r="AO67" i="8" s="1"/>
  <c r="AS67" i="8" s="1"/>
  <c r="AI90" i="8"/>
  <c r="AI82" i="8"/>
  <c r="AL51" i="59" s="1"/>
  <c r="AI92" i="8"/>
  <c r="AO6" i="8"/>
  <c r="U83" i="8"/>
  <c r="X49" i="59" s="1"/>
  <c r="T49" i="59"/>
  <c r="U84" i="8"/>
  <c r="X50" i="59" s="1"/>
  <c r="T50" i="59"/>
  <c r="AB48" i="59"/>
  <c r="AE83" i="8"/>
  <c r="AI83" i="8" s="1"/>
  <c r="AD49" i="59"/>
  <c r="AE84" i="8"/>
  <c r="AI84" i="8" s="1"/>
  <c r="AD50" i="59"/>
  <c r="AI48" i="59"/>
  <c r="AS23" i="6"/>
  <c r="AO16" i="8"/>
  <c r="AS13" i="8"/>
  <c r="AW13" i="8" s="1"/>
  <c r="AW16" i="8" s="1"/>
  <c r="AF42" i="8"/>
  <c r="AE49" i="59"/>
  <c r="AF83" i="8"/>
  <c r="AJ83" i="8" s="1"/>
  <c r="AF50" i="8"/>
  <c r="AF51" i="8" s="1"/>
  <c r="AE50" i="59"/>
  <c r="AF84" i="8"/>
  <c r="AJ84" i="8" s="1"/>
  <c r="AF49" i="8"/>
  <c r="Y52" i="8"/>
  <c r="AB41" i="59" s="1"/>
  <c r="Y53" i="8"/>
  <c r="AB42" i="59" s="1"/>
  <c r="X46" i="59"/>
  <c r="X51" i="59"/>
  <c r="Q46" i="8"/>
  <c r="T46" i="59" s="1"/>
  <c r="Y63" i="8"/>
  <c r="Y71" i="8" s="1"/>
  <c r="AI46" i="8" l="1"/>
  <c r="AL46" i="59" s="1"/>
  <c r="AE2" i="26"/>
  <c r="AE2" i="17"/>
  <c r="BE30" i="8"/>
  <c r="AW37" i="8"/>
  <c r="BE37" i="8" s="1"/>
  <c r="AW67" i="8"/>
  <c r="BE67" i="8" s="1"/>
  <c r="AO90" i="8"/>
  <c r="AJ50" i="8"/>
  <c r="AJ51" i="8" s="1"/>
  <c r="AJ14" i="36"/>
  <c r="AM40" i="59" s="1"/>
  <c r="AM48" i="59"/>
  <c r="AP90" i="8"/>
  <c r="AT6" i="8"/>
  <c r="AP92" i="8"/>
  <c r="AP82" i="8"/>
  <c r="AS51" i="59" s="1"/>
  <c r="AP40" i="8"/>
  <c r="AP43" i="8"/>
  <c r="AS45" i="59" s="1"/>
  <c r="AP45" i="8"/>
  <c r="AP44" i="8"/>
  <c r="AS47" i="59" s="1"/>
  <c r="AP46" i="8"/>
  <c r="AS46" i="59" s="1"/>
  <c r="AP86" i="8"/>
  <c r="AP41" i="8"/>
  <c r="AP39" i="8"/>
  <c r="AP47" i="8"/>
  <c r="AJ49" i="8"/>
  <c r="AS6" i="8"/>
  <c r="AO46" i="8"/>
  <c r="AR46" i="59" s="1"/>
  <c r="AO92" i="8"/>
  <c r="AO82" i="8"/>
  <c r="AR51" i="59" s="1"/>
  <c r="AJ42" i="8"/>
  <c r="AH50" i="59"/>
  <c r="AH49" i="59"/>
  <c r="AB43" i="59"/>
  <c r="BE22" i="6"/>
  <c r="AS16" i="8"/>
  <c r="AI49" i="59"/>
  <c r="AI50" i="59"/>
  <c r="AW6" i="8" l="1"/>
  <c r="AX6" i="8"/>
  <c r="AX86" i="8" s="1"/>
  <c r="BE23" i="6"/>
  <c r="AI2" i="26"/>
  <c r="AI2" i="17"/>
  <c r="AW92" i="8"/>
  <c r="AW82" i="8"/>
  <c r="AT47" i="8"/>
  <c r="AT92" i="8"/>
  <c r="AT41" i="8"/>
  <c r="AT86" i="8"/>
  <c r="AT46" i="8"/>
  <c r="AW46" i="59" s="1"/>
  <c r="AT39" i="8"/>
  <c r="AT43" i="8"/>
  <c r="AW45" i="59" s="1"/>
  <c r="AT82" i="8"/>
  <c r="AW51" i="59" s="1"/>
  <c r="AT44" i="8"/>
  <c r="AW47" i="59" s="1"/>
  <c r="AT45" i="8"/>
  <c r="AT40" i="8"/>
  <c r="AS92" i="8"/>
  <c r="AS82" i="8"/>
  <c r="AV51" i="59" s="1"/>
  <c r="AS46" i="8"/>
  <c r="AV46" i="59" s="1"/>
  <c r="AP42" i="8"/>
  <c r="AS90" i="8"/>
  <c r="AW90" i="8" s="1"/>
  <c r="AS48" i="59"/>
  <c r="AT90" i="8"/>
  <c r="AO83" i="8"/>
  <c r="AL49" i="59"/>
  <c r="AO84" i="8"/>
  <c r="AL50" i="59"/>
  <c r="BE13" i="8"/>
  <c r="AM49" i="59"/>
  <c r="AP83" i="8"/>
  <c r="AP50" i="8"/>
  <c r="AP51" i="8" s="1"/>
  <c r="AP14" i="36"/>
  <c r="AS40" i="59" s="1"/>
  <c r="AP49" i="8"/>
  <c r="AM50" i="59"/>
  <c r="AP84" i="8"/>
  <c r="Y82" i="7"/>
  <c r="Y83" i="7" s="1"/>
  <c r="AB35" i="59" s="1"/>
  <c r="Z193" i="6"/>
  <c r="AB193" i="6" s="1"/>
  <c r="Z167" i="6"/>
  <c r="AB167" i="6" s="1"/>
  <c r="AX90" i="8" l="1"/>
  <c r="AX82" i="8"/>
  <c r="AX47" i="8"/>
  <c r="AX43" i="8"/>
  <c r="BA45" i="59" s="1"/>
  <c r="AX39" i="8"/>
  <c r="AX46" i="8"/>
  <c r="BA46" i="59" s="1"/>
  <c r="AX45" i="8"/>
  <c r="AX40" i="8"/>
  <c r="AX44" i="8"/>
  <c r="BA47" i="59" s="1"/>
  <c r="AX92" i="8"/>
  <c r="AX41" i="8"/>
  <c r="AW46" i="8"/>
  <c r="AZ46" i="59" s="1"/>
  <c r="BE16" i="8"/>
  <c r="AO2" i="17"/>
  <c r="AO2" i="26"/>
  <c r="AW48" i="59"/>
  <c r="BE6" i="8"/>
  <c r="AZ51" i="59"/>
  <c r="AT42" i="8"/>
  <c r="BF6" i="8"/>
  <c r="BA51" i="59"/>
  <c r="AS84" i="8"/>
  <c r="AW84" i="8" s="1"/>
  <c r="AR50" i="59"/>
  <c r="AS83" i="8"/>
  <c r="AW83" i="8" s="1"/>
  <c r="AR49" i="59"/>
  <c r="AS50" i="59"/>
  <c r="AT84" i="8"/>
  <c r="AX84" i="8" s="1"/>
  <c r="AT50" i="8"/>
  <c r="AT51" i="8" s="1"/>
  <c r="AT14" i="36"/>
  <c r="AW40" i="59" s="1"/>
  <c r="AT49" i="8"/>
  <c r="AS49" i="59"/>
  <c r="AT83" i="8"/>
  <c r="AX83" i="8" s="1"/>
  <c r="Y71" i="7"/>
  <c r="Y73" i="7" s="1"/>
  <c r="Y68" i="7"/>
  <c r="Y69" i="7" s="1"/>
  <c r="AB30" i="59"/>
  <c r="AB31" i="59"/>
  <c r="AX42" i="8" l="1"/>
  <c r="BF90" i="8"/>
  <c r="BF39" i="8"/>
  <c r="AS2" i="26"/>
  <c r="AS2" i="17"/>
  <c r="AX50" i="8"/>
  <c r="AX51" i="8" s="1"/>
  <c r="AX49" i="8"/>
  <c r="BA48" i="59"/>
  <c r="BE90" i="8"/>
  <c r="BF41" i="8"/>
  <c r="BF92" i="8"/>
  <c r="BF45" i="8"/>
  <c r="BF40" i="8"/>
  <c r="BF86" i="8"/>
  <c r="BF46" i="8"/>
  <c r="BF47" i="8"/>
  <c r="BF43" i="8"/>
  <c r="BF44" i="8"/>
  <c r="BF82" i="8"/>
  <c r="BI51" i="59" s="1"/>
  <c r="BE92" i="8"/>
  <c r="BE46" i="8"/>
  <c r="BH46" i="59" s="1"/>
  <c r="BE82" i="8"/>
  <c r="BH51" i="59" s="1"/>
  <c r="AZ49" i="59"/>
  <c r="AV49" i="59"/>
  <c r="AZ50" i="59"/>
  <c r="AV50" i="59"/>
  <c r="AX14" i="36"/>
  <c r="BA40" i="59" s="1"/>
  <c r="AW49" i="59"/>
  <c r="BA49" i="59"/>
  <c r="AW50" i="59"/>
  <c r="BA50" i="59"/>
  <c r="Y78" i="7"/>
  <c r="BI47" i="59" l="1"/>
  <c r="BF137" i="8"/>
  <c r="BF144" i="8" s="1"/>
  <c r="BI45" i="59"/>
  <c r="BF136" i="8"/>
  <c r="BI46" i="59"/>
  <c r="BI48" i="59" s="1"/>
  <c r="BF138" i="8"/>
  <c r="BF145" i="8" s="1"/>
  <c r="AW2" i="26"/>
  <c r="AW2" i="17"/>
  <c r="BF14" i="36"/>
  <c r="BF42" i="8"/>
  <c r="BE84" i="8"/>
  <c r="BH50" i="59" s="1"/>
  <c r="BE83" i="8"/>
  <c r="BH49" i="59" s="1"/>
  <c r="BF83" i="8"/>
  <c r="BI49" i="59" s="1"/>
  <c r="BF84" i="8"/>
  <c r="BI50" i="59" s="1"/>
  <c r="BF50" i="8"/>
  <c r="BF49" i="8"/>
  <c r="AB6" i="59"/>
  <c r="Y34" i="36"/>
  <c r="BF139" i="8" l="1"/>
  <c r="BF146" i="8" s="1"/>
  <c r="BF143" i="8"/>
  <c r="BF51" i="8"/>
  <c r="BI40" i="59"/>
  <c r="BE2" i="26"/>
  <c r="BE2" i="17"/>
  <c r="Z34" i="36"/>
  <c r="Z41" i="36" s="1"/>
  <c r="Y35" i="36"/>
  <c r="Y36" i="36"/>
  <c r="Y38" i="36" s="1"/>
  <c r="Z5" i="6"/>
  <c r="Z98" i="6" s="1"/>
  <c r="Z6" i="6"/>
  <c r="Z16" i="6" s="1"/>
  <c r="Z18" i="6"/>
  <c r="Z104" i="6" l="1"/>
  <c r="Z106" i="6" s="1"/>
  <c r="Z144" i="6" s="1"/>
  <c r="Z80" i="6"/>
  <c r="Z83" i="6"/>
  <c r="Y30" i="36"/>
  <c r="AB80" i="59" s="1"/>
  <c r="AB18" i="6"/>
  <c r="Z35" i="36"/>
  <c r="Z36" i="36"/>
  <c r="Z38" i="36" s="1"/>
  <c r="Z7" i="6"/>
  <c r="Z15" i="6"/>
  <c r="Z189" i="6"/>
  <c r="Z194" i="6"/>
  <c r="Z195" i="6"/>
  <c r="Z17" i="6"/>
  <c r="Z147" i="6" l="1"/>
  <c r="Z145" i="6"/>
  <c r="AC15" i="59" s="1"/>
  <c r="Z79" i="6"/>
  <c r="Z82" i="6"/>
  <c r="Z85" i="6"/>
  <c r="AB83" i="6"/>
  <c r="AB80" i="6"/>
  <c r="AF18" i="6"/>
  <c r="Z30" i="36"/>
  <c r="AC80" i="59" s="1"/>
  <c r="AB17" i="6"/>
  <c r="Z169" i="6"/>
  <c r="Z19" i="6"/>
  <c r="BB81" i="6" s="1"/>
  <c r="BD81" i="6" s="1"/>
  <c r="Z168" i="6"/>
  <c r="Z146" i="6" l="1"/>
  <c r="Z7" i="36" s="1"/>
  <c r="AB169" i="6"/>
  <c r="AJ18" i="6"/>
  <c r="AP18" i="6" s="1"/>
  <c r="AT18" i="6" s="1"/>
  <c r="AX18" i="6" s="1"/>
  <c r="AF83" i="6"/>
  <c r="AJ83" i="6" s="1"/>
  <c r="AF80" i="6"/>
  <c r="AB85" i="6"/>
  <c r="Z81" i="6"/>
  <c r="Z84" i="6"/>
  <c r="AB82" i="6"/>
  <c r="AB79" i="6"/>
  <c r="AT194" i="6"/>
  <c r="AT189" i="6"/>
  <c r="AF17" i="6"/>
  <c r="AF194" i="6"/>
  <c r="AF189" i="6"/>
  <c r="Z39" i="6"/>
  <c r="Z40" i="6"/>
  <c r="Z38" i="6"/>
  <c r="AJ194" i="6" l="1"/>
  <c r="AJ189" i="6"/>
  <c r="AP194" i="6"/>
  <c r="AP189" i="6"/>
  <c r="AJ80" i="6"/>
  <c r="AJ17" i="6"/>
  <c r="AP17" i="6" s="1"/>
  <c r="AT17" i="6" s="1"/>
  <c r="AX17" i="6" s="1"/>
  <c r="AF82" i="6"/>
  <c r="AF79" i="6"/>
  <c r="AX194" i="6"/>
  <c r="AX189" i="6"/>
  <c r="BF18" i="6"/>
  <c r="AF164" i="6"/>
  <c r="AF168" i="6"/>
  <c r="AF19" i="6"/>
  <c r="AJ19" i="6" l="1"/>
  <c r="AJ82" i="6"/>
  <c r="AJ168" i="6"/>
  <c r="AJ164" i="6"/>
  <c r="AP164" i="6"/>
  <c r="AP19" i="6"/>
  <c r="AP38" i="6" s="1"/>
  <c r="AP168" i="6"/>
  <c r="AT164" i="6"/>
  <c r="AT168" i="6"/>
  <c r="AJ79" i="6"/>
  <c r="AT19" i="6"/>
  <c r="AT39" i="6" s="1"/>
  <c r="AX19" i="6"/>
  <c r="AX168" i="6"/>
  <c r="AX164" i="6"/>
  <c r="BF189" i="6"/>
  <c r="BF194" i="6"/>
  <c r="BF17" i="6"/>
  <c r="AJ38" i="6"/>
  <c r="AJ39" i="6"/>
  <c r="AJ40" i="6"/>
  <c r="AF39" i="6"/>
  <c r="AF38" i="6"/>
  <c r="AF40" i="6"/>
  <c r="J81" i="11"/>
  <c r="J86" i="11"/>
  <c r="J91" i="11" s="1"/>
  <c r="J82" i="11"/>
  <c r="J181" i="10"/>
  <c r="J185" i="10"/>
  <c r="J180" i="10"/>
  <c r="AP39" i="6" l="1"/>
  <c r="AP40" i="6"/>
  <c r="J190" i="10"/>
  <c r="AB181" i="10"/>
  <c r="AF181" i="10" s="1"/>
  <c r="AT38" i="6"/>
  <c r="AT40" i="6"/>
  <c r="AJ181" i="10"/>
  <c r="AP181" i="10" s="1"/>
  <c r="AT181" i="10" s="1"/>
  <c r="AX181" i="10" s="1"/>
  <c r="BF168" i="6"/>
  <c r="BF19" i="6"/>
  <c r="BF164" i="6"/>
  <c r="AX40" i="6"/>
  <c r="AX39" i="6"/>
  <c r="AX38" i="6"/>
  <c r="R82" i="11"/>
  <c r="V82" i="11" s="1"/>
  <c r="AB82" i="11"/>
  <c r="AF82" i="11" s="1"/>
  <c r="R181" i="10"/>
  <c r="V181" i="10" s="1"/>
  <c r="J83" i="11"/>
  <c r="J90" i="11" s="1"/>
  <c r="J182" i="10"/>
  <c r="AB86" i="11"/>
  <c r="AF86" i="11" s="1"/>
  <c r="AJ86" i="11" s="1"/>
  <c r="AJ91" i="11" s="1"/>
  <c r="AB185" i="10"/>
  <c r="AF185" i="10" s="1"/>
  <c r="AJ185" i="10" s="1"/>
  <c r="AJ190" i="10" s="1"/>
  <c r="J189" i="10" l="1"/>
  <c r="BF181" i="10"/>
  <c r="BF40" i="6"/>
  <c r="BF39" i="6"/>
  <c r="BF38" i="6"/>
  <c r="AJ82" i="11"/>
  <c r="AP82" i="11" s="1"/>
  <c r="AT82" i="11" s="1"/>
  <c r="AX82" i="11" s="1"/>
  <c r="AF190" i="10"/>
  <c r="AF91" i="11"/>
  <c r="AB91" i="11"/>
  <c r="AB190" i="10"/>
  <c r="R81" i="11"/>
  <c r="V81" i="11" s="1"/>
  <c r="V83" i="11" s="1"/>
  <c r="AB81" i="11"/>
  <c r="AF81" i="11" s="1"/>
  <c r="AJ81" i="11" s="1"/>
  <c r="R180" i="10"/>
  <c r="V180" i="10" s="1"/>
  <c r="V182" i="10" s="1"/>
  <c r="V189" i="10" s="1"/>
  <c r="AB180" i="10"/>
  <c r="AF180" i="10" s="1"/>
  <c r="AJ180" i="10" s="1"/>
  <c r="AJ182" i="10" s="1"/>
  <c r="AJ189" i="10" s="1"/>
  <c r="R185" i="10"/>
  <c r="V185" i="10" s="1"/>
  <c r="V190" i="10" s="1"/>
  <c r="R86" i="11"/>
  <c r="V86" i="11" s="1"/>
  <c r="V91" i="11" s="1"/>
  <c r="AJ83" i="11" l="1"/>
  <c r="BF82" i="11"/>
  <c r="AJ90" i="11"/>
  <c r="V90" i="11"/>
  <c r="AF182" i="10"/>
  <c r="AF189" i="10" s="1"/>
  <c r="AP185" i="10"/>
  <c r="AT185" i="10" s="1"/>
  <c r="AX185" i="10" s="1"/>
  <c r="AF83" i="11"/>
  <c r="AP86" i="11"/>
  <c r="AB83" i="11"/>
  <c r="AB90" i="11" s="1"/>
  <c r="R83" i="11"/>
  <c r="R90" i="11" s="1"/>
  <c r="AB182" i="10"/>
  <c r="AB189" i="10" s="1"/>
  <c r="R182" i="10"/>
  <c r="R189" i="10" s="1"/>
  <c r="R190" i="10"/>
  <c r="R91" i="11"/>
  <c r="AP91" i="11" l="1"/>
  <c r="AT86" i="11"/>
  <c r="AX190" i="10"/>
  <c r="AP190" i="10"/>
  <c r="AP180" i="10"/>
  <c r="AT180" i="10" s="1"/>
  <c r="AF90" i="11"/>
  <c r="AP81" i="11"/>
  <c r="AX86" i="11" l="1"/>
  <c r="AX91" i="11" s="1"/>
  <c r="AT91" i="11"/>
  <c r="AT190" i="10"/>
  <c r="AP83" i="11"/>
  <c r="AP90" i="11" s="1"/>
  <c r="AT81" i="11"/>
  <c r="AX180" i="10"/>
  <c r="AP182" i="10"/>
  <c r="AT182" i="10" s="1"/>
  <c r="Q52" i="38"/>
  <c r="AX182" i="10" l="1"/>
  <c r="AX81" i="11"/>
  <c r="AX189" i="10"/>
  <c r="BF86" i="11"/>
  <c r="BF91" i="11" s="1"/>
  <c r="AT83" i="11"/>
  <c r="AX83" i="11" s="1"/>
  <c r="AT189" i="10"/>
  <c r="BF185" i="10"/>
  <c r="AP189" i="10"/>
  <c r="J93" i="11"/>
  <c r="BF190" i="10" l="1"/>
  <c r="AX90" i="11"/>
  <c r="AT90" i="11"/>
  <c r="BF81" i="11"/>
  <c r="BF83" i="11" s="1"/>
  <c r="BF90" i="11" s="1"/>
  <c r="BF180" i="10"/>
  <c r="J85" i="11"/>
  <c r="BF182" i="10" l="1"/>
  <c r="BF189" i="10"/>
  <c r="M165" i="10"/>
  <c r="M166" i="10" s="1"/>
  <c r="R93" i="11"/>
  <c r="R85" i="11"/>
  <c r="J192" i="10"/>
  <c r="J184" i="10" l="1"/>
  <c r="Y165" i="10" l="1"/>
  <c r="Y166" i="10" s="1"/>
  <c r="E49" i="8" l="1"/>
  <c r="E50" i="8" s="1"/>
  <c r="E51" i="8" l="1"/>
  <c r="D2" i="26"/>
  <c r="D2" i="17"/>
  <c r="J33" i="8"/>
  <c r="I33" i="8"/>
  <c r="AB11" i="49" l="1"/>
  <c r="AF11" i="49" s="1"/>
  <c r="AJ11" i="49" s="1"/>
  <c r="AP11" i="49" s="1"/>
  <c r="AT11" i="49" s="1"/>
  <c r="AX11" i="49" s="1"/>
  <c r="BF11" i="49" s="1"/>
  <c r="AA11" i="49" l="1"/>
  <c r="AE11" i="49" s="1"/>
  <c r="AI11" i="49" s="1"/>
  <c r="AO11" i="49" s="1"/>
  <c r="AS11" i="49" s="1"/>
  <c r="AW11" i="49" s="1"/>
  <c r="BE11" i="49" s="1"/>
  <c r="N37" i="36"/>
  <c r="M37" i="36"/>
  <c r="AB57" i="36" l="1"/>
  <c r="AB58" i="36"/>
  <c r="AB61" i="36"/>
  <c r="AB64" i="36"/>
  <c r="AB56" i="36"/>
  <c r="AB69" i="36" l="1"/>
  <c r="AB71" i="36" s="1"/>
  <c r="AB63" i="36"/>
  <c r="F19" i="36"/>
  <c r="I56" i="59" s="1"/>
  <c r="AB60" i="36"/>
  <c r="AI53" i="59" l="1"/>
  <c r="AI54" i="59"/>
  <c r="BF64" i="36" l="1"/>
  <c r="BF72" i="36" s="1"/>
  <c r="AJ17" i="36"/>
  <c r="AM54" i="59" s="1"/>
  <c r="AJ16" i="36"/>
  <c r="AI55" i="59"/>
  <c r="BF61" i="36" l="1"/>
  <c r="AJ18" i="36"/>
  <c r="AM55" i="59" s="1"/>
  <c r="AM53" i="59"/>
  <c r="BD68" i="36"/>
  <c r="BD19" i="36" s="1"/>
  <c r="BD60" i="36"/>
  <c r="BD18" i="36"/>
  <c r="BG55" i="59" l="1"/>
  <c r="BG56" i="59"/>
  <c r="BF63" i="36"/>
  <c r="BF69" i="36"/>
  <c r="BF71" i="36" s="1"/>
  <c r="BF56" i="36"/>
  <c r="BF16" i="36" s="1"/>
  <c r="BI53" i="59" l="1"/>
  <c r="BF58" i="36"/>
  <c r="BF66" i="36" s="1"/>
  <c r="BF57" i="36"/>
  <c r="BF17" i="36" s="1"/>
  <c r="BI54" i="59" l="1"/>
  <c r="BF60" i="36"/>
  <c r="J111" i="9"/>
  <c r="E28" i="8" l="1"/>
  <c r="E29" i="8"/>
  <c r="E31" i="8"/>
  <c r="E27" i="8"/>
  <c r="M29" i="8" l="1"/>
  <c r="AA29" i="8" s="1"/>
  <c r="AE29" i="8" s="1"/>
  <c r="AI29" i="8" s="1"/>
  <c r="AI45" i="8" s="1"/>
  <c r="E109" i="8"/>
  <c r="E110" i="8" s="1"/>
  <c r="M27" i="8"/>
  <c r="M31" i="8"/>
  <c r="AA31" i="8" s="1"/>
  <c r="AE31" i="8" s="1"/>
  <c r="AI31" i="8" s="1"/>
  <c r="AI47" i="8" s="1"/>
  <c r="M28" i="8"/>
  <c r="Q29" i="8"/>
  <c r="U29" i="8" s="1"/>
  <c r="U45" i="8" s="1"/>
  <c r="E59" i="8"/>
  <c r="E69" i="8"/>
  <c r="AE45" i="8" l="1"/>
  <c r="M69" i="8"/>
  <c r="E111" i="8"/>
  <c r="E112" i="8" s="1"/>
  <c r="AO29" i="8"/>
  <c r="AE47" i="8"/>
  <c r="AA27" i="8"/>
  <c r="AE27" i="8" s="1"/>
  <c r="M109" i="8"/>
  <c r="M110" i="8" s="1"/>
  <c r="AA28" i="8"/>
  <c r="AE28" i="8" s="1"/>
  <c r="AE149" i="8" s="1"/>
  <c r="Q31" i="8"/>
  <c r="U31" i="8" s="1"/>
  <c r="U47" i="8" s="1"/>
  <c r="Q69" i="8"/>
  <c r="U69" i="8" s="1"/>
  <c r="AA69" i="8"/>
  <c r="AE69" i="8" s="1"/>
  <c r="Q28" i="8"/>
  <c r="Q45" i="8"/>
  <c r="Q37" i="8"/>
  <c r="U37" i="8" s="1"/>
  <c r="Q27" i="8"/>
  <c r="U27" i="8" s="1"/>
  <c r="E63" i="8"/>
  <c r="M59" i="8"/>
  <c r="U28" i="8" l="1"/>
  <c r="U149" i="8" s="1"/>
  <c r="Q149" i="8"/>
  <c r="M63" i="8"/>
  <c r="Q63" i="8" s="1"/>
  <c r="U63" i="8" s="1"/>
  <c r="AI28" i="8"/>
  <c r="AI149" i="8" s="1"/>
  <c r="AI69" i="8"/>
  <c r="AI27" i="8"/>
  <c r="U44" i="8"/>
  <c r="U74" i="8"/>
  <c r="U43" i="8"/>
  <c r="U109" i="8"/>
  <c r="U111" i="8" s="1"/>
  <c r="AO45" i="8"/>
  <c r="AS29" i="8"/>
  <c r="AW29" i="8" s="1"/>
  <c r="AW45" i="8" s="1"/>
  <c r="AO31" i="8"/>
  <c r="M111" i="8"/>
  <c r="M112" i="8" s="1"/>
  <c r="M53" i="8" s="1"/>
  <c r="P42" i="59" s="1"/>
  <c r="P43" i="59" s="1"/>
  <c r="AE44" i="8"/>
  <c r="AH47" i="59" s="1"/>
  <c r="AE74" i="8"/>
  <c r="AE43" i="8"/>
  <c r="AH45" i="59" s="1"/>
  <c r="AE109" i="8"/>
  <c r="AE111" i="8" s="1"/>
  <c r="Q74" i="8"/>
  <c r="Q47" i="8"/>
  <c r="Q44" i="8"/>
  <c r="T47" i="59" s="1"/>
  <c r="Q59" i="8"/>
  <c r="U59" i="8" s="1"/>
  <c r="AA59" i="8"/>
  <c r="AE59" i="8" s="1"/>
  <c r="Q43" i="8"/>
  <c r="T45" i="59" s="1"/>
  <c r="Q109" i="8"/>
  <c r="Q110" i="8" s="1"/>
  <c r="M82" i="7"/>
  <c r="AA82" i="7" s="1"/>
  <c r="AE82" i="7" s="1"/>
  <c r="AI82" i="7" s="1"/>
  <c r="M3" i="38"/>
  <c r="M59" i="38" s="1"/>
  <c r="N7" i="38"/>
  <c r="V7" i="38" s="1"/>
  <c r="Z7" i="38" s="1"/>
  <c r="N8" i="38"/>
  <c r="V8" i="38" s="1"/>
  <c r="Z8" i="38" s="1"/>
  <c r="N9" i="38"/>
  <c r="V9" i="38" s="1"/>
  <c r="Z9" i="38" s="1"/>
  <c r="N10" i="38"/>
  <c r="N13" i="38"/>
  <c r="V13" i="38" s="1"/>
  <c r="Z13" i="38" s="1"/>
  <c r="N14" i="38"/>
  <c r="V14" i="38" s="1"/>
  <c r="Z14" i="38" s="1"/>
  <c r="N19" i="38"/>
  <c r="N20" i="38"/>
  <c r="V20" i="38" s="1"/>
  <c r="Z20" i="38" s="1"/>
  <c r="N21" i="38"/>
  <c r="V21" i="38" s="1"/>
  <c r="Z21" i="38" s="1"/>
  <c r="N22" i="38"/>
  <c r="N23" i="38"/>
  <c r="V23" i="38" s="1"/>
  <c r="Z23" i="38" s="1"/>
  <c r="N24" i="38"/>
  <c r="V24" i="38" s="1"/>
  <c r="Z24" i="38" s="1"/>
  <c r="N25" i="38"/>
  <c r="V25" i="38" s="1"/>
  <c r="Z25" i="38" s="1"/>
  <c r="N26" i="38"/>
  <c r="V26" i="38" s="1"/>
  <c r="Z26" i="38" s="1"/>
  <c r="N27" i="38"/>
  <c r="V27" i="38" s="1"/>
  <c r="Z27" i="38" s="1"/>
  <c r="N28" i="38"/>
  <c r="V28" i="38" s="1"/>
  <c r="Z28" i="38" s="1"/>
  <c r="N29" i="38"/>
  <c r="V29" i="38" s="1"/>
  <c r="Z29" i="38" s="1"/>
  <c r="N30" i="38"/>
  <c r="V30" i="38" s="1"/>
  <c r="Z30" i="38" s="1"/>
  <c r="N31" i="38"/>
  <c r="V31" i="38" s="1"/>
  <c r="Z31" i="38" s="1"/>
  <c r="N32" i="38"/>
  <c r="V32" i="38" s="1"/>
  <c r="Z32" i="38" s="1"/>
  <c r="N35" i="38"/>
  <c r="N36" i="38"/>
  <c r="V36" i="38" s="1"/>
  <c r="Z36" i="38" s="1"/>
  <c r="N37" i="38"/>
  <c r="V37" i="38" s="1"/>
  <c r="Z37" i="38" s="1"/>
  <c r="N38" i="38"/>
  <c r="V38" i="38" s="1"/>
  <c r="Z38" i="38" s="1"/>
  <c r="N41" i="38"/>
  <c r="V41" i="38" s="1"/>
  <c r="Z41" i="38" s="1"/>
  <c r="N43" i="38"/>
  <c r="V43" i="38" s="1"/>
  <c r="Z43" i="38" s="1"/>
  <c r="N44" i="38"/>
  <c r="V44" i="38" s="1"/>
  <c r="Z44" i="38" s="1"/>
  <c r="N45" i="38"/>
  <c r="V45" i="38" s="1"/>
  <c r="Z45" i="38" s="1"/>
  <c r="N46" i="38"/>
  <c r="V46" i="38" s="1"/>
  <c r="Z46" i="38" s="1"/>
  <c r="AA63" i="8" l="1"/>
  <c r="AE63" i="8" s="1"/>
  <c r="U110" i="8"/>
  <c r="AI74" i="8"/>
  <c r="AI109" i="8"/>
  <c r="AI110" i="8" s="1"/>
  <c r="AI43" i="8"/>
  <c r="AL45" i="59" s="1"/>
  <c r="AO27" i="8"/>
  <c r="AO69" i="8"/>
  <c r="AI59" i="8"/>
  <c r="AI63" i="8"/>
  <c r="AO63" i="8" s="1"/>
  <c r="AS63" i="8" s="1"/>
  <c r="AI44" i="8"/>
  <c r="AL47" i="59" s="1"/>
  <c r="AO28" i="8"/>
  <c r="AO149" i="8" s="1"/>
  <c r="U112" i="8"/>
  <c r="U53" i="8" s="1"/>
  <c r="U71" i="8"/>
  <c r="AH48" i="59"/>
  <c r="T48" i="59"/>
  <c r="V10" i="38"/>
  <c r="Z10" i="38" s="1"/>
  <c r="AS45" i="8"/>
  <c r="AE110" i="8"/>
  <c r="AE112" i="8" s="1"/>
  <c r="AE53" i="8" s="1"/>
  <c r="AH42" i="59" s="1"/>
  <c r="AH43" i="59" s="1"/>
  <c r="AO47" i="8"/>
  <c r="AS31" i="8"/>
  <c r="AW31" i="8" s="1"/>
  <c r="AW47" i="8" s="1"/>
  <c r="AE71" i="8"/>
  <c r="AD91" i="38"/>
  <c r="AD78" i="38"/>
  <c r="AD92" i="38"/>
  <c r="AD85" i="38"/>
  <c r="AD79" i="38"/>
  <c r="AD75" i="38"/>
  <c r="AD71" i="38"/>
  <c r="AD57" i="38"/>
  <c r="AD74" i="38"/>
  <c r="AD56" i="38"/>
  <c r="AD94" i="38"/>
  <c r="AD89" i="38"/>
  <c r="AD77" i="38"/>
  <c r="AD73" i="38"/>
  <c r="AD69" i="38"/>
  <c r="AD61" i="38"/>
  <c r="AD55" i="38"/>
  <c r="AD84" i="38"/>
  <c r="AD62" i="38"/>
  <c r="AD93" i="38"/>
  <c r="AD86" i="38"/>
  <c r="AD80" i="38"/>
  <c r="AD76" i="38"/>
  <c r="AD72" i="38"/>
  <c r="AD68" i="38"/>
  <c r="Q111" i="8"/>
  <c r="Q112" i="8" s="1"/>
  <c r="Q53" i="8" s="1"/>
  <c r="T42" i="59" s="1"/>
  <c r="T43" i="59" s="1"/>
  <c r="Q71" i="8"/>
  <c r="X45" i="59"/>
  <c r="X47" i="59"/>
  <c r="M83" i="7"/>
  <c r="Q82" i="7"/>
  <c r="U82" i="7" s="1"/>
  <c r="U83" i="7" s="1"/>
  <c r="X35" i="59" s="1"/>
  <c r="M43" i="38"/>
  <c r="M91" i="38" s="1"/>
  <c r="V35" i="38"/>
  <c r="Z35" i="38" s="1"/>
  <c r="J167" i="6"/>
  <c r="V19" i="38"/>
  <c r="J193" i="6"/>
  <c r="V22" i="38"/>
  <c r="Z22" i="38" s="1"/>
  <c r="J91" i="8"/>
  <c r="M36" i="38"/>
  <c r="M84" i="38" s="1"/>
  <c r="M25" i="38"/>
  <c r="M29" i="38"/>
  <c r="M77" i="38" s="1"/>
  <c r="Q3" i="38"/>
  <c r="Q59" i="38" s="1"/>
  <c r="M51" i="38"/>
  <c r="J138" i="45"/>
  <c r="M44" i="38"/>
  <c r="M92" i="38" s="1"/>
  <c r="M45" i="38"/>
  <c r="M93" i="38" s="1"/>
  <c r="M20" i="38"/>
  <c r="M68" i="38" s="1"/>
  <c r="M24" i="38"/>
  <c r="M28" i="38"/>
  <c r="M76" i="38" s="1"/>
  <c r="M14" i="38"/>
  <c r="M62" i="38" s="1"/>
  <c r="J172" i="10"/>
  <c r="J173" i="10" s="1"/>
  <c r="M22" i="38"/>
  <c r="I91" i="8" s="1"/>
  <c r="E91" i="8"/>
  <c r="M26" i="38"/>
  <c r="M32" i="38"/>
  <c r="M35" i="38"/>
  <c r="I167" i="6" s="1"/>
  <c r="M23" i="38"/>
  <c r="M38" i="38"/>
  <c r="M31" i="38"/>
  <c r="M30" i="38"/>
  <c r="M46" i="38"/>
  <c r="M27" i="38"/>
  <c r="M21" i="38"/>
  <c r="M19" i="38"/>
  <c r="M13" i="38"/>
  <c r="M41" i="38"/>
  <c r="M37" i="38"/>
  <c r="M40" i="38"/>
  <c r="N3" i="38"/>
  <c r="N58" i="38" s="1"/>
  <c r="E50" i="38"/>
  <c r="D50" i="38"/>
  <c r="I193" i="6" l="1"/>
  <c r="Z19" i="38"/>
  <c r="U76" i="59"/>
  <c r="M91" i="8"/>
  <c r="AA91" i="8" s="1"/>
  <c r="AL48" i="59"/>
  <c r="AI111" i="8"/>
  <c r="AI112" i="8" s="1"/>
  <c r="AI53" i="8" s="1"/>
  <c r="AL42" i="59" s="1"/>
  <c r="AL43" i="59" s="1"/>
  <c r="AW63" i="8"/>
  <c r="AI71" i="8"/>
  <c r="AO44" i="8"/>
  <c r="AR47" i="59" s="1"/>
  <c r="AS28" i="8"/>
  <c r="AO59" i="8"/>
  <c r="AO74" i="8"/>
  <c r="AS69" i="8"/>
  <c r="AW69" i="8" s="1"/>
  <c r="AS27" i="8"/>
  <c r="AW27" i="8" s="1"/>
  <c r="AO43" i="8"/>
  <c r="AR45" i="59" s="1"/>
  <c r="AO109" i="8"/>
  <c r="X48" i="59"/>
  <c r="N51" i="38"/>
  <c r="N59" i="38"/>
  <c r="BE29" i="8"/>
  <c r="AS47" i="8"/>
  <c r="AO82" i="7"/>
  <c r="V193" i="6"/>
  <c r="V194" i="6" s="1"/>
  <c r="AD67" i="38"/>
  <c r="V91" i="8"/>
  <c r="V92" i="8" s="1"/>
  <c r="V167" i="6"/>
  <c r="V168" i="6" s="1"/>
  <c r="AD83" i="38"/>
  <c r="X42" i="59"/>
  <c r="X43" i="59" s="1"/>
  <c r="R167" i="6"/>
  <c r="R168" i="6" s="1"/>
  <c r="R193" i="6"/>
  <c r="R194" i="6" s="1"/>
  <c r="R91" i="8"/>
  <c r="R92" i="8" s="1"/>
  <c r="Q83" i="7"/>
  <c r="Q91" i="38"/>
  <c r="U45" i="38"/>
  <c r="Y45" i="38" s="1"/>
  <c r="U36" i="38"/>
  <c r="Y36" i="38" s="1"/>
  <c r="M73" i="38"/>
  <c r="Q92" i="38"/>
  <c r="Q68" i="38"/>
  <c r="M34" i="38"/>
  <c r="M82" i="38" s="1"/>
  <c r="N79" i="38"/>
  <c r="N67" i="38"/>
  <c r="N55" i="38"/>
  <c r="N68" i="38"/>
  <c r="N80" i="38"/>
  <c r="N56" i="38"/>
  <c r="N71" i="38"/>
  <c r="N86" i="38"/>
  <c r="N61" i="38"/>
  <c r="N72" i="38"/>
  <c r="N91" i="38"/>
  <c r="N76" i="38"/>
  <c r="N89" i="38"/>
  <c r="Q77" i="38"/>
  <c r="E52" i="38"/>
  <c r="E61" i="38"/>
  <c r="E64" i="38"/>
  <c r="E68" i="38"/>
  <c r="E72" i="38"/>
  <c r="N75" i="38"/>
  <c r="N85" i="38"/>
  <c r="N94" i="38"/>
  <c r="Q51" i="38"/>
  <c r="U3" i="38"/>
  <c r="AB138" i="45"/>
  <c r="E80" i="38"/>
  <c r="M72" i="38"/>
  <c r="Q62" i="38"/>
  <c r="E51" i="38"/>
  <c r="E54" i="38"/>
  <c r="E55" i="38"/>
  <c r="E56" i="38"/>
  <c r="E60" i="38"/>
  <c r="U28" i="38"/>
  <c r="Y28" i="38" s="1"/>
  <c r="U43" i="38"/>
  <c r="Y43" i="38" s="1"/>
  <c r="U44" i="38"/>
  <c r="Y44" i="38" s="1"/>
  <c r="Q72" i="38"/>
  <c r="U24" i="38"/>
  <c r="Y24" i="38" s="1"/>
  <c r="Q73" i="38"/>
  <c r="U25" i="38"/>
  <c r="Y25" i="38" s="1"/>
  <c r="M75" i="38"/>
  <c r="M74" i="38"/>
  <c r="M88" i="38"/>
  <c r="M85" i="38"/>
  <c r="M94" i="38"/>
  <c r="M78" i="38"/>
  <c r="M80" i="38"/>
  <c r="N12" i="38"/>
  <c r="M89" i="38"/>
  <c r="M61" i="38"/>
  <c r="M67" i="38"/>
  <c r="M193" i="6"/>
  <c r="M12" i="38"/>
  <c r="M79" i="38"/>
  <c r="M86" i="38"/>
  <c r="M71" i="38"/>
  <c r="M70" i="38"/>
  <c r="N93" i="38"/>
  <c r="R3" i="38"/>
  <c r="M69" i="38"/>
  <c r="M83" i="38"/>
  <c r="M167" i="6"/>
  <c r="N40" i="38"/>
  <c r="N18" i="38"/>
  <c r="V18" i="38" s="1"/>
  <c r="Z18" i="38" s="1"/>
  <c r="M42" i="38"/>
  <c r="M18" i="38"/>
  <c r="M39" i="38"/>
  <c r="D83" i="38"/>
  <c r="D54" i="38"/>
  <c r="D55" i="38"/>
  <c r="D56" i="38"/>
  <c r="D40" i="38"/>
  <c r="D81" i="38" s="1"/>
  <c r="D62" i="38"/>
  <c r="E63" i="38"/>
  <c r="D66" i="38"/>
  <c r="E67" i="38"/>
  <c r="D70" i="38"/>
  <c r="E71" i="38"/>
  <c r="D74" i="38"/>
  <c r="D77" i="38"/>
  <c r="D78" i="38"/>
  <c r="D79" i="38"/>
  <c r="E83" i="38"/>
  <c r="D63" i="38"/>
  <c r="D71" i="38"/>
  <c r="D53" i="38"/>
  <c r="E62" i="38"/>
  <c r="D65" i="38"/>
  <c r="E66" i="38"/>
  <c r="D69" i="38"/>
  <c r="E70" i="38"/>
  <c r="D73" i="38"/>
  <c r="E74" i="38"/>
  <c r="D75" i="38"/>
  <c r="D76" i="38"/>
  <c r="E77" i="38"/>
  <c r="E78" i="38"/>
  <c r="E79" i="38"/>
  <c r="D67" i="38"/>
  <c r="D52" i="38"/>
  <c r="E53" i="38"/>
  <c r="D61" i="38"/>
  <c r="D64" i="38"/>
  <c r="E65" i="38"/>
  <c r="D68" i="38"/>
  <c r="E69" i="38"/>
  <c r="D72" i="38"/>
  <c r="E73" i="38"/>
  <c r="E75" i="38"/>
  <c r="E76" i="38"/>
  <c r="D80" i="38"/>
  <c r="N57" i="38"/>
  <c r="N62" i="38"/>
  <c r="N69" i="38"/>
  <c r="N73" i="38"/>
  <c r="N77" i="38"/>
  <c r="N83" i="38"/>
  <c r="N92" i="38"/>
  <c r="N70" i="38"/>
  <c r="N74" i="38"/>
  <c r="N78" i="38"/>
  <c r="N84" i="38"/>
  <c r="D10" i="38"/>
  <c r="N6" i="38"/>
  <c r="E10" i="38"/>
  <c r="E14" i="38"/>
  <c r="E57" i="38" s="1"/>
  <c r="N34" i="38"/>
  <c r="V34" i="38" s="1"/>
  <c r="Z34" i="38" s="1"/>
  <c r="E40" i="38"/>
  <c r="E81" i="38" s="1"/>
  <c r="D14" i="38"/>
  <c r="D57" i="38" s="1"/>
  <c r="D51" i="38"/>
  <c r="D60" i="38"/>
  <c r="Y76" i="59" l="1"/>
  <c r="AW28" i="8"/>
  <c r="AW74" i="8" s="1"/>
  <c r="AS149" i="8"/>
  <c r="BE45" i="8"/>
  <c r="AR48" i="59"/>
  <c r="AF138" i="45"/>
  <c r="AB139" i="45"/>
  <c r="U59" i="38"/>
  <c r="Y3" i="38"/>
  <c r="Y76" i="38" s="1"/>
  <c r="AW43" i="8"/>
  <c r="BE63" i="8"/>
  <c r="AS43" i="8"/>
  <c r="AV45" i="59" s="1"/>
  <c r="AS109" i="8"/>
  <c r="AS74" i="8"/>
  <c r="AS59" i="8"/>
  <c r="AW59" i="8" s="1"/>
  <c r="AW71" i="8" s="1"/>
  <c r="AO71" i="8"/>
  <c r="AO111" i="8"/>
  <c r="AO110" i="8"/>
  <c r="AS44" i="8"/>
  <c r="AV47" i="59" s="1"/>
  <c r="R59" i="38"/>
  <c r="R58" i="38"/>
  <c r="BE31" i="8"/>
  <c r="AS82" i="7"/>
  <c r="AW82" i="7" s="1"/>
  <c r="AD82" i="38"/>
  <c r="AC73" i="38"/>
  <c r="AC92" i="38"/>
  <c r="AC76" i="38"/>
  <c r="AC93" i="38"/>
  <c r="AD70" i="38"/>
  <c r="Z92" i="8"/>
  <c r="AD66" i="38"/>
  <c r="AC72" i="38"/>
  <c r="AC57" i="38"/>
  <c r="AC91" i="38"/>
  <c r="AC84" i="38"/>
  <c r="Q93" i="38"/>
  <c r="Q84" i="38"/>
  <c r="U20" i="38"/>
  <c r="Y20" i="38" s="1"/>
  <c r="N88" i="38"/>
  <c r="R172" i="10"/>
  <c r="F26" i="36"/>
  <c r="U29" i="38"/>
  <c r="Y29" i="38" s="1"/>
  <c r="Q76" i="38"/>
  <c r="U14" i="38"/>
  <c r="Y14" i="38" s="1"/>
  <c r="R54" i="38"/>
  <c r="V6" i="38"/>
  <c r="Z6" i="38" s="1"/>
  <c r="R51" i="38"/>
  <c r="V3" i="38"/>
  <c r="Z3" i="38" s="1"/>
  <c r="Z82" i="38" s="1"/>
  <c r="R138" i="45"/>
  <c r="V138" i="45" s="1"/>
  <c r="V139" i="45" s="1"/>
  <c r="N42" i="38"/>
  <c r="U51" i="38"/>
  <c r="Q74" i="38"/>
  <c r="U26" i="38"/>
  <c r="Y26" i="38" s="1"/>
  <c r="U84" i="38"/>
  <c r="U76" i="38"/>
  <c r="U72" i="38"/>
  <c r="N66" i="38"/>
  <c r="Q67" i="38"/>
  <c r="U19" i="38"/>
  <c r="Q89" i="38"/>
  <c r="U41" i="38"/>
  <c r="Y41" i="38" s="1"/>
  <c r="Q80" i="38"/>
  <c r="U32" i="38"/>
  <c r="Y32" i="38" s="1"/>
  <c r="Q94" i="38"/>
  <c r="U46" i="38"/>
  <c r="Y46" i="38" s="1"/>
  <c r="Q85" i="38"/>
  <c r="U37" i="38"/>
  <c r="Y37" i="38" s="1"/>
  <c r="Q88" i="38"/>
  <c r="U40" i="38"/>
  <c r="Y40" i="38" s="1"/>
  <c r="U93" i="38"/>
  <c r="Q61" i="38"/>
  <c r="U13" i="38"/>
  <c r="Y13" i="38" s="1"/>
  <c r="Q78" i="38"/>
  <c r="U30" i="38"/>
  <c r="Y30" i="38" s="1"/>
  <c r="Q75" i="38"/>
  <c r="U27" i="38"/>
  <c r="Y27" i="38" s="1"/>
  <c r="U91" i="38"/>
  <c r="Q83" i="38"/>
  <c r="U35" i="38"/>
  <c r="Y35" i="38" s="1"/>
  <c r="Q69" i="38"/>
  <c r="U21" i="38"/>
  <c r="Y21" i="38" s="1"/>
  <c r="Q70" i="38"/>
  <c r="U22" i="38"/>
  <c r="Y22" i="38" s="1"/>
  <c r="Q86" i="38"/>
  <c r="U38" i="38"/>
  <c r="Y38" i="38" s="1"/>
  <c r="U73" i="38"/>
  <c r="R88" i="38"/>
  <c r="V40" i="38"/>
  <c r="Z40" i="38" s="1"/>
  <c r="Q82" i="38"/>
  <c r="U34" i="38"/>
  <c r="Y34" i="38" s="1"/>
  <c r="Q71" i="38"/>
  <c r="U23" i="38"/>
  <c r="Y23" i="38" s="1"/>
  <c r="Q79" i="38"/>
  <c r="U31" i="38"/>
  <c r="Y31" i="38" s="1"/>
  <c r="U92" i="38"/>
  <c r="N60" i="38"/>
  <c r="M66" i="38"/>
  <c r="M60" i="38"/>
  <c r="M17" i="38"/>
  <c r="M90" i="38"/>
  <c r="R67" i="38"/>
  <c r="R86" i="38"/>
  <c r="R79" i="38"/>
  <c r="R78" i="38"/>
  <c r="R57" i="38"/>
  <c r="R80" i="38"/>
  <c r="R83" i="38"/>
  <c r="R61" i="38"/>
  <c r="R68" i="38"/>
  <c r="R75" i="38"/>
  <c r="R74" i="38"/>
  <c r="R72" i="38"/>
  <c r="R77" i="38"/>
  <c r="R56" i="38"/>
  <c r="R76" i="38"/>
  <c r="R85" i="38"/>
  <c r="R91" i="38"/>
  <c r="R70" i="38"/>
  <c r="R94" i="38"/>
  <c r="R73" i="38"/>
  <c r="R55" i="38"/>
  <c r="R92" i="38"/>
  <c r="R62" i="38"/>
  <c r="R93" i="38"/>
  <c r="R71" i="38"/>
  <c r="R84" i="38"/>
  <c r="R89" i="38"/>
  <c r="R69" i="38"/>
  <c r="M87" i="38"/>
  <c r="R82" i="38"/>
  <c r="R66" i="38"/>
  <c r="N82" i="38"/>
  <c r="N54" i="38"/>
  <c r="M16" i="38"/>
  <c r="N17" i="38"/>
  <c r="E15" i="38"/>
  <c r="E59" i="38" s="1"/>
  <c r="D15" i="38"/>
  <c r="D59" i="38" s="1"/>
  <c r="AW109" i="8" l="1"/>
  <c r="AW111" i="8" s="1"/>
  <c r="Y19" i="38"/>
  <c r="Y94" i="38"/>
  <c r="Y77" i="38"/>
  <c r="AW44" i="8"/>
  <c r="AZ47" i="59" s="1"/>
  <c r="AW149" i="8"/>
  <c r="BE47" i="8"/>
  <c r="Y74" i="38"/>
  <c r="Y78" i="38"/>
  <c r="Y75" i="38"/>
  <c r="Y86" i="38"/>
  <c r="Y89" i="38"/>
  <c r="Y61" i="38"/>
  <c r="Y80" i="38"/>
  <c r="AJ138" i="45"/>
  <c r="AJ139" i="45" s="1"/>
  <c r="AF139" i="45"/>
  <c r="V172" i="10"/>
  <c r="V173" i="10" s="1"/>
  <c r="R173" i="10"/>
  <c r="AW110" i="8"/>
  <c r="AW112" i="8" s="1"/>
  <c r="AW53" i="8" s="1"/>
  <c r="Z88" i="38"/>
  <c r="Y51" i="38"/>
  <c r="Y59" i="38"/>
  <c r="Y91" i="38"/>
  <c r="Y68" i="38"/>
  <c r="Y70" i="38"/>
  <c r="Y67" i="38"/>
  <c r="Z51" i="38"/>
  <c r="Z59" i="38"/>
  <c r="Z80" i="38"/>
  <c r="Z62" i="38"/>
  <c r="Z85" i="38"/>
  <c r="Z57" i="38"/>
  <c r="Z92" i="38"/>
  <c r="Z69" i="38"/>
  <c r="Z75" i="38"/>
  <c r="Z76" i="38"/>
  <c r="Z89" i="38"/>
  <c r="Z56" i="38"/>
  <c r="Z71" i="38"/>
  <c r="Z79" i="38"/>
  <c r="Z78" i="38"/>
  <c r="Z61" i="38"/>
  <c r="Z93" i="38"/>
  <c r="Z55" i="38"/>
  <c r="Z74" i="38"/>
  <c r="Z68" i="38"/>
  <c r="Z86" i="38"/>
  <c r="Z77" i="38"/>
  <c r="Z94" i="38"/>
  <c r="Z84" i="38"/>
  <c r="Z91" i="38"/>
  <c r="Z72" i="38"/>
  <c r="Z73" i="38"/>
  <c r="Z58" i="38"/>
  <c r="Z67" i="38"/>
  <c r="Z83" i="38"/>
  <c r="Z70" i="38"/>
  <c r="Y92" i="38"/>
  <c r="Y79" i="38"/>
  <c r="Y72" i="38"/>
  <c r="Y69" i="38"/>
  <c r="Y88" i="38"/>
  <c r="Z54" i="38"/>
  <c r="Y73" i="38"/>
  <c r="Y71" i="38"/>
  <c r="Z66" i="38"/>
  <c r="Y83" i="38"/>
  <c r="Y85" i="38"/>
  <c r="Y62" i="38"/>
  <c r="Y93" i="38"/>
  <c r="Y82" i="38"/>
  <c r="Y84" i="38"/>
  <c r="AV48" i="59"/>
  <c r="AO112" i="8"/>
  <c r="AO53" i="8" s="1"/>
  <c r="AR42" i="59" s="1"/>
  <c r="AR43" i="59" s="1"/>
  <c r="AS71" i="8"/>
  <c r="BE28" i="8"/>
  <c r="BE69" i="8"/>
  <c r="AS111" i="8"/>
  <c r="AS110" i="8"/>
  <c r="BE27" i="8"/>
  <c r="AZ45" i="59"/>
  <c r="V82" i="38"/>
  <c r="V59" i="38"/>
  <c r="V58" i="38"/>
  <c r="BE82" i="7"/>
  <c r="AC79" i="38"/>
  <c r="AC82" i="38"/>
  <c r="AC61" i="38"/>
  <c r="AC86" i="38"/>
  <c r="AC69" i="38"/>
  <c r="AC88" i="38"/>
  <c r="AC94" i="38"/>
  <c r="AC89" i="38"/>
  <c r="AC74" i="38"/>
  <c r="AC62" i="38"/>
  <c r="AC68" i="38"/>
  <c r="AC71" i="38"/>
  <c r="AD88" i="38"/>
  <c r="AC75" i="38"/>
  <c r="AC78" i="38"/>
  <c r="U167" i="6"/>
  <c r="U168" i="6" s="1"/>
  <c r="AC55" i="38"/>
  <c r="AC85" i="38"/>
  <c r="AC80" i="38"/>
  <c r="AC56" i="38"/>
  <c r="AC77" i="38"/>
  <c r="Q167" i="6"/>
  <c r="Q168" i="6" s="1"/>
  <c r="Q91" i="8"/>
  <c r="Q92" i="8" s="1"/>
  <c r="Q193" i="6"/>
  <c r="Q194" i="6" s="1"/>
  <c r="V66" i="38"/>
  <c r="U77" i="38"/>
  <c r="U68" i="38"/>
  <c r="V17" i="38"/>
  <c r="Z17" i="38" s="1"/>
  <c r="Z65" i="38" s="1"/>
  <c r="U62" i="38"/>
  <c r="N90" i="38"/>
  <c r="AE3" i="38"/>
  <c r="V51" i="38"/>
  <c r="V86" i="38"/>
  <c r="V79" i="38"/>
  <c r="V71" i="38"/>
  <c r="V57" i="38"/>
  <c r="V92" i="38"/>
  <c r="V91" i="38"/>
  <c r="V78" i="38"/>
  <c r="V70" i="38"/>
  <c r="V56" i="38"/>
  <c r="V80" i="38"/>
  <c r="V94" i="38"/>
  <c r="V83" i="38"/>
  <c r="V73" i="38"/>
  <c r="V61" i="38"/>
  <c r="V76" i="38"/>
  <c r="V85" i="38"/>
  <c r="V75" i="38"/>
  <c r="V67" i="38"/>
  <c r="V72" i="38"/>
  <c r="V84" i="38"/>
  <c r="V74" i="38"/>
  <c r="V62" i="38"/>
  <c r="V93" i="38"/>
  <c r="V68" i="38"/>
  <c r="V89" i="38"/>
  <c r="V77" i="38"/>
  <c r="V69" i="38"/>
  <c r="V55" i="38"/>
  <c r="V54" i="38"/>
  <c r="R60" i="38"/>
  <c r="V12" i="38"/>
  <c r="Z12" i="38" s="1"/>
  <c r="Z60" i="38" s="1"/>
  <c r="Q66" i="38"/>
  <c r="U18" i="38"/>
  <c r="Y18" i="38" s="1"/>
  <c r="Y66" i="38" s="1"/>
  <c r="U75" i="38"/>
  <c r="U78" i="38"/>
  <c r="U88" i="38"/>
  <c r="U94" i="38"/>
  <c r="U89" i="38"/>
  <c r="Q87" i="38"/>
  <c r="U39" i="38"/>
  <c r="Y39" i="38" s="1"/>
  <c r="Y87" i="38" s="1"/>
  <c r="Q90" i="38"/>
  <c r="U42" i="38"/>
  <c r="Y42" i="38" s="1"/>
  <c r="Y90" i="38" s="1"/>
  <c r="U74" i="38"/>
  <c r="U71" i="38"/>
  <c r="V88" i="38"/>
  <c r="U86" i="38"/>
  <c r="U69" i="38"/>
  <c r="R65" i="38"/>
  <c r="R90" i="38"/>
  <c r="V42" i="38"/>
  <c r="Z42" i="38" s="1"/>
  <c r="Z90" i="38" s="1"/>
  <c r="Q60" i="38"/>
  <c r="U12" i="38"/>
  <c r="Y12" i="38" s="1"/>
  <c r="Y60" i="38" s="1"/>
  <c r="U79" i="38"/>
  <c r="U82" i="38"/>
  <c r="U70" i="38"/>
  <c r="U83" i="38"/>
  <c r="U61" i="38"/>
  <c r="U85" i="38"/>
  <c r="U80" i="38"/>
  <c r="U67" i="38"/>
  <c r="M64" i="38"/>
  <c r="M65" i="38"/>
  <c r="N39" i="38"/>
  <c r="N65" i="38"/>
  <c r="N15" i="38"/>
  <c r="AP138" i="45" l="1"/>
  <c r="AP139" i="45" s="1"/>
  <c r="AS112" i="8"/>
  <c r="AS53" i="8" s="1"/>
  <c r="AV42" i="59" s="1"/>
  <c r="AV43" i="59" s="1"/>
  <c r="BE74" i="8"/>
  <c r="AZ48" i="59"/>
  <c r="BE43" i="8"/>
  <c r="BH45" i="59" s="1"/>
  <c r="BE109" i="8"/>
  <c r="BE110" i="8" s="1"/>
  <c r="BE44" i="8"/>
  <c r="BH47" i="59" s="1"/>
  <c r="BE59" i="8"/>
  <c r="V26" i="36"/>
  <c r="U91" i="8"/>
  <c r="U92" i="8" s="1"/>
  <c r="U193" i="6"/>
  <c r="U194" i="6" s="1"/>
  <c r="AI3" i="38"/>
  <c r="AI59" i="38" s="1"/>
  <c r="AE59" i="38"/>
  <c r="AD54" i="38"/>
  <c r="AF6" i="38"/>
  <c r="AJ6" i="38" s="1"/>
  <c r="AN6" i="38" s="1"/>
  <c r="AC70" i="38"/>
  <c r="Y92" i="8"/>
  <c r="AD60" i="38"/>
  <c r="AC60" i="38"/>
  <c r="AC87" i="38"/>
  <c r="AD90" i="38"/>
  <c r="AC90" i="38"/>
  <c r="AC66" i="38"/>
  <c r="AC67" i="38"/>
  <c r="Y193" i="6"/>
  <c r="Y194" i="6" s="1"/>
  <c r="AC83" i="38"/>
  <c r="Y167" i="6"/>
  <c r="Y168" i="6" s="1"/>
  <c r="AE84" i="38"/>
  <c r="AE77" i="38"/>
  <c r="AE73" i="38"/>
  <c r="AE72" i="38"/>
  <c r="AE51" i="38"/>
  <c r="AE68" i="38"/>
  <c r="AE62" i="38"/>
  <c r="AE92" i="38"/>
  <c r="AF3" i="38"/>
  <c r="AE91" i="38"/>
  <c r="AE76" i="38"/>
  <c r="AE93" i="38"/>
  <c r="Q64" i="38"/>
  <c r="U16" i="38"/>
  <c r="Y16" i="38" s="1"/>
  <c r="Y64" i="38" s="1"/>
  <c r="U90" i="38"/>
  <c r="V60" i="38"/>
  <c r="Q65" i="38"/>
  <c r="U17" i="38"/>
  <c r="Y17" i="38" s="1"/>
  <c r="Y65" i="38" s="1"/>
  <c r="U60" i="38"/>
  <c r="V65" i="38"/>
  <c r="U87" i="38"/>
  <c r="V90" i="38"/>
  <c r="U66" i="38"/>
  <c r="N87" i="38"/>
  <c r="N16" i="38"/>
  <c r="N48" i="38" s="1"/>
  <c r="N63" i="38"/>
  <c r="BE71" i="8" l="1"/>
  <c r="BH48" i="59"/>
  <c r="AT138" i="45"/>
  <c r="AT139" i="45" s="1"/>
  <c r="BE111" i="8"/>
  <c r="BE112" i="8" s="1"/>
  <c r="BE53" i="8" s="1"/>
  <c r="BH42" i="59" s="1"/>
  <c r="BH43" i="59" s="1"/>
  <c r="AZ42" i="59"/>
  <c r="AZ43" i="59" s="1"/>
  <c r="U26" i="36"/>
  <c r="AI87" i="38"/>
  <c r="AI89" i="38"/>
  <c r="AI62" i="38"/>
  <c r="AI65" i="38"/>
  <c r="AI88" i="38"/>
  <c r="AI68" i="38"/>
  <c r="AI67" i="38"/>
  <c r="AI74" i="38"/>
  <c r="AI85" i="38"/>
  <c r="AI82" i="38"/>
  <c r="AI69" i="38"/>
  <c r="AI78" i="38"/>
  <c r="AI75" i="38"/>
  <c r="AI77" i="38"/>
  <c r="AI66" i="38"/>
  <c r="AI60" i="38"/>
  <c r="AI61" i="38"/>
  <c r="AI71" i="38"/>
  <c r="AI94" i="38"/>
  <c r="AI80" i="38"/>
  <c r="AI84" i="38"/>
  <c r="AI64" i="38"/>
  <c r="AI83" i="38"/>
  <c r="AI90" i="38"/>
  <c r="AI92" i="38"/>
  <c r="AI93" i="38"/>
  <c r="AI76" i="38"/>
  <c r="AI86" i="38"/>
  <c r="AI91" i="38"/>
  <c r="AI70" i="38"/>
  <c r="AI72" i="38"/>
  <c r="AI51" i="38"/>
  <c r="AJ3" i="38"/>
  <c r="AJ78" i="38" s="1"/>
  <c r="AF59" i="38"/>
  <c r="AF58" i="38"/>
  <c r="AI73" i="38"/>
  <c r="AI79" i="38"/>
  <c r="AM3" i="38"/>
  <c r="AC63" i="38"/>
  <c r="AC54" i="38"/>
  <c r="AC64" i="38"/>
  <c r="AA167" i="6"/>
  <c r="AA193" i="6"/>
  <c r="AE89" i="38"/>
  <c r="AF88" i="38"/>
  <c r="AE82" i="38"/>
  <c r="AE61" i="38"/>
  <c r="AE94" i="38"/>
  <c r="AE83" i="38"/>
  <c r="AE85" i="38"/>
  <c r="AE75" i="38"/>
  <c r="AE69" i="38"/>
  <c r="AE86" i="38"/>
  <c r="AF51" i="38"/>
  <c r="AF86" i="38"/>
  <c r="AF70" i="38"/>
  <c r="AF83" i="38"/>
  <c r="AF67" i="38"/>
  <c r="AF77" i="38"/>
  <c r="AF79" i="38"/>
  <c r="AF85" i="38"/>
  <c r="AF68" i="38"/>
  <c r="AF71" i="38"/>
  <c r="AF76" i="38"/>
  <c r="AF89" i="38"/>
  <c r="AF56" i="38"/>
  <c r="AF75" i="38"/>
  <c r="AF74" i="38"/>
  <c r="AF69" i="38"/>
  <c r="AF57" i="38"/>
  <c r="AF80" i="38"/>
  <c r="AF61" i="38"/>
  <c r="AF62" i="38"/>
  <c r="AF91" i="38"/>
  <c r="AF84" i="38"/>
  <c r="AF55" i="38"/>
  <c r="AF94" i="38"/>
  <c r="AF92" i="38"/>
  <c r="AF78" i="38"/>
  <c r="AF73" i="38"/>
  <c r="AF72" i="38"/>
  <c r="AF93" i="38"/>
  <c r="AF54" i="38"/>
  <c r="AF66" i="38"/>
  <c r="AE80" i="38"/>
  <c r="AE71" i="38"/>
  <c r="AE79" i="38"/>
  <c r="AE67" i="38"/>
  <c r="AE88" i="38"/>
  <c r="AE74" i="38"/>
  <c r="AE70" i="38"/>
  <c r="AE78" i="38"/>
  <c r="AF82" i="38"/>
  <c r="U65" i="38"/>
  <c r="U64" i="38"/>
  <c r="R63" i="38"/>
  <c r="V15" i="38"/>
  <c r="R87" i="38"/>
  <c r="V39" i="38"/>
  <c r="Z39" i="38" s="1"/>
  <c r="Z87" i="38" s="1"/>
  <c r="N64" i="38"/>
  <c r="N96" i="38" s="1"/>
  <c r="AX138" i="45" l="1"/>
  <c r="AX139" i="45" s="1"/>
  <c r="AJ51" i="38"/>
  <c r="AM51" i="38"/>
  <c r="AM59" i="38"/>
  <c r="AM91" i="38"/>
  <c r="AM62" i="38"/>
  <c r="AM76" i="38"/>
  <c r="AM72" i="38"/>
  <c r="AM92" i="38"/>
  <c r="AM85" i="38"/>
  <c r="AM93" i="38"/>
  <c r="AM78" i="38"/>
  <c r="AM94" i="38"/>
  <c r="AM73" i="38"/>
  <c r="AM80" i="38"/>
  <c r="AM86" i="38"/>
  <c r="AM74" i="38"/>
  <c r="AM69" i="38"/>
  <c r="AM61" i="38"/>
  <c r="AM77" i="38"/>
  <c r="AM68" i="38"/>
  <c r="AM79" i="38"/>
  <c r="AM70" i="38"/>
  <c r="AM84" i="38"/>
  <c r="AM71" i="38"/>
  <c r="AM75" i="38"/>
  <c r="AM67" i="38"/>
  <c r="AM88" i="38"/>
  <c r="AM60" i="38"/>
  <c r="AM83" i="38"/>
  <c r="AM89" i="38"/>
  <c r="AM66" i="38"/>
  <c r="AM82" i="38"/>
  <c r="AM90" i="38"/>
  <c r="AM87" i="38"/>
  <c r="AM65" i="38"/>
  <c r="AM64" i="38"/>
  <c r="AC96" i="38"/>
  <c r="Z15" i="38"/>
  <c r="AJ82" i="38"/>
  <c r="AJ61" i="38"/>
  <c r="AJ69" i="38"/>
  <c r="AJ87" i="38"/>
  <c r="AJ70" i="38"/>
  <c r="AJ84" i="38"/>
  <c r="AJ75" i="38"/>
  <c r="AS3" i="38"/>
  <c r="AS59" i="38" s="1"/>
  <c r="AJ94" i="38"/>
  <c r="AJ59" i="38"/>
  <c r="AJ58" i="38"/>
  <c r="AJ54" i="38"/>
  <c r="AJ60" i="38"/>
  <c r="AJ66" i="38"/>
  <c r="AJ93" i="38"/>
  <c r="AJ86" i="38"/>
  <c r="AJ92" i="38"/>
  <c r="AJ79" i="38"/>
  <c r="AJ68" i="38"/>
  <c r="AJ56" i="38"/>
  <c r="AJ62" i="38"/>
  <c r="AJ64" i="38"/>
  <c r="AJ88" i="38"/>
  <c r="AJ89" i="38"/>
  <c r="AJ85" i="38"/>
  <c r="AJ72" i="38"/>
  <c r="AJ77" i="38"/>
  <c r="AJ71" i="38"/>
  <c r="AJ74" i="38"/>
  <c r="AJ55" i="38"/>
  <c r="AJ65" i="38"/>
  <c r="AJ90" i="38"/>
  <c r="AJ67" i="38"/>
  <c r="AJ83" i="38"/>
  <c r="AJ91" i="38"/>
  <c r="AJ76" i="38"/>
  <c r="AJ73" i="38"/>
  <c r="AJ57" i="38"/>
  <c r="AJ80" i="38"/>
  <c r="AN3" i="38"/>
  <c r="AT6" i="38"/>
  <c r="AD87" i="38"/>
  <c r="AF90" i="38"/>
  <c r="AE60" i="38"/>
  <c r="AE90" i="38"/>
  <c r="AF65" i="38"/>
  <c r="AF60" i="38"/>
  <c r="AE87" i="38"/>
  <c r="AE66" i="38"/>
  <c r="V63" i="38"/>
  <c r="R64" i="38"/>
  <c r="R96" i="38" s="1"/>
  <c r="V16" i="38"/>
  <c r="Z16" i="38" s="1"/>
  <c r="Z64" i="38" s="1"/>
  <c r="V87" i="38"/>
  <c r="J20" i="22"/>
  <c r="J19" i="22"/>
  <c r="J18" i="22"/>
  <c r="J17" i="22"/>
  <c r="J31" i="22"/>
  <c r="J32" i="22"/>
  <c r="BF138" i="45" l="1"/>
  <c r="AN51" i="38"/>
  <c r="AN59" i="38"/>
  <c r="AN75" i="38"/>
  <c r="AN73" i="38"/>
  <c r="AN62" i="38"/>
  <c r="AN56" i="38"/>
  <c r="AN69" i="38"/>
  <c r="AN78" i="38"/>
  <c r="AN71" i="38"/>
  <c r="AN77" i="38"/>
  <c r="AN57" i="38"/>
  <c r="AN80" i="38"/>
  <c r="AN74" i="38"/>
  <c r="AN68" i="38"/>
  <c r="AN76" i="38"/>
  <c r="AN79" i="38"/>
  <c r="AN72" i="38"/>
  <c r="AN55" i="38"/>
  <c r="AN58" i="38"/>
  <c r="AN70" i="38"/>
  <c r="AN91" i="38"/>
  <c r="AN84" i="38"/>
  <c r="AN83" i="38"/>
  <c r="AN67" i="38"/>
  <c r="AN89" i="38"/>
  <c r="AN92" i="38"/>
  <c r="AN61" i="38"/>
  <c r="AN86" i="38"/>
  <c r="AN93" i="38"/>
  <c r="AN94" i="38"/>
  <c r="AN85" i="38"/>
  <c r="AN66" i="38"/>
  <c r="AN82" i="38"/>
  <c r="AN60" i="38"/>
  <c r="AN90" i="38"/>
  <c r="AN88" i="38"/>
  <c r="AN87" i="38"/>
  <c r="AN65" i="38"/>
  <c r="AN64" i="38"/>
  <c r="AN54" i="38"/>
  <c r="AS51" i="38"/>
  <c r="V48" i="38"/>
  <c r="Z63" i="38"/>
  <c r="Z96" i="38" s="1"/>
  <c r="Z48" i="38"/>
  <c r="AS87" i="38"/>
  <c r="AS69" i="38"/>
  <c r="AS86" i="38"/>
  <c r="AS71" i="38"/>
  <c r="AS66" i="38"/>
  <c r="AS79" i="38"/>
  <c r="AS68" i="38"/>
  <c r="AS76" i="38"/>
  <c r="AS65" i="38"/>
  <c r="AS85" i="38"/>
  <c r="AS77" i="38"/>
  <c r="AS61" i="38"/>
  <c r="AW3" i="38"/>
  <c r="AW68" i="38" s="1"/>
  <c r="AS89" i="38"/>
  <c r="AS62" i="38"/>
  <c r="AS80" i="38"/>
  <c r="AS75" i="38"/>
  <c r="AS82" i="38"/>
  <c r="AS90" i="38"/>
  <c r="AS72" i="38"/>
  <c r="AS73" i="38"/>
  <c r="AS67" i="38"/>
  <c r="AS78" i="38"/>
  <c r="AS94" i="38"/>
  <c r="AS74" i="38"/>
  <c r="AS64" i="38"/>
  <c r="AS60" i="38"/>
  <c r="AS88" i="38"/>
  <c r="AS92" i="38"/>
  <c r="AS93" i="38"/>
  <c r="AS84" i="38"/>
  <c r="AS91" i="38"/>
  <c r="AS83" i="38"/>
  <c r="AS70" i="38"/>
  <c r="AT3" i="38"/>
  <c r="AX3" i="38" s="1"/>
  <c r="AX6" i="38"/>
  <c r="BB6" i="38" s="1"/>
  <c r="AD63" i="38"/>
  <c r="AF15" i="38"/>
  <c r="AD64" i="38"/>
  <c r="AE64" i="38"/>
  <c r="AE65" i="38"/>
  <c r="V64" i="38"/>
  <c r="V96" i="38" s="1"/>
  <c r="AT62" i="38" l="1"/>
  <c r="BF139" i="45"/>
  <c r="AT92" i="38"/>
  <c r="AT66" i="38"/>
  <c r="AT68" i="38"/>
  <c r="AT89" i="38"/>
  <c r="AT57" i="38"/>
  <c r="AT56" i="38"/>
  <c r="AT85" i="38"/>
  <c r="AT94" i="38"/>
  <c r="AT67" i="38"/>
  <c r="AT75" i="38"/>
  <c r="AT76" i="38"/>
  <c r="AT69" i="38"/>
  <c r="AT71" i="38"/>
  <c r="AT93" i="38"/>
  <c r="AT78" i="38"/>
  <c r="AT87" i="38"/>
  <c r="AT82" i="38"/>
  <c r="AT61" i="38"/>
  <c r="AT88" i="38"/>
  <c r="AT90" i="38"/>
  <c r="AT83" i="38"/>
  <c r="AT80" i="38"/>
  <c r="AT72" i="38"/>
  <c r="AT84" i="38"/>
  <c r="AT64" i="38"/>
  <c r="AT91" i="38"/>
  <c r="AT65" i="38"/>
  <c r="AT60" i="38"/>
  <c r="AT86" i="38"/>
  <c r="AT55" i="38"/>
  <c r="AD96" i="38"/>
  <c r="AJ15" i="38"/>
  <c r="AJ63" i="38" s="1"/>
  <c r="AJ96" i="38" s="1"/>
  <c r="AF48" i="38"/>
  <c r="AT73" i="38"/>
  <c r="AT79" i="38"/>
  <c r="AT70" i="38"/>
  <c r="AT54" i="38"/>
  <c r="AT74" i="38"/>
  <c r="AT77" i="38"/>
  <c r="AT51" i="38"/>
  <c r="AW87" i="38"/>
  <c r="AW62" i="38"/>
  <c r="AW69" i="38"/>
  <c r="AW86" i="38"/>
  <c r="AW78" i="38"/>
  <c r="AW76" i="38"/>
  <c r="AW51" i="38"/>
  <c r="BA3" i="38"/>
  <c r="AW64" i="38"/>
  <c r="AW66" i="38"/>
  <c r="AW72" i="38"/>
  <c r="AW83" i="38"/>
  <c r="AW70" i="38"/>
  <c r="AW59" i="38"/>
  <c r="AW89" i="38"/>
  <c r="AW65" i="38"/>
  <c r="AW60" i="38"/>
  <c r="AW85" i="38"/>
  <c r="AW80" i="38"/>
  <c r="AW79" i="38"/>
  <c r="AW71" i="38"/>
  <c r="AW94" i="38"/>
  <c r="AW91" i="38"/>
  <c r="AW82" i="38"/>
  <c r="AW75" i="38"/>
  <c r="AW67" i="38"/>
  <c r="AW61" i="38"/>
  <c r="AW92" i="38"/>
  <c r="AW88" i="38"/>
  <c r="AW90" i="38"/>
  <c r="AW93" i="38"/>
  <c r="AW73" i="38"/>
  <c r="AW84" i="38"/>
  <c r="AW74" i="38"/>
  <c r="AW77" i="38"/>
  <c r="BB3" i="38"/>
  <c r="AX59" i="38"/>
  <c r="AX58" i="38"/>
  <c r="AT59" i="38"/>
  <c r="AT58" i="38"/>
  <c r="BJ6" i="38"/>
  <c r="AX51" i="38"/>
  <c r="AX62" i="38"/>
  <c r="AX55" i="38"/>
  <c r="AX70" i="38"/>
  <c r="AX56" i="38"/>
  <c r="AX73" i="38"/>
  <c r="AX76" i="38"/>
  <c r="AX79" i="38"/>
  <c r="AX68" i="38"/>
  <c r="AX77" i="38"/>
  <c r="AX71" i="38"/>
  <c r="AX57" i="38"/>
  <c r="AX74" i="38"/>
  <c r="AX75" i="38"/>
  <c r="AX69" i="38"/>
  <c r="AX72" i="38"/>
  <c r="AX80" i="38"/>
  <c r="AX78" i="38"/>
  <c r="AX84" i="38"/>
  <c r="AX91" i="38"/>
  <c r="AX83" i="38"/>
  <c r="AX67" i="38"/>
  <c r="AX61" i="38"/>
  <c r="AX89" i="38"/>
  <c r="AX85" i="38"/>
  <c r="AX86" i="38"/>
  <c r="AX93" i="38"/>
  <c r="AX94" i="38"/>
  <c r="AX92" i="38"/>
  <c r="AX66" i="38"/>
  <c r="AX90" i="38"/>
  <c r="AX65" i="38"/>
  <c r="AX60" i="38"/>
  <c r="AX82" i="38"/>
  <c r="AX88" i="38"/>
  <c r="AX87" i="38"/>
  <c r="AX64" i="38"/>
  <c r="AX54" i="38"/>
  <c r="AF87" i="38"/>
  <c r="AF63" i="38"/>
  <c r="BA51" i="38" l="1"/>
  <c r="BA59" i="38"/>
  <c r="BA70" i="38"/>
  <c r="BA67" i="38"/>
  <c r="BA83" i="38"/>
  <c r="BA79" i="38"/>
  <c r="BA73" i="38"/>
  <c r="BA86" i="38"/>
  <c r="BA93" i="38"/>
  <c r="BA91" i="38"/>
  <c r="BA75" i="38"/>
  <c r="BA74" i="38"/>
  <c r="BA77" i="38"/>
  <c r="BA78" i="38"/>
  <c r="BA76" i="38"/>
  <c r="BA72" i="38"/>
  <c r="BA84" i="38"/>
  <c r="BA61" i="38"/>
  <c r="BA94" i="38"/>
  <c r="BA69" i="38"/>
  <c r="BA92" i="38"/>
  <c r="BA71" i="38"/>
  <c r="BA68" i="38"/>
  <c r="BA85" i="38"/>
  <c r="BA62" i="38"/>
  <c r="BA80" i="38"/>
  <c r="BA90" i="38"/>
  <c r="BA89" i="38"/>
  <c r="BA82" i="38"/>
  <c r="BA60" i="38"/>
  <c r="BA88" i="38"/>
  <c r="BA66" i="38"/>
  <c r="BA87" i="38"/>
  <c r="BA65" i="38"/>
  <c r="BA64" i="38"/>
  <c r="BJ3" i="38"/>
  <c r="BJ80" i="38" s="1"/>
  <c r="BB51" i="38"/>
  <c r="BB59" i="38"/>
  <c r="BB70" i="38"/>
  <c r="BB62" i="38"/>
  <c r="BB58" i="38"/>
  <c r="BB55" i="38"/>
  <c r="BB73" i="38"/>
  <c r="BB76" i="38"/>
  <c r="BB75" i="38"/>
  <c r="BB69" i="38"/>
  <c r="BB56" i="38"/>
  <c r="BB77" i="38"/>
  <c r="BB72" i="38"/>
  <c r="BB74" i="38"/>
  <c r="BB80" i="38"/>
  <c r="BB71" i="38"/>
  <c r="BB57" i="38"/>
  <c r="BB78" i="38"/>
  <c r="BB68" i="38"/>
  <c r="BB79" i="38"/>
  <c r="BB83" i="38"/>
  <c r="BB67" i="38"/>
  <c r="BB61" i="38"/>
  <c r="BB91" i="38"/>
  <c r="BB92" i="38"/>
  <c r="BB93" i="38"/>
  <c r="BB89" i="38"/>
  <c r="BB85" i="38"/>
  <c r="BB94" i="38"/>
  <c r="BB86" i="38"/>
  <c r="BB84" i="38"/>
  <c r="BB66" i="38"/>
  <c r="BB82" i="38"/>
  <c r="BB60" i="38"/>
  <c r="BB90" i="38"/>
  <c r="BB65" i="38"/>
  <c r="BB88" i="38"/>
  <c r="BB87" i="38"/>
  <c r="BB64" i="38"/>
  <c r="BB54" i="38"/>
  <c r="AN15" i="38"/>
  <c r="AT15" i="38" s="1"/>
  <c r="AT48" i="38" s="1"/>
  <c r="AJ48" i="38"/>
  <c r="BI3" i="38"/>
  <c r="AF64" i="38"/>
  <c r="AF96" i="38" s="1"/>
  <c r="BJ78" i="38" l="1"/>
  <c r="BJ70" i="38"/>
  <c r="BJ59" i="38"/>
  <c r="BJ61" i="38"/>
  <c r="BJ71" i="38"/>
  <c r="BJ73" i="38"/>
  <c r="BJ56" i="38"/>
  <c r="BJ91" i="38"/>
  <c r="BJ68" i="38"/>
  <c r="BJ57" i="38"/>
  <c r="BJ93" i="38"/>
  <c r="BJ82" i="38"/>
  <c r="BJ89" i="38"/>
  <c r="BJ66" i="38"/>
  <c r="BJ86" i="38"/>
  <c r="BJ85" i="38"/>
  <c r="BJ69" i="38"/>
  <c r="BJ55" i="38"/>
  <c r="BJ79" i="38"/>
  <c r="BJ64" i="38"/>
  <c r="BJ77" i="38"/>
  <c r="BJ75" i="38"/>
  <c r="BJ62" i="38"/>
  <c r="BJ67" i="38"/>
  <c r="BJ76" i="38"/>
  <c r="BJ92" i="38"/>
  <c r="BJ94" i="38"/>
  <c r="BJ84" i="38"/>
  <c r="BJ87" i="38"/>
  <c r="BJ90" i="38"/>
  <c r="BJ65" i="38"/>
  <c r="BJ60" i="38"/>
  <c r="BJ74" i="38"/>
  <c r="BJ54" i="38"/>
  <c r="BJ51" i="38"/>
  <c r="BJ83" i="38"/>
  <c r="BJ58" i="38"/>
  <c r="BJ88" i="38"/>
  <c r="BJ72" i="38"/>
  <c r="AN63" i="38"/>
  <c r="AN96" i="38" s="1"/>
  <c r="AN48" i="38"/>
  <c r="BI59" i="38"/>
  <c r="BI74" i="38"/>
  <c r="BI86" i="38"/>
  <c r="BI82" i="38"/>
  <c r="BI67" i="38"/>
  <c r="BI61" i="38"/>
  <c r="BI77" i="38"/>
  <c r="BI89" i="38"/>
  <c r="BI72" i="38"/>
  <c r="BI88" i="38"/>
  <c r="BI71" i="38"/>
  <c r="BI76" i="38"/>
  <c r="BI87" i="38"/>
  <c r="BI93" i="38"/>
  <c r="BI94" i="38"/>
  <c r="BI62" i="38"/>
  <c r="BI91" i="38"/>
  <c r="BI68" i="38"/>
  <c r="BI85" i="38"/>
  <c r="BI92" i="38"/>
  <c r="BI66" i="38"/>
  <c r="BI83" i="38"/>
  <c r="BI79" i="38"/>
  <c r="BI64" i="38"/>
  <c r="BI80" i="38"/>
  <c r="BI65" i="38"/>
  <c r="BI75" i="38"/>
  <c r="BI70" i="38"/>
  <c r="BI51" i="38"/>
  <c r="BI90" i="38"/>
  <c r="BI84" i="38"/>
  <c r="BI60" i="38"/>
  <c r="BI69" i="38"/>
  <c r="BI78" i="38"/>
  <c r="BI73" i="38"/>
  <c r="AT63" i="38"/>
  <c r="AT96" i="38" s="1"/>
  <c r="AX15" i="38"/>
  <c r="I64" i="59"/>
  <c r="AX48" i="38" l="1"/>
  <c r="BB15" i="38"/>
  <c r="AX63" i="38"/>
  <c r="AX96" i="38" s="1"/>
  <c r="J37" i="36"/>
  <c r="I37" i="36"/>
  <c r="BB63" i="38" l="1"/>
  <c r="BB96" i="38" s="1"/>
  <c r="BB48" i="38"/>
  <c r="BJ15" i="38"/>
  <c r="AA64" i="36"/>
  <c r="AA61" i="36"/>
  <c r="AA63" i="36" s="1"/>
  <c r="BJ48" i="38" l="1"/>
  <c r="BJ63" i="38"/>
  <c r="AA58" i="36"/>
  <c r="BJ96" i="38" l="1"/>
  <c r="AA60" i="36"/>
  <c r="F17" i="36" l="1"/>
  <c r="I54" i="59" s="1"/>
  <c r="F16" i="36"/>
  <c r="I53" i="59" s="1"/>
  <c r="BE64" i="36" l="1"/>
  <c r="BE61" i="36"/>
  <c r="BE63" i="36" s="1"/>
  <c r="BC60" i="36"/>
  <c r="BU28" i="21" l="1"/>
  <c r="BT28" i="21"/>
  <c r="BU24" i="21"/>
  <c r="BU25" i="21" s="1"/>
  <c r="BT22" i="21"/>
  <c r="BT15" i="21"/>
  <c r="BE58" i="36" l="1"/>
  <c r="BE60" i="36" s="1"/>
  <c r="J23" i="21" l="1"/>
  <c r="I50" i="35"/>
  <c r="I51" i="35"/>
  <c r="I44" i="35"/>
  <c r="J44" i="35"/>
  <c r="I45" i="35"/>
  <c r="J45" i="35"/>
  <c r="I34" i="35"/>
  <c r="I35" i="35"/>
  <c r="J35" i="35"/>
  <c r="H124" i="90" l="1"/>
  <c r="H126" i="90" s="1"/>
  <c r="I124" i="90"/>
  <c r="I126" i="90" s="1"/>
  <c r="N26" i="9"/>
  <c r="I36" i="35"/>
  <c r="I48" i="35" l="1"/>
  <c r="K140" i="50"/>
  <c r="S140" i="50"/>
  <c r="M36" i="35"/>
  <c r="J53" i="35"/>
  <c r="I53" i="35"/>
  <c r="W140" i="50" l="1"/>
  <c r="I21" i="35"/>
  <c r="J21" i="35"/>
  <c r="J26" i="9" s="1"/>
  <c r="J10" i="35"/>
  <c r="J9" i="35"/>
  <c r="J9" i="6" l="1"/>
  <c r="J8" i="6"/>
  <c r="I26" i="9"/>
  <c r="J11" i="35"/>
  <c r="R8" i="6"/>
  <c r="J10" i="6" l="1"/>
  <c r="R9" i="6"/>
  <c r="R10" i="6"/>
  <c r="R26" i="9"/>
  <c r="Q26" i="9"/>
  <c r="AA36" i="35"/>
  <c r="AA48" i="35" s="1"/>
  <c r="AA21" i="35" l="1"/>
  <c r="AA26" i="9" s="1"/>
  <c r="E92" i="8"/>
  <c r="AB21" i="35" l="1"/>
  <c r="AB26" i="9" s="1"/>
  <c r="F33" i="36" l="1"/>
  <c r="F40" i="36" s="1"/>
  <c r="E33" i="36"/>
  <c r="E40" i="36" s="1"/>
  <c r="F18" i="36"/>
  <c r="I55" i="59" s="1"/>
  <c r="J2" i="36"/>
  <c r="I2" i="36"/>
  <c r="J51" i="35"/>
  <c r="J50" i="35"/>
  <c r="I43" i="35"/>
  <c r="J39" i="35"/>
  <c r="I32" i="35"/>
  <c r="J32" i="35"/>
  <c r="I31" i="35"/>
  <c r="I30" i="35"/>
  <c r="I28" i="35"/>
  <c r="J28" i="35"/>
  <c r="I27" i="35"/>
  <c r="J27" i="35"/>
  <c r="E34" i="36"/>
  <c r="E41" i="36" s="1"/>
  <c r="I25" i="35"/>
  <c r="J24" i="35"/>
  <c r="I23" i="35"/>
  <c r="J18" i="35"/>
  <c r="I18" i="35"/>
  <c r="I17" i="35"/>
  <c r="J16" i="35"/>
  <c r="I16" i="35"/>
  <c r="J14" i="35"/>
  <c r="I14" i="35"/>
  <c r="J13" i="35"/>
  <c r="I13" i="35"/>
  <c r="J2" i="35"/>
  <c r="I2" i="35"/>
  <c r="J121" i="45" l="1"/>
  <c r="J120" i="45" s="1"/>
  <c r="I56" i="11"/>
  <c r="I159" i="10"/>
  <c r="I158" i="10" s="1"/>
  <c r="I9" i="15"/>
  <c r="J5" i="36"/>
  <c r="J13" i="49" s="1"/>
  <c r="E43" i="36"/>
  <c r="E31" i="36" s="1"/>
  <c r="I55" i="11"/>
  <c r="I97" i="11"/>
  <c r="J15" i="35"/>
  <c r="I15" i="35"/>
  <c r="J70" i="36"/>
  <c r="K70" i="36" s="1"/>
  <c r="J67" i="36"/>
  <c r="J69" i="36"/>
  <c r="J72" i="36"/>
  <c r="E57" i="36"/>
  <c r="E56" i="36"/>
  <c r="J6" i="35"/>
  <c r="J7" i="35"/>
  <c r="J6" i="6" s="1"/>
  <c r="I5" i="9"/>
  <c r="I64" i="36"/>
  <c r="I61" i="36"/>
  <c r="I63" i="36" s="1"/>
  <c r="I58" i="36"/>
  <c r="I60" i="36" s="1"/>
  <c r="E35" i="36"/>
  <c r="M35" i="36" s="1"/>
  <c r="M34" i="36"/>
  <c r="M33" i="36"/>
  <c r="N33" i="36"/>
  <c r="N40" i="36" s="1"/>
  <c r="J144" i="45"/>
  <c r="J5" i="9"/>
  <c r="I18" i="15"/>
  <c r="I26" i="36"/>
  <c r="J26" i="36"/>
  <c r="H9" i="15"/>
  <c r="H18" i="15"/>
  <c r="I41" i="35"/>
  <c r="I39" i="35"/>
  <c r="I33" i="35"/>
  <c r="N5" i="36"/>
  <c r="N13" i="49" s="1"/>
  <c r="N2" i="35"/>
  <c r="M2" i="35"/>
  <c r="I7" i="35"/>
  <c r="I6" i="6" s="1"/>
  <c r="I6" i="35"/>
  <c r="M2" i="36"/>
  <c r="I33" i="36"/>
  <c r="I40" i="36" s="1"/>
  <c r="N2" i="36"/>
  <c r="I34" i="36"/>
  <c r="I41" i="36" s="1"/>
  <c r="J33" i="36"/>
  <c r="J40" i="36" s="1"/>
  <c r="J23" i="35"/>
  <c r="J25" i="35"/>
  <c r="M5" i="9"/>
  <c r="I24" i="35"/>
  <c r="J30" i="35"/>
  <c r="J123" i="45" l="1"/>
  <c r="J124" i="45"/>
  <c r="J139" i="45"/>
  <c r="I37" i="35"/>
  <c r="I43" i="36"/>
  <c r="I31" i="36" s="1"/>
  <c r="L73" i="59"/>
  <c r="M6" i="59"/>
  <c r="M59" i="59"/>
  <c r="J71" i="36"/>
  <c r="J73" i="9"/>
  <c r="J76" i="9"/>
  <c r="J75" i="9"/>
  <c r="J78" i="9"/>
  <c r="J77" i="9"/>
  <c r="J74" i="9"/>
  <c r="J79" i="9"/>
  <c r="M76" i="9"/>
  <c r="M72" i="9"/>
  <c r="M75" i="9"/>
  <c r="M78" i="9"/>
  <c r="M73" i="9"/>
  <c r="M77" i="9"/>
  <c r="M74" i="9"/>
  <c r="M79" i="9"/>
  <c r="I76" i="9"/>
  <c r="I78" i="9"/>
  <c r="I73" i="9"/>
  <c r="I75" i="9"/>
  <c r="I74" i="9"/>
  <c r="I77" i="9"/>
  <c r="I79" i="9"/>
  <c r="I57" i="36"/>
  <c r="I56" i="36"/>
  <c r="M56" i="36"/>
  <c r="AA56" i="36" s="1"/>
  <c r="M57" i="36"/>
  <c r="J5" i="6"/>
  <c r="J98" i="6" s="1"/>
  <c r="J104" i="6" s="1"/>
  <c r="J106" i="6" s="1"/>
  <c r="J147" i="6" s="1"/>
  <c r="J8" i="35"/>
  <c r="I5" i="6"/>
  <c r="I98" i="6" s="1"/>
  <c r="I104" i="6" s="1"/>
  <c r="I106" i="6" s="1"/>
  <c r="I147" i="6" s="1"/>
  <c r="I8" i="35"/>
  <c r="J29" i="36"/>
  <c r="M79" i="59" s="1"/>
  <c r="J27" i="36"/>
  <c r="M77" i="59" s="1"/>
  <c r="N29" i="36"/>
  <c r="M7" i="15" s="1"/>
  <c r="E36" i="36"/>
  <c r="E38" i="36" s="1"/>
  <c r="AA34" i="36"/>
  <c r="I35" i="36"/>
  <c r="AA35" i="36" s="1"/>
  <c r="L130" i="26"/>
  <c r="N28" i="36"/>
  <c r="N27" i="36"/>
  <c r="N7" i="35"/>
  <c r="N6" i="35"/>
  <c r="Q2" i="35"/>
  <c r="U2" i="35" s="1"/>
  <c r="AA2" i="35" s="1"/>
  <c r="AE2" i="35" s="1"/>
  <c r="AI2" i="35" s="1"/>
  <c r="AO2" i="35" s="1"/>
  <c r="AS2" i="35" s="1"/>
  <c r="AW2" i="35" s="1"/>
  <c r="M6" i="35"/>
  <c r="M7" i="35"/>
  <c r="Q7" i="35" s="1"/>
  <c r="M34" i="22"/>
  <c r="M104" i="9"/>
  <c r="P58" i="59" s="1"/>
  <c r="M102" i="9"/>
  <c r="Q6" i="59"/>
  <c r="K144" i="45"/>
  <c r="J23" i="36"/>
  <c r="M71" i="59" s="1"/>
  <c r="N5" i="9"/>
  <c r="N94" i="9" s="1"/>
  <c r="Q35" i="36"/>
  <c r="U35" i="36" s="1"/>
  <c r="Q34" i="36"/>
  <c r="U34" i="36" s="1"/>
  <c r="H75" i="59"/>
  <c r="F98" i="50"/>
  <c r="R2" i="36"/>
  <c r="V2" i="36" s="1"/>
  <c r="Q2" i="36"/>
  <c r="U2" i="36" s="1"/>
  <c r="F34" i="36"/>
  <c r="F41" i="36" s="1"/>
  <c r="F43" i="36" s="1"/>
  <c r="F31" i="36" s="1"/>
  <c r="N26" i="36"/>
  <c r="M26" i="36"/>
  <c r="I49" i="35"/>
  <c r="N16" i="36"/>
  <c r="Q53" i="59" s="1"/>
  <c r="N17" i="36"/>
  <c r="Q54" i="59" s="1"/>
  <c r="R2" i="35"/>
  <c r="V2" i="35" s="1"/>
  <c r="I10" i="35"/>
  <c r="J28" i="36"/>
  <c r="M78" i="59" s="1"/>
  <c r="I9" i="35"/>
  <c r="I26" i="35"/>
  <c r="J26" i="35"/>
  <c r="I8" i="6" l="1"/>
  <c r="I25" i="36"/>
  <c r="L75" i="59" s="1"/>
  <c r="I9" i="6"/>
  <c r="J98" i="50"/>
  <c r="J96" i="50" s="1"/>
  <c r="L76" i="59"/>
  <c r="I55" i="35"/>
  <c r="M73" i="59"/>
  <c r="Q6" i="35"/>
  <c r="U6" i="35" s="1"/>
  <c r="U5" i="6" s="1"/>
  <c r="U98" i="6" s="1"/>
  <c r="Q78" i="59"/>
  <c r="R6" i="35"/>
  <c r="R7" i="35"/>
  <c r="V7" i="35" s="1"/>
  <c r="V6" i="6" s="1"/>
  <c r="U7" i="35"/>
  <c r="U6" i="6" s="1"/>
  <c r="BE2" i="35"/>
  <c r="BC6" i="35"/>
  <c r="BC5" i="6" s="1"/>
  <c r="BC98" i="6" s="1"/>
  <c r="E30" i="36"/>
  <c r="H80" i="59" s="1"/>
  <c r="AE35" i="36"/>
  <c r="AE34" i="36"/>
  <c r="I36" i="36"/>
  <c r="I38" i="36" s="1"/>
  <c r="I11" i="35"/>
  <c r="Q64" i="36"/>
  <c r="Q61" i="36"/>
  <c r="Q63" i="36" s="1"/>
  <c r="Q58" i="36"/>
  <c r="Q60" i="36" s="1"/>
  <c r="N8" i="35"/>
  <c r="R69" i="36"/>
  <c r="R72" i="36"/>
  <c r="R67" i="36"/>
  <c r="R70" i="36"/>
  <c r="S70" i="36" s="1"/>
  <c r="R66" i="36"/>
  <c r="Q59" i="59"/>
  <c r="N78" i="9"/>
  <c r="N73" i="9"/>
  <c r="N76" i="9"/>
  <c r="N75" i="9"/>
  <c r="N77" i="9"/>
  <c r="N72" i="9"/>
  <c r="N74" i="9"/>
  <c r="N79" i="9"/>
  <c r="M8" i="35"/>
  <c r="T9" i="15"/>
  <c r="R121" i="45"/>
  <c r="R139" i="45" s="1"/>
  <c r="U9" i="15"/>
  <c r="R5" i="36"/>
  <c r="R13" i="49" s="1"/>
  <c r="Q56" i="11"/>
  <c r="AA6" i="35"/>
  <c r="Q79" i="59"/>
  <c r="M36" i="36"/>
  <c r="M38" i="36" s="1"/>
  <c r="Q5" i="9"/>
  <c r="AA7" i="35"/>
  <c r="AE7" i="35" s="1"/>
  <c r="M130" i="26"/>
  <c r="R5" i="9"/>
  <c r="Q77" i="59"/>
  <c r="M6" i="15"/>
  <c r="M5" i="15"/>
  <c r="N34" i="22"/>
  <c r="N104" i="9"/>
  <c r="Q58" i="59" s="1"/>
  <c r="N102" i="9"/>
  <c r="F35" i="36"/>
  <c r="N35" i="36" s="1"/>
  <c r="N34" i="36"/>
  <c r="N41" i="36" s="1"/>
  <c r="AA33" i="36"/>
  <c r="J178" i="10"/>
  <c r="M65" i="59" s="1"/>
  <c r="J34" i="36"/>
  <c r="J41" i="36" s="1"/>
  <c r="J43" i="36" s="1"/>
  <c r="J31" i="36" s="1"/>
  <c r="AA57" i="36"/>
  <c r="AA2" i="36"/>
  <c r="AE2" i="36" s="1"/>
  <c r="AI2" i="36" s="1"/>
  <c r="AO2" i="36" s="1"/>
  <c r="AB33" i="36"/>
  <c r="AB2" i="36"/>
  <c r="AF2" i="36" s="1"/>
  <c r="AJ2" i="36" s="1"/>
  <c r="AP2" i="36" s="1"/>
  <c r="I6" i="15"/>
  <c r="I5" i="15"/>
  <c r="I7" i="15"/>
  <c r="H7" i="15"/>
  <c r="H6" i="15"/>
  <c r="Q26" i="36"/>
  <c r="T53" i="59"/>
  <c r="R26" i="36"/>
  <c r="R16" i="36"/>
  <c r="U53" i="59" s="1"/>
  <c r="R17" i="36"/>
  <c r="U54" i="59" s="1"/>
  <c r="R33" i="36"/>
  <c r="Q33" i="36"/>
  <c r="U33" i="36" s="1"/>
  <c r="Q8" i="6"/>
  <c r="N5" i="6"/>
  <c r="AB2" i="35"/>
  <c r="AF2" i="35" s="1"/>
  <c r="AJ2" i="35" s="1"/>
  <c r="AP2" i="35" s="1"/>
  <c r="AT2" i="35" s="1"/>
  <c r="AX2" i="35" s="1"/>
  <c r="N6" i="6"/>
  <c r="M5" i="6"/>
  <c r="M6" i="6"/>
  <c r="H5" i="15"/>
  <c r="N18" i="36"/>
  <c r="Q55" i="59" s="1"/>
  <c r="N26" i="35"/>
  <c r="M26" i="35"/>
  <c r="Q8" i="35" l="1"/>
  <c r="I10" i="6"/>
  <c r="U104" i="6"/>
  <c r="U106" i="6" s="1"/>
  <c r="U144" i="6" s="1"/>
  <c r="BC104" i="6"/>
  <c r="V33" i="36"/>
  <c r="V40" i="36" s="1"/>
  <c r="R40" i="36"/>
  <c r="AB28" i="36"/>
  <c r="AB40" i="36"/>
  <c r="AI34" i="36"/>
  <c r="AO34" i="36" s="1"/>
  <c r="AS34" i="36" s="1"/>
  <c r="AW34" i="36" s="1"/>
  <c r="AI35" i="36"/>
  <c r="AO35" i="36" s="1"/>
  <c r="AS35" i="36" s="1"/>
  <c r="AW35" i="36" s="1"/>
  <c r="R8" i="35"/>
  <c r="V6" i="35"/>
  <c r="V8" i="35" s="1"/>
  <c r="U7" i="6"/>
  <c r="U8" i="35"/>
  <c r="U57" i="36"/>
  <c r="U56" i="36"/>
  <c r="BC15" i="6"/>
  <c r="BC7" i="6"/>
  <c r="BF2" i="35"/>
  <c r="I30" i="36"/>
  <c r="L80" i="59" s="1"/>
  <c r="AT2" i="36"/>
  <c r="AX2" i="36" s="1"/>
  <c r="BF2" i="36" s="1"/>
  <c r="AS2" i="36"/>
  <c r="AW2" i="36" s="1"/>
  <c r="BE2" i="36" s="1"/>
  <c r="AE10" i="35"/>
  <c r="AE9" i="6" s="1"/>
  <c r="AI7" i="35"/>
  <c r="AE6" i="6"/>
  <c r="Q55" i="11"/>
  <c r="Q97" i="11"/>
  <c r="AF33" i="36"/>
  <c r="AE33" i="36"/>
  <c r="AI33" i="36" s="1"/>
  <c r="R123" i="45"/>
  <c r="T71" i="59" s="1"/>
  <c r="AA5" i="6"/>
  <c r="AE6" i="35"/>
  <c r="R71" i="36"/>
  <c r="R68" i="36"/>
  <c r="Q78" i="9"/>
  <c r="Q72" i="9"/>
  <c r="Q76" i="9"/>
  <c r="Q73" i="9"/>
  <c r="Q75" i="9"/>
  <c r="Q74" i="9"/>
  <c r="Q77" i="9"/>
  <c r="Q79" i="9"/>
  <c r="U59" i="59"/>
  <c r="R73" i="9"/>
  <c r="R75" i="9"/>
  <c r="R76" i="9"/>
  <c r="R77" i="9"/>
  <c r="R78" i="9"/>
  <c r="R72" i="9"/>
  <c r="R74" i="9"/>
  <c r="R79" i="9"/>
  <c r="T18" i="15"/>
  <c r="AA8" i="35"/>
  <c r="Q56" i="36"/>
  <c r="Q57" i="36"/>
  <c r="N19" i="36"/>
  <c r="Q56" i="59" s="1"/>
  <c r="Q102" i="9"/>
  <c r="U102" i="9" s="1"/>
  <c r="U18" i="15"/>
  <c r="X71" i="59"/>
  <c r="X73" i="59"/>
  <c r="R124" i="45"/>
  <c r="R27" i="36"/>
  <c r="Q5" i="15" s="1"/>
  <c r="R120" i="45"/>
  <c r="AA36" i="36"/>
  <c r="AA38" i="36" s="1"/>
  <c r="U6" i="59"/>
  <c r="R104" i="9"/>
  <c r="U58" i="59" s="1"/>
  <c r="Q6" i="6"/>
  <c r="AB7" i="35"/>
  <c r="AF7" i="35" s="1"/>
  <c r="AA6" i="6"/>
  <c r="R5" i="6"/>
  <c r="R98" i="6" s="1"/>
  <c r="Q100" i="9"/>
  <c r="Q89" i="9"/>
  <c r="Q34" i="22"/>
  <c r="Q7" i="9"/>
  <c r="P130" i="26"/>
  <c r="Q96" i="9"/>
  <c r="Q90" i="9"/>
  <c r="Q94" i="9"/>
  <c r="P19" i="15" s="1"/>
  <c r="Q104" i="9"/>
  <c r="U104" i="9" s="1"/>
  <c r="X58" i="59" s="1"/>
  <c r="AB6" i="35"/>
  <c r="AF6" i="35" s="1"/>
  <c r="R6" i="6"/>
  <c r="Q5" i="6"/>
  <c r="Q98" i="6" s="1"/>
  <c r="Q104" i="6" s="1"/>
  <c r="Q106" i="6" s="1"/>
  <c r="R102" i="9"/>
  <c r="V102" i="9" s="1"/>
  <c r="R34" i="22"/>
  <c r="Q130" i="26"/>
  <c r="R100" i="9"/>
  <c r="R96" i="9"/>
  <c r="R89" i="9"/>
  <c r="R94" i="9"/>
  <c r="Q19" i="15" s="1"/>
  <c r="R90" i="9"/>
  <c r="R144" i="45"/>
  <c r="T73" i="59" s="1"/>
  <c r="F36" i="36"/>
  <c r="F38" i="36" s="1"/>
  <c r="AB34" i="36"/>
  <c r="AB41" i="36" s="1"/>
  <c r="J35" i="36"/>
  <c r="AB35" i="36" s="1"/>
  <c r="R29" i="36"/>
  <c r="R28" i="36"/>
  <c r="T56" i="59"/>
  <c r="R34" i="36"/>
  <c r="AD77" i="59"/>
  <c r="AD79" i="59"/>
  <c r="AD78" i="59"/>
  <c r="AB5" i="9"/>
  <c r="Q36" i="36"/>
  <c r="R35" i="36"/>
  <c r="V35" i="36" s="1"/>
  <c r="T54" i="59"/>
  <c r="R18" i="36"/>
  <c r="U55" i="59" s="1"/>
  <c r="T78" i="59"/>
  <c r="T79" i="59"/>
  <c r="T77" i="59"/>
  <c r="AA15" i="35"/>
  <c r="M30" i="36"/>
  <c r="P80" i="59" s="1"/>
  <c r="Y55" i="35"/>
  <c r="BC106" i="6" l="1"/>
  <c r="R104" i="6"/>
  <c r="R106" i="6" s="1"/>
  <c r="R144" i="6" s="1"/>
  <c r="Q144" i="6"/>
  <c r="Q145" i="6"/>
  <c r="Q147" i="6"/>
  <c r="U147" i="6"/>
  <c r="U145" i="6"/>
  <c r="U146" i="6" s="1"/>
  <c r="V34" i="36"/>
  <c r="V41" i="36" s="1"/>
  <c r="R41" i="36"/>
  <c r="AJ33" i="36"/>
  <c r="AJ40" i="36" s="1"/>
  <c r="AF40" i="36"/>
  <c r="AI56" i="36"/>
  <c r="AI57" i="36"/>
  <c r="V5" i="6"/>
  <c r="V104" i="9"/>
  <c r="Y58" i="59" s="1"/>
  <c r="V27" i="36"/>
  <c r="Y77" i="59" s="1"/>
  <c r="Q6" i="15"/>
  <c r="V28" i="36"/>
  <c r="Y78" i="59" s="1"/>
  <c r="Q38" i="36"/>
  <c r="Q30" i="36" s="1"/>
  <c r="T80" i="59" s="1"/>
  <c r="U36" i="36"/>
  <c r="U38" i="36" s="1"/>
  <c r="U30" i="36" s="1"/>
  <c r="X80" i="59" s="1"/>
  <c r="V29" i="36"/>
  <c r="Y79" i="59" s="1"/>
  <c r="Q7" i="15"/>
  <c r="Q9" i="6"/>
  <c r="AE36" i="36"/>
  <c r="AI36" i="36" s="1"/>
  <c r="AI38" i="36" s="1"/>
  <c r="AI30" i="36" s="1"/>
  <c r="AA30" i="36"/>
  <c r="AD80" i="59" s="1"/>
  <c r="AF5" i="6"/>
  <c r="AF98" i="6" s="1"/>
  <c r="AJ6" i="35"/>
  <c r="AF8" i="35"/>
  <c r="AF6" i="6"/>
  <c r="AJ7" i="35"/>
  <c r="AO7" i="35"/>
  <c r="BC8" i="35" s="1"/>
  <c r="AI6" i="6"/>
  <c r="AI10" i="35"/>
  <c r="AI9" i="6" s="1"/>
  <c r="AI6" i="35"/>
  <c r="AE5" i="6"/>
  <c r="AE98" i="6" s="1"/>
  <c r="AE104" i="6" s="1"/>
  <c r="AE106" i="6" s="1"/>
  <c r="AE56" i="36"/>
  <c r="AE57" i="36"/>
  <c r="AF35" i="36"/>
  <c r="AF34" i="36"/>
  <c r="AF41" i="36" s="1"/>
  <c r="AE8" i="35"/>
  <c r="AE9" i="35"/>
  <c r="AE59" i="59"/>
  <c r="AB78" i="9"/>
  <c r="AB77" i="9"/>
  <c r="AB79" i="9"/>
  <c r="AB76" i="9"/>
  <c r="AC77" i="59"/>
  <c r="AB27" i="36"/>
  <c r="AF27" i="36" s="1"/>
  <c r="AC78" i="59"/>
  <c r="AE78" i="59"/>
  <c r="AC79" i="59"/>
  <c r="AB29" i="36"/>
  <c r="T19" i="15"/>
  <c r="U19" i="15"/>
  <c r="AB8" i="35"/>
  <c r="R19" i="36"/>
  <c r="U56" i="59" s="1"/>
  <c r="Q10" i="6"/>
  <c r="T58" i="59"/>
  <c r="J36" i="36"/>
  <c r="J38" i="36" s="1"/>
  <c r="F30" i="36"/>
  <c r="I80" i="59" s="1"/>
  <c r="AA7" i="6"/>
  <c r="AB6" i="6"/>
  <c r="Q91" i="9"/>
  <c r="Q7" i="6"/>
  <c r="R7" i="6"/>
  <c r="AB5" i="6"/>
  <c r="T6" i="59"/>
  <c r="R91" i="9"/>
  <c r="AB104" i="9"/>
  <c r="AE58" i="59" s="1"/>
  <c r="AB102" i="9"/>
  <c r="AF102" i="9" s="1"/>
  <c r="AA130" i="26"/>
  <c r="N36" i="36"/>
  <c r="N38" i="36" s="1"/>
  <c r="U78" i="59"/>
  <c r="U79" i="59"/>
  <c r="AA9" i="15"/>
  <c r="AA26" i="36"/>
  <c r="AA18" i="15"/>
  <c r="AB67" i="36"/>
  <c r="AB16" i="36"/>
  <c r="AE53" i="59" s="1"/>
  <c r="AB17" i="36"/>
  <c r="AE54" i="59" s="1"/>
  <c r="AB66" i="36"/>
  <c r="AB72" i="36"/>
  <c r="AB26" i="36"/>
  <c r="U77" i="59"/>
  <c r="Z18" i="15"/>
  <c r="T55" i="59"/>
  <c r="AA5" i="9"/>
  <c r="AB75" i="59"/>
  <c r="Z9" i="15"/>
  <c r="AA26" i="35"/>
  <c r="AB26" i="35"/>
  <c r="AJ27" i="36" l="1"/>
  <c r="Q146" i="6"/>
  <c r="AF104" i="6"/>
  <c r="AF106" i="6" s="1"/>
  <c r="AF144" i="6" s="1"/>
  <c r="V7" i="6"/>
  <c r="V98" i="6"/>
  <c r="V104" i="6" s="1"/>
  <c r="V106" i="6" s="1"/>
  <c r="R147" i="6"/>
  <c r="R145" i="6"/>
  <c r="U15" i="59" s="1"/>
  <c r="AE144" i="6"/>
  <c r="AE147" i="6"/>
  <c r="AE145" i="6"/>
  <c r="BC147" i="6"/>
  <c r="BC145" i="6"/>
  <c r="BC144" i="6"/>
  <c r="AP33" i="36"/>
  <c r="AE5" i="15"/>
  <c r="AJ35" i="36"/>
  <c r="AP35" i="36" s="1"/>
  <c r="AT35" i="36" s="1"/>
  <c r="AX35" i="36" s="1"/>
  <c r="AJ34" i="36"/>
  <c r="AJ102" i="9"/>
  <c r="AP102" i="9" s="1"/>
  <c r="AT102" i="9" s="1"/>
  <c r="N24" i="36"/>
  <c r="AE11" i="35"/>
  <c r="AE10" i="6" s="1"/>
  <c r="AE8" i="6"/>
  <c r="AE38" i="36"/>
  <c r="AE30" i="36" s="1"/>
  <c r="AH80" i="59" s="1"/>
  <c r="J30" i="36"/>
  <c r="M80" i="59" s="1"/>
  <c r="AO10" i="35"/>
  <c r="AO9" i="6" s="1"/>
  <c r="AE7" i="6"/>
  <c r="AO6" i="6"/>
  <c r="AS7" i="35"/>
  <c r="AW7" i="35" s="1"/>
  <c r="AJ5" i="6"/>
  <c r="AJ98" i="6" s="1"/>
  <c r="AP6" i="35"/>
  <c r="AJ8" i="35"/>
  <c r="AO6" i="35"/>
  <c r="AI5" i="6"/>
  <c r="AI98" i="6" s="1"/>
  <c r="AI104" i="6" s="1"/>
  <c r="AI106" i="6" s="1"/>
  <c r="AI8" i="35"/>
  <c r="AI9" i="35"/>
  <c r="AJ6" i="6"/>
  <c r="AP7" i="35"/>
  <c r="AF7" i="6"/>
  <c r="AT33" i="36"/>
  <c r="AO33" i="36"/>
  <c r="AF104" i="9"/>
  <c r="AJ104" i="9" s="1"/>
  <c r="AI77" i="59"/>
  <c r="AF29" i="36"/>
  <c r="AJ29" i="36" s="1"/>
  <c r="AA6" i="15"/>
  <c r="AF28" i="36"/>
  <c r="AE79" i="59"/>
  <c r="AA7" i="15"/>
  <c r="AA78" i="9"/>
  <c r="AA77" i="9"/>
  <c r="AA79" i="9"/>
  <c r="AA76" i="9"/>
  <c r="AE77" i="59"/>
  <c r="AA5" i="15"/>
  <c r="U6" i="15"/>
  <c r="U5" i="15"/>
  <c r="U7" i="15"/>
  <c r="AB36" i="36"/>
  <c r="AB38" i="36" s="1"/>
  <c r="N30" i="36"/>
  <c r="Q80" i="59" s="1"/>
  <c r="AB7" i="6"/>
  <c r="AA102" i="9"/>
  <c r="AE102" i="9" s="1"/>
  <c r="AA104" i="9"/>
  <c r="AD58" i="59" s="1"/>
  <c r="AB18" i="36"/>
  <c r="AE55" i="59" s="1"/>
  <c r="AB68" i="36"/>
  <c r="AD73" i="59"/>
  <c r="R36" i="36"/>
  <c r="AP29" i="36" l="1"/>
  <c r="BC146" i="6"/>
  <c r="R146" i="6"/>
  <c r="AI144" i="6"/>
  <c r="AI145" i="6"/>
  <c r="AI147" i="6"/>
  <c r="V144" i="6"/>
  <c r="V145" i="6"/>
  <c r="V147" i="6"/>
  <c r="AJ104" i="6"/>
  <c r="AJ106" i="6" s="1"/>
  <c r="AJ144" i="6" s="1"/>
  <c r="AE146" i="6"/>
  <c r="AF147" i="6"/>
  <c r="AF145" i="6"/>
  <c r="AI15" i="59" s="1"/>
  <c r="AJ28" i="36"/>
  <c r="AP28" i="36" s="1"/>
  <c r="AT28" i="36" s="1"/>
  <c r="AP34" i="36"/>
  <c r="AT34" i="36" s="1"/>
  <c r="AX34" i="36" s="1"/>
  <c r="AJ41" i="36"/>
  <c r="AT29" i="36"/>
  <c r="AJ24" i="36"/>
  <c r="AX102" i="9"/>
  <c r="BF102" i="9" s="1"/>
  <c r="BE7" i="35"/>
  <c r="BE6" i="6" s="1"/>
  <c r="AW6" i="6"/>
  <c r="AP27" i="36"/>
  <c r="AS77" i="59" s="1"/>
  <c r="AI5" i="15"/>
  <c r="AI6" i="15"/>
  <c r="AS79" i="59"/>
  <c r="AI7" i="15"/>
  <c r="AI102" i="9"/>
  <c r="AO102" i="9" s="1"/>
  <c r="AS102" i="9" s="1"/>
  <c r="V24" i="36"/>
  <c r="Y74" i="59" s="1"/>
  <c r="R38" i="36"/>
  <c r="R30" i="36" s="1"/>
  <c r="U80" i="59" s="1"/>
  <c r="V36" i="36"/>
  <c r="V38" i="36" s="1"/>
  <c r="V30" i="36" s="1"/>
  <c r="Y80" i="59" s="1"/>
  <c r="AO9" i="35"/>
  <c r="AO8" i="6" s="1"/>
  <c r="AI8" i="6"/>
  <c r="AL80" i="59"/>
  <c r="AO36" i="36"/>
  <c r="BD8" i="35"/>
  <c r="BC11" i="35"/>
  <c r="BC10" i="6" s="1"/>
  <c r="AF36" i="36"/>
  <c r="AJ36" i="36" s="1"/>
  <c r="AJ38" i="36" s="1"/>
  <c r="AJ30" i="36" s="1"/>
  <c r="AB30" i="36"/>
  <c r="AE80" i="59" s="1"/>
  <c r="AW10" i="35"/>
  <c r="AW9" i="6" s="1"/>
  <c r="AX33" i="36"/>
  <c r="AO5" i="6"/>
  <c r="AO98" i="6" s="1"/>
  <c r="AS6" i="35"/>
  <c r="AW6" i="35" s="1"/>
  <c r="AW5" i="6" s="1"/>
  <c r="AW98" i="6" s="1"/>
  <c r="AO8" i="35"/>
  <c r="AS6" i="6"/>
  <c r="AS10" i="35"/>
  <c r="AS9" i="6" s="1"/>
  <c r="AP5" i="6"/>
  <c r="AP98" i="6" s="1"/>
  <c r="AT6" i="35"/>
  <c r="AX6" i="35" s="1"/>
  <c r="AP8" i="35"/>
  <c r="AI11" i="35"/>
  <c r="AI10" i="6" s="1"/>
  <c r="AP6" i="6"/>
  <c r="AT7" i="35"/>
  <c r="AI7" i="6"/>
  <c r="AJ7" i="6"/>
  <c r="AS33" i="36"/>
  <c r="AB19" i="36"/>
  <c r="AE56" i="59" s="1"/>
  <c r="AO57" i="36"/>
  <c r="AO56" i="36"/>
  <c r="AI58" i="59"/>
  <c r="AM79" i="59"/>
  <c r="AM77" i="59"/>
  <c r="AI79" i="59"/>
  <c r="AE7" i="15"/>
  <c r="AE104" i="9"/>
  <c r="AI104" i="9" s="1"/>
  <c r="AI78" i="59"/>
  <c r="AE6" i="15"/>
  <c r="AD6" i="59"/>
  <c r="Z7" i="15"/>
  <c r="Z6" i="15"/>
  <c r="Z5" i="15"/>
  <c r="AM78" i="59" l="1"/>
  <c r="AI146" i="6"/>
  <c r="AF146" i="6"/>
  <c r="AF7" i="36" s="1"/>
  <c r="AI8" i="59" s="1"/>
  <c r="AP104" i="6"/>
  <c r="AP106" i="6" s="1"/>
  <c r="AP144" i="6" s="1"/>
  <c r="AW104" i="6"/>
  <c r="AW106" i="6" s="1"/>
  <c r="AW144" i="6" s="1"/>
  <c r="AJ147" i="6"/>
  <c r="AJ145" i="6"/>
  <c r="AM15" i="59" s="1"/>
  <c r="AO104" i="6"/>
  <c r="AO106" i="6" s="1"/>
  <c r="AO144" i="6" s="1"/>
  <c r="V146" i="6"/>
  <c r="V7" i="36" s="1"/>
  <c r="Y8" i="59" s="1"/>
  <c r="Y15" i="59"/>
  <c r="AS78" i="59"/>
  <c r="AW78" i="59"/>
  <c r="AW102" i="9"/>
  <c r="BE102" i="9" s="1"/>
  <c r="BF6" i="35"/>
  <c r="BF5" i="6" s="1"/>
  <c r="BF98" i="6" s="1"/>
  <c r="AX5" i="6"/>
  <c r="AX98" i="6" s="1"/>
  <c r="AW7" i="6"/>
  <c r="AO6" i="15"/>
  <c r="AT27" i="36"/>
  <c r="AW77" i="59" s="1"/>
  <c r="AO5" i="15"/>
  <c r="AX29" i="36"/>
  <c r="AO7" i="15"/>
  <c r="AO11" i="35"/>
  <c r="AO10" i="6" s="1"/>
  <c r="BE10" i="35"/>
  <c r="BE9" i="6" s="1"/>
  <c r="AF38" i="36"/>
  <c r="AF30" i="36" s="1"/>
  <c r="AO38" i="36"/>
  <c r="AO30" i="36" s="1"/>
  <c r="AR80" i="59" s="1"/>
  <c r="AS36" i="36"/>
  <c r="BE6" i="35"/>
  <c r="BE5" i="6" s="1"/>
  <c r="BE98" i="6" s="1"/>
  <c r="AW9" i="35"/>
  <c r="AW8" i="6" s="1"/>
  <c r="AW8" i="35"/>
  <c r="AT6" i="6"/>
  <c r="AX7" i="35"/>
  <c r="AW33" i="36"/>
  <c r="AT5" i="6"/>
  <c r="AT98" i="6" s="1"/>
  <c r="AT8" i="35"/>
  <c r="AP7" i="6"/>
  <c r="AS5" i="6"/>
  <c r="AS98" i="6" s="1"/>
  <c r="AS104" i="6" s="1"/>
  <c r="AS106" i="6" s="1"/>
  <c r="AS8" i="35"/>
  <c r="AS9" i="35"/>
  <c r="AO7" i="6"/>
  <c r="AS56" i="36"/>
  <c r="AS57" i="36"/>
  <c r="AM58" i="59"/>
  <c r="AP104" i="9"/>
  <c r="AH58" i="59"/>
  <c r="AI56" i="59"/>
  <c r="AA13" i="49"/>
  <c r="AJ146" i="6" l="1"/>
  <c r="AJ7" i="36" s="1"/>
  <c r="AM8" i="59" s="1"/>
  <c r="AS144" i="6"/>
  <c r="AS145" i="6"/>
  <c r="AS146" i="6" s="1"/>
  <c r="AS147" i="6"/>
  <c r="AX104" i="6"/>
  <c r="AX106" i="6" s="1"/>
  <c r="AO147" i="6"/>
  <c r="AO145" i="6"/>
  <c r="AO146" i="6" s="1"/>
  <c r="AW145" i="6"/>
  <c r="AW146" i="6" s="1"/>
  <c r="AW147" i="6"/>
  <c r="BE104" i="6"/>
  <c r="BF104" i="6"/>
  <c r="AT104" i="6"/>
  <c r="AT106" i="6" s="1"/>
  <c r="AP145" i="6"/>
  <c r="AS15" i="59" s="1"/>
  <c r="AP147" i="6"/>
  <c r="AX28" i="36"/>
  <c r="BA78" i="59" s="1"/>
  <c r="AS6" i="15"/>
  <c r="AW7" i="15"/>
  <c r="BF7" i="35"/>
  <c r="BF6" i="6" s="1"/>
  <c r="BF7" i="6" s="1"/>
  <c r="AX6" i="6"/>
  <c r="AX7" i="6" s="1"/>
  <c r="BA79" i="59"/>
  <c r="AW79" i="59"/>
  <c r="AS5" i="15"/>
  <c r="AX27" i="36"/>
  <c r="AW5" i="15" s="1"/>
  <c r="AS7" i="15"/>
  <c r="AS11" i="35"/>
  <c r="AS10" i="6" s="1"/>
  <c r="AS8" i="6"/>
  <c r="AP36" i="36"/>
  <c r="AP38" i="36" s="1"/>
  <c r="AP30" i="36" s="1"/>
  <c r="AS80" i="59" s="1"/>
  <c r="AS38" i="36"/>
  <c r="AS30" i="36" s="1"/>
  <c r="AV80" i="59" s="1"/>
  <c r="AW36" i="36"/>
  <c r="BE7" i="6"/>
  <c r="BE8" i="35"/>
  <c r="AX8" i="35"/>
  <c r="AW11" i="35"/>
  <c r="AW10" i="6" s="1"/>
  <c r="BE9" i="35"/>
  <c r="AW56" i="36"/>
  <c r="BE56" i="36" s="1"/>
  <c r="AW57" i="36"/>
  <c r="AS58" i="59"/>
  <c r="AT104" i="9"/>
  <c r="AX104" i="9" s="1"/>
  <c r="AS7" i="6"/>
  <c r="AT7" i="6"/>
  <c r="AL58" i="59"/>
  <c r="AO104" i="9"/>
  <c r="AJ19" i="36"/>
  <c r="AM56" i="59" s="1"/>
  <c r="AM80" i="59"/>
  <c r="AI80" i="59"/>
  <c r="BC30" i="36"/>
  <c r="BF80" i="59" s="1"/>
  <c r="AW6" i="15" l="1"/>
  <c r="AP146" i="6"/>
  <c r="AP7" i="36" s="1"/>
  <c r="AS8" i="59" s="1"/>
  <c r="AT145" i="6"/>
  <c r="AW15" i="59" s="1"/>
  <c r="AT147" i="6"/>
  <c r="AX145" i="6"/>
  <c r="BA15" i="59" s="1"/>
  <c r="AX147" i="6"/>
  <c r="BF106" i="6"/>
  <c r="BE106" i="6"/>
  <c r="AT144" i="6"/>
  <c r="AT146" i="6" s="1"/>
  <c r="AT7" i="36" s="1"/>
  <c r="AW8" i="59" s="1"/>
  <c r="AX144" i="6"/>
  <c r="BF8" i="35"/>
  <c r="BA77" i="59"/>
  <c r="AT36" i="36"/>
  <c r="AT38" i="36" s="1"/>
  <c r="AT30" i="36" s="1"/>
  <c r="AW80" i="59" s="1"/>
  <c r="BE11" i="35"/>
  <c r="BE10" i="6" s="1"/>
  <c r="BE8" i="6"/>
  <c r="AW38" i="36"/>
  <c r="AW30" i="36" s="1"/>
  <c r="AZ80" i="59" s="1"/>
  <c r="AW58" i="59"/>
  <c r="BA58" i="59"/>
  <c r="AR58" i="59"/>
  <c r="AS104" i="9"/>
  <c r="AW104" i="9" s="1"/>
  <c r="BE34" i="36"/>
  <c r="BE35" i="36"/>
  <c r="BF33" i="36"/>
  <c r="BF29" i="36" s="1"/>
  <c r="BD30" i="36"/>
  <c r="BG80" i="59" s="1"/>
  <c r="AX146" i="6" l="1"/>
  <c r="AX7" i="36" s="1"/>
  <c r="BA8" i="59" s="1"/>
  <c r="BE147" i="6"/>
  <c r="BE145" i="6"/>
  <c r="BE144" i="6"/>
  <c r="BF147" i="6"/>
  <c r="BF145" i="6"/>
  <c r="BI15" i="59" s="1"/>
  <c r="BF144" i="6"/>
  <c r="BF28" i="36"/>
  <c r="AX36" i="36"/>
  <c r="AX38" i="36" s="1"/>
  <c r="AX30" i="36" s="1"/>
  <c r="BA80" i="59" s="1"/>
  <c r="BF104" i="9"/>
  <c r="BI58" i="59" s="1"/>
  <c r="AV58" i="59"/>
  <c r="AZ58" i="59"/>
  <c r="BF35" i="36"/>
  <c r="BF34" i="36"/>
  <c r="BE33" i="36"/>
  <c r="BF146" i="6" l="1"/>
  <c r="BF7" i="36" s="1"/>
  <c r="BI8" i="59" s="1"/>
  <c r="BE146" i="6"/>
  <c r="BI78" i="59"/>
  <c r="BE6" i="15"/>
  <c r="BE104" i="9"/>
  <c r="BH58" i="59" s="1"/>
  <c r="BF27" i="36"/>
  <c r="BF68" i="36"/>
  <c r="BF19" i="36" s="1"/>
  <c r="BF18" i="36"/>
  <c r="BF36" i="36"/>
  <c r="BF38" i="36" s="1"/>
  <c r="BE36" i="36"/>
  <c r="BE38" i="36" s="1"/>
  <c r="BI56" i="59" l="1"/>
  <c r="BI55" i="59"/>
  <c r="BI79" i="59"/>
  <c r="BE7" i="15"/>
  <c r="BI77" i="59"/>
  <c r="BE5" i="15"/>
  <c r="BE30" i="36"/>
  <c r="BH80" i="59" s="1"/>
  <c r="BF30" i="36"/>
  <c r="BI80" i="59" s="1"/>
  <c r="T44" i="59" l="1"/>
  <c r="P44" i="59"/>
  <c r="I81" i="8"/>
  <c r="L44" i="59" s="1"/>
  <c r="X56" i="17" l="1"/>
  <c r="I7" i="21" l="1"/>
  <c r="J7" i="21" l="1"/>
  <c r="M120" i="6" l="1"/>
  <c r="AA120" i="6" s="1"/>
  <c r="M137" i="6" l="1"/>
  <c r="AA137" i="6" s="1"/>
  <c r="M103" i="6" l="1"/>
  <c r="AA103" i="6" l="1"/>
  <c r="N2" i="21" l="1"/>
  <c r="M2" i="21"/>
  <c r="AA2" i="21" s="1"/>
  <c r="AE2" i="21" s="1"/>
  <c r="AI2" i="21" s="1"/>
  <c r="AO2" i="21" s="1"/>
  <c r="AS2" i="21" s="1"/>
  <c r="AW2" i="21" s="1"/>
  <c r="BE2" i="21" s="1"/>
  <c r="J2" i="21"/>
  <c r="I2" i="21"/>
  <c r="R2" i="21" l="1"/>
  <c r="V2" i="21" s="1"/>
  <c r="AB2" i="21"/>
  <c r="AF2" i="21" s="1"/>
  <c r="AJ2" i="21" s="1"/>
  <c r="AP2" i="21" s="1"/>
  <c r="AT2" i="21" s="1"/>
  <c r="AX2" i="21" s="1"/>
  <c r="BF2" i="21" s="1"/>
  <c r="Q2" i="21"/>
  <c r="U2" i="21" s="1"/>
  <c r="P13" i="27" l="1"/>
  <c r="T13" i="27" s="1"/>
  <c r="P12" i="27"/>
  <c r="T12" i="27" s="1"/>
  <c r="Q12" i="27"/>
  <c r="U12" i="27" s="1"/>
  <c r="P11" i="27"/>
  <c r="T11" i="27" s="1"/>
  <c r="P10" i="27"/>
  <c r="T10" i="27" s="1"/>
  <c r="P9" i="27"/>
  <c r="T9" i="27" s="1"/>
  <c r="P8" i="27"/>
  <c r="T8" i="27" s="1"/>
  <c r="Q8" i="27"/>
  <c r="U8" i="27" s="1"/>
  <c r="P7" i="27"/>
  <c r="T7" i="27" s="1"/>
  <c r="I6" i="27"/>
  <c r="I2" i="27"/>
  <c r="H2" i="27"/>
  <c r="I110" i="26"/>
  <c r="M110" i="26" s="1"/>
  <c r="Q110" i="26" s="1"/>
  <c r="U110" i="26" s="1"/>
  <c r="I108" i="26"/>
  <c r="M108" i="26" s="1"/>
  <c r="Q108" i="26" s="1"/>
  <c r="U108" i="26" s="1"/>
  <c r="I102" i="26"/>
  <c r="M102" i="26" s="1"/>
  <c r="Q102" i="26" s="1"/>
  <c r="U102" i="26" s="1"/>
  <c r="I100" i="26"/>
  <c r="M100" i="26" s="1"/>
  <c r="Q100" i="26" s="1"/>
  <c r="U100" i="26" s="1"/>
  <c r="H96" i="26"/>
  <c r="M91" i="26"/>
  <c r="H78" i="26"/>
  <c r="I69" i="26"/>
  <c r="M69" i="26" s="1"/>
  <c r="Q69" i="26" s="1"/>
  <c r="U69" i="26" s="1"/>
  <c r="I67" i="26"/>
  <c r="M67" i="26" s="1"/>
  <c r="Q67" i="26" s="1"/>
  <c r="U67" i="26" s="1"/>
  <c r="I63" i="26"/>
  <c r="M63" i="26" s="1"/>
  <c r="Q63" i="26" s="1"/>
  <c r="U63" i="26" s="1"/>
  <c r="I59" i="26"/>
  <c r="M59" i="26" s="1"/>
  <c r="Q59" i="26" s="1"/>
  <c r="U59" i="26" s="1"/>
  <c r="I57" i="26"/>
  <c r="I52" i="26"/>
  <c r="M52" i="26" s="1"/>
  <c r="Q52" i="26" s="1"/>
  <c r="U52" i="26" s="1"/>
  <c r="I50" i="26"/>
  <c r="M50" i="26" s="1"/>
  <c r="Q50" i="26" s="1"/>
  <c r="U50" i="26" s="1"/>
  <c r="I41" i="26"/>
  <c r="M41" i="26" s="1"/>
  <c r="Q41" i="26" s="1"/>
  <c r="U41" i="26" s="1"/>
  <c r="I39" i="26"/>
  <c r="M39" i="26" s="1"/>
  <c r="Q39" i="26" s="1"/>
  <c r="U39" i="26" s="1"/>
  <c r="I33" i="26"/>
  <c r="M33" i="26" s="1"/>
  <c r="Q33" i="26" s="1"/>
  <c r="U33" i="26" s="1"/>
  <c r="I31" i="26"/>
  <c r="M31" i="26" s="1"/>
  <c r="Q31" i="26" s="1"/>
  <c r="U31" i="26" s="1"/>
  <c r="I25" i="26"/>
  <c r="M25" i="26" s="1"/>
  <c r="Q25" i="26" s="1"/>
  <c r="U25" i="26" s="1"/>
  <c r="I11" i="26"/>
  <c r="I9" i="26"/>
  <c r="M9" i="26" s="1"/>
  <c r="Q9" i="26" s="1"/>
  <c r="U9" i="26" s="1"/>
  <c r="I3" i="26"/>
  <c r="M3" i="26" s="1"/>
  <c r="Q3" i="26" s="1"/>
  <c r="H3" i="26"/>
  <c r="U3" i="26" l="1"/>
  <c r="AA3" i="26" s="1"/>
  <c r="AE3" i="26" s="1"/>
  <c r="AI3" i="26" s="1"/>
  <c r="AO3" i="26" s="1"/>
  <c r="AS3" i="26" s="1"/>
  <c r="AW3" i="26" s="1"/>
  <c r="BE3" i="26" s="1"/>
  <c r="Q91" i="26"/>
  <c r="U91" i="26" s="1"/>
  <c r="AA91" i="26"/>
  <c r="AE91" i="26" s="1"/>
  <c r="L96" i="26"/>
  <c r="P96" i="26" s="1"/>
  <c r="T96" i="26" s="1"/>
  <c r="M57" i="26"/>
  <c r="Q57" i="26" s="1"/>
  <c r="U57" i="26" s="1"/>
  <c r="M11" i="26"/>
  <c r="L78" i="26"/>
  <c r="P78" i="26" s="1"/>
  <c r="T78" i="26" s="1"/>
  <c r="J167" i="26"/>
  <c r="N167" i="26"/>
  <c r="H57" i="17"/>
  <c r="AA50" i="26"/>
  <c r="AE50" i="26" s="1"/>
  <c r="AA63" i="26"/>
  <c r="AE63" i="26" s="1"/>
  <c r="AA110" i="26"/>
  <c r="AE110" i="26" s="1"/>
  <c r="AA31" i="26"/>
  <c r="AE31" i="26" s="1"/>
  <c r="AA67" i="26"/>
  <c r="AE67" i="26" s="1"/>
  <c r="AA100" i="26"/>
  <c r="AE100" i="26" s="1"/>
  <c r="AA33" i="26"/>
  <c r="AE33" i="26" s="1"/>
  <c r="AA69" i="26"/>
  <c r="AE69" i="26" s="1"/>
  <c r="AA102" i="26"/>
  <c r="AE102" i="26" s="1"/>
  <c r="AA25" i="26"/>
  <c r="AA39" i="26"/>
  <c r="AE39" i="26" s="1"/>
  <c r="AA108" i="26"/>
  <c r="AE108" i="26" s="1"/>
  <c r="I31" i="27"/>
  <c r="I26" i="27"/>
  <c r="I28" i="27"/>
  <c r="I27" i="27"/>
  <c r="I29" i="27"/>
  <c r="L3" i="26"/>
  <c r="H13" i="26"/>
  <c r="I12" i="26"/>
  <c r="H29" i="27"/>
  <c r="H35" i="27"/>
  <c r="H19" i="27"/>
  <c r="H31" i="27"/>
  <c r="H27" i="27"/>
  <c r="H21" i="27"/>
  <c r="H37" i="27"/>
  <c r="H30" i="27"/>
  <c r="H26" i="27"/>
  <c r="H36" i="27"/>
  <c r="H20" i="27"/>
  <c r="H22" i="27"/>
  <c r="H28" i="27"/>
  <c r="H18" i="27"/>
  <c r="M2" i="27"/>
  <c r="I37" i="27"/>
  <c r="I18" i="27"/>
  <c r="I35" i="27"/>
  <c r="I20" i="27"/>
  <c r="I19" i="27"/>
  <c r="I21" i="27"/>
  <c r="I22" i="27"/>
  <c r="I36" i="27"/>
  <c r="H63" i="26"/>
  <c r="L63" i="26" s="1"/>
  <c r="P63" i="26" s="1"/>
  <c r="T63" i="26" s="1"/>
  <c r="H102" i="26"/>
  <c r="L102" i="26" s="1"/>
  <c r="P102" i="26" s="1"/>
  <c r="T102" i="26" s="1"/>
  <c r="H33" i="26"/>
  <c r="L33" i="26" s="1"/>
  <c r="H59" i="26"/>
  <c r="L59" i="26" s="1"/>
  <c r="P59" i="26" s="1"/>
  <c r="T59" i="26" s="1"/>
  <c r="H69" i="26"/>
  <c r="L69" i="26" s="1"/>
  <c r="P69" i="26" s="1"/>
  <c r="T69" i="26" s="1"/>
  <c r="H104" i="26"/>
  <c r="L104" i="26" s="1"/>
  <c r="P104" i="26" s="1"/>
  <c r="T104" i="26" s="1"/>
  <c r="H21" i="26"/>
  <c r="H27" i="26"/>
  <c r="L27" i="26" s="1"/>
  <c r="H35" i="26"/>
  <c r="L35" i="26" s="1"/>
  <c r="H71" i="26"/>
  <c r="L71" i="26" s="1"/>
  <c r="P71" i="26" s="1"/>
  <c r="T71" i="26" s="1"/>
  <c r="I23" i="26"/>
  <c r="M23" i="26" s="1"/>
  <c r="Q23" i="26" s="1"/>
  <c r="U23" i="26" s="1"/>
  <c r="H25" i="26"/>
  <c r="L25" i="26" s="1"/>
  <c r="I29" i="26"/>
  <c r="M29" i="26" s="1"/>
  <c r="Q29" i="26" s="1"/>
  <c r="U29" i="26" s="1"/>
  <c r="H31" i="26"/>
  <c r="L31" i="26" s="1"/>
  <c r="I37" i="26"/>
  <c r="M37" i="26" s="1"/>
  <c r="Q37" i="26" s="1"/>
  <c r="U37" i="26" s="1"/>
  <c r="H39" i="26"/>
  <c r="L39" i="26" s="1"/>
  <c r="P39" i="26" s="1"/>
  <c r="T39" i="26" s="1"/>
  <c r="N172" i="26"/>
  <c r="I21" i="26"/>
  <c r="H23" i="26"/>
  <c r="L23" i="26" s="1"/>
  <c r="I27" i="26"/>
  <c r="M27" i="26" s="1"/>
  <c r="H29" i="26"/>
  <c r="L29" i="26" s="1"/>
  <c r="I35" i="26"/>
  <c r="M35" i="26" s="1"/>
  <c r="Q35" i="26" s="1"/>
  <c r="U35" i="26" s="1"/>
  <c r="H37" i="26"/>
  <c r="L37" i="26" s="1"/>
  <c r="Q9" i="27"/>
  <c r="U9" i="27" s="1"/>
  <c r="Q13" i="27"/>
  <c r="U13" i="27" s="1"/>
  <c r="H61" i="26"/>
  <c r="L61" i="26" s="1"/>
  <c r="P61" i="26" s="1"/>
  <c r="T61" i="26" s="1"/>
  <c r="H65" i="26"/>
  <c r="L65" i="26" s="1"/>
  <c r="P65" i="26" s="1"/>
  <c r="T65" i="26" s="1"/>
  <c r="I71" i="26"/>
  <c r="M71" i="26" s="1"/>
  <c r="Q71" i="26" s="1"/>
  <c r="U71" i="26" s="1"/>
  <c r="I104" i="26"/>
  <c r="M104" i="26" s="1"/>
  <c r="Q104" i="26" s="1"/>
  <c r="U104" i="26" s="1"/>
  <c r="H106" i="26"/>
  <c r="L106" i="26" s="1"/>
  <c r="P106" i="26" s="1"/>
  <c r="T106" i="26" s="1"/>
  <c r="Q6" i="27"/>
  <c r="U6" i="27" s="1"/>
  <c r="Q10" i="27"/>
  <c r="U10" i="27" s="1"/>
  <c r="Q14" i="27"/>
  <c r="U14" i="27" s="1"/>
  <c r="H41" i="26"/>
  <c r="L41" i="26" s="1"/>
  <c r="J172" i="26"/>
  <c r="H57" i="26"/>
  <c r="I61" i="26"/>
  <c r="M61" i="26" s="1"/>
  <c r="I65" i="26"/>
  <c r="H67" i="26"/>
  <c r="L67" i="26" s="1"/>
  <c r="P67" i="26" s="1"/>
  <c r="T67" i="26" s="1"/>
  <c r="I98" i="26"/>
  <c r="H100" i="26"/>
  <c r="L100" i="26" s="1"/>
  <c r="P100" i="26" s="1"/>
  <c r="T100" i="26" s="1"/>
  <c r="I106" i="26"/>
  <c r="M106" i="26" s="1"/>
  <c r="Q106" i="26" s="1"/>
  <c r="U106" i="26" s="1"/>
  <c r="H108" i="26"/>
  <c r="L108" i="26" s="1"/>
  <c r="P108" i="26" s="1"/>
  <c r="T108" i="26" s="1"/>
  <c r="H110" i="26"/>
  <c r="L110" i="26" s="1"/>
  <c r="P110" i="26" s="1"/>
  <c r="T110" i="26" s="1"/>
  <c r="Q7" i="27"/>
  <c r="U7" i="27" s="1"/>
  <c r="Q11" i="27"/>
  <c r="U11" i="27" s="1"/>
  <c r="Q15" i="27"/>
  <c r="U15" i="27" s="1"/>
  <c r="L2" i="27"/>
  <c r="I32" i="27"/>
  <c r="Y7" i="26"/>
  <c r="Y55" i="26"/>
  <c r="AA52" i="26"/>
  <c r="AE52" i="26" s="1"/>
  <c r="I46" i="26"/>
  <c r="M46" i="26" s="1"/>
  <c r="H76" i="26"/>
  <c r="H83" i="26"/>
  <c r="H46" i="26"/>
  <c r="I76" i="26"/>
  <c r="I78" i="26"/>
  <c r="M78" i="26" s="1"/>
  <c r="Q78" i="26" s="1"/>
  <c r="U78" i="26" s="1"/>
  <c r="I96" i="26"/>
  <c r="H98" i="26"/>
  <c r="L98" i="26" s="1"/>
  <c r="P98" i="26" s="1"/>
  <c r="T98" i="26" s="1"/>
  <c r="BF176" i="10" l="1"/>
  <c r="BF77" i="11"/>
  <c r="BG142" i="45"/>
  <c r="AI91" i="26"/>
  <c r="AO91" i="26" s="1"/>
  <c r="AS91" i="26" s="1"/>
  <c r="AI100" i="26"/>
  <c r="AO100" i="26" s="1"/>
  <c r="AS100" i="26" s="1"/>
  <c r="AI102" i="26"/>
  <c r="AO102" i="26" s="1"/>
  <c r="AS102" i="26" s="1"/>
  <c r="AI110" i="26"/>
  <c r="AO110" i="26" s="1"/>
  <c r="AS110" i="26" s="1"/>
  <c r="AI108" i="26"/>
  <c r="AO108" i="26" s="1"/>
  <c r="AS108" i="26" s="1"/>
  <c r="AI67" i="26"/>
  <c r="AO67" i="26" s="1"/>
  <c r="AS67" i="26" s="1"/>
  <c r="AI69" i="26"/>
  <c r="AO69" i="26" s="1"/>
  <c r="AS69" i="26" s="1"/>
  <c r="AI63" i="26"/>
  <c r="AO63" i="26" s="1"/>
  <c r="AS63" i="26" s="1"/>
  <c r="AI52" i="26"/>
  <c r="AO52" i="26" s="1"/>
  <c r="AS52" i="26" s="1"/>
  <c r="AI50" i="26"/>
  <c r="AO50" i="26" s="1"/>
  <c r="AS50" i="26" s="1"/>
  <c r="AI39" i="26"/>
  <c r="AO39" i="26" s="1"/>
  <c r="AS39" i="26" s="1"/>
  <c r="AE25" i="26"/>
  <c r="AI31" i="26"/>
  <c r="AO31" i="26" s="1"/>
  <c r="AS31" i="26" s="1"/>
  <c r="AI33" i="26"/>
  <c r="AO33" i="26" s="1"/>
  <c r="AS33" i="26" s="1"/>
  <c r="T112" i="26"/>
  <c r="L46" i="26"/>
  <c r="P46" i="26" s="1"/>
  <c r="T46" i="26" s="1"/>
  <c r="T48" i="26" s="1"/>
  <c r="M98" i="26"/>
  <c r="Q98" i="26" s="1"/>
  <c r="U98" i="26" s="1"/>
  <c r="I112" i="26"/>
  <c r="I94" i="26" s="1"/>
  <c r="H112" i="26"/>
  <c r="I73" i="26"/>
  <c r="L57" i="26"/>
  <c r="P57" i="26" s="1"/>
  <c r="T57" i="26" s="1"/>
  <c r="H73" i="26"/>
  <c r="L21" i="26"/>
  <c r="M21" i="26"/>
  <c r="Q21" i="26" s="1"/>
  <c r="U21" i="26" s="1"/>
  <c r="AA11" i="26"/>
  <c r="AE11" i="26" s="1"/>
  <c r="Q11" i="26"/>
  <c r="U11" i="26" s="1"/>
  <c r="U12" i="26" s="1"/>
  <c r="M48" i="26"/>
  <c r="M54" i="26" s="1"/>
  <c r="Q46" i="26"/>
  <c r="U46" i="26" s="1"/>
  <c r="U48" i="26" s="1"/>
  <c r="P112" i="26"/>
  <c r="M55" i="17"/>
  <c r="Q61" i="26"/>
  <c r="U61" i="26" s="1"/>
  <c r="U55" i="17" s="1"/>
  <c r="M54" i="17"/>
  <c r="Q27" i="26"/>
  <c r="U27" i="26" s="1"/>
  <c r="U54" i="17" s="1"/>
  <c r="L54" i="17"/>
  <c r="Q2" i="27"/>
  <c r="M31" i="27"/>
  <c r="M22" i="27"/>
  <c r="M37" i="27"/>
  <c r="M35" i="27"/>
  <c r="M18" i="27"/>
  <c r="M20" i="27"/>
  <c r="M19" i="27"/>
  <c r="M28" i="27"/>
  <c r="M27" i="27"/>
  <c r="M29" i="27"/>
  <c r="M36" i="27"/>
  <c r="M26" i="27"/>
  <c r="M21" i="27"/>
  <c r="P2" i="27"/>
  <c r="L29" i="27"/>
  <c r="L26" i="27"/>
  <c r="L18" i="27"/>
  <c r="L21" i="27"/>
  <c r="L35" i="27"/>
  <c r="L19" i="27"/>
  <c r="L36" i="27"/>
  <c r="L28" i="27"/>
  <c r="L30" i="27"/>
  <c r="L37" i="27"/>
  <c r="L20" i="27"/>
  <c r="L22" i="27"/>
  <c r="P22" i="27" s="1"/>
  <c r="L31" i="27"/>
  <c r="L27" i="27"/>
  <c r="P3" i="26"/>
  <c r="L13" i="26"/>
  <c r="L57" i="17"/>
  <c r="L112" i="26"/>
  <c r="L55" i="17"/>
  <c r="M12" i="26"/>
  <c r="M18" i="26" s="1"/>
  <c r="I75" i="26"/>
  <c r="M76" i="26"/>
  <c r="I57" i="17"/>
  <c r="M96" i="26"/>
  <c r="H80" i="26"/>
  <c r="L76" i="26"/>
  <c r="Z76" i="26" s="1"/>
  <c r="AD76" i="26" s="1"/>
  <c r="Z78" i="26"/>
  <c r="AD78" i="26" s="1"/>
  <c r="H56" i="17"/>
  <c r="L83" i="26"/>
  <c r="P83" i="26" s="1"/>
  <c r="T83" i="26" s="1"/>
  <c r="M65" i="26"/>
  <c r="AA41" i="26"/>
  <c r="AE41" i="26" s="1"/>
  <c r="AI41" i="26" s="1"/>
  <c r="X55" i="26"/>
  <c r="N171" i="26"/>
  <c r="N164" i="26"/>
  <c r="J171" i="26"/>
  <c r="J164" i="26"/>
  <c r="H55" i="17"/>
  <c r="H54" i="17"/>
  <c r="H24" i="27"/>
  <c r="Z96" i="26"/>
  <c r="AD96" i="26" s="1"/>
  <c r="AH96" i="26" s="1"/>
  <c r="I54" i="17"/>
  <c r="I55" i="17"/>
  <c r="I39" i="27"/>
  <c r="I24" i="27"/>
  <c r="H39" i="27"/>
  <c r="I33" i="27"/>
  <c r="H33" i="27"/>
  <c r="Z100" i="26"/>
  <c r="AD100" i="26" s="1"/>
  <c r="AA71" i="26"/>
  <c r="AE71" i="26" s="1"/>
  <c r="Z39" i="26"/>
  <c r="AD39" i="26" s="1"/>
  <c r="Z71" i="26"/>
  <c r="AD71" i="26" s="1"/>
  <c r="Z102" i="26"/>
  <c r="AD102" i="26" s="1"/>
  <c r="Z110" i="26"/>
  <c r="AD110" i="26" s="1"/>
  <c r="Z106" i="26"/>
  <c r="AD106" i="26" s="1"/>
  <c r="Z65" i="26"/>
  <c r="AD65" i="26" s="1"/>
  <c r="AA37" i="26"/>
  <c r="AE37" i="26" s="1"/>
  <c r="Z104" i="26"/>
  <c r="AD104" i="26" s="1"/>
  <c r="Z63" i="26"/>
  <c r="AD63" i="26" s="1"/>
  <c r="AA57" i="26"/>
  <c r="AE57" i="26" s="1"/>
  <c r="AI57" i="26" s="1"/>
  <c r="AA9" i="26"/>
  <c r="AE9" i="26" s="1"/>
  <c r="Z98" i="26"/>
  <c r="AD98" i="26" s="1"/>
  <c r="Z108" i="26"/>
  <c r="AD108" i="26" s="1"/>
  <c r="AA104" i="26"/>
  <c r="AE104" i="26" s="1"/>
  <c r="AA35" i="26"/>
  <c r="AE35" i="26" s="1"/>
  <c r="AA59" i="26"/>
  <c r="AE59" i="26" s="1"/>
  <c r="AI59" i="26" s="1"/>
  <c r="AA106" i="26"/>
  <c r="AE106" i="26" s="1"/>
  <c r="Z67" i="26"/>
  <c r="AD67" i="26" s="1"/>
  <c r="AA29" i="26"/>
  <c r="AE29" i="26" s="1"/>
  <c r="Z69" i="26"/>
  <c r="AD69" i="26" s="1"/>
  <c r="AD50" i="26"/>
  <c r="Y45" i="26"/>
  <c r="I13" i="26"/>
  <c r="I7" i="26" s="1"/>
  <c r="I19" i="26"/>
  <c r="I18" i="26"/>
  <c r="I80" i="26"/>
  <c r="AA78" i="26"/>
  <c r="AE78" i="26" s="1"/>
  <c r="I81" i="26"/>
  <c r="H48" i="26"/>
  <c r="I48" i="26"/>
  <c r="AA46" i="26"/>
  <c r="AE46" i="26" s="1"/>
  <c r="AI46" i="26" s="1"/>
  <c r="AI48" i="26" s="1"/>
  <c r="H55" i="26"/>
  <c r="H81" i="26"/>
  <c r="Z46" i="26" l="1"/>
  <c r="AD46" i="26" s="1"/>
  <c r="AH46" i="26" s="1"/>
  <c r="AH48" i="26" s="1"/>
  <c r="AH54" i="26" s="1"/>
  <c r="AW91" i="26"/>
  <c r="BE91" i="26" s="1"/>
  <c r="T2" i="27"/>
  <c r="U2" i="27"/>
  <c r="AW108" i="26"/>
  <c r="BE108" i="26" s="1"/>
  <c r="AW110" i="26"/>
  <c r="BE110" i="26" s="1"/>
  <c r="AW102" i="26"/>
  <c r="BE102" i="26" s="1"/>
  <c r="AW100" i="26"/>
  <c r="BE100" i="26" s="1"/>
  <c r="AW67" i="26"/>
  <c r="BE67" i="26" s="1"/>
  <c r="AW63" i="26"/>
  <c r="BE63" i="26" s="1"/>
  <c r="AW69" i="26"/>
  <c r="BE69" i="26" s="1"/>
  <c r="AW50" i="26"/>
  <c r="BE50" i="26" s="1"/>
  <c r="AW52" i="26"/>
  <c r="BE52" i="26" s="1"/>
  <c r="AW39" i="26"/>
  <c r="BE39" i="26" s="1"/>
  <c r="AW33" i="26"/>
  <c r="BE33" i="26" s="1"/>
  <c r="AW31" i="26"/>
  <c r="BE31" i="26" s="1"/>
  <c r="L48" i="26"/>
  <c r="L54" i="26" s="1"/>
  <c r="AH98" i="26"/>
  <c r="AI106" i="26"/>
  <c r="AO106" i="26" s="1"/>
  <c r="AS106" i="26" s="1"/>
  <c r="AH106" i="26"/>
  <c r="AN106" i="26" s="1"/>
  <c r="AR106" i="26" s="1"/>
  <c r="AI104" i="26"/>
  <c r="AO104" i="26" s="1"/>
  <c r="AS104" i="26" s="1"/>
  <c r="AH108" i="26"/>
  <c r="AN108" i="26" s="1"/>
  <c r="AR108" i="26" s="1"/>
  <c r="AH110" i="26"/>
  <c r="AN110" i="26" s="1"/>
  <c r="AR110" i="26" s="1"/>
  <c r="AH100" i="26"/>
  <c r="AN100" i="26" s="1"/>
  <c r="AR100" i="26" s="1"/>
  <c r="AH104" i="26"/>
  <c r="AN104" i="26" s="1"/>
  <c r="AR104" i="26" s="1"/>
  <c r="AH102" i="26"/>
  <c r="AN102" i="26" s="1"/>
  <c r="AR102" i="26" s="1"/>
  <c r="AH76" i="26"/>
  <c r="AI78" i="26"/>
  <c r="AH78" i="26"/>
  <c r="AI71" i="26"/>
  <c r="AO71" i="26" s="1"/>
  <c r="AS71" i="26" s="1"/>
  <c r="AH67" i="26"/>
  <c r="AN67" i="26" s="1"/>
  <c r="AR67" i="26" s="1"/>
  <c r="AH65" i="26"/>
  <c r="AN65" i="26" s="1"/>
  <c r="AR65" i="26" s="1"/>
  <c r="AH63" i="26"/>
  <c r="AN63" i="26" s="1"/>
  <c r="AR63" i="26" s="1"/>
  <c r="AH69" i="26"/>
  <c r="AN69" i="26" s="1"/>
  <c r="AR69" i="26" s="1"/>
  <c r="AH71" i="26"/>
  <c r="AN71" i="26" s="1"/>
  <c r="AR71" i="26" s="1"/>
  <c r="AH50" i="26"/>
  <c r="AN50" i="26" s="1"/>
  <c r="AR50" i="26" s="1"/>
  <c r="AI55" i="26"/>
  <c r="AI54" i="26"/>
  <c r="AI49" i="26"/>
  <c r="AI37" i="26"/>
  <c r="AO37" i="26" s="1"/>
  <c r="AS37" i="26" s="1"/>
  <c r="AH39" i="26"/>
  <c r="AN39" i="26" s="1"/>
  <c r="AR39" i="26" s="1"/>
  <c r="AI9" i="26"/>
  <c r="AI25" i="26"/>
  <c r="AI29" i="26"/>
  <c r="AO29" i="26" s="1"/>
  <c r="AS29" i="26" s="1"/>
  <c r="AI35" i="26"/>
  <c r="AO35" i="26" s="1"/>
  <c r="AS35" i="26" s="1"/>
  <c r="AI11" i="26"/>
  <c r="AO11" i="26" s="1"/>
  <c r="AS11" i="26" s="1"/>
  <c r="P55" i="17"/>
  <c r="T3" i="26"/>
  <c r="U43" i="26"/>
  <c r="T73" i="26"/>
  <c r="U55" i="26"/>
  <c r="U49" i="26"/>
  <c r="U167" i="26"/>
  <c r="U54" i="26"/>
  <c r="U13" i="26"/>
  <c r="U19" i="26"/>
  <c r="U18" i="26"/>
  <c r="T56" i="17"/>
  <c r="T167" i="26"/>
  <c r="T49" i="26"/>
  <c r="T54" i="26"/>
  <c r="H54" i="26"/>
  <c r="AO59" i="26"/>
  <c r="AE48" i="26"/>
  <c r="AE54" i="26" s="1"/>
  <c r="AD80" i="26"/>
  <c r="AE12" i="26"/>
  <c r="AD112" i="26"/>
  <c r="AD81" i="26"/>
  <c r="AA98" i="26"/>
  <c r="AE98" i="26" s="1"/>
  <c r="P20" i="27"/>
  <c r="P37" i="27"/>
  <c r="Q21" i="27"/>
  <c r="Q36" i="27"/>
  <c r="Q22" i="27"/>
  <c r="U22" i="27" s="1"/>
  <c r="L55" i="26"/>
  <c r="Z55" i="26" s="1"/>
  <c r="AD55" i="26" s="1"/>
  <c r="Q31" i="27"/>
  <c r="P36" i="27"/>
  <c r="T36" i="27" s="1"/>
  <c r="P27" i="27"/>
  <c r="T27" i="27" s="1"/>
  <c r="P31" i="27"/>
  <c r="T31" i="27" s="1"/>
  <c r="P29" i="27"/>
  <c r="T29" i="27" s="1"/>
  <c r="P28" i="27"/>
  <c r="Q27" i="27"/>
  <c r="U27" i="27" s="1"/>
  <c r="P19" i="27"/>
  <c r="T19" i="27" s="1"/>
  <c r="Q28" i="27"/>
  <c r="U28" i="27" s="1"/>
  <c r="Q19" i="27"/>
  <c r="U19" i="27" s="1"/>
  <c r="P21" i="27"/>
  <c r="T21" i="27" s="1"/>
  <c r="Q20" i="27"/>
  <c r="U20" i="27" s="1"/>
  <c r="Q37" i="27"/>
  <c r="U37" i="27" s="1"/>
  <c r="AA21" i="26"/>
  <c r="AE21" i="26" s="1"/>
  <c r="M55" i="26"/>
  <c r="L73" i="26"/>
  <c r="M49" i="26"/>
  <c r="L43" i="26"/>
  <c r="M43" i="26"/>
  <c r="M24" i="27"/>
  <c r="M57" i="17"/>
  <c r="Q96" i="26"/>
  <c r="U96" i="26" s="1"/>
  <c r="P48" i="26"/>
  <c r="P54" i="26" s="1"/>
  <c r="M80" i="26"/>
  <c r="Q76" i="26"/>
  <c r="U76" i="26" s="1"/>
  <c r="Q48" i="26"/>
  <c r="Q12" i="26"/>
  <c r="P13" i="26"/>
  <c r="P57" i="17"/>
  <c r="Q55" i="17"/>
  <c r="P73" i="26"/>
  <c r="M73" i="26"/>
  <c r="Q65" i="26"/>
  <c r="U65" i="26" s="1"/>
  <c r="U73" i="26" s="1"/>
  <c r="L81" i="26"/>
  <c r="P76" i="26"/>
  <c r="T76" i="26" s="1"/>
  <c r="P56" i="17"/>
  <c r="Q54" i="17"/>
  <c r="Q43" i="26"/>
  <c r="M39" i="27"/>
  <c r="L33" i="27"/>
  <c r="L39" i="27"/>
  <c r="L24" i="27"/>
  <c r="M33" i="27"/>
  <c r="M13" i="26"/>
  <c r="M19" i="26"/>
  <c r="M81" i="26"/>
  <c r="AA65" i="26"/>
  <c r="AE65" i="26" s="1"/>
  <c r="L56" i="17"/>
  <c r="L80" i="26"/>
  <c r="M75" i="26"/>
  <c r="M112" i="26"/>
  <c r="M94" i="26" s="1"/>
  <c r="AA61" i="26"/>
  <c r="AE61" i="26" s="1"/>
  <c r="AI61" i="26" s="1"/>
  <c r="Z61" i="26"/>
  <c r="AD61" i="26" s="1"/>
  <c r="AH61" i="26" s="1"/>
  <c r="H164" i="26"/>
  <c r="I54" i="26"/>
  <c r="I167" i="26"/>
  <c r="H49" i="26"/>
  <c r="H167" i="26"/>
  <c r="AA27" i="26"/>
  <c r="AE27" i="26" s="1"/>
  <c r="AI27" i="26" s="1"/>
  <c r="Z83" i="26"/>
  <c r="AD83" i="26" s="1"/>
  <c r="AH83" i="26" s="1"/>
  <c r="AN83" i="26" s="1"/>
  <c r="AR83" i="26" s="1"/>
  <c r="AV83" i="26" s="1"/>
  <c r="BD83" i="26" s="1"/>
  <c r="P26" i="27"/>
  <c r="T26" i="27" s="1"/>
  <c r="Q29" i="27"/>
  <c r="U29" i="27" s="1"/>
  <c r="Q26" i="27"/>
  <c r="U26" i="27" s="1"/>
  <c r="Z80" i="26"/>
  <c r="AA76" i="26"/>
  <c r="AE76" i="26" s="1"/>
  <c r="AI76" i="26" s="1"/>
  <c r="Z57" i="26"/>
  <c r="AD57" i="26" s="1"/>
  <c r="AH57" i="26" s="1"/>
  <c r="AA23" i="26"/>
  <c r="AE23" i="26" s="1"/>
  <c r="AI23" i="26" s="1"/>
  <c r="Z59" i="26"/>
  <c r="AD59" i="26" s="1"/>
  <c r="AH59" i="26" s="1"/>
  <c r="AA12" i="26"/>
  <c r="AA19" i="26" s="1"/>
  <c r="Z112" i="26"/>
  <c r="X112" i="26"/>
  <c r="Q18" i="27"/>
  <c r="U18" i="27" s="1"/>
  <c r="P30" i="27"/>
  <c r="T30" i="27" s="1"/>
  <c r="P18" i="27"/>
  <c r="T18" i="27" s="1"/>
  <c r="Q35" i="27"/>
  <c r="U35" i="27" s="1"/>
  <c r="P35" i="27"/>
  <c r="T35" i="27" s="1"/>
  <c r="I55" i="26"/>
  <c r="I49" i="26"/>
  <c r="I45" i="26" s="1"/>
  <c r="U36" i="27" l="1"/>
  <c r="U21" i="27"/>
  <c r="AD48" i="26"/>
  <c r="AI81" i="26"/>
  <c r="U24" i="27"/>
  <c r="T20" i="27"/>
  <c r="T28" i="27"/>
  <c r="T33" i="27" s="1"/>
  <c r="U39" i="27"/>
  <c r="Z2" i="27"/>
  <c r="U31" i="27"/>
  <c r="U33" i="27" s="1"/>
  <c r="T22" i="27"/>
  <c r="T37" i="27"/>
  <c r="T39" i="27" s="1"/>
  <c r="AA2" i="27"/>
  <c r="AV108" i="26"/>
  <c r="BD108" i="26" s="1"/>
  <c r="AW104" i="26"/>
  <c r="BE104" i="26" s="1"/>
  <c r="AV102" i="26"/>
  <c r="BD102" i="26" s="1"/>
  <c r="AV106" i="26"/>
  <c r="BD106" i="26" s="1"/>
  <c r="AV104" i="26"/>
  <c r="BD104" i="26" s="1"/>
  <c r="AW106" i="26"/>
  <c r="BE106" i="26" s="1"/>
  <c r="AV100" i="26"/>
  <c r="BD100" i="26" s="1"/>
  <c r="AV110" i="26"/>
  <c r="BD110" i="26" s="1"/>
  <c r="AV63" i="26"/>
  <c r="BD63" i="26" s="1"/>
  <c r="AV65" i="26"/>
  <c r="BD65" i="26" s="1"/>
  <c r="AV67" i="26"/>
  <c r="BD67" i="26" s="1"/>
  <c r="AW71" i="26"/>
  <c r="BE71" i="26" s="1"/>
  <c r="AV71" i="26"/>
  <c r="BD71" i="26" s="1"/>
  <c r="AV69" i="26"/>
  <c r="BD69" i="26" s="1"/>
  <c r="AV50" i="26"/>
  <c r="BD50" i="26" s="1"/>
  <c r="L49" i="26"/>
  <c r="AV39" i="26"/>
  <c r="BD39" i="26" s="1"/>
  <c r="AW37" i="26"/>
  <c r="BE37" i="26" s="1"/>
  <c r="AW35" i="26"/>
  <c r="BE35" i="26" s="1"/>
  <c r="AW29" i="26"/>
  <c r="BE29" i="26" s="1"/>
  <c r="AW11" i="26"/>
  <c r="BE11" i="26" s="1"/>
  <c r="AH80" i="26"/>
  <c r="AI98" i="26"/>
  <c r="AO98" i="26" s="1"/>
  <c r="AS98" i="26" s="1"/>
  <c r="AH112" i="26"/>
  <c r="AN98" i="26"/>
  <c r="AR98" i="26" s="1"/>
  <c r="AN78" i="26"/>
  <c r="AI80" i="26"/>
  <c r="AO78" i="26"/>
  <c r="AS78" i="26" s="1"/>
  <c r="AH81" i="26"/>
  <c r="AN76" i="26"/>
  <c r="AI65" i="26"/>
  <c r="AI73" i="26" s="1"/>
  <c r="AH73" i="26"/>
  <c r="AH55" i="26"/>
  <c r="AN55" i="26" s="1"/>
  <c r="AR55" i="26" s="1"/>
  <c r="AI12" i="26"/>
  <c r="AO9" i="26"/>
  <c r="AI21" i="26"/>
  <c r="AI43" i="26" s="1"/>
  <c r="AO25" i="26"/>
  <c r="AS25" i="26" s="1"/>
  <c r="AN57" i="26"/>
  <c r="AR57" i="26" s="1"/>
  <c r="AV57" i="26" s="1"/>
  <c r="AN96" i="26"/>
  <c r="AO57" i="26"/>
  <c r="AS57" i="26" s="1"/>
  <c r="AW57" i="26" s="1"/>
  <c r="T13" i="26"/>
  <c r="T7" i="26" s="1"/>
  <c r="T55" i="17"/>
  <c r="T57" i="17"/>
  <c r="U81" i="26"/>
  <c r="U80" i="26"/>
  <c r="T81" i="26"/>
  <c r="T80" i="26"/>
  <c r="U112" i="26"/>
  <c r="U57" i="17"/>
  <c r="U164" i="26"/>
  <c r="AS59" i="26"/>
  <c r="AW59" i="26" s="1"/>
  <c r="AN46" i="26"/>
  <c r="AO46" i="26"/>
  <c r="AO41" i="26"/>
  <c r="AE49" i="26"/>
  <c r="AE55" i="26"/>
  <c r="AE55" i="17"/>
  <c r="AE81" i="26"/>
  <c r="AO76" i="26"/>
  <c r="AS76" i="26" s="1"/>
  <c r="AI54" i="17"/>
  <c r="AE54" i="17"/>
  <c r="AD54" i="26"/>
  <c r="AE80" i="26"/>
  <c r="AE73" i="26"/>
  <c r="AD73" i="26"/>
  <c r="AE43" i="26"/>
  <c r="AE19" i="26"/>
  <c r="AE13" i="26"/>
  <c r="AE18" i="26"/>
  <c r="AA20" i="27"/>
  <c r="Z19" i="27"/>
  <c r="AA22" i="27"/>
  <c r="AA21" i="27"/>
  <c r="Z3" i="26"/>
  <c r="Z13" i="26" s="1"/>
  <c r="I164" i="26"/>
  <c r="P55" i="26"/>
  <c r="T55" i="26" s="1"/>
  <c r="T164" i="26" s="1"/>
  <c r="M45" i="26"/>
  <c r="P39" i="27"/>
  <c r="Q24" i="27"/>
  <c r="Q39" i="27"/>
  <c r="P24" i="27"/>
  <c r="M7" i="26"/>
  <c r="Q13" i="26"/>
  <c r="Q19" i="26"/>
  <c r="Q18" i="26"/>
  <c r="Q75" i="26"/>
  <c r="U75" i="26" s="1"/>
  <c r="Q81" i="26"/>
  <c r="Q80" i="26"/>
  <c r="P49" i="26"/>
  <c r="Q49" i="26"/>
  <c r="Q55" i="26"/>
  <c r="Q54" i="26"/>
  <c r="Q57" i="17"/>
  <c r="Q112" i="26"/>
  <c r="Q94" i="26" s="1"/>
  <c r="P81" i="26"/>
  <c r="P80" i="26"/>
  <c r="AA55" i="17"/>
  <c r="Q73" i="26"/>
  <c r="Q33" i="27"/>
  <c r="L164" i="26"/>
  <c r="L167" i="26"/>
  <c r="AA54" i="17"/>
  <c r="P33" i="27"/>
  <c r="AA75" i="26"/>
  <c r="AE75" i="26" s="1"/>
  <c r="AI75" i="26" s="1"/>
  <c r="AA80" i="26"/>
  <c r="AA13" i="26"/>
  <c r="X92" i="26"/>
  <c r="X48" i="26"/>
  <c r="X167" i="26" s="1"/>
  <c r="X73" i="26"/>
  <c r="Z20" i="27" l="1"/>
  <c r="AN112" i="26"/>
  <c r="AD2" i="27"/>
  <c r="AH2" i="27" s="1"/>
  <c r="AN2" i="27" s="1"/>
  <c r="AR2" i="27" s="1"/>
  <c r="AV2" i="27" s="1"/>
  <c r="BD2" i="27" s="1"/>
  <c r="Z35" i="27"/>
  <c r="Z30" i="27"/>
  <c r="AD30" i="27" s="1"/>
  <c r="Z26" i="27"/>
  <c r="AD26" i="27" s="1"/>
  <c r="Z36" i="27"/>
  <c r="AD36" i="27" s="1"/>
  <c r="Z31" i="27"/>
  <c r="Z27" i="27"/>
  <c r="AD27" i="27" s="1"/>
  <c r="Z29" i="27"/>
  <c r="AD29" i="27" s="1"/>
  <c r="Z37" i="27"/>
  <c r="AD37" i="27" s="1"/>
  <c r="Z28" i="27"/>
  <c r="AD28" i="27" s="1"/>
  <c r="Z22" i="27"/>
  <c r="Z21" i="27"/>
  <c r="AE2" i="27"/>
  <c r="AI2" i="27" s="1"/>
  <c r="AO2" i="27" s="1"/>
  <c r="AS2" i="27" s="1"/>
  <c r="AW2" i="27" s="1"/>
  <c r="BE2" i="27" s="1"/>
  <c r="AA35" i="27"/>
  <c r="AA36" i="27"/>
  <c r="AA29" i="27"/>
  <c r="AA37" i="27"/>
  <c r="AA27" i="27"/>
  <c r="AA31" i="27"/>
  <c r="AE31" i="27" s="1"/>
  <c r="AI31" i="27" s="1"/>
  <c r="AO31" i="27" s="1"/>
  <c r="AS31" i="27" s="1"/>
  <c r="AW31" i="27" s="1"/>
  <c r="AA28" i="27"/>
  <c r="AA26" i="27"/>
  <c r="T24" i="27"/>
  <c r="AV98" i="26"/>
  <c r="AW98" i="26"/>
  <c r="BE98" i="26" s="1"/>
  <c r="AW78" i="26"/>
  <c r="AW76" i="26"/>
  <c r="AV55" i="26"/>
  <c r="BD55" i="26" s="1"/>
  <c r="AW25" i="26"/>
  <c r="BE25" i="26" s="1"/>
  <c r="BD57" i="26"/>
  <c r="BE57" i="26"/>
  <c r="AR96" i="26"/>
  <c r="AV96" i="26" s="1"/>
  <c r="AN81" i="26"/>
  <c r="AR76" i="26"/>
  <c r="AV76" i="26" s="1"/>
  <c r="AR78" i="26"/>
  <c r="AV78" i="26" s="1"/>
  <c r="AN80" i="26"/>
  <c r="AO65" i="26"/>
  <c r="AS65" i="26" s="1"/>
  <c r="AO21" i="26"/>
  <c r="AS21" i="26" s="1"/>
  <c r="AS9" i="26"/>
  <c r="AW9" i="26" s="1"/>
  <c r="AW12" i="26" s="1"/>
  <c r="AO12" i="26"/>
  <c r="AI19" i="26"/>
  <c r="AI13" i="26"/>
  <c r="AI18" i="26"/>
  <c r="AI55" i="17"/>
  <c r="U94" i="26"/>
  <c r="BE59" i="26"/>
  <c r="AN48" i="26"/>
  <c r="AN54" i="26" s="1"/>
  <c r="AR46" i="26"/>
  <c r="AV46" i="26" s="1"/>
  <c r="AV48" i="26" s="1"/>
  <c r="AS81" i="26"/>
  <c r="AS80" i="26"/>
  <c r="AO48" i="26"/>
  <c r="AO55" i="26" s="1"/>
  <c r="AS46" i="26"/>
  <c r="AW46" i="26" s="1"/>
  <c r="AW48" i="26" s="1"/>
  <c r="AS41" i="26"/>
  <c r="Z55" i="17"/>
  <c r="AD3" i="26"/>
  <c r="AO81" i="26"/>
  <c r="AO80" i="26"/>
  <c r="AO23" i="26"/>
  <c r="AN61" i="26"/>
  <c r="AO27" i="26"/>
  <c r="AN59" i="26"/>
  <c r="AO61" i="26"/>
  <c r="AO75" i="26"/>
  <c r="AS75" i="26" s="1"/>
  <c r="Q45" i="26"/>
  <c r="U45" i="26" s="1"/>
  <c r="Z56" i="17"/>
  <c r="Z57" i="17"/>
  <c r="X39" i="27"/>
  <c r="Y39" i="27"/>
  <c r="X164" i="26"/>
  <c r="AA19" i="27"/>
  <c r="AA7" i="26"/>
  <c r="AE7" i="26" s="1"/>
  <c r="Q7" i="26"/>
  <c r="U7" i="26" s="1"/>
  <c r="P164" i="26"/>
  <c r="P167" i="26"/>
  <c r="AA55" i="26"/>
  <c r="Q167" i="26"/>
  <c r="X49" i="26"/>
  <c r="X54" i="26"/>
  <c r="AA18" i="26"/>
  <c r="AA18" i="27"/>
  <c r="AE18" i="27" s="1"/>
  <c r="AI18" i="27" s="1"/>
  <c r="Z73" i="26"/>
  <c r="Z81" i="26"/>
  <c r="AA43" i="26"/>
  <c r="X81" i="26"/>
  <c r="Z48" i="26"/>
  <c r="Z167" i="26" s="1"/>
  <c r="AA48" i="26"/>
  <c r="Z18" i="27"/>
  <c r="AD18" i="27" s="1"/>
  <c r="AH18" i="27" s="1"/>
  <c r="AD35" i="27" l="1"/>
  <c r="AD21" i="27"/>
  <c r="AD22" i="27"/>
  <c r="AE27" i="27"/>
  <c r="AI27" i="27" s="1"/>
  <c r="AO27" i="27" s="1"/>
  <c r="AS27" i="27" s="1"/>
  <c r="AD19" i="27"/>
  <c r="AH19" i="27" s="1"/>
  <c r="AN19" i="27" s="1"/>
  <c r="AR19" i="27" s="1"/>
  <c r="AV19" i="27" s="1"/>
  <c r="BD19" i="27" s="1"/>
  <c r="AV80" i="26"/>
  <c r="AH22" i="27"/>
  <c r="AN22" i="27" s="1"/>
  <c r="AR22" i="27" s="1"/>
  <c r="AH36" i="27"/>
  <c r="AN36" i="27" s="1"/>
  <c r="AR36" i="27" s="1"/>
  <c r="AH21" i="27"/>
  <c r="AN21" i="27" s="1"/>
  <c r="AR21" i="27" s="1"/>
  <c r="AH28" i="27"/>
  <c r="AN28" i="27" s="1"/>
  <c r="AR28" i="27" s="1"/>
  <c r="AH26" i="27"/>
  <c r="AE37" i="27"/>
  <c r="AH37" i="27"/>
  <c r="AN37" i="27" s="1"/>
  <c r="AR37" i="27" s="1"/>
  <c r="AH30" i="27"/>
  <c r="AN30" i="27" s="1"/>
  <c r="AR30" i="27" s="1"/>
  <c r="AE29" i="27"/>
  <c r="AE21" i="27"/>
  <c r="AH29" i="27"/>
  <c r="AN29" i="27" s="1"/>
  <c r="AR29" i="27" s="1"/>
  <c r="AH35" i="27"/>
  <c r="AD39" i="27"/>
  <c r="AE26" i="27"/>
  <c r="AE36" i="27"/>
  <c r="AE20" i="27"/>
  <c r="AH27" i="27"/>
  <c r="AN27" i="27" s="1"/>
  <c r="AR27" i="27" s="1"/>
  <c r="AE19" i="27"/>
  <c r="AE28" i="27"/>
  <c r="AE35" i="27"/>
  <c r="AE22" i="27"/>
  <c r="AD31" i="27"/>
  <c r="AD33" i="27" s="1"/>
  <c r="AD20" i="27"/>
  <c r="AR112" i="26"/>
  <c r="AV112" i="26"/>
  <c r="BD98" i="26"/>
  <c r="AW75" i="26"/>
  <c r="AW81" i="26"/>
  <c r="BE76" i="26"/>
  <c r="AW80" i="26"/>
  <c r="AV81" i="26"/>
  <c r="BE78" i="26"/>
  <c r="AW65" i="26"/>
  <c r="BE65" i="26" s="1"/>
  <c r="AW54" i="26"/>
  <c r="AW49" i="26"/>
  <c r="AW55" i="26"/>
  <c r="AV54" i="26"/>
  <c r="AW41" i="26"/>
  <c r="AW21" i="26"/>
  <c r="AW13" i="26"/>
  <c r="AW18" i="26"/>
  <c r="AW19" i="26"/>
  <c r="AR80" i="26"/>
  <c r="AR81" i="26"/>
  <c r="AO19" i="26"/>
  <c r="AO13" i="26"/>
  <c r="AO18" i="26"/>
  <c r="AI7" i="26"/>
  <c r="AS12" i="26"/>
  <c r="AO49" i="26"/>
  <c r="AO54" i="26"/>
  <c r="AR48" i="26"/>
  <c r="AR54" i="26" s="1"/>
  <c r="AS48" i="26"/>
  <c r="AS49" i="26" s="1"/>
  <c r="AO73" i="26"/>
  <c r="AS61" i="26"/>
  <c r="AW61" i="26" s="1"/>
  <c r="AO55" i="17"/>
  <c r="AR59" i="26"/>
  <c r="AR61" i="26"/>
  <c r="AV61" i="26" s="1"/>
  <c r="AS23" i="26"/>
  <c r="AS27" i="26"/>
  <c r="AO54" i="17"/>
  <c r="AH3" i="26"/>
  <c r="AD13" i="26"/>
  <c r="AD57" i="17"/>
  <c r="AD55" i="17"/>
  <c r="AD49" i="26"/>
  <c r="AD56" i="17"/>
  <c r="AN73" i="26"/>
  <c r="AO43" i="26"/>
  <c r="Z164" i="26"/>
  <c r="AA24" i="27"/>
  <c r="Z39" i="27"/>
  <c r="Z33" i="27"/>
  <c r="AA39" i="27"/>
  <c r="Z24" i="27"/>
  <c r="AA33" i="27"/>
  <c r="Z49" i="26"/>
  <c r="Z54" i="26"/>
  <c r="AA49" i="26"/>
  <c r="AA45" i="26" s="1"/>
  <c r="AE45" i="26" s="1"/>
  <c r="AI45" i="26" s="1"/>
  <c r="AA54" i="26"/>
  <c r="AD24" i="27" l="1"/>
  <c r="AE24" i="27"/>
  <c r="AH13" i="26"/>
  <c r="AH49" i="26"/>
  <c r="AH55" i="17"/>
  <c r="AH57" i="17"/>
  <c r="AH56" i="17"/>
  <c r="AW73" i="26"/>
  <c r="BE81" i="26"/>
  <c r="AW27" i="27"/>
  <c r="BE27" i="27" s="1"/>
  <c r="AV28" i="27"/>
  <c r="BD28" i="27" s="1"/>
  <c r="AV37" i="27"/>
  <c r="BD37" i="27" s="1"/>
  <c r="AV36" i="27"/>
  <c r="BD36" i="27" s="1"/>
  <c r="AV21" i="27"/>
  <c r="BD21" i="27" s="1"/>
  <c r="AV22" i="27"/>
  <c r="BD22" i="27" s="1"/>
  <c r="AV29" i="27"/>
  <c r="BD29" i="27" s="1"/>
  <c r="AV30" i="27"/>
  <c r="BD30" i="27" s="1"/>
  <c r="AI28" i="27"/>
  <c r="AO28" i="27" s="1"/>
  <c r="AS28" i="27" s="1"/>
  <c r="AI36" i="27"/>
  <c r="AO36" i="27" s="1"/>
  <c r="AS36" i="27" s="1"/>
  <c r="AH39" i="27"/>
  <c r="AN35" i="27"/>
  <c r="AI35" i="27"/>
  <c r="AE39" i="27"/>
  <c r="AI19" i="27"/>
  <c r="AI26" i="27"/>
  <c r="AE33" i="27"/>
  <c r="AI21" i="27"/>
  <c r="AO21" i="27" s="1"/>
  <c r="AS21" i="27" s="1"/>
  <c r="AI37" i="27"/>
  <c r="AO37" i="27" s="1"/>
  <c r="AS37" i="27" s="1"/>
  <c r="AV27" i="27"/>
  <c r="BD27" i="27" s="1"/>
  <c r="AH20" i="27"/>
  <c r="AH24" i="27" s="1"/>
  <c r="AI29" i="27"/>
  <c r="AO29" i="27" s="1"/>
  <c r="AS29" i="27" s="1"/>
  <c r="AI22" i="27"/>
  <c r="AO22" i="27" s="1"/>
  <c r="AS22" i="27" s="1"/>
  <c r="AI20" i="27"/>
  <c r="AO20" i="27" s="1"/>
  <c r="AS20" i="27" s="1"/>
  <c r="AH31" i="27"/>
  <c r="AN31" i="27" s="1"/>
  <c r="AR31" i="27" s="1"/>
  <c r="AN26" i="27"/>
  <c r="BE75" i="26"/>
  <c r="BE41" i="26"/>
  <c r="BE80" i="26"/>
  <c r="AV59" i="26"/>
  <c r="AV73" i="26" s="1"/>
  <c r="AS54" i="17"/>
  <c r="AW27" i="26"/>
  <c r="AW54" i="17" s="1"/>
  <c r="AW23" i="26"/>
  <c r="BE21" i="26"/>
  <c r="AS55" i="17"/>
  <c r="BD96" i="26"/>
  <c r="AO7" i="26"/>
  <c r="BD76" i="26"/>
  <c r="BD78" i="26"/>
  <c r="BE9" i="26"/>
  <c r="AS19" i="26"/>
  <c r="AS18" i="26"/>
  <c r="AS13" i="26"/>
  <c r="AO45" i="26"/>
  <c r="AS45" i="26" s="1"/>
  <c r="AW45" i="26" s="1"/>
  <c r="BE31" i="27"/>
  <c r="AS54" i="26"/>
  <c r="BE46" i="26"/>
  <c r="BD46" i="26"/>
  <c r="AS55" i="26"/>
  <c r="AS43" i="26"/>
  <c r="BD61" i="26"/>
  <c r="AR73" i="26"/>
  <c r="AS73" i="26"/>
  <c r="AN3" i="26"/>
  <c r="AN18" i="27"/>
  <c r="AO18" i="27"/>
  <c r="E16" i="8"/>
  <c r="BE12" i="26" l="1"/>
  <c r="BE18" i="26" s="1"/>
  <c r="BD112" i="26"/>
  <c r="BE48" i="26"/>
  <c r="BE54" i="26" s="1"/>
  <c r="BD48" i="26"/>
  <c r="AW43" i="26"/>
  <c r="AH33" i="27"/>
  <c r="AN20" i="27"/>
  <c r="AR20" i="27" s="1"/>
  <c r="AV20" i="27" s="1"/>
  <c r="BD20" i="27" s="1"/>
  <c r="AW29" i="27"/>
  <c r="BE29" i="27" s="1"/>
  <c r="AW28" i="27"/>
  <c r="BE28" i="27" s="1"/>
  <c r="AW36" i="27"/>
  <c r="BE36" i="27" s="1"/>
  <c r="AW37" i="27"/>
  <c r="BE37" i="27" s="1"/>
  <c r="AV31" i="27"/>
  <c r="BD31" i="27" s="1"/>
  <c r="AW22" i="27"/>
  <c r="BE22" i="27" s="1"/>
  <c r="AI39" i="27"/>
  <c r="AO35" i="27"/>
  <c r="AW20" i="27"/>
  <c r="BE20" i="27" s="1"/>
  <c r="AI33" i="27"/>
  <c r="AW21" i="27"/>
  <c r="BE21" i="27" s="1"/>
  <c r="AO26" i="27"/>
  <c r="AR35" i="27"/>
  <c r="AN39" i="27"/>
  <c r="AI24" i="27"/>
  <c r="AN33" i="27"/>
  <c r="AR26" i="27"/>
  <c r="AO19" i="27"/>
  <c r="AS19" i="27" s="1"/>
  <c r="AW19" i="27" s="1"/>
  <c r="BE19" i="27" s="1"/>
  <c r="BD59" i="26"/>
  <c r="BE23" i="26"/>
  <c r="BE61" i="26"/>
  <c r="AW55" i="17"/>
  <c r="BD80" i="26"/>
  <c r="AS7" i="26"/>
  <c r="AW7" i="26" s="1"/>
  <c r="BD81" i="26"/>
  <c r="BE49" i="26"/>
  <c r="BE27" i="26"/>
  <c r="AR18" i="27"/>
  <c r="AV18" i="27" s="1"/>
  <c r="AS18" i="27"/>
  <c r="AW18" i="27" s="1"/>
  <c r="AR3" i="26"/>
  <c r="AN57" i="17"/>
  <c r="AN56" i="17"/>
  <c r="AN55" i="17"/>
  <c r="AN13" i="26"/>
  <c r="AN49" i="26"/>
  <c r="J28" i="22"/>
  <c r="N28" i="22" s="1"/>
  <c r="R28" i="22" s="1"/>
  <c r="J13" i="22"/>
  <c r="R13" i="22" s="1"/>
  <c r="V13" i="22" s="1"/>
  <c r="BE13" i="26" l="1"/>
  <c r="BE7" i="26" s="1"/>
  <c r="BE19" i="26"/>
  <c r="BD73" i="26"/>
  <c r="BE55" i="26"/>
  <c r="BE73" i="26"/>
  <c r="BD54" i="26"/>
  <c r="AV3" i="26"/>
  <c r="BD3" i="26" s="1"/>
  <c r="AR57" i="17"/>
  <c r="AR55" i="17"/>
  <c r="AR56" i="17"/>
  <c r="AN24" i="27"/>
  <c r="Z29" i="22"/>
  <c r="V28" i="22"/>
  <c r="AB28" i="22" s="1"/>
  <c r="AF28" i="22" s="1"/>
  <c r="AJ28" i="22" s="1"/>
  <c r="BE55" i="17"/>
  <c r="AO24" i="27"/>
  <c r="AW24" i="27"/>
  <c r="AS26" i="27"/>
  <c r="AO33" i="27"/>
  <c r="AV35" i="27"/>
  <c r="AR39" i="27"/>
  <c r="AV26" i="27"/>
  <c r="AR33" i="27"/>
  <c r="AV24" i="27"/>
  <c r="AS35" i="27"/>
  <c r="AO39" i="27"/>
  <c r="BE43" i="26"/>
  <c r="BE54" i="17"/>
  <c r="AS24" i="27"/>
  <c r="AR24" i="27"/>
  <c r="BE45" i="26"/>
  <c r="AR13" i="26"/>
  <c r="AR49" i="26"/>
  <c r="BF142" i="45" l="1"/>
  <c r="BE176" i="10"/>
  <c r="BE77" i="11"/>
  <c r="AV13" i="26"/>
  <c r="AV57" i="17"/>
  <c r="AV49" i="26"/>
  <c r="AV56" i="17"/>
  <c r="AV55" i="17"/>
  <c r="AW35" i="27"/>
  <c r="AS39" i="27"/>
  <c r="AV39" i="27"/>
  <c r="BD35" i="27"/>
  <c r="AW26" i="27"/>
  <c r="AW33" i="27" s="1"/>
  <c r="AS33" i="27"/>
  <c r="AV33" i="27"/>
  <c r="BD26" i="27"/>
  <c r="BD13" i="26"/>
  <c r="BD57" i="17"/>
  <c r="BD56" i="17"/>
  <c r="BD49" i="26"/>
  <c r="BD55" i="17"/>
  <c r="BE18" i="27"/>
  <c r="BD18" i="27"/>
  <c r="AB13" i="22"/>
  <c r="AF13" i="22" s="1"/>
  <c r="AJ13" i="22" s="1"/>
  <c r="BE24" i="27" l="1"/>
  <c r="BD39" i="27"/>
  <c r="BD33" i="27"/>
  <c r="BD24" i="27"/>
  <c r="BE26" i="27"/>
  <c r="AW39" i="27"/>
  <c r="BE35" i="27"/>
  <c r="AP28" i="22"/>
  <c r="Z6" i="24"/>
  <c r="Y6" i="24"/>
  <c r="BE33" i="27" l="1"/>
  <c r="BE39" i="27"/>
  <c r="AP13" i="22"/>
  <c r="AT28" i="22"/>
  <c r="Z13" i="15"/>
  <c r="AD13" i="15" s="1"/>
  <c r="AX28" i="22" l="1"/>
  <c r="BF28" i="22" s="1"/>
  <c r="AH13" i="15"/>
  <c r="AN13" i="15" s="1"/>
  <c r="AR13" i="15" s="1"/>
  <c r="AT13" i="22"/>
  <c r="I61" i="8"/>
  <c r="AX13" i="22" l="1"/>
  <c r="BF13" i="22" s="1"/>
  <c r="AV13" i="15"/>
  <c r="BD13" i="15" s="1"/>
  <c r="AE61" i="8"/>
  <c r="AI61" i="8" l="1"/>
  <c r="AO61" i="8" s="1"/>
  <c r="AS61" i="8" s="1"/>
  <c r="J69" i="8"/>
  <c r="AW61" i="8" l="1"/>
  <c r="BE61" i="8" s="1"/>
  <c r="I8" i="24"/>
  <c r="M8" i="24" s="1"/>
  <c r="Q8" i="24" s="1"/>
  <c r="U8" i="24" s="1"/>
  <c r="I7" i="24"/>
  <c r="M7" i="24" s="1"/>
  <c r="Q7" i="24" s="1"/>
  <c r="U7" i="24" s="1"/>
  <c r="I6" i="24"/>
  <c r="M6" i="24" s="1"/>
  <c r="Q6" i="24" s="1"/>
  <c r="U6" i="24" s="1"/>
  <c r="AA7" i="24" l="1"/>
  <c r="AE7" i="24" s="1"/>
  <c r="AI7" i="24" s="1"/>
  <c r="AO7" i="24" s="1"/>
  <c r="AS7" i="24" s="1"/>
  <c r="AW7" i="24" s="1"/>
  <c r="BE7" i="24" s="1"/>
  <c r="AA8" i="24"/>
  <c r="AE8" i="24" s="1"/>
  <c r="AI8" i="24" s="1"/>
  <c r="AO8" i="24" s="1"/>
  <c r="AS8" i="24" s="1"/>
  <c r="AW8" i="24" s="1"/>
  <c r="BE8" i="24" s="1"/>
  <c r="AA6" i="24"/>
  <c r="AE6" i="24" s="1"/>
  <c r="AI6" i="24" s="1"/>
  <c r="AO6" i="24" s="1"/>
  <c r="AS6" i="24" s="1"/>
  <c r="AW6" i="24" s="1"/>
  <c r="BE6" i="24" s="1"/>
  <c r="J7" i="24"/>
  <c r="N7" i="24" s="1"/>
  <c r="R7" i="24" s="1"/>
  <c r="V7" i="24" s="1"/>
  <c r="J8" i="24"/>
  <c r="N8" i="24" s="1"/>
  <c r="R8" i="24" s="1"/>
  <c r="V8" i="24" s="1"/>
  <c r="J6" i="24"/>
  <c r="N6" i="24" s="1"/>
  <c r="R6" i="24" s="1"/>
  <c r="V6" i="24" s="1"/>
  <c r="AB7" i="24" l="1"/>
  <c r="AF7" i="24" s="1"/>
  <c r="AJ7" i="24" s="1"/>
  <c r="AP7" i="24" s="1"/>
  <c r="AT7" i="24" s="1"/>
  <c r="AX7" i="24" s="1"/>
  <c r="BF7" i="24" s="1"/>
  <c r="AB6" i="24"/>
  <c r="AF6" i="24" s="1"/>
  <c r="AJ6" i="24" s="1"/>
  <c r="AP6" i="24" s="1"/>
  <c r="AT6" i="24" s="1"/>
  <c r="AX6" i="24" s="1"/>
  <c r="BF6" i="24" s="1"/>
  <c r="AB8" i="24"/>
  <c r="AF8" i="24" s="1"/>
  <c r="AJ8" i="24" s="1"/>
  <c r="AP8" i="24" s="1"/>
  <c r="AT8" i="24" s="1"/>
  <c r="AX8" i="24" s="1"/>
  <c r="BF8" i="24" s="1"/>
  <c r="J61" i="8" l="1"/>
  <c r="AB6" i="21" l="1"/>
  <c r="AF6" i="21" s="1"/>
  <c r="AJ6" i="21" l="1"/>
  <c r="AF12" i="21"/>
  <c r="AA6" i="21"/>
  <c r="AE6" i="21" s="1"/>
  <c r="J18" i="21"/>
  <c r="AE12" i="21" l="1"/>
  <c r="AI6" i="21"/>
  <c r="AP6" i="21"/>
  <c r="AJ12" i="21"/>
  <c r="J60" i="8"/>
  <c r="AT6" i="21" l="1"/>
  <c r="AP12" i="21"/>
  <c r="AE22" i="21"/>
  <c r="AO6" i="21"/>
  <c r="AI12" i="21"/>
  <c r="J62" i="8"/>
  <c r="J59" i="8"/>
  <c r="AT12" i="21" l="1"/>
  <c r="AX6" i="21"/>
  <c r="AS6" i="21"/>
  <c r="AO12" i="21"/>
  <c r="AI22" i="21"/>
  <c r="AO22" i="21" s="1"/>
  <c r="J63" i="8"/>
  <c r="AX12" i="21" l="1"/>
  <c r="BF6" i="21"/>
  <c r="BF12" i="21" s="1"/>
  <c r="AS12" i="21"/>
  <c r="AW6" i="21"/>
  <c r="BE6" i="21" s="1"/>
  <c r="I66" i="9"/>
  <c r="J66" i="9"/>
  <c r="AW12" i="21" l="1"/>
  <c r="BE12" i="21"/>
  <c r="AS22" i="21"/>
  <c r="J26" i="22"/>
  <c r="J23" i="22"/>
  <c r="R23" i="22" s="1"/>
  <c r="V23" i="22" s="1"/>
  <c r="J22" i="22"/>
  <c r="R22" i="22" s="1"/>
  <c r="V22" i="22" s="1"/>
  <c r="J11" i="22"/>
  <c r="J8" i="22"/>
  <c r="R8" i="22" s="1"/>
  <c r="V8" i="22" s="1"/>
  <c r="J7" i="22"/>
  <c r="V24" i="22" l="1"/>
  <c r="BE22" i="21"/>
  <c r="AW22" i="21"/>
  <c r="R24" i="22"/>
  <c r="R7" i="22"/>
  <c r="V7" i="22" s="1"/>
  <c r="V9" i="22" s="1"/>
  <c r="N24" i="22"/>
  <c r="J14" i="22"/>
  <c r="J29" i="22"/>
  <c r="I7" i="22"/>
  <c r="J9" i="22"/>
  <c r="I23" i="22"/>
  <c r="I22" i="22"/>
  <c r="J24" i="22"/>
  <c r="J10" i="22"/>
  <c r="J25" i="22"/>
  <c r="R32" i="22" l="1"/>
  <c r="R31" i="22"/>
  <c r="R20" i="22"/>
  <c r="R18" i="22"/>
  <c r="R19" i="22"/>
  <c r="R17" i="22"/>
  <c r="N14" i="22"/>
  <c r="R11" i="22"/>
  <c r="V11" i="22" s="1"/>
  <c r="V14" i="22" s="1"/>
  <c r="R9" i="22"/>
  <c r="N27" i="22"/>
  <c r="R25" i="22"/>
  <c r="V25" i="22" s="1"/>
  <c r="N29" i="22"/>
  <c r="R26" i="22"/>
  <c r="V26" i="22" s="1"/>
  <c r="V29" i="22" s="1"/>
  <c r="N9" i="22"/>
  <c r="Q23" i="22"/>
  <c r="U23" i="22" s="1"/>
  <c r="J12" i="22"/>
  <c r="I28" i="22"/>
  <c r="I15" i="22"/>
  <c r="I8" i="22"/>
  <c r="J27" i="22"/>
  <c r="I24" i="22"/>
  <c r="I25" i="22"/>
  <c r="Q25" i="22" s="1"/>
  <c r="U25" i="22" s="1"/>
  <c r="I13" i="22"/>
  <c r="Q13" i="22" s="1"/>
  <c r="U13" i="22" s="1"/>
  <c r="I10" i="22"/>
  <c r="I26" i="22"/>
  <c r="V27" i="22" l="1"/>
  <c r="V31" i="22"/>
  <c r="V18" i="22"/>
  <c r="V17" i="22"/>
  <c r="V19" i="22"/>
  <c r="V20" i="22"/>
  <c r="V32" i="22"/>
  <c r="Q28" i="22"/>
  <c r="U28" i="22" s="1"/>
  <c r="M29" i="22"/>
  <c r="Y31" i="22"/>
  <c r="R14" i="22"/>
  <c r="R27" i="22"/>
  <c r="N12" i="22"/>
  <c r="R10" i="22"/>
  <c r="R29" i="22"/>
  <c r="Q22" i="22"/>
  <c r="U22" i="22" s="1"/>
  <c r="U24" i="22" s="1"/>
  <c r="Q7" i="22"/>
  <c r="U7" i="22" s="1"/>
  <c r="Q8" i="22"/>
  <c r="U8" i="22" s="1"/>
  <c r="I30" i="22"/>
  <c r="Q26" i="22"/>
  <c r="U26" i="22" s="1"/>
  <c r="U27" i="22" s="1"/>
  <c r="I29" i="22"/>
  <c r="I9" i="22"/>
  <c r="I27" i="22"/>
  <c r="I11" i="22"/>
  <c r="V10" i="22" l="1"/>
  <c r="V12" i="22" s="1"/>
  <c r="V15" i="22"/>
  <c r="U9" i="22"/>
  <c r="U29" i="22"/>
  <c r="Y17" i="22"/>
  <c r="Y32" i="22"/>
  <c r="AA7" i="22"/>
  <c r="AE7" i="22" s="1"/>
  <c r="R12" i="22"/>
  <c r="AB26" i="22"/>
  <c r="AF26" i="22" s="1"/>
  <c r="AJ26" i="22" s="1"/>
  <c r="AJ29" i="22" s="1"/>
  <c r="Q24" i="22"/>
  <c r="Q27" i="22"/>
  <c r="Q29" i="22"/>
  <c r="Q9" i="22"/>
  <c r="Y18" i="22" s="1"/>
  <c r="Q10" i="22"/>
  <c r="I14" i="22"/>
  <c r="Q11" i="22"/>
  <c r="U11" i="22" s="1"/>
  <c r="Q30" i="22"/>
  <c r="U30" i="22" s="1"/>
  <c r="AA25" i="22"/>
  <c r="AE25" i="22" s="1"/>
  <c r="AI25" i="22" s="1"/>
  <c r="AB11" i="22"/>
  <c r="AB8" i="22"/>
  <c r="AF8" i="22" s="1"/>
  <c r="AJ8" i="22" s="1"/>
  <c r="AB7" i="22"/>
  <c r="AB43" i="22" s="1"/>
  <c r="AB23" i="22"/>
  <c r="AF23" i="22" s="1"/>
  <c r="AJ23" i="22" s="1"/>
  <c r="AB22" i="22"/>
  <c r="AB44" i="22" s="1"/>
  <c r="AB25" i="22"/>
  <c r="AF25" i="22" s="1"/>
  <c r="AA13" i="22"/>
  <c r="AE13" i="22" s="1"/>
  <c r="I12" i="22"/>
  <c r="AF7" i="22" l="1"/>
  <c r="AJ7" i="22" s="1"/>
  <c r="AF22" i="22"/>
  <c r="AJ22" i="22" s="1"/>
  <c r="AJ9" i="22"/>
  <c r="AJ24" i="22"/>
  <c r="AJ25" i="22"/>
  <c r="AJ27" i="22" s="1"/>
  <c r="AI13" i="22"/>
  <c r="AO13" i="22" s="1"/>
  <c r="AS13" i="22" s="1"/>
  <c r="AI7" i="22"/>
  <c r="AO7" i="22" s="1"/>
  <c r="AS7" i="22" s="1"/>
  <c r="Y19" i="22"/>
  <c r="U10" i="22"/>
  <c r="U12" i="22" s="1"/>
  <c r="U14" i="22"/>
  <c r="AP23" i="22"/>
  <c r="AF11" i="22"/>
  <c r="AJ11" i="22" s="1"/>
  <c r="AJ14" i="22" s="1"/>
  <c r="AB15" i="22"/>
  <c r="AF27" i="22"/>
  <c r="AF29" i="22"/>
  <c r="AP22" i="22"/>
  <c r="AP44" i="22" s="1"/>
  <c r="AP7" i="22"/>
  <c r="AP43" i="22" s="1"/>
  <c r="AF9" i="22"/>
  <c r="AP8" i="22"/>
  <c r="AO25" i="22"/>
  <c r="AS25" i="22" s="1"/>
  <c r="AM31" i="22"/>
  <c r="AB18" i="22"/>
  <c r="AF18" i="22" s="1"/>
  <c r="AB19" i="22"/>
  <c r="AF19" i="22" s="1"/>
  <c r="AB20" i="22"/>
  <c r="AF20" i="22" s="1"/>
  <c r="AB17" i="22"/>
  <c r="AF17" i="22" s="1"/>
  <c r="AB32" i="22"/>
  <c r="AF32" i="22" s="1"/>
  <c r="AJ32" i="22" s="1"/>
  <c r="AB31" i="22"/>
  <c r="AF31" i="22" s="1"/>
  <c r="AJ31" i="22" s="1"/>
  <c r="Y20" i="22"/>
  <c r="AA22" i="22"/>
  <c r="AE22" i="22" s="1"/>
  <c r="AB29" i="22"/>
  <c r="AB10" i="22"/>
  <c r="Q15" i="22"/>
  <c r="U15" i="22" s="1"/>
  <c r="Q12" i="22"/>
  <c r="Q14" i="22"/>
  <c r="AB14" i="22"/>
  <c r="AA8" i="22"/>
  <c r="AE8" i="22" s="1"/>
  <c r="AA23" i="22"/>
  <c r="AE23" i="22" s="1"/>
  <c r="AB9" i="22"/>
  <c r="AB27" i="22"/>
  <c r="AB24" i="22"/>
  <c r="AJ17" i="22" l="1"/>
  <c r="AT7" i="22"/>
  <c r="AT43" i="22" s="1"/>
  <c r="AT22" i="22"/>
  <c r="AT44" i="22" s="1"/>
  <c r="AF15" i="22"/>
  <c r="AF24" i="22"/>
  <c r="AW25" i="22"/>
  <c r="BE25" i="22" s="1"/>
  <c r="AJ20" i="22"/>
  <c r="AJ19" i="22"/>
  <c r="AP25" i="22"/>
  <c r="AT25" i="22" s="1"/>
  <c r="AJ18" i="22"/>
  <c r="AW7" i="22"/>
  <c r="BE7" i="22" s="1"/>
  <c r="AW13" i="22"/>
  <c r="BE13" i="22" s="1"/>
  <c r="AI23" i="22"/>
  <c r="AM17" i="22"/>
  <c r="AI8" i="22"/>
  <c r="AI9" i="22" s="1"/>
  <c r="AI22" i="22"/>
  <c r="AO22" i="22" s="1"/>
  <c r="AS22" i="22" s="1"/>
  <c r="AA10" i="22"/>
  <c r="AE10" i="22" s="1"/>
  <c r="AI10" i="22" s="1"/>
  <c r="AO10" i="22" s="1"/>
  <c r="AS10" i="22" s="1"/>
  <c r="AP32" i="22"/>
  <c r="AP31" i="22"/>
  <c r="BA31" i="22"/>
  <c r="AF14" i="22"/>
  <c r="AP26" i="22"/>
  <c r="AB12" i="22"/>
  <c r="AF10" i="22"/>
  <c r="AT8" i="22"/>
  <c r="AP9" i="22"/>
  <c r="AT23" i="22"/>
  <c r="AP24" i="22"/>
  <c r="AE9" i="22"/>
  <c r="AM18" i="22" s="1"/>
  <c r="AE24" i="22"/>
  <c r="AA26" i="22"/>
  <c r="AE26" i="22" s="1"/>
  <c r="AA28" i="22"/>
  <c r="AE28" i="22" s="1"/>
  <c r="AI28" i="22" s="1"/>
  <c r="AA9" i="22"/>
  <c r="AA24" i="22"/>
  <c r="AA11" i="22"/>
  <c r="AE11" i="22" s="1"/>
  <c r="AI11" i="22" s="1"/>
  <c r="AX22" i="22" l="1"/>
  <c r="AX44" i="22" s="1"/>
  <c r="AX25" i="22"/>
  <c r="AX23" i="22"/>
  <c r="AX24" i="22" s="1"/>
  <c r="AX8" i="22"/>
  <c r="AX7" i="22"/>
  <c r="AX43" i="22" s="1"/>
  <c r="AW10" i="22"/>
  <c r="BE10" i="22" s="1"/>
  <c r="BF25" i="22"/>
  <c r="BF22" i="22"/>
  <c r="AJ10" i="22"/>
  <c r="AJ12" i="22" s="1"/>
  <c r="AJ15" i="22"/>
  <c r="AW22" i="22"/>
  <c r="BE22" i="22" s="1"/>
  <c r="AM19" i="22"/>
  <c r="AM32" i="22"/>
  <c r="AI26" i="22"/>
  <c r="AI27" i="22" s="1"/>
  <c r="AI14" i="22"/>
  <c r="AI12" i="22"/>
  <c r="AI24" i="22"/>
  <c r="AO23" i="22"/>
  <c r="AP20" i="22"/>
  <c r="AT9" i="22"/>
  <c r="BA19" i="22"/>
  <c r="AT24" i="22"/>
  <c r="AT26" i="22"/>
  <c r="AP29" i="22"/>
  <c r="AP27" i="22"/>
  <c r="AP11" i="22"/>
  <c r="AT31" i="22"/>
  <c r="AP19" i="22"/>
  <c r="AP17" i="22"/>
  <c r="AP18" i="22"/>
  <c r="AF12" i="22"/>
  <c r="AT32" i="22"/>
  <c r="AO11" i="22"/>
  <c r="AS11" i="22" s="1"/>
  <c r="AM20" i="22"/>
  <c r="AO8" i="22"/>
  <c r="AE29" i="22"/>
  <c r="AO28" i="22"/>
  <c r="AS28" i="22" s="1"/>
  <c r="AE27" i="22"/>
  <c r="AE12" i="22"/>
  <c r="AE14" i="22"/>
  <c r="AA30" i="22"/>
  <c r="AE30" i="22" s="1"/>
  <c r="AA29" i="22"/>
  <c r="AA27" i="22"/>
  <c r="AA15" i="22"/>
  <c r="AE15" i="22" s="1"/>
  <c r="AI15" i="22" s="1"/>
  <c r="AA12" i="22"/>
  <c r="AA14" i="22"/>
  <c r="AP15" i="22" l="1"/>
  <c r="AX31" i="22"/>
  <c r="BF7" i="22"/>
  <c r="AX26" i="22"/>
  <c r="AX29" i="22" s="1"/>
  <c r="AX9" i="22"/>
  <c r="AW11" i="22"/>
  <c r="AW12" i="22" s="1"/>
  <c r="AX32" i="22"/>
  <c r="AT18" i="22"/>
  <c r="AP10" i="22"/>
  <c r="AW28" i="22"/>
  <c r="BE28" i="22" s="1"/>
  <c r="AI30" i="22"/>
  <c r="AI29" i="22"/>
  <c r="AS23" i="22"/>
  <c r="AO24" i="22"/>
  <c r="AT17" i="22"/>
  <c r="AT20" i="22"/>
  <c r="AT19" i="22"/>
  <c r="BF23" i="22"/>
  <c r="BF8" i="22"/>
  <c r="BE11" i="22"/>
  <c r="BA20" i="22"/>
  <c r="AO15" i="22"/>
  <c r="AS15" i="22" s="1"/>
  <c r="AW15" i="22" s="1"/>
  <c r="AO14" i="22"/>
  <c r="AO9" i="22"/>
  <c r="AS8" i="22"/>
  <c r="AS12" i="22"/>
  <c r="AS14" i="22"/>
  <c r="AT11" i="22"/>
  <c r="AP14" i="22"/>
  <c r="AO12" i="22"/>
  <c r="AT27" i="22"/>
  <c r="AT29" i="22"/>
  <c r="AO26" i="22"/>
  <c r="Q32" i="27"/>
  <c r="U32" i="27" s="1"/>
  <c r="BE14" i="22" l="1"/>
  <c r="BF24" i="22"/>
  <c r="BF9" i="22"/>
  <c r="BF31" i="22"/>
  <c r="AX27" i="22"/>
  <c r="BF26" i="22"/>
  <c r="BF32" i="22"/>
  <c r="AW14" i="22"/>
  <c r="AX11" i="22"/>
  <c r="AX14" i="22" s="1"/>
  <c r="AW23" i="22"/>
  <c r="AW24" i="22" s="1"/>
  <c r="AX17" i="22"/>
  <c r="AX20" i="22"/>
  <c r="AX19" i="22"/>
  <c r="AX18" i="22"/>
  <c r="AP12" i="22"/>
  <c r="AT10" i="22"/>
  <c r="AT15" i="22"/>
  <c r="BA17" i="22"/>
  <c r="AW8" i="22"/>
  <c r="AW9" i="22" s="1"/>
  <c r="AS24" i="22"/>
  <c r="BE12" i="22"/>
  <c r="BE15" i="22"/>
  <c r="AS9" i="22"/>
  <c r="BA18" i="22" s="1"/>
  <c r="AO27" i="22"/>
  <c r="AS26" i="22"/>
  <c r="AO30" i="22"/>
  <c r="AT14" i="22"/>
  <c r="AO29" i="22"/>
  <c r="AA32" i="27"/>
  <c r="AE32" i="27" s="1"/>
  <c r="Z71" i="7"/>
  <c r="Z73" i="7" s="1"/>
  <c r="Z41" i="7"/>
  <c r="BF19" i="22" l="1"/>
  <c r="BF11" i="22"/>
  <c r="BF20" i="22"/>
  <c r="BF29" i="22"/>
  <c r="BF18" i="22"/>
  <c r="BF17" i="22"/>
  <c r="BF27" i="22"/>
  <c r="AX10" i="22"/>
  <c r="BF10" i="22" s="1"/>
  <c r="AW26" i="22"/>
  <c r="AW27" i="22" s="1"/>
  <c r="AT12" i="22"/>
  <c r="AI32" i="27"/>
  <c r="AO32" i="27" s="1"/>
  <c r="AS32" i="27" s="1"/>
  <c r="BE23" i="22"/>
  <c r="AS30" i="22"/>
  <c r="BA32" i="22"/>
  <c r="BE8" i="22"/>
  <c r="AS27" i="22"/>
  <c r="AS29" i="22"/>
  <c r="Z51" i="7"/>
  <c r="AX12" i="22" l="1"/>
  <c r="BF12" i="22"/>
  <c r="BF14" i="22"/>
  <c r="BE9" i="22"/>
  <c r="BE24" i="22"/>
  <c r="AW29" i="22"/>
  <c r="AW30" i="22"/>
  <c r="BE26" i="22"/>
  <c r="AW32" i="27"/>
  <c r="BE32" i="27" s="1"/>
  <c r="Z106" i="7"/>
  <c r="Z107" i="7"/>
  <c r="Z108" i="7"/>
  <c r="Z85" i="7"/>
  <c r="Z63" i="7"/>
  <c r="BE27" i="22" l="1"/>
  <c r="BE29" i="22"/>
  <c r="BE30" i="22"/>
  <c r="I83" i="26"/>
  <c r="I56" i="17" l="1"/>
  <c r="M83" i="26"/>
  <c r="Q83" i="26" s="1"/>
  <c r="U83" i="26" s="1"/>
  <c r="AA81" i="26"/>
  <c r="Y81" i="26"/>
  <c r="I92" i="26"/>
  <c r="U92" i="26" l="1"/>
  <c r="U56" i="17"/>
  <c r="Q56" i="17"/>
  <c r="Q92" i="26"/>
  <c r="M92" i="26"/>
  <c r="M56" i="17"/>
  <c r="AA83" i="26"/>
  <c r="AE83" i="26" s="1"/>
  <c r="AI83" i="26" s="1"/>
  <c r="AI92" i="26" s="1"/>
  <c r="Y15" i="21"/>
  <c r="AE92" i="26" l="1"/>
  <c r="AE56" i="17"/>
  <c r="AA56" i="17"/>
  <c r="AO83" i="26" l="1"/>
  <c r="AO92" i="26" s="1"/>
  <c r="AI56" i="17"/>
  <c r="AA92" i="26"/>
  <c r="AS83" i="26" l="1"/>
  <c r="AW83" i="26" s="1"/>
  <c r="AW92" i="26" s="1"/>
  <c r="AO56" i="17"/>
  <c r="L123" i="7"/>
  <c r="L124" i="7" s="1"/>
  <c r="BE83" i="26" l="1"/>
  <c r="AS56" i="17"/>
  <c r="AW56" i="17"/>
  <c r="AS92" i="26"/>
  <c r="BE92" i="26"/>
  <c r="L125" i="7"/>
  <c r="L126" i="7"/>
  <c r="L127" i="7" s="1"/>
  <c r="BE56" i="17" l="1"/>
  <c r="L128" i="7"/>
  <c r="L135" i="7" l="1"/>
  <c r="Y73" i="26" l="1"/>
  <c r="I65" i="17" l="1"/>
  <c r="Q65" i="17" s="1"/>
  <c r="U65" i="17" s="1"/>
  <c r="I69" i="17"/>
  <c r="Q69" i="17" s="1"/>
  <c r="U69" i="17" s="1"/>
  <c r="I63" i="17"/>
  <c r="Q63" i="17" s="1"/>
  <c r="U63" i="17" s="1"/>
  <c r="I64" i="17"/>
  <c r="Q64" i="17" s="1"/>
  <c r="U64" i="17" s="1"/>
  <c r="I68" i="17"/>
  <c r="Q68" i="17" s="1"/>
  <c r="U68" i="17" s="1"/>
  <c r="I72" i="17"/>
  <c r="Q72" i="17" s="1"/>
  <c r="U72" i="17" s="1"/>
  <c r="I66" i="17"/>
  <c r="Q66" i="17" s="1"/>
  <c r="U66" i="17" s="1"/>
  <c r="I70" i="17"/>
  <c r="Q70" i="17" s="1"/>
  <c r="U70" i="17" s="1"/>
  <c r="I67" i="17"/>
  <c r="Q67" i="17" s="1"/>
  <c r="U67" i="17" s="1"/>
  <c r="I71" i="17"/>
  <c r="Q71" i="17" s="1"/>
  <c r="U71" i="17" s="1"/>
  <c r="H31" i="17" l="1"/>
  <c r="L31" i="17" s="1"/>
  <c r="P31" i="17" l="1"/>
  <c r="T31" i="17" s="1"/>
  <c r="Z31" i="17"/>
  <c r="AD31" i="17" s="1"/>
  <c r="I31" i="17"/>
  <c r="I28" i="17"/>
  <c r="I3" i="17"/>
  <c r="I46" i="17" s="1"/>
  <c r="H3" i="17"/>
  <c r="H46" i="17" s="1"/>
  <c r="I42" i="17" l="1"/>
  <c r="H38" i="17"/>
  <c r="AH31" i="17"/>
  <c r="AN31" i="17" s="1"/>
  <c r="M31" i="17"/>
  <c r="AA31" i="17" s="1"/>
  <c r="AE31" i="17" s="1"/>
  <c r="M28" i="17"/>
  <c r="AA28" i="17" s="1"/>
  <c r="AE28" i="17" s="1"/>
  <c r="H42" i="17"/>
  <c r="H51" i="17"/>
  <c r="H45" i="17"/>
  <c r="H36" i="17"/>
  <c r="H52" i="17"/>
  <c r="H47" i="17"/>
  <c r="H43" i="17"/>
  <c r="H41" i="17"/>
  <c r="H48" i="17"/>
  <c r="I45" i="17"/>
  <c r="I36" i="17"/>
  <c r="I41" i="17"/>
  <c r="I52" i="17"/>
  <c r="I43" i="17"/>
  <c r="I38" i="17"/>
  <c r="I51" i="17"/>
  <c r="I48" i="17"/>
  <c r="I47" i="17"/>
  <c r="I11" i="17"/>
  <c r="I23" i="17"/>
  <c r="I13" i="17"/>
  <c r="I9" i="17"/>
  <c r="I19" i="17"/>
  <c r="I17" i="17"/>
  <c r="L3" i="17"/>
  <c r="M3" i="17"/>
  <c r="H18" i="17"/>
  <c r="L18" i="17" s="1"/>
  <c r="Z18" i="17" s="1"/>
  <c r="AD18" i="17" s="1"/>
  <c r="AH18" i="17" s="1"/>
  <c r="H28" i="17"/>
  <c r="H16" i="17"/>
  <c r="J73" i="11"/>
  <c r="H22" i="17"/>
  <c r="I44" i="17" l="1"/>
  <c r="L38" i="17"/>
  <c r="H49" i="17"/>
  <c r="I49" i="17"/>
  <c r="H44" i="17"/>
  <c r="AB73" i="11"/>
  <c r="AF73" i="11" s="1"/>
  <c r="J74" i="11"/>
  <c r="AI31" i="17"/>
  <c r="AO31" i="17" s="1"/>
  <c r="AS31" i="17" s="1"/>
  <c r="AI28" i="17"/>
  <c r="AO28" i="17" s="1"/>
  <c r="AR31" i="17"/>
  <c r="BB31" i="17"/>
  <c r="BB32" i="17" s="1"/>
  <c r="AN18" i="17"/>
  <c r="AR18" i="17" s="1"/>
  <c r="L36" i="17"/>
  <c r="Q28" i="17"/>
  <c r="U28" i="17" s="1"/>
  <c r="L28" i="17"/>
  <c r="Z28" i="17" s="1"/>
  <c r="AD28" i="17" s="1"/>
  <c r="M38" i="17"/>
  <c r="M36" i="17"/>
  <c r="M58" i="17"/>
  <c r="Q31" i="17"/>
  <c r="U31" i="17" s="1"/>
  <c r="M45" i="17"/>
  <c r="M41" i="17"/>
  <c r="L45" i="17"/>
  <c r="L19" i="17"/>
  <c r="P18" i="17"/>
  <c r="T18" i="17" s="1"/>
  <c r="L51" i="17"/>
  <c r="L47" i="17"/>
  <c r="L52" i="17"/>
  <c r="M47" i="17"/>
  <c r="L42" i="17"/>
  <c r="M52" i="17"/>
  <c r="L43" i="17"/>
  <c r="M42" i="17"/>
  <c r="M51" i="17"/>
  <c r="L48" i="17"/>
  <c r="M23" i="17"/>
  <c r="M13" i="17"/>
  <c r="M17" i="17"/>
  <c r="M11" i="17"/>
  <c r="M19" i="17"/>
  <c r="M9" i="17"/>
  <c r="M48" i="17"/>
  <c r="P3" i="17"/>
  <c r="M43" i="17"/>
  <c r="L41" i="17"/>
  <c r="H17" i="17"/>
  <c r="L16" i="17"/>
  <c r="Z16" i="17" s="1"/>
  <c r="AD16" i="17" s="1"/>
  <c r="AH16" i="17" s="1"/>
  <c r="H23" i="17"/>
  <c r="L22" i="17"/>
  <c r="Z22" i="17" s="1"/>
  <c r="L58" i="17"/>
  <c r="H19" i="17"/>
  <c r="I58" i="17"/>
  <c r="I53" i="17"/>
  <c r="R73" i="11"/>
  <c r="I14" i="17"/>
  <c r="Q3" i="17"/>
  <c r="H53" i="17"/>
  <c r="I70" i="11"/>
  <c r="I68" i="11"/>
  <c r="J2" i="11"/>
  <c r="J77" i="11" s="1"/>
  <c r="I2" i="11"/>
  <c r="I77" i="11" s="1"/>
  <c r="I5" i="11"/>
  <c r="I58" i="11" s="1"/>
  <c r="I169" i="10"/>
  <c r="I167" i="10"/>
  <c r="J2" i="10"/>
  <c r="J176" i="10" s="1"/>
  <c r="I2" i="10"/>
  <c r="I176" i="10" s="1"/>
  <c r="T3" i="17" l="1"/>
  <c r="T19" i="17"/>
  <c r="AV31" i="17"/>
  <c r="BD31" i="17" s="1"/>
  <c r="L49" i="17"/>
  <c r="M49" i="17"/>
  <c r="P38" i="17"/>
  <c r="T38" i="17" s="1"/>
  <c r="L44" i="17"/>
  <c r="AB74" i="11"/>
  <c r="M44" i="17"/>
  <c r="V73" i="11"/>
  <c r="V74" i="11" s="1"/>
  <c r="R74" i="11"/>
  <c r="AJ73" i="11"/>
  <c r="AJ74" i="11" s="1"/>
  <c r="AF74" i="11"/>
  <c r="AS28" i="17"/>
  <c r="AH20" i="17"/>
  <c r="AH28" i="17"/>
  <c r="U3" i="17"/>
  <c r="AW31" i="17"/>
  <c r="AV18" i="17"/>
  <c r="BD18" i="17" s="1"/>
  <c r="AD22" i="17"/>
  <c r="AH22" i="17" s="1"/>
  <c r="AN16" i="17"/>
  <c r="AR16" i="17" s="1"/>
  <c r="AD20" i="17"/>
  <c r="P28" i="17"/>
  <c r="T28" i="17" s="1"/>
  <c r="L53" i="17"/>
  <c r="P41" i="17"/>
  <c r="P58" i="17"/>
  <c r="T58" i="17" s="1"/>
  <c r="P45" i="17"/>
  <c r="Q58" i="17"/>
  <c r="P47" i="17"/>
  <c r="T47" i="17" s="1"/>
  <c r="P48" i="17"/>
  <c r="T48" i="17" s="1"/>
  <c r="P36" i="17"/>
  <c r="T36" i="17" s="1"/>
  <c r="P51" i="17"/>
  <c r="T51" i="17" s="1"/>
  <c r="Q48" i="17"/>
  <c r="P43" i="17"/>
  <c r="T43" i="17" s="1"/>
  <c r="P42" i="17"/>
  <c r="T42" i="17" s="1"/>
  <c r="P52" i="17"/>
  <c r="T52" i="17" s="1"/>
  <c r="Q52" i="17"/>
  <c r="L23" i="17"/>
  <c r="P22" i="17"/>
  <c r="T22" i="17" s="1"/>
  <c r="Q41" i="17"/>
  <c r="Q43" i="17"/>
  <c r="Q38" i="17"/>
  <c r="Q36" i="17"/>
  <c r="L17" i="17"/>
  <c r="P16" i="17"/>
  <c r="T16" i="17" s="1"/>
  <c r="T17" i="17" s="1"/>
  <c r="M53" i="17"/>
  <c r="Q51" i="17"/>
  <c r="P19" i="17"/>
  <c r="Q17" i="17"/>
  <c r="Q13" i="17"/>
  <c r="Q23" i="17"/>
  <c r="Q19" i="17"/>
  <c r="Q9" i="17"/>
  <c r="Q11" i="17"/>
  <c r="Q42" i="17"/>
  <c r="Q47" i="17"/>
  <c r="Q45" i="17"/>
  <c r="I20" i="17"/>
  <c r="I24" i="17" s="1"/>
  <c r="Q14" i="17"/>
  <c r="U14" i="17" s="1"/>
  <c r="I178" i="10"/>
  <c r="L65" i="59" s="1"/>
  <c r="I79" i="11"/>
  <c r="L69" i="59" s="1"/>
  <c r="Q169" i="10"/>
  <c r="U169" i="10" s="1"/>
  <c r="Q68" i="11"/>
  <c r="U68" i="11" s="1"/>
  <c r="I78" i="11"/>
  <c r="I75" i="11"/>
  <c r="I76" i="11"/>
  <c r="Q70" i="11"/>
  <c r="U70" i="11" s="1"/>
  <c r="N2" i="11"/>
  <c r="N77" i="11" s="1"/>
  <c r="J78" i="11"/>
  <c r="J76" i="11"/>
  <c r="J75" i="11"/>
  <c r="I15" i="17"/>
  <c r="I175" i="10"/>
  <c r="I177" i="10"/>
  <c r="I174" i="10"/>
  <c r="N2" i="10"/>
  <c r="N176" i="10" s="1"/>
  <c r="J177" i="10"/>
  <c r="J175" i="10"/>
  <c r="J174" i="10"/>
  <c r="I66" i="11"/>
  <c r="M2" i="11"/>
  <c r="M77" i="11" s="1"/>
  <c r="I72" i="11"/>
  <c r="I170" i="10"/>
  <c r="I71" i="11"/>
  <c r="I172" i="10"/>
  <c r="I173" i="10" s="1"/>
  <c r="I165" i="10"/>
  <c r="M2" i="10"/>
  <c r="M176" i="10" s="1"/>
  <c r="H69" i="59"/>
  <c r="H65" i="59"/>
  <c r="I73" i="11"/>
  <c r="I69" i="11"/>
  <c r="L68" i="59" s="1"/>
  <c r="I168" i="10"/>
  <c r="L64" i="59" s="1"/>
  <c r="J5" i="11"/>
  <c r="J58" i="11" s="1"/>
  <c r="U58" i="17" l="1"/>
  <c r="U52" i="17"/>
  <c r="U36" i="17"/>
  <c r="T45" i="17"/>
  <c r="T49" i="17" s="1"/>
  <c r="P49" i="17"/>
  <c r="U38" i="17"/>
  <c r="U43" i="17"/>
  <c r="Q49" i="17"/>
  <c r="AW28" i="17"/>
  <c r="BE28" i="17" s="1"/>
  <c r="U47" i="17"/>
  <c r="U42" i="17"/>
  <c r="U51" i="17"/>
  <c r="U53" i="17" s="1"/>
  <c r="Q44" i="17"/>
  <c r="T41" i="17"/>
  <c r="T44" i="17" s="1"/>
  <c r="P44" i="17"/>
  <c r="AA73" i="11"/>
  <c r="AE73" i="11" s="1"/>
  <c r="I74" i="11"/>
  <c r="AP73" i="11"/>
  <c r="AH24" i="17"/>
  <c r="AV16" i="17"/>
  <c r="BD16" i="17" s="1"/>
  <c r="BD20" i="17" s="1"/>
  <c r="U13" i="17"/>
  <c r="U23" i="17"/>
  <c r="U19" i="17"/>
  <c r="U9" i="17"/>
  <c r="U11" i="17"/>
  <c r="U17" i="17"/>
  <c r="AN28" i="17"/>
  <c r="AR28" i="17" s="1"/>
  <c r="U41" i="17"/>
  <c r="U45" i="17"/>
  <c r="U48" i="17"/>
  <c r="AR20" i="17"/>
  <c r="BE31" i="17"/>
  <c r="U79" i="11"/>
  <c r="X69" i="59" s="1"/>
  <c r="U71" i="11"/>
  <c r="U69" i="11"/>
  <c r="T53" i="17"/>
  <c r="U15" i="17"/>
  <c r="U20" i="17"/>
  <c r="T23" i="17"/>
  <c r="P53" i="17"/>
  <c r="AN20" i="17"/>
  <c r="AD24" i="17"/>
  <c r="AN22" i="17"/>
  <c r="P17" i="17"/>
  <c r="Z3" i="17"/>
  <c r="P23" i="17"/>
  <c r="Q15" i="17"/>
  <c r="Q20" i="17"/>
  <c r="Q53" i="17"/>
  <c r="M15" i="17"/>
  <c r="M20" i="17"/>
  <c r="N75" i="11"/>
  <c r="N78" i="11"/>
  <c r="N76" i="11"/>
  <c r="M174" i="10"/>
  <c r="M175" i="10"/>
  <c r="Y175" i="10" s="1"/>
  <c r="M177" i="10"/>
  <c r="Y177" i="10" s="1"/>
  <c r="M75" i="11"/>
  <c r="M78" i="11"/>
  <c r="M76" i="11"/>
  <c r="N175" i="10"/>
  <c r="Z175" i="10" s="1"/>
  <c r="N174" i="10"/>
  <c r="Z174" i="10" s="1"/>
  <c r="N177" i="10"/>
  <c r="Z177" i="10" s="1"/>
  <c r="Q79" i="11"/>
  <c r="T69" i="59" s="1"/>
  <c r="AA70" i="11"/>
  <c r="AE70" i="11" s="1"/>
  <c r="AA5" i="11"/>
  <c r="AE5" i="11" s="1"/>
  <c r="Q2" i="11"/>
  <c r="U2" i="11" s="1"/>
  <c r="AA2" i="11"/>
  <c r="AE2" i="11" s="1"/>
  <c r="AI2" i="11" s="1"/>
  <c r="AO2" i="11" s="1"/>
  <c r="AS2" i="11" s="1"/>
  <c r="AW2" i="11" s="1"/>
  <c r="BE2" i="11" s="1"/>
  <c r="R2" i="11"/>
  <c r="V2" i="11" s="1"/>
  <c r="AB2" i="11"/>
  <c r="AF2" i="11" s="1"/>
  <c r="AJ2" i="11" s="1"/>
  <c r="AP2" i="11" s="1"/>
  <c r="AT2" i="11" s="1"/>
  <c r="AX2" i="11" s="1"/>
  <c r="BF2" i="11" s="1"/>
  <c r="Q66" i="11"/>
  <c r="U66" i="11" s="1"/>
  <c r="U67" i="11" s="1"/>
  <c r="AA66" i="11"/>
  <c r="AE66" i="11" s="1"/>
  <c r="Q2" i="10"/>
  <c r="U2" i="10" s="1"/>
  <c r="AA2" i="10"/>
  <c r="AE2" i="10" s="1"/>
  <c r="AI2" i="10" s="1"/>
  <c r="AO2" i="10" s="1"/>
  <c r="R2" i="10"/>
  <c r="V2" i="10" s="1"/>
  <c r="AB2" i="10"/>
  <c r="AF2" i="10" s="1"/>
  <c r="AJ2" i="10" s="1"/>
  <c r="AP2" i="10" s="1"/>
  <c r="AA170" i="10"/>
  <c r="AA168" i="10"/>
  <c r="AD64" i="59" s="1"/>
  <c r="AA3" i="17"/>
  <c r="Q167" i="10"/>
  <c r="U167" i="10" s="1"/>
  <c r="U170" i="10" s="1"/>
  <c r="J89" i="11"/>
  <c r="J84" i="11"/>
  <c r="J72" i="11"/>
  <c r="Q71" i="11"/>
  <c r="Q69" i="11"/>
  <c r="T68" i="59" s="1"/>
  <c r="Q73" i="11"/>
  <c r="I21" i="17"/>
  <c r="I69" i="59"/>
  <c r="Q5" i="11"/>
  <c r="U5" i="11" s="1"/>
  <c r="U58" i="11" s="1"/>
  <c r="AA165" i="10"/>
  <c r="AE165" i="10" s="1"/>
  <c r="AI165" i="10" s="1"/>
  <c r="AI166" i="10" s="1"/>
  <c r="I67" i="11"/>
  <c r="I166" i="10"/>
  <c r="J92" i="11"/>
  <c r="I65" i="59"/>
  <c r="AE3" i="17" l="1"/>
  <c r="Z38" i="17"/>
  <c r="U49" i="17"/>
  <c r="U44" i="17"/>
  <c r="Q77" i="11"/>
  <c r="U77" i="11" s="1"/>
  <c r="AA74" i="11"/>
  <c r="U73" i="11"/>
  <c r="U74" i="11" s="1"/>
  <c r="Q74" i="11"/>
  <c r="AT73" i="11"/>
  <c r="AP74" i="11"/>
  <c r="AI73" i="11"/>
  <c r="AI74" i="11" s="1"/>
  <c r="AE74" i="11"/>
  <c r="AR22" i="17"/>
  <c r="AV20" i="17"/>
  <c r="AV28" i="17"/>
  <c r="BD28" i="17" s="1"/>
  <c r="AA77" i="11"/>
  <c r="AE77" i="11" s="1"/>
  <c r="AI77" i="11" s="1"/>
  <c r="AO77" i="11" s="1"/>
  <c r="AS77" i="11" s="1"/>
  <c r="AW77" i="11" s="1"/>
  <c r="R77" i="11"/>
  <c r="V77" i="11" s="1"/>
  <c r="AB77" i="11"/>
  <c r="AF77" i="11" s="1"/>
  <c r="AJ77" i="11" s="1"/>
  <c r="AP77" i="11" s="1"/>
  <c r="AT77" i="11" s="1"/>
  <c r="AX77" i="11" s="1"/>
  <c r="AA176" i="10"/>
  <c r="AE176" i="10" s="1"/>
  <c r="AI176" i="10" s="1"/>
  <c r="AO176" i="10" s="1"/>
  <c r="Q176" i="10"/>
  <c r="U176" i="10" s="1"/>
  <c r="R176" i="10"/>
  <c r="V176" i="10" s="1"/>
  <c r="AB176" i="10"/>
  <c r="AF176" i="10" s="1"/>
  <c r="AJ176" i="10" s="1"/>
  <c r="AP176" i="10" s="1"/>
  <c r="AI5" i="11"/>
  <c r="AI70" i="11"/>
  <c r="AI66" i="11"/>
  <c r="AO66" i="11" s="1"/>
  <c r="AS66" i="11" s="1"/>
  <c r="U168" i="10"/>
  <c r="X64" i="59" s="1"/>
  <c r="U21" i="17"/>
  <c r="U24" i="17"/>
  <c r="U25" i="17" s="1"/>
  <c r="AT2" i="10"/>
  <c r="AX2" i="10" s="1"/>
  <c r="BF2" i="10" s="1"/>
  <c r="BD2" i="10"/>
  <c r="AS2" i="10"/>
  <c r="AW2" i="10" s="1"/>
  <c r="BE2" i="10" s="1"/>
  <c r="BC2" i="10"/>
  <c r="AN24" i="17"/>
  <c r="AE58" i="11"/>
  <c r="AE166" i="10"/>
  <c r="AD3" i="17"/>
  <c r="AI3" i="17"/>
  <c r="AE19" i="17"/>
  <c r="AE11" i="17"/>
  <c r="AE13" i="17"/>
  <c r="AE9" i="17"/>
  <c r="AE15" i="17"/>
  <c r="AE23" i="17"/>
  <c r="AE17" i="17"/>
  <c r="AE21" i="17"/>
  <c r="AE25" i="17"/>
  <c r="X68" i="59"/>
  <c r="AE79" i="11"/>
  <c r="AH69" i="59" s="1"/>
  <c r="AA36" i="17"/>
  <c r="AE36" i="17" s="1"/>
  <c r="AA38" i="17"/>
  <c r="AE38" i="17" s="1"/>
  <c r="Z41" i="17"/>
  <c r="Z47" i="17"/>
  <c r="Z42" i="17"/>
  <c r="Z48" i="17"/>
  <c r="Z43" i="17"/>
  <c r="Z45" i="17"/>
  <c r="Y71" i="11"/>
  <c r="Y69" i="11"/>
  <c r="AB68" i="59" s="1"/>
  <c r="Y67" i="11"/>
  <c r="AA68" i="11"/>
  <c r="AE68" i="11" s="1"/>
  <c r="AI68" i="11" s="1"/>
  <c r="Z36" i="17"/>
  <c r="Q21" i="17"/>
  <c r="Q24" i="17"/>
  <c r="Q25" i="17" s="1"/>
  <c r="Z51" i="17"/>
  <c r="Z52" i="17"/>
  <c r="AA58" i="11"/>
  <c r="AD67" i="59" s="1"/>
  <c r="Q58" i="11"/>
  <c r="T67" i="59" s="1"/>
  <c r="AA42" i="17"/>
  <c r="AE42" i="17" s="1"/>
  <c r="AA11" i="17"/>
  <c r="AA19" i="17"/>
  <c r="AA13" i="17"/>
  <c r="M21" i="17"/>
  <c r="M24" i="17"/>
  <c r="M25" i="17" s="1"/>
  <c r="AA23" i="17"/>
  <c r="AA17" i="17"/>
  <c r="AA9" i="17"/>
  <c r="AA79" i="11"/>
  <c r="AD69" i="59" s="1"/>
  <c r="AA72" i="11"/>
  <c r="AE72" i="11" s="1"/>
  <c r="AB175" i="10"/>
  <c r="AF175" i="10" s="1"/>
  <c r="AB174" i="10"/>
  <c r="AF174" i="10" s="1"/>
  <c r="AA177" i="10"/>
  <c r="AE177" i="10" s="1"/>
  <c r="Q67" i="11"/>
  <c r="X67" i="59"/>
  <c r="AB5" i="11"/>
  <c r="AF5" i="11" s="1"/>
  <c r="AJ5" i="11" s="1"/>
  <c r="AA166" i="10"/>
  <c r="AA51" i="17"/>
  <c r="AE51" i="17" s="1"/>
  <c r="AA48" i="17"/>
  <c r="AE48" i="17" s="1"/>
  <c r="AA52" i="17"/>
  <c r="AE52" i="17" s="1"/>
  <c r="AI52" i="17" s="1"/>
  <c r="AA41" i="17"/>
  <c r="AA47" i="17"/>
  <c r="AE47" i="17" s="1"/>
  <c r="AI47" i="17" s="1"/>
  <c r="AA43" i="17"/>
  <c r="AE43" i="17" s="1"/>
  <c r="AI43" i="17" s="1"/>
  <c r="AA45" i="17"/>
  <c r="Q76" i="11"/>
  <c r="U76" i="11" s="1"/>
  <c r="AA76" i="11"/>
  <c r="AE76" i="11" s="1"/>
  <c r="R76" i="11"/>
  <c r="V76" i="11" s="1"/>
  <c r="AB76" i="11"/>
  <c r="AF76" i="11" s="1"/>
  <c r="R78" i="11"/>
  <c r="V78" i="11" s="1"/>
  <c r="AB78" i="11"/>
  <c r="AF78" i="11" s="1"/>
  <c r="Q78" i="11"/>
  <c r="U78" i="11" s="1"/>
  <c r="AA78" i="11"/>
  <c r="AE78" i="11" s="1"/>
  <c r="R75" i="11"/>
  <c r="V75" i="11" s="1"/>
  <c r="AB75" i="11"/>
  <c r="AF75" i="11" s="1"/>
  <c r="AA175" i="10"/>
  <c r="AE175" i="10" s="1"/>
  <c r="AB177" i="10"/>
  <c r="AF177" i="10" s="1"/>
  <c r="Q168" i="10"/>
  <c r="T64" i="59" s="1"/>
  <c r="Q170" i="10"/>
  <c r="Q177" i="10"/>
  <c r="U177" i="10" s="1"/>
  <c r="Q165" i="10"/>
  <c r="U165" i="10" s="1"/>
  <c r="U166" i="10" s="1"/>
  <c r="R177" i="10"/>
  <c r="V177" i="10" s="1"/>
  <c r="R174" i="10"/>
  <c r="V174" i="10" s="1"/>
  <c r="Q172" i="10"/>
  <c r="U172" i="10" s="1"/>
  <c r="Q175" i="10"/>
  <c r="U175" i="10" s="1"/>
  <c r="R175" i="10"/>
  <c r="V175" i="10" s="1"/>
  <c r="I25" i="17"/>
  <c r="J94" i="11"/>
  <c r="J191" i="10"/>
  <c r="R5" i="11"/>
  <c r="V5" i="11" s="1"/>
  <c r="Q72" i="11"/>
  <c r="U72" i="11" s="1"/>
  <c r="I5" i="10"/>
  <c r="I161" i="10" s="1"/>
  <c r="AD58" i="17" l="1"/>
  <c r="AE45" i="17"/>
  <c r="AE49" i="17" s="1"/>
  <c r="AA49" i="17"/>
  <c r="AI42" i="17"/>
  <c r="AI48" i="17"/>
  <c r="AI51" i="17"/>
  <c r="AI53" i="17" s="1"/>
  <c r="AI36" i="17"/>
  <c r="AI38" i="17"/>
  <c r="Z49" i="17"/>
  <c r="AD38" i="17"/>
  <c r="J193" i="10"/>
  <c r="Z44" i="17"/>
  <c r="AE41" i="17"/>
  <c r="AA44" i="17"/>
  <c r="AI72" i="11"/>
  <c r="AO73" i="11"/>
  <c r="AS73" i="11" s="1"/>
  <c r="AX73" i="11"/>
  <c r="AT74" i="11"/>
  <c r="AV22" i="17"/>
  <c r="AO3" i="17"/>
  <c r="AI17" i="17"/>
  <c r="AI13" i="17"/>
  <c r="AI9" i="17"/>
  <c r="AI11" i="17"/>
  <c r="AI19" i="17"/>
  <c r="AI21" i="17"/>
  <c r="AI15" i="17"/>
  <c r="AI23" i="17"/>
  <c r="AI25" i="17"/>
  <c r="AR24" i="17"/>
  <c r="AS176" i="10"/>
  <c r="AW176" i="10" s="1"/>
  <c r="AT176" i="10"/>
  <c r="AX176" i="10" s="1"/>
  <c r="AW66" i="11"/>
  <c r="AJ89" i="11"/>
  <c r="AJ58" i="11"/>
  <c r="AJ22" i="36" s="1"/>
  <c r="AJ84" i="11"/>
  <c r="V89" i="11"/>
  <c r="V58" i="11"/>
  <c r="V84" i="11"/>
  <c r="AI58" i="11"/>
  <c r="AI69" i="11"/>
  <c r="AI67" i="11"/>
  <c r="AI71" i="11"/>
  <c r="AI79" i="11"/>
  <c r="AL69" i="59" s="1"/>
  <c r="AE69" i="11"/>
  <c r="AH68" i="59" s="1"/>
  <c r="AO70" i="11"/>
  <c r="AJ78" i="11"/>
  <c r="AP78" i="11" s="1"/>
  <c r="AT78" i="11" s="1"/>
  <c r="AI177" i="10"/>
  <c r="AO177" i="10" s="1"/>
  <c r="AS177" i="10" s="1"/>
  <c r="AI78" i="11"/>
  <c r="AO78" i="11" s="1"/>
  <c r="AS78" i="11" s="1"/>
  <c r="AJ177" i="10"/>
  <c r="AP177" i="10" s="1"/>
  <c r="AT177" i="10" s="1"/>
  <c r="AJ175" i="10"/>
  <c r="AP175" i="10" s="1"/>
  <c r="AT175" i="10" s="1"/>
  <c r="AI175" i="10"/>
  <c r="AO175" i="10" s="1"/>
  <c r="AS175" i="10" s="1"/>
  <c r="AJ76" i="11"/>
  <c r="AP76" i="11" s="1"/>
  <c r="AT76" i="11" s="1"/>
  <c r="AI76" i="11"/>
  <c r="AO76" i="11" s="1"/>
  <c r="AS76" i="11" s="1"/>
  <c r="AJ75" i="11"/>
  <c r="AP75" i="11" s="1"/>
  <c r="AT75" i="11" s="1"/>
  <c r="AJ174" i="10"/>
  <c r="AP174" i="10" s="1"/>
  <c r="AT174" i="10" s="1"/>
  <c r="AO52" i="17"/>
  <c r="AD52" i="17"/>
  <c r="AD48" i="17"/>
  <c r="AD42" i="17"/>
  <c r="BC177" i="10"/>
  <c r="BC174" i="10"/>
  <c r="BC175" i="10"/>
  <c r="BD177" i="10"/>
  <c r="BD175" i="10"/>
  <c r="BD174" i="10"/>
  <c r="AO165" i="10"/>
  <c r="AO23" i="17"/>
  <c r="AO17" i="17"/>
  <c r="AO21" i="17"/>
  <c r="AD45" i="17"/>
  <c r="AD47" i="17"/>
  <c r="AD36" i="17"/>
  <c r="AD43" i="17"/>
  <c r="AF89" i="11"/>
  <c r="AF58" i="11"/>
  <c r="AF22" i="36" s="1"/>
  <c r="AI67" i="59" s="1"/>
  <c r="AF84" i="11"/>
  <c r="AO5" i="11"/>
  <c r="AA71" i="11"/>
  <c r="AA67" i="11"/>
  <c r="AO68" i="11"/>
  <c r="AS68" i="11" s="1"/>
  <c r="AE53" i="17"/>
  <c r="AD51" i="17"/>
  <c r="AH3" i="17"/>
  <c r="AD15" i="17"/>
  <c r="AD19" i="17"/>
  <c r="AD17" i="17"/>
  <c r="AD23" i="17"/>
  <c r="AD41" i="17"/>
  <c r="AE67" i="11"/>
  <c r="AE71" i="11"/>
  <c r="AA69" i="11"/>
  <c r="AD68" i="59" s="1"/>
  <c r="AB58" i="11"/>
  <c r="AE67" i="59" s="1"/>
  <c r="R58" i="11"/>
  <c r="R22" i="36" s="1"/>
  <c r="Z19" i="17"/>
  <c r="AB89" i="11"/>
  <c r="J31" i="35"/>
  <c r="AB84" i="11"/>
  <c r="AB72" i="11"/>
  <c r="AF72" i="11" s="1"/>
  <c r="AJ72" i="11" s="1"/>
  <c r="AA53" i="17"/>
  <c r="Q166" i="10"/>
  <c r="Z53" i="17"/>
  <c r="R191" i="10"/>
  <c r="U65" i="59"/>
  <c r="Z17" i="17"/>
  <c r="Z23" i="17"/>
  <c r="R72" i="11"/>
  <c r="V72" i="11" s="1"/>
  <c r="R89" i="11"/>
  <c r="R84" i="11"/>
  <c r="R92" i="11"/>
  <c r="I171" i="10"/>
  <c r="J5" i="10"/>
  <c r="J161" i="10" s="1"/>
  <c r="I95" i="9"/>
  <c r="AO42" i="17" l="1"/>
  <c r="J97" i="11"/>
  <c r="AI45" i="17"/>
  <c r="AI49" i="17" s="1"/>
  <c r="AS3" i="17"/>
  <c r="AS42" i="17" s="1"/>
  <c r="BE66" i="11"/>
  <c r="AD49" i="17"/>
  <c r="AH42" i="17"/>
  <c r="AD44" i="17"/>
  <c r="AO43" i="17"/>
  <c r="AS43" i="17" s="1"/>
  <c r="AH38" i="17"/>
  <c r="R193" i="10"/>
  <c r="AI41" i="17"/>
  <c r="AO41" i="17" s="1"/>
  <c r="AE44" i="17"/>
  <c r="AO74" i="11"/>
  <c r="AX74" i="11"/>
  <c r="BF73" i="11"/>
  <c r="BF74" i="11" s="1"/>
  <c r="AW73" i="11"/>
  <c r="AS74" i="11"/>
  <c r="AS52" i="17"/>
  <c r="AW3" i="17"/>
  <c r="AS17" i="17"/>
  <c r="AS13" i="17"/>
  <c r="AS19" i="17"/>
  <c r="AO36" i="17"/>
  <c r="AH43" i="17"/>
  <c r="AO9" i="17"/>
  <c r="AH48" i="17"/>
  <c r="BD22" i="17"/>
  <c r="AV24" i="17"/>
  <c r="AH36" i="17"/>
  <c r="AO15" i="17"/>
  <c r="AH52" i="17"/>
  <c r="AH15" i="17"/>
  <c r="AH19" i="17"/>
  <c r="AH17" i="17"/>
  <c r="AH23" i="17"/>
  <c r="AH47" i="17"/>
  <c r="AO11" i="17"/>
  <c r="AO48" i="17"/>
  <c r="AH45" i="17"/>
  <c r="AO13" i="17"/>
  <c r="AO47" i="17"/>
  <c r="AH58" i="17"/>
  <c r="AH51" i="17"/>
  <c r="AH41" i="17"/>
  <c r="AO38" i="17"/>
  <c r="AO25" i="17"/>
  <c r="AO19" i="17"/>
  <c r="AX75" i="11"/>
  <c r="BF75" i="11" s="1"/>
  <c r="AW78" i="11"/>
  <c r="BE78" i="11" s="1"/>
  <c r="AW76" i="11"/>
  <c r="BE76" i="11" s="1"/>
  <c r="AW68" i="11"/>
  <c r="AX76" i="11"/>
  <c r="BF76" i="11" s="1"/>
  <c r="AX78" i="11"/>
  <c r="BF78" i="11" s="1"/>
  <c r="AW177" i="10"/>
  <c r="AW175" i="10"/>
  <c r="AX175" i="10"/>
  <c r="AX174" i="10"/>
  <c r="AX177" i="10"/>
  <c r="AS70" i="11"/>
  <c r="AO79" i="11"/>
  <c r="AR69" i="59" s="1"/>
  <c r="AD53" i="17"/>
  <c r="AO58" i="11"/>
  <c r="AR67" i="59" s="1"/>
  <c r="AS5" i="11"/>
  <c r="AS165" i="10"/>
  <c r="AW165" i="10" s="1"/>
  <c r="AO166" i="10"/>
  <c r="AS67" i="11"/>
  <c r="AN3" i="17"/>
  <c r="AD21" i="17"/>
  <c r="AD25" i="17" s="1"/>
  <c r="AO51" i="17"/>
  <c r="AS51" i="17" s="1"/>
  <c r="AP5" i="11"/>
  <c r="AT5" i="11" s="1"/>
  <c r="AM67" i="59"/>
  <c r="AO67" i="11"/>
  <c r="AO69" i="11"/>
  <c r="AR68" i="59" s="1"/>
  <c r="AO71" i="11"/>
  <c r="AO72" i="11"/>
  <c r="AL68" i="59"/>
  <c r="AB22" i="36"/>
  <c r="J33" i="35"/>
  <c r="J21" i="36"/>
  <c r="M63" i="59" s="1"/>
  <c r="AA5" i="10"/>
  <c r="Q5" i="10"/>
  <c r="AA15" i="17"/>
  <c r="AA20" i="17"/>
  <c r="J188" i="10"/>
  <c r="R94" i="11"/>
  <c r="R79" i="11"/>
  <c r="U69" i="59" s="1"/>
  <c r="J183" i="10"/>
  <c r="J171" i="10"/>
  <c r="N21" i="36"/>
  <c r="Q63" i="59" s="1"/>
  <c r="I92" i="9"/>
  <c r="J99" i="9"/>
  <c r="J95" i="9"/>
  <c r="J92" i="9"/>
  <c r="I99" i="9"/>
  <c r="AS25" i="17" l="1"/>
  <c r="AS38" i="17"/>
  <c r="AS23" i="17"/>
  <c r="AS21" i="17"/>
  <c r="AS15" i="17"/>
  <c r="AS11" i="17"/>
  <c r="AS9" i="17"/>
  <c r="AO45" i="17"/>
  <c r="AS45" i="17" s="1"/>
  <c r="AW45" i="17" s="1"/>
  <c r="AR3" i="17"/>
  <c r="AR17" i="17" s="1"/>
  <c r="AW166" i="10"/>
  <c r="BF174" i="10"/>
  <c r="BF175" i="10"/>
  <c r="BE175" i="10"/>
  <c r="BF177" i="10"/>
  <c r="BE177" i="10"/>
  <c r="AW38" i="17"/>
  <c r="AH49" i="17"/>
  <c r="AW5" i="11"/>
  <c r="AW58" i="11" s="1"/>
  <c r="AW70" i="11"/>
  <c r="AW69" i="11" s="1"/>
  <c r="AX5" i="11"/>
  <c r="AW43" i="17"/>
  <c r="AN38" i="17"/>
  <c r="AR38" i="17" s="1"/>
  <c r="AH44" i="17"/>
  <c r="AS41" i="17"/>
  <c r="AS44" i="17" s="1"/>
  <c r="AO44" i="17"/>
  <c r="AI44" i="17"/>
  <c r="AW74" i="11"/>
  <c r="BE73" i="11"/>
  <c r="BE74" i="11" s="1"/>
  <c r="AS36" i="17"/>
  <c r="AW36" i="17" s="1"/>
  <c r="AS48" i="17"/>
  <c r="AW48" i="17" s="1"/>
  <c r="BD24" i="17"/>
  <c r="AW9" i="17"/>
  <c r="AW19" i="17"/>
  <c r="AW11" i="17"/>
  <c r="AW13" i="17"/>
  <c r="AW17" i="17"/>
  <c r="AW15" i="17"/>
  <c r="AW21" i="17"/>
  <c r="AW23" i="17"/>
  <c r="AW25" i="17"/>
  <c r="BE3" i="17"/>
  <c r="AW51" i="17"/>
  <c r="AS53" i="17"/>
  <c r="AH21" i="17"/>
  <c r="AW52" i="17"/>
  <c r="AH53" i="17"/>
  <c r="AW42" i="17"/>
  <c r="AV3" i="17"/>
  <c r="AS47" i="17"/>
  <c r="AW47" i="17" s="1"/>
  <c r="AS71" i="11"/>
  <c r="AS69" i="11"/>
  <c r="AV68" i="59" s="1"/>
  <c r="AW67" i="11"/>
  <c r="BE68" i="11"/>
  <c r="BE67" i="11" s="1"/>
  <c r="AS79" i="11"/>
  <c r="AV69" i="59" s="1"/>
  <c r="U5" i="10"/>
  <c r="AN41" i="17"/>
  <c r="AN58" i="17"/>
  <c r="AN47" i="17"/>
  <c r="AR47" i="17" s="1"/>
  <c r="AN36" i="17"/>
  <c r="V22" i="36"/>
  <c r="Y67" i="59"/>
  <c r="AN45" i="17"/>
  <c r="AS72" i="11"/>
  <c r="AS166" i="10"/>
  <c r="AN43" i="17"/>
  <c r="AS58" i="11"/>
  <c r="AO53" i="17"/>
  <c r="AN42" i="17"/>
  <c r="AT89" i="11"/>
  <c r="AT58" i="11"/>
  <c r="AT22" i="36" s="1"/>
  <c r="AW67" i="59" s="1"/>
  <c r="AT84" i="11"/>
  <c r="AN52" i="17"/>
  <c r="AN51" i="17"/>
  <c r="AN15" i="17"/>
  <c r="AN19" i="17"/>
  <c r="AN17" i="17"/>
  <c r="AN23" i="17"/>
  <c r="AN48" i="17"/>
  <c r="AR48" i="17" s="1"/>
  <c r="AP89" i="11"/>
  <c r="AP58" i="11"/>
  <c r="AP84" i="11"/>
  <c r="AP72" i="11"/>
  <c r="AT72" i="11" s="1"/>
  <c r="AE5" i="10"/>
  <c r="AA24" i="17"/>
  <c r="J79" i="11"/>
  <c r="M69" i="59" s="1"/>
  <c r="J22" i="36"/>
  <c r="M67" i="59" s="1"/>
  <c r="J34" i="35"/>
  <c r="N33" i="35"/>
  <c r="AA171" i="10"/>
  <c r="AB5" i="10"/>
  <c r="AB161" i="10" s="1"/>
  <c r="R5" i="10"/>
  <c r="Q171" i="10"/>
  <c r="AA21" i="17"/>
  <c r="I38" i="9"/>
  <c r="I20" i="9"/>
  <c r="I15" i="9"/>
  <c r="J2" i="9"/>
  <c r="I2" i="9"/>
  <c r="AR51" i="17" l="1"/>
  <c r="AR19" i="17"/>
  <c r="AR15" i="17"/>
  <c r="AR23" i="17"/>
  <c r="AO49" i="17"/>
  <c r="BD3" i="17"/>
  <c r="BD15" i="17" s="1"/>
  <c r="AV48" i="17"/>
  <c r="AW72" i="11"/>
  <c r="BE5" i="11"/>
  <c r="AX89" i="11"/>
  <c r="AW71" i="11"/>
  <c r="AX72" i="11"/>
  <c r="AW79" i="11"/>
  <c r="AZ69" i="59" s="1"/>
  <c r="BF5" i="11"/>
  <c r="AX84" i="11"/>
  <c r="AR45" i="17"/>
  <c r="AR49" i="17" s="1"/>
  <c r="AN49" i="17"/>
  <c r="AX58" i="11"/>
  <c r="AX22" i="36" s="1"/>
  <c r="BA67" i="59" s="1"/>
  <c r="AW49" i="17"/>
  <c r="AS49" i="17"/>
  <c r="BE36" i="17"/>
  <c r="BE47" i="17"/>
  <c r="BE52" i="17"/>
  <c r="BE48" i="17"/>
  <c r="AV38" i="17"/>
  <c r="AW41" i="17"/>
  <c r="AW44" i="17" s="1"/>
  <c r="AW53" i="17"/>
  <c r="AN44" i="17"/>
  <c r="AR43" i="17"/>
  <c r="AV43" i="17" s="1"/>
  <c r="AR36" i="17"/>
  <c r="AV36" i="17" s="1"/>
  <c r="BD36" i="17" s="1"/>
  <c r="AV47" i="17"/>
  <c r="BD47" i="17" s="1"/>
  <c r="AR21" i="17"/>
  <c r="AV51" i="17"/>
  <c r="AR41" i="17"/>
  <c r="AH25" i="17"/>
  <c r="AR52" i="17"/>
  <c r="AV52" i="17" s="1"/>
  <c r="BD52" i="17" s="1"/>
  <c r="AV15" i="17"/>
  <c r="AV19" i="17"/>
  <c r="AV17" i="17"/>
  <c r="AV23" i="17"/>
  <c r="BE45" i="17"/>
  <c r="BE11" i="17"/>
  <c r="BE13" i="17"/>
  <c r="BE15" i="17"/>
  <c r="BE17" i="17"/>
  <c r="BE9" i="17"/>
  <c r="BE23" i="17"/>
  <c r="BE21" i="17"/>
  <c r="BE19" i="17"/>
  <c r="BE38" i="17"/>
  <c r="BE25" i="17"/>
  <c r="BE42" i="17"/>
  <c r="BE43" i="17"/>
  <c r="AR42" i="17"/>
  <c r="AV42" i="17" s="1"/>
  <c r="BD42" i="17" s="1"/>
  <c r="U171" i="10"/>
  <c r="AR58" i="17"/>
  <c r="BE70" i="11"/>
  <c r="AZ68" i="59"/>
  <c r="AI5" i="10"/>
  <c r="R161" i="10"/>
  <c r="U63" i="59" s="1"/>
  <c r="V5" i="10"/>
  <c r="AE171" i="10"/>
  <c r="BE165" i="10"/>
  <c r="AN53" i="17"/>
  <c r="AN21" i="17"/>
  <c r="AS67" i="59"/>
  <c r="AP22" i="36"/>
  <c r="AF5" i="10"/>
  <c r="R97" i="11"/>
  <c r="AA25" i="17"/>
  <c r="J36" i="35"/>
  <c r="U67" i="59"/>
  <c r="AB171" i="10"/>
  <c r="AB188" i="10"/>
  <c r="AB183" i="10"/>
  <c r="R171" i="10"/>
  <c r="R188" i="10"/>
  <c r="R183" i="10"/>
  <c r="J103" i="9"/>
  <c r="J97" i="9"/>
  <c r="J98" i="9"/>
  <c r="I51" i="9"/>
  <c r="M94" i="9"/>
  <c r="L19" i="15" s="1"/>
  <c r="I104" i="9"/>
  <c r="L58" i="59" s="1"/>
  <c r="I89" i="9"/>
  <c r="I96" i="9"/>
  <c r="I94" i="9"/>
  <c r="H19" i="15" s="1"/>
  <c r="I93" i="9"/>
  <c r="H130" i="26"/>
  <c r="I67" i="9"/>
  <c r="I27" i="9"/>
  <c r="I98" i="9"/>
  <c r="I97" i="9"/>
  <c r="I34" i="22"/>
  <c r="I55" i="9"/>
  <c r="I69" i="9"/>
  <c r="I64" i="9"/>
  <c r="I24" i="9"/>
  <c r="I47" i="9"/>
  <c r="I63" i="9"/>
  <c r="I68" i="9"/>
  <c r="I65" i="9"/>
  <c r="I70" i="9"/>
  <c r="I22" i="9"/>
  <c r="M2" i="9"/>
  <c r="I103" i="9"/>
  <c r="N2" i="9"/>
  <c r="I19" i="9"/>
  <c r="I101" i="9"/>
  <c r="J64" i="9"/>
  <c r="J11" i="9"/>
  <c r="J69" i="9"/>
  <c r="J55" i="9"/>
  <c r="J63" i="9"/>
  <c r="J67" i="9"/>
  <c r="J68" i="9"/>
  <c r="J15" i="9"/>
  <c r="I102" i="9"/>
  <c r="I100" i="9"/>
  <c r="J20" i="9"/>
  <c r="J9" i="9"/>
  <c r="J7" i="9"/>
  <c r="J19" i="9"/>
  <c r="J88" i="9"/>
  <c r="J65" i="9"/>
  <c r="J70" i="9"/>
  <c r="J27" i="9"/>
  <c r="J29" i="9"/>
  <c r="J8" i="9"/>
  <c r="J24" i="9"/>
  <c r="J12" i="9"/>
  <c r="J23" i="9"/>
  <c r="J22" i="9"/>
  <c r="J2" i="8"/>
  <c r="I2" i="8"/>
  <c r="BD23" i="17" l="1"/>
  <c r="BD17" i="17"/>
  <c r="BD19" i="17"/>
  <c r="BD38" i="17"/>
  <c r="J56" i="36"/>
  <c r="J16" i="36" s="1"/>
  <c r="M53" i="59" s="1"/>
  <c r="J57" i="36"/>
  <c r="J17" i="36" s="1"/>
  <c r="M54" i="59" s="1"/>
  <c r="H121" i="26"/>
  <c r="H119" i="26"/>
  <c r="H124" i="26"/>
  <c r="H122" i="26"/>
  <c r="H114" i="26"/>
  <c r="H115" i="26"/>
  <c r="H117" i="26"/>
  <c r="H123" i="26"/>
  <c r="H125" i="26"/>
  <c r="H128" i="26"/>
  <c r="H118" i="26"/>
  <c r="H126" i="26"/>
  <c r="H120" i="26"/>
  <c r="H116" i="26"/>
  <c r="H127" i="26"/>
  <c r="I72" i="9"/>
  <c r="BD43" i="17"/>
  <c r="BF72" i="11"/>
  <c r="BF89" i="11"/>
  <c r="BF58" i="11"/>
  <c r="BF22" i="36" s="1"/>
  <c r="BE72" i="11"/>
  <c r="BE166" i="10"/>
  <c r="AV45" i="17"/>
  <c r="BD45" i="17" s="1"/>
  <c r="BF84" i="11"/>
  <c r="BE58" i="11"/>
  <c r="BE49" i="17"/>
  <c r="AR44" i="17"/>
  <c r="AI171" i="10"/>
  <c r="AV53" i="17"/>
  <c r="AR53" i="17"/>
  <c r="R21" i="36"/>
  <c r="AR25" i="17"/>
  <c r="AV41" i="17"/>
  <c r="AV44" i="17" s="1"/>
  <c r="AV21" i="17"/>
  <c r="V171" i="10"/>
  <c r="AV58" i="17"/>
  <c r="BD58" i="17" s="1"/>
  <c r="BE79" i="11"/>
  <c r="BH69" i="59" s="1"/>
  <c r="BE71" i="11"/>
  <c r="BE69" i="11"/>
  <c r="BH68" i="59" s="1"/>
  <c r="AF161" i="10"/>
  <c r="AF21" i="36" s="1"/>
  <c r="AI63" i="59" s="1"/>
  <c r="AJ5" i="10"/>
  <c r="V188" i="10"/>
  <c r="V183" i="10"/>
  <c r="V161" i="10"/>
  <c r="V21" i="36" s="1"/>
  <c r="J89" i="8"/>
  <c r="BD21" i="17"/>
  <c r="AO5" i="10"/>
  <c r="BE41" i="17"/>
  <c r="BE51" i="17"/>
  <c r="BE53" i="17" s="1"/>
  <c r="AN25" i="17"/>
  <c r="AF171" i="10"/>
  <c r="AF183" i="10"/>
  <c r="AF188" i="10"/>
  <c r="J72" i="9"/>
  <c r="J58" i="36"/>
  <c r="R2" i="9"/>
  <c r="V2" i="9" s="1"/>
  <c r="AB2" i="9" s="1"/>
  <c r="AF2" i="9" s="1"/>
  <c r="AJ2" i="9" s="1"/>
  <c r="AP2" i="9" s="1"/>
  <c r="AT2" i="9" s="1"/>
  <c r="AX2" i="9" s="1"/>
  <c r="BF2" i="9" s="1"/>
  <c r="N103" i="9"/>
  <c r="N98" i="9"/>
  <c r="N97" i="9"/>
  <c r="M103" i="9"/>
  <c r="M98" i="9"/>
  <c r="M97" i="9"/>
  <c r="J48" i="35"/>
  <c r="J37" i="35"/>
  <c r="F25" i="36"/>
  <c r="I75" i="59" s="1"/>
  <c r="N36" i="35"/>
  <c r="M2" i="8"/>
  <c r="I89" i="8"/>
  <c r="J129" i="7"/>
  <c r="J101" i="9"/>
  <c r="I53" i="9"/>
  <c r="J51" i="9"/>
  <c r="I83" i="9"/>
  <c r="M25" i="9"/>
  <c r="M89" i="9"/>
  <c r="M100" i="9"/>
  <c r="M96" i="9"/>
  <c r="Y96" i="9"/>
  <c r="I82" i="9"/>
  <c r="L61" i="59" s="1"/>
  <c r="I86" i="9"/>
  <c r="N25" i="9"/>
  <c r="I85" i="9"/>
  <c r="I87" i="9"/>
  <c r="L60" i="59" s="1"/>
  <c r="I80" i="9"/>
  <c r="I81" i="9"/>
  <c r="M93" i="9"/>
  <c r="I90" i="9"/>
  <c r="I91" i="9" s="1"/>
  <c r="M90" i="9"/>
  <c r="N2" i="8"/>
  <c r="J81" i="8"/>
  <c r="M44" i="59" s="1"/>
  <c r="J88" i="8"/>
  <c r="E35" i="8"/>
  <c r="J134" i="9"/>
  <c r="J138" i="9"/>
  <c r="J137" i="9"/>
  <c r="J139" i="9"/>
  <c r="J136" i="9"/>
  <c r="J135" i="9"/>
  <c r="J64" i="8"/>
  <c r="J68" i="8"/>
  <c r="I25" i="9"/>
  <c r="Q2" i="9"/>
  <c r="U2" i="9" s="1"/>
  <c r="I29" i="8"/>
  <c r="I88" i="8"/>
  <c r="I31" i="8"/>
  <c r="J93" i="9"/>
  <c r="J10" i="9"/>
  <c r="I27" i="8"/>
  <c r="J25" i="9"/>
  <c r="I28" i="8"/>
  <c r="J18" i="36" l="1"/>
  <c r="M55" i="59" s="1"/>
  <c r="J57" i="8"/>
  <c r="I52" i="9"/>
  <c r="L57" i="59" s="1"/>
  <c r="J55" i="8"/>
  <c r="I149" i="8"/>
  <c r="M76" i="59"/>
  <c r="J49" i="35"/>
  <c r="BI67" i="59"/>
  <c r="AV49" i="17"/>
  <c r="N78" i="8"/>
  <c r="BE44" i="17"/>
  <c r="AV25" i="17"/>
  <c r="BD41" i="17"/>
  <c r="BD44" i="17" s="1"/>
  <c r="AJ171" i="10"/>
  <c r="AJ188" i="10"/>
  <c r="AJ183" i="10"/>
  <c r="AJ161" i="10"/>
  <c r="Y63" i="59"/>
  <c r="BD25" i="17"/>
  <c r="AS5" i="10"/>
  <c r="AO171" i="10"/>
  <c r="AP5" i="10"/>
  <c r="AP161" i="10" s="1"/>
  <c r="K80" i="83"/>
  <c r="K98" i="50"/>
  <c r="BD51" i="17"/>
  <c r="BD53" i="17" s="1"/>
  <c r="BD48" i="17"/>
  <c r="BD49" i="17" s="1"/>
  <c r="AM57" i="36"/>
  <c r="N89" i="8"/>
  <c r="M35" i="8"/>
  <c r="AA35" i="8" s="1"/>
  <c r="AE35" i="8" s="1"/>
  <c r="J60" i="36"/>
  <c r="J66" i="36"/>
  <c r="J68" i="36" s="1"/>
  <c r="J19" i="36" s="1"/>
  <c r="Z97" i="9"/>
  <c r="AB97" i="9" s="1"/>
  <c r="AF97" i="9" s="1"/>
  <c r="R97" i="9"/>
  <c r="V97" i="9" s="1"/>
  <c r="R98" i="9"/>
  <c r="V98" i="9" s="1"/>
  <c r="R103" i="9"/>
  <c r="V103" i="9" s="1"/>
  <c r="I109" i="8"/>
  <c r="I110" i="8" s="1"/>
  <c r="Q98" i="9"/>
  <c r="U98" i="9" s="1"/>
  <c r="Q103" i="9"/>
  <c r="U103" i="9" s="1"/>
  <c r="Q2" i="8"/>
  <c r="M88" i="8"/>
  <c r="M89" i="8"/>
  <c r="R2" i="8"/>
  <c r="N81" i="8"/>
  <c r="Q44" i="59" s="1"/>
  <c r="N88" i="8"/>
  <c r="N10" i="9"/>
  <c r="N49" i="35"/>
  <c r="N37" i="35"/>
  <c r="O98" i="50" s="1"/>
  <c r="O96" i="50" s="1"/>
  <c r="J25" i="36"/>
  <c r="M75" i="59" s="1"/>
  <c r="AB33" i="35"/>
  <c r="N85" i="9"/>
  <c r="I7" i="9"/>
  <c r="N129" i="7"/>
  <c r="J130" i="7"/>
  <c r="J131" i="7"/>
  <c r="I61" i="59"/>
  <c r="I60" i="59"/>
  <c r="I57" i="59"/>
  <c r="AA2" i="9"/>
  <c r="AE2" i="9" s="1"/>
  <c r="AI2" i="9" s="1"/>
  <c r="M83" i="9"/>
  <c r="M88" i="9"/>
  <c r="P57" i="59"/>
  <c r="M91" i="9"/>
  <c r="M80" i="9"/>
  <c r="M85" i="9"/>
  <c r="M81" i="9"/>
  <c r="M87" i="9"/>
  <c r="P60" i="59" s="1"/>
  <c r="M86" i="9"/>
  <c r="M82" i="9"/>
  <c r="P61" i="59" s="1"/>
  <c r="I88" i="9"/>
  <c r="I69" i="8"/>
  <c r="E36" i="8"/>
  <c r="I59" i="8"/>
  <c r="J55" i="35" l="1"/>
  <c r="M36" i="8"/>
  <c r="AA36" i="8" s="1"/>
  <c r="AE36" i="8" s="1"/>
  <c r="R78" i="8"/>
  <c r="AJ21" i="36"/>
  <c r="AM63" i="59" s="1"/>
  <c r="AS171" i="10"/>
  <c r="AW5" i="10"/>
  <c r="AI35" i="8"/>
  <c r="AO35" i="8" s="1"/>
  <c r="AS35" i="8" s="1"/>
  <c r="AI36" i="8"/>
  <c r="AO36" i="8" s="1"/>
  <c r="AS36" i="8" s="1"/>
  <c r="AJ97" i="9"/>
  <c r="AP97" i="9" s="1"/>
  <c r="AT97" i="9" s="1"/>
  <c r="U24" i="36"/>
  <c r="X74" i="59" s="1"/>
  <c r="I24" i="36"/>
  <c r="L74" i="59" s="1"/>
  <c r="M24" i="36"/>
  <c r="P74" i="59" s="1"/>
  <c r="J132" i="7"/>
  <c r="AP183" i="10"/>
  <c r="AP188" i="10"/>
  <c r="AP171" i="10"/>
  <c r="AT5" i="10"/>
  <c r="AO2" i="9"/>
  <c r="AS2" i="9" s="1"/>
  <c r="AW2" i="9" s="1"/>
  <c r="BE2" i="9" s="1"/>
  <c r="M56" i="59"/>
  <c r="AS63" i="59"/>
  <c r="AP21" i="36"/>
  <c r="AM19" i="9"/>
  <c r="BC57" i="36"/>
  <c r="BC17" i="36" s="1"/>
  <c r="BE57" i="36"/>
  <c r="BE17" i="36" s="1"/>
  <c r="Q24" i="36"/>
  <c r="T74" i="59" s="1"/>
  <c r="Q35" i="8"/>
  <c r="U35" i="8" s="1"/>
  <c r="I111" i="8"/>
  <c r="I112" i="8" s="1"/>
  <c r="I53" i="8" s="1"/>
  <c r="L42" i="59" s="1"/>
  <c r="Z103" i="9"/>
  <c r="AB103" i="9" s="1"/>
  <c r="AF103" i="9" s="1"/>
  <c r="Z98" i="9"/>
  <c r="AB98" i="9" s="1"/>
  <c r="AF98" i="9" s="1"/>
  <c r="R88" i="8"/>
  <c r="U2" i="8"/>
  <c r="Q89" i="8"/>
  <c r="R81" i="8"/>
  <c r="V2" i="8"/>
  <c r="R89" i="8"/>
  <c r="I36" i="8"/>
  <c r="Q36" i="8"/>
  <c r="U36" i="8" s="1"/>
  <c r="N55" i="35"/>
  <c r="N25" i="36"/>
  <c r="Q75" i="59" s="1"/>
  <c r="M7" i="9"/>
  <c r="R129" i="7"/>
  <c r="N83" i="9"/>
  <c r="J133" i="7"/>
  <c r="N131" i="7"/>
  <c r="N130" i="7"/>
  <c r="N53" i="9"/>
  <c r="N86" i="9"/>
  <c r="AA94" i="9"/>
  <c r="Z19" i="15" s="1"/>
  <c r="Y103" i="9"/>
  <c r="AA103" i="9" s="1"/>
  <c r="AE103" i="9" s="1"/>
  <c r="Y98" i="9"/>
  <c r="AA98" i="9" s="1"/>
  <c r="AE98" i="9" s="1"/>
  <c r="AI98" i="9" s="1"/>
  <c r="N82" i="9"/>
  <c r="Q61" i="59" s="1"/>
  <c r="N52" i="9"/>
  <c r="Q57" i="59" s="1"/>
  <c r="N81" i="9"/>
  <c r="N80" i="9"/>
  <c r="AB10" i="9"/>
  <c r="N87" i="9"/>
  <c r="Q60" i="59" s="1"/>
  <c r="Y25" i="9"/>
  <c r="Y88" i="9" s="1"/>
  <c r="T57" i="59"/>
  <c r="Y94" i="9"/>
  <c r="X19" i="15" s="1"/>
  <c r="Y93" i="9"/>
  <c r="J83" i="9"/>
  <c r="J87" i="9"/>
  <c r="M60" i="59" s="1"/>
  <c r="J86" i="9"/>
  <c r="J80" i="9"/>
  <c r="J81" i="9"/>
  <c r="J85" i="9"/>
  <c r="J82" i="9"/>
  <c r="M61" i="59" s="1"/>
  <c r="T61" i="59"/>
  <c r="T60" i="59"/>
  <c r="I74" i="8"/>
  <c r="I35" i="8"/>
  <c r="I63" i="8"/>
  <c r="J52" i="9"/>
  <c r="M57" i="59" s="1"/>
  <c r="J53" i="9"/>
  <c r="I15" i="8"/>
  <c r="I10" i="8"/>
  <c r="I9" i="8"/>
  <c r="I8" i="8"/>
  <c r="J58" i="8"/>
  <c r="I6" i="8"/>
  <c r="J82" i="7"/>
  <c r="J68" i="7"/>
  <c r="J54" i="8" l="1"/>
  <c r="BH54" i="59"/>
  <c r="BF54" i="59"/>
  <c r="AW35" i="8"/>
  <c r="BE35" i="8" s="1"/>
  <c r="AW36" i="8"/>
  <c r="BE36" i="8" s="1"/>
  <c r="AT161" i="10"/>
  <c r="AW63" i="59" s="1"/>
  <c r="AX5" i="10"/>
  <c r="AW171" i="10"/>
  <c r="BE5" i="10"/>
  <c r="AX97" i="9"/>
  <c r="BF97" i="9" s="1"/>
  <c r="N132" i="7"/>
  <c r="AJ98" i="9"/>
  <c r="AP98" i="9" s="1"/>
  <c r="AT98" i="9" s="1"/>
  <c r="AJ103" i="9"/>
  <c r="AP103" i="9" s="1"/>
  <c r="AT103" i="9" s="1"/>
  <c r="AI103" i="9"/>
  <c r="AO103" i="9" s="1"/>
  <c r="AS103" i="9" s="1"/>
  <c r="V88" i="8"/>
  <c r="V78" i="8"/>
  <c r="V89" i="8"/>
  <c r="U89" i="8"/>
  <c r="V81" i="8"/>
  <c r="I83" i="8"/>
  <c r="L49" i="59" s="1"/>
  <c r="I84" i="8"/>
  <c r="L50" i="59" s="1"/>
  <c r="AO98" i="9"/>
  <c r="AS98" i="9" s="1"/>
  <c r="AT171" i="10"/>
  <c r="AT183" i="10"/>
  <c r="AT188" i="10"/>
  <c r="AM90" i="9"/>
  <c r="AM91" i="9" s="1"/>
  <c r="BC19" i="9"/>
  <c r="U44" i="59"/>
  <c r="I46" i="8"/>
  <c r="L46" i="59" s="1"/>
  <c r="AB2" i="8"/>
  <c r="AA2" i="8"/>
  <c r="AA89" i="8" s="1"/>
  <c r="M50" i="8"/>
  <c r="M51" i="8" s="1"/>
  <c r="M49" i="8"/>
  <c r="M14" i="36"/>
  <c r="P40" i="59" s="1"/>
  <c r="N133" i="7"/>
  <c r="R131" i="7"/>
  <c r="R132" i="7" s="1"/>
  <c r="R130" i="7"/>
  <c r="Y16" i="8"/>
  <c r="AA34" i="22"/>
  <c r="Z130" i="26"/>
  <c r="AA25" i="9"/>
  <c r="AA88" i="9" s="1"/>
  <c r="U60" i="59"/>
  <c r="AA93" i="9"/>
  <c r="AB25" i="9"/>
  <c r="AA89" i="9"/>
  <c r="AA100" i="9"/>
  <c r="AA96" i="9"/>
  <c r="U57" i="59"/>
  <c r="U61" i="59"/>
  <c r="I71" i="8"/>
  <c r="I44" i="8"/>
  <c r="L47" i="59" s="1"/>
  <c r="I45" i="8"/>
  <c r="I47" i="8"/>
  <c r="I43" i="8"/>
  <c r="L45" i="59" s="1"/>
  <c r="I14" i="36"/>
  <c r="L40" i="59" s="1"/>
  <c r="J31" i="8"/>
  <c r="J28" i="8"/>
  <c r="I18" i="8"/>
  <c r="I49" i="8"/>
  <c r="I92" i="8"/>
  <c r="I14" i="8"/>
  <c r="I50" i="8"/>
  <c r="I90" i="8"/>
  <c r="J10" i="8"/>
  <c r="J23" i="8"/>
  <c r="J29" i="8"/>
  <c r="J25" i="8"/>
  <c r="J14" i="8"/>
  <c r="J27" i="8"/>
  <c r="J24" i="8"/>
  <c r="I13" i="8"/>
  <c r="J13" i="8"/>
  <c r="I19" i="8"/>
  <c r="J21" i="8"/>
  <c r="J19" i="8"/>
  <c r="J18" i="8"/>
  <c r="J9" i="8"/>
  <c r="J8" i="8"/>
  <c r="J6" i="8"/>
  <c r="I82" i="8" l="1"/>
  <c r="L51" i="59" s="1"/>
  <c r="J149" i="8"/>
  <c r="I8" i="15"/>
  <c r="I51" i="8"/>
  <c r="BC90" i="9"/>
  <c r="BC91" i="9" s="1"/>
  <c r="AB88" i="8"/>
  <c r="BF5" i="10"/>
  <c r="AX171" i="10"/>
  <c r="AT21" i="36"/>
  <c r="M78" i="8"/>
  <c r="L2" i="26"/>
  <c r="L2" i="17"/>
  <c r="I78" i="8"/>
  <c r="H2" i="17"/>
  <c r="H2" i="26"/>
  <c r="AX103" i="9"/>
  <c r="BF103" i="9" s="1"/>
  <c r="AW103" i="9"/>
  <c r="BE103" i="9" s="1"/>
  <c r="BE171" i="10"/>
  <c r="AX188" i="10"/>
  <c r="AX161" i="10"/>
  <c r="BA63" i="59" s="1"/>
  <c r="AX183" i="10"/>
  <c r="AW98" i="9"/>
  <c r="BE98" i="9" s="1"/>
  <c r="AX98" i="9"/>
  <c r="BF98" i="9" s="1"/>
  <c r="L48" i="59"/>
  <c r="AF2" i="8"/>
  <c r="AB89" i="8"/>
  <c r="Y44" i="59"/>
  <c r="AE2" i="8"/>
  <c r="AB78" i="8"/>
  <c r="AA50" i="8"/>
  <c r="AA51" i="8" s="1"/>
  <c r="AA49" i="8"/>
  <c r="J74" i="8"/>
  <c r="I52" i="8"/>
  <c r="L41" i="59" s="1"/>
  <c r="L43" i="59" s="1"/>
  <c r="J46" i="8"/>
  <c r="M46" i="59" s="1"/>
  <c r="J109" i="8"/>
  <c r="J110" i="8" s="1"/>
  <c r="AB81" i="8"/>
  <c r="Q50" i="8"/>
  <c r="Q51" i="8" s="1"/>
  <c r="Q49" i="8"/>
  <c r="AB84" i="9"/>
  <c r="AB21" i="8"/>
  <c r="AF21" i="8" s="1"/>
  <c r="J10" i="36"/>
  <c r="M36" i="59" s="1"/>
  <c r="R133" i="7"/>
  <c r="N12" i="36"/>
  <c r="Q38" i="59" s="1"/>
  <c r="J12" i="36"/>
  <c r="M38" i="59" s="1"/>
  <c r="J11" i="36"/>
  <c r="M37" i="59" s="1"/>
  <c r="AA73" i="9"/>
  <c r="AA52" i="9"/>
  <c r="AD57" i="59" s="1"/>
  <c r="AA53" i="9"/>
  <c r="AB93" i="9"/>
  <c r="AB57" i="9"/>
  <c r="AF57" i="9" s="1"/>
  <c r="AJ57" i="9" s="1"/>
  <c r="AJ74" i="9" s="1"/>
  <c r="AA72" i="9"/>
  <c r="AA57" i="9"/>
  <c r="AA75" i="9"/>
  <c r="AA82" i="9"/>
  <c r="AD61" i="59" s="1"/>
  <c r="M47" i="8"/>
  <c r="AA84" i="9"/>
  <c r="AA80" i="9"/>
  <c r="AA87" i="9"/>
  <c r="AD60" i="59" s="1"/>
  <c r="AA85" i="9"/>
  <c r="AA86" i="9"/>
  <c r="AA83" i="9"/>
  <c r="AB61" i="59"/>
  <c r="AB60" i="59"/>
  <c r="Y52" i="9"/>
  <c r="AB57" i="59" s="1"/>
  <c r="Y53" i="9"/>
  <c r="J71" i="8"/>
  <c r="J70" i="8"/>
  <c r="M82" i="8"/>
  <c r="P51" i="59" s="1"/>
  <c r="H8" i="15"/>
  <c r="J41" i="8"/>
  <c r="J40" i="8"/>
  <c r="J82" i="8"/>
  <c r="M51" i="59" s="1"/>
  <c r="J39" i="8"/>
  <c r="J83" i="8"/>
  <c r="M49" i="59" s="1"/>
  <c r="J84" i="8"/>
  <c r="M50" i="59" s="1"/>
  <c r="J44" i="8"/>
  <c r="M47" i="59" s="1"/>
  <c r="J43" i="8"/>
  <c r="M45" i="59" s="1"/>
  <c r="J45" i="8"/>
  <c r="J47" i="8"/>
  <c r="M92" i="8"/>
  <c r="J92" i="8"/>
  <c r="I16" i="8"/>
  <c r="J35" i="8"/>
  <c r="J50" i="8"/>
  <c r="J36" i="8"/>
  <c r="J26" i="8"/>
  <c r="J49" i="8"/>
  <c r="J90" i="8"/>
  <c r="J15" i="8"/>
  <c r="I14" i="15" l="1"/>
  <c r="J51" i="8"/>
  <c r="BF161" i="10"/>
  <c r="BF188" i="10"/>
  <c r="BF183" i="10"/>
  <c r="BF171" i="10"/>
  <c r="AF88" i="8"/>
  <c r="AI24" i="36"/>
  <c r="Z2" i="26"/>
  <c r="Z2" i="17"/>
  <c r="J78" i="8"/>
  <c r="I2" i="26"/>
  <c r="I2" i="17"/>
  <c r="P2" i="17"/>
  <c r="P2" i="26"/>
  <c r="AF89" i="8"/>
  <c r="AF78" i="8"/>
  <c r="AJ2" i="8"/>
  <c r="AF81" i="8"/>
  <c r="AJ21" i="8"/>
  <c r="AP21" i="8" s="1"/>
  <c r="AT21" i="8" s="1"/>
  <c r="AB40" i="59"/>
  <c r="U50" i="8"/>
  <c r="U51" i="8" s="1"/>
  <c r="U14" i="36"/>
  <c r="X40" i="59" s="1"/>
  <c r="U49" i="8"/>
  <c r="M48" i="59"/>
  <c r="AX21" i="36"/>
  <c r="BI63" i="59"/>
  <c r="BF21" i="36"/>
  <c r="AF74" i="9"/>
  <c r="AI2" i="8"/>
  <c r="AE89" i="8"/>
  <c r="AE50" i="8"/>
  <c r="AE51" i="8" s="1"/>
  <c r="AE14" i="36"/>
  <c r="AH40" i="59" s="1"/>
  <c r="AE49" i="8"/>
  <c r="AA74" i="9"/>
  <c r="AE57" i="9"/>
  <c r="AI57" i="9" s="1"/>
  <c r="AI74" i="9" s="1"/>
  <c r="AA109" i="8"/>
  <c r="AA110" i="8" s="1"/>
  <c r="J111" i="8"/>
  <c r="J112" i="8" s="1"/>
  <c r="Q78" i="8"/>
  <c r="J52" i="8"/>
  <c r="M41" i="59" s="1"/>
  <c r="AE44" i="59"/>
  <c r="AB129" i="7"/>
  <c r="AB72" i="9"/>
  <c r="AB86" i="9"/>
  <c r="AB53" i="9"/>
  <c r="AB82" i="9"/>
  <c r="AE61" i="59" s="1"/>
  <c r="AB87" i="9"/>
  <c r="AE60" i="59" s="1"/>
  <c r="AB83" i="9"/>
  <c r="AB80" i="9"/>
  <c r="AB75" i="9"/>
  <c r="AB85" i="9"/>
  <c r="AB52" i="9"/>
  <c r="AE57" i="59" s="1"/>
  <c r="AB81" i="9"/>
  <c r="AB73" i="9"/>
  <c r="AA14" i="36"/>
  <c r="AD40" i="59" s="1"/>
  <c r="Y7" i="9"/>
  <c r="AA7" i="9"/>
  <c r="AA21" i="8"/>
  <c r="AE21" i="8" s="1"/>
  <c r="Q14" i="36"/>
  <c r="T40" i="59" s="1"/>
  <c r="N10" i="36"/>
  <c r="Q36" i="59" s="1"/>
  <c r="N11" i="36"/>
  <c r="Q37" i="59" s="1"/>
  <c r="AB74" i="9"/>
  <c r="J13" i="36"/>
  <c r="M39" i="59" s="1"/>
  <c r="N44" i="8"/>
  <c r="N40" i="8"/>
  <c r="N43" i="8"/>
  <c r="N39" i="8"/>
  <c r="N47" i="8"/>
  <c r="N45" i="8"/>
  <c r="N41" i="8"/>
  <c r="N74" i="8"/>
  <c r="N71" i="8"/>
  <c r="N70" i="8"/>
  <c r="N82" i="8"/>
  <c r="Q51" i="59" s="1"/>
  <c r="AB14" i="36"/>
  <c r="I6" i="26"/>
  <c r="N26" i="8"/>
  <c r="M16" i="8"/>
  <c r="N92" i="8"/>
  <c r="J16" i="8"/>
  <c r="J42" i="8"/>
  <c r="Q45" i="59" l="1"/>
  <c r="N136" i="8"/>
  <c r="Q47" i="59"/>
  <c r="Q48" i="59" s="1"/>
  <c r="N137" i="8"/>
  <c r="N144" i="8" s="1"/>
  <c r="AI89" i="8"/>
  <c r="AJ78" i="8"/>
  <c r="AJ81" i="8"/>
  <c r="AM44" i="59" s="1"/>
  <c r="U78" i="8"/>
  <c r="T2" i="17"/>
  <c r="T2" i="26"/>
  <c r="AI14" i="36"/>
  <c r="AL40" i="59" s="1"/>
  <c r="AD2" i="26"/>
  <c r="AD2" i="17"/>
  <c r="AP2" i="8"/>
  <c r="AJ89" i="8"/>
  <c r="AX21" i="8"/>
  <c r="BF21" i="8" s="1"/>
  <c r="AJ88" i="8"/>
  <c r="AI44" i="59"/>
  <c r="BE24" i="36"/>
  <c r="BH74" i="59" s="1"/>
  <c r="AE24" i="36"/>
  <c r="AH74" i="59" s="1"/>
  <c r="AI21" i="8"/>
  <c r="AO21" i="8" s="1"/>
  <c r="AS21" i="8" s="1"/>
  <c r="AI50" i="8"/>
  <c r="AI51" i="8" s="1"/>
  <c r="AI49" i="8"/>
  <c r="AB131" i="7"/>
  <c r="AO2" i="8"/>
  <c r="AP57" i="9"/>
  <c r="AE74" i="9"/>
  <c r="AE78" i="8"/>
  <c r="AA111" i="8"/>
  <c r="AA112" i="8" s="1"/>
  <c r="AA53" i="8" s="1"/>
  <c r="AD42" i="59" s="1"/>
  <c r="J53" i="8"/>
  <c r="M42" i="59" s="1"/>
  <c r="M43" i="59" s="1"/>
  <c r="AA64" i="9"/>
  <c r="AE64" i="9" s="1"/>
  <c r="AI64" i="9" s="1"/>
  <c r="AI81" i="9" s="1"/>
  <c r="AB130" i="7"/>
  <c r="R14" i="36"/>
  <c r="U40" i="59" s="1"/>
  <c r="AE40" i="59"/>
  <c r="R10" i="36"/>
  <c r="U36" i="59" s="1"/>
  <c r="R11" i="36"/>
  <c r="U37" i="59" s="1"/>
  <c r="N13" i="36"/>
  <c r="Q39" i="59" s="1"/>
  <c r="R12" i="36"/>
  <c r="U38" i="59" s="1"/>
  <c r="AA71" i="8"/>
  <c r="AA74" i="8"/>
  <c r="N42" i="8"/>
  <c r="T51" i="59"/>
  <c r="U51" i="59"/>
  <c r="Q6" i="26"/>
  <c r="U6" i="26" s="1"/>
  <c r="N16" i="8"/>
  <c r="J74" i="7"/>
  <c r="I74" i="7"/>
  <c r="J72" i="7"/>
  <c r="I72" i="7"/>
  <c r="J2" i="7"/>
  <c r="J159" i="7" s="1"/>
  <c r="I2" i="7"/>
  <c r="J66" i="7"/>
  <c r="J65" i="7"/>
  <c r="J6" i="7"/>
  <c r="I66" i="7"/>
  <c r="I65" i="7"/>
  <c r="N139" i="8" l="1"/>
  <c r="N146" i="8" s="1"/>
  <c r="N143" i="8"/>
  <c r="I84" i="7"/>
  <c r="I159" i="7"/>
  <c r="AT2" i="8"/>
  <c r="AT78" i="8" s="1"/>
  <c r="AP88" i="8"/>
  <c r="AI78" i="8"/>
  <c r="AH2" i="26"/>
  <c r="AH2" i="17"/>
  <c r="AP89" i="8"/>
  <c r="AW21" i="8"/>
  <c r="BE21" i="8" s="1"/>
  <c r="AP81" i="8"/>
  <c r="AP78" i="8"/>
  <c r="AL74" i="59"/>
  <c r="AB132" i="7"/>
  <c r="AT57" i="9"/>
  <c r="AX57" i="9" s="1"/>
  <c r="AX74" i="9" s="1"/>
  <c r="AP74" i="9"/>
  <c r="AS2" i="8"/>
  <c r="AO89" i="8"/>
  <c r="AO57" i="9"/>
  <c r="AO50" i="8"/>
  <c r="AO51" i="8" s="1"/>
  <c r="AO14" i="36"/>
  <c r="AR40" i="59" s="1"/>
  <c r="AO49" i="8"/>
  <c r="AE81" i="9"/>
  <c r="AA81" i="9"/>
  <c r="J21" i="7"/>
  <c r="AA46" i="8"/>
  <c r="AD46" i="59" s="1"/>
  <c r="AB12" i="36"/>
  <c r="AE38" i="59" s="1"/>
  <c r="N71" i="7"/>
  <c r="AB71" i="7" s="1"/>
  <c r="AF71" i="7" s="1"/>
  <c r="AJ71" i="7" s="1"/>
  <c r="AJ73" i="7" s="1"/>
  <c r="N85" i="7"/>
  <c r="R85" i="7" s="1"/>
  <c r="V85" i="7" s="1"/>
  <c r="R110" i="7"/>
  <c r="V110" i="7" s="1"/>
  <c r="N109" i="7"/>
  <c r="R109" i="7" s="1"/>
  <c r="V109" i="7" s="1"/>
  <c r="R113" i="7"/>
  <c r="V113" i="7" s="1"/>
  <c r="N112" i="7"/>
  <c r="R112" i="7" s="1"/>
  <c r="V112" i="7" s="1"/>
  <c r="N106" i="7"/>
  <c r="R106" i="7" s="1"/>
  <c r="V106" i="7" s="1"/>
  <c r="R108" i="7"/>
  <c r="V108" i="7" s="1"/>
  <c r="R111" i="7"/>
  <c r="V111" i="7" s="1"/>
  <c r="R107" i="7"/>
  <c r="V107" i="7" s="1"/>
  <c r="N41" i="7"/>
  <c r="M71" i="7"/>
  <c r="AA71" i="7" s="1"/>
  <c r="AE71" i="7" s="1"/>
  <c r="AI71" i="7" s="1"/>
  <c r="AI73" i="7" s="1"/>
  <c r="Y24" i="36"/>
  <c r="AB74" i="59" s="1"/>
  <c r="J144" i="7"/>
  <c r="I33" i="59"/>
  <c r="AA92" i="8"/>
  <c r="AA6" i="49"/>
  <c r="AE6" i="49" s="1"/>
  <c r="AI6" i="49" s="1"/>
  <c r="AO6" i="49" s="1"/>
  <c r="AS6" i="49" s="1"/>
  <c r="AW6" i="49" s="1"/>
  <c r="BE6" i="49" s="1"/>
  <c r="R13" i="36"/>
  <c r="U39" i="59" s="1"/>
  <c r="AA66" i="7"/>
  <c r="AE66" i="7" s="1"/>
  <c r="AA6" i="26"/>
  <c r="AE6" i="26" s="1"/>
  <c r="AI6" i="26" s="1"/>
  <c r="AO6" i="26" s="1"/>
  <c r="AS6" i="26" s="1"/>
  <c r="AW6" i="26" s="1"/>
  <c r="BE6" i="26" s="1"/>
  <c r="N2" i="7"/>
  <c r="J84" i="7"/>
  <c r="H123" i="7"/>
  <c r="J138" i="7"/>
  <c r="J1" i="7"/>
  <c r="AB74" i="8"/>
  <c r="AB71" i="8"/>
  <c r="AB70" i="8"/>
  <c r="AA16" i="8"/>
  <c r="AA45" i="8"/>
  <c r="AA44" i="8"/>
  <c r="AD47" i="59" s="1"/>
  <c r="AA47" i="8"/>
  <c r="AA43" i="8"/>
  <c r="AD45" i="59" s="1"/>
  <c r="M1" i="7"/>
  <c r="M80" i="7" s="1"/>
  <c r="I1" i="7"/>
  <c r="AA78" i="8"/>
  <c r="I29" i="59"/>
  <c r="Q50" i="7"/>
  <c r="Q45" i="7"/>
  <c r="Q46" i="7"/>
  <c r="Q48" i="7"/>
  <c r="Q44" i="7"/>
  <c r="Q43" i="7"/>
  <c r="Q42" i="7"/>
  <c r="M68" i="7"/>
  <c r="J71" i="7"/>
  <c r="M2" i="7"/>
  <c r="I75" i="7"/>
  <c r="I71" i="7"/>
  <c r="J75" i="7"/>
  <c r="I35" i="59"/>
  <c r="I28" i="59"/>
  <c r="J67" i="7"/>
  <c r="I67" i="7"/>
  <c r="AT81" i="8" l="1"/>
  <c r="AT89" i="8"/>
  <c r="J30" i="7"/>
  <c r="J94" i="7" s="1"/>
  <c r="U44" i="7"/>
  <c r="U56" i="7" s="1"/>
  <c r="U101" i="7" s="1"/>
  <c r="Q56" i="7"/>
  <c r="Q101" i="7" s="1"/>
  <c r="U43" i="7"/>
  <c r="U55" i="7" s="1"/>
  <c r="U89" i="7" s="1"/>
  <c r="X31" i="59" s="1"/>
  <c r="Q55" i="7"/>
  <c r="Q89" i="7" s="1"/>
  <c r="Q161" i="7"/>
  <c r="Q57" i="7"/>
  <c r="Q90" i="7" s="1"/>
  <c r="T32" i="59" s="1"/>
  <c r="U50" i="7"/>
  <c r="U62" i="7" s="1"/>
  <c r="Q62" i="7"/>
  <c r="U48" i="7"/>
  <c r="U60" i="7" s="1"/>
  <c r="Q60" i="7"/>
  <c r="U42" i="7"/>
  <c r="U54" i="7" s="1"/>
  <c r="Q54" i="7"/>
  <c r="U46" i="7"/>
  <c r="U58" i="7" s="1"/>
  <c r="Q58" i="7"/>
  <c r="J62" i="7"/>
  <c r="J61" i="7"/>
  <c r="J102" i="7" s="1"/>
  <c r="J60" i="7"/>
  <c r="J59" i="7"/>
  <c r="J58" i="7"/>
  <c r="J57" i="7"/>
  <c r="J56" i="7"/>
  <c r="J101" i="7" s="1"/>
  <c r="J55" i="7"/>
  <c r="J54" i="7"/>
  <c r="J35" i="7"/>
  <c r="J98" i="7" s="1"/>
  <c r="J34" i="7"/>
  <c r="J97" i="7" s="1"/>
  <c r="J31" i="7"/>
  <c r="J25" i="7"/>
  <c r="J27" i="7"/>
  <c r="J91" i="7" s="1"/>
  <c r="J32" i="7"/>
  <c r="J95" i="7" s="1"/>
  <c r="J24" i="7"/>
  <c r="J29" i="7"/>
  <c r="J93" i="7" s="1"/>
  <c r="J26" i="7"/>
  <c r="J37" i="7"/>
  <c r="J100" i="7" s="1"/>
  <c r="J28" i="7"/>
  <c r="J92" i="7" s="1"/>
  <c r="J36" i="7"/>
  <c r="J99" i="7" s="1"/>
  <c r="J33" i="7"/>
  <c r="J96" i="7" s="1"/>
  <c r="I37" i="7"/>
  <c r="I100" i="7" s="1"/>
  <c r="I33" i="7"/>
  <c r="I96" i="7" s="1"/>
  <c r="I28" i="7"/>
  <c r="I92" i="7" s="1"/>
  <c r="I24" i="7"/>
  <c r="I36" i="7"/>
  <c r="I99" i="7" s="1"/>
  <c r="I32" i="7"/>
  <c r="I95" i="7" s="1"/>
  <c r="I27" i="7"/>
  <c r="I91" i="7" s="1"/>
  <c r="I35" i="7"/>
  <c r="I98" i="7" s="1"/>
  <c r="I31" i="7"/>
  <c r="L34" i="59" s="1"/>
  <c r="I26" i="7"/>
  <c r="I34" i="7"/>
  <c r="I97" i="7" s="1"/>
  <c r="I29" i="7"/>
  <c r="I93" i="7" s="1"/>
  <c r="I25" i="7"/>
  <c r="I62" i="7"/>
  <c r="I61" i="7"/>
  <c r="I102" i="7" s="1"/>
  <c r="I60" i="7"/>
  <c r="I59" i="7"/>
  <c r="I58" i="7"/>
  <c r="I57" i="7"/>
  <c r="I56" i="7"/>
  <c r="I101" i="7" s="1"/>
  <c r="I55" i="7"/>
  <c r="I54" i="7"/>
  <c r="J23" i="7"/>
  <c r="J87" i="7" s="1"/>
  <c r="M29" i="59" s="1"/>
  <c r="AT88" i="8"/>
  <c r="N84" i="7"/>
  <c r="N159" i="7"/>
  <c r="M84" i="7"/>
  <c r="M159" i="7"/>
  <c r="U45" i="7"/>
  <c r="U57" i="7" s="1"/>
  <c r="U90" i="7" s="1"/>
  <c r="X32" i="59" s="1"/>
  <c r="Q157" i="7"/>
  <c r="AX2" i="8"/>
  <c r="AS44" i="59"/>
  <c r="AI66" i="7"/>
  <c r="AO66" i="7" s="1"/>
  <c r="AS66" i="7" s="1"/>
  <c r="AN2" i="17"/>
  <c r="AN2" i="26"/>
  <c r="AO24" i="36"/>
  <c r="AR74" i="59" s="1"/>
  <c r="AB133" i="7"/>
  <c r="AD48" i="59"/>
  <c r="J146" i="7"/>
  <c r="J140" i="7"/>
  <c r="L33" i="59"/>
  <c r="AS89" i="8"/>
  <c r="AW2" i="8"/>
  <c r="AW44" i="59"/>
  <c r="AT74" i="9"/>
  <c r="AE73" i="7"/>
  <c r="AO78" i="8"/>
  <c r="AS50" i="8"/>
  <c r="AS51" i="8" s="1"/>
  <c r="AS14" i="36"/>
  <c r="AV40" i="59" s="1"/>
  <c r="AS49" i="8"/>
  <c r="AF73" i="7"/>
  <c r="AO74" i="9"/>
  <c r="AS57" i="9"/>
  <c r="AW57" i="9" s="1"/>
  <c r="AW74" i="9" s="1"/>
  <c r="AO64" i="9"/>
  <c r="R41" i="7"/>
  <c r="V41" i="7" s="1"/>
  <c r="V51" i="7" s="1"/>
  <c r="AB41" i="7"/>
  <c r="AF41" i="7" s="1"/>
  <c r="AJ41" i="7" s="1"/>
  <c r="AJ51" i="7" s="1"/>
  <c r="AA52" i="8"/>
  <c r="AD41" i="59" s="1"/>
  <c r="AD43" i="59" s="1"/>
  <c r="H124" i="7"/>
  <c r="AB46" i="8"/>
  <c r="AE46" i="59" s="1"/>
  <c r="AB11" i="36"/>
  <c r="AE37" i="59" s="1"/>
  <c r="AB9" i="49"/>
  <c r="AF9" i="49" s="1"/>
  <c r="AJ9" i="49" s="1"/>
  <c r="AP9" i="49" s="1"/>
  <c r="AT9" i="49" s="1"/>
  <c r="AX9" i="49" s="1"/>
  <c r="BF9" i="49" s="1"/>
  <c r="M73" i="7"/>
  <c r="Q71" i="7"/>
  <c r="U71" i="7" s="1"/>
  <c r="U73" i="7" s="1"/>
  <c r="M69" i="7"/>
  <c r="Q68" i="7"/>
  <c r="U68" i="7" s="1"/>
  <c r="U69" i="7" s="1"/>
  <c r="N73" i="7"/>
  <c r="R71" i="7"/>
  <c r="V71" i="7" s="1"/>
  <c r="V73" i="7" s="1"/>
  <c r="Q47" i="7"/>
  <c r="N51" i="7"/>
  <c r="AA24" i="36"/>
  <c r="AD74" i="59" s="1"/>
  <c r="N144" i="7"/>
  <c r="AA8" i="15"/>
  <c r="AA14" i="15" s="1"/>
  <c r="AB10" i="36"/>
  <c r="AA82" i="8"/>
  <c r="AD51" i="59" s="1"/>
  <c r="I31" i="59"/>
  <c r="AB6" i="49"/>
  <c r="AF6" i="49" s="1"/>
  <c r="AJ6" i="49" s="1"/>
  <c r="AP6" i="49" s="1"/>
  <c r="AT6" i="49" s="1"/>
  <c r="AX6" i="49" s="1"/>
  <c r="BF6" i="49" s="1"/>
  <c r="AB92" i="8"/>
  <c r="AB8" i="49"/>
  <c r="AF8" i="49" s="1"/>
  <c r="AJ8" i="49" s="1"/>
  <c r="AP8" i="49" s="1"/>
  <c r="AT8" i="49" s="1"/>
  <c r="AX8" i="49" s="1"/>
  <c r="BF8" i="49" s="1"/>
  <c r="R2" i="7"/>
  <c r="R159" i="7" s="1"/>
  <c r="J123" i="7"/>
  <c r="J124" i="7" s="1"/>
  <c r="J125" i="7" s="1"/>
  <c r="N138" i="7"/>
  <c r="N123" i="7"/>
  <c r="Y103" i="7"/>
  <c r="AB67" i="7"/>
  <c r="U28" i="59"/>
  <c r="N1" i="7"/>
  <c r="N80" i="7" s="1"/>
  <c r="Z8" i="15"/>
  <c r="AB26" i="8"/>
  <c r="AB82" i="8"/>
  <c r="AE51" i="59" s="1"/>
  <c r="AB41" i="8"/>
  <c r="AB40" i="8"/>
  <c r="AB39" i="8"/>
  <c r="AB44" i="8"/>
  <c r="AE47" i="59" s="1"/>
  <c r="AB47" i="8"/>
  <c r="AB43" i="8"/>
  <c r="AE45" i="59" s="1"/>
  <c r="AB45" i="8"/>
  <c r="AA65" i="7"/>
  <c r="AE65" i="7" s="1"/>
  <c r="AI65" i="7" s="1"/>
  <c r="J112" i="7"/>
  <c r="J106" i="7"/>
  <c r="J108" i="7"/>
  <c r="J110" i="7"/>
  <c r="J111" i="7"/>
  <c r="J113" i="7"/>
  <c r="J107" i="7"/>
  <c r="J109" i="7"/>
  <c r="Q29" i="59"/>
  <c r="I30" i="59"/>
  <c r="J78" i="7"/>
  <c r="J73" i="7"/>
  <c r="I68" i="7"/>
  <c r="I81" i="7"/>
  <c r="L28" i="59" s="1"/>
  <c r="I80" i="7"/>
  <c r="I76" i="7"/>
  <c r="Q2" i="7"/>
  <c r="P28" i="59"/>
  <c r="I73" i="7"/>
  <c r="U35" i="59"/>
  <c r="Q35" i="59"/>
  <c r="Q28" i="59"/>
  <c r="J80" i="7"/>
  <c r="J83" i="7"/>
  <c r="M35" i="59" s="1"/>
  <c r="J81" i="7"/>
  <c r="M28" i="59" s="1"/>
  <c r="J76" i="7"/>
  <c r="J69" i="7"/>
  <c r="J85" i="7"/>
  <c r="I6" i="7"/>
  <c r="J90" i="7" l="1"/>
  <c r="M32" i="59" s="1"/>
  <c r="I23" i="7"/>
  <c r="I87" i="7" s="1"/>
  <c r="J88" i="7"/>
  <c r="Q88" i="7"/>
  <c r="Q103" i="7" s="1"/>
  <c r="Q77" i="7"/>
  <c r="U88" i="7"/>
  <c r="U77" i="7"/>
  <c r="U47" i="7"/>
  <c r="Q59" i="7"/>
  <c r="Q63" i="7" s="1"/>
  <c r="I89" i="7"/>
  <c r="I88" i="7"/>
  <c r="L30" i="59" s="1"/>
  <c r="AB62" i="7"/>
  <c r="AB61" i="7"/>
  <c r="AB102" i="7" s="1"/>
  <c r="AB60" i="7"/>
  <c r="AB59" i="7"/>
  <c r="AB58" i="7"/>
  <c r="AB57" i="7"/>
  <c r="AB56" i="7"/>
  <c r="AB101" i="7" s="1"/>
  <c r="AB55" i="7"/>
  <c r="AB54" i="7"/>
  <c r="AB35" i="7"/>
  <c r="AB98" i="7" s="1"/>
  <c r="AB34" i="7"/>
  <c r="AB97" i="7" s="1"/>
  <c r="AB36" i="7"/>
  <c r="AB99" i="7" s="1"/>
  <c r="AB32" i="7"/>
  <c r="AB95" i="7" s="1"/>
  <c r="AB31" i="7"/>
  <c r="AB28" i="7"/>
  <c r="AB92" i="7" s="1"/>
  <c r="AB25" i="7"/>
  <c r="AB24" i="7"/>
  <c r="AB37" i="7"/>
  <c r="AB100" i="7" s="1"/>
  <c r="AB33" i="7"/>
  <c r="AB96" i="7" s="1"/>
  <c r="AB29" i="7"/>
  <c r="AB93" i="7" s="1"/>
  <c r="AB27" i="7"/>
  <c r="AB91" i="7" s="1"/>
  <c r="AB26" i="7"/>
  <c r="AB90" i="7" s="1"/>
  <c r="AE32" i="59" s="1"/>
  <c r="AB23" i="7"/>
  <c r="AB87" i="7" s="1"/>
  <c r="I90" i="7"/>
  <c r="L32" i="59" s="1"/>
  <c r="J89" i="7"/>
  <c r="M31" i="59" s="1"/>
  <c r="AI67" i="7"/>
  <c r="AI76" i="7" s="1"/>
  <c r="U157" i="7"/>
  <c r="U161" i="7"/>
  <c r="Q159" i="7"/>
  <c r="AX78" i="8"/>
  <c r="BF2" i="8"/>
  <c r="AX89" i="8"/>
  <c r="AX81" i="8"/>
  <c r="BA44" i="59" s="1"/>
  <c r="AX88" i="8"/>
  <c r="AW66" i="7"/>
  <c r="L31" i="59"/>
  <c r="N146" i="7"/>
  <c r="N124" i="7"/>
  <c r="N140" i="7"/>
  <c r="AR2" i="17"/>
  <c r="AR2" i="26"/>
  <c r="AW50" i="8"/>
  <c r="AW49" i="8"/>
  <c r="AW89" i="8"/>
  <c r="AW24" i="36"/>
  <c r="AZ74" i="59" s="1"/>
  <c r="AS24" i="36"/>
  <c r="AV74" i="59" s="1"/>
  <c r="L29" i="59"/>
  <c r="I38" i="7"/>
  <c r="I53" i="7" s="1"/>
  <c r="I77" i="7" s="1"/>
  <c r="H125" i="7"/>
  <c r="J141" i="7"/>
  <c r="J147" i="7"/>
  <c r="AE48" i="59"/>
  <c r="AB110" i="7"/>
  <c r="AF110" i="7" s="1"/>
  <c r="BE2" i="8"/>
  <c r="BF57" i="9"/>
  <c r="AS74" i="9"/>
  <c r="AS78" i="8"/>
  <c r="AW14" i="36"/>
  <c r="AZ40" i="59" s="1"/>
  <c r="AO81" i="9"/>
  <c r="AS64" i="9"/>
  <c r="AW64" i="9" s="1"/>
  <c r="AW81" i="9" s="1"/>
  <c r="M30" i="59"/>
  <c r="AP71" i="7"/>
  <c r="AE67" i="7"/>
  <c r="AF51" i="7"/>
  <c r="AO71" i="7"/>
  <c r="R51" i="7"/>
  <c r="AB113" i="7"/>
  <c r="AF113" i="7" s="1"/>
  <c r="AB109" i="7"/>
  <c r="AF109" i="7" s="1"/>
  <c r="AB76" i="7"/>
  <c r="AB108" i="7"/>
  <c r="AF108" i="7" s="1"/>
  <c r="AB112" i="7"/>
  <c r="AF112" i="7" s="1"/>
  <c r="AB106" i="7"/>
  <c r="AF106" i="7" s="1"/>
  <c r="AB111" i="7"/>
  <c r="AF111" i="7" s="1"/>
  <c r="AB107" i="7"/>
  <c r="AF107" i="7" s="1"/>
  <c r="AB85" i="7"/>
  <c r="AF85" i="7" s="1"/>
  <c r="M34" i="59"/>
  <c r="M33" i="59"/>
  <c r="H126" i="7"/>
  <c r="J38" i="7"/>
  <c r="J53" i="7" s="1"/>
  <c r="J77" i="7" s="1"/>
  <c r="I21" i="7"/>
  <c r="R73" i="7"/>
  <c r="Q78" i="7"/>
  <c r="Q69" i="7"/>
  <c r="V2" i="7"/>
  <c r="R84" i="7"/>
  <c r="Q73" i="7"/>
  <c r="U2" i="7"/>
  <c r="M51" i="7"/>
  <c r="Q41" i="7"/>
  <c r="U41" i="7" s="1"/>
  <c r="R77" i="7"/>
  <c r="R63" i="7"/>
  <c r="M78" i="7"/>
  <c r="N63" i="7"/>
  <c r="Q1" i="7"/>
  <c r="Q80" i="7" s="1"/>
  <c r="U31" i="59"/>
  <c r="Q31" i="59"/>
  <c r="AB13" i="36"/>
  <c r="AE39" i="59" s="1"/>
  <c r="AE36" i="59"/>
  <c r="U29" i="59"/>
  <c r="J126" i="7"/>
  <c r="J127" i="7" s="1"/>
  <c r="R138" i="7"/>
  <c r="R140" i="7" s="1"/>
  <c r="R141" i="7" s="1"/>
  <c r="R144" i="7"/>
  <c r="R146" i="7" s="1"/>
  <c r="R147" i="7" s="1"/>
  <c r="I69" i="7"/>
  <c r="AB69" i="7"/>
  <c r="AB83" i="7"/>
  <c r="AE35" i="59" s="1"/>
  <c r="AA67" i="7"/>
  <c r="R123" i="7"/>
  <c r="R124" i="7" s="1"/>
  <c r="Z103" i="7"/>
  <c r="R1" i="7"/>
  <c r="R80" i="7" s="1"/>
  <c r="AB42" i="8"/>
  <c r="U1" i="7"/>
  <c r="U80" i="7" s="1"/>
  <c r="Q30" i="59"/>
  <c r="T28" i="59"/>
  <c r="I78" i="7"/>
  <c r="U159" i="7" l="1"/>
  <c r="U51" i="7"/>
  <c r="AB88" i="7"/>
  <c r="AB89" i="7"/>
  <c r="AI78" i="7"/>
  <c r="X30" i="59"/>
  <c r="U103" i="7"/>
  <c r="U78" i="7"/>
  <c r="U59" i="7"/>
  <c r="U63" i="7" s="1"/>
  <c r="AE36" i="7"/>
  <c r="AE99" i="7" s="1"/>
  <c r="AE32" i="7"/>
  <c r="AE95" i="7" s="1"/>
  <c r="AE27" i="7"/>
  <c r="AE91" i="7" s="1"/>
  <c r="AE23" i="7"/>
  <c r="AE87" i="7" s="1"/>
  <c r="AH29" i="59" s="1"/>
  <c r="AE35" i="7"/>
  <c r="AE98" i="7" s="1"/>
  <c r="AE31" i="7"/>
  <c r="AH34" i="59" s="1"/>
  <c r="AE26" i="7"/>
  <c r="AE34" i="7"/>
  <c r="AE97" i="7" s="1"/>
  <c r="AE29" i="7"/>
  <c r="AE93" i="7" s="1"/>
  <c r="AH33" i="59" s="1"/>
  <c r="AE25" i="7"/>
  <c r="AE37" i="7"/>
  <c r="AE100" i="7" s="1"/>
  <c r="AE33" i="7"/>
  <c r="AE96" i="7" s="1"/>
  <c r="AE28" i="7"/>
  <c r="AE92" i="7" s="1"/>
  <c r="AE24" i="7"/>
  <c r="AE62" i="7"/>
  <c r="AE61" i="7"/>
  <c r="AE102" i="7" s="1"/>
  <c r="AE60" i="7"/>
  <c r="AE59" i="7"/>
  <c r="AE58" i="7"/>
  <c r="AE57" i="7"/>
  <c r="AE56" i="7"/>
  <c r="AE101" i="7" s="1"/>
  <c r="AE55" i="7"/>
  <c r="AE54" i="7"/>
  <c r="AI37" i="7"/>
  <c r="AI100" i="7" s="1"/>
  <c r="AI33" i="7"/>
  <c r="AI96" i="7" s="1"/>
  <c r="AI28" i="7"/>
  <c r="AI92" i="7" s="1"/>
  <c r="AI24" i="7"/>
  <c r="AI36" i="7"/>
  <c r="AI99" i="7" s="1"/>
  <c r="AI32" i="7"/>
  <c r="AI95" i="7" s="1"/>
  <c r="AI27" i="7"/>
  <c r="AI91" i="7" s="1"/>
  <c r="AI23" i="7"/>
  <c r="AI87" i="7" s="1"/>
  <c r="AL29" i="59" s="1"/>
  <c r="AI35" i="7"/>
  <c r="AI98" i="7" s="1"/>
  <c r="AI31" i="7"/>
  <c r="AL34" i="59" s="1"/>
  <c r="AI26" i="7"/>
  <c r="AI34" i="7"/>
  <c r="AI97" i="7" s="1"/>
  <c r="AI29" i="7"/>
  <c r="AI93" i="7" s="1"/>
  <c r="AL33" i="59" s="1"/>
  <c r="AI25" i="7"/>
  <c r="AI62" i="7"/>
  <c r="AI61" i="7"/>
  <c r="AI102" i="7" s="1"/>
  <c r="AI60" i="7"/>
  <c r="AI59" i="7"/>
  <c r="AI58" i="7"/>
  <c r="AI57" i="7"/>
  <c r="AI56" i="7"/>
  <c r="AI101" i="7" s="1"/>
  <c r="AI55" i="7"/>
  <c r="AI54" i="7"/>
  <c r="AI83" i="7"/>
  <c r="AI81" i="7"/>
  <c r="AA35" i="7"/>
  <c r="AA98" i="7" s="1"/>
  <c r="AA31" i="7"/>
  <c r="AA26" i="7"/>
  <c r="AA34" i="7"/>
  <c r="AA97" i="7" s="1"/>
  <c r="AA29" i="7"/>
  <c r="AA93" i="7" s="1"/>
  <c r="AA25" i="7"/>
  <c r="AA37" i="7"/>
  <c r="AA100" i="7" s="1"/>
  <c r="AA33" i="7"/>
  <c r="AA96" i="7" s="1"/>
  <c r="AA28" i="7"/>
  <c r="AA92" i="7" s="1"/>
  <c r="AA24" i="7"/>
  <c r="AA36" i="7"/>
  <c r="AA99" i="7" s="1"/>
  <c r="AA32" i="7"/>
  <c r="AA95" i="7" s="1"/>
  <c r="AA27" i="7"/>
  <c r="AA91" i="7" s="1"/>
  <c r="AA23" i="7"/>
  <c r="AA87" i="7" s="1"/>
  <c r="AA62" i="7"/>
  <c r="AA61" i="7"/>
  <c r="AA102" i="7" s="1"/>
  <c r="AA60" i="7"/>
  <c r="AA59" i="7"/>
  <c r="AA58" i="7"/>
  <c r="AA57" i="7"/>
  <c r="AA56" i="7"/>
  <c r="AA101" i="7" s="1"/>
  <c r="AA55" i="7"/>
  <c r="AA54" i="7"/>
  <c r="AI80" i="7"/>
  <c r="I63" i="7"/>
  <c r="AW78" i="8"/>
  <c r="AW51" i="8"/>
  <c r="BF81" i="8"/>
  <c r="BI44" i="59" s="1"/>
  <c r="BF74" i="9"/>
  <c r="V84" i="7"/>
  <c r="V159" i="7"/>
  <c r="BF88" i="8"/>
  <c r="BF78" i="8"/>
  <c r="BF89" i="8"/>
  <c r="BE66" i="7"/>
  <c r="BE14" i="36"/>
  <c r="N125" i="7"/>
  <c r="N126" i="7"/>
  <c r="N127" i="7" s="1"/>
  <c r="AJ111" i="7"/>
  <c r="AP111" i="7" s="1"/>
  <c r="AT111" i="7" s="1"/>
  <c r="AJ106" i="7"/>
  <c r="AP106" i="7" s="1"/>
  <c r="AT106" i="7" s="1"/>
  <c r="AJ109" i="7"/>
  <c r="AP109" i="7" s="1"/>
  <c r="AT109" i="7" s="1"/>
  <c r="AJ110" i="7"/>
  <c r="AP110" i="7" s="1"/>
  <c r="AT110" i="7" s="1"/>
  <c r="AJ85" i="7"/>
  <c r="AP85" i="7" s="1"/>
  <c r="AT85" i="7" s="1"/>
  <c r="AJ112" i="7"/>
  <c r="AP112" i="7" s="1"/>
  <c r="AT112" i="7" s="1"/>
  <c r="AJ113" i="7"/>
  <c r="AP113" i="7" s="1"/>
  <c r="AT113" i="7" s="1"/>
  <c r="AJ107" i="7"/>
  <c r="AP107" i="7" s="1"/>
  <c r="AT107" i="7" s="1"/>
  <c r="AJ108" i="7"/>
  <c r="AP108" i="7" s="1"/>
  <c r="AT108" i="7" s="1"/>
  <c r="N141" i="7"/>
  <c r="N147" i="7"/>
  <c r="AV2" i="17"/>
  <c r="AV2" i="26"/>
  <c r="AA76" i="7"/>
  <c r="BE89" i="8"/>
  <c r="BE57" i="9"/>
  <c r="BE50" i="8"/>
  <c r="BE49" i="8"/>
  <c r="AS81" i="9"/>
  <c r="AT71" i="7"/>
  <c r="AX71" i="7" s="1"/>
  <c r="AX73" i="7" s="1"/>
  <c r="AP73" i="7"/>
  <c r="AE81" i="7"/>
  <c r="AH28" i="59" s="1"/>
  <c r="AE80" i="7"/>
  <c r="AE76" i="7"/>
  <c r="AE78" i="7"/>
  <c r="AE83" i="7"/>
  <c r="AH35" i="59" s="1"/>
  <c r="AS71" i="7"/>
  <c r="AW71" i="7" s="1"/>
  <c r="AW73" i="7" s="1"/>
  <c r="AO73" i="7"/>
  <c r="AO65" i="7"/>
  <c r="AP41" i="7"/>
  <c r="H127" i="7"/>
  <c r="AB21" i="7"/>
  <c r="J103" i="7"/>
  <c r="AA2" i="7"/>
  <c r="AB2" i="7"/>
  <c r="AB159" i="7" s="1"/>
  <c r="Q51" i="7"/>
  <c r="AB138" i="7"/>
  <c r="U30" i="59"/>
  <c r="AA81" i="7"/>
  <c r="AD28" i="59" s="1"/>
  <c r="J128" i="7"/>
  <c r="V1" i="7"/>
  <c r="V80" i="7" s="1"/>
  <c r="R126" i="7"/>
  <c r="R127" i="7" s="1"/>
  <c r="R125" i="7"/>
  <c r="AB78" i="7"/>
  <c r="AA1" i="7"/>
  <c r="AA80" i="7" s="1"/>
  <c r="AA75" i="7"/>
  <c r="AI38" i="7" l="1"/>
  <c r="AI53" i="7" s="1"/>
  <c r="AA90" i="7"/>
  <c r="AD32" i="59" s="1"/>
  <c r="AI88" i="7"/>
  <c r="AE90" i="7"/>
  <c r="AH32" i="59" s="1"/>
  <c r="AA88" i="7"/>
  <c r="AA89" i="7"/>
  <c r="AI90" i="7"/>
  <c r="AL32" i="59" s="1"/>
  <c r="AE88" i="7"/>
  <c r="AH30" i="59" s="1"/>
  <c r="AE89" i="7"/>
  <c r="AH31" i="59" s="1"/>
  <c r="AI89" i="7"/>
  <c r="AL31" i="59" s="1"/>
  <c r="BE51" i="8"/>
  <c r="BE74" i="9"/>
  <c r="BH40" i="59"/>
  <c r="AA38" i="7"/>
  <c r="AE2" i="7"/>
  <c r="AA159" i="7"/>
  <c r="AE38" i="7"/>
  <c r="AI77" i="7"/>
  <c r="AI63" i="7"/>
  <c r="AX110" i="7"/>
  <c r="BF110" i="7" s="1"/>
  <c r="AX106" i="7"/>
  <c r="BF106" i="7" s="1"/>
  <c r="AX108" i="7"/>
  <c r="BF108" i="7" s="1"/>
  <c r="AX113" i="7"/>
  <c r="BF113" i="7" s="1"/>
  <c r="AX107" i="7"/>
  <c r="BF107" i="7" s="1"/>
  <c r="AX112" i="7"/>
  <c r="BF112" i="7" s="1"/>
  <c r="AX109" i="7"/>
  <c r="BF109" i="7" s="1"/>
  <c r="AX85" i="7"/>
  <c r="BF85" i="7" s="1"/>
  <c r="AX111" i="7"/>
  <c r="BF111" i="7" s="1"/>
  <c r="N128" i="7"/>
  <c r="N135" i="7" s="1"/>
  <c r="BE78" i="8"/>
  <c r="BD2" i="26"/>
  <c r="BD2" i="17"/>
  <c r="AB140" i="7"/>
  <c r="AS73" i="7"/>
  <c r="AT73" i="7"/>
  <c r="BE64" i="9"/>
  <c r="BE81" i="9" s="1"/>
  <c r="AB84" i="7"/>
  <c r="AF2" i="7"/>
  <c r="AF159" i="7" s="1"/>
  <c r="AS65" i="7"/>
  <c r="AW65" i="7" s="1"/>
  <c r="AO67" i="7"/>
  <c r="AT41" i="7"/>
  <c r="AX41" i="7" s="1"/>
  <c r="AP51" i="7"/>
  <c r="AL28" i="59"/>
  <c r="AL35" i="59"/>
  <c r="H128" i="7"/>
  <c r="AA21" i="7"/>
  <c r="AA73" i="7"/>
  <c r="AB73" i="7"/>
  <c r="AE31" i="59"/>
  <c r="AE30" i="59"/>
  <c r="AE33" i="59"/>
  <c r="AE34" i="59"/>
  <c r="J135" i="7"/>
  <c r="R128" i="7"/>
  <c r="AB144" i="7"/>
  <c r="AB123" i="7"/>
  <c r="AB81" i="7"/>
  <c r="AE28" i="59" s="1"/>
  <c r="AB1" i="7"/>
  <c r="AB80" i="7" s="1"/>
  <c r="AB75" i="7"/>
  <c r="T29" i="59"/>
  <c r="AE103" i="7" l="1"/>
  <c r="AO36" i="7"/>
  <c r="AO99" i="7" s="1"/>
  <c r="AO32" i="7"/>
  <c r="AO95" i="7" s="1"/>
  <c r="AO27" i="7"/>
  <c r="AO91" i="7" s="1"/>
  <c r="AO23" i="7"/>
  <c r="AO87" i="7" s="1"/>
  <c r="AR29" i="59" s="1"/>
  <c r="AO35" i="7"/>
  <c r="AO98" i="7" s="1"/>
  <c r="AO31" i="7"/>
  <c r="AR34" i="59" s="1"/>
  <c r="AO26" i="7"/>
  <c r="AO34" i="7"/>
  <c r="AO97" i="7" s="1"/>
  <c r="AO29" i="7"/>
  <c r="AO93" i="7" s="1"/>
  <c r="AR33" i="59" s="1"/>
  <c r="AO25" i="7"/>
  <c r="AO37" i="7"/>
  <c r="AO100" i="7" s="1"/>
  <c r="AO33" i="7"/>
  <c r="AO96" i="7" s="1"/>
  <c r="AO28" i="7"/>
  <c r="AO92" i="7" s="1"/>
  <c r="AO24" i="7"/>
  <c r="AO62" i="7"/>
  <c r="AO61" i="7"/>
  <c r="AO102" i="7" s="1"/>
  <c r="AO60" i="7"/>
  <c r="AO59" i="7"/>
  <c r="AO58" i="7"/>
  <c r="AO57" i="7"/>
  <c r="AO56" i="7"/>
  <c r="AO101" i="7" s="1"/>
  <c r="AO55" i="7"/>
  <c r="AO54" i="7"/>
  <c r="AL30" i="59"/>
  <c r="AI103" i="7"/>
  <c r="AA53" i="7"/>
  <c r="AA63" i="7" s="1"/>
  <c r="AE53" i="7"/>
  <c r="AE77" i="7" s="1"/>
  <c r="AI2" i="7"/>
  <c r="AE159" i="7"/>
  <c r="AX51" i="7"/>
  <c r="AW67" i="7"/>
  <c r="AW78" i="7" s="1"/>
  <c r="AB124" i="7"/>
  <c r="AB126" i="7" s="1"/>
  <c r="AB146" i="7"/>
  <c r="AB141" i="7"/>
  <c r="BF71" i="7"/>
  <c r="BE71" i="7"/>
  <c r="AS67" i="7"/>
  <c r="AT51" i="7"/>
  <c r="AO80" i="7"/>
  <c r="AO76" i="7"/>
  <c r="AO81" i="7"/>
  <c r="AR28" i="59" s="1"/>
  <c r="AO78" i="7"/>
  <c r="AO83" i="7"/>
  <c r="AR35" i="59" s="1"/>
  <c r="AJ2" i="7"/>
  <c r="AF84" i="7"/>
  <c r="H135" i="7"/>
  <c r="AB38" i="7"/>
  <c r="AB53" i="7" s="1"/>
  <c r="T30" i="59"/>
  <c r="T31" i="59"/>
  <c r="AA68" i="7"/>
  <c r="AE68" i="7" s="1"/>
  <c r="AI68" i="7" s="1"/>
  <c r="AI69" i="7" s="1"/>
  <c r="R135" i="7"/>
  <c r="AE29" i="59"/>
  <c r="AE63" i="7" l="1"/>
  <c r="AS37" i="7"/>
  <c r="AS100" i="7" s="1"/>
  <c r="AS33" i="7"/>
  <c r="AS96" i="7" s="1"/>
  <c r="AS28" i="7"/>
  <c r="AS92" i="7" s="1"/>
  <c r="AS24" i="7"/>
  <c r="AS36" i="7"/>
  <c r="AS99" i="7" s="1"/>
  <c r="AS32" i="7"/>
  <c r="AS95" i="7" s="1"/>
  <c r="AS27" i="7"/>
  <c r="AS91" i="7" s="1"/>
  <c r="AS23" i="7"/>
  <c r="AS87" i="7" s="1"/>
  <c r="AV29" i="59" s="1"/>
  <c r="AS35" i="7"/>
  <c r="AS98" i="7" s="1"/>
  <c r="AS31" i="7"/>
  <c r="AV34" i="59" s="1"/>
  <c r="AS26" i="7"/>
  <c r="AS34" i="7"/>
  <c r="AS97" i="7" s="1"/>
  <c r="AS29" i="7"/>
  <c r="AS93" i="7" s="1"/>
  <c r="AV33" i="59" s="1"/>
  <c r="AS25" i="7"/>
  <c r="AS62" i="7"/>
  <c r="AS61" i="7"/>
  <c r="AS102" i="7" s="1"/>
  <c r="AS60" i="7"/>
  <c r="AS59" i="7"/>
  <c r="AS58" i="7"/>
  <c r="AS57" i="7"/>
  <c r="AS56" i="7"/>
  <c r="AS101" i="7" s="1"/>
  <c r="AS55" i="7"/>
  <c r="AS54" i="7"/>
  <c r="AO90" i="7"/>
  <c r="AR32" i="59" s="1"/>
  <c r="AO88" i="7"/>
  <c r="AR30" i="59" s="1"/>
  <c r="AO89" i="7"/>
  <c r="AR31" i="59" s="1"/>
  <c r="AW34" i="7"/>
  <c r="AW97" i="7" s="1"/>
  <c r="AW29" i="7"/>
  <c r="AW93" i="7" s="1"/>
  <c r="AZ33" i="59" s="1"/>
  <c r="AW25" i="7"/>
  <c r="AW37" i="7"/>
  <c r="AW100" i="7" s="1"/>
  <c r="AW33" i="7"/>
  <c r="AW96" i="7" s="1"/>
  <c r="AW28" i="7"/>
  <c r="AW92" i="7" s="1"/>
  <c r="AW24" i="7"/>
  <c r="AW36" i="7"/>
  <c r="AW99" i="7" s="1"/>
  <c r="AW32" i="7"/>
  <c r="AW95" i="7" s="1"/>
  <c r="AW27" i="7"/>
  <c r="AW91" i="7" s="1"/>
  <c r="AW23" i="7"/>
  <c r="AW87" i="7" s="1"/>
  <c r="AZ29" i="59" s="1"/>
  <c r="AW35" i="7"/>
  <c r="AW98" i="7" s="1"/>
  <c r="AW31" i="7"/>
  <c r="AZ34" i="59" s="1"/>
  <c r="AW26" i="7"/>
  <c r="AW62" i="7"/>
  <c r="AW61" i="7"/>
  <c r="AW102" i="7" s="1"/>
  <c r="AW60" i="7"/>
  <c r="AW59" i="7"/>
  <c r="AW58" i="7"/>
  <c r="AW57" i="7"/>
  <c r="AW56" i="7"/>
  <c r="AW101" i="7" s="1"/>
  <c r="AW55" i="7"/>
  <c r="AW54" i="7"/>
  <c r="BE73" i="7"/>
  <c r="BF73" i="7"/>
  <c r="AW83" i="7"/>
  <c r="AW80" i="7"/>
  <c r="AJ84" i="7"/>
  <c r="AJ159" i="7"/>
  <c r="AW81" i="7"/>
  <c r="AO2" i="7"/>
  <c r="AI159" i="7"/>
  <c r="AW76" i="7"/>
  <c r="AO38" i="7"/>
  <c r="AB125" i="7"/>
  <c r="AO103" i="7"/>
  <c r="AB147" i="7"/>
  <c r="AB127" i="7"/>
  <c r="AS80" i="7"/>
  <c r="AS81" i="7"/>
  <c r="AV28" i="59" s="1"/>
  <c r="AS78" i="7"/>
  <c r="AS76" i="7"/>
  <c r="AS83" i="7"/>
  <c r="AV35" i="59" s="1"/>
  <c r="BE65" i="7"/>
  <c r="BF41" i="7"/>
  <c r="AE69" i="7"/>
  <c r="AP2" i="7"/>
  <c r="AP159" i="7" s="1"/>
  <c r="AB103" i="7"/>
  <c r="M115" i="6"/>
  <c r="AA69" i="7"/>
  <c r="AD33" i="59"/>
  <c r="AA78" i="7"/>
  <c r="AD34" i="59"/>
  <c r="J87" i="6"/>
  <c r="AW90" i="7" l="1"/>
  <c r="AZ32" i="59" s="1"/>
  <c r="AS88" i="7"/>
  <c r="AV30" i="59" s="1"/>
  <c r="AS90" i="7"/>
  <c r="AV32" i="59" s="1"/>
  <c r="AS89" i="7"/>
  <c r="AV31" i="59" s="1"/>
  <c r="AW88" i="7"/>
  <c r="AZ30" i="59" s="1"/>
  <c r="AW89" i="7"/>
  <c r="AZ31" i="59" s="1"/>
  <c r="AO53" i="7"/>
  <c r="AO63" i="7" s="1"/>
  <c r="BE67" i="7"/>
  <c r="BE78" i="7" s="1"/>
  <c r="AW38" i="7"/>
  <c r="AS2" i="7"/>
  <c r="AO159" i="7"/>
  <c r="AB128" i="7"/>
  <c r="AB135" i="7" s="1"/>
  <c r="AS38" i="7"/>
  <c r="AS53" i="7" s="1"/>
  <c r="AZ28" i="59"/>
  <c r="AZ35" i="59"/>
  <c r="BF51" i="7"/>
  <c r="AT2" i="7"/>
  <c r="AT159" i="7" s="1"/>
  <c r="AP84" i="7"/>
  <c r="AO68" i="7"/>
  <c r="M121" i="6"/>
  <c r="BF13" i="36"/>
  <c r="AD30" i="59"/>
  <c r="AD31" i="59"/>
  <c r="AA115" i="6"/>
  <c r="N137" i="6"/>
  <c r="AB137" i="6" s="1"/>
  <c r="N115" i="6"/>
  <c r="N103" i="6"/>
  <c r="M98" i="6"/>
  <c r="M104" i="6" s="1"/>
  <c r="M106" i="6" s="1"/>
  <c r="M147" i="6" s="1"/>
  <c r="M132" i="6"/>
  <c r="M138" i="6" s="1"/>
  <c r="AD29" i="59"/>
  <c r="J86" i="6"/>
  <c r="J88" i="6"/>
  <c r="I70" i="6"/>
  <c r="I88" i="6"/>
  <c r="I87" i="6"/>
  <c r="I86" i="6"/>
  <c r="I76" i="6"/>
  <c r="I75" i="6"/>
  <c r="I74" i="6"/>
  <c r="I73" i="6"/>
  <c r="I72" i="6"/>
  <c r="AW103" i="7" l="1"/>
  <c r="BE80" i="7"/>
  <c r="BE81" i="7"/>
  <c r="BH28" i="59" s="1"/>
  <c r="BE83" i="7"/>
  <c r="BH35" i="59" s="1"/>
  <c r="AS103" i="7"/>
  <c r="BE76" i="7"/>
  <c r="AO77" i="7"/>
  <c r="BE35" i="7"/>
  <c r="BE98" i="7" s="1"/>
  <c r="BE31" i="7"/>
  <c r="BH34" i="59" s="1"/>
  <c r="BE26" i="7"/>
  <c r="BE34" i="7"/>
  <c r="BE97" i="7" s="1"/>
  <c r="BE29" i="7"/>
  <c r="BE93" i="7" s="1"/>
  <c r="BH33" i="59" s="1"/>
  <c r="BE25" i="7"/>
  <c r="BE37" i="7"/>
  <c r="BE100" i="7" s="1"/>
  <c r="BE33" i="7"/>
  <c r="BE96" i="7" s="1"/>
  <c r="BE28" i="7"/>
  <c r="BE92" i="7" s="1"/>
  <c r="BE24" i="7"/>
  <c r="BE36" i="7"/>
  <c r="BE99" i="7" s="1"/>
  <c r="BE32" i="7"/>
  <c r="BE95" i="7" s="1"/>
  <c r="BE27" i="7"/>
  <c r="BE91" i="7" s="1"/>
  <c r="BE23" i="7"/>
  <c r="BE87" i="7" s="1"/>
  <c r="BH29" i="59" s="1"/>
  <c r="BE62" i="7"/>
  <c r="BE61" i="7"/>
  <c r="BE102" i="7" s="1"/>
  <c r="BE60" i="7"/>
  <c r="BE59" i="7"/>
  <c r="BE58" i="7"/>
  <c r="BE57" i="7"/>
  <c r="BE56" i="7"/>
  <c r="BE101" i="7" s="1"/>
  <c r="BE55" i="7"/>
  <c r="BE54" i="7"/>
  <c r="AW53" i="7"/>
  <c r="AW63" i="7" s="1"/>
  <c r="BI39" i="59"/>
  <c r="AW2" i="7"/>
  <c r="AS159" i="7"/>
  <c r="AS63" i="7"/>
  <c r="AS77" i="7"/>
  <c r="AT84" i="7"/>
  <c r="AX2" i="7"/>
  <c r="AS68" i="7"/>
  <c r="AW68" i="7" s="1"/>
  <c r="AO69" i="7"/>
  <c r="M140" i="6"/>
  <c r="M205" i="6" s="1"/>
  <c r="AA138" i="6"/>
  <c r="M123" i="6"/>
  <c r="M172" i="6" s="1"/>
  <c r="AA121" i="6"/>
  <c r="AA123" i="6" s="1"/>
  <c r="N120" i="6"/>
  <c r="N98" i="6"/>
  <c r="N104" i="6" s="1"/>
  <c r="N106" i="6" s="1"/>
  <c r="F8" i="36"/>
  <c r="I9" i="59" s="1"/>
  <c r="J75" i="6"/>
  <c r="J72" i="6"/>
  <c r="J76" i="6"/>
  <c r="J73" i="6"/>
  <c r="J74" i="6"/>
  <c r="I77" i="6"/>
  <c r="J70" i="6"/>
  <c r="BE90" i="7" l="1"/>
  <c r="BH32" i="59" s="1"/>
  <c r="BE88" i="7"/>
  <c r="BE89" i="7"/>
  <c r="BH31" i="59" s="1"/>
  <c r="AW77" i="7"/>
  <c r="BE38" i="7"/>
  <c r="AX84" i="7"/>
  <c r="AX159" i="7"/>
  <c r="BE2" i="7"/>
  <c r="AW159" i="7"/>
  <c r="AW69" i="7"/>
  <c r="M206" i="6"/>
  <c r="M207" i="6"/>
  <c r="BF2" i="7"/>
  <c r="BF84" i="7" s="1"/>
  <c r="M213" i="6"/>
  <c r="M173" i="6"/>
  <c r="M174" i="6" s="1"/>
  <c r="M212" i="6"/>
  <c r="M175" i="6"/>
  <c r="AS69" i="7"/>
  <c r="N121" i="6"/>
  <c r="AB120" i="6"/>
  <c r="N153" i="6"/>
  <c r="R153" i="6" s="1"/>
  <c r="V153" i="6" s="1"/>
  <c r="N149" i="6"/>
  <c r="R149" i="6" s="1"/>
  <c r="V149" i="6" s="1"/>
  <c r="N154" i="6"/>
  <c r="R154" i="6" s="1"/>
  <c r="V154" i="6" s="1"/>
  <c r="AB103" i="6"/>
  <c r="AA173" i="6"/>
  <c r="AA175" i="6"/>
  <c r="AA172" i="6"/>
  <c r="AB115" i="6"/>
  <c r="N132" i="6"/>
  <c r="N138" i="6" s="1"/>
  <c r="AB138" i="6" s="1"/>
  <c r="M144" i="6"/>
  <c r="M145" i="6"/>
  <c r="I173" i="6"/>
  <c r="J178" i="6"/>
  <c r="J179" i="6"/>
  <c r="J177" i="6"/>
  <c r="I145" i="6"/>
  <c r="I144" i="6"/>
  <c r="I172" i="6"/>
  <c r="J172" i="6"/>
  <c r="J77" i="6"/>
  <c r="M77" i="6"/>
  <c r="F7" i="36"/>
  <c r="I8" i="59" s="1"/>
  <c r="I68" i="6"/>
  <c r="I67" i="6"/>
  <c r="I65" i="6"/>
  <c r="I64" i="6"/>
  <c r="BH30" i="59" l="1"/>
  <c r="BE103" i="7"/>
  <c r="BE53" i="7"/>
  <c r="BE63" i="7" s="1"/>
  <c r="BE68" i="7"/>
  <c r="N123" i="6"/>
  <c r="N173" i="6" s="1"/>
  <c r="Q22" i="59" s="1"/>
  <c r="AB121" i="6"/>
  <c r="N140" i="6"/>
  <c r="N205" i="6" s="1"/>
  <c r="AA98" i="6"/>
  <c r="AB98" i="6"/>
  <c r="AA174" i="6"/>
  <c r="M208" i="6"/>
  <c r="N147" i="6"/>
  <c r="I174" i="6"/>
  <c r="J145" i="6"/>
  <c r="M15" i="59" s="1"/>
  <c r="J149" i="6"/>
  <c r="J153" i="6"/>
  <c r="J154" i="6"/>
  <c r="M146" i="6"/>
  <c r="J144" i="6"/>
  <c r="M217" i="6"/>
  <c r="Z178" i="6"/>
  <c r="Z177" i="6"/>
  <c r="Z179" i="6"/>
  <c r="Y77" i="6"/>
  <c r="AA77" i="6"/>
  <c r="M214" i="6"/>
  <c r="M209" i="6"/>
  <c r="M211" i="6"/>
  <c r="M203" i="6"/>
  <c r="M204" i="6"/>
  <c r="I146" i="6"/>
  <c r="J173" i="6"/>
  <c r="M22" i="59" s="1"/>
  <c r="I66" i="6"/>
  <c r="I69" i="6"/>
  <c r="M69" i="6"/>
  <c r="N77" i="6"/>
  <c r="J65" i="6"/>
  <c r="J67" i="6"/>
  <c r="J68" i="6"/>
  <c r="J64" i="6"/>
  <c r="J2" i="6"/>
  <c r="I2" i="6"/>
  <c r="BE77" i="7" l="1"/>
  <c r="BE69" i="7"/>
  <c r="N206" i="6"/>
  <c r="N207" i="6"/>
  <c r="I12" i="6"/>
  <c r="I221" i="6" s="1"/>
  <c r="I13" i="6"/>
  <c r="I222" i="6" s="1"/>
  <c r="N175" i="6"/>
  <c r="N178" i="6"/>
  <c r="R178" i="6" s="1"/>
  <c r="V178" i="6" s="1"/>
  <c r="N179" i="6"/>
  <c r="R179" i="6" s="1"/>
  <c r="V179" i="6" s="1"/>
  <c r="N177" i="6"/>
  <c r="R177" i="6" s="1"/>
  <c r="V177" i="6" s="1"/>
  <c r="V197" i="6" s="1"/>
  <c r="N213" i="6"/>
  <c r="N212" i="6"/>
  <c r="N199" i="6"/>
  <c r="J174" i="6"/>
  <c r="I191" i="6"/>
  <c r="I166" i="6"/>
  <c r="I192" i="6"/>
  <c r="AB132" i="6"/>
  <c r="AB104" i="6"/>
  <c r="AB106" i="6" s="1"/>
  <c r="AB144" i="6" s="1"/>
  <c r="AA104" i="6"/>
  <c r="AA106" i="6" s="1"/>
  <c r="J146" i="6"/>
  <c r="AA132" i="6"/>
  <c r="F15" i="36"/>
  <c r="J192" i="6"/>
  <c r="J166" i="6"/>
  <c r="J191" i="6"/>
  <c r="M218" i="6"/>
  <c r="J13" i="6"/>
  <c r="J222" i="6" s="1"/>
  <c r="J12" i="6"/>
  <c r="J221" i="6" s="1"/>
  <c r="AC9" i="59"/>
  <c r="J197" i="6"/>
  <c r="Z154" i="6"/>
  <c r="Z149" i="6"/>
  <c r="Z153" i="6"/>
  <c r="M215" i="6"/>
  <c r="M210" i="6"/>
  <c r="N2" i="6"/>
  <c r="M2" i="6"/>
  <c r="N144" i="6"/>
  <c r="N145" i="6"/>
  <c r="Q15" i="59" s="1"/>
  <c r="N172" i="6"/>
  <c r="N174" i="6" s="1"/>
  <c r="N8" i="36" s="1"/>
  <c r="Q9" i="59" s="1"/>
  <c r="M66" i="6"/>
  <c r="J66" i="6"/>
  <c r="J24" i="6"/>
  <c r="J69" i="6"/>
  <c r="J27" i="6"/>
  <c r="J30" i="6"/>
  <c r="I18" i="6"/>
  <c r="I195" i="6" s="1"/>
  <c r="I17" i="6"/>
  <c r="I169" i="6" s="1"/>
  <c r="J21" i="6"/>
  <c r="AA140" i="6" l="1"/>
  <c r="V15" i="36"/>
  <c r="M13" i="6"/>
  <c r="M222" i="6" s="1"/>
  <c r="M12" i="6"/>
  <c r="M221" i="6" s="1"/>
  <c r="R197" i="6"/>
  <c r="R2" i="6"/>
  <c r="R61" i="6"/>
  <c r="R60" i="6"/>
  <c r="AB60" i="6"/>
  <c r="AB61" i="6"/>
  <c r="AA61" i="6"/>
  <c r="AD23" i="59" s="1"/>
  <c r="AA60" i="6"/>
  <c r="AD16" i="59" s="1"/>
  <c r="Q60" i="6"/>
  <c r="T16" i="59" s="1"/>
  <c r="Q61" i="6"/>
  <c r="T23" i="59" s="1"/>
  <c r="J8" i="36"/>
  <c r="M9" i="59" s="1"/>
  <c r="J7" i="36"/>
  <c r="M8" i="59" s="1"/>
  <c r="AB153" i="6"/>
  <c r="AF153" i="6" s="1"/>
  <c r="AJ153" i="6" s="1"/>
  <c r="AP153" i="6" s="1"/>
  <c r="AT153" i="6" s="1"/>
  <c r="AB154" i="6"/>
  <c r="AF154" i="6" s="1"/>
  <c r="AJ154" i="6" s="1"/>
  <c r="AP154" i="6" s="1"/>
  <c r="AT154" i="6" s="1"/>
  <c r="Z197" i="6"/>
  <c r="AB149" i="6"/>
  <c r="AF149" i="6" s="1"/>
  <c r="N12" i="6"/>
  <c r="N221" i="6" s="1"/>
  <c r="N13" i="6"/>
  <c r="N222" i="6" s="1"/>
  <c r="N191" i="6"/>
  <c r="N192" i="6"/>
  <c r="M192" i="6"/>
  <c r="M166" i="6"/>
  <c r="M191" i="6"/>
  <c r="I194" i="6"/>
  <c r="I188" i="6"/>
  <c r="I168" i="6"/>
  <c r="I163" i="6"/>
  <c r="I52" i="59"/>
  <c r="AB147" i="6"/>
  <c r="AB145" i="6"/>
  <c r="AA147" i="6"/>
  <c r="AA145" i="6"/>
  <c r="AB123" i="6"/>
  <c r="AA144" i="6"/>
  <c r="N208" i="6"/>
  <c r="Q2" i="6"/>
  <c r="N166" i="6"/>
  <c r="R8" i="36"/>
  <c r="U9" i="59" s="1"/>
  <c r="N217" i="6"/>
  <c r="R7" i="36"/>
  <c r="U8" i="59" s="1"/>
  <c r="M216" i="6"/>
  <c r="N197" i="6"/>
  <c r="N20" i="49" s="1"/>
  <c r="AC8" i="59"/>
  <c r="Y69" i="6"/>
  <c r="J161" i="6"/>
  <c r="M20" i="59" s="1"/>
  <c r="J157" i="6"/>
  <c r="J159" i="6"/>
  <c r="M18" i="59" s="1"/>
  <c r="J158" i="6"/>
  <c r="M17" i="59" s="1"/>
  <c r="J160" i="6"/>
  <c r="M19" i="59" s="1"/>
  <c r="J156" i="6"/>
  <c r="N209" i="6"/>
  <c r="N214" i="6"/>
  <c r="N204" i="6"/>
  <c r="N211" i="6"/>
  <c r="N203" i="6"/>
  <c r="I7" i="6"/>
  <c r="I15" i="6"/>
  <c r="I16" i="6"/>
  <c r="N146" i="6"/>
  <c r="N7" i="36" s="1"/>
  <c r="Q8" i="59" s="1"/>
  <c r="N69" i="6"/>
  <c r="I19" i="6"/>
  <c r="N66" i="6"/>
  <c r="J33" i="6"/>
  <c r="AA207" i="6" l="1"/>
  <c r="AA205" i="6"/>
  <c r="AA209" i="6"/>
  <c r="AA211" i="6"/>
  <c r="AA206" i="6"/>
  <c r="AA214" i="6"/>
  <c r="AA217" i="6"/>
  <c r="AA218" i="6" s="1"/>
  <c r="AA203" i="6"/>
  <c r="AA208" i="6"/>
  <c r="AA212" i="6"/>
  <c r="AA204" i="6"/>
  <c r="V61" i="6"/>
  <c r="Y23" i="59" s="1"/>
  <c r="AA213" i="6"/>
  <c r="U60" i="6"/>
  <c r="X16" i="59" s="1"/>
  <c r="R13" i="6"/>
  <c r="R222" i="6" s="1"/>
  <c r="AX154" i="6"/>
  <c r="BF154" i="6" s="1"/>
  <c r="R12" i="6"/>
  <c r="R221" i="6" s="1"/>
  <c r="AX153" i="6"/>
  <c r="BF153" i="6" s="1"/>
  <c r="Q12" i="6"/>
  <c r="Q221" i="6" s="1"/>
  <c r="Q13" i="6"/>
  <c r="Q222" i="6" s="1"/>
  <c r="U61" i="6"/>
  <c r="X23" i="59" s="1"/>
  <c r="V60" i="6"/>
  <c r="Y16" i="59" s="1"/>
  <c r="Y52" i="59"/>
  <c r="AJ149" i="6"/>
  <c r="AE16" i="59"/>
  <c r="AD12" i="59"/>
  <c r="AE12" i="59"/>
  <c r="AE23" i="59"/>
  <c r="AB146" i="6"/>
  <c r="AB7" i="36" s="1"/>
  <c r="AE8" i="59" s="1"/>
  <c r="AE15" i="59"/>
  <c r="T12" i="59"/>
  <c r="U16" i="59"/>
  <c r="U12" i="59"/>
  <c r="U23" i="59"/>
  <c r="V2" i="6"/>
  <c r="R192" i="6"/>
  <c r="R166" i="6"/>
  <c r="R191" i="6"/>
  <c r="Q192" i="6"/>
  <c r="AB177" i="6"/>
  <c r="AF177" i="6" s="1"/>
  <c r="AJ177" i="6" s="1"/>
  <c r="AP177" i="6" s="1"/>
  <c r="AT177" i="6" s="1"/>
  <c r="AB179" i="6"/>
  <c r="AF179" i="6" s="1"/>
  <c r="AJ179" i="6" s="1"/>
  <c r="AP179" i="6" s="1"/>
  <c r="AT179" i="6" s="1"/>
  <c r="AB178" i="6"/>
  <c r="AF178" i="6" s="1"/>
  <c r="AJ178" i="6" s="1"/>
  <c r="AP178" i="6" s="1"/>
  <c r="AT178" i="6" s="1"/>
  <c r="I84" i="6"/>
  <c r="M168" i="6"/>
  <c r="M163" i="6"/>
  <c r="I81" i="6"/>
  <c r="M194" i="6"/>
  <c r="M188" i="6"/>
  <c r="U2" i="6"/>
  <c r="U192" i="6" s="1"/>
  <c r="AA146" i="6"/>
  <c r="AB175" i="6"/>
  <c r="AB172" i="6"/>
  <c r="AB140" i="6"/>
  <c r="AB173" i="6"/>
  <c r="AE22" i="59" s="1"/>
  <c r="AB77" i="6"/>
  <c r="AB69" i="6"/>
  <c r="Q17" i="59"/>
  <c r="N218" i="6"/>
  <c r="M219" i="6"/>
  <c r="F9" i="36"/>
  <c r="I10" i="59" s="1"/>
  <c r="AA69" i="6"/>
  <c r="AA66" i="6"/>
  <c r="Y66" i="6"/>
  <c r="Q19" i="59"/>
  <c r="Q18" i="59"/>
  <c r="Q20" i="59"/>
  <c r="M16" i="6"/>
  <c r="N215" i="6"/>
  <c r="Q11" i="59" s="1"/>
  <c r="N210" i="6"/>
  <c r="M15" i="6"/>
  <c r="M7" i="6"/>
  <c r="M19" i="6"/>
  <c r="AB207" i="6" l="1"/>
  <c r="AB205" i="6"/>
  <c r="AA210" i="6"/>
  <c r="AA215" i="6"/>
  <c r="AB213" i="6"/>
  <c r="U12" i="6"/>
  <c r="Q15" i="6"/>
  <c r="AX178" i="6"/>
  <c r="BF178" i="6" s="1"/>
  <c r="AX179" i="6"/>
  <c r="BF179" i="6" s="1"/>
  <c r="V192" i="6"/>
  <c r="V191" i="6"/>
  <c r="V166" i="6"/>
  <c r="AX177" i="6"/>
  <c r="BF177" i="6" s="1"/>
  <c r="U13" i="6"/>
  <c r="Q16" i="6"/>
  <c r="V13" i="6"/>
  <c r="V12" i="6"/>
  <c r="AF197" i="6"/>
  <c r="AP149" i="6"/>
  <c r="AJ197" i="6"/>
  <c r="AB199" i="6"/>
  <c r="AB2" i="6"/>
  <c r="R15" i="6"/>
  <c r="R16" i="6"/>
  <c r="AB212" i="6"/>
  <c r="AB206" i="6"/>
  <c r="M84" i="6"/>
  <c r="AA2" i="6"/>
  <c r="M81" i="6"/>
  <c r="U19" i="59"/>
  <c r="AB197" i="6"/>
  <c r="U20" i="59"/>
  <c r="U18" i="59"/>
  <c r="U17" i="59"/>
  <c r="AB217" i="6"/>
  <c r="AB204" i="6"/>
  <c r="AB208" i="6"/>
  <c r="AB214" i="6"/>
  <c r="AB203" i="6"/>
  <c r="AB209" i="6"/>
  <c r="AB211" i="6"/>
  <c r="AB174" i="6"/>
  <c r="AB8" i="36" s="1"/>
  <c r="AE9" i="59" s="1"/>
  <c r="R9" i="36"/>
  <c r="U10" i="59" s="1"/>
  <c r="AB66" i="6"/>
  <c r="J9" i="36"/>
  <c r="M10" i="59" s="1"/>
  <c r="N216" i="6"/>
  <c r="N219" i="6" s="1"/>
  <c r="AA216" i="6" l="1"/>
  <c r="AA219" i="6" s="1"/>
  <c r="V15" i="6"/>
  <c r="V221" i="6"/>
  <c r="V16" i="6"/>
  <c r="V222" i="6"/>
  <c r="U16" i="6"/>
  <c r="U222" i="6"/>
  <c r="U15" i="6"/>
  <c r="U221" i="6"/>
  <c r="AA12" i="6"/>
  <c r="AA221" i="6" s="1"/>
  <c r="AA13" i="6"/>
  <c r="AA222" i="6" s="1"/>
  <c r="AB12" i="6"/>
  <c r="AB13" i="6"/>
  <c r="AE2" i="6"/>
  <c r="AE60" i="6"/>
  <c r="AH16" i="59" s="1"/>
  <c r="AE61" i="6"/>
  <c r="AH23" i="59" s="1"/>
  <c r="AF2" i="6"/>
  <c r="AF61" i="6"/>
  <c r="AF60" i="6"/>
  <c r="AT149" i="6"/>
  <c r="AX149" i="6" s="1"/>
  <c r="AP197" i="6"/>
  <c r="AB192" i="6"/>
  <c r="AB191" i="6"/>
  <c r="AB166" i="6"/>
  <c r="AA192" i="6"/>
  <c r="AB210" i="6"/>
  <c r="AB218" i="6"/>
  <c r="AB215" i="6"/>
  <c r="AC10" i="59"/>
  <c r="N9" i="36"/>
  <c r="Q10" i="59" s="1"/>
  <c r="AX197" i="6" l="1"/>
  <c r="BF149" i="6"/>
  <c r="AE11" i="59"/>
  <c r="AF13" i="6"/>
  <c r="AF222" i="6" s="1"/>
  <c r="AB222" i="6"/>
  <c r="AF12" i="6"/>
  <c r="AF221" i="6" s="1"/>
  <c r="AB221" i="6"/>
  <c r="AA16" i="6"/>
  <c r="AE13" i="6"/>
  <c r="AE222" i="6" s="1"/>
  <c r="AE12" i="6"/>
  <c r="AE221" i="6" s="1"/>
  <c r="AA15" i="6"/>
  <c r="AT197" i="6"/>
  <c r="AJ2" i="6"/>
  <c r="AF192" i="6"/>
  <c r="AF166" i="6"/>
  <c r="AF191" i="6"/>
  <c r="AI16" i="59"/>
  <c r="AJ60" i="6"/>
  <c r="AI61" i="6"/>
  <c r="AL23" i="59" s="1"/>
  <c r="AI23" i="59"/>
  <c r="AJ61" i="6"/>
  <c r="AH12" i="59"/>
  <c r="AI12" i="59"/>
  <c r="AI60" i="6"/>
  <c r="AL16" i="59" s="1"/>
  <c r="AI2" i="6"/>
  <c r="AE192" i="6"/>
  <c r="AB16" i="6"/>
  <c r="AB15" i="6"/>
  <c r="AA168" i="6"/>
  <c r="AA163" i="6"/>
  <c r="AA194" i="6"/>
  <c r="AA188" i="6"/>
  <c r="AB216" i="6"/>
  <c r="AA19" i="6"/>
  <c r="AF16" i="6" l="1"/>
  <c r="AB9" i="36"/>
  <c r="AE10" i="59" s="1"/>
  <c r="AI12" i="6"/>
  <c r="AI221" i="6" s="1"/>
  <c r="AE15" i="6"/>
  <c r="AI13" i="6"/>
  <c r="AI222" i="6" s="1"/>
  <c r="AE16" i="6"/>
  <c r="BF197" i="6"/>
  <c r="AO2" i="6"/>
  <c r="AI192" i="6"/>
  <c r="BF12" i="59"/>
  <c r="AL12" i="59"/>
  <c r="AO61" i="6"/>
  <c r="AR23" i="59" s="1"/>
  <c r="AM12" i="59"/>
  <c r="AP2" i="6"/>
  <c r="AJ192" i="6"/>
  <c r="AJ166" i="6"/>
  <c r="AJ191" i="6"/>
  <c r="AP61" i="6"/>
  <c r="AM23" i="59"/>
  <c r="AJ12" i="6"/>
  <c r="AJ221" i="6" s="1"/>
  <c r="AF15" i="6"/>
  <c r="AO60" i="6"/>
  <c r="AR16" i="59" s="1"/>
  <c r="AJ13" i="6"/>
  <c r="AJ222" i="6" s="1"/>
  <c r="AP60" i="6"/>
  <c r="AM16" i="59"/>
  <c r="AA84" i="6"/>
  <c r="AA81" i="6"/>
  <c r="AB219" i="6"/>
  <c r="AO13" i="6" l="1"/>
  <c r="AO222" i="6" s="1"/>
  <c r="AI16" i="6"/>
  <c r="AO12" i="6"/>
  <c r="AO221" i="6" s="1"/>
  <c r="AI15" i="6"/>
  <c r="BG12" i="59"/>
  <c r="AT2" i="6"/>
  <c r="AX2" i="6" s="1"/>
  <c r="AP192" i="6"/>
  <c r="AP166" i="6"/>
  <c r="AP191" i="6"/>
  <c r="AS16" i="59"/>
  <c r="AT60" i="6"/>
  <c r="AS12" i="59"/>
  <c r="AP13" i="6"/>
  <c r="AP222" i="6" s="1"/>
  <c r="AJ16" i="6"/>
  <c r="AP12" i="6"/>
  <c r="AP221" i="6" s="1"/>
  <c r="AJ15" i="6"/>
  <c r="AR12" i="59"/>
  <c r="AS23" i="59"/>
  <c r="AT61" i="6"/>
  <c r="AS60" i="6"/>
  <c r="AV16" i="59" s="1"/>
  <c r="AS61" i="6"/>
  <c r="AV23" i="59" s="1"/>
  <c r="AS2" i="6"/>
  <c r="AW2" i="6" s="1"/>
  <c r="AO192" i="6"/>
  <c r="I27" i="21"/>
  <c r="I26" i="21"/>
  <c r="J27" i="21"/>
  <c r="J15" i="21"/>
  <c r="I11" i="21"/>
  <c r="I10" i="21"/>
  <c r="I9" i="21"/>
  <c r="AA26" i="21" l="1"/>
  <c r="AE26" i="21" s="1"/>
  <c r="AI26" i="21" s="1"/>
  <c r="AO26" i="21" s="1"/>
  <c r="AS26" i="21" s="1"/>
  <c r="AW26" i="21" s="1"/>
  <c r="BE26" i="21" s="1"/>
  <c r="AW61" i="6"/>
  <c r="AZ23" i="59" s="1"/>
  <c r="AX60" i="6"/>
  <c r="BA16" i="59" s="1"/>
  <c r="AW192" i="6"/>
  <c r="AW60" i="6"/>
  <c r="AZ16" i="59" s="1"/>
  <c r="AS12" i="6"/>
  <c r="AS221" i="6" s="1"/>
  <c r="AO15" i="6"/>
  <c r="AX191" i="6"/>
  <c r="AX166" i="6"/>
  <c r="AX192" i="6"/>
  <c r="AX61" i="6"/>
  <c r="BA23" i="59" s="1"/>
  <c r="AS13" i="6"/>
  <c r="AS222" i="6" s="1"/>
  <c r="AO16" i="6"/>
  <c r="BE2" i="6"/>
  <c r="BF2" i="6"/>
  <c r="AV12" i="59"/>
  <c r="BH12" i="59"/>
  <c r="AW12" i="59"/>
  <c r="BI12" i="59"/>
  <c r="AW16" i="59"/>
  <c r="AW23" i="59"/>
  <c r="AS192" i="6"/>
  <c r="AT12" i="6"/>
  <c r="AP15" i="6"/>
  <c r="AT13" i="6"/>
  <c r="AP16" i="6"/>
  <c r="AT191" i="6"/>
  <c r="AT166" i="6"/>
  <c r="AT192" i="6"/>
  <c r="AB27" i="21"/>
  <c r="AF27" i="21" s="1"/>
  <c r="AJ27" i="21" s="1"/>
  <c r="AP27" i="21" s="1"/>
  <c r="AT27" i="21" s="1"/>
  <c r="AX27" i="21" s="1"/>
  <c r="BF27" i="21" s="1"/>
  <c r="AA27" i="21"/>
  <c r="AE27" i="21" s="1"/>
  <c r="I12" i="21"/>
  <c r="I28" i="21"/>
  <c r="AX13" i="6" l="1"/>
  <c r="AT222" i="6"/>
  <c r="AX12" i="6"/>
  <c r="AT221" i="6"/>
  <c r="AW13" i="6"/>
  <c r="AS16" i="6"/>
  <c r="AW12" i="6"/>
  <c r="AS15" i="6"/>
  <c r="BF191" i="6"/>
  <c r="BF166" i="6"/>
  <c r="BF192" i="6"/>
  <c r="BE192" i="6"/>
  <c r="AT16" i="6"/>
  <c r="AT15" i="6"/>
  <c r="BE61" i="6"/>
  <c r="BH23" i="59" s="1"/>
  <c r="BF61" i="6"/>
  <c r="BI23" i="59" s="1"/>
  <c r="BF60" i="6"/>
  <c r="BI16" i="59" s="1"/>
  <c r="BE60" i="6"/>
  <c r="BH16" i="59" s="1"/>
  <c r="AE28" i="21"/>
  <c r="AI27" i="21"/>
  <c r="I555" i="28"/>
  <c r="I556" i="28"/>
  <c r="AB15" i="21"/>
  <c r="AF15" i="21" s="1"/>
  <c r="I22" i="21"/>
  <c r="I15" i="21"/>
  <c r="AW16" i="6" l="1"/>
  <c r="AW222" i="6"/>
  <c r="AX15" i="6"/>
  <c r="AX221" i="6"/>
  <c r="AW15" i="6"/>
  <c r="AW221" i="6"/>
  <c r="AX16" i="6"/>
  <c r="AX222" i="6"/>
  <c r="BE12" i="6"/>
  <c r="BE13" i="6"/>
  <c r="BF13" i="6"/>
  <c r="BF12" i="6"/>
  <c r="AJ15" i="21"/>
  <c r="AF20" i="21"/>
  <c r="AI28" i="21"/>
  <c r="AO27" i="21"/>
  <c r="AA28" i="21"/>
  <c r="AA15" i="21"/>
  <c r="AE15" i="21" s="1"/>
  <c r="AI15" i="21" s="1"/>
  <c r="AO15" i="21" s="1"/>
  <c r="AS15" i="21" s="1"/>
  <c r="AW15" i="21" s="1"/>
  <c r="BE15" i="21" s="1"/>
  <c r="BE16" i="6" l="1"/>
  <c r="BE222" i="6"/>
  <c r="BE15" i="6"/>
  <c r="BE221" i="6"/>
  <c r="BF15" i="6"/>
  <c r="BF221" i="6"/>
  <c r="BF16" i="6"/>
  <c r="BF222" i="6"/>
  <c r="AO28" i="21"/>
  <c r="AS27" i="21"/>
  <c r="AP15" i="21"/>
  <c r="AJ20" i="21"/>
  <c r="AA12" i="21"/>
  <c r="AS28" i="21" l="1"/>
  <c r="AW27" i="21"/>
  <c r="AT15" i="21"/>
  <c r="AP20" i="21"/>
  <c r="AA22" i="21"/>
  <c r="AW28" i="21" l="1"/>
  <c r="BE27" i="21"/>
  <c r="BE28" i="21" s="1"/>
  <c r="AT20" i="21"/>
  <c r="AX15" i="21"/>
  <c r="J71" i="11"/>
  <c r="AX20" i="21" l="1"/>
  <c r="BF15" i="21"/>
  <c r="BF20" i="21" s="1"/>
  <c r="J102" i="9"/>
  <c r="J89" i="9"/>
  <c r="J90" i="9"/>
  <c r="J34" i="22"/>
  <c r="I130" i="26"/>
  <c r="J94" i="9"/>
  <c r="I19" i="15" s="1"/>
  <c r="J96" i="9"/>
  <c r="J100" i="9"/>
  <c r="J104" i="9"/>
  <c r="M58" i="59" s="1"/>
  <c r="J188" i="6"/>
  <c r="I118" i="26" l="1"/>
  <c r="I126" i="26"/>
  <c r="I119" i="26"/>
  <c r="I120" i="26"/>
  <c r="I125" i="26"/>
  <c r="I114" i="26"/>
  <c r="I121" i="26"/>
  <c r="I122" i="26"/>
  <c r="I123" i="26"/>
  <c r="I115" i="26"/>
  <c r="I124" i="26"/>
  <c r="I127" i="26"/>
  <c r="I116" i="26"/>
  <c r="I128" i="26"/>
  <c r="I117" i="26"/>
  <c r="N96" i="9"/>
  <c r="N100" i="9"/>
  <c r="M19" i="15"/>
  <c r="N90" i="9"/>
  <c r="N89" i="9"/>
  <c r="J190" i="6"/>
  <c r="J85" i="8"/>
  <c r="J87" i="8" s="1"/>
  <c r="Q74" i="59" l="1"/>
  <c r="N190" i="6"/>
  <c r="Z164" i="6"/>
  <c r="J86" i="8"/>
  <c r="AP24" i="36" l="1"/>
  <c r="AS74" i="59" s="1"/>
  <c r="AM74" i="59"/>
  <c r="AF24" i="36"/>
  <c r="AI74" i="59" s="1"/>
  <c r="R24" i="36"/>
  <c r="U74" i="59" s="1"/>
  <c r="AB190" i="6"/>
  <c r="AF190" i="6" s="1"/>
  <c r="AJ190" i="6" s="1"/>
  <c r="AP190" i="6" s="1"/>
  <c r="AT190" i="6" s="1"/>
  <c r="R190" i="6"/>
  <c r="V190" i="6" s="1"/>
  <c r="N86" i="8"/>
  <c r="AX190" i="6" l="1"/>
  <c r="BF190" i="6" s="1"/>
  <c r="AX24" i="36"/>
  <c r="BA74" i="59" s="1"/>
  <c r="BF24" i="36"/>
  <c r="BI74" i="59" s="1"/>
  <c r="AT24" i="36"/>
  <c r="AW74" i="59" s="1"/>
  <c r="AB34" i="22"/>
  <c r="AB96" i="9"/>
  <c r="AB94" i="9"/>
  <c r="AA19" i="15" s="1"/>
  <c r="AB100" i="9"/>
  <c r="AB89" i="9"/>
  <c r="AB90" i="9"/>
  <c r="AB87" i="8" l="1"/>
  <c r="AB86" i="8"/>
  <c r="AF87" i="8" l="1"/>
  <c r="Z24" i="36"/>
  <c r="AC74" i="59" s="1"/>
  <c r="J28" i="6"/>
  <c r="AJ87" i="8" l="1"/>
  <c r="AP87" i="8" s="1"/>
  <c r="AT87" i="8" s="1"/>
  <c r="AB24" i="36"/>
  <c r="J29" i="6"/>
  <c r="J31" i="6"/>
  <c r="J25" i="6"/>
  <c r="AX87" i="8" l="1"/>
  <c r="BF87" i="8" s="1"/>
  <c r="AE74" i="59"/>
  <c r="N29" i="6"/>
  <c r="J32" i="6"/>
  <c r="J26" i="6"/>
  <c r="N26" i="6" l="1"/>
  <c r="N32" i="6"/>
  <c r="AB29" i="6" l="1"/>
  <c r="J65" i="8"/>
  <c r="J34" i="8"/>
  <c r="J20" i="49" l="1"/>
  <c r="J72" i="8"/>
  <c r="J15" i="36"/>
  <c r="M52" i="59" s="1"/>
  <c r="AB32" i="6"/>
  <c r="AB26" i="6"/>
  <c r="N72" i="8" l="1"/>
  <c r="N15" i="36"/>
  <c r="Q52" i="59" s="1"/>
  <c r="J19" i="21"/>
  <c r="J16" i="21" l="1"/>
  <c r="AB10" i="49" l="1"/>
  <c r="AB72" i="8"/>
  <c r="AB12" i="49" l="1"/>
  <c r="AF12" i="49" s="1"/>
  <c r="AJ12" i="49" s="1"/>
  <c r="AP12" i="49" s="1"/>
  <c r="AT12" i="49" s="1"/>
  <c r="AX12" i="49" s="1"/>
  <c r="BF12" i="49" s="1"/>
  <c r="AF10" i="49"/>
  <c r="AJ10" i="49" s="1"/>
  <c r="AP10" i="49" s="1"/>
  <c r="AT10" i="49" s="1"/>
  <c r="AX10" i="49" s="1"/>
  <c r="BF10" i="49" s="1"/>
  <c r="BG74" i="59"/>
  <c r="BE74" i="59"/>
  <c r="J17" i="8" l="1"/>
  <c r="J22" i="6" l="1"/>
  <c r="J184" i="6" l="1"/>
  <c r="M25" i="59" s="1"/>
  <c r="J185" i="6"/>
  <c r="M26" i="59" s="1"/>
  <c r="J186" i="6"/>
  <c r="M27" i="59" s="1"/>
  <c r="J182" i="6"/>
  <c r="J181" i="6"/>
  <c r="J183" i="6"/>
  <c r="M24" i="59" s="1"/>
  <c r="J23" i="6"/>
  <c r="J34" i="6"/>
  <c r="J198" i="6" l="1"/>
  <c r="Q27" i="59"/>
  <c r="Q24" i="59"/>
  <c r="Q26" i="59"/>
  <c r="Q25" i="59"/>
  <c r="N23" i="6"/>
  <c r="J35" i="6"/>
  <c r="U25" i="59" l="1"/>
  <c r="U27" i="59"/>
  <c r="U26" i="59"/>
  <c r="U24" i="59"/>
  <c r="N198" i="6"/>
  <c r="N35" i="6"/>
  <c r="J26" i="21" l="1"/>
  <c r="AB23" i="21" l="1"/>
  <c r="AF23" i="21" s="1"/>
  <c r="J9" i="21"/>
  <c r="AB26" i="21"/>
  <c r="AF26" i="21" s="1"/>
  <c r="J28" i="21"/>
  <c r="J17" i="21"/>
  <c r="AJ23" i="21" l="1"/>
  <c r="AJ26" i="21"/>
  <c r="AF28" i="21"/>
  <c r="J11" i="21"/>
  <c r="AP26" i="21" l="1"/>
  <c r="AT26" i="21" s="1"/>
  <c r="AJ28" i="21"/>
  <c r="AP28" i="21" s="1"/>
  <c r="AP23" i="21"/>
  <c r="AT23" i="21" s="1"/>
  <c r="AX23" i="21" s="1"/>
  <c r="BF23" i="21" s="1"/>
  <c r="J12" i="21"/>
  <c r="J22" i="21"/>
  <c r="AT28" i="21" l="1"/>
  <c r="AX26" i="21"/>
  <c r="J20" i="21"/>
  <c r="AB28" i="21"/>
  <c r="J24" i="21"/>
  <c r="AB22" i="21"/>
  <c r="AF22" i="21" s="1"/>
  <c r="J25" i="21" l="1"/>
  <c r="AX28" i="21"/>
  <c r="BF26" i="21"/>
  <c r="BF28" i="21" s="1"/>
  <c r="AJ22" i="21"/>
  <c r="AF24" i="21"/>
  <c r="AF25" i="21" s="1"/>
  <c r="AP22" i="21" l="1"/>
  <c r="AJ24" i="21"/>
  <c r="AB12" i="21"/>
  <c r="AJ25" i="21" l="1"/>
  <c r="AT22" i="21"/>
  <c r="AP24" i="21"/>
  <c r="AP25" i="21" s="1"/>
  <c r="AB20" i="21"/>
  <c r="AB24" i="21"/>
  <c r="AB25" i="21" s="1"/>
  <c r="AT24" i="21" l="1"/>
  <c r="AT25" i="21" s="1"/>
  <c r="AX22" i="21"/>
  <c r="J13" i="9"/>
  <c r="AX24" i="21" l="1"/>
  <c r="AX25" i="21" s="1"/>
  <c r="BF22" i="21"/>
  <c r="BF24" i="21" s="1"/>
  <c r="BF25" i="21" s="1"/>
  <c r="J14" i="9"/>
  <c r="Z16" i="8" l="1"/>
  <c r="AB16" i="8" l="1"/>
  <c r="N91" i="9" l="1"/>
  <c r="J91" i="9"/>
  <c r="AB91" i="9" l="1"/>
  <c r="Z91" i="9"/>
  <c r="J170" i="10" l="1"/>
  <c r="J24" i="36" l="1"/>
  <c r="M74" i="59" s="1"/>
  <c r="J7" i="6"/>
  <c r="J16" i="6"/>
  <c r="J15" i="6"/>
  <c r="J41" i="7"/>
  <c r="J18" i="6"/>
  <c r="J17" i="6"/>
  <c r="J63" i="7" l="1"/>
  <c r="J79" i="6"/>
  <c r="J82" i="6"/>
  <c r="J85" i="6"/>
  <c r="AP79" i="6"/>
  <c r="AT79" i="6" s="1"/>
  <c r="AX79" i="6" s="1"/>
  <c r="AF85" i="6"/>
  <c r="AP82" i="6"/>
  <c r="AT82" i="6" s="1"/>
  <c r="AX82" i="6" s="1"/>
  <c r="J83" i="6"/>
  <c r="J80" i="6"/>
  <c r="AP83" i="6"/>
  <c r="AT83" i="6" s="1"/>
  <c r="AX83" i="6" s="1"/>
  <c r="AP80" i="6"/>
  <c r="AT80" i="6" s="1"/>
  <c r="AX80" i="6" s="1"/>
  <c r="J168" i="6"/>
  <c r="J169" i="6"/>
  <c r="J195" i="6"/>
  <c r="N7" i="6"/>
  <c r="N16" i="6"/>
  <c r="N15" i="6"/>
  <c r="J51" i="7"/>
  <c r="J194" i="6"/>
  <c r="J189" i="6"/>
  <c r="J19" i="6"/>
  <c r="AJ85" i="6" l="1"/>
  <c r="AP85" i="6" s="1"/>
  <c r="AT85" i="6" s="1"/>
  <c r="AX85" i="6" s="1"/>
  <c r="BF85" i="6" s="1"/>
  <c r="BF82" i="6"/>
  <c r="BF80" i="6"/>
  <c r="BF79" i="6"/>
  <c r="J84" i="6"/>
  <c r="J81" i="6"/>
  <c r="J37" i="6"/>
  <c r="J39" i="6"/>
  <c r="N189" i="6"/>
  <c r="N168" i="6"/>
  <c r="N194" i="6"/>
  <c r="N19" i="6"/>
  <c r="J40" i="6"/>
  <c r="J38" i="6"/>
  <c r="R15" i="36"/>
  <c r="BF83" i="6" l="1"/>
  <c r="N84" i="6"/>
  <c r="R84" i="6" s="1"/>
  <c r="V84" i="6" s="1"/>
  <c r="N81" i="6"/>
  <c r="R81" i="6" s="1"/>
  <c r="V81" i="6" s="1"/>
  <c r="U52" i="59"/>
  <c r="N39" i="6"/>
  <c r="N40" i="6"/>
  <c r="N37" i="6"/>
  <c r="N38" i="6"/>
  <c r="J41" i="6"/>
  <c r="N41" i="6" l="1"/>
  <c r="AB195" i="6" l="1"/>
  <c r="AF195" i="6" s="1"/>
  <c r="AJ195" i="6" s="1"/>
  <c r="AP195" i="6" s="1"/>
  <c r="AT195" i="6" s="1"/>
  <c r="AF169" i="6"/>
  <c r="AB189" i="6"/>
  <c r="AB194" i="6"/>
  <c r="AB77" i="7"/>
  <c r="AB168" i="6"/>
  <c r="AB19" i="6"/>
  <c r="AB51" i="7"/>
  <c r="AJ169" i="6" l="1"/>
  <c r="AX195" i="6"/>
  <c r="BF195" i="6" s="1"/>
  <c r="AB81" i="6"/>
  <c r="AB84" i="6"/>
  <c r="AB39" i="6"/>
  <c r="AB63" i="7"/>
  <c r="AB40" i="6"/>
  <c r="AB38" i="6"/>
  <c r="AP169" i="6" l="1"/>
  <c r="AT169" i="6" s="1"/>
  <c r="AX169" i="6" s="1"/>
  <c r="BF169" i="6" s="1"/>
  <c r="AF84" i="6"/>
  <c r="AJ84" i="6" s="1"/>
  <c r="AP84" i="6" s="1"/>
  <c r="AT84" i="6" s="1"/>
  <c r="AX84" i="6" s="1"/>
  <c r="AF81" i="6"/>
  <c r="AJ81" i="6" s="1"/>
  <c r="AP81" i="6" s="1"/>
  <c r="AT81" i="6" s="1"/>
  <c r="AX81" i="6" s="1"/>
  <c r="BF81" i="6" s="1"/>
  <c r="I103" i="7"/>
  <c r="BF84" i="6" l="1"/>
  <c r="I41" i="7"/>
  <c r="I51" i="7" l="1"/>
  <c r="AA103" i="7" l="1"/>
  <c r="AA77" i="7" l="1"/>
  <c r="I82" i="7"/>
  <c r="I83" i="7" s="1"/>
  <c r="L35" i="59" s="1"/>
  <c r="P35" i="59" l="1"/>
  <c r="T35" i="59" l="1"/>
  <c r="AA83" i="7" l="1"/>
  <c r="AD35" i="59" s="1"/>
  <c r="Q164" i="26" l="1"/>
  <c r="AA73" i="26" l="1"/>
  <c r="AA96" i="26" l="1"/>
  <c r="AE96" i="26" s="1"/>
  <c r="AI96" i="26" s="1"/>
  <c r="AI112" i="26" s="1"/>
  <c r="AE112" i="26" l="1"/>
  <c r="AE57" i="17"/>
  <c r="AA57" i="17"/>
  <c r="AA58" i="17" s="1"/>
  <c r="AO96" i="26" l="1"/>
  <c r="AS96" i="26" s="1"/>
  <c r="AW96" i="26" s="1"/>
  <c r="AW112" i="26" s="1"/>
  <c r="AI57" i="17"/>
  <c r="AE58" i="17"/>
  <c r="AA112" i="26"/>
  <c r="AA94" i="26" s="1"/>
  <c r="AE94" i="26" s="1"/>
  <c r="AI94" i="26" s="1"/>
  <c r="AO57" i="17" l="1"/>
  <c r="AO112" i="26"/>
  <c r="AO94" i="26" s="1"/>
  <c r="AS57" i="17"/>
  <c r="AI58" i="17"/>
  <c r="AO58" i="17" s="1"/>
  <c r="AS112" i="26"/>
  <c r="Y19" i="9"/>
  <c r="I31" i="6"/>
  <c r="I25" i="6"/>
  <c r="I28" i="6"/>
  <c r="I24" i="6"/>
  <c r="I22" i="6"/>
  <c r="I27" i="6"/>
  <c r="BE96" i="26" l="1"/>
  <c r="AW57" i="17"/>
  <c r="AS58" i="17"/>
  <c r="AS94" i="26"/>
  <c r="AW94" i="26" s="1"/>
  <c r="AA19" i="9"/>
  <c r="AE19" i="9" s="1"/>
  <c r="AI19" i="9" s="1"/>
  <c r="AI90" i="9" s="1"/>
  <c r="AI91" i="9" s="1"/>
  <c r="Y90" i="9"/>
  <c r="Y91" i="9" s="1"/>
  <c r="I26" i="6"/>
  <c r="I29" i="6"/>
  <c r="I30" i="6"/>
  <c r="I21" i="6"/>
  <c r="I34" i="6"/>
  <c r="AW58" i="17" l="1"/>
  <c r="BE112" i="26"/>
  <c r="BE57" i="17"/>
  <c r="AE90" i="9"/>
  <c r="AE91" i="9" s="1"/>
  <c r="AA90" i="9"/>
  <c r="AA91" i="9" s="1"/>
  <c r="M29" i="6"/>
  <c r="M26" i="6"/>
  <c r="I23" i="6"/>
  <c r="I33" i="6"/>
  <c r="I32" i="6"/>
  <c r="BE94" i="26" l="1"/>
  <c r="BE58" i="17"/>
  <c r="AO19" i="9"/>
  <c r="I41" i="6"/>
  <c r="Y29" i="6"/>
  <c r="M32" i="6"/>
  <c r="M23" i="6"/>
  <c r="Y26" i="6"/>
  <c r="I35" i="6"/>
  <c r="AO90" i="9" l="1"/>
  <c r="AO91" i="9" s="1"/>
  <c r="AS19" i="9"/>
  <c r="AW19" i="9" s="1"/>
  <c r="M41" i="6"/>
  <c r="Y23" i="6"/>
  <c r="M35" i="6"/>
  <c r="Y32" i="6"/>
  <c r="AW90" i="9" l="1"/>
  <c r="AW91" i="9" s="1"/>
  <c r="AS90" i="9"/>
  <c r="AS91" i="9" s="1"/>
  <c r="AA26" i="6"/>
  <c r="AA29" i="6"/>
  <c r="Y41" i="6"/>
  <c r="Y35" i="6"/>
  <c r="BE19" i="9" l="1"/>
  <c r="AA32" i="6"/>
  <c r="AA23" i="6"/>
  <c r="BE90" i="9" l="1"/>
  <c r="BE91" i="9" s="1"/>
  <c r="Y11" i="36"/>
  <c r="AB37" i="59" s="1"/>
  <c r="Y9" i="49"/>
  <c r="Y12" i="36"/>
  <c r="AB38" i="59" s="1"/>
  <c r="AA41" i="6"/>
  <c r="AA35" i="6"/>
  <c r="Y41" i="8"/>
  <c r="Y40" i="8"/>
  <c r="Y23" i="8"/>
  <c r="E13" i="36"/>
  <c r="H39" i="59" s="1"/>
  <c r="E40" i="8"/>
  <c r="E24" i="8" s="1"/>
  <c r="E39" i="8"/>
  <c r="E23" i="8" s="1"/>
  <c r="E25" i="8"/>
  <c r="M24" i="8" l="1"/>
  <c r="AA24" i="8" s="1"/>
  <c r="AE24" i="8" s="1"/>
  <c r="AI24" i="8" s="1"/>
  <c r="M23" i="8"/>
  <c r="Q23" i="8" s="1"/>
  <c r="E17" i="49"/>
  <c r="M25" i="8"/>
  <c r="AA25" i="8" s="1"/>
  <c r="AE25" i="8" s="1"/>
  <c r="Y10" i="36"/>
  <c r="Y13" i="36" s="1"/>
  <c r="Y8" i="49"/>
  <c r="E9" i="49"/>
  <c r="I9" i="49" s="1"/>
  <c r="E8" i="49"/>
  <c r="I8" i="49" s="1"/>
  <c r="E65" i="8"/>
  <c r="I25" i="8"/>
  <c r="I24" i="8"/>
  <c r="Y39" i="8"/>
  <c r="Y42" i="8" s="1"/>
  <c r="Y26" i="8"/>
  <c r="Y65" i="8"/>
  <c r="Y10" i="49" s="1"/>
  <c r="E42" i="8"/>
  <c r="E26" i="8"/>
  <c r="I23" i="8"/>
  <c r="AE11" i="36" l="1"/>
  <c r="AH37" i="59" s="1"/>
  <c r="AE40" i="8"/>
  <c r="AA23" i="8"/>
  <c r="AE23" i="8" s="1"/>
  <c r="AE10" i="36" s="1"/>
  <c r="M65" i="8"/>
  <c r="Q65" i="8" s="1"/>
  <c r="U65" i="8" s="1"/>
  <c r="M8" i="49"/>
  <c r="Q8" i="49" s="1"/>
  <c r="U8" i="49" s="1"/>
  <c r="AI40" i="8"/>
  <c r="AI11" i="36"/>
  <c r="AL37" i="59" s="1"/>
  <c r="AI23" i="8"/>
  <c r="AI10" i="36" s="1"/>
  <c r="AI25" i="8"/>
  <c r="AO24" i="8"/>
  <c r="U23" i="8"/>
  <c r="E18" i="49"/>
  <c r="I18" i="49" s="1"/>
  <c r="I17" i="49"/>
  <c r="AE12" i="36"/>
  <c r="AH38" i="59" s="1"/>
  <c r="AE41" i="8"/>
  <c r="AB36" i="59"/>
  <c r="Y12" i="49"/>
  <c r="Y20" i="49" s="1"/>
  <c r="Y15" i="36" s="1"/>
  <c r="Q39" i="8"/>
  <c r="Q25" i="8"/>
  <c r="M17" i="49"/>
  <c r="AA17" i="49" s="1"/>
  <c r="AE17" i="49" s="1"/>
  <c r="AI17" i="49" s="1"/>
  <c r="AO17" i="49" s="1"/>
  <c r="AS17" i="49" s="1"/>
  <c r="AW17" i="49" s="1"/>
  <c r="BE17" i="49" s="1"/>
  <c r="Q24" i="8"/>
  <c r="M9" i="49"/>
  <c r="Q9" i="49" s="1"/>
  <c r="U9" i="49" s="1"/>
  <c r="E10" i="49"/>
  <c r="I40" i="8"/>
  <c r="I41" i="8"/>
  <c r="AB39" i="59"/>
  <c r="Y72" i="8"/>
  <c r="I11" i="36"/>
  <c r="L37" i="59" s="1"/>
  <c r="I10" i="36"/>
  <c r="L36" i="59" s="1"/>
  <c r="I12" i="36"/>
  <c r="L38" i="59" s="1"/>
  <c r="I65" i="8"/>
  <c r="E34" i="8"/>
  <c r="I26" i="8"/>
  <c r="I39" i="8"/>
  <c r="AA65" i="8" l="1"/>
  <c r="AE65" i="8" s="1"/>
  <c r="M10" i="49"/>
  <c r="Q10" i="49" s="1"/>
  <c r="U10" i="49" s="1"/>
  <c r="AE26" i="8"/>
  <c r="AE39" i="8"/>
  <c r="AE42" i="8" s="1"/>
  <c r="M34" i="8"/>
  <c r="AA34" i="8" s="1"/>
  <c r="AE34" i="8" s="1"/>
  <c r="AI34" i="8" s="1"/>
  <c r="AO34" i="8" s="1"/>
  <c r="AS34" i="8" s="1"/>
  <c r="AI41" i="8"/>
  <c r="AI12" i="36"/>
  <c r="AI13" i="36" s="1"/>
  <c r="AS24" i="8"/>
  <c r="AW24" i="8" s="1"/>
  <c r="AO40" i="8"/>
  <c r="AO11" i="36"/>
  <c r="AR37" i="59" s="1"/>
  <c r="AI65" i="8"/>
  <c r="AI72" i="8" s="1"/>
  <c r="AO25" i="8"/>
  <c r="AI39" i="8"/>
  <c r="AI26" i="8"/>
  <c r="AO23" i="8"/>
  <c r="U24" i="8"/>
  <c r="U40" i="8" s="1"/>
  <c r="M18" i="49"/>
  <c r="Q17" i="49"/>
  <c r="U17" i="49" s="1"/>
  <c r="U25" i="8"/>
  <c r="U41" i="8" s="1"/>
  <c r="U39" i="8"/>
  <c r="U10" i="36"/>
  <c r="X36" i="59" s="1"/>
  <c r="E12" i="49"/>
  <c r="I10" i="49"/>
  <c r="AL36" i="59"/>
  <c r="AE13" i="36"/>
  <c r="AH39" i="59" s="1"/>
  <c r="AH36" i="59"/>
  <c r="AE72" i="8"/>
  <c r="AB52" i="59"/>
  <c r="M12" i="49"/>
  <c r="Q40" i="8"/>
  <c r="Q41" i="8"/>
  <c r="Q72" i="8"/>
  <c r="Q26" i="8"/>
  <c r="I42" i="8"/>
  <c r="I34" i="8"/>
  <c r="M41" i="8"/>
  <c r="M40" i="8"/>
  <c r="M11" i="36"/>
  <c r="P37" i="59" s="1"/>
  <c r="M12" i="36"/>
  <c r="P38" i="59" s="1"/>
  <c r="I13" i="36"/>
  <c r="L39" i="59" s="1"/>
  <c r="Q11" i="36"/>
  <c r="T37" i="59" s="1"/>
  <c r="I72" i="8"/>
  <c r="M10" i="36"/>
  <c r="P36" i="59" s="1"/>
  <c r="M39" i="8"/>
  <c r="M26" i="8"/>
  <c r="Q34" i="8" l="1"/>
  <c r="U34" i="8" s="1"/>
  <c r="AI42" i="8"/>
  <c r="AL38" i="59"/>
  <c r="AW40" i="8"/>
  <c r="AW34" i="8"/>
  <c r="AO65" i="8"/>
  <c r="AS65" i="8" s="1"/>
  <c r="AW65" i="8" s="1"/>
  <c r="AL39" i="59"/>
  <c r="U72" i="8"/>
  <c r="AS23" i="8"/>
  <c r="AW23" i="8" s="1"/>
  <c r="AO26" i="8"/>
  <c r="AO39" i="8"/>
  <c r="AO10" i="36"/>
  <c r="AS25" i="8"/>
  <c r="AW25" i="8" s="1"/>
  <c r="AO12" i="36"/>
  <c r="AR38" i="59" s="1"/>
  <c r="AO41" i="8"/>
  <c r="AS11" i="36"/>
  <c r="AV37" i="59" s="1"/>
  <c r="AS40" i="8"/>
  <c r="Q18" i="49"/>
  <c r="U18" i="49" s="1"/>
  <c r="AA18" i="49"/>
  <c r="AE18" i="49" s="1"/>
  <c r="AI18" i="49" s="1"/>
  <c r="AO18" i="49" s="1"/>
  <c r="AS18" i="49" s="1"/>
  <c r="AW18" i="49" s="1"/>
  <c r="BE18" i="49" s="1"/>
  <c r="U12" i="36"/>
  <c r="X38" i="59" s="1"/>
  <c r="U42" i="8"/>
  <c r="U26" i="8"/>
  <c r="U11" i="36"/>
  <c r="M14" i="49"/>
  <c r="AA14" i="49" s="1"/>
  <c r="AE14" i="49" s="1"/>
  <c r="AI14" i="49" s="1"/>
  <c r="AO14" i="49" s="1"/>
  <c r="AS14" i="49" s="1"/>
  <c r="AW14" i="49" s="1"/>
  <c r="BE14" i="49" s="1"/>
  <c r="Q12" i="49"/>
  <c r="U12" i="49" s="1"/>
  <c r="E14" i="49"/>
  <c r="E15" i="49" s="1"/>
  <c r="I12" i="49"/>
  <c r="Q42" i="8"/>
  <c r="M42" i="8"/>
  <c r="Q12" i="36"/>
  <c r="T38" i="59" s="1"/>
  <c r="M13" i="36"/>
  <c r="P39" i="59" s="1"/>
  <c r="Q10" i="36"/>
  <c r="T36" i="59" s="1"/>
  <c r="AO72" i="8" l="1"/>
  <c r="AW41" i="8"/>
  <c r="BE34" i="8"/>
  <c r="AW26" i="8"/>
  <c r="AW39" i="8"/>
  <c r="AW72" i="8"/>
  <c r="AO42" i="8"/>
  <c r="AS41" i="8"/>
  <c r="AS12" i="36"/>
  <c r="AV38" i="59" s="1"/>
  <c r="BE24" i="8"/>
  <c r="AW11" i="36"/>
  <c r="AZ37" i="59" s="1"/>
  <c r="AR36" i="59"/>
  <c r="AO13" i="36"/>
  <c r="AR39" i="59" s="1"/>
  <c r="AS10" i="36"/>
  <c r="AS39" i="8"/>
  <c r="AS26" i="8"/>
  <c r="AS72" i="8"/>
  <c r="U13" i="36"/>
  <c r="X39" i="59" s="1"/>
  <c r="X37" i="59"/>
  <c r="M15" i="49"/>
  <c r="AA15" i="49" s="1"/>
  <c r="Q14" i="49"/>
  <c r="U14" i="49" s="1"/>
  <c r="I14" i="49"/>
  <c r="AA11" i="36"/>
  <c r="AD37" i="59" s="1"/>
  <c r="AA12" i="36"/>
  <c r="AD38" i="59" s="1"/>
  <c r="AA9" i="49"/>
  <c r="AE9" i="49" s="1"/>
  <c r="AI9" i="49" s="1"/>
  <c r="AO9" i="49" s="1"/>
  <c r="AS9" i="49" s="1"/>
  <c r="AW9" i="49" s="1"/>
  <c r="BE9" i="49" s="1"/>
  <c r="Q13" i="36"/>
  <c r="T39" i="59" s="1"/>
  <c r="AA41" i="8"/>
  <c r="AA40" i="8"/>
  <c r="AW42" i="8" l="1"/>
  <c r="AS42" i="8"/>
  <c r="BE65" i="8"/>
  <c r="AS13" i="36"/>
  <c r="AV39" i="59" s="1"/>
  <c r="AV36" i="59"/>
  <c r="BE23" i="8"/>
  <c r="AW10" i="36"/>
  <c r="AZ36" i="59" s="1"/>
  <c r="BE25" i="8"/>
  <c r="AW12" i="36"/>
  <c r="AZ38" i="59" s="1"/>
  <c r="BE11" i="36"/>
  <c r="BH37" i="59" s="1"/>
  <c r="BE40" i="8"/>
  <c r="M16" i="49"/>
  <c r="AA16" i="49" s="1"/>
  <c r="Q15" i="49"/>
  <c r="U15" i="49" s="1"/>
  <c r="E16" i="49"/>
  <c r="I15" i="49"/>
  <c r="AA10" i="36"/>
  <c r="AA13" i="36" s="1"/>
  <c r="AD39" i="59" s="1"/>
  <c r="AA8" i="49"/>
  <c r="AE8" i="49" s="1"/>
  <c r="AI8" i="49" s="1"/>
  <c r="AO8" i="49" s="1"/>
  <c r="AS8" i="49" s="1"/>
  <c r="AW8" i="49" s="1"/>
  <c r="BE8" i="49" s="1"/>
  <c r="AA39" i="8"/>
  <c r="AA42" i="8" s="1"/>
  <c r="AA26" i="8"/>
  <c r="AW13" i="36" l="1"/>
  <c r="AZ39" i="59" s="1"/>
  <c r="BE39" i="8"/>
  <c r="BE26" i="8"/>
  <c r="BE10" i="36"/>
  <c r="BH36" i="59" s="1"/>
  <c r="BE72" i="8"/>
  <c r="BE41" i="8"/>
  <c r="BE12" i="36"/>
  <c r="BH38" i="59" s="1"/>
  <c r="M19" i="49"/>
  <c r="AA19" i="49" s="1"/>
  <c r="Q16" i="49"/>
  <c r="U16" i="49" s="1"/>
  <c r="E19" i="49"/>
  <c r="I16" i="49"/>
  <c r="AD36" i="59"/>
  <c r="AA72" i="8"/>
  <c r="AA10" i="49"/>
  <c r="BE42" i="8" l="1"/>
  <c r="AA12" i="49"/>
  <c r="AE10" i="49"/>
  <c r="AI10" i="49" s="1"/>
  <c r="AO10" i="49" s="1"/>
  <c r="AS10" i="49" s="1"/>
  <c r="AW10" i="49" s="1"/>
  <c r="BE10" i="49" s="1"/>
  <c r="M20" i="49"/>
  <c r="M15" i="36" s="1"/>
  <c r="Q19" i="49"/>
  <c r="E20" i="49"/>
  <c r="I19" i="49"/>
  <c r="I20" i="49" s="1"/>
  <c r="I15" i="36" s="1"/>
  <c r="AE15" i="49" l="1"/>
  <c r="AI15" i="49" s="1"/>
  <c r="AO15" i="49" s="1"/>
  <c r="AS15" i="49" s="1"/>
  <c r="AW15" i="49" s="1"/>
  <c r="BE15" i="49" s="1"/>
  <c r="AE12" i="49"/>
  <c r="AI12" i="49" s="1"/>
  <c r="AO12" i="49" s="1"/>
  <c r="AS12" i="49" s="1"/>
  <c r="AW12" i="49" s="1"/>
  <c r="BE12" i="49" s="1"/>
  <c r="AE16" i="49"/>
  <c r="AI16" i="49" s="1"/>
  <c r="AO16" i="49" s="1"/>
  <c r="AS16" i="49" s="1"/>
  <c r="AW16" i="49" s="1"/>
  <c r="BE16" i="49" s="1"/>
  <c r="Q20" i="49"/>
  <c r="U19" i="49"/>
  <c r="U20" i="49" s="1"/>
  <c r="P52" i="59"/>
  <c r="AA15" i="36"/>
  <c r="Q15" i="36"/>
  <c r="U15" i="36" s="1"/>
  <c r="L52" i="59"/>
  <c r="AA20" i="49" l="1"/>
  <c r="AE19" i="49"/>
  <c r="AI19" i="49" s="1"/>
  <c r="X52" i="59"/>
  <c r="T52" i="59"/>
  <c r="AE15" i="36"/>
  <c r="AD52" i="59"/>
  <c r="H14" i="17"/>
  <c r="P14" i="17" s="1"/>
  <c r="T14" i="17" s="1"/>
  <c r="AI20" i="49" l="1"/>
  <c r="AO19" i="49"/>
  <c r="AE20" i="49"/>
  <c r="T15" i="17"/>
  <c r="T21" i="17" s="1"/>
  <c r="T20" i="17"/>
  <c r="AI15" i="36"/>
  <c r="AH52" i="59"/>
  <c r="P15" i="17"/>
  <c r="P21" i="17" s="1"/>
  <c r="P20" i="17"/>
  <c r="L15" i="17"/>
  <c r="L21" i="17" s="1"/>
  <c r="L20" i="17"/>
  <c r="BE13" i="36"/>
  <c r="H20" i="17"/>
  <c r="H15" i="17"/>
  <c r="H21" i="17" s="1"/>
  <c r="BH39" i="59" l="1"/>
  <c r="AO20" i="49"/>
  <c r="AO15" i="36" s="1"/>
  <c r="AS19" i="49"/>
  <c r="T24" i="17"/>
  <c r="T25" i="17"/>
  <c r="AL52" i="59"/>
  <c r="P24" i="17"/>
  <c r="P25" i="17"/>
  <c r="L24" i="17"/>
  <c r="L25" i="17"/>
  <c r="H25" i="17"/>
  <c r="H24" i="17"/>
  <c r="AR52" i="59" l="1"/>
  <c r="AS15" i="36"/>
  <c r="AV52" i="59" s="1"/>
  <c r="AW19" i="49"/>
  <c r="AS20" i="49"/>
  <c r="Z15" i="17"/>
  <c r="Z20" i="17"/>
  <c r="AW15" i="36" l="1"/>
  <c r="AW20" i="49"/>
  <c r="BE19" i="49"/>
  <c r="BE20" i="49" s="1"/>
  <c r="BE15" i="36" s="1"/>
  <c r="Z21" i="17"/>
  <c r="Z24" i="17"/>
  <c r="AZ52" i="59" l="1"/>
  <c r="BH52" i="59"/>
  <c r="Z25" i="17"/>
  <c r="H16" i="15" l="1"/>
  <c r="H17" i="15" l="1"/>
  <c r="J163" i="6"/>
  <c r="F164" i="6"/>
  <c r="J164" i="6" l="1"/>
  <c r="J165" i="6"/>
  <c r="N164" i="6" l="1"/>
  <c r="AB165" i="6" l="1"/>
  <c r="AF165" i="6" s="1"/>
  <c r="AJ165" i="6" s="1"/>
  <c r="AP165" i="6" s="1"/>
  <c r="AT165" i="6" s="1"/>
  <c r="AB164" i="6"/>
  <c r="AX165" i="6" l="1"/>
  <c r="BF165" i="6" s="1"/>
  <c r="Z191" i="10"/>
  <c r="Z184" i="10" l="1"/>
  <c r="Z192" i="10"/>
  <c r="Z193" i="10" s="1"/>
  <c r="Z178" i="10"/>
  <c r="AC65" i="59" s="1"/>
  <c r="AB196" i="10" l="1"/>
  <c r="AC63" i="59"/>
  <c r="AB192" i="10"/>
  <c r="AB184" i="10"/>
  <c r="AB191" i="10"/>
  <c r="AB193" i="10" l="1"/>
  <c r="AB178" i="10"/>
  <c r="AE65" i="59" l="1"/>
  <c r="AE63" i="59"/>
  <c r="AB21" i="36"/>
  <c r="G79" i="50" l="1"/>
  <c r="G68" i="83" l="1"/>
  <c r="O68" i="83" s="1"/>
  <c r="G95" i="50"/>
  <c r="K95" i="50" s="1"/>
  <c r="K96" i="50" s="1"/>
  <c r="K105" i="50"/>
  <c r="G105" i="50"/>
  <c r="G129" i="50"/>
  <c r="G69" i="83" l="1"/>
  <c r="G77" i="83" s="1"/>
  <c r="K77" i="83" s="1"/>
  <c r="K78" i="83" s="1"/>
  <c r="K68" i="83"/>
  <c r="K69" i="83" s="1"/>
  <c r="AC68" i="83"/>
  <c r="AG68" i="83" s="1"/>
  <c r="S68" i="83"/>
  <c r="O69" i="83"/>
  <c r="AC69" i="83" s="1"/>
  <c r="O129" i="50"/>
  <c r="K129" i="50"/>
  <c r="K130" i="50" s="1"/>
  <c r="G131" i="50"/>
  <c r="O105" i="50"/>
  <c r="G130" i="50"/>
  <c r="G96" i="50"/>
  <c r="G136" i="50" l="1"/>
  <c r="G78" i="83"/>
  <c r="O77" i="83"/>
  <c r="S77" i="83" s="1"/>
  <c r="W68" i="83"/>
  <c r="W69" i="83" s="1"/>
  <c r="S69" i="83"/>
  <c r="AK68" i="83"/>
  <c r="AG69" i="83"/>
  <c r="AC129" i="50"/>
  <c r="S129" i="50"/>
  <c r="O130" i="50"/>
  <c r="O131" i="50"/>
  <c r="O136" i="50" s="1"/>
  <c r="K131" i="50"/>
  <c r="K136" i="50" s="1"/>
  <c r="AG105" i="50"/>
  <c r="X21" i="26"/>
  <c r="Y166" i="6" s="1"/>
  <c r="P21" i="26"/>
  <c r="T21" i="26" s="1"/>
  <c r="O78" i="83" l="1"/>
  <c r="AC77" i="83"/>
  <c r="AG77" i="83" s="1"/>
  <c r="W77" i="83"/>
  <c r="AQ68" i="83"/>
  <c r="AK69" i="83"/>
  <c r="W129" i="50"/>
  <c r="AG129" i="50"/>
  <c r="U166" i="6"/>
  <c r="W105" i="50"/>
  <c r="Q166" i="6"/>
  <c r="Z21" i="26"/>
  <c r="AD21" i="26" s="1"/>
  <c r="AU68" i="83" l="1"/>
  <c r="AY68" i="83" s="1"/>
  <c r="AQ69" i="83"/>
  <c r="AK77" i="83"/>
  <c r="AK129" i="50"/>
  <c r="AH21" i="26"/>
  <c r="AE166" i="6"/>
  <c r="AA166" i="6"/>
  <c r="AY69" i="83" l="1"/>
  <c r="BG68" i="83"/>
  <c r="BG69" i="83" s="1"/>
  <c r="AQ77" i="83"/>
  <c r="AU69" i="83"/>
  <c r="AQ129" i="50"/>
  <c r="AI166" i="6"/>
  <c r="AN21" i="26"/>
  <c r="P23" i="26"/>
  <c r="T23" i="26" s="1"/>
  <c r="X23" i="26"/>
  <c r="AU77" i="83" l="1"/>
  <c r="AY77" i="83" s="1"/>
  <c r="AU129" i="50"/>
  <c r="AR21" i="26"/>
  <c r="AV21" i="26" s="1"/>
  <c r="AO166" i="6"/>
  <c r="U191" i="6"/>
  <c r="Q191" i="6"/>
  <c r="Z23" i="26"/>
  <c r="AD23" i="26" s="1"/>
  <c r="Y191" i="6"/>
  <c r="BG77" i="83" l="1"/>
  <c r="AY129" i="50"/>
  <c r="AH23" i="26"/>
  <c r="AI191" i="6" s="1"/>
  <c r="AW166" i="6"/>
  <c r="AS166" i="6"/>
  <c r="AE191" i="6"/>
  <c r="AA191" i="6"/>
  <c r="BG129" i="50" l="1"/>
  <c r="BD21" i="26"/>
  <c r="AN23" i="26"/>
  <c r="P25" i="26"/>
  <c r="T25" i="26" s="1"/>
  <c r="X25" i="26"/>
  <c r="Y88" i="8" s="1"/>
  <c r="BE166" i="6" l="1"/>
  <c r="AO191" i="6"/>
  <c r="AR23" i="26"/>
  <c r="AV23" i="26" s="1"/>
  <c r="Q88" i="8"/>
  <c r="U88" i="8" s="1"/>
  <c r="Z25" i="26"/>
  <c r="AD25" i="26" l="1"/>
  <c r="AA88" i="8"/>
  <c r="AS191" i="6"/>
  <c r="AW191" i="6"/>
  <c r="BD23" i="26" l="1"/>
  <c r="AH25" i="26"/>
  <c r="AE88" i="8"/>
  <c r="BE191" i="6" l="1"/>
  <c r="AN25" i="26"/>
  <c r="AR25" i="26" s="1"/>
  <c r="AI88" i="8"/>
  <c r="AO88" i="8" s="1"/>
  <c r="AS88" i="8" s="1"/>
  <c r="AW88" i="8" s="1"/>
  <c r="AV25" i="26" l="1"/>
  <c r="BD25" i="26" l="1"/>
  <c r="P27" i="26"/>
  <c r="T27" i="26" s="1"/>
  <c r="T54" i="17" s="1"/>
  <c r="X27" i="26"/>
  <c r="BE88" i="8" l="1"/>
  <c r="Z27" i="26"/>
  <c r="AD27" i="26" s="1"/>
  <c r="AH27" i="26" s="1"/>
  <c r="X54" i="17"/>
  <c r="P54" i="17"/>
  <c r="Z54" i="17" l="1"/>
  <c r="AH54" i="17"/>
  <c r="AD54" i="17"/>
  <c r="P29" i="26"/>
  <c r="T29" i="26" s="1"/>
  <c r="X29" i="26"/>
  <c r="Z29" i="26" s="1"/>
  <c r="AD29" i="26" s="1"/>
  <c r="AH29" i="26" l="1"/>
  <c r="AN29" i="26" s="1"/>
  <c r="AR29" i="26" s="1"/>
  <c r="AN27" i="26"/>
  <c r="P31" i="26"/>
  <c r="T31" i="26" s="1"/>
  <c r="X31" i="26"/>
  <c r="Y97" i="9"/>
  <c r="AA97" i="9" s="1"/>
  <c r="AE97" i="9" s="1"/>
  <c r="AV29" i="26" l="1"/>
  <c r="BD29" i="26" s="1"/>
  <c r="AI97" i="9"/>
  <c r="AO97" i="9" s="1"/>
  <c r="AS97" i="9" s="1"/>
  <c r="AR27" i="26"/>
  <c r="AN54" i="17"/>
  <c r="Z31" i="26"/>
  <c r="AD31" i="26" s="1"/>
  <c r="Q97" i="9"/>
  <c r="U97" i="9" s="1"/>
  <c r="AR54" i="17" l="1"/>
  <c r="AV27" i="26"/>
  <c r="AV54" i="17" s="1"/>
  <c r="AW97" i="9"/>
  <c r="BE97" i="9" s="1"/>
  <c r="AH31" i="26"/>
  <c r="AN31" i="26" s="1"/>
  <c r="AR31" i="26" s="1"/>
  <c r="P33" i="26"/>
  <c r="T33" i="26" s="1"/>
  <c r="Y174" i="10"/>
  <c r="AA174" i="10" s="1"/>
  <c r="AE174" i="10" s="1"/>
  <c r="X33" i="26"/>
  <c r="Z33" i="26" s="1"/>
  <c r="AD33" i="26" s="1"/>
  <c r="AV31" i="26" l="1"/>
  <c r="BD31" i="26" s="1"/>
  <c r="AI174" i="10"/>
  <c r="AO174" i="10" s="1"/>
  <c r="AS174" i="10" s="1"/>
  <c r="AH33" i="26"/>
  <c r="AN33" i="26" s="1"/>
  <c r="AR33" i="26" s="1"/>
  <c r="BD27" i="26"/>
  <c r="Q174" i="10"/>
  <c r="U174" i="10" s="1"/>
  <c r="BD54" i="17" l="1"/>
  <c r="AV33" i="26"/>
  <c r="BD33" i="26" s="1"/>
  <c r="AW174" i="10"/>
  <c r="P35" i="26"/>
  <c r="T35" i="26" s="1"/>
  <c r="Y75" i="11"/>
  <c r="AA75" i="11" s="1"/>
  <c r="AE75" i="11" s="1"/>
  <c r="X35" i="26"/>
  <c r="Z35" i="26" s="1"/>
  <c r="AD35" i="26" s="1"/>
  <c r="BE174" i="10" l="1"/>
  <c r="AH35" i="26"/>
  <c r="AN35" i="26" s="1"/>
  <c r="AR35" i="26" s="1"/>
  <c r="AI75" i="11"/>
  <c r="AO75" i="11" s="1"/>
  <c r="AS75" i="11" s="1"/>
  <c r="Q75" i="11"/>
  <c r="U75" i="11" s="1"/>
  <c r="AV35" i="26" l="1"/>
  <c r="BD35" i="26" s="1"/>
  <c r="AW75" i="11"/>
  <c r="BE75" i="11" s="1"/>
  <c r="P37" i="26"/>
  <c r="T37" i="26" s="1"/>
  <c r="X37" i="26"/>
  <c r="Z37" i="26" s="1"/>
  <c r="AD37" i="26" s="1"/>
  <c r="R140" i="45"/>
  <c r="V140" i="45" s="1"/>
  <c r="AH37" i="26" l="1"/>
  <c r="AN37" i="26" s="1"/>
  <c r="AR37" i="26" s="1"/>
  <c r="Z140" i="45"/>
  <c r="AB140" i="45" s="1"/>
  <c r="AF140" i="45" s="1"/>
  <c r="AV37" i="26" l="1"/>
  <c r="BD37" i="26" s="1"/>
  <c r="AJ140" i="45"/>
  <c r="AP140" i="45" s="1"/>
  <c r="AT140" i="45" s="1"/>
  <c r="Y84" i="7"/>
  <c r="X41" i="26"/>
  <c r="X43" i="26" s="1"/>
  <c r="P41" i="26"/>
  <c r="T41" i="26" s="1"/>
  <c r="AX140" i="45" l="1"/>
  <c r="BF140" i="45" s="1"/>
  <c r="U84" i="7"/>
  <c r="T43" i="26"/>
  <c r="Q84" i="7"/>
  <c r="Z41" i="26"/>
  <c r="AD41" i="26" s="1"/>
  <c r="AH41" i="26" s="1"/>
  <c r="AH43" i="26" s="1"/>
  <c r="P43" i="26"/>
  <c r="AN41" i="26" l="1"/>
  <c r="AR41" i="26" s="1"/>
  <c r="AV41" i="26" s="1"/>
  <c r="AV43" i="26" s="1"/>
  <c r="AI84" i="7"/>
  <c r="AE84" i="7"/>
  <c r="AD43" i="26"/>
  <c r="Z43" i="26"/>
  <c r="AA84" i="7"/>
  <c r="AO84" i="7" l="1"/>
  <c r="AN43" i="26"/>
  <c r="BD41" i="26"/>
  <c r="AW84" i="7"/>
  <c r="AR43" i="26"/>
  <c r="AS84" i="7"/>
  <c r="Y85" i="8"/>
  <c r="BE84" i="7" l="1"/>
  <c r="BD43" i="26"/>
  <c r="Y86" i="8"/>
  <c r="E24" i="39" l="1"/>
  <c r="I24" i="39" l="1"/>
  <c r="M24" i="39"/>
  <c r="Q24" i="39" l="1"/>
  <c r="Y51" i="7"/>
  <c r="U24" i="39" l="1"/>
  <c r="AA51" i="7"/>
  <c r="AA24" i="39" l="1"/>
  <c r="AB13" i="35"/>
  <c r="AF13" i="35" s="1"/>
  <c r="AJ13" i="35" s="1"/>
  <c r="AE24" i="39" l="1"/>
  <c r="AB14" i="35"/>
  <c r="Z5" i="36"/>
  <c r="Z13" i="49" s="1"/>
  <c r="Z20" i="49" s="1"/>
  <c r="Z15" i="36" s="1"/>
  <c r="Z22" i="6"/>
  <c r="Z185" i="6" s="1"/>
  <c r="AC26" i="59" s="1"/>
  <c r="Z34" i="6"/>
  <c r="AB34" i="6" s="1"/>
  <c r="AF34" i="6" s="1"/>
  <c r="AJ34" i="6" s="1"/>
  <c r="AP34" i="6" s="1"/>
  <c r="AT34" i="6" s="1"/>
  <c r="Z21" i="6"/>
  <c r="Z157" i="6" s="1"/>
  <c r="AI24" i="39" l="1"/>
  <c r="AX34" i="6"/>
  <c r="AB5" i="36"/>
  <c r="AB13" i="49" s="1"/>
  <c r="AF14" i="35"/>
  <c r="AJ14" i="35" s="1"/>
  <c r="AB15" i="35"/>
  <c r="Z158" i="6"/>
  <c r="AC17" i="59" s="1"/>
  <c r="Z183" i="6"/>
  <c r="AC24" i="59" s="1"/>
  <c r="Z159" i="6"/>
  <c r="AC18" i="59" s="1"/>
  <c r="AC6" i="59"/>
  <c r="Z156" i="6"/>
  <c r="AB22" i="6"/>
  <c r="AF22" i="6" s="1"/>
  <c r="AJ22" i="6" s="1"/>
  <c r="Z186" i="6"/>
  <c r="AC27" i="59" s="1"/>
  <c r="Z184" i="6"/>
  <c r="AC25" i="59" s="1"/>
  <c r="Z23" i="6"/>
  <c r="Z37" i="6" s="1"/>
  <c r="Z41" i="6" s="1"/>
  <c r="AB21" i="6"/>
  <c r="AF21" i="6" s="1"/>
  <c r="AJ21" i="6" s="1"/>
  <c r="Z160" i="6"/>
  <c r="AC19" i="59" s="1"/>
  <c r="Z182" i="6"/>
  <c r="Z33" i="6"/>
  <c r="Z161" i="6"/>
  <c r="AC20" i="59" s="1"/>
  <c r="Z181" i="6"/>
  <c r="BF34" i="6" l="1"/>
  <c r="AO24" i="39"/>
  <c r="AF15" i="49"/>
  <c r="AJ15" i="49" s="1"/>
  <c r="AP15" i="49" s="1"/>
  <c r="AT15" i="49" s="1"/>
  <c r="AX15" i="49" s="1"/>
  <c r="BF15" i="49" s="1"/>
  <c r="AE6" i="59"/>
  <c r="AP21" i="6"/>
  <c r="AT21" i="6" s="1"/>
  <c r="AP22" i="6"/>
  <c r="AT22" i="6" s="1"/>
  <c r="AJ23" i="6"/>
  <c r="AJ37" i="6" s="1"/>
  <c r="AJ41" i="6" s="1"/>
  <c r="AJ5" i="36"/>
  <c r="AJ13" i="49" s="1"/>
  <c r="AJ15" i="35"/>
  <c r="AF23" i="6"/>
  <c r="AF37" i="6" s="1"/>
  <c r="AF41" i="6" s="1"/>
  <c r="AF5" i="36"/>
  <c r="AF13" i="49" s="1"/>
  <c r="AF15" i="35"/>
  <c r="AB181" i="6"/>
  <c r="AF181" i="6" s="1"/>
  <c r="AJ181" i="6" s="1"/>
  <c r="AB159" i="6"/>
  <c r="AB160" i="6"/>
  <c r="AB157" i="6"/>
  <c r="AF157" i="6" s="1"/>
  <c r="AJ157" i="6" s="1"/>
  <c r="AB158" i="6"/>
  <c r="AB182" i="6"/>
  <c r="AF182" i="6" s="1"/>
  <c r="AJ182" i="6" s="1"/>
  <c r="AB33" i="6"/>
  <c r="AF33" i="6" s="1"/>
  <c r="Z35" i="6"/>
  <c r="AB23" i="6"/>
  <c r="AB37" i="6" s="1"/>
  <c r="AB41" i="6" s="1"/>
  <c r="AB156" i="6"/>
  <c r="AF156" i="6" s="1"/>
  <c r="AJ156" i="6" s="1"/>
  <c r="AB185" i="6"/>
  <c r="AF185" i="6" s="1"/>
  <c r="AB183" i="6"/>
  <c r="AF183" i="6" s="1"/>
  <c r="AB186" i="6"/>
  <c r="AF186" i="6" s="1"/>
  <c r="AB161" i="6"/>
  <c r="AF161" i="6" s="1"/>
  <c r="AB184" i="6"/>
  <c r="AF184" i="6" s="1"/>
  <c r="AI25" i="59" s="1"/>
  <c r="Z198" i="6"/>
  <c r="AC52" i="59"/>
  <c r="AP181" i="6" l="1"/>
  <c r="AT181" i="6" s="1"/>
  <c r="AS24" i="39"/>
  <c r="AX22" i="6"/>
  <c r="AX21" i="6"/>
  <c r="AP156" i="6"/>
  <c r="AP198" i="6" s="1"/>
  <c r="AF16" i="49"/>
  <c r="AJ16" i="49" s="1"/>
  <c r="AP16" i="49" s="1"/>
  <c r="AT16" i="49" s="1"/>
  <c r="AX16" i="49" s="1"/>
  <c r="BF16" i="49" s="1"/>
  <c r="AP182" i="6"/>
  <c r="AT182" i="6" s="1"/>
  <c r="AT23" i="6"/>
  <c r="AT37" i="6" s="1"/>
  <c r="AT41" i="6" s="1"/>
  <c r="AP157" i="6"/>
  <c r="AT157" i="6" s="1"/>
  <c r="AP23" i="6"/>
  <c r="AP37" i="6" s="1"/>
  <c r="AP41" i="6" s="1"/>
  <c r="AI20" i="59"/>
  <c r="AJ161" i="6"/>
  <c r="AM6" i="59"/>
  <c r="AI27" i="59"/>
  <c r="AJ186" i="6"/>
  <c r="AJ198" i="6"/>
  <c r="AJ184" i="6"/>
  <c r="AF35" i="6"/>
  <c r="AJ33" i="6"/>
  <c r="AI24" i="59"/>
  <c r="AJ183" i="6"/>
  <c r="AI26" i="59"/>
  <c r="AJ185" i="6"/>
  <c r="AM26" i="59" s="1"/>
  <c r="AI6" i="59"/>
  <c r="AF198" i="6"/>
  <c r="AE17" i="59"/>
  <c r="AF158" i="6"/>
  <c r="AE19" i="59"/>
  <c r="AF160" i="6"/>
  <c r="AE18" i="59"/>
  <c r="AF159" i="6"/>
  <c r="AE27" i="59"/>
  <c r="AE26" i="59"/>
  <c r="AB198" i="6"/>
  <c r="AB35" i="6"/>
  <c r="AE25" i="59"/>
  <c r="AE20" i="59"/>
  <c r="AE24" i="59"/>
  <c r="AX181" i="6" l="1"/>
  <c r="AW24" i="39"/>
  <c r="AT156" i="6"/>
  <c r="AX156" i="6" s="1"/>
  <c r="AX157" i="6"/>
  <c r="AX23" i="6"/>
  <c r="BF21" i="6"/>
  <c r="AX182" i="6"/>
  <c r="BF22" i="6"/>
  <c r="AB20" i="49"/>
  <c r="AB15" i="36" s="1"/>
  <c r="AF19" i="49"/>
  <c r="AJ19" i="49" s="1"/>
  <c r="AM20" i="59"/>
  <c r="AP161" i="6"/>
  <c r="AM24" i="59"/>
  <c r="AP183" i="6"/>
  <c r="AM25" i="59"/>
  <c r="AP184" i="6"/>
  <c r="AM27" i="59"/>
  <c r="AP186" i="6"/>
  <c r="AJ35" i="6"/>
  <c r="AP33" i="6"/>
  <c r="AP185" i="6"/>
  <c r="AI18" i="59"/>
  <c r="AJ159" i="6"/>
  <c r="AI19" i="59"/>
  <c r="AJ160" i="6"/>
  <c r="AI17" i="59"/>
  <c r="AJ158" i="6"/>
  <c r="BF181" i="6" l="1"/>
  <c r="AX37" i="6"/>
  <c r="AX41" i="6" s="1"/>
  <c r="AT198" i="6"/>
  <c r="BF23" i="6"/>
  <c r="BF182" i="6"/>
  <c r="BF157" i="6"/>
  <c r="BE24" i="39"/>
  <c r="AX198" i="6"/>
  <c r="BF156" i="6"/>
  <c r="BF198" i="6" s="1"/>
  <c r="AJ20" i="49"/>
  <c r="AJ15" i="36" s="1"/>
  <c r="AP19" i="49"/>
  <c r="AT19" i="49" s="1"/>
  <c r="AX19" i="49" s="1"/>
  <c r="AF20" i="49"/>
  <c r="AF15" i="36" s="1"/>
  <c r="AE52" i="59"/>
  <c r="AS27" i="59"/>
  <c r="AT186" i="6"/>
  <c r="AX186" i="6" s="1"/>
  <c r="BF186" i="6" s="1"/>
  <c r="AS24" i="59"/>
  <c r="AT183" i="6"/>
  <c r="AX183" i="6" s="1"/>
  <c r="BF183" i="6" s="1"/>
  <c r="AS26" i="59"/>
  <c r="AT185" i="6"/>
  <c r="AX185" i="6" s="1"/>
  <c r="BF185" i="6" s="1"/>
  <c r="AP35" i="6"/>
  <c r="AT33" i="6"/>
  <c r="AX33" i="6" s="1"/>
  <c r="AS25" i="59"/>
  <c r="AT184" i="6"/>
  <c r="AX184" i="6" s="1"/>
  <c r="BF184" i="6" s="1"/>
  <c r="AS20" i="59"/>
  <c r="AT161" i="6"/>
  <c r="AX161" i="6" s="1"/>
  <c r="BF161" i="6" s="1"/>
  <c r="AM18" i="59"/>
  <c r="AP159" i="6"/>
  <c r="AM19" i="59"/>
  <c r="AP160" i="6"/>
  <c r="AM17" i="59"/>
  <c r="AP158" i="6"/>
  <c r="BF37" i="6" l="1"/>
  <c r="BF41" i="6" s="1"/>
  <c r="AX35" i="6"/>
  <c r="AM52" i="59"/>
  <c r="AX20" i="49"/>
  <c r="BF19" i="49"/>
  <c r="AI52" i="59"/>
  <c r="AT35" i="6"/>
  <c r="AW26" i="59"/>
  <c r="BA26" i="59"/>
  <c r="AW25" i="59"/>
  <c r="BA25" i="59"/>
  <c r="AW24" i="59"/>
  <c r="BA24" i="59"/>
  <c r="AW27" i="59"/>
  <c r="BA27" i="59"/>
  <c r="AW20" i="59"/>
  <c r="BA20" i="59"/>
  <c r="AS17" i="59"/>
  <c r="AT158" i="6"/>
  <c r="AX158" i="6" s="1"/>
  <c r="BF158" i="6" s="1"/>
  <c r="AS19" i="59"/>
  <c r="AT160" i="6"/>
  <c r="AX160" i="6" s="1"/>
  <c r="BF160" i="6" s="1"/>
  <c r="AS18" i="59"/>
  <c r="AT159" i="6"/>
  <c r="AX159" i="6" s="1"/>
  <c r="BF159" i="6" s="1"/>
  <c r="BI20" i="59" l="1"/>
  <c r="BI25" i="59"/>
  <c r="BI27" i="59"/>
  <c r="BF33" i="6"/>
  <c r="BI26" i="59"/>
  <c r="BI24" i="59"/>
  <c r="AW19" i="59"/>
  <c r="BA19" i="59"/>
  <c r="AW18" i="59"/>
  <c r="BA18" i="59"/>
  <c r="AW17" i="59"/>
  <c r="BA17" i="59"/>
  <c r="BF35" i="6" l="1"/>
  <c r="BI17" i="59"/>
  <c r="BI18" i="59"/>
  <c r="BI19" i="59"/>
  <c r="M10" i="38" l="1"/>
  <c r="M58" i="38" s="1"/>
  <c r="M8" i="38"/>
  <c r="M56" i="38" s="1"/>
  <c r="M9" i="38"/>
  <c r="M57" i="38" s="1"/>
  <c r="M7" i="38"/>
  <c r="M55" i="38" s="1"/>
  <c r="Q9" i="38" l="1"/>
  <c r="Q57" i="38" s="1"/>
  <c r="Q7" i="38"/>
  <c r="AE7" i="38" s="1"/>
  <c r="AI7" i="38" s="1"/>
  <c r="AM7" i="38" s="1"/>
  <c r="AM55" i="38" s="1"/>
  <c r="Q8" i="38"/>
  <c r="Q10" i="38"/>
  <c r="Q58" i="38" s="1"/>
  <c r="AE9" i="38" l="1"/>
  <c r="AI9" i="38" s="1"/>
  <c r="U9" i="38"/>
  <c r="Y9" i="38" s="1"/>
  <c r="Y57" i="38" s="1"/>
  <c r="AI55" i="38"/>
  <c r="U7" i="38"/>
  <c r="Y7" i="38" s="1"/>
  <c r="Y55" i="38" s="1"/>
  <c r="Q55" i="38"/>
  <c r="Q56" i="38"/>
  <c r="U8" i="38"/>
  <c r="Y8" i="38" s="1"/>
  <c r="Y56" i="38" s="1"/>
  <c r="AE8" i="38"/>
  <c r="AI8" i="38" s="1"/>
  <c r="AM8" i="38" s="1"/>
  <c r="AM56" i="38" s="1"/>
  <c r="AE10" i="38"/>
  <c r="U10" i="38"/>
  <c r="M6" i="38"/>
  <c r="M54" i="38" s="1"/>
  <c r="Q6" i="38"/>
  <c r="AE55" i="38"/>
  <c r="U58" i="38" l="1"/>
  <c r="Y10" i="38"/>
  <c r="Y58" i="38" s="1"/>
  <c r="AI57" i="38"/>
  <c r="AM9" i="38"/>
  <c r="AM57" i="38" s="1"/>
  <c r="AE57" i="38"/>
  <c r="AI10" i="38"/>
  <c r="AE58" i="38"/>
  <c r="AS7" i="38"/>
  <c r="BG55" i="38" s="1"/>
  <c r="U57" i="38"/>
  <c r="AI56" i="38"/>
  <c r="U55" i="38"/>
  <c r="Q15" i="38"/>
  <c r="Q48" i="38" s="1"/>
  <c r="M15" i="38"/>
  <c r="U56" i="38"/>
  <c r="Q54" i="38"/>
  <c r="AE6" i="38"/>
  <c r="AI6" i="38" s="1"/>
  <c r="AM6" i="38" s="1"/>
  <c r="AM54" i="38" s="1"/>
  <c r="U6" i="38"/>
  <c r="Y6" i="38" s="1"/>
  <c r="Y54" i="38" s="1"/>
  <c r="AE56" i="38"/>
  <c r="AS9" i="38" l="1"/>
  <c r="BG57" i="38" s="1"/>
  <c r="M63" i="38"/>
  <c r="M96" i="38" s="1"/>
  <c r="M48" i="38"/>
  <c r="AI58" i="38"/>
  <c r="AM10" i="38"/>
  <c r="AM58" i="38" s="1"/>
  <c r="AS57" i="38"/>
  <c r="AW9" i="38"/>
  <c r="BA9" i="38" s="1"/>
  <c r="BA57" i="38" s="1"/>
  <c r="AS8" i="38"/>
  <c r="BG56" i="38" s="1"/>
  <c r="AS55" i="38"/>
  <c r="AW7" i="38"/>
  <c r="BA7" i="38" s="1"/>
  <c r="BA55" i="38" s="1"/>
  <c r="AI54" i="38"/>
  <c r="Q63" i="38"/>
  <c r="Q96" i="38" s="1"/>
  <c r="AE15" i="38"/>
  <c r="AE48" i="38" s="1"/>
  <c r="U15" i="38"/>
  <c r="U48" i="38" s="1"/>
  <c r="U54" i="38"/>
  <c r="AE54" i="38"/>
  <c r="Y15" i="38" l="1"/>
  <c r="Y48" i="38" s="1"/>
  <c r="AI15" i="38"/>
  <c r="AI48" i="38" s="1"/>
  <c r="AS10" i="38"/>
  <c r="AW10" i="38" s="1"/>
  <c r="BG58" i="38"/>
  <c r="AW57" i="38"/>
  <c r="AW55" i="38"/>
  <c r="AS6" i="38"/>
  <c r="AS56" i="38"/>
  <c r="AW8" i="38"/>
  <c r="BA8" i="38" s="1"/>
  <c r="BA56" i="38" s="1"/>
  <c r="U63" i="38"/>
  <c r="U96" i="38" s="1"/>
  <c r="AE63" i="38"/>
  <c r="AE96" i="38" s="1"/>
  <c r="AI63" i="38" l="1"/>
  <c r="AI96" i="38" s="1"/>
  <c r="AW58" i="38"/>
  <c r="BA10" i="38"/>
  <c r="BA58" i="38" s="1"/>
  <c r="AM15" i="38"/>
  <c r="AM48" i="38" s="1"/>
  <c r="Y63" i="38"/>
  <c r="Y96" i="38" s="1"/>
  <c r="AS58" i="38"/>
  <c r="BI7" i="38"/>
  <c r="BI55" i="38" s="1"/>
  <c r="BI9" i="38"/>
  <c r="BI57" i="38" s="1"/>
  <c r="AW56" i="38"/>
  <c r="AS54" i="38"/>
  <c r="AW6" i="38"/>
  <c r="BA6" i="38" s="1"/>
  <c r="BA54" i="38" s="1"/>
  <c r="AS15" i="38" l="1"/>
  <c r="AS48" i="38" s="1"/>
  <c r="AM63" i="38"/>
  <c r="AM96" i="38" s="1"/>
  <c r="BI10" i="38"/>
  <c r="BI58" i="38" s="1"/>
  <c r="BI8" i="38"/>
  <c r="BI56" i="38" s="1"/>
  <c r="AW54" i="38"/>
  <c r="AS63" i="38"/>
  <c r="AS96" i="38" s="1"/>
  <c r="AW15" i="38"/>
  <c r="AP13" i="35"/>
  <c r="AW48" i="38" l="1"/>
  <c r="BA15" i="38"/>
  <c r="BI6" i="38"/>
  <c r="BI54" i="38" s="1"/>
  <c r="AT13" i="35"/>
  <c r="AX13" i="35" s="1"/>
  <c r="BF13" i="35" s="1"/>
  <c r="AW63" i="38"/>
  <c r="AW96" i="38" s="1"/>
  <c r="AN14" i="35"/>
  <c r="AP14" i="35"/>
  <c r="AN13" i="35"/>
  <c r="BD13" i="35" s="1"/>
  <c r="BA63" i="38" l="1"/>
  <c r="BA96" i="38" s="1"/>
  <c r="BA48" i="38"/>
  <c r="BI15" i="38"/>
  <c r="AN5" i="36"/>
  <c r="AN13" i="49" s="1"/>
  <c r="AN20" i="49" s="1"/>
  <c r="AN15" i="36" s="1"/>
  <c r="AQ52" i="59" s="1"/>
  <c r="BD14" i="35"/>
  <c r="BD5" i="36" s="1"/>
  <c r="AN15" i="35"/>
  <c r="AP15" i="35"/>
  <c r="AP5" i="36"/>
  <c r="AP13" i="49" s="1"/>
  <c r="AP20" i="49" s="1"/>
  <c r="AP15" i="36" s="1"/>
  <c r="AS52" i="59" s="1"/>
  <c r="AT14" i="35"/>
  <c r="AX14" i="35" s="1"/>
  <c r="BF14" i="35" s="1"/>
  <c r="BI63" i="38" l="1"/>
  <c r="BI96" i="38" s="1"/>
  <c r="BI48" i="38"/>
  <c r="BD15" i="35"/>
  <c r="BD13" i="49"/>
  <c r="BD20" i="49" s="1"/>
  <c r="BD15" i="36" s="1"/>
  <c r="BG6" i="59"/>
  <c r="AQ6" i="59"/>
  <c r="BF15" i="35"/>
  <c r="BF5" i="36"/>
  <c r="AX5" i="36"/>
  <c r="AX15" i="35"/>
  <c r="AS6" i="59"/>
  <c r="AT5" i="36"/>
  <c r="AT15" i="35"/>
  <c r="BA6" i="59" l="1"/>
  <c r="AX13" i="49"/>
  <c r="BF13" i="49"/>
  <c r="BF20" i="49" s="1"/>
  <c r="BF15" i="36" s="1"/>
  <c r="BI6" i="59"/>
  <c r="BG52" i="59"/>
  <c r="AX15" i="36"/>
  <c r="AT13" i="49"/>
  <c r="AT20" i="49" s="1"/>
  <c r="AT15" i="36" s="1"/>
  <c r="AW6" i="59"/>
  <c r="BA52" i="59" l="1"/>
  <c r="BI52" i="59"/>
  <c r="AW52" i="59"/>
  <c r="E85" i="8"/>
  <c r="M85" i="8" l="1"/>
  <c r="I85" i="8"/>
  <c r="I86" i="8" s="1"/>
  <c r="AA85" i="8"/>
  <c r="Q85" i="8"/>
  <c r="U85" i="8" s="1"/>
  <c r="U86" i="8" s="1"/>
  <c r="M86" i="8"/>
  <c r="Q86" i="8" l="1"/>
  <c r="AE85" i="8"/>
  <c r="AI85" i="8" s="1"/>
  <c r="AI86" i="8" s="1"/>
  <c r="AA86" i="8"/>
  <c r="AE86" i="8" l="1"/>
  <c r="AO85" i="8" l="1"/>
  <c r="AO86" i="8" l="1"/>
  <c r="AS85" i="8"/>
  <c r="AW85" i="8" s="1"/>
  <c r="AW86" i="8" s="1"/>
  <c r="AS86" i="8" l="1"/>
  <c r="BE85" i="8" l="1"/>
  <c r="BE86" i="8" l="1"/>
  <c r="K151" i="45"/>
  <c r="O151" i="45"/>
  <c r="O156" i="45" s="1"/>
  <c r="K156" i="45" l="1"/>
  <c r="AC151" i="45"/>
  <c r="S151" i="45"/>
  <c r="AC156" i="45" l="1"/>
  <c r="AG151" i="45"/>
  <c r="W151" i="45"/>
  <c r="W156" i="45" s="1"/>
  <c r="S156" i="45"/>
  <c r="AG156" i="45" l="1"/>
  <c r="AK151" i="45"/>
  <c r="AK156" i="45" l="1"/>
  <c r="AQ151" i="45"/>
  <c r="AU151" i="45" l="1"/>
  <c r="AQ156" i="45"/>
  <c r="AY151" i="45" l="1"/>
  <c r="AU156" i="45"/>
  <c r="AY156" i="45" l="1"/>
  <c r="BG151" i="45"/>
  <c r="BG156" i="45" l="1"/>
  <c r="H91" i="26" l="1"/>
  <c r="L91" i="26" s="1"/>
  <c r="L92" i="26" l="1"/>
  <c r="Z91" i="26"/>
  <c r="AD91" i="26" s="1"/>
  <c r="AH91" i="26" s="1"/>
  <c r="AN91" i="26" s="1"/>
  <c r="AR91" i="26" s="1"/>
  <c r="AV91" i="26" s="1"/>
  <c r="BD91" i="26" s="1"/>
  <c r="P91" i="26"/>
  <c r="T91" i="26" s="1"/>
  <c r="H92" i="26"/>
  <c r="T92" i="26" l="1"/>
  <c r="P92" i="26"/>
  <c r="Z92" i="26"/>
  <c r="AD92" i="26" l="1"/>
  <c r="AH92" i="26" l="1"/>
  <c r="AN92" i="26" l="1"/>
  <c r="AR92" i="26" l="1"/>
  <c r="BD92" i="26" l="1"/>
  <c r="AV92" i="26"/>
  <c r="K33" i="35" l="1"/>
  <c r="K37" i="35" s="1"/>
  <c r="K39" i="35"/>
  <c r="K49" i="35" s="1"/>
  <c r="M30" i="35"/>
  <c r="AA30" i="35" s="1"/>
  <c r="M39" i="35" l="1"/>
  <c r="AA7" i="28"/>
  <c r="L80" i="83"/>
  <c r="L98" i="50"/>
  <c r="L96" i="50" s="1"/>
  <c r="K55" i="35"/>
  <c r="AA159" i="10"/>
  <c r="AA203" i="10" s="1"/>
  <c r="AE30" i="35"/>
  <c r="AA33" i="35"/>
  <c r="AA37" i="35" s="1"/>
  <c r="Q30" i="35"/>
  <c r="N65" i="59"/>
  <c r="M159" i="10"/>
  <c r="M203" i="10" s="1"/>
  <c r="Q39" i="35"/>
  <c r="T76" i="59" s="1"/>
  <c r="M33" i="35"/>
  <c r="M37" i="35" s="1"/>
  <c r="AA39" i="35"/>
  <c r="AD76" i="59" s="1"/>
  <c r="BE7" i="28" l="1"/>
  <c r="AE7" i="28"/>
  <c r="AI7" i="28" s="1"/>
  <c r="AO7" i="28" s="1"/>
  <c r="M49" i="35"/>
  <c r="P76" i="59"/>
  <c r="AA49" i="35"/>
  <c r="AA55" i="35" s="1"/>
  <c r="AE39" i="35"/>
  <c r="AH76" i="59" s="1"/>
  <c r="M55" i="35"/>
  <c r="N98" i="50"/>
  <c r="N96" i="50" s="1"/>
  <c r="M25" i="36"/>
  <c r="P75" i="59" s="1"/>
  <c r="U39" i="35"/>
  <c r="Q49" i="35"/>
  <c r="AA161" i="10"/>
  <c r="AD63" i="59" s="1"/>
  <c r="AA158" i="10"/>
  <c r="AA210" i="10" s="1"/>
  <c r="AA173" i="10"/>
  <c r="AA178" i="10"/>
  <c r="AD65" i="59" s="1"/>
  <c r="Q33" i="35"/>
  <c r="Q37" i="35" s="1"/>
  <c r="Q159" i="10"/>
  <c r="U30" i="35"/>
  <c r="AA25" i="36"/>
  <c r="AD75" i="59" s="1"/>
  <c r="AB98" i="50"/>
  <c r="AB96" i="50" s="1"/>
  <c r="M158" i="10"/>
  <c r="M210" i="10" s="1"/>
  <c r="M161" i="10"/>
  <c r="M178" i="10"/>
  <c r="P65" i="59" s="1"/>
  <c r="M173" i="10"/>
  <c r="AI30" i="35"/>
  <c r="AE159" i="10"/>
  <c r="AE203" i="10" s="1"/>
  <c r="AE33" i="35"/>
  <c r="AE37" i="35" s="1"/>
  <c r="AS7" i="28" l="1"/>
  <c r="AW7" i="28" s="1"/>
  <c r="U49" i="35"/>
  <c r="X76" i="59"/>
  <c r="AA260" i="28"/>
  <c r="BE260" i="28" s="1"/>
  <c r="AE158" i="10"/>
  <c r="AE210" i="10" s="1"/>
  <c r="AE178" i="10"/>
  <c r="AH65" i="59" s="1"/>
  <c r="AE161" i="10"/>
  <c r="AE173" i="10"/>
  <c r="Q158" i="10"/>
  <c r="Q210" i="10" s="1"/>
  <c r="Q178" i="10"/>
  <c r="T65" i="59" s="1"/>
  <c r="Q161" i="10"/>
  <c r="T63" i="59" s="1"/>
  <c r="Q173" i="10"/>
  <c r="AI33" i="35"/>
  <c r="AI37" i="35" s="1"/>
  <c r="AI25" i="36" s="1"/>
  <c r="AI159" i="10"/>
  <c r="AI203" i="10" s="1"/>
  <c r="AO30" i="35"/>
  <c r="AA63" i="28"/>
  <c r="BE63" i="28" s="1"/>
  <c r="AA13" i="28"/>
  <c r="Q55" i="35"/>
  <c r="Q25" i="36"/>
  <c r="T75" i="59" s="1"/>
  <c r="R98" i="50"/>
  <c r="R96" i="50" s="1"/>
  <c r="AE25" i="36"/>
  <c r="AH75" i="59" s="1"/>
  <c r="AF98" i="50"/>
  <c r="AF96" i="50" s="1"/>
  <c r="U159" i="10"/>
  <c r="U33" i="35"/>
  <c r="U37" i="35" s="1"/>
  <c r="AI39" i="35"/>
  <c r="AL76" i="59" s="1"/>
  <c r="AE49" i="35"/>
  <c r="AE55" i="35" s="1"/>
  <c r="AE13" i="28" l="1"/>
  <c r="BE13" i="28"/>
  <c r="AI13" i="28"/>
  <c r="AO13" i="28" s="1"/>
  <c r="AE63" i="28"/>
  <c r="AI63" i="28" s="1"/>
  <c r="AO63" i="28" s="1"/>
  <c r="AE260" i="28"/>
  <c r="AI260" i="28" s="1"/>
  <c r="AO260" i="28" s="1"/>
  <c r="AA74" i="28"/>
  <c r="BE74" i="28" s="1"/>
  <c r="AO33" i="35"/>
  <c r="AO37" i="35" s="1"/>
  <c r="AO159" i="10"/>
  <c r="AS30" i="35"/>
  <c r="AI158" i="10"/>
  <c r="AI210" i="10" s="1"/>
  <c r="AI161" i="10"/>
  <c r="AI178" i="10"/>
  <c r="AL65" i="59" s="1"/>
  <c r="AI173" i="10"/>
  <c r="AA69" i="28"/>
  <c r="U25" i="36"/>
  <c r="X75" i="59" s="1"/>
  <c r="U55" i="35"/>
  <c r="V98" i="50"/>
  <c r="V96" i="50" s="1"/>
  <c r="AL75" i="59"/>
  <c r="AJ98" i="50"/>
  <c r="AJ96" i="50" s="1"/>
  <c r="AI49" i="35"/>
  <c r="AI55" i="35" s="1"/>
  <c r="AO39" i="35"/>
  <c r="AR76" i="59" s="1"/>
  <c r="AA540" i="28"/>
  <c r="U173" i="10"/>
  <c r="U178" i="10"/>
  <c r="X65" i="59" s="1"/>
  <c r="U158" i="10"/>
  <c r="U210" i="10" s="1"/>
  <c r="U161" i="10"/>
  <c r="X63" i="59" s="1"/>
  <c r="AO540" i="28" l="1"/>
  <c r="BE540" i="28"/>
  <c r="AE69" i="28"/>
  <c r="BE69" i="28"/>
  <c r="BE555" i="28" s="1"/>
  <c r="AS260" i="28"/>
  <c r="AW260" i="28" s="1"/>
  <c r="AS63" i="28"/>
  <c r="AW63" i="28" s="1"/>
  <c r="AE74" i="28"/>
  <c r="AI74" i="28" s="1"/>
  <c r="AO74" i="28" s="1"/>
  <c r="AI540" i="28"/>
  <c r="AE555" i="28"/>
  <c r="AI69" i="28"/>
  <c r="AE540" i="28"/>
  <c r="AA97" i="28"/>
  <c r="BE97" i="28" s="1"/>
  <c r="AW30" i="35"/>
  <c r="AS33" i="35"/>
  <c r="AS37" i="35" s="1"/>
  <c r="AS159" i="10"/>
  <c r="AO158" i="10"/>
  <c r="AO210" i="10" s="1"/>
  <c r="AO173" i="10"/>
  <c r="AO161" i="10"/>
  <c r="AR63" i="59" s="1"/>
  <c r="AO178" i="10"/>
  <c r="AR65" i="59" s="1"/>
  <c r="AA555" i="28"/>
  <c r="AO25" i="36"/>
  <c r="AR75" i="59" s="1"/>
  <c r="AA78" i="28"/>
  <c r="AA81" i="28"/>
  <c r="AS39" i="35"/>
  <c r="AV76" i="59" s="1"/>
  <c r="AO49" i="35"/>
  <c r="AO55" i="35" s="1"/>
  <c r="AE78" i="28" l="1"/>
  <c r="BE78" i="28"/>
  <c r="BE556" i="28" s="1"/>
  <c r="AE81" i="28"/>
  <c r="BE81" i="28"/>
  <c r="AI555" i="28"/>
  <c r="AO69" i="28"/>
  <c r="AO555" i="28" s="1"/>
  <c r="AS74" i="28"/>
  <c r="AW74" i="28" s="1"/>
  <c r="AE556" i="28"/>
  <c r="AI78" i="28"/>
  <c r="AI81" i="28"/>
  <c r="AO81" i="28" s="1"/>
  <c r="AE539" i="28"/>
  <c r="AE538" i="28"/>
  <c r="AE97" i="28"/>
  <c r="AI97" i="28" s="1"/>
  <c r="AO97" i="28" s="1"/>
  <c r="AA556" i="28"/>
  <c r="AS178" i="10"/>
  <c r="AV65" i="59" s="1"/>
  <c r="AS158" i="10"/>
  <c r="AS210" i="10" s="1"/>
  <c r="AS173" i="10"/>
  <c r="AS161" i="10"/>
  <c r="AV63" i="59" s="1"/>
  <c r="AW159" i="10"/>
  <c r="AW33" i="35"/>
  <c r="AW37" i="35" s="1"/>
  <c r="BE30" i="35"/>
  <c r="AS49" i="35"/>
  <c r="AS55" i="35" s="1"/>
  <c r="AW39" i="35"/>
  <c r="AZ76" i="59" s="1"/>
  <c r="AS25" i="36"/>
  <c r="AV75" i="59" s="1"/>
  <c r="AT98" i="50"/>
  <c r="AT96" i="50" s="1"/>
  <c r="AA539" i="28"/>
  <c r="AA538" i="28"/>
  <c r="AS13" i="28"/>
  <c r="BE539" i="28" l="1"/>
  <c r="BE538" i="28"/>
  <c r="AO539" i="28"/>
  <c r="AO538" i="28"/>
  <c r="AI556" i="28"/>
  <c r="AO78" i="28"/>
  <c r="AO556" i="28" s="1"/>
  <c r="AS97" i="28"/>
  <c r="AW97" i="28" s="1"/>
  <c r="AS540" i="28"/>
  <c r="AW13" i="28"/>
  <c r="AI539" i="28"/>
  <c r="AI538" i="28"/>
  <c r="AW203" i="10"/>
  <c r="BE33" i="35"/>
  <c r="BE37" i="35" s="1"/>
  <c r="BE159" i="10"/>
  <c r="AX98" i="50"/>
  <c r="AX96" i="50" s="1"/>
  <c r="AW25" i="36"/>
  <c r="AZ75" i="59" s="1"/>
  <c r="AS69" i="28"/>
  <c r="AW161" i="10"/>
  <c r="AZ63" i="59" s="1"/>
  <c r="AW173" i="10"/>
  <c r="AW158" i="10"/>
  <c r="AW178" i="10"/>
  <c r="AZ65" i="59" s="1"/>
  <c r="AW49" i="35"/>
  <c r="AW55" i="35" s="1"/>
  <c r="BE39" i="35"/>
  <c r="AW540" i="28" l="1"/>
  <c r="AS555" i="28"/>
  <c r="AW69" i="28"/>
  <c r="AW555" i="28" s="1"/>
  <c r="BE49" i="35"/>
  <c r="BH76" i="59"/>
  <c r="BE203" i="10"/>
  <c r="AS78" i="28"/>
  <c r="BE55" i="35"/>
  <c r="BE25" i="36"/>
  <c r="BH75" i="59" s="1"/>
  <c r="BF98" i="50"/>
  <c r="BF96" i="50" s="1"/>
  <c r="BE161" i="10"/>
  <c r="BE178" i="10"/>
  <c r="BE173" i="10"/>
  <c r="BE158" i="10"/>
  <c r="AS81" i="28"/>
  <c r="AS556" i="28" l="1"/>
  <c r="AW78" i="28"/>
  <c r="AW556" i="28" s="1"/>
  <c r="AS539" i="28"/>
  <c r="AW81" i="28"/>
  <c r="AS538" i="28"/>
  <c r="BH65" i="59"/>
  <c r="BH63" i="59"/>
  <c r="AW539" i="28" l="1"/>
  <c r="AW538" i="28"/>
  <c r="Q128" i="50" l="1"/>
  <c r="Q101" i="50"/>
  <c r="O100" i="90"/>
  <c r="BE100" i="90" s="1"/>
  <c r="R34" i="35"/>
  <c r="V34" i="35" s="1"/>
  <c r="V36" i="35" s="1"/>
  <c r="P36" i="35"/>
  <c r="P48" i="35" s="1"/>
  <c r="P49" i="35" s="1"/>
  <c r="Z34" i="35"/>
  <c r="Z36" i="35" s="1"/>
  <c r="Q130" i="50" l="1"/>
  <c r="S101" i="50"/>
  <c r="S104" i="50" s="1"/>
  <c r="S105" i="50" s="1"/>
  <c r="R36" i="35"/>
  <c r="O102" i="90"/>
  <c r="BE102" i="90" s="1"/>
  <c r="AI100" i="90"/>
  <c r="AI102" i="90" s="1"/>
  <c r="Q104" i="50"/>
  <c r="Q100" i="90"/>
  <c r="Q102" i="90" s="1"/>
  <c r="V48" i="35"/>
  <c r="V49" i="35" s="1"/>
  <c r="V37" i="35"/>
  <c r="Z48" i="35"/>
  <c r="Z37" i="35"/>
  <c r="AO100" i="90"/>
  <c r="AA128" i="50"/>
  <c r="AA100" i="90"/>
  <c r="Q131" i="50"/>
  <c r="AB34" i="35"/>
  <c r="S128" i="50"/>
  <c r="U100" i="90"/>
  <c r="U102" i="90" s="1"/>
  <c r="AE100" i="90"/>
  <c r="AE102" i="90" s="1"/>
  <c r="Y100" i="90"/>
  <c r="Y102" i="90" s="1"/>
  <c r="O129" i="90"/>
  <c r="P37" i="35"/>
  <c r="AI129" i="90" l="1"/>
  <c r="AI131" i="90" s="1"/>
  <c r="BE129" i="90"/>
  <c r="Q105" i="50"/>
  <c r="Q80" i="83"/>
  <c r="Q78" i="83" s="1"/>
  <c r="R48" i="35"/>
  <c r="R49" i="35" s="1"/>
  <c r="R37" i="35"/>
  <c r="S130" i="50"/>
  <c r="W128" i="50"/>
  <c r="W130" i="50" s="1"/>
  <c r="AF34" i="35"/>
  <c r="AB36" i="35"/>
  <c r="AB37" i="35" s="1"/>
  <c r="AB48" i="35"/>
  <c r="AB49" i="35" s="1"/>
  <c r="Z49" i="35"/>
  <c r="Z55" i="35" s="1"/>
  <c r="P25" i="36"/>
  <c r="S75" i="59" s="1"/>
  <c r="Q98" i="50"/>
  <c r="P55" i="35"/>
  <c r="AC128" i="50"/>
  <c r="AA130" i="50"/>
  <c r="AS100" i="90"/>
  <c r="AO102" i="90"/>
  <c r="V55" i="35"/>
  <c r="W98" i="50"/>
  <c r="W96" i="50" s="1"/>
  <c r="V25" i="36"/>
  <c r="Y75" i="59" s="1"/>
  <c r="U129" i="90"/>
  <c r="U131" i="90" s="1"/>
  <c r="AA129" i="90"/>
  <c r="AE129" i="90"/>
  <c r="AE131" i="90" s="1"/>
  <c r="Q129" i="90"/>
  <c r="Q131" i="90" s="1"/>
  <c r="AO129" i="90"/>
  <c r="O131" i="90"/>
  <c r="BE131" i="90" s="1"/>
  <c r="Y129" i="90"/>
  <c r="Y131" i="90" s="1"/>
  <c r="AA98" i="50"/>
  <c r="AA96" i="50" s="1"/>
  <c r="Z25" i="36"/>
  <c r="AC75" i="59" s="1"/>
  <c r="Q136" i="50"/>
  <c r="S131" i="50"/>
  <c r="AA131" i="50"/>
  <c r="AA102" i="90"/>
  <c r="Q96" i="50" l="1"/>
  <c r="S98" i="50"/>
  <c r="S96" i="50" s="1"/>
  <c r="R25" i="36"/>
  <c r="U75" i="59" s="1"/>
  <c r="R55" i="35"/>
  <c r="AB55" i="35"/>
  <c r="AB25" i="36"/>
  <c r="AE75" i="59" s="1"/>
  <c r="AC98" i="50"/>
  <c r="AC96" i="50" s="1"/>
  <c r="AC130" i="50"/>
  <c r="AG128" i="50"/>
  <c r="AO131" i="90"/>
  <c r="AS129" i="90"/>
  <c r="AF36" i="35"/>
  <c r="AJ34" i="35"/>
  <c r="S80" i="83"/>
  <c r="AA80" i="83"/>
  <c r="AC131" i="50"/>
  <c r="AA136" i="50"/>
  <c r="AA131" i="90"/>
  <c r="AS102" i="90"/>
  <c r="AW100" i="90"/>
  <c r="AW102" i="90" s="1"/>
  <c r="S136" i="50"/>
  <c r="W131" i="50"/>
  <c r="W136" i="50" s="1"/>
  <c r="AP34" i="35" l="1"/>
  <c r="AJ36" i="35"/>
  <c r="AK128" i="50"/>
  <c r="AG130" i="50"/>
  <c r="AA78" i="83"/>
  <c r="AC80" i="83"/>
  <c r="W80" i="83"/>
  <c r="W78" i="83" s="1"/>
  <c r="S78" i="83"/>
  <c r="AF48" i="35"/>
  <c r="AF49" i="35" s="1"/>
  <c r="AF37" i="35"/>
  <c r="AC136" i="50"/>
  <c r="AG131" i="50"/>
  <c r="AW129" i="90"/>
  <c r="AW131" i="90" s="1"/>
  <c r="AS131" i="90"/>
  <c r="AG80" i="83" l="1"/>
  <c r="AC78" i="83"/>
  <c r="AF25" i="36"/>
  <c r="AI75" i="59" s="1"/>
  <c r="AG98" i="50"/>
  <c r="AG96" i="50" s="1"/>
  <c r="AF55" i="35"/>
  <c r="AJ37" i="35"/>
  <c r="AJ25" i="36" s="1"/>
  <c r="AJ48" i="35"/>
  <c r="AG136" i="50"/>
  <c r="AK131" i="50"/>
  <c r="AQ128" i="50"/>
  <c r="AK130" i="50"/>
  <c r="AP36" i="35"/>
  <c r="AP37" i="35" s="1"/>
  <c r="AT34" i="35"/>
  <c r="AP25" i="36" l="1"/>
  <c r="AS75" i="59" s="1"/>
  <c r="AQ98" i="50"/>
  <c r="AQ96" i="50" s="1"/>
  <c r="AK136" i="50"/>
  <c r="AQ131" i="50"/>
  <c r="AM75" i="59"/>
  <c r="AK98" i="50"/>
  <c r="AK96" i="50" s="1"/>
  <c r="AQ130" i="50"/>
  <c r="AU128" i="50"/>
  <c r="AT36" i="35"/>
  <c r="AX34" i="35"/>
  <c r="AJ49" i="35"/>
  <c r="AJ55" i="35" s="1"/>
  <c r="AP48" i="35"/>
  <c r="AP49" i="35" s="1"/>
  <c r="AG78" i="83"/>
  <c r="AK80" i="83"/>
  <c r="AP55" i="35" l="1"/>
  <c r="AT48" i="35"/>
  <c r="AT49" i="35" s="1"/>
  <c r="AT37" i="35"/>
  <c r="AQ80" i="83"/>
  <c r="AK78" i="83"/>
  <c r="BF34" i="35"/>
  <c r="AX36" i="35"/>
  <c r="AQ136" i="50"/>
  <c r="AU131" i="50"/>
  <c r="AU130" i="50"/>
  <c r="AY128" i="50"/>
  <c r="BF36" i="35" l="1"/>
  <c r="AX37" i="35"/>
  <c r="AX48" i="35"/>
  <c r="AY130" i="50"/>
  <c r="BG128" i="50"/>
  <c r="AU136" i="50"/>
  <c r="AY131" i="50"/>
  <c r="AU80" i="83"/>
  <c r="AQ78" i="83"/>
  <c r="AT55" i="35"/>
  <c r="AT25" i="36"/>
  <c r="AW75" i="59" s="1"/>
  <c r="AU98" i="50"/>
  <c r="AU96" i="50" s="1"/>
  <c r="BF37" i="35" l="1"/>
  <c r="BG130" i="50"/>
  <c r="AU78" i="83"/>
  <c r="AY80" i="83"/>
  <c r="AX49" i="35"/>
  <c r="AX55" i="35" s="1"/>
  <c r="BF48" i="35"/>
  <c r="BF49" i="35" s="1"/>
  <c r="BF55" i="35" s="1"/>
  <c r="AY136" i="50"/>
  <c r="BG131" i="50"/>
  <c r="AY98" i="50"/>
  <c r="AY96" i="50" s="1"/>
  <c r="AX25" i="36"/>
  <c r="BA75" i="59" s="1"/>
  <c r="BF25" i="36" l="1"/>
  <c r="BI75" i="59" s="1"/>
  <c r="BG98" i="50"/>
  <c r="BG136" i="50"/>
  <c r="AY78" i="83"/>
  <c r="BG80" i="83"/>
  <c r="BG78" i="83" s="1"/>
  <c r="BG96" i="50" l="1"/>
  <c r="Y28" i="15"/>
  <c r="Y36" i="15" s="1"/>
  <c r="U28" i="15"/>
  <c r="U36" i="15" s="1"/>
  <c r="S36" i="15"/>
  <c r="S16" i="15" s="1"/>
  <c r="U16" i="15" l="1"/>
  <c r="U17" i="15" s="1"/>
  <c r="S17" i="15"/>
  <c r="AA28" i="15"/>
  <c r="AA36" i="15" l="1"/>
  <c r="AE28" i="15"/>
  <c r="AE36" i="15" l="1"/>
  <c r="AI28" i="15"/>
  <c r="AO28" i="15" l="1"/>
  <c r="AI36" i="15"/>
  <c r="AS28" i="15" l="1"/>
  <c r="AO36" i="15"/>
  <c r="AW28" i="15" l="1"/>
  <c r="AS36" i="15"/>
  <c r="BE28" i="15" l="1"/>
  <c r="BE36" i="15" s="1"/>
  <c r="AW36" i="15"/>
  <c r="W36" i="15" l="1"/>
  <c r="W16" i="15" s="1"/>
  <c r="W17" i="15" l="1"/>
  <c r="Y16" i="15"/>
  <c r="Y17" i="15" l="1"/>
  <c r="AA16" i="15"/>
  <c r="AA17" i="15" l="1"/>
  <c r="AE16" i="15"/>
  <c r="AE17" i="15" l="1"/>
  <c r="AI16" i="15"/>
  <c r="AO16" i="15" l="1"/>
  <c r="AI17" i="15"/>
  <c r="AS16" i="15" l="1"/>
  <c r="AO17" i="15"/>
  <c r="AW16" i="15" l="1"/>
  <c r="AS17" i="15"/>
  <c r="BE16" i="15" l="1"/>
  <c r="BE17" i="15" s="1"/>
  <c r="AW17" i="15"/>
  <c r="D37" i="17"/>
  <c r="D39" i="17" s="1"/>
  <c r="D85" i="17" s="1"/>
  <c r="H35" i="17"/>
  <c r="H37" i="17" s="1"/>
  <c r="H39" i="17" s="1"/>
  <c r="H85" i="17" s="1"/>
  <c r="D27" i="17"/>
  <c r="L35" i="17"/>
  <c r="L37" i="17" s="1"/>
  <c r="L39" i="17" s="1"/>
  <c r="L85" i="17" s="1"/>
  <c r="D29" i="17" l="1"/>
  <c r="H27" i="17"/>
  <c r="L27" i="17" s="1"/>
  <c r="D32" i="17"/>
  <c r="D30" i="17"/>
  <c r="P35" i="17"/>
  <c r="Z27" i="17" l="1"/>
  <c r="AD27" i="17" s="1"/>
  <c r="AH27" i="17" s="1"/>
  <c r="AN27" i="17" s="1"/>
  <c r="AR27" i="17" s="1"/>
  <c r="AV27" i="17" s="1"/>
  <c r="BD27" i="17" s="1"/>
  <c r="P27" i="17"/>
  <c r="T27" i="17" s="1"/>
  <c r="P37" i="17"/>
  <c r="P39" i="17" s="1"/>
  <c r="P85" i="17" s="1"/>
  <c r="T35" i="17"/>
  <c r="H29" i="17"/>
  <c r="Z35" i="17" l="1"/>
  <c r="T37" i="17"/>
  <c r="T39" i="17" s="1"/>
  <c r="T85" i="17" s="1"/>
  <c r="L29" i="17"/>
  <c r="H32" i="17"/>
  <c r="H30" i="17"/>
  <c r="H61" i="17"/>
  <c r="L61" i="17" l="1"/>
  <c r="Z29" i="17"/>
  <c r="T29" i="17"/>
  <c r="P29" i="17"/>
  <c r="L30" i="17"/>
  <c r="L32" i="17"/>
  <c r="AD35" i="17"/>
  <c r="Z37" i="17"/>
  <c r="Z39" i="17" s="1"/>
  <c r="Z85" i="17" s="1"/>
  <c r="Z61" i="17" l="1"/>
  <c r="P32" i="17"/>
  <c r="P30" i="17"/>
  <c r="T32" i="17"/>
  <c r="T30" i="17"/>
  <c r="P61" i="17"/>
  <c r="T61" i="17" s="1"/>
  <c r="AD29" i="17"/>
  <c r="AD61" i="17" s="1"/>
  <c r="AD37" i="17"/>
  <c r="AD39" i="17" s="1"/>
  <c r="AD85" i="17" s="1"/>
  <c r="AH35" i="17"/>
  <c r="Z30" i="17"/>
  <c r="Z32" i="17"/>
  <c r="AH29" i="17" l="1"/>
  <c r="AD30" i="17"/>
  <c r="AD32" i="17"/>
  <c r="AH61" i="17"/>
  <c r="AN35" i="17"/>
  <c r="AH37" i="17"/>
  <c r="AH39" i="17" s="1"/>
  <c r="AN37" i="17" l="1"/>
  <c r="AN39" i="17" s="1"/>
  <c r="AN85" i="17" s="1"/>
  <c r="AR35" i="17"/>
  <c r="AN29" i="17"/>
  <c r="AH32" i="17"/>
  <c r="AH30" i="17"/>
  <c r="AN32" i="17" l="1"/>
  <c r="AN30" i="17"/>
  <c r="AR29" i="17"/>
  <c r="AR37" i="17"/>
  <c r="AR39" i="17" s="1"/>
  <c r="AR85" i="17" s="1"/>
  <c r="AV35" i="17"/>
  <c r="AN61" i="17"/>
  <c r="AR61" i="17" l="1"/>
  <c r="AR30" i="17"/>
  <c r="AR32" i="17"/>
  <c r="AV29" i="17"/>
  <c r="BD29" i="17"/>
  <c r="AV37" i="17"/>
  <c r="AV39" i="17" s="1"/>
  <c r="AV85" i="17" s="1"/>
  <c r="BD35" i="17"/>
  <c r="BD37" i="17" s="1"/>
  <c r="BD39" i="17" s="1"/>
  <c r="BD85" i="17" s="1"/>
  <c r="AV30" i="17" l="1"/>
  <c r="AV32" i="17"/>
  <c r="AV61" i="17"/>
  <c r="BD61" i="17" s="1"/>
  <c r="BD32" i="17"/>
  <c r="BD30" i="17"/>
  <c r="AS29" i="17"/>
  <c r="AS32" i="17" s="1"/>
  <c r="AI29" i="17"/>
  <c r="AI30" i="17" s="1"/>
  <c r="AO29" i="17"/>
  <c r="AO30" i="17" s="1"/>
  <c r="AW29" i="17"/>
  <c r="AW30" i="17" s="1"/>
  <c r="AA29" i="17"/>
  <c r="AA30" i="17" s="1"/>
  <c r="BE29" i="17"/>
  <c r="BE30" i="17" s="1"/>
  <c r="I29" i="17"/>
  <c r="I32" i="17" s="1"/>
  <c r="M29" i="17"/>
  <c r="M30" i="17" s="1"/>
  <c r="AE29" i="17"/>
  <c r="AE30" i="17" s="1"/>
  <c r="Q29" i="17"/>
  <c r="Q30" i="17" s="1"/>
  <c r="U29" i="17"/>
  <c r="U30" i="17" s="1"/>
  <c r="E29" i="17"/>
  <c r="E35" i="17"/>
  <c r="M35" i="17" s="1"/>
  <c r="M61" i="17" l="1"/>
  <c r="AA61" i="17" s="1"/>
  <c r="AE61" i="17" s="1"/>
  <c r="AI61" i="17" s="1"/>
  <c r="AO61" i="17" s="1"/>
  <c r="AS61" i="17" s="1"/>
  <c r="AW61" i="17" s="1"/>
  <c r="BE61" i="17" s="1"/>
  <c r="AA32" i="17"/>
  <c r="AO32" i="17"/>
  <c r="AS30" i="17"/>
  <c r="AI32" i="17"/>
  <c r="Q35" i="17"/>
  <c r="AA35" i="17"/>
  <c r="M37" i="17"/>
  <c r="M39" i="17" s="1"/>
  <c r="M85" i="17" s="1"/>
  <c r="AW32" i="17"/>
  <c r="BE32" i="17"/>
  <c r="Q32" i="17"/>
  <c r="I30" i="17"/>
  <c r="E37" i="17"/>
  <c r="E39" i="17" s="1"/>
  <c r="E85" i="17" s="1"/>
  <c r="M32" i="17"/>
  <c r="E30" i="17"/>
  <c r="I35" i="17"/>
  <c r="I37" i="17" s="1"/>
  <c r="I39" i="17" s="1"/>
  <c r="I85" i="17" s="1"/>
  <c r="U32" i="17"/>
  <c r="AE32" i="17"/>
  <c r="E32" i="17"/>
  <c r="Q61" i="17" l="1"/>
  <c r="U61" i="17" s="1"/>
  <c r="AE35" i="17"/>
  <c r="AA37" i="17"/>
  <c r="AA39" i="17" s="1"/>
  <c r="AA85" i="17" s="1"/>
  <c r="Q37" i="17"/>
  <c r="Q39" i="17" s="1"/>
  <c r="Q85" i="17" s="1"/>
  <c r="U35" i="17"/>
  <c r="U37" i="17" s="1"/>
  <c r="U39" i="17" s="1"/>
  <c r="U85" i="17" s="1"/>
  <c r="AE37" i="17" l="1"/>
  <c r="AE39" i="17" s="1"/>
  <c r="AE85" i="17" s="1"/>
  <c r="AI35" i="17"/>
  <c r="AO35" i="17" l="1"/>
  <c r="AI37" i="17"/>
  <c r="AI39" i="17" s="1"/>
  <c r="AI85" i="17" s="1"/>
  <c r="AS35" i="17" l="1"/>
  <c r="AO37" i="17"/>
  <c r="AO39" i="17" s="1"/>
  <c r="AO85" i="17" s="1"/>
  <c r="AS37" i="17" l="1"/>
  <c r="AS39" i="17" s="1"/>
  <c r="AS85" i="17" s="1"/>
  <c r="AW35" i="17"/>
  <c r="BE35" i="17" l="1"/>
  <c r="BE37" i="17" s="1"/>
  <c r="BE39" i="17" s="1"/>
  <c r="BE85" i="17" s="1"/>
  <c r="AW37" i="17"/>
  <c r="AW39" i="17" s="1"/>
  <c r="AW85" i="1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27" authorId="0" shapeId="0" xr:uid="{00000000-0006-0000-0000-000001000000}">
      <text>
        <r>
          <rPr>
            <b/>
            <sz val="9"/>
            <color indexed="81"/>
            <rFont val="Tahoma"/>
            <family val="2"/>
          </rPr>
          <t>Author:</t>
        </r>
        <r>
          <rPr>
            <sz val="9"/>
            <color indexed="81"/>
            <rFont val="Tahoma"/>
            <family val="2"/>
          </rPr>
          <t xml:space="preserve">
Iron Scrap Balance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D6" authorId="0" shapeId="0" xr:uid="{00000000-0006-0000-0100-000001000000}">
      <text>
        <r>
          <rPr>
            <b/>
            <sz val="9"/>
            <color indexed="81"/>
            <rFont val="Tahoma"/>
            <family val="2"/>
          </rPr>
          <t>Author:</t>
        </r>
        <r>
          <rPr>
            <sz val="9"/>
            <color indexed="81"/>
            <rFont val="Tahoma"/>
            <family val="2"/>
          </rPr>
          <t xml:space="preserve">
Includes 1000 T of Internal consumption
</t>
        </r>
      </text>
    </comment>
    <comment ref="E6" authorId="0" shapeId="0" xr:uid="{00000000-0006-0000-0100-000002000000}">
      <text>
        <r>
          <rPr>
            <b/>
            <sz val="9"/>
            <color indexed="81"/>
            <rFont val="Tahoma"/>
            <family val="2"/>
          </rPr>
          <t>Author:</t>
        </r>
        <r>
          <rPr>
            <sz val="9"/>
            <color indexed="81"/>
            <rFont val="Tahoma"/>
            <family val="2"/>
          </rPr>
          <t xml:space="preserve">
includes 83
 T of internal consumption</t>
        </r>
      </text>
    </comment>
    <comment ref="G6" authorId="0" shapeId="0" xr:uid="{00000000-0006-0000-0100-000003000000}">
      <text>
        <r>
          <rPr>
            <b/>
            <sz val="9"/>
            <color indexed="81"/>
            <rFont val="Tahoma"/>
            <family val="2"/>
          </rPr>
          <t>Author:</t>
        </r>
        <r>
          <rPr>
            <sz val="9"/>
            <color indexed="81"/>
            <rFont val="Tahoma"/>
            <family val="2"/>
          </rPr>
          <t xml:space="preserve">
includes 83
 T of internal consumption</t>
        </r>
      </text>
    </comment>
    <comment ref="K6" authorId="0" shapeId="0" xr:uid="{00000000-0006-0000-0100-000004000000}">
      <text>
        <r>
          <rPr>
            <b/>
            <sz val="9"/>
            <color indexed="81"/>
            <rFont val="Tahoma"/>
            <family val="2"/>
          </rPr>
          <t>Author:</t>
        </r>
        <r>
          <rPr>
            <sz val="9"/>
            <color indexed="81"/>
            <rFont val="Tahoma"/>
            <family val="2"/>
          </rPr>
          <t xml:space="preserve">
includes 83
 T of internal consumption</t>
        </r>
      </text>
    </comment>
    <comment ref="O6" authorId="0" shapeId="0" xr:uid="{00000000-0006-0000-0100-000005000000}">
      <text>
        <r>
          <rPr>
            <b/>
            <sz val="9"/>
            <color indexed="81"/>
            <rFont val="Tahoma"/>
            <family val="2"/>
          </rPr>
          <t>Author:</t>
        </r>
        <r>
          <rPr>
            <sz val="9"/>
            <color indexed="81"/>
            <rFont val="Tahoma"/>
            <family val="2"/>
          </rPr>
          <t xml:space="preserve">
includes 83
 T of internal consumption</t>
        </r>
      </text>
    </comment>
    <comment ref="S6" authorId="0" shapeId="0" xr:uid="{00000000-0006-0000-0100-000006000000}">
      <text>
        <r>
          <rPr>
            <b/>
            <sz val="9"/>
            <color indexed="81"/>
            <rFont val="Tahoma"/>
            <family val="2"/>
          </rPr>
          <t>Author:</t>
        </r>
        <r>
          <rPr>
            <sz val="9"/>
            <color indexed="81"/>
            <rFont val="Tahoma"/>
            <family val="2"/>
          </rPr>
          <t xml:space="preserve">
includes 83
 T of internal consumption</t>
        </r>
      </text>
    </comment>
    <comment ref="W6" authorId="0" shapeId="0" xr:uid="{00000000-0006-0000-0100-000007000000}">
      <text>
        <r>
          <rPr>
            <b/>
            <sz val="9"/>
            <color indexed="81"/>
            <rFont val="Tahoma"/>
            <family val="2"/>
          </rPr>
          <t>Author:</t>
        </r>
        <r>
          <rPr>
            <sz val="9"/>
            <color indexed="81"/>
            <rFont val="Tahoma"/>
            <family val="2"/>
          </rPr>
          <t xml:space="preserve">
includes 83
 T of internal consumption</t>
        </r>
      </text>
    </comment>
    <comment ref="AC6" authorId="0" shapeId="0" xr:uid="{00000000-0006-0000-0100-000008000000}">
      <text>
        <r>
          <rPr>
            <b/>
            <sz val="9"/>
            <color indexed="81"/>
            <rFont val="Tahoma"/>
            <family val="2"/>
          </rPr>
          <t>Author:</t>
        </r>
        <r>
          <rPr>
            <sz val="9"/>
            <color indexed="81"/>
            <rFont val="Tahoma"/>
            <family val="2"/>
          </rPr>
          <t xml:space="preserve">
includes 83
 T of internal consumption</t>
        </r>
      </text>
    </comment>
    <comment ref="AG6" authorId="0" shapeId="0" xr:uid="{00000000-0006-0000-0100-000009000000}">
      <text>
        <r>
          <rPr>
            <b/>
            <sz val="9"/>
            <color indexed="81"/>
            <rFont val="Tahoma"/>
            <family val="2"/>
          </rPr>
          <t>Author:</t>
        </r>
        <r>
          <rPr>
            <sz val="9"/>
            <color indexed="81"/>
            <rFont val="Tahoma"/>
            <family val="2"/>
          </rPr>
          <t xml:space="preserve">
includes 83
 T of internal consumption</t>
        </r>
      </text>
    </comment>
    <comment ref="AK6" authorId="0" shapeId="0" xr:uid="{00000000-0006-0000-0100-00000A000000}">
      <text>
        <r>
          <rPr>
            <b/>
            <sz val="9"/>
            <color indexed="81"/>
            <rFont val="Tahoma"/>
            <family val="2"/>
          </rPr>
          <t>Author:</t>
        </r>
        <r>
          <rPr>
            <sz val="9"/>
            <color indexed="81"/>
            <rFont val="Tahoma"/>
            <family val="2"/>
          </rPr>
          <t xml:space="preserve">
includes 83
 T of internal consumption</t>
        </r>
      </text>
    </comment>
    <comment ref="AQ6" authorId="0" shapeId="0" xr:uid="{00000000-0006-0000-0100-00000B000000}">
      <text>
        <r>
          <rPr>
            <b/>
            <sz val="9"/>
            <color indexed="81"/>
            <rFont val="Tahoma"/>
            <family val="2"/>
          </rPr>
          <t>Author:</t>
        </r>
        <r>
          <rPr>
            <sz val="9"/>
            <color indexed="81"/>
            <rFont val="Tahoma"/>
            <family val="2"/>
          </rPr>
          <t xml:space="preserve">
includes 83
 T of internal consumption</t>
        </r>
      </text>
    </comment>
    <comment ref="AU6" authorId="0" shapeId="0" xr:uid="{00000000-0006-0000-0100-00000C000000}">
      <text>
        <r>
          <rPr>
            <b/>
            <sz val="9"/>
            <color indexed="81"/>
            <rFont val="Tahoma"/>
            <family val="2"/>
          </rPr>
          <t>Author:</t>
        </r>
        <r>
          <rPr>
            <sz val="9"/>
            <color indexed="81"/>
            <rFont val="Tahoma"/>
            <family val="2"/>
          </rPr>
          <t xml:space="preserve">
includes 83
 T of internal consumption</t>
        </r>
      </text>
    </comment>
    <comment ref="AY6" authorId="0" shapeId="0" xr:uid="{00000000-0006-0000-0100-00000D000000}">
      <text>
        <r>
          <rPr>
            <b/>
            <sz val="9"/>
            <color indexed="81"/>
            <rFont val="Tahoma"/>
            <family val="2"/>
          </rPr>
          <t>Author:</t>
        </r>
        <r>
          <rPr>
            <sz val="9"/>
            <color indexed="81"/>
            <rFont val="Tahoma"/>
            <family val="2"/>
          </rPr>
          <t xml:space="preserve">
includes 83
 T of internal consumption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56" authorId="0" shapeId="0" xr:uid="{00000000-0006-0000-0200-000001000000}">
      <text>
        <r>
          <rPr>
            <b/>
            <sz val="9"/>
            <color indexed="81"/>
            <rFont val="Tahoma"/>
            <family val="2"/>
          </rPr>
          <t>Author:</t>
        </r>
        <r>
          <rPr>
            <sz val="9"/>
            <color indexed="81"/>
            <rFont val="Tahoma"/>
            <family val="2"/>
          </rPr>
          <t xml:space="preserve">
from sms w/s (HM consumed in BOF)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10" authorId="0" shapeId="0" xr:uid="{5CAC08DB-AD62-4503-87BF-FB8B5EA7AF13}">
      <text>
        <r>
          <rPr>
            <b/>
            <sz val="9"/>
            <color indexed="81"/>
            <rFont val="Tahoma"/>
            <family val="2"/>
          </rPr>
          <t>Author:</t>
        </r>
        <r>
          <rPr>
            <sz val="9"/>
            <color indexed="81"/>
            <rFont val="Tahoma"/>
            <family val="2"/>
          </rPr>
          <t xml:space="preserve">
Inc internal consumption of 83 T
</t>
        </r>
      </text>
    </comment>
    <comment ref="G10" authorId="0" shapeId="0" xr:uid="{250BAB1E-1CAB-4102-B9F5-505C1DB4EFEF}">
      <text>
        <r>
          <rPr>
            <b/>
            <sz val="9"/>
            <color indexed="81"/>
            <rFont val="Tahoma"/>
            <family val="2"/>
          </rPr>
          <t>Author:</t>
        </r>
        <r>
          <rPr>
            <sz val="9"/>
            <color indexed="81"/>
            <rFont val="Tahoma"/>
            <family val="2"/>
          </rPr>
          <t xml:space="preserve">
Including internal consumption of 83 T</t>
        </r>
      </text>
    </comment>
    <comment ref="D12" authorId="0" shapeId="0" xr:uid="{00000000-0006-0000-0600-000001000000}">
      <text>
        <r>
          <rPr>
            <b/>
            <sz val="9"/>
            <color indexed="81"/>
            <rFont val="Tahoma"/>
            <family val="2"/>
          </rPr>
          <t>Author:</t>
        </r>
        <r>
          <rPr>
            <sz val="9"/>
            <color indexed="81"/>
            <rFont val="Tahoma"/>
            <family val="2"/>
          </rPr>
          <t xml:space="preserve">
INTERNAL CONSUMPTION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E61" authorId="0" shapeId="0" xr:uid="{00000000-0006-0000-0700-000001000000}">
      <text>
        <r>
          <rPr>
            <b/>
            <sz val="9"/>
            <color indexed="81"/>
            <rFont val="Tahoma"/>
            <family val="2"/>
          </rPr>
          <t>Author:</t>
        </r>
        <r>
          <rPr>
            <sz val="9"/>
            <color indexed="81"/>
            <rFont val="Tahoma"/>
            <family val="2"/>
          </rPr>
          <t xml:space="preserve">
Including 1 rake Caval Ridge.</t>
        </r>
      </text>
    </comment>
    <comment ref="G61" authorId="0" shapeId="0" xr:uid="{00000000-0006-0000-0700-000002000000}">
      <text>
        <r>
          <rPr>
            <b/>
            <sz val="9"/>
            <color indexed="81"/>
            <rFont val="Tahoma"/>
            <family val="2"/>
          </rPr>
          <t>Author:</t>
        </r>
        <r>
          <rPr>
            <sz val="9"/>
            <color indexed="81"/>
            <rFont val="Tahoma"/>
            <family val="2"/>
          </rPr>
          <t xml:space="preserve">
Including 1 rake Caval Ridge.</t>
        </r>
      </text>
    </comment>
    <comment ref="K61" authorId="0" shapeId="0" xr:uid="{00000000-0006-0000-0700-000003000000}">
      <text>
        <r>
          <rPr>
            <b/>
            <sz val="9"/>
            <color indexed="81"/>
            <rFont val="Tahoma"/>
            <family val="2"/>
          </rPr>
          <t>Author:</t>
        </r>
        <r>
          <rPr>
            <sz val="9"/>
            <color indexed="81"/>
            <rFont val="Tahoma"/>
            <family val="2"/>
          </rPr>
          <t xml:space="preserve">
Including 1 rake Caval Ridge.</t>
        </r>
      </text>
    </comment>
    <comment ref="O61" authorId="0" shapeId="0" xr:uid="{00000000-0006-0000-0700-000004000000}">
      <text>
        <r>
          <rPr>
            <b/>
            <sz val="9"/>
            <color indexed="81"/>
            <rFont val="Tahoma"/>
            <family val="2"/>
          </rPr>
          <t>Author:</t>
        </r>
        <r>
          <rPr>
            <sz val="9"/>
            <color indexed="81"/>
            <rFont val="Tahoma"/>
            <family val="2"/>
          </rPr>
          <t xml:space="preserve">
Including 1 rake Caval Ridge.</t>
        </r>
      </text>
    </comment>
    <comment ref="S61" authorId="0" shapeId="0" xr:uid="{00000000-0006-0000-0700-000005000000}">
      <text>
        <r>
          <rPr>
            <b/>
            <sz val="9"/>
            <color indexed="81"/>
            <rFont val="Tahoma"/>
            <family val="2"/>
          </rPr>
          <t>Author:</t>
        </r>
        <r>
          <rPr>
            <sz val="9"/>
            <color indexed="81"/>
            <rFont val="Tahoma"/>
            <family val="2"/>
          </rPr>
          <t xml:space="preserve">
Including 1 rake Caval Ridge.</t>
        </r>
      </text>
    </comment>
    <comment ref="W61" authorId="0" shapeId="0" xr:uid="{00000000-0006-0000-0700-000006000000}">
      <text>
        <r>
          <rPr>
            <b/>
            <sz val="9"/>
            <color indexed="81"/>
            <rFont val="Tahoma"/>
            <family val="2"/>
          </rPr>
          <t>Author:</t>
        </r>
        <r>
          <rPr>
            <sz val="9"/>
            <color indexed="81"/>
            <rFont val="Tahoma"/>
            <family val="2"/>
          </rPr>
          <t xml:space="preserve">
Including 1 rake Caval Ridge.</t>
        </r>
      </text>
    </comment>
    <comment ref="AC61" authorId="0" shapeId="0" xr:uid="{00000000-0006-0000-0700-000007000000}">
      <text>
        <r>
          <rPr>
            <b/>
            <sz val="9"/>
            <color indexed="81"/>
            <rFont val="Tahoma"/>
            <family val="2"/>
          </rPr>
          <t>Author:</t>
        </r>
        <r>
          <rPr>
            <sz val="9"/>
            <color indexed="81"/>
            <rFont val="Tahoma"/>
            <family val="2"/>
          </rPr>
          <t xml:space="preserve">
Including 1 rake Caval Ridge.</t>
        </r>
      </text>
    </comment>
    <comment ref="AG61" authorId="0" shapeId="0" xr:uid="{00000000-0006-0000-0700-000008000000}">
      <text>
        <r>
          <rPr>
            <b/>
            <sz val="9"/>
            <color indexed="81"/>
            <rFont val="Tahoma"/>
            <family val="2"/>
          </rPr>
          <t>Author:</t>
        </r>
        <r>
          <rPr>
            <sz val="9"/>
            <color indexed="81"/>
            <rFont val="Tahoma"/>
            <family val="2"/>
          </rPr>
          <t xml:space="preserve">
Including 1 rake Caval Ridge.</t>
        </r>
      </text>
    </comment>
    <comment ref="AK61" authorId="0" shapeId="0" xr:uid="{00000000-0006-0000-0700-000009000000}">
      <text>
        <r>
          <rPr>
            <b/>
            <sz val="9"/>
            <color indexed="81"/>
            <rFont val="Tahoma"/>
            <family val="2"/>
          </rPr>
          <t>Author:</t>
        </r>
        <r>
          <rPr>
            <sz val="9"/>
            <color indexed="81"/>
            <rFont val="Tahoma"/>
            <family val="2"/>
          </rPr>
          <t xml:space="preserve">
Including 1 rake Caval Ridge.</t>
        </r>
      </text>
    </comment>
    <comment ref="AQ61" authorId="0" shapeId="0" xr:uid="{00000000-0006-0000-0700-00000A000000}">
      <text>
        <r>
          <rPr>
            <b/>
            <sz val="9"/>
            <color indexed="81"/>
            <rFont val="Tahoma"/>
            <family val="2"/>
          </rPr>
          <t>Author:</t>
        </r>
        <r>
          <rPr>
            <sz val="9"/>
            <color indexed="81"/>
            <rFont val="Tahoma"/>
            <family val="2"/>
          </rPr>
          <t xml:space="preserve">
Including 1 rake Caval Ridge.</t>
        </r>
      </text>
    </comment>
    <comment ref="AU61" authorId="0" shapeId="0" xr:uid="{00000000-0006-0000-0700-00000B000000}">
      <text>
        <r>
          <rPr>
            <b/>
            <sz val="9"/>
            <color indexed="81"/>
            <rFont val="Tahoma"/>
            <family val="2"/>
          </rPr>
          <t>Author:</t>
        </r>
        <r>
          <rPr>
            <sz val="9"/>
            <color indexed="81"/>
            <rFont val="Tahoma"/>
            <family val="2"/>
          </rPr>
          <t xml:space="preserve">
Including 1 rake Caval Ridge.</t>
        </r>
      </text>
    </comment>
    <comment ref="AY61" authorId="0" shapeId="0" xr:uid="{00000000-0006-0000-0700-00000C000000}">
      <text>
        <r>
          <rPr>
            <b/>
            <sz val="9"/>
            <color indexed="81"/>
            <rFont val="Tahoma"/>
            <family val="2"/>
          </rPr>
          <t>Author:</t>
        </r>
        <r>
          <rPr>
            <sz val="9"/>
            <color indexed="81"/>
            <rFont val="Tahoma"/>
            <family val="2"/>
          </rPr>
          <t xml:space="preserve">
Including 1 rake Caval Ridge.</t>
        </r>
      </text>
    </comment>
    <comment ref="E75" authorId="0" shapeId="0" xr:uid="{00000000-0006-0000-0700-00000D000000}">
      <text>
        <r>
          <rPr>
            <b/>
            <sz val="9"/>
            <color indexed="81"/>
            <rFont val="Tahoma"/>
            <family val="2"/>
          </rPr>
          <t>Author:</t>
        </r>
        <r>
          <rPr>
            <sz val="9"/>
            <color indexed="81"/>
            <rFont val="Tahoma"/>
            <family val="2"/>
          </rPr>
          <t xml:space="preserve">
Value changed as per mail received from Traffic department
</t>
        </r>
      </text>
    </comment>
    <comment ref="G75" authorId="0" shapeId="0" xr:uid="{00000000-0006-0000-0700-00000E000000}">
      <text>
        <r>
          <rPr>
            <b/>
            <sz val="9"/>
            <color indexed="81"/>
            <rFont val="Tahoma"/>
            <family val="2"/>
          </rPr>
          <t>Author:</t>
        </r>
        <r>
          <rPr>
            <sz val="9"/>
            <color indexed="81"/>
            <rFont val="Tahoma"/>
            <family val="2"/>
          </rPr>
          <t xml:space="preserve">
Value changed as per mail received from Traffic department
</t>
        </r>
      </text>
    </comment>
    <comment ref="AG75" authorId="0" shapeId="0" xr:uid="{00000000-0006-0000-0700-00000F000000}">
      <text>
        <r>
          <rPr>
            <b/>
            <sz val="9"/>
            <color indexed="81"/>
            <rFont val="Tahoma"/>
            <family val="2"/>
          </rPr>
          <t>Author:</t>
        </r>
        <r>
          <rPr>
            <sz val="9"/>
            <color indexed="81"/>
            <rFont val="Tahoma"/>
            <family val="2"/>
          </rPr>
          <t xml:space="preserve">
Value changed as per mail received from Traffic department
</t>
        </r>
      </text>
    </comment>
    <comment ref="AK75" authorId="0" shapeId="0" xr:uid="{00000000-0006-0000-0700-000010000000}">
      <text>
        <r>
          <rPr>
            <b/>
            <sz val="9"/>
            <color indexed="81"/>
            <rFont val="Tahoma"/>
            <family val="2"/>
          </rPr>
          <t>Author:</t>
        </r>
        <r>
          <rPr>
            <sz val="9"/>
            <color indexed="81"/>
            <rFont val="Tahoma"/>
            <family val="2"/>
          </rPr>
          <t xml:space="preserve">
Value changed as per mail received from Traffic department
</t>
        </r>
      </text>
    </comment>
    <comment ref="AQ75" authorId="0" shapeId="0" xr:uid="{00000000-0006-0000-0700-000011000000}">
      <text>
        <r>
          <rPr>
            <b/>
            <sz val="9"/>
            <color indexed="81"/>
            <rFont val="Tahoma"/>
            <family val="2"/>
          </rPr>
          <t>Author:</t>
        </r>
        <r>
          <rPr>
            <sz val="9"/>
            <color indexed="81"/>
            <rFont val="Tahoma"/>
            <family val="2"/>
          </rPr>
          <t xml:space="preserve">
Value changed as per mail received from Traffic department
</t>
        </r>
      </text>
    </comment>
    <comment ref="AU75" authorId="0" shapeId="0" xr:uid="{00000000-0006-0000-0700-000012000000}">
      <text>
        <r>
          <rPr>
            <b/>
            <sz val="9"/>
            <color indexed="81"/>
            <rFont val="Tahoma"/>
            <family val="2"/>
          </rPr>
          <t>Author:</t>
        </r>
        <r>
          <rPr>
            <sz val="9"/>
            <color indexed="81"/>
            <rFont val="Tahoma"/>
            <family val="2"/>
          </rPr>
          <t xml:space="preserve">
Value changed as per mail received from Traffic department
</t>
        </r>
      </text>
    </comment>
    <comment ref="AY75" authorId="0" shapeId="0" xr:uid="{00000000-0006-0000-0700-000013000000}">
      <text>
        <r>
          <rPr>
            <b/>
            <sz val="9"/>
            <color indexed="81"/>
            <rFont val="Tahoma"/>
            <family val="2"/>
          </rPr>
          <t>Author:</t>
        </r>
        <r>
          <rPr>
            <sz val="9"/>
            <color indexed="81"/>
            <rFont val="Tahoma"/>
            <family val="2"/>
          </rPr>
          <t xml:space="preserve">
Value changed as per mail received from Traffic department
</t>
        </r>
      </text>
    </comment>
  </commentList>
</comments>
</file>

<file path=xl/sharedStrings.xml><?xml version="1.0" encoding="utf-8"?>
<sst xmlns="http://schemas.openxmlformats.org/spreadsheetml/2006/main" count="9634" uniqueCount="2392">
  <si>
    <t>PRODUCTION</t>
  </si>
  <si>
    <t>Nut Coke</t>
  </si>
  <si>
    <t>TOTAL</t>
  </si>
  <si>
    <t>SAL STEEL PRODN (CATEGORY WISE)</t>
  </si>
  <si>
    <t>COKE OVENS</t>
  </si>
  <si>
    <t>C.O. Gas</t>
  </si>
  <si>
    <t>Quartzite</t>
  </si>
  <si>
    <t>MACHINE SHOP</t>
  </si>
  <si>
    <t>FORGE SHOP</t>
  </si>
  <si>
    <t>POWER PLANT</t>
  </si>
  <si>
    <t>ICC (USH)</t>
  </si>
  <si>
    <t>GRAND TOTAL COKING COAL</t>
  </si>
  <si>
    <t>TOTAL ICC</t>
  </si>
  <si>
    <t>Total ICC (Hard)</t>
  </si>
  <si>
    <t>2M</t>
  </si>
  <si>
    <t>BF</t>
  </si>
  <si>
    <t>WR Mill</t>
  </si>
  <si>
    <t>4M</t>
  </si>
  <si>
    <t>5M</t>
  </si>
  <si>
    <t>Sinter</t>
  </si>
  <si>
    <t>MOG</t>
  </si>
  <si>
    <t>Total</t>
  </si>
  <si>
    <t>RAIL</t>
  </si>
  <si>
    <t>ROAD</t>
  </si>
  <si>
    <t>7M</t>
  </si>
  <si>
    <t>BF Coke</t>
  </si>
  <si>
    <t>Coke Breeze</t>
  </si>
  <si>
    <t>8M</t>
  </si>
  <si>
    <t>10M</t>
  </si>
  <si>
    <t>M³/TCS</t>
  </si>
  <si>
    <t>11M</t>
  </si>
  <si>
    <t>Saleable Steel Production (Mill Wise)</t>
  </si>
  <si>
    <t>-</t>
  </si>
  <si>
    <t>WR MILL TOTAL</t>
  </si>
  <si>
    <t xml:space="preserve">WR Mill </t>
  </si>
  <si>
    <t>Total Coal Tar</t>
  </si>
  <si>
    <t>Total NH4SO4</t>
  </si>
  <si>
    <t xml:space="preserve">Iron ore fines </t>
  </si>
  <si>
    <t xml:space="preserve">Lime stone </t>
  </si>
  <si>
    <t xml:space="preserve">Dolomite </t>
  </si>
  <si>
    <t xml:space="preserve">Coke Breeze </t>
  </si>
  <si>
    <t>Mill Scale</t>
  </si>
  <si>
    <t>BOF Slag</t>
  </si>
  <si>
    <t>Blended Base Mix</t>
  </si>
  <si>
    <t xml:space="preserve">Calcined Lime </t>
  </si>
  <si>
    <t>M/C #1</t>
  </si>
  <si>
    <t>OPERATING PARAMETERS</t>
  </si>
  <si>
    <t>OTHER TECHNO PARAMETERS</t>
  </si>
  <si>
    <t>Iron ore fines</t>
  </si>
  <si>
    <t>%</t>
  </si>
  <si>
    <t>Mt</t>
  </si>
  <si>
    <t>WIRE &amp; ROD MILL</t>
  </si>
  <si>
    <t>8 mm Plain Coil</t>
  </si>
  <si>
    <t>Techno Parameters</t>
  </si>
  <si>
    <t>Auxilliaries</t>
  </si>
  <si>
    <t>NET AVAILABLE for Dist.</t>
  </si>
  <si>
    <t>CDCP</t>
  </si>
  <si>
    <t>BOF</t>
  </si>
  <si>
    <t>CCP</t>
  </si>
  <si>
    <t>WRM</t>
  </si>
  <si>
    <t>SINTER</t>
  </si>
  <si>
    <t>TOTAL DISTRIBUTION :-</t>
  </si>
  <si>
    <t>OTHER INPUT CHEMICALS CONSUMED IN P&amp;BS-II</t>
  </si>
  <si>
    <t>P&amp;BS-II</t>
  </si>
  <si>
    <t>LOSSES</t>
  </si>
  <si>
    <t>NET AVAILABLE FOR DISTRIBUTION</t>
  </si>
  <si>
    <t>Tonnes</t>
  </si>
  <si>
    <t>Hearth Layer</t>
  </si>
  <si>
    <t>Water</t>
  </si>
  <si>
    <t>CO GAS CONSUMPTION</t>
  </si>
  <si>
    <t>Limestone (Trimming)</t>
  </si>
  <si>
    <t>Coke Breeze (Trimming)</t>
  </si>
  <si>
    <t>5.5 mm Plain Coil</t>
  </si>
  <si>
    <t>Loss (%)</t>
  </si>
  <si>
    <t>6 mm Plain Coil</t>
  </si>
  <si>
    <t>CMO DIR</t>
  </si>
  <si>
    <t>CMO SYD</t>
  </si>
  <si>
    <t>IPT</t>
  </si>
  <si>
    <t xml:space="preserve">Total B.F.Coke </t>
  </si>
  <si>
    <t>Overall Equiv. Ovens Pushed/ Day</t>
  </si>
  <si>
    <t>Blast Furnace #5</t>
  </si>
  <si>
    <t>Boiler Plant (P&amp;B Stn-II)</t>
  </si>
  <si>
    <t>LDCP</t>
  </si>
  <si>
    <t>Fe-Mn</t>
  </si>
  <si>
    <t>Si-Mn</t>
  </si>
  <si>
    <t>Fe-Si</t>
  </si>
  <si>
    <t>Pet Coke</t>
  </si>
  <si>
    <t>HM Production</t>
  </si>
  <si>
    <t>Calender hours</t>
  </si>
  <si>
    <t>Sinter output loss</t>
  </si>
  <si>
    <t>Boiler Plant (P&amp;B Stn.) -II</t>
  </si>
  <si>
    <t>Bar Mill</t>
  </si>
  <si>
    <t>BAR MILL TOTAL</t>
  </si>
  <si>
    <t>Schedule Hrs</t>
  </si>
  <si>
    <t>M/C #2</t>
  </si>
  <si>
    <t>BAR MILL</t>
  </si>
  <si>
    <t>Partial returned heats</t>
  </si>
  <si>
    <t xml:space="preserve">Process Return Sinter Fines </t>
  </si>
  <si>
    <t>BF Return Sinter</t>
  </si>
  <si>
    <t>OXYGEN PLANT</t>
  </si>
  <si>
    <t>Oxygen</t>
  </si>
  <si>
    <t>Sales</t>
  </si>
  <si>
    <t>Nitrogen</t>
  </si>
  <si>
    <t>Argon</t>
  </si>
  <si>
    <t>NET GRANULATED SLAG PRODUCTION</t>
  </si>
  <si>
    <t>CBM GAS CONSUMPTION</t>
  </si>
  <si>
    <t>COB#10 under firing</t>
  </si>
  <si>
    <t>COB#11 under firing</t>
  </si>
  <si>
    <t>Boiler Plant (P&amp;B Stn-I)</t>
  </si>
  <si>
    <t>US Mill</t>
  </si>
  <si>
    <t xml:space="preserve">COKE OVEN </t>
  </si>
  <si>
    <t>SINTER PLANT</t>
  </si>
  <si>
    <t>BOILER HOUSE</t>
  </si>
  <si>
    <t>UPIS</t>
  </si>
  <si>
    <t>WR MILL</t>
  </si>
  <si>
    <t>US MILL</t>
  </si>
  <si>
    <t>Saleable Steel (Total Shipping Mode-wise)</t>
  </si>
  <si>
    <t>Saleable Steel (Total sale type-wise)</t>
  </si>
  <si>
    <t>Calcined Lime</t>
  </si>
  <si>
    <t>Heats carried over to next month</t>
  </si>
  <si>
    <t>US MILL TOTAL</t>
  </si>
  <si>
    <t>PBS-2</t>
  </si>
  <si>
    <t>Concast Plant</t>
  </si>
  <si>
    <t>CDI</t>
  </si>
  <si>
    <t>NET AVAILABILITY FOR DISTRIBUTION</t>
  </si>
  <si>
    <t xml:space="preserve">TOTAL </t>
  </si>
  <si>
    <t xml:space="preserve">BF GAS BALANCE-EMD </t>
  </si>
  <si>
    <t xml:space="preserve">CBM GAS BALANCE-EMD </t>
  </si>
  <si>
    <t xml:space="preserve">Calcined Dolomite </t>
  </si>
  <si>
    <t>Raw Dolomite</t>
  </si>
  <si>
    <t>Iron ore lump</t>
  </si>
  <si>
    <t>OVEN AVAILABILITY (COB #10)</t>
  </si>
  <si>
    <t>OVEN AVAILABILITY (COB #11)</t>
  </si>
  <si>
    <t>TOTAL ICC (Soft)</t>
  </si>
  <si>
    <t>TOTAL PLANT (SUMMARY)</t>
  </si>
  <si>
    <t>TOTAL  :</t>
  </si>
  <si>
    <t>CMO EXP</t>
  </si>
  <si>
    <t>QRT-1</t>
  </si>
  <si>
    <t>QRT-2</t>
  </si>
  <si>
    <t>Saleable Steel (mill-wise)</t>
  </si>
  <si>
    <t>Saleable Steel (Shipping Mode-wise)</t>
  </si>
  <si>
    <t>Total Nut Coke</t>
  </si>
  <si>
    <t>Total Coke Breeze</t>
  </si>
  <si>
    <t>Total Coke Dust</t>
  </si>
  <si>
    <t>Total Gross Coke</t>
  </si>
  <si>
    <t>COB#10</t>
  </si>
  <si>
    <t>COB#11</t>
  </si>
  <si>
    <t>PUSHING CO-EFFICIENT (BASED ON ACTUAL OVEN AVAILABILITY)</t>
  </si>
  <si>
    <t>B.F.Coke (Old Batts)</t>
  </si>
  <si>
    <t>B.F Coke (New Batt)</t>
  </si>
  <si>
    <t>Previous month Carried over Heats considered in current month</t>
  </si>
  <si>
    <t>Nut Coke (Old Batts)</t>
  </si>
  <si>
    <t>Nut Coke (New Batt)</t>
  </si>
  <si>
    <t>Coke Breeze (Old Batts)</t>
  </si>
  <si>
    <t>Coke Breeze (New Batt)</t>
  </si>
  <si>
    <t>Coke Dust (Old Batts)</t>
  </si>
  <si>
    <t>Coke Dust (New Batt)</t>
  </si>
  <si>
    <t>Gross Coke (Old Batts)</t>
  </si>
  <si>
    <t>Gross Coke (New Batt)</t>
  </si>
  <si>
    <t>Caster #1 (Prime Length)</t>
  </si>
  <si>
    <t>Caster #1 (Total)</t>
  </si>
  <si>
    <t>Caster #2 (Prime Length)</t>
  </si>
  <si>
    <t>Caster #2 (Total)</t>
  </si>
  <si>
    <t>Caster #3 (Total)</t>
  </si>
  <si>
    <t>Total Caster (Prime Length)</t>
  </si>
  <si>
    <t>Dry Coal Charge (Old Batts)</t>
  </si>
  <si>
    <t>Dry Coal Charge (New Batt)</t>
  </si>
  <si>
    <t>Total Dry Coal Charge</t>
  </si>
  <si>
    <t>No./ Day</t>
  </si>
  <si>
    <t>Eq. No./ Day</t>
  </si>
  <si>
    <t>ITEM</t>
  </si>
  <si>
    <t>Unit</t>
  </si>
  <si>
    <t>ABP</t>
  </si>
  <si>
    <t>ACT</t>
  </si>
  <si>
    <t>Nos.</t>
  </si>
  <si>
    <t>Co-eff</t>
  </si>
  <si>
    <t>Coke Dust</t>
  </si>
  <si>
    <t>Gross Coke</t>
  </si>
  <si>
    <t>COKE OVEN BY-PRODUCTS (PRODUCTION)</t>
  </si>
  <si>
    <t>Coal Tar (Existing Plant)</t>
  </si>
  <si>
    <t>Coal Tar (New Plant)</t>
  </si>
  <si>
    <t>NH4SO4 (Existing Plant)</t>
  </si>
  <si>
    <t>NH4SO4 (New Plant)</t>
  </si>
  <si>
    <t>Refined Benzol products</t>
  </si>
  <si>
    <t>Benzene</t>
  </si>
  <si>
    <t>Toluene</t>
  </si>
  <si>
    <t>LS Naptha</t>
  </si>
  <si>
    <t>S.B Oil</t>
  </si>
  <si>
    <t>W. Naptha</t>
  </si>
  <si>
    <t>Crystalline Naptha (New Plant)</t>
  </si>
  <si>
    <t>Sulphur (New Plant)</t>
  </si>
  <si>
    <t>COB #11 (Tonnes on wet basis)</t>
  </si>
  <si>
    <t xml:space="preserve">Blending bunker Blend Coal Quality </t>
  </si>
  <si>
    <t xml:space="preserve">ICC (H) </t>
  </si>
  <si>
    <t xml:space="preserve">ICC (S) </t>
  </si>
  <si>
    <t xml:space="preserve">Imported Coal in Blend </t>
  </si>
  <si>
    <t>Coke Quality</t>
  </si>
  <si>
    <t>PRIME</t>
  </si>
  <si>
    <t xml:space="preserve">Moisture in Blend coal </t>
  </si>
  <si>
    <t xml:space="preserve">Ash in blend coal </t>
  </si>
  <si>
    <t xml:space="preserve">VM in Blend coal </t>
  </si>
  <si>
    <t xml:space="preserve">Skip coke moisture </t>
  </si>
  <si>
    <t xml:space="preserve">Ash </t>
  </si>
  <si>
    <t xml:space="preserve">M40  </t>
  </si>
  <si>
    <t>M10</t>
  </si>
  <si>
    <t xml:space="preserve">CSR </t>
  </si>
  <si>
    <t xml:space="preserve">CRI </t>
  </si>
  <si>
    <t>COKE OVENS (COB# 11)</t>
  </si>
  <si>
    <t>Moisture</t>
  </si>
  <si>
    <t>10⁶ M³</t>
  </si>
  <si>
    <t>M³/tcc - Dry</t>
  </si>
  <si>
    <t>K.Cal/M³</t>
  </si>
  <si>
    <t>KwH</t>
  </si>
  <si>
    <t xml:space="preserve">C.O.Gas Make </t>
  </si>
  <si>
    <t xml:space="preserve">C.O.Gas Yield </t>
  </si>
  <si>
    <t xml:space="preserve">C.V. of C.O.Gas </t>
  </si>
  <si>
    <t xml:space="preserve">Sp Heat Cons </t>
  </si>
  <si>
    <t>Kg/T</t>
  </si>
  <si>
    <t xml:space="preserve">MACHINE WISE SINTER PRODUCTION </t>
  </si>
  <si>
    <t>Hrs</t>
  </si>
  <si>
    <t xml:space="preserve">Availability </t>
  </si>
  <si>
    <t xml:space="preserve">% Availability </t>
  </si>
  <si>
    <t>Utilisation hours</t>
  </si>
  <si>
    <t xml:space="preserve">% Utilisation </t>
  </si>
  <si>
    <t xml:space="preserve">Production per Utilization Hours </t>
  </si>
  <si>
    <t xml:space="preserve">Yield Of Sinter </t>
  </si>
  <si>
    <t>T/M²/Utlz Hr</t>
  </si>
  <si>
    <t xml:space="preserve">KwH/T </t>
  </si>
  <si>
    <t xml:space="preserve">Specific Productivity </t>
  </si>
  <si>
    <t xml:space="preserve">Power Cons </t>
  </si>
  <si>
    <t xml:space="preserve">Sp Power Cons </t>
  </si>
  <si>
    <t xml:space="preserve">Sp Fuel Cons (COG) </t>
  </si>
  <si>
    <t>BLAST FURNACE (#5)</t>
  </si>
  <si>
    <t xml:space="preserve">H.M DISTRIBUTION </t>
  </si>
  <si>
    <t xml:space="preserve">Cold Pig &amp; Pig Equivalent </t>
  </si>
  <si>
    <t>BF SLAG GENERATION</t>
  </si>
  <si>
    <t>Coke</t>
  </si>
  <si>
    <t>Total Fuel</t>
  </si>
  <si>
    <t>Iron Ore Lump</t>
  </si>
  <si>
    <t xml:space="preserve">LD Slag </t>
  </si>
  <si>
    <t>Kg/THM</t>
  </si>
  <si>
    <t>T/M³/ DAY</t>
  </si>
  <si>
    <t>No. of Days</t>
  </si>
  <si>
    <t>Sinter in Fe bearing Load</t>
  </si>
  <si>
    <t>Coke return fines (wet) to BMP from BF#5-RMHP</t>
  </si>
  <si>
    <t xml:space="preserve">Eq. Coke return fines (Dry) to BMP from BF#5 </t>
  </si>
  <si>
    <t>⁰C</t>
  </si>
  <si>
    <t>Blast Temperature</t>
  </si>
  <si>
    <t xml:space="preserve">Furnace Availability </t>
  </si>
  <si>
    <t xml:space="preserve">Slag Rate </t>
  </si>
  <si>
    <t xml:space="preserve">Wtd. Avg. Si in HM </t>
  </si>
  <si>
    <t xml:space="preserve">Wtd. Avg. S in HM </t>
  </si>
  <si>
    <t>M³/T of HM</t>
  </si>
  <si>
    <t>COG Consumption -</t>
  </si>
  <si>
    <t>KwH/ ton</t>
  </si>
  <si>
    <t>Heat Cons in stoves</t>
  </si>
  <si>
    <t xml:space="preserve">C.V. of BF Gas </t>
  </si>
  <si>
    <t xml:space="preserve">Total BF Gas Make </t>
  </si>
  <si>
    <t xml:space="preserve">B.F. Gas yield </t>
  </si>
  <si>
    <t xml:space="preserve">BF Productivity </t>
  </si>
  <si>
    <t>BOF-CCP</t>
  </si>
  <si>
    <t>BOF#1</t>
  </si>
  <si>
    <t>BOF#2</t>
  </si>
  <si>
    <t>BOF#3</t>
  </si>
  <si>
    <t>Total heats</t>
  </si>
  <si>
    <t>TECHNO PARAMETERS</t>
  </si>
  <si>
    <t>CRUDE STEEL PRODUCTION</t>
  </si>
  <si>
    <t>CASTER-WISE PRODUCTION</t>
  </si>
  <si>
    <t>Kg/ TCS</t>
  </si>
  <si>
    <t>Kg/ TLS</t>
  </si>
  <si>
    <t>Nm³/T</t>
  </si>
  <si>
    <t>KwH/TCS</t>
  </si>
  <si>
    <t xml:space="preserve">BOF Yield </t>
  </si>
  <si>
    <t xml:space="preserve">CCP Yield </t>
  </si>
  <si>
    <t xml:space="preserve">Raw Materials Net Consumption </t>
  </si>
  <si>
    <t>Converter Life (#1)</t>
  </si>
  <si>
    <t>Converter Life (#2)</t>
  </si>
  <si>
    <t>Converter Life (#3)</t>
  </si>
  <si>
    <t xml:space="preserve">Total Scrap Charged </t>
  </si>
  <si>
    <t xml:space="preserve">Liquid Steel input in Turret </t>
  </si>
  <si>
    <t>Heats Casts (Caster#1)</t>
  </si>
  <si>
    <t>Heats Casts (Caster#2)</t>
  </si>
  <si>
    <t>Heats Casts (Caster#3)</t>
  </si>
  <si>
    <t xml:space="preserve">Total Heats Casts </t>
  </si>
  <si>
    <t xml:space="preserve">Raw Materials Net Consumption Rate </t>
  </si>
  <si>
    <t xml:space="preserve">TMI </t>
  </si>
  <si>
    <t xml:space="preserve">BOF Slag Rate </t>
  </si>
  <si>
    <t>Oxygen Consumption</t>
  </si>
  <si>
    <t xml:space="preserve">Sp Oxygen Consumption </t>
  </si>
  <si>
    <t>COG Consumption (BOF-CCP/LF)</t>
  </si>
  <si>
    <t>Power Consumption (BOF-CCP/LF)</t>
  </si>
  <si>
    <t xml:space="preserve">Sp Power Consumption (BOF-CCP/LF)  </t>
  </si>
  <si>
    <t xml:space="preserve">Sp Heat Cons (BOF) </t>
  </si>
  <si>
    <t xml:space="preserve">Sp Heat Cons (CCP) </t>
  </si>
  <si>
    <t xml:space="preserve">Grand Total Casters </t>
  </si>
  <si>
    <t>HEATS CASTED</t>
  </si>
  <si>
    <t>Hot Metal Consumption rate</t>
  </si>
  <si>
    <t>TOTAL PRODUCTION</t>
  </si>
  <si>
    <t>Th M³/ Hr</t>
  </si>
  <si>
    <t xml:space="preserve">Mill Availability </t>
  </si>
  <si>
    <t xml:space="preserve">% Mill Availability </t>
  </si>
  <si>
    <t xml:space="preserve">% Mill Utilisation </t>
  </si>
  <si>
    <t>Mill Utilisation</t>
  </si>
  <si>
    <t>Gross Heat Consumption</t>
  </si>
  <si>
    <t xml:space="preserve">Power Consumption </t>
  </si>
  <si>
    <t>Sp Power Consumption</t>
  </si>
  <si>
    <t>CO Gas consumption</t>
  </si>
  <si>
    <t>BF Gas consumption</t>
  </si>
  <si>
    <t xml:space="preserve">CBM consumption </t>
  </si>
  <si>
    <t>Rolling Rate on yield Wt</t>
  </si>
  <si>
    <t>YIELD WEIGHT</t>
  </si>
  <si>
    <t>WR MILL YIELD</t>
  </si>
  <si>
    <t>BAR MILL YIELD</t>
  </si>
  <si>
    <t>US MILL YIELD</t>
  </si>
  <si>
    <t>Saleable Steel (Mill-wise sale type-wise)</t>
  </si>
  <si>
    <t>Saleable Steel (Mill-wise shipping mode-wise)</t>
  </si>
  <si>
    <t>WR MILL (SECTION-WISE &amp; QUALITY-WISE)</t>
  </si>
  <si>
    <t>BAR MILL (SECTION-WISE &amp; QUALITY-WISE)</t>
  </si>
  <si>
    <t>US MILL (SECTION-WISE &amp; QUALITY-WISE)</t>
  </si>
  <si>
    <t>ENERGY MANAGEMENT DEPARTMENT</t>
  </si>
  <si>
    <t>CO GAS BALANCE (Overall)</t>
  </si>
  <si>
    <t>G.cal/TCS</t>
  </si>
  <si>
    <t>SHOP-WISE SPECIFIC ENERGY CONSUMPTION</t>
  </si>
  <si>
    <t>000nm³</t>
  </si>
  <si>
    <t>000Sm³</t>
  </si>
  <si>
    <t>TH CuM/Hr</t>
  </si>
  <si>
    <t>Kcal/m3</t>
  </si>
  <si>
    <t xml:space="preserve">CV </t>
  </si>
  <si>
    <t>Generation (COB#10)</t>
  </si>
  <si>
    <t>Generation (COB#11)</t>
  </si>
  <si>
    <t>Total Generation</t>
  </si>
  <si>
    <t xml:space="preserve">GENERATION </t>
  </si>
  <si>
    <t xml:space="preserve">DISTRIBUTION </t>
  </si>
  <si>
    <t>Generation (BF#5)</t>
  </si>
  <si>
    <t xml:space="preserve">DISTRIBUTION  </t>
  </si>
  <si>
    <t xml:space="preserve">NET AVAILABLE for Dist. </t>
  </si>
  <si>
    <t>MAJOR PRODUCTION SUMMARY</t>
  </si>
  <si>
    <t>HOT METAL</t>
  </si>
  <si>
    <t>CRUDE STEEL</t>
  </si>
  <si>
    <t>BF COKE</t>
  </si>
  <si>
    <t>COAL TAR</t>
  </si>
  <si>
    <t>AMMONIUM SULPHATE</t>
  </si>
  <si>
    <t>COKE OVENS PUSHING</t>
  </si>
  <si>
    <t xml:space="preserve">Bar Mill </t>
  </si>
  <si>
    <t xml:space="preserve">SINTER </t>
  </si>
  <si>
    <t xml:space="preserve">Net Granulated Slag Production </t>
  </si>
  <si>
    <t>(COB#10)</t>
  </si>
  <si>
    <t xml:space="preserve"> (COB#11)</t>
  </si>
  <si>
    <t>Saleable Steel (Sale type-wise)</t>
  </si>
  <si>
    <t>Total Pig &amp; Pig Equiv</t>
  </si>
  <si>
    <t>Nos/ day</t>
  </si>
  <si>
    <t>MT</t>
  </si>
  <si>
    <t>BF Coke Rate</t>
  </si>
  <si>
    <t>Nut Coke rate</t>
  </si>
  <si>
    <t>CDI rate</t>
  </si>
  <si>
    <t>Overall ICC in Blend</t>
  </si>
  <si>
    <t>ICC in Coal Blend</t>
  </si>
  <si>
    <t>(COB#11)</t>
  </si>
  <si>
    <t>B.F.Coke Yield</t>
  </si>
  <si>
    <t>Gross Coal to Hot Metal Ratio</t>
  </si>
  <si>
    <t>Kg/ THM</t>
  </si>
  <si>
    <t xml:space="preserve">Hot Metal to Crude Steel </t>
  </si>
  <si>
    <t xml:space="preserve">Scrap consumption at SMS </t>
  </si>
  <si>
    <t xml:space="preserve">Mill yield </t>
  </si>
  <si>
    <t>KwH/TSS</t>
  </si>
  <si>
    <t xml:space="preserve">Sp. CO2 emission </t>
  </si>
  <si>
    <t>Sp. PM emissions</t>
  </si>
  <si>
    <t>T/M³/Day</t>
  </si>
  <si>
    <t>ENVIRONMENT CONTROL DEPARTMENT</t>
  </si>
  <si>
    <t>DETAIL DESPATCH (As per Finance CENVAT report)</t>
  </si>
  <si>
    <t>STEAM GENERATION</t>
  </si>
  <si>
    <t>Coke Ovens</t>
  </si>
  <si>
    <t>Losses</t>
  </si>
  <si>
    <t>MW</t>
  </si>
  <si>
    <t>MwH</t>
  </si>
  <si>
    <t xml:space="preserve">STG-1 </t>
  </si>
  <si>
    <t xml:space="preserve">STG-2 </t>
  </si>
  <si>
    <t xml:space="preserve">STG-3 </t>
  </si>
  <si>
    <t xml:space="preserve">BPTG </t>
  </si>
  <si>
    <t xml:space="preserve">TRTG </t>
  </si>
  <si>
    <t xml:space="preserve">Power Import from DVC </t>
  </si>
  <si>
    <t xml:space="preserve">Avg. Power Import </t>
  </si>
  <si>
    <t>Power Generation</t>
  </si>
  <si>
    <t>TOTAL POWER GENERATION</t>
  </si>
  <si>
    <t xml:space="preserve">STEAM GENERATION </t>
  </si>
  <si>
    <t>LDO CONSUMPTION</t>
  </si>
  <si>
    <t>KL</t>
  </si>
  <si>
    <t>Kcal/SM³</t>
  </si>
  <si>
    <t>Sp Heat Cons</t>
  </si>
  <si>
    <t>CBM CV</t>
  </si>
  <si>
    <t xml:space="preserve">LDO CV </t>
  </si>
  <si>
    <t>Kcal/Litre</t>
  </si>
  <si>
    <t>Kg</t>
  </si>
  <si>
    <t>HCl</t>
  </si>
  <si>
    <t xml:space="preserve">POWER AVAILABILITY </t>
  </si>
  <si>
    <t>000 NM³</t>
  </si>
  <si>
    <t xml:space="preserve">Liq Oxygen </t>
  </si>
  <si>
    <t xml:space="preserve">Gaseous Oxygen </t>
  </si>
  <si>
    <t xml:space="preserve">Liq Nitrogen </t>
  </si>
  <si>
    <t xml:space="preserve">Gaseous Nitrogen </t>
  </si>
  <si>
    <t xml:space="preserve">Liquid Argon </t>
  </si>
  <si>
    <t xml:space="preserve">Sp. Water consumption </t>
  </si>
  <si>
    <t xml:space="preserve">Sp. PM emissions </t>
  </si>
  <si>
    <t xml:space="preserve">BOF Slag utilisation </t>
  </si>
  <si>
    <t xml:space="preserve"> T/TCS</t>
  </si>
  <si>
    <t>kg/TCS</t>
  </si>
  <si>
    <t>OVERALL COKE &amp; COKE FRACTION YIELD</t>
  </si>
  <si>
    <t>Imported Coal in Blend (Wet)</t>
  </si>
  <si>
    <t>Fe</t>
  </si>
  <si>
    <t>FeO</t>
  </si>
  <si>
    <t>SiO2</t>
  </si>
  <si>
    <t>Al2O3</t>
  </si>
  <si>
    <t>CaO</t>
  </si>
  <si>
    <t>MgO</t>
  </si>
  <si>
    <t>Basicity</t>
  </si>
  <si>
    <t>SINTER QUALITY</t>
  </si>
  <si>
    <t xml:space="preserve">OVERALL SPECIFIC CONSUMPTION RATE </t>
  </si>
  <si>
    <t xml:space="preserve">Process Return Fines </t>
  </si>
  <si>
    <t xml:space="preserve">Capacity utilisation of rated capacity </t>
  </si>
  <si>
    <t>H.M to B.O.F</t>
  </si>
  <si>
    <t>H.M to P.C.M</t>
  </si>
  <si>
    <t>H.M to Sand Pit</t>
  </si>
  <si>
    <t xml:space="preserve">Deduced Operating days </t>
  </si>
  <si>
    <t>GROSS RAW MATERIALS CONSUMPTION</t>
  </si>
  <si>
    <t>NET RAW MATERIALS CONSUMPTION RATE (DRY BASIS)</t>
  </si>
  <si>
    <t>NET RAW MATERIALS CONSUMPTION (DRY)</t>
  </si>
  <si>
    <t>Gross Coke (i/c Return fines)-Dry</t>
  </si>
  <si>
    <t xml:space="preserve">BFG Consumption </t>
  </si>
  <si>
    <t xml:space="preserve">Caster Losses </t>
  </si>
  <si>
    <t>Caster #1+#2 (Total)</t>
  </si>
  <si>
    <t>Caster #1+#2 (Prime Length)</t>
  </si>
  <si>
    <t>Th Nm³</t>
  </si>
  <si>
    <t>BOF Slag Generation</t>
  </si>
  <si>
    <t>PBS-2 (NEW PLANT ZONE)</t>
  </si>
  <si>
    <t>TOTAL STG</t>
  </si>
  <si>
    <t>T/ Hr</t>
  </si>
  <si>
    <t>TOTAL POWER AVAILABILITY</t>
  </si>
  <si>
    <t>Avg. Power Availability</t>
  </si>
  <si>
    <t>ThSM³/ Hr</t>
  </si>
  <si>
    <t>BOF GAS CONSUMPTION</t>
  </si>
  <si>
    <t xml:space="preserve">BOF GAS BALANCE-EMD </t>
  </si>
  <si>
    <t>Sinter Plant</t>
  </si>
  <si>
    <t>GENERATION</t>
  </si>
  <si>
    <t>DISTRIBUTION</t>
  </si>
  <si>
    <t>Nos. / day</t>
  </si>
  <si>
    <t>*</t>
  </si>
  <si>
    <t xml:space="preserve">PBS </t>
  </si>
  <si>
    <t>Blower-Stm</t>
  </si>
  <si>
    <t>Loss</t>
  </si>
  <si>
    <t>STG Stm</t>
  </si>
  <si>
    <t>Power Steam Consumption</t>
  </si>
  <si>
    <t>Process Steam Consumption</t>
  </si>
  <si>
    <t>Total Steam Generation</t>
  </si>
  <si>
    <t>STEAM FOR DISTRIBUTION</t>
  </si>
  <si>
    <t>STEAM BALANCE</t>
  </si>
  <si>
    <t>TPH</t>
  </si>
  <si>
    <t>Power Generation PBS-1</t>
  </si>
  <si>
    <t>Power Import from DVC (Old Plant)</t>
  </si>
  <si>
    <t>Power Import from DVC (New Plant)</t>
  </si>
  <si>
    <t>Import from Break Generator</t>
  </si>
  <si>
    <t>Gross Power Availability</t>
  </si>
  <si>
    <t xml:space="preserve">Sinter Plant </t>
  </si>
  <si>
    <t xml:space="preserve">WRM </t>
  </si>
  <si>
    <t xml:space="preserve">BM </t>
  </si>
  <si>
    <t xml:space="preserve">USM </t>
  </si>
  <si>
    <t xml:space="preserve">Compd  Air Stn </t>
  </si>
  <si>
    <t>Transmission/ Distribution Loss &amp; Unaccounted (Old Plant)</t>
  </si>
  <si>
    <t>Transmission/ Distribution Loss &amp; Unaccounted (New Plant)</t>
  </si>
  <si>
    <t>Total Loss</t>
  </si>
  <si>
    <t>Overall Blend Coal Moisture</t>
  </si>
  <si>
    <t>Average Handling Loss</t>
  </si>
  <si>
    <t>CONVERTER BLOWS</t>
  </si>
  <si>
    <t>POWER DISTRIBUTION (KwH)</t>
  </si>
  <si>
    <t>POWER DISTRIBUTION (MW)</t>
  </si>
  <si>
    <t>Calender Days</t>
  </si>
  <si>
    <t>BF working days</t>
  </si>
  <si>
    <t>Gross</t>
  </si>
  <si>
    <t>COKE &amp; COKE FRACTION PRODUCTION (DRY BASIS)</t>
  </si>
  <si>
    <t>10⁶.Cal/ ts</t>
  </si>
  <si>
    <t xml:space="preserve">Crude Benzol </t>
  </si>
  <si>
    <t>Kg/Tdcc</t>
  </si>
  <si>
    <t>Yield of Coal Chemicals</t>
  </si>
  <si>
    <t>(NH4)₂SO4  (New Plant)</t>
  </si>
  <si>
    <t>TOTAL REFINED PRODUCTS</t>
  </si>
  <si>
    <t>Hrs/ day</t>
  </si>
  <si>
    <t>Rolling Hours/ day wrt Mill Avl days</t>
  </si>
  <si>
    <t>H-1</t>
  </si>
  <si>
    <t>SEMIS</t>
  </si>
  <si>
    <t>BF#5</t>
  </si>
  <si>
    <t>Caster #3 Bloom (Prime Length)</t>
  </si>
  <si>
    <t>Operation Power</t>
  </si>
  <si>
    <t>Avg Heats Cast per Day</t>
  </si>
  <si>
    <t>CBM Consumption (BOF-CCP)</t>
  </si>
  <si>
    <t>LIMESTONE/ BURNT LIME</t>
  </si>
  <si>
    <t>LIMESTONE TO LDCP</t>
  </si>
  <si>
    <t>RAW FINES GENERATION</t>
  </si>
  <si>
    <t>NET LIMESTONE CONSUMPTION</t>
  </si>
  <si>
    <t>BURNT LIME PRODUCTION</t>
  </si>
  <si>
    <t>BURNT LIME YIELD</t>
  </si>
  <si>
    <t>BURNT LIME REACTIVITY</t>
  </si>
  <si>
    <t>DOLOMITE/ BURNT DOLO</t>
  </si>
  <si>
    <t>DOLOMITE TO LDCP</t>
  </si>
  <si>
    <t>NET DOLOMITE CONSUMPTION</t>
  </si>
  <si>
    <t>BURNT DOLO YIELD</t>
  </si>
  <si>
    <t>BURNT DOLO REACTIVITY</t>
  </si>
  <si>
    <t>Raw L/St to LDCP/ TCS</t>
  </si>
  <si>
    <t>Kg/TCS</t>
  </si>
  <si>
    <t>Raw Dolo to LDCP/ TCS</t>
  </si>
  <si>
    <t>Parameters</t>
  </si>
  <si>
    <t>Range</t>
  </si>
  <si>
    <t>As per LDCP</t>
  </si>
  <si>
    <t xml:space="preserve">Avg. Cast Weight </t>
  </si>
  <si>
    <t>Mt/ Cast</t>
  </si>
  <si>
    <t>SEMIS (SECTION-WISE &amp; QUALITY-WISE)</t>
  </si>
  <si>
    <t>200 X 280 BLOOMS</t>
  </si>
  <si>
    <t>TOTAL 150 X 150 BLOOMS</t>
  </si>
  <si>
    <t>TOTAL 200 X 280 BLOOMS</t>
  </si>
  <si>
    <t>GRAND TOTAL SEMIS</t>
  </si>
  <si>
    <t>Bauxite</t>
  </si>
  <si>
    <t>Sp Ref Consumption</t>
  </si>
  <si>
    <t>Labour Productivity</t>
  </si>
  <si>
    <t>TCS/Man/Year</t>
  </si>
  <si>
    <t>Calcined Dolo</t>
  </si>
  <si>
    <t>SWR 14</t>
  </si>
  <si>
    <t>H-2</t>
  </si>
  <si>
    <t>T/Utlzn Hr</t>
  </si>
  <si>
    <t>Defective (Mktg)</t>
  </si>
  <si>
    <t>Average Manpower (Works)</t>
  </si>
  <si>
    <t xml:space="preserve">Flue Dust </t>
  </si>
  <si>
    <t>Avg Casts/ day</t>
  </si>
  <si>
    <t>Metallipop Sampler (Al/ Zr)</t>
  </si>
  <si>
    <t>Auxiliary &amp; Repair Shop</t>
  </si>
  <si>
    <t>000 NM³/ Hr</t>
  </si>
  <si>
    <t>Auxilliries *</t>
  </si>
  <si>
    <t>BURNT DOLO PRODUCTION</t>
  </si>
  <si>
    <t>GRANULATED SLAG SEGERGATED FROM EARLIER LOSS</t>
  </si>
  <si>
    <t>GROSS GRANULATED SLAG PRODUCTION (Excl Seggr)</t>
  </si>
  <si>
    <t xml:space="preserve">          CONV#2 UTILISATION</t>
  </si>
  <si>
    <t xml:space="preserve">          CONV#1 UTILISATION</t>
  </si>
  <si>
    <t xml:space="preserve">          CONV#3 UTILISATION</t>
  </si>
  <si>
    <t>CMO-WR MILL</t>
  </si>
  <si>
    <t>CMO-BAR MILL</t>
  </si>
  <si>
    <t>CMO-US MILL</t>
  </si>
  <si>
    <t>FeB</t>
  </si>
  <si>
    <t>FeCr</t>
  </si>
  <si>
    <t>Cu</t>
  </si>
  <si>
    <t xml:space="preserve">COG Cons </t>
  </si>
  <si>
    <t xml:space="preserve">BFG Cons </t>
  </si>
  <si>
    <t>Gross Sinter (i/c Return fines+Diverter Loss)-Dry</t>
  </si>
  <si>
    <t>BF Sinter return fines (Dry)</t>
  </si>
  <si>
    <t xml:space="preserve">          CASTER#1 UTILISATION</t>
  </si>
  <si>
    <t xml:space="preserve">          CASTER#2 UTILISATION</t>
  </si>
  <si>
    <t xml:space="preserve">          CASTER#3 UTILISATION</t>
  </si>
  <si>
    <t>LPG Consumption (CCP)</t>
  </si>
  <si>
    <t>Working days</t>
  </si>
  <si>
    <t xml:space="preserve">Return Coke fines (dry) to BMP </t>
  </si>
  <si>
    <t>BF Diverter Sinter (Dry)</t>
  </si>
  <si>
    <t>BF Return Sinter fines (dry) to BMP wrt Gross Sinter Supply (Skip BF+SMS Cons+Return fines+Diverter loss) (%)</t>
  </si>
  <si>
    <t>Diverter loss of Sinter at BF (Dry) wrt Gross Sinter Supply (skip BF+SMS+Return Fines+Diverter loss) (%)</t>
  </si>
  <si>
    <t>Power Generation PBS-2 (STG)+BPTG+TRTG</t>
  </si>
  <si>
    <t>Crude Steel</t>
  </si>
  <si>
    <t>50% of Pig Eq</t>
  </si>
  <si>
    <t>CS+50%Pig Eq</t>
  </si>
  <si>
    <t>Pig+Eq</t>
  </si>
  <si>
    <t>Sections</t>
  </si>
  <si>
    <t>STRUCTURAL SHOP</t>
  </si>
  <si>
    <t>Moisture in BF Return Sinter Fines</t>
  </si>
  <si>
    <t>Moisture in BF Return Coke Fines</t>
  </si>
  <si>
    <t>Moisture in BF Return Iron Ore Fines</t>
  </si>
  <si>
    <t>Iron ore return fines (wet) to BMP from BF#5 (Mt)-RMHP</t>
  </si>
  <si>
    <t>Iron ore return fines (Dry) to BMP from BF#5 (Mt)-RMHP</t>
  </si>
  <si>
    <t xml:space="preserve">Return Iron Ore  fines (dry) to BMP </t>
  </si>
  <si>
    <t>BOF Sludge</t>
  </si>
  <si>
    <t>BF Slag Generation</t>
  </si>
  <si>
    <t>BF Slag Utilisation</t>
  </si>
  <si>
    <t>BOF Slag Utilisation</t>
  </si>
  <si>
    <t xml:space="preserve">Net Gran Slag Production </t>
  </si>
  <si>
    <t xml:space="preserve">Total BF Slag Despatch </t>
  </si>
  <si>
    <t>BF Slag Boulder despatch as per CENVAT</t>
  </si>
  <si>
    <t>TOTAL Indigenous</t>
  </si>
  <si>
    <t>Gross Iron Ore Lump (i/c Return fines)-Dry</t>
  </si>
  <si>
    <t>ICC (LVHR)</t>
  </si>
  <si>
    <t>Heats Re-cycled+Dumped heat</t>
  </si>
  <si>
    <t>Electrode</t>
  </si>
  <si>
    <t>Burnt Fines Generation</t>
  </si>
  <si>
    <t>Burnt Fines %</t>
  </si>
  <si>
    <t>FeTi</t>
  </si>
  <si>
    <t>RI</t>
  </si>
  <si>
    <t>RDI</t>
  </si>
  <si>
    <t>BPTG Stm</t>
  </si>
  <si>
    <t xml:space="preserve">BURNT DOLO REACTIVITY </t>
  </si>
  <si>
    <t>CBM consumption</t>
  </si>
  <si>
    <t>M³/Hr</t>
  </si>
  <si>
    <t>Th SM³/ Hr</t>
  </si>
  <si>
    <t>Th.M3/hr</t>
  </si>
  <si>
    <t>US Soft</t>
  </si>
  <si>
    <t>2018-19</t>
  </si>
  <si>
    <t>TMT Bars</t>
  </si>
  <si>
    <t>TMT Coils</t>
  </si>
  <si>
    <t>#</t>
  </si>
  <si>
    <t>EXPORT WRM</t>
  </si>
  <si>
    <t>EXPORT BAR MILL</t>
  </si>
  <si>
    <t xml:space="preserve">RMHS </t>
  </si>
  <si>
    <t>Pig Iron</t>
  </si>
  <si>
    <t>QTR-1</t>
  </si>
  <si>
    <t>CASTER 1</t>
  </si>
  <si>
    <t>CASTER 2</t>
  </si>
  <si>
    <t>Q1</t>
  </si>
  <si>
    <t>IS: 2830/2012, C20MMn C</t>
  </si>
  <si>
    <t>IS: 7887/1992, 4//SWR-14</t>
  </si>
  <si>
    <t>200X280 BLOOM</t>
  </si>
  <si>
    <t>BB3</t>
  </si>
  <si>
    <t>COB #10 (Tonnes on wet basis)</t>
  </si>
  <si>
    <t>TOTAL COB #10+11 (Tonnes on wet basis)</t>
  </si>
  <si>
    <t>COKE OVENS (COB# 10)</t>
  </si>
  <si>
    <t>OVERALL COAL BLEND - (COB #10+11) (% on wet basis)</t>
  </si>
  <si>
    <t xml:space="preserve">2019-20 </t>
  </si>
  <si>
    <t>4 M</t>
  </si>
  <si>
    <t>OLD, USED &amp; REJECTED REFRACTORY BRICKS</t>
  </si>
  <si>
    <t>Total 200x280 Bloom</t>
  </si>
  <si>
    <t>Total BB2</t>
  </si>
  <si>
    <t>Total BB3</t>
  </si>
  <si>
    <t>ROAD CO-EFFICIENT (%)</t>
  </si>
  <si>
    <t>H1</t>
  </si>
  <si>
    <t>2 M</t>
  </si>
  <si>
    <t>QTR-2</t>
  </si>
  <si>
    <t>CMO-SEMIS</t>
  </si>
  <si>
    <t>QTR-3</t>
  </si>
  <si>
    <t>QTR-4</t>
  </si>
  <si>
    <t>IDLE ASSET</t>
  </si>
  <si>
    <t>WET BOILER ASH</t>
  </si>
  <si>
    <t xml:space="preserve">MECHANICAL ENGG SHOPS </t>
  </si>
  <si>
    <t>2019-20</t>
  </si>
  <si>
    <t>EXPORT US MILL</t>
  </si>
  <si>
    <t>H2</t>
  </si>
  <si>
    <t>LIQUID ARGON</t>
  </si>
  <si>
    <t>STEEL SCRAP</t>
  </si>
  <si>
    <t>Dolo (Trimming)</t>
  </si>
  <si>
    <t>SAIL TOWER Gr VI (NB)-Alk</t>
  </si>
  <si>
    <t>SAIL TOWER Gr VI (NB)-Sik</t>
  </si>
  <si>
    <t>Apr'20</t>
  </si>
  <si>
    <t>May'20</t>
  </si>
  <si>
    <t>2020-21</t>
  </si>
  <si>
    <t>Nos</t>
  </si>
  <si>
    <t>Overall Equiv. Ovens Pushed</t>
  </si>
  <si>
    <t>Finished Steel</t>
  </si>
  <si>
    <t xml:space="preserve">150x150 mm </t>
  </si>
  <si>
    <t>200x280 mm</t>
  </si>
  <si>
    <t>Saleable Semis</t>
  </si>
  <si>
    <t>Wire Rod Plain Coils</t>
  </si>
  <si>
    <t>Angles</t>
  </si>
  <si>
    <t>Semis</t>
  </si>
  <si>
    <t>Spillage sinter</t>
  </si>
  <si>
    <t>BY RAIL</t>
  </si>
  <si>
    <t>BY ROAD</t>
  </si>
  <si>
    <t>BY PRODUCT</t>
  </si>
  <si>
    <t>CRUDE COAL TAR</t>
  </si>
  <si>
    <t>Others</t>
  </si>
  <si>
    <t>BF GRANULATED SLAG</t>
  </si>
  <si>
    <t>NEPAL</t>
  </si>
  <si>
    <t>K#2</t>
  </si>
  <si>
    <t>K#3</t>
  </si>
  <si>
    <t>K#4</t>
  </si>
  <si>
    <t>55 MTR. BELT</t>
  </si>
  <si>
    <t>K#1</t>
  </si>
  <si>
    <t xml:space="preserve">Auxilliries </t>
  </si>
  <si>
    <t>Overall Mixed Coke Moisture</t>
  </si>
  <si>
    <t>FeV</t>
  </si>
  <si>
    <t>FeNb</t>
  </si>
  <si>
    <t>Oman Lime</t>
  </si>
  <si>
    <t>NFC</t>
  </si>
  <si>
    <t>Net PCI Production</t>
  </si>
  <si>
    <t>Total casts</t>
  </si>
  <si>
    <t>No</t>
  </si>
  <si>
    <t>Hot metal consumed in BOF</t>
  </si>
  <si>
    <t>TOTAL EQUIVALENT PIG IRON</t>
  </si>
  <si>
    <t>Nepal</t>
  </si>
  <si>
    <t>SAILTOWER-GR6-NB</t>
  </si>
  <si>
    <t>SAILTOWER-GR6-V</t>
  </si>
  <si>
    <t>SAILTOWER-GR6-NB (A)</t>
  </si>
  <si>
    <t>COKE DUST FINES</t>
  </si>
  <si>
    <t>IRON SCRAP</t>
  </si>
  <si>
    <t>PROCESSED CI SCRAP</t>
  </si>
  <si>
    <t>REFRACTORY</t>
  </si>
  <si>
    <t>OPERATION POWER(NEW)</t>
  </si>
  <si>
    <t>COB-11 ( CCHP,Battery, CDCP, BPP)</t>
  </si>
  <si>
    <t>Blast Furnace</t>
  </si>
  <si>
    <t>SMS(BOF, LF &amp; CCP)</t>
  </si>
  <si>
    <t>Oxygen Plant</t>
  </si>
  <si>
    <t>WTP (WMD)</t>
  </si>
  <si>
    <t>RSPH (NEW)</t>
  </si>
  <si>
    <t xml:space="preserve">New Plant Misc. Consu  </t>
  </si>
  <si>
    <t>OPERATION POWER(OLD)</t>
  </si>
  <si>
    <t>COB-10( CO operation, BPP &amp; Benzol plant)</t>
  </si>
  <si>
    <t>Old Iron zone operation(Excl. COB-10)</t>
  </si>
  <si>
    <t>old steel zone operation</t>
  </si>
  <si>
    <t xml:space="preserve">0.2* RSPH (OLD) </t>
  </si>
  <si>
    <t>TOTAL NON-OPERATION POWER</t>
  </si>
  <si>
    <t>NON-OPERATION POWER(NEW)</t>
  </si>
  <si>
    <t>PBS-2 Aux</t>
  </si>
  <si>
    <t>NON-OPERATION POWER(OLD)</t>
  </si>
  <si>
    <t>Old plant Non-operation (Excluding Township)</t>
  </si>
  <si>
    <t>Township</t>
  </si>
  <si>
    <t>0.8*RSPH (Old)</t>
  </si>
  <si>
    <t>PBS-1 Aux(Including RPH 2 contribution)</t>
  </si>
  <si>
    <t>TOTAL OPERATION POWER</t>
  </si>
  <si>
    <t>Old Plant/Auxiliries</t>
  </si>
  <si>
    <t>Sr. No.</t>
  </si>
  <si>
    <t>GROSS POWER AVAILABLE</t>
  </si>
  <si>
    <t>TOTAL LOSSES</t>
  </si>
  <si>
    <t>NET POWER AVAILABLE</t>
  </si>
  <si>
    <t>TOTAL POWER DISTRIBUTED</t>
  </si>
  <si>
    <t>4.1.1</t>
  </si>
  <si>
    <t>4.1.1.1</t>
  </si>
  <si>
    <t>4.1.1.2</t>
  </si>
  <si>
    <t>4.1.1.3</t>
  </si>
  <si>
    <t>4.1.1.4</t>
  </si>
  <si>
    <t>4.1.1.5</t>
  </si>
  <si>
    <t>4.1.1.6</t>
  </si>
  <si>
    <t>4.1.1.7</t>
  </si>
  <si>
    <t>PBS-1 Aux (Including RPH-2 contribution)</t>
  </si>
  <si>
    <t>4.1.1.8</t>
  </si>
  <si>
    <t xml:space="preserve">PBS-2 Aux. </t>
  </si>
  <si>
    <t>4.1.1.9</t>
  </si>
  <si>
    <t>4.1.1.10</t>
  </si>
  <si>
    <t>4.1.1.11</t>
  </si>
  <si>
    <t>Township(PBS-1, old steel zone &amp; old iron zone)</t>
  </si>
  <si>
    <t>4.1.1.12</t>
  </si>
  <si>
    <t>4.1.1.13</t>
  </si>
  <si>
    <t>RSPH (New + Old)</t>
  </si>
  <si>
    <t>4.1.1.14</t>
  </si>
  <si>
    <t>4.1.2</t>
  </si>
  <si>
    <t>4.1.2.1</t>
  </si>
  <si>
    <t>4.1.2.2</t>
  </si>
  <si>
    <t>4.1.2.3</t>
  </si>
  <si>
    <t>TOTAL CONSUMPTION (New + Old)</t>
  </si>
  <si>
    <t>4.2.1</t>
  </si>
  <si>
    <t>4.2.1.1</t>
  </si>
  <si>
    <t>4.2.2</t>
  </si>
  <si>
    <t>4.2.2.1</t>
  </si>
  <si>
    <t>4.2.2.2</t>
  </si>
  <si>
    <t>4.2.2.3</t>
  </si>
  <si>
    <t>4.2.2.4</t>
  </si>
  <si>
    <t>Power Cons-CCHP,Battery, CDCP, BPP</t>
  </si>
  <si>
    <t>Sp Power Cons-CCHP,Battery, CDCP, BPP</t>
  </si>
  <si>
    <t>Power Cons-(CO operation, BPP &amp; Benzol plant)</t>
  </si>
  <si>
    <t>Sp Power Cons-(CO operation, BPP &amp; Benzol plant)</t>
  </si>
  <si>
    <t>COKING COAL CONSUMPTION INC OF HANDLING LOSS</t>
  </si>
  <si>
    <t>Iron Ore Fines</t>
  </si>
  <si>
    <t>Dolomite</t>
  </si>
  <si>
    <t>Limestone</t>
  </si>
  <si>
    <t>LD Slag(-10mm)</t>
  </si>
  <si>
    <t>Flue Dust</t>
  </si>
  <si>
    <t>Trimming Dolomite SP</t>
  </si>
  <si>
    <t>Trimming Limestone SP</t>
  </si>
  <si>
    <t>Heating Coke (Dry)</t>
  </si>
  <si>
    <t>BF SLAG BOULDER</t>
  </si>
  <si>
    <t>BY PIPELINE</t>
  </si>
  <si>
    <t>OXYGEN GAS</t>
  </si>
  <si>
    <t>QTR 1</t>
  </si>
  <si>
    <t>Scrap Cu</t>
  </si>
  <si>
    <t>Oxygen enrichment %</t>
  </si>
  <si>
    <t>Scrap Generation (COBBLE/chop)</t>
  </si>
  <si>
    <t>Crop</t>
  </si>
  <si>
    <t>Scale</t>
  </si>
  <si>
    <t>Scrap Generation(Cobble+Chop)</t>
  </si>
  <si>
    <t xml:space="preserve"> Scales</t>
  </si>
  <si>
    <t xml:space="preserve">CRUDE STEEL PRODN </t>
  </si>
  <si>
    <t>Prime Scrap Charged - Mt</t>
  </si>
  <si>
    <t>Process Scrap Charged - Mt</t>
  </si>
  <si>
    <t xml:space="preserve"> CDCP and By product</t>
  </si>
  <si>
    <t>LDCP,CDI,MISC</t>
  </si>
  <si>
    <t>CCP,GPO</t>
  </si>
  <si>
    <t>WHIZZED NAPHTHALENE</t>
  </si>
  <si>
    <t>DISMANTLED MILD STEEL SCRAP</t>
  </si>
  <si>
    <t>Spl Steel of total Bar Mill Prod</t>
  </si>
  <si>
    <t>Spl Steel Production</t>
  </si>
  <si>
    <t>Spl Steel of total WR Mill Prod</t>
  </si>
  <si>
    <t>SMS Sinter consumption</t>
  </si>
  <si>
    <t xml:space="preserve">HM consumed in BOF  </t>
  </si>
  <si>
    <t>Scrap Consumption rate</t>
  </si>
  <si>
    <t>% of Mill Arisings</t>
  </si>
  <si>
    <t>REJECTIONS</t>
  </si>
  <si>
    <t>PRIME Production</t>
  </si>
  <si>
    <t>Total Rejections</t>
  </si>
  <si>
    <t xml:space="preserve">Total Mill Arisings </t>
  </si>
  <si>
    <t>Material Balance</t>
  </si>
  <si>
    <t>Charged wt</t>
  </si>
  <si>
    <t>Rejections</t>
  </si>
  <si>
    <t>prime production</t>
  </si>
  <si>
    <t>Yield weight/ Production</t>
  </si>
  <si>
    <t>Yield weight/Production</t>
  </si>
  <si>
    <t>Mill Arisings/scrap generation (Cobble/chop/crop)</t>
  </si>
  <si>
    <t>Mill Arisings/ Scrap generation (Cobble/chop/crop)</t>
  </si>
  <si>
    <t>5 M</t>
  </si>
  <si>
    <t>DISMANTLED CAST IRON SCRAP</t>
  </si>
  <si>
    <t>LCFeMn</t>
  </si>
  <si>
    <t>QTR 2</t>
  </si>
  <si>
    <t>BF Coke Yield</t>
  </si>
  <si>
    <t>Equivalent Dry Coal</t>
  </si>
  <si>
    <t>Equivalent Wet Coal</t>
  </si>
  <si>
    <t>Handling Loss</t>
  </si>
  <si>
    <t>BOKARO</t>
  </si>
  <si>
    <t>DURGAPUR</t>
  </si>
  <si>
    <t>BILLET IS7904 HCT1130Cr (PC115)</t>
  </si>
  <si>
    <t xml:space="preserve">NET CHARGE WEIGHT </t>
  </si>
  <si>
    <t>Al wire +bar</t>
  </si>
  <si>
    <t>Spl Steel of total US Mill Prod</t>
  </si>
  <si>
    <t>Grade</t>
  </si>
  <si>
    <t>sectional wt</t>
  </si>
  <si>
    <t>IPE300</t>
  </si>
  <si>
    <t>IPE400</t>
  </si>
  <si>
    <t>IPE400A</t>
  </si>
  <si>
    <t>IPE500</t>
  </si>
  <si>
    <t xml:space="preserve">IPE600 </t>
  </si>
  <si>
    <t xml:space="preserve">32 mm TMT </t>
  </si>
  <si>
    <t xml:space="preserve">40 mm TMT </t>
  </si>
  <si>
    <t xml:space="preserve">20 mm TMT </t>
  </si>
  <si>
    <t xml:space="preserve">16 mm TMT </t>
  </si>
  <si>
    <t xml:space="preserve">12 mm TMT </t>
  </si>
  <si>
    <t xml:space="preserve">10 mm TMT </t>
  </si>
  <si>
    <t xml:space="preserve">8 mm TMT </t>
  </si>
  <si>
    <t>Fe-500D SEQR</t>
  </si>
  <si>
    <t xml:space="preserve">22 mm Plain Coil </t>
  </si>
  <si>
    <t xml:space="preserve">16 mm Plain Coil </t>
  </si>
  <si>
    <t xml:space="preserve">12 mm Plain Coil </t>
  </si>
  <si>
    <t xml:space="preserve">10 mm Plain Coil </t>
  </si>
  <si>
    <t xml:space="preserve">8 mm Plain Coil </t>
  </si>
  <si>
    <t xml:space="preserve">7 mm Plain Coil </t>
  </si>
  <si>
    <t xml:space="preserve">6 mm Plain Coil </t>
  </si>
  <si>
    <t xml:space="preserve">5.5 mm Plain Coil </t>
  </si>
  <si>
    <t xml:space="preserve">8 mm TMT Coil </t>
  </si>
  <si>
    <t>EWNR</t>
  </si>
  <si>
    <t>MIG</t>
  </si>
  <si>
    <t>Fe-500D</t>
  </si>
  <si>
    <t>Fe-500D SeQR</t>
  </si>
  <si>
    <t xml:space="preserve">14 mm Plain Coil </t>
  </si>
  <si>
    <t>EN8D</t>
  </si>
  <si>
    <t>Total Fe-Mn</t>
  </si>
  <si>
    <t>COPPER SCRAP</t>
  </si>
  <si>
    <t xml:space="preserve">20 mm Plain Coil </t>
  </si>
  <si>
    <t>HC62 B</t>
  </si>
  <si>
    <t>IS7904/HCT1130CR PC115</t>
  </si>
  <si>
    <t>Fe-550D</t>
  </si>
  <si>
    <t xml:space="preserve">IPE-300 </t>
  </si>
  <si>
    <t xml:space="preserve">IPE-400 </t>
  </si>
  <si>
    <t xml:space="preserve">IPE-450 </t>
  </si>
  <si>
    <t xml:space="preserve">IPE-450 A </t>
  </si>
  <si>
    <t xml:space="preserve">IPE-500 </t>
  </si>
  <si>
    <t xml:space="preserve">IPE-600 </t>
  </si>
  <si>
    <t xml:space="preserve">Angle 150 / 150 / 12 </t>
  </si>
  <si>
    <t>IS 2062 E350 BR-150/7.1/42.24</t>
  </si>
  <si>
    <t>IS 2062 E250 BR-150/7.1/42.24</t>
  </si>
  <si>
    <t>IS 2062 E350 BR-180/7/57.38</t>
  </si>
  <si>
    <t>IS 2062 E250 BR-190/ 9.4/77.57</t>
  </si>
  <si>
    <t>IS 2062 E350 BR-200/10.2/90.68</t>
  </si>
  <si>
    <t>IS 2062 E350 BR-220/12/122.45</t>
  </si>
  <si>
    <t>IPE-500 A</t>
  </si>
  <si>
    <t>IS 2062 E350 BR</t>
  </si>
  <si>
    <t>IS 2062 E250 BR</t>
  </si>
  <si>
    <t>HC52 B</t>
  </si>
  <si>
    <t>IS7887GR7M/SAE1018 AlK</t>
  </si>
  <si>
    <t>IS7887GR4/SAE1010/SWR 14 AlK</t>
  </si>
  <si>
    <t>IS7887GR7M/SAE1018</t>
  </si>
  <si>
    <t>IS 7887GR3 SWR10/SAE 1008</t>
  </si>
  <si>
    <t>IPE300O</t>
  </si>
  <si>
    <t>Rejected IPE 300</t>
  </si>
  <si>
    <t>Rejected IPE 400</t>
  </si>
  <si>
    <t>USED &amp; REJECTED REFRACTORY SCRAPS</t>
  </si>
  <si>
    <t>HC78 B</t>
  </si>
  <si>
    <t>IS 2062 E250 BR-190 7.6/67.15</t>
  </si>
  <si>
    <t>IS 2062 E250 BR-220/12/122.45</t>
  </si>
  <si>
    <t>9 M</t>
  </si>
  <si>
    <t>EN8D Cr</t>
  </si>
  <si>
    <t>IPE450</t>
  </si>
  <si>
    <t>IS 2062 E250 BR-200/10.2/90.68</t>
  </si>
  <si>
    <t>HC78B/PC115/HCT1130Cr</t>
  </si>
  <si>
    <t>Moisture On HL</t>
  </si>
  <si>
    <t>Wet Consumption</t>
  </si>
  <si>
    <t>Nut coke</t>
  </si>
  <si>
    <t>LD Slag</t>
  </si>
  <si>
    <t>Finance calculation</t>
  </si>
  <si>
    <t>Handling loss</t>
  </si>
  <si>
    <t>kg/Tsinter</t>
  </si>
  <si>
    <t>Iron Ore Fines (dry)</t>
  </si>
  <si>
    <t>Return iron ore fines</t>
  </si>
  <si>
    <t>IOF Moisture</t>
  </si>
  <si>
    <t>IOL Moisture</t>
  </si>
  <si>
    <t>Total Iron ore fines purchased</t>
  </si>
  <si>
    <t>BASE MIX INPUT FOR SINTER PLANT WET (Mt)</t>
  </si>
  <si>
    <t>BASE MIX INPUT FOR SINTER PLANT WET (Kg/T)</t>
  </si>
  <si>
    <t>SINTER PLANT INPUT WET (Mt)</t>
  </si>
  <si>
    <t>SINTER PLANT INPUT WET (Kg/T)</t>
  </si>
  <si>
    <t>Channels</t>
  </si>
  <si>
    <t>ISMC300</t>
  </si>
  <si>
    <t>Rejected ISMC300</t>
  </si>
  <si>
    <t>CHANNEL 300*90*7.8</t>
  </si>
  <si>
    <t>DISMANTLED RUSTED MILD STEEL SHEETS</t>
  </si>
  <si>
    <t>ISPEXPT10</t>
  </si>
  <si>
    <t>IS: 2830/2012, C20MMn A (Cu)</t>
  </si>
  <si>
    <t>2021-22</t>
  </si>
  <si>
    <t>E350</t>
  </si>
  <si>
    <t>WPB 240*240*83.20</t>
  </si>
  <si>
    <t xml:space="preserve">28 mm TMT </t>
  </si>
  <si>
    <t xml:space="preserve">EN8D </t>
  </si>
  <si>
    <t>E250A</t>
  </si>
  <si>
    <t>28 mm TMT</t>
  </si>
  <si>
    <t>PROCESSED 0-10 MM LD SLAG</t>
  </si>
  <si>
    <t>NON FERROUS</t>
  </si>
  <si>
    <t>BHILAI</t>
  </si>
  <si>
    <t>Hot Metal Production</t>
  </si>
  <si>
    <t>BF Coke Requirement (Dry)</t>
  </si>
  <si>
    <t>Nut Coke Requirement (Dry)</t>
  </si>
  <si>
    <t>BF Return Fines (Dry)</t>
  </si>
  <si>
    <t>Total  Coke Requirment</t>
  </si>
  <si>
    <t xml:space="preserve">Heating Coke </t>
  </si>
  <si>
    <t>CDI Coal Requirment</t>
  </si>
  <si>
    <t>Total Coal Requirment</t>
  </si>
  <si>
    <t xml:space="preserve">Coal to HM </t>
  </si>
  <si>
    <t>Mill</t>
  </si>
  <si>
    <t>April'21</t>
  </si>
  <si>
    <t>Total WR Mill</t>
  </si>
  <si>
    <t>Total Bar Mill</t>
  </si>
  <si>
    <t xml:space="preserve">Total US Mill </t>
  </si>
  <si>
    <t>SAE 1006 / GR 2</t>
  </si>
  <si>
    <t>HC 38B</t>
  </si>
  <si>
    <t>SAE 1008 / GR 3 / SWR 10</t>
  </si>
  <si>
    <t>HC 62B</t>
  </si>
  <si>
    <t>HC 52B</t>
  </si>
  <si>
    <t>HC 72B</t>
  </si>
  <si>
    <t>HC 82B</t>
  </si>
  <si>
    <t>SAE 1018 / GR 7</t>
  </si>
  <si>
    <t xml:space="preserve">150 Billets </t>
  </si>
  <si>
    <t xml:space="preserve">200 Blooms </t>
  </si>
  <si>
    <t>Special Salebale Steel</t>
  </si>
  <si>
    <t>% Special Salebale Steel</t>
  </si>
  <si>
    <t xml:space="preserve">% </t>
  </si>
  <si>
    <t>MILL</t>
  </si>
  <si>
    <t>BAR Mill</t>
  </si>
  <si>
    <t xml:space="preserve">Total SEQR </t>
  </si>
  <si>
    <t>Production</t>
  </si>
  <si>
    <t xml:space="preserve">Dispatch </t>
  </si>
  <si>
    <t>May'21</t>
  </si>
  <si>
    <t>HC 80B</t>
  </si>
  <si>
    <t>SAIL Tower</t>
  </si>
  <si>
    <t xml:space="preserve">SAE 1010 </t>
  </si>
  <si>
    <t>Jun'21</t>
  </si>
  <si>
    <t>PIG IRON MIXED MOG</t>
  </si>
  <si>
    <t>Trimming Coke Breeze SP</t>
  </si>
  <si>
    <t>Th. NM³/Hr</t>
  </si>
  <si>
    <t>Th.NM3/Hr</t>
  </si>
  <si>
    <t>HC38 B</t>
  </si>
  <si>
    <t>IS 2062 E250 BR-180/7/57.38</t>
  </si>
  <si>
    <t>COAL TO HOT METAL RATIO</t>
  </si>
  <si>
    <t>SEQR PRODUCTION AND DISPATCH</t>
  </si>
  <si>
    <t>Jul'21</t>
  </si>
  <si>
    <t>AWSA5.18ER70S-6(MIG)</t>
  </si>
  <si>
    <t xml:space="preserve">6.5 mm Plain Coil </t>
  </si>
  <si>
    <t>Fe-500D HCR</t>
  </si>
  <si>
    <t>Fe-550D HCR</t>
  </si>
  <si>
    <t>JIS G3131 SPHC</t>
  </si>
  <si>
    <t>BF Return Sinter fines</t>
  </si>
  <si>
    <t>BF Return Coke fines</t>
  </si>
  <si>
    <t>BF Return Iron ore fines</t>
  </si>
  <si>
    <t>6.5 mm Plain Coil</t>
  </si>
  <si>
    <t>Fe 500 D/HCR</t>
  </si>
  <si>
    <t>E250</t>
  </si>
  <si>
    <t>Rejected IPE 450</t>
  </si>
  <si>
    <t>BOBS</t>
  </si>
  <si>
    <t>BOXN</t>
  </si>
  <si>
    <t>GUA</t>
  </si>
  <si>
    <t>BOLANI</t>
  </si>
  <si>
    <t>DALGAON</t>
  </si>
  <si>
    <t>RSMML</t>
  </si>
  <si>
    <t>IMPORTED</t>
  </si>
  <si>
    <t>PCC</t>
  </si>
  <si>
    <t>Aug'21</t>
  </si>
  <si>
    <t xml:space="preserve">JIS G3101 400 </t>
  </si>
  <si>
    <t>Fines</t>
  </si>
  <si>
    <t>Pure Calcium</t>
  </si>
  <si>
    <t>Consumption at RMHP</t>
  </si>
  <si>
    <t>Consumption at BF</t>
  </si>
  <si>
    <t>16 mm</t>
  </si>
  <si>
    <t>12 mm</t>
  </si>
  <si>
    <t xml:space="preserve">10 mm </t>
  </si>
  <si>
    <t>7 mm</t>
  </si>
  <si>
    <t>8 mm</t>
  </si>
  <si>
    <t>6.5 mm</t>
  </si>
  <si>
    <t>6 mm</t>
  </si>
  <si>
    <t xml:space="preserve">5.5 mm </t>
  </si>
  <si>
    <t>SAE 1010/ GR 4/ SWR 14 Al Killed</t>
  </si>
  <si>
    <t>SAE 1018 / GR 7 Al Killed</t>
  </si>
  <si>
    <t xml:space="preserve">Saleable Steel Production </t>
  </si>
  <si>
    <t>Total Billets 150X150</t>
  </si>
  <si>
    <t>Total Blooms 200X280</t>
  </si>
  <si>
    <t>Fe-500 D/ EQR</t>
  </si>
  <si>
    <t>Fe-550 D/ EQR</t>
  </si>
  <si>
    <t>Fe-550 D/ HCR</t>
  </si>
  <si>
    <t>Dispatch via secondary sales</t>
  </si>
  <si>
    <t>12 mm Plain Coil</t>
  </si>
  <si>
    <t>40 mm</t>
  </si>
  <si>
    <t>32 mm</t>
  </si>
  <si>
    <t>Sp. Productivity</t>
  </si>
  <si>
    <t>Sp. Power</t>
  </si>
  <si>
    <t xml:space="preserve">COB#10           </t>
  </si>
  <si>
    <t xml:space="preserve">                      M40 </t>
  </si>
  <si>
    <t>CSR</t>
  </si>
  <si>
    <t>CRI</t>
  </si>
  <si>
    <t xml:space="preserve">COB#11  </t>
  </si>
  <si>
    <t xml:space="preserve">                               M40 </t>
  </si>
  <si>
    <t>Hot Blast Temp</t>
  </si>
  <si>
    <t>Slag Rate</t>
  </si>
  <si>
    <t>Cast Weight</t>
  </si>
  <si>
    <t>T/ Cast</t>
  </si>
  <si>
    <t>Utilization</t>
  </si>
  <si>
    <t>Yield</t>
  </si>
  <si>
    <t>BLAST FURNACE</t>
  </si>
  <si>
    <t>SMS</t>
  </si>
  <si>
    <t>MILLS</t>
  </si>
  <si>
    <t>ENERGY &amp; POWER</t>
  </si>
  <si>
    <t>ENVIRONMENT</t>
  </si>
  <si>
    <t>LABOR PRODUCTIVITY</t>
  </si>
  <si>
    <t>DEPARTMENTS</t>
  </si>
  <si>
    <t>Downgraded</t>
  </si>
  <si>
    <t>E250 A</t>
  </si>
  <si>
    <t>Sep'21</t>
  </si>
  <si>
    <t>ISMC250</t>
  </si>
  <si>
    <t>IPE450 A</t>
  </si>
  <si>
    <t>IS 2830C25HMN MA V55</t>
  </si>
  <si>
    <t>IS 2830C25HMN MA V65</t>
  </si>
  <si>
    <t>CHANNEL 250*82*9</t>
  </si>
  <si>
    <t xml:space="preserve">IS 2830C25HMN MA V55 </t>
  </si>
  <si>
    <t>BB1 IS: 2062/2011; E250C</t>
  </si>
  <si>
    <t>BB1</t>
  </si>
  <si>
    <t>Total BB1</t>
  </si>
  <si>
    <t>JOIST SCRAP</t>
  </si>
  <si>
    <t>NARROW PARALLEL BEAM SCRAP</t>
  </si>
  <si>
    <t>WIDE PARALLEL BEAM SCRAP</t>
  </si>
  <si>
    <t>REJECTED TMT BAR SCRAP</t>
  </si>
  <si>
    <t>INTERNAL CONSUMPTION</t>
  </si>
  <si>
    <t>END CUT &amp; ARISINGS SCRAP OF WRM &amp; BM</t>
  </si>
  <si>
    <t>TOTAL INTERNAL CONSUMPTION</t>
  </si>
  <si>
    <r>
      <t>(NH4)</t>
    </r>
    <r>
      <rPr>
        <sz val="12"/>
        <rFont val="Calibri"/>
        <family val="2"/>
      </rPr>
      <t>₂</t>
    </r>
    <r>
      <rPr>
        <sz val="12"/>
        <rFont val="Times New Roman"/>
        <family val="1"/>
      </rPr>
      <t>SO4 (Existing Plant)</t>
    </r>
  </si>
  <si>
    <r>
      <t>Total (NH4)</t>
    </r>
    <r>
      <rPr>
        <b/>
        <sz val="12"/>
        <rFont val="Calibri"/>
        <family val="2"/>
      </rPr>
      <t>₂</t>
    </r>
    <r>
      <rPr>
        <b/>
        <sz val="12"/>
        <rFont val="Times New Roman"/>
        <family val="1"/>
      </rPr>
      <t>SO4</t>
    </r>
  </si>
  <si>
    <r>
      <t>10</t>
    </r>
    <r>
      <rPr>
        <sz val="11"/>
        <rFont val="Calibri"/>
        <family val="2"/>
      </rPr>
      <t>⁶</t>
    </r>
    <r>
      <rPr>
        <sz val="11"/>
        <rFont val="Times New Roman"/>
        <family val="1"/>
      </rPr>
      <t xml:space="preserve"> k.cal/t</t>
    </r>
  </si>
  <si>
    <t>Short length (&lt;6 m)</t>
  </si>
  <si>
    <r>
      <t xml:space="preserve">BF Diverter Sinter (Wet)- </t>
    </r>
    <r>
      <rPr>
        <b/>
        <sz val="11"/>
        <rFont val="Times New Roman"/>
        <family val="1"/>
      </rPr>
      <t>As per Sinter Plant</t>
    </r>
  </si>
  <si>
    <r>
      <t>10</t>
    </r>
    <r>
      <rPr>
        <sz val="11"/>
        <rFont val="Calibri"/>
        <family val="2"/>
      </rPr>
      <t>⁶</t>
    </r>
    <r>
      <rPr>
        <sz val="11"/>
        <rFont val="Times New Roman"/>
        <family val="1"/>
      </rPr>
      <t xml:space="preserve"> K.Cal/tcw</t>
    </r>
  </si>
  <si>
    <t>POWER &amp; BLOWING STATION</t>
  </si>
  <si>
    <r>
      <t>000Sm</t>
    </r>
    <r>
      <rPr>
        <sz val="11"/>
        <rFont val="Calibri"/>
        <family val="2"/>
      </rPr>
      <t>³</t>
    </r>
  </si>
  <si>
    <t>Oct'21</t>
  </si>
  <si>
    <t>7 M</t>
  </si>
  <si>
    <t>CAST HOUSE DEBRIS</t>
  </si>
  <si>
    <t xml:space="preserve">22 mm </t>
  </si>
  <si>
    <t>IS2830C15HMNALKNB15</t>
  </si>
  <si>
    <t>High Carbon grades Production</t>
  </si>
  <si>
    <t>HE200*200</t>
  </si>
  <si>
    <t>HE200A</t>
  </si>
  <si>
    <t xml:space="preserve">IS2830 C18MMNC-ALK </t>
  </si>
  <si>
    <t>check point</t>
  </si>
  <si>
    <t>DIRECT SALES/INTERNAL CONSUMPTION/IPT DETAILS</t>
  </si>
  <si>
    <r>
      <t xml:space="preserve">INTER PLANT TRANSFER </t>
    </r>
    <r>
      <rPr>
        <b/>
        <sz val="20"/>
        <color rgb="FFFF6699"/>
        <rFont val="Times New Roman"/>
        <family val="1"/>
      </rPr>
      <t>(OUTGOING)</t>
    </r>
    <r>
      <rPr>
        <b/>
        <sz val="20"/>
        <rFont val="Times New Roman"/>
        <family val="1"/>
      </rPr>
      <t>:</t>
    </r>
  </si>
  <si>
    <t>ALLOY STEELS PLANT</t>
  </si>
  <si>
    <t>SAIL GROWTH WORKS, KULTI</t>
  </si>
  <si>
    <t>LIQUID ARGON (ASP)</t>
  </si>
  <si>
    <r>
      <t xml:space="preserve">INTER PLANT TRANSFER </t>
    </r>
    <r>
      <rPr>
        <b/>
        <sz val="20"/>
        <color rgb="FFFF6699"/>
        <rFont val="Times New Roman"/>
        <family val="1"/>
      </rPr>
      <t>(INCOMING)</t>
    </r>
    <r>
      <rPr>
        <b/>
        <sz val="20"/>
        <rFont val="Times New Roman"/>
        <family val="1"/>
      </rPr>
      <t>:</t>
    </r>
  </si>
  <si>
    <t>CHANDRAPUR FERRO ALLOY PLANT</t>
  </si>
  <si>
    <t>16 mm TMT (Fe-500D)</t>
  </si>
  <si>
    <t>SAIL TOWER 6- V</t>
  </si>
  <si>
    <t>USED &amp; REJECTED EMPTY BAGS</t>
  </si>
  <si>
    <t>Consideration in internal consumption</t>
  </si>
  <si>
    <t>SAIL TOWER Gr VI (V)-Alk</t>
  </si>
  <si>
    <t>SAE 1008 / GR 3 / SWR 10 AlK</t>
  </si>
  <si>
    <t>8 mm WRC</t>
  </si>
  <si>
    <t>8 mm TMTC</t>
  </si>
  <si>
    <t>Fe-600 D</t>
  </si>
  <si>
    <t>REJECTED CHANNEL SCRAP</t>
  </si>
  <si>
    <t>BISRA</t>
  </si>
  <si>
    <t>10-50 mm consumption in SMS</t>
  </si>
  <si>
    <t>Civil road building</t>
  </si>
  <si>
    <t>USED &amp; REJECTED BATTERIES</t>
  </si>
  <si>
    <t>7 WRC HC82B</t>
  </si>
  <si>
    <t>WPB 200*200*37.34</t>
  </si>
  <si>
    <t>CB 45 C8</t>
  </si>
  <si>
    <t>BLOOM CB IS2830C20MMNC 200*280- Bhilai</t>
  </si>
  <si>
    <t>HC 68B</t>
  </si>
  <si>
    <t>SAE 1010/ GR 4/ SWR 14</t>
  </si>
  <si>
    <t>Sodium Hypochloride(Mat. Code: 35410701000108)</t>
  </si>
  <si>
    <t>OTHER TECHNO-ECONOMIC PARAMETERS</t>
  </si>
  <si>
    <t>HC 78B</t>
  </si>
  <si>
    <t>IS7904/HCT1130CR(PC) "PC115"</t>
  </si>
  <si>
    <t>Bar  MILL</t>
  </si>
  <si>
    <t>US  MILL</t>
  </si>
  <si>
    <t>DESPATCH SHEET CROSSCHECK</t>
  </si>
  <si>
    <t>Slag Reducer</t>
  </si>
  <si>
    <t>Fe-550 D/ SEQR</t>
  </si>
  <si>
    <t>Rejected WPB 200</t>
  </si>
  <si>
    <t>Fe-550 D SEQR</t>
  </si>
  <si>
    <t>TMT BARS</t>
  </si>
  <si>
    <t xml:space="preserve">IS7887GR4/SAE1010/SWR 14 </t>
  </si>
  <si>
    <t>HC82 B</t>
  </si>
  <si>
    <t>IS7887GR4/SAE1010/SWR 14</t>
  </si>
  <si>
    <t>GR 2/SAE1006</t>
  </si>
  <si>
    <t>IS 7887GR3 SWR10/SAE 1008 AlK</t>
  </si>
  <si>
    <t>HC72 B</t>
  </si>
  <si>
    <t>HC68 B</t>
  </si>
  <si>
    <t>EWNR/ IS 2879</t>
  </si>
  <si>
    <t>available for distribution is same as total actual distribution</t>
  </si>
  <si>
    <t>generation is same as ABP sheet</t>
  </si>
  <si>
    <t>net available for distribution is same as ABP sheet</t>
  </si>
  <si>
    <t>total actual distribution is same as ABP sheet</t>
  </si>
  <si>
    <t>M3/TCS</t>
  </si>
  <si>
    <t>T/TCS</t>
  </si>
  <si>
    <t>Saleable production</t>
  </si>
  <si>
    <t>Caustic</t>
  </si>
  <si>
    <t>Hydrazine</t>
  </si>
  <si>
    <t>Ammonia</t>
  </si>
  <si>
    <t>TSP</t>
  </si>
  <si>
    <t>Ferric Chloride</t>
  </si>
  <si>
    <t>Hydrated Lime</t>
  </si>
  <si>
    <t>SMBS</t>
  </si>
  <si>
    <t>ANTISCALANT</t>
  </si>
  <si>
    <t>POLY</t>
  </si>
  <si>
    <t>MT(100% Basis)</t>
  </si>
  <si>
    <t>LTR</t>
  </si>
  <si>
    <t>Marketing</t>
  </si>
  <si>
    <t>Land filling</t>
  </si>
  <si>
    <r>
      <t>10</t>
    </r>
    <r>
      <rPr>
        <sz val="11"/>
        <color theme="1"/>
        <rFont val="Calibri"/>
        <family val="2"/>
      </rPr>
      <t>⁶</t>
    </r>
    <r>
      <rPr>
        <sz val="11"/>
        <color theme="1"/>
        <rFont val="Times New Roman"/>
        <family val="1"/>
      </rPr>
      <t>.K.Cal/T</t>
    </r>
  </si>
  <si>
    <t>NPB</t>
  </si>
  <si>
    <t>WPB</t>
  </si>
  <si>
    <t>Saleable production Plan: 2410000 (1500 T has been kept in plan for Internal consumption)</t>
  </si>
  <si>
    <t>Saleable production Plan: 201135 (200 T has been kept in plan for Internal consumption)</t>
  </si>
  <si>
    <t xml:space="preserve">EXPORT </t>
  </si>
  <si>
    <r>
      <rPr>
        <b/>
        <sz val="11"/>
        <rFont val="Times New Roman"/>
        <family val="1"/>
      </rPr>
      <t>MKTG</t>
    </r>
    <r>
      <rPr>
        <sz val="11"/>
        <rFont val="Times New Roman"/>
        <family val="1"/>
      </rPr>
      <t>-Plant sales</t>
    </r>
  </si>
  <si>
    <t>Jamadoba</t>
  </si>
  <si>
    <t>BF Return IOF</t>
  </si>
  <si>
    <t>TH Screened IOF</t>
  </si>
  <si>
    <t>Undersize Limestone</t>
  </si>
  <si>
    <t>Undersize Dolomite</t>
  </si>
  <si>
    <t xml:space="preserve">8 TMT 550D </t>
  </si>
  <si>
    <t xml:space="preserve">8 TMTC 550D </t>
  </si>
  <si>
    <t>10 TMT 550D</t>
  </si>
  <si>
    <t>12 TMT 550D</t>
  </si>
  <si>
    <t>16 TMT 550D</t>
  </si>
  <si>
    <t>WPB 300*300*117.03</t>
  </si>
  <si>
    <t>Caster #3 Beam Blank 1 (Prime Length)</t>
  </si>
  <si>
    <t>Caster #3 Beam Blank 2 (Prime Length)</t>
  </si>
  <si>
    <t>Caster #3 Beam Blank 3 (Prime Length)</t>
  </si>
  <si>
    <t>Diverted Sinter Fines</t>
  </si>
  <si>
    <t>HE300</t>
  </si>
  <si>
    <t>Rejected WPB 300</t>
  </si>
  <si>
    <t>FERRO VANADIUM</t>
  </si>
  <si>
    <t>BF Gran Slag Despatch as per CENVAT</t>
  </si>
  <si>
    <t>BILLET IS: 2879 EWNR (ELECTRODE QUALITY)</t>
  </si>
  <si>
    <t>BILLET SAE1010-SiK</t>
  </si>
  <si>
    <t>BILLET SAE-1006-Sik</t>
  </si>
  <si>
    <t>BILLET SAE-1008-AlK</t>
  </si>
  <si>
    <t>BLOOM CB SAILTOWER6 NB 150*150</t>
  </si>
  <si>
    <t>BLOOM CB SAILTOWER6 V 150*150</t>
  </si>
  <si>
    <t>BILLET CC ISPEXPT10 150*150</t>
  </si>
  <si>
    <t>BILLET IS: 2830/2012; C20MMn C</t>
  </si>
  <si>
    <t>BLOOM CB IS2830C25HMN 150*150</t>
  </si>
  <si>
    <t>BLOOM CB IS2830C20MMNA 150*150</t>
  </si>
  <si>
    <t>BLOOM CB SWR 14 200*280</t>
  </si>
  <si>
    <t>BLOOM CB SAILTOWER6 NB 200*280</t>
  </si>
  <si>
    <t>BB2 IS: 2062/2011; E350C (V)</t>
  </si>
  <si>
    <t>BB2 IS: 2062/2011; E350C</t>
  </si>
  <si>
    <t>BB2 IS: 2062/2011; E250C</t>
  </si>
  <si>
    <t>RAKE</t>
  </si>
  <si>
    <t>TON</t>
  </si>
  <si>
    <t>I O L</t>
  </si>
  <si>
    <t>MBR/OTHER</t>
  </si>
  <si>
    <t>I O F</t>
  </si>
  <si>
    <t>LIMESTONE(SMS)</t>
  </si>
  <si>
    <t>LIMESTONE(SP)</t>
  </si>
  <si>
    <t>DOLOMITE(SP)</t>
  </si>
  <si>
    <t>BISRA(LUMP)</t>
  </si>
  <si>
    <t>BISRA(FINES)</t>
  </si>
  <si>
    <t>NAGPUR</t>
  </si>
  <si>
    <t>BSP-HIRRI</t>
  </si>
  <si>
    <t>DOLOMITE(SMS)</t>
  </si>
  <si>
    <t>COAL(IISD)</t>
  </si>
  <si>
    <t>AUS/H</t>
  </si>
  <si>
    <t>US/H</t>
  </si>
  <si>
    <t>MZB/H</t>
  </si>
  <si>
    <t>PD LVHR</t>
  </si>
  <si>
    <t>AUS/S</t>
  </si>
  <si>
    <t>KESTR/S</t>
  </si>
  <si>
    <t>US/S</t>
  </si>
  <si>
    <t>HALDIA</t>
  </si>
  <si>
    <t>DHAMRA</t>
  </si>
  <si>
    <t>PARADIP</t>
  </si>
  <si>
    <t>PCI</t>
  </si>
  <si>
    <t>COAL(BCME)</t>
  </si>
  <si>
    <t>BOILER COAL</t>
  </si>
  <si>
    <t>TOTAL IPT SALES (Road)</t>
  </si>
  <si>
    <t>Total IOF</t>
  </si>
  <si>
    <t>150 X 150 BILLET</t>
  </si>
  <si>
    <t>IS 2062 E350 BR-220/12/154.46</t>
  </si>
  <si>
    <t>2022-23</t>
  </si>
  <si>
    <t>BILLET SAE-1010-AlK</t>
  </si>
  <si>
    <t>BILLET SAE-1018-AlK</t>
  </si>
  <si>
    <t>BLOOM CB IS2830C25HMNMAV65SiK 150*150</t>
  </si>
  <si>
    <t>BILLET SAE-1018-Sik</t>
  </si>
  <si>
    <t>BB3 IS: 2062/2011; E350C (V)</t>
  </si>
  <si>
    <t>BLOOM CB SAILTOWER-GR6-NB(A) 200*280</t>
  </si>
  <si>
    <t>MANGANESE ORE</t>
  </si>
  <si>
    <t>KG</t>
  </si>
  <si>
    <t>HE240</t>
  </si>
  <si>
    <t>BB2</t>
  </si>
  <si>
    <t>CB 55 C8</t>
  </si>
  <si>
    <t>USED &amp; REJ REF BK BATS-TORPEDO (W/L)</t>
  </si>
  <si>
    <t>BLOOM CB HCRM C 150*150</t>
  </si>
  <si>
    <t>BB3 IS: 2062/2011; E410C</t>
  </si>
  <si>
    <t>Fe-500D EQR</t>
  </si>
  <si>
    <t>10 mm TMTC</t>
  </si>
  <si>
    <t>25 mm</t>
  </si>
  <si>
    <t>Rejected IPE 500</t>
  </si>
  <si>
    <t>QUARTZITE</t>
  </si>
  <si>
    <t>PROCESSED 10-50 MM LD SLAG</t>
  </si>
  <si>
    <t>IS2830C20MMN TLT (AL)</t>
  </si>
  <si>
    <t>HCRM C</t>
  </si>
  <si>
    <t>ICC (INDO-H)</t>
  </si>
  <si>
    <t>SOLID WASTE</t>
  </si>
  <si>
    <t>TMT BAR SAILSEQR IS1786 500D 8</t>
  </si>
  <si>
    <t>BB2 IS: 2062/2011; E250B</t>
  </si>
  <si>
    <t>LIMESTONE</t>
  </si>
  <si>
    <t>KUTESHWAR</t>
  </si>
  <si>
    <t>INDO/H</t>
  </si>
  <si>
    <t>IPE500A</t>
  </si>
  <si>
    <t>OLD, USED REJECTED OIL FILLED IN DRUMS</t>
  </si>
  <si>
    <t>NON MAGNETIC UNSCREEN WORK THROUGH SLAG</t>
  </si>
  <si>
    <t xml:space="preserve">GR1(CAQ) </t>
  </si>
  <si>
    <t>BLOOM CB IS2830C20HMNA 150*150</t>
  </si>
  <si>
    <t>BILLET SAE1008-BORON</t>
  </si>
  <si>
    <t>BILLET IS: 7904/2018; HC78B/PC115</t>
  </si>
  <si>
    <t>Rejected ISMC250</t>
  </si>
  <si>
    <t xml:space="preserve">8 TMTC 500D </t>
  </si>
  <si>
    <t>IS2830 C20HMNA</t>
  </si>
  <si>
    <t>USM</t>
  </si>
  <si>
    <t>DOLOMITE</t>
  </si>
  <si>
    <t>WR Coils</t>
  </si>
  <si>
    <t>EA 150 x 12</t>
  </si>
  <si>
    <t>Rejected IPE 600</t>
  </si>
  <si>
    <t>Pellet</t>
  </si>
  <si>
    <t>BLOOM CB SAILTOWER-GR6-V (A) 150*150</t>
  </si>
  <si>
    <t>BLOOM IS: 2062/2011; E250C</t>
  </si>
  <si>
    <t>BB1 IS: 2062/2011; E350C</t>
  </si>
  <si>
    <t>BF Return Pellet Fines</t>
  </si>
  <si>
    <t>BAUXITE,CALCINED,10-40MM,AL2O3:70% MIN</t>
  </si>
  <si>
    <t xml:space="preserve"> IS2062 E250B0 600*220*122.45</t>
  </si>
  <si>
    <t>WPB 200*200*61.30</t>
  </si>
  <si>
    <t xml:space="preserve"> IS 2062 E350 BR </t>
  </si>
  <si>
    <t>WPB 300*300*100.85</t>
  </si>
  <si>
    <t>SAILTOWER6 NB</t>
  </si>
  <si>
    <t>PELLET</t>
  </si>
  <si>
    <t>Gross Pellets (i/c Return fines)-Dry</t>
  </si>
  <si>
    <t>Pellets (wet) to BMP from BF#5 (Mt)-RMHP</t>
  </si>
  <si>
    <t>Pellets (Dry) to BMP from BF#5 (Mt)-RMHP</t>
  </si>
  <si>
    <t>Moisture in Pellets</t>
  </si>
  <si>
    <t xml:space="preserve">Gross Sinter return (Dry) </t>
  </si>
  <si>
    <t>Gross Sinter return (Wet)to BMP- As per RMHP</t>
  </si>
  <si>
    <t xml:space="preserve">Return Pellets (dry) to BMP </t>
  </si>
  <si>
    <t>Pellet in Fe bearing Load</t>
  </si>
  <si>
    <t>BF Return Pellet</t>
  </si>
  <si>
    <t>GRAPHITE ELECTRODE</t>
  </si>
  <si>
    <t>EM12K SiK</t>
  </si>
  <si>
    <t xml:space="preserve">18 mm Plain Coil </t>
  </si>
  <si>
    <t>20 mm</t>
  </si>
  <si>
    <t>Rejected WPB 240</t>
  </si>
  <si>
    <t>WIRE RODS</t>
  </si>
  <si>
    <t>WR COIL SWR 10 7</t>
  </si>
  <si>
    <t>AWS A5.17 EM12K</t>
  </si>
  <si>
    <t xml:space="preserve">18 mm </t>
  </si>
  <si>
    <t>for cumulative calculation because of pellets</t>
  </si>
  <si>
    <t xml:space="preserve">total burden </t>
  </si>
  <si>
    <t>sinter %</t>
  </si>
  <si>
    <t>IRON ORE %</t>
  </si>
  <si>
    <t>Pellet %</t>
  </si>
  <si>
    <t>Burnt Fines Generation (0-3 mm)</t>
  </si>
  <si>
    <t>IRON BASED SCRAPED ROLLS</t>
  </si>
  <si>
    <t>ASSORTED BILLET (CCP)150*150</t>
  </si>
  <si>
    <t>ASSORTED CC BLOOM 200*280</t>
  </si>
  <si>
    <t>IS 2062 E250 BR-220/12/154.46</t>
  </si>
  <si>
    <t xml:space="preserve">20 TMT 550D </t>
  </si>
  <si>
    <t>U.S. Mill</t>
  </si>
  <si>
    <t>W &amp; R Mill</t>
  </si>
  <si>
    <t>P-Way</t>
  </si>
  <si>
    <t>PCIS Plant Sales</t>
  </si>
  <si>
    <t>14 mm</t>
  </si>
  <si>
    <t>FeMo</t>
  </si>
  <si>
    <t>E - 250B0</t>
  </si>
  <si>
    <t>BLOOM CB SPGSTEEL SUP11A 150*150</t>
  </si>
  <si>
    <t>12 mm TMT (Fe-500D)</t>
  </si>
  <si>
    <t>IS2062 E250BO</t>
  </si>
  <si>
    <t>ASSORTED CC BEAM BLANK</t>
  </si>
  <si>
    <t>B.F.COKE (IPT)</t>
  </si>
  <si>
    <t>TOTAL BF COKE</t>
  </si>
  <si>
    <t>SPGSTEEL SUP11A</t>
  </si>
  <si>
    <t>Russian (Soft)</t>
  </si>
  <si>
    <t>PROCESSED 50-200MM LD SLAG (BOLDER)</t>
  </si>
  <si>
    <t>RUS/S</t>
  </si>
  <si>
    <t>PROCESSED 50-200MM LD SLAG (BOULDER)</t>
  </si>
  <si>
    <t>COPPER CATHODE</t>
  </si>
  <si>
    <t>Available Lime</t>
  </si>
  <si>
    <t>LCFeCr</t>
  </si>
  <si>
    <t>IMPORTED LIME(LF)</t>
  </si>
  <si>
    <t>Mn Ore</t>
  </si>
  <si>
    <t>Gr 1(CAQ)</t>
  </si>
  <si>
    <t xml:space="preserve">EN8D Cr </t>
  </si>
  <si>
    <t>28 mm</t>
  </si>
  <si>
    <t>ISMC400</t>
  </si>
  <si>
    <t>Kestral  Soft</t>
  </si>
  <si>
    <t>ICC / Aus Soft</t>
  </si>
  <si>
    <t>SAE1030CR</t>
  </si>
  <si>
    <t>BLOOM 20MnCr5-AlK</t>
  </si>
  <si>
    <t>BF ETP SLUDGE</t>
  </si>
  <si>
    <t>SPENT REFRACTORY FINES</t>
  </si>
  <si>
    <t>USED &amp; REJECTED EMPTY OIL DRUMS</t>
  </si>
  <si>
    <t>TMT BAR IS 1786 HCR FE500D 10</t>
  </si>
  <si>
    <t>FIXTURE,STREET LIGHT F/HPSV LAMP,1X250W</t>
  </si>
  <si>
    <t>Fe-600</t>
  </si>
  <si>
    <t>CHANNEL 400*100*8.8</t>
  </si>
  <si>
    <t>Scale Inhibitor (MAXTREAT 350A)</t>
  </si>
  <si>
    <t>Corrosion Inhibitor (MAXTREAT 7780)</t>
  </si>
  <si>
    <t>Bio Dispersant (MAXTREAT 7002A)</t>
  </si>
  <si>
    <t xml:space="preserve">US Mill </t>
  </si>
  <si>
    <t xml:space="preserve">AUX. </t>
  </si>
  <si>
    <t>150*150</t>
  </si>
  <si>
    <t>200*280</t>
  </si>
  <si>
    <t>2023-24</t>
  </si>
  <si>
    <t>Sp Energy Consumpt</t>
  </si>
  <si>
    <t>Sp Water Consumption</t>
  </si>
  <si>
    <t>Total CDI Requirment  (With H.Loss)</t>
  </si>
  <si>
    <t>Total Coking Coal (With H.Loss)</t>
  </si>
  <si>
    <t>MAY'23</t>
  </si>
  <si>
    <t>IS 2062 E250A 500*200*79.36</t>
  </si>
  <si>
    <t>SAE 1030CR(VD)</t>
  </si>
  <si>
    <t>BLOOM CB SAILTOWER-GR6-NB(A) 150*150</t>
  </si>
  <si>
    <t>BLOOM CB IS2830C20MMNC 150*150</t>
  </si>
  <si>
    <t>BILLET 150*150 1006 (CAQ)</t>
  </si>
  <si>
    <t>BILLET 150*150 1008 (CAQ)</t>
  </si>
  <si>
    <t>BILLET EM12K-SIK</t>
  </si>
  <si>
    <t>BILLET SAE-1008-Sik</t>
  </si>
  <si>
    <t>BILLET AWS A5.18, ER70S-6 (MIG/CO2)</t>
  </si>
  <si>
    <t>BLOOM CB IS2830 C18MMNC-ALK 150*150</t>
  </si>
  <si>
    <t>BILLET IS: 7904/2018; HC88B</t>
  </si>
  <si>
    <t>BILLET IS: 7904/2018; HC72B</t>
  </si>
  <si>
    <t>BILLET IS: 7904/2018; HC68B</t>
  </si>
  <si>
    <t>BILLET IS: 7904/2018; HC62B</t>
  </si>
  <si>
    <t>BILLET IS: 7904/2018; HC52B</t>
  </si>
  <si>
    <t>BILLET IS: 7904/2018; HC38B</t>
  </si>
  <si>
    <t>BILLET EN8D-AlK</t>
  </si>
  <si>
    <t>BILLET EN8D(Cr)-AlK</t>
  </si>
  <si>
    <t>BLOOM CB IS 2830C25HMN MA V55 150*150</t>
  </si>
  <si>
    <t>BLOOM CB IS2830C20MMNACU 150*150</t>
  </si>
  <si>
    <t>BLOOM CB 55 C8 150*150</t>
  </si>
  <si>
    <t>BLOOM CB 45 C8 150*150</t>
  </si>
  <si>
    <t>BILLET IS: 1786/2008; Fe500HCR</t>
  </si>
  <si>
    <t>BILLET IS: 1786/2008; Fe500D</t>
  </si>
  <si>
    <t>BILLET IS: 1786/2008; Fe600</t>
  </si>
  <si>
    <t>Non Oxidizing Biocide (MAXTREAT 613)</t>
  </si>
  <si>
    <t>CAST IRON SCRAP</t>
  </si>
  <si>
    <t>BOF GCP SLUDGE</t>
  </si>
  <si>
    <t>USED &amp; REJECTED WOODEN PALLETS/  SLEEPER</t>
  </si>
  <si>
    <t>USED &amp; REJECTED MILD STEEL SCRAP</t>
  </si>
  <si>
    <t>COMPOSITE TRAILING CABLE,4C,16MM2</t>
  </si>
  <si>
    <t>FERRO SILICON,25-50MM</t>
  </si>
  <si>
    <t>% DIRECT (IPT+CMO DIR+ EXPORT+ PLANT SALES)</t>
  </si>
  <si>
    <t>2022-23 Actual</t>
  </si>
  <si>
    <t>Soft Coal in Blend</t>
  </si>
  <si>
    <t>Average Coking Time</t>
  </si>
  <si>
    <t>Avg Si</t>
  </si>
  <si>
    <t>Avg S</t>
  </si>
  <si>
    <t>Specific Refractory Consumption</t>
  </si>
  <si>
    <t>Specific Electrode Consumption</t>
  </si>
  <si>
    <t>CDI Moist (%)</t>
  </si>
  <si>
    <t>CDI Handling Loss (%)</t>
  </si>
  <si>
    <t xml:space="preserve"> Kg/ TCS</t>
  </si>
  <si>
    <t>BOF Slag rate</t>
  </si>
  <si>
    <t>Solid Waste</t>
  </si>
  <si>
    <t>Dispatch</t>
  </si>
  <si>
    <t>150X150 SALEABLE DECLARED</t>
  </si>
  <si>
    <t>ASSORTED BILLETS FROM SMS</t>
  </si>
  <si>
    <t xml:space="preserve">LOW CARBON C25, C25HMN,C20MMNA,REJECTED BILLET </t>
  </si>
  <si>
    <t>Q-1</t>
  </si>
  <si>
    <t>CDCP Dust</t>
  </si>
  <si>
    <t>IS11169/SAE15B25(VD)</t>
  </si>
  <si>
    <t xml:space="preserve">IS11169/SAE15B25(VD) </t>
  </si>
  <si>
    <t>19MNB4
(M)HC (VD)</t>
  </si>
  <si>
    <t>Rejected ISMC400</t>
  </si>
  <si>
    <t>JUN'23</t>
  </si>
  <si>
    <t>Billet 19MnB4(M) HC</t>
  </si>
  <si>
    <t>BILLET SAE15B25Alk</t>
  </si>
  <si>
    <t>BILLET SAE10B21-Alk</t>
  </si>
  <si>
    <t xml:space="preserve">6 WRC SAE 1008 </t>
  </si>
  <si>
    <t>IS 2062 E250 BR-190/11/92.36</t>
  </si>
  <si>
    <t>OLD/USED &amp; REJECTED TYRES OF MV/EQUIP.</t>
  </si>
  <si>
    <t>USED &amp; REJECTED EMPTY GREASE DRUMS</t>
  </si>
  <si>
    <t>STEEL BASED SCRAPED ROLLS</t>
  </si>
  <si>
    <t>FERRO MOLYBDENUM</t>
  </si>
  <si>
    <t>HIGH CARBON FERRO MANGANESE</t>
  </si>
  <si>
    <t>LANCING PIPES</t>
  </si>
  <si>
    <t>LOW SILICA DOLOMITE</t>
  </si>
  <si>
    <t> Non Oxidizing Biocide (MAXTREAT 651) -  70410900200020</t>
  </si>
  <si>
    <t>Hot charging</t>
  </si>
  <si>
    <t>IRON ORE FINES</t>
  </si>
  <si>
    <t xml:space="preserve"> IRON ORE LUMP</t>
  </si>
  <si>
    <t>Fe %</t>
  </si>
  <si>
    <t>SiO2 %</t>
  </si>
  <si>
    <t>Al2O3 %</t>
  </si>
  <si>
    <t>Actual 2016-17</t>
  </si>
  <si>
    <t>Actual 2017-18</t>
  </si>
  <si>
    <t>Actual 2018-19</t>
  </si>
  <si>
    <t>Actual 2019-20</t>
  </si>
  <si>
    <t>Actual 2020-21</t>
  </si>
  <si>
    <t>Actual 2021-22</t>
  </si>
  <si>
    <t>ABP 2022-23</t>
  </si>
  <si>
    <t>Actual 2022-23</t>
  </si>
  <si>
    <t>Bolani</t>
  </si>
  <si>
    <t>Meghataburu</t>
  </si>
  <si>
    <t>Barsua</t>
  </si>
  <si>
    <t>Kiriburu</t>
  </si>
  <si>
    <t>Mix Bin</t>
  </si>
  <si>
    <t>Average</t>
  </si>
  <si>
    <t>ABP 2023-24 (As Desired)</t>
  </si>
  <si>
    <t>T/Hrs</t>
  </si>
  <si>
    <t>INGOT,CU,99.90%,CATHODE PLATE/INGOT</t>
  </si>
  <si>
    <t>BLOOM CB 20MNCR5 200*280-ASP (Prime)</t>
  </si>
  <si>
    <t>Gap</t>
  </si>
  <si>
    <t>RH Degassed Heats</t>
  </si>
  <si>
    <t>De-Sulphurized  Heats</t>
  </si>
  <si>
    <t>No. of Closed Casts</t>
  </si>
  <si>
    <t>Closed Casting Tonnage</t>
  </si>
  <si>
    <t>Non special</t>
  </si>
  <si>
    <t>Total production</t>
  </si>
  <si>
    <t>Special %</t>
  </si>
  <si>
    <t>SMS Assorted</t>
  </si>
  <si>
    <t>150x150 semis</t>
  </si>
  <si>
    <t>200X280</t>
  </si>
  <si>
    <t>SMS Assorted blooms</t>
  </si>
  <si>
    <t>ASSORTED CC BEAM BLANK sale through marketing/IPT</t>
  </si>
  <si>
    <t>JUL'23</t>
  </si>
  <si>
    <t>SAE10B33(VD)</t>
  </si>
  <si>
    <t>CARES</t>
  </si>
  <si>
    <t>SWITCH GEARS/CKT BKR</t>
  </si>
  <si>
    <t>19MNB4(M)HC (VD)</t>
  </si>
  <si>
    <t>10B33(VD)</t>
  </si>
  <si>
    <t>C20HMNCMAV55RC</t>
  </si>
  <si>
    <t>CHANNEL IS 2062 E250BR 400*100*8.8</t>
  </si>
  <si>
    <t>BILLET SAE10B33-Alk</t>
  </si>
  <si>
    <t>BLOOM CB IS2830C20HMNCMAV55RC 150*150</t>
  </si>
  <si>
    <t>BILLET 19MnB4(M)</t>
  </si>
  <si>
    <t>COKE &amp; COKE FRACTION PRODUCTION (WET BASIS)</t>
  </si>
  <si>
    <t>Caster losses</t>
  </si>
  <si>
    <t>Scrap Calculated</t>
  </si>
  <si>
    <t>TUNDISH LOSS</t>
  </si>
  <si>
    <t>METAL LOSS INCL LADLE SKULL</t>
  </si>
  <si>
    <t>EMERGENCY BOX LOSSES</t>
  </si>
  <si>
    <t>LAUNDER SCRAP &amp; CROP END</t>
  </si>
  <si>
    <t>SCALE LOSS</t>
  </si>
  <si>
    <t>PROCESS</t>
  </si>
  <si>
    <t>FINES</t>
  </si>
  <si>
    <t>Muck dump scrap</t>
  </si>
  <si>
    <t>SMS Scale</t>
  </si>
  <si>
    <t>CHECK POINT</t>
  </si>
  <si>
    <t>OTHER CONSUMPTION</t>
  </si>
  <si>
    <t>AUG'23</t>
  </si>
  <si>
    <t>Motor Spirit/Benzol</t>
  </si>
  <si>
    <t>DISMANTLED  STAINLESS STEEL SCRAP</t>
  </si>
  <si>
    <t>DISMANTLED CR-MO-V BASED ALLOY SCRAP</t>
  </si>
  <si>
    <t>USED &amp; REJ REF BK BATS-LDCP</t>
  </si>
  <si>
    <t>25 mm TMT</t>
  </si>
  <si>
    <t>IS2830, C20HMnC-Alk</t>
  </si>
  <si>
    <t>BLOOM CB SUP 11A ALK(VD) 150*150</t>
  </si>
  <si>
    <t>IS 2062 E350 BR 600*220*107.56</t>
  </si>
  <si>
    <t>IPE-600</t>
  </si>
  <si>
    <t>Angle 200 / 200 / 16</t>
  </si>
  <si>
    <t>Angle 150 / 150 / 10</t>
  </si>
  <si>
    <t xml:space="preserve">22 mm TMT </t>
  </si>
  <si>
    <t>SUP 11A ALK(VD)</t>
  </si>
  <si>
    <t>LP Si-Mn</t>
  </si>
  <si>
    <t>Total Si-Mn</t>
  </si>
  <si>
    <t>Num of wagons unloaded</t>
  </si>
  <si>
    <t>COKING TIME</t>
  </si>
  <si>
    <t>Crude Benzol (Existing Plant)</t>
  </si>
  <si>
    <t>TOTAL SALEABLE STEEL</t>
  </si>
  <si>
    <t>Total BF COKE</t>
  </si>
  <si>
    <t>Prime production</t>
  </si>
  <si>
    <t>Consumption at Base Mix Plant</t>
  </si>
  <si>
    <t>Base Mix Production</t>
  </si>
  <si>
    <t>Trimming</t>
  </si>
  <si>
    <t>Basemix Production including Trimming</t>
  </si>
  <si>
    <t xml:space="preserve">Internal Receipt </t>
  </si>
  <si>
    <t>Received from Blast Furnace (Return)</t>
  </si>
  <si>
    <t>Received from Coke Ovens</t>
  </si>
  <si>
    <t>Coke Breeze from Coke Ovens</t>
  </si>
  <si>
    <t>Screened at OHP/RMHP</t>
  </si>
  <si>
    <t>Iron Ore Fines Screened at OHP</t>
  </si>
  <si>
    <t>Limestone screened at RMHP</t>
  </si>
  <si>
    <t>Dolomite screened at RMHP</t>
  </si>
  <si>
    <t>Received from LDCP</t>
  </si>
  <si>
    <t>Dispatch to Sinter Plant</t>
  </si>
  <si>
    <t>Trimming supplied to Sinter Plant</t>
  </si>
  <si>
    <t>Basemix Dispatch</t>
  </si>
  <si>
    <t>Trimming Dispatch</t>
  </si>
  <si>
    <t>Total Basemix dispatch including Trimming</t>
  </si>
  <si>
    <t>Dispatch to BF, BOF, LDCP</t>
  </si>
  <si>
    <t>Iron Ore Lump to BF</t>
  </si>
  <si>
    <t>Quartzite to BF</t>
  </si>
  <si>
    <t>LD Slag (+10mm) to BF</t>
  </si>
  <si>
    <t>Pellet to BF</t>
  </si>
  <si>
    <t>Iron Ore Lump to BOF</t>
  </si>
  <si>
    <t>Dolomite to BOF</t>
  </si>
  <si>
    <t>Limestone SMS to LDCP</t>
  </si>
  <si>
    <t>Dolomite SMS to LDCP</t>
  </si>
  <si>
    <t>Coke Crushing Index</t>
  </si>
  <si>
    <t>Flux Crushing Index</t>
  </si>
  <si>
    <t>BF Sinter return fines (wet) to BMP-As per RMHP</t>
  </si>
  <si>
    <t>AWS A5.17 EM12K 6</t>
  </si>
  <si>
    <t>SAE 1008 Boron</t>
  </si>
  <si>
    <t>SEP'23</t>
  </si>
  <si>
    <t>WRM COILS (REBAR/WR) TRIMMED END SCRAP</t>
  </si>
  <si>
    <t>E - 250ACU</t>
  </si>
  <si>
    <t>BB1 IS: 2062/2011; E250A CU</t>
  </si>
  <si>
    <t>Q-2</t>
  </si>
  <si>
    <t xml:space="preserve">IS 2062E250ACU </t>
  </si>
  <si>
    <t xml:space="preserve"> IS 2062 E350 BR 500*200*107.31</t>
  </si>
  <si>
    <t xml:space="preserve"> IS 2062 E350 BR 500*200*79.36</t>
  </si>
  <si>
    <t xml:space="preserve"> IS 2830C25HMN MA V55 </t>
  </si>
  <si>
    <t>SAIL TOWER Gr VI (V)-Sik</t>
  </si>
  <si>
    <t>Scales</t>
  </si>
  <si>
    <t>Bokaro</t>
  </si>
  <si>
    <t>ASP</t>
  </si>
  <si>
    <t>OCT'23</t>
  </si>
  <si>
    <t>HC 42B</t>
  </si>
  <si>
    <t>E - 350B0</t>
  </si>
  <si>
    <t>E - 410BR</t>
  </si>
  <si>
    <t xml:space="preserve">IPE750 </t>
  </si>
  <si>
    <t>HC42 B</t>
  </si>
  <si>
    <t xml:space="preserve">IPE-750 </t>
  </si>
  <si>
    <t>E350 BR 750*270*202.48</t>
  </si>
  <si>
    <t>IS 2062 E410 BR-220/12/122.45</t>
  </si>
  <si>
    <t>WPB 300*300*237.92</t>
  </si>
  <si>
    <t>BRASS SCRAP</t>
  </si>
  <si>
    <t>BILLET HC42B</t>
  </si>
  <si>
    <t>HC62 A</t>
  </si>
  <si>
    <t>IPE600</t>
  </si>
  <si>
    <t>BASICITY</t>
  </si>
  <si>
    <t>&lt; 55</t>
  </si>
  <si>
    <t>&lt;6</t>
  </si>
  <si>
    <t>&lt; 3</t>
  </si>
  <si>
    <t>8 M</t>
  </si>
  <si>
    <t>NOV'23</t>
  </si>
  <si>
    <t>C20HMNC_AK_RC</t>
  </si>
  <si>
    <t>WPB 240*240*60.32</t>
  </si>
  <si>
    <t>BLOOM CB IS2830C20HMNC_AK_RC 150*150</t>
  </si>
  <si>
    <t>BLOOM CB 51CRV4_ALK_(VD) 150*150</t>
  </si>
  <si>
    <t>Rejected IPE 750</t>
  </si>
  <si>
    <t>Assorted Semis</t>
  </si>
  <si>
    <t>Plant Sales (IPT) -Rail</t>
  </si>
  <si>
    <t xml:space="preserve">ASSORTED CC BEAM BLANK </t>
  </si>
  <si>
    <t>REJECTED WIRE ROD COIL SCRAP- Road</t>
  </si>
  <si>
    <t>ISP DIRECT SALES (Except assorted semis)</t>
  </si>
  <si>
    <t>QTR 3</t>
  </si>
  <si>
    <t>9M</t>
  </si>
  <si>
    <t>Q-3</t>
  </si>
  <si>
    <t>QRT-3</t>
  </si>
  <si>
    <t>DEC'23</t>
  </si>
  <si>
    <t>22 mm</t>
  </si>
  <si>
    <t>Billet LRPC (V)</t>
  </si>
  <si>
    <t>BB3 IS: 2062/2011; E250C</t>
  </si>
  <si>
    <t xml:space="preserve"> E350 BR 750*270*145.29</t>
  </si>
  <si>
    <t>E350 BR 750*270*174.54</t>
  </si>
  <si>
    <t>Actual May'23</t>
  </si>
  <si>
    <t>Actual Jul'23</t>
  </si>
  <si>
    <t>Actual Jun'23</t>
  </si>
  <si>
    <t>Actual Aug'23</t>
  </si>
  <si>
    <t>Actual Sep'23</t>
  </si>
  <si>
    <t>Actual Oct'23</t>
  </si>
  <si>
    <t>Actual Nov'23</t>
  </si>
  <si>
    <t>Actual Dec'23</t>
  </si>
  <si>
    <t>Actual April'23</t>
  </si>
  <si>
    <t>10 M</t>
  </si>
  <si>
    <t>JAN'24</t>
  </si>
  <si>
    <t>SILICO MANGANESE</t>
  </si>
  <si>
    <t>Actual Jan'24</t>
  </si>
  <si>
    <t>FERRO NEOBIUM</t>
  </si>
  <si>
    <t>ROURKELA</t>
  </si>
  <si>
    <t>11 M</t>
  </si>
  <si>
    <t>FEB'24</t>
  </si>
  <si>
    <t>BOF ESP Dust</t>
  </si>
  <si>
    <t>BILLET PC115(6.5)</t>
  </si>
  <si>
    <t>BILLET PC115(6)</t>
  </si>
  <si>
    <t>Solar Generation</t>
  </si>
  <si>
    <t>FIELD MACHINERY EQUIPMENT SCRAP</t>
  </si>
  <si>
    <t>IS 2062 E250 BR 600*220*107.56</t>
  </si>
  <si>
    <t>Actual Feb'24</t>
  </si>
  <si>
    <t>Ferro Alloys Break-up</t>
  </si>
  <si>
    <t>Reservoir Filling</t>
  </si>
  <si>
    <t>QTR 4</t>
  </si>
  <si>
    <t>QRT-4</t>
  </si>
  <si>
    <t>HE200</t>
  </si>
  <si>
    <t>MAR'24</t>
  </si>
  <si>
    <t>BLOOM CB SWR 14 150*150</t>
  </si>
  <si>
    <t>BLOOM CB SA105_(VD) 150*150</t>
  </si>
  <si>
    <t>Q-4</t>
  </si>
  <si>
    <t>WPB 200*200*42.26</t>
  </si>
  <si>
    <t>Actual Mar'24</t>
  </si>
  <si>
    <t>Caster #1 (Assorted Billet)</t>
  </si>
  <si>
    <t>Caster #2 (Assorted Billet)</t>
  </si>
  <si>
    <t>Caster #1+#2 (Assorted Billet)</t>
  </si>
  <si>
    <t>Caster #3 Bloom (Assorted Bloom)</t>
  </si>
  <si>
    <t>Caster #3 Beam Blank 1 (Assorted Beam Blank )</t>
  </si>
  <si>
    <t>Caster #3 Beam Blank 2 (Assorted Beam Blank)</t>
  </si>
  <si>
    <t>Caster #3 Beam Blank 3 (Assorted Beam Blank)</t>
  </si>
  <si>
    <t>Total Caster (Assorted Bloom &amp; Beam Blank)</t>
  </si>
  <si>
    <t>(Equiv. Pig Iron @ 65% of HM sent to Sand Pit. (Ref to Fax Msg from ED (O), vide SAIL/OPRNS/ PPMS/33 dt. 05.02.15)</t>
  </si>
  <si>
    <t>ABP 2024-25</t>
  </si>
  <si>
    <t>25.0-25.2</t>
  </si>
  <si>
    <t>FeNi</t>
  </si>
  <si>
    <t>2024-25</t>
  </si>
  <si>
    <t xml:space="preserve">13 mm Plain Coil </t>
  </si>
  <si>
    <t>IS 2062 E250 BR-190/ 9.4/77.58</t>
  </si>
  <si>
    <t>Actual April'24</t>
  </si>
  <si>
    <t xml:space="preserve">Caster #3 </t>
  </si>
  <si>
    <t>Caster #(1+2 )</t>
  </si>
  <si>
    <t>Equiv. Pig Iron @ 65% of HM sent to Sand Pit</t>
  </si>
  <si>
    <t>Sp Energy Consumption</t>
  </si>
  <si>
    <t>ABP 2023-24</t>
  </si>
  <si>
    <t>Actual 2023-24</t>
  </si>
  <si>
    <t>SP</t>
  </si>
  <si>
    <t>OHP</t>
  </si>
  <si>
    <t>CHP</t>
  </si>
  <si>
    <t>CO &amp; BPP</t>
  </si>
  <si>
    <t>PCM</t>
  </si>
  <si>
    <t>LRS</t>
  </si>
  <si>
    <t>OP</t>
  </si>
  <si>
    <t>PBS</t>
  </si>
  <si>
    <t>CCAS</t>
  </si>
  <si>
    <t>TRT</t>
  </si>
  <si>
    <t>Total MW Consumption</t>
  </si>
  <si>
    <t>S</t>
  </si>
  <si>
    <t>K2O</t>
  </si>
  <si>
    <t>TiO2</t>
  </si>
  <si>
    <t>B2</t>
  </si>
  <si>
    <t>B3</t>
  </si>
  <si>
    <t>MAX</t>
  </si>
  <si>
    <t>MIN</t>
  </si>
  <si>
    <t>AVG</t>
  </si>
  <si>
    <t>STD DEV</t>
  </si>
  <si>
    <t>Parameter</t>
  </si>
  <si>
    <t>MnO</t>
  </si>
  <si>
    <t>P2O5</t>
  </si>
  <si>
    <t>CaO/SiO2</t>
  </si>
  <si>
    <t>LF Slag Analysis 2024-25</t>
  </si>
  <si>
    <r>
      <t>Fe</t>
    </r>
    <r>
      <rPr>
        <vertAlign val="subscript"/>
        <sz val="18"/>
        <color theme="1"/>
        <rFont val="Arial Narrow"/>
        <family val="2"/>
      </rPr>
      <t>t</t>
    </r>
    <r>
      <rPr>
        <sz val="18"/>
        <color theme="1"/>
        <rFont val="Arial Narrow"/>
        <family val="2"/>
      </rPr>
      <t>O</t>
    </r>
  </si>
  <si>
    <t>APR'23</t>
  </si>
  <si>
    <t>REJECTED BILLET / BLOOM</t>
  </si>
  <si>
    <t>Saleable 150x150</t>
  </si>
  <si>
    <t>Conversions</t>
  </si>
  <si>
    <t>C20MMnC</t>
  </si>
  <si>
    <t>C25HMn</t>
  </si>
  <si>
    <t xml:space="preserve">Actual Saleable 150x150 </t>
  </si>
  <si>
    <t xml:space="preserve">Declared Saleable 150x150 </t>
  </si>
  <si>
    <t>Difference</t>
  </si>
  <si>
    <t>Saleable Caster 3 Semis</t>
  </si>
  <si>
    <t>Total 200x280 Bloom production</t>
  </si>
  <si>
    <t>SMS Assorted Blooms</t>
  </si>
  <si>
    <t>Beam Blank sold</t>
  </si>
  <si>
    <t>Actual Semis production from caster#3</t>
  </si>
  <si>
    <t>Declared Semis production from caster#3</t>
  </si>
  <si>
    <t>Actual Saleable Semis</t>
  </si>
  <si>
    <t>Declared Saleable Semis</t>
  </si>
  <si>
    <t>DELAY ANALYSIS : (ISP)</t>
  </si>
  <si>
    <t> </t>
  </si>
  <si>
    <t>SP-I</t>
  </si>
  <si>
    <t>SP-II</t>
  </si>
  <si>
    <t>BF-5</t>
  </si>
  <si>
    <t>ICH (Fce/Conv/Mc Hr)</t>
  </si>
  <si>
    <t>Qtr-I</t>
  </si>
  <si>
    <t>Qtr-II</t>
  </si>
  <si>
    <t>Qtr-III</t>
  </si>
  <si>
    <t>Qtr-IV</t>
  </si>
  <si>
    <t>Available Hrs</t>
  </si>
  <si>
    <t>Utilisation Hrs</t>
  </si>
  <si>
    <t>Scheduled S/D</t>
  </si>
  <si>
    <t>Capital Repair</t>
  </si>
  <si>
    <t>Operational</t>
  </si>
  <si>
    <t>Coke Oven</t>
  </si>
  <si>
    <t xml:space="preserve">Mechanical </t>
  </si>
  <si>
    <t>Electrical</t>
  </si>
  <si>
    <t>Poor demand</t>
  </si>
  <si>
    <t>Raw material -Pellet</t>
  </si>
  <si>
    <t>Gas/Power Shortage</t>
  </si>
  <si>
    <t>Instrumentation</t>
  </si>
  <si>
    <t>Power Plant</t>
  </si>
  <si>
    <t>Basemix shortage</t>
  </si>
  <si>
    <t>Ladle Bay</t>
  </si>
  <si>
    <t>IDLE (Due to BF shutdown and Hot metal unavailability)</t>
  </si>
  <si>
    <t>KwH/ tdcc</t>
  </si>
  <si>
    <t>Wet Quenching (COB#11)</t>
  </si>
  <si>
    <t>MKTG DIR</t>
  </si>
  <si>
    <t>CONCORD HELMET WITH RATCHET-BLUE</t>
  </si>
  <si>
    <t>IS 2062 E250 BR-190/11/92.37</t>
  </si>
  <si>
    <t xml:space="preserve"> IS 2062 E250 BR 500*200*107.32</t>
  </si>
  <si>
    <t>IS 2062 E350 BR-200/10.2/90.69</t>
  </si>
  <si>
    <t>IS 2062 E250 BR 600*220*107.57</t>
  </si>
  <si>
    <t>IS 2062 E250 BR-220/12/154.47</t>
  </si>
  <si>
    <t xml:space="preserve"> IS2062 E350B0 600*220*122.45</t>
  </si>
  <si>
    <t>IS 2062 E250 BR-180/8.6/66.31</t>
  </si>
  <si>
    <t>IS 2062 E250BR 450*190*67.16</t>
  </si>
  <si>
    <t>IS 2062 E250 BR-200/10.2/90.69</t>
  </si>
  <si>
    <t>IS 2062 E350 BR-180/8.6/66.31</t>
  </si>
  <si>
    <t>IS 2062 E350BR 450*190*67.16</t>
  </si>
  <si>
    <t>IS 2062 E350 BR-190/ 9.4/77.58</t>
  </si>
  <si>
    <t>IS 2062 E350 BR-190/11/92.37</t>
  </si>
  <si>
    <t xml:space="preserve"> IS 2062 E350 BR 500*200*107.32</t>
  </si>
  <si>
    <t>IS 2062 E350 BR 600*220*107.57</t>
  </si>
  <si>
    <t>IS 2062 E350 BR-220/12/154.47</t>
  </si>
  <si>
    <t>E350 BR 750*270*202.49</t>
  </si>
  <si>
    <t>NPB IS2062 E250BR 600*220*122.45</t>
  </si>
  <si>
    <t>Production: High Carbon Grades</t>
  </si>
  <si>
    <t>Actual May'24</t>
  </si>
  <si>
    <t>Calendar Day</t>
  </si>
  <si>
    <t>LDCP Lime (LF)</t>
  </si>
  <si>
    <t>Calcined Lime (LDCP)</t>
  </si>
  <si>
    <t>6 mm SWR10</t>
  </si>
  <si>
    <t>IS 2062 E350 BR-150/8/49.32</t>
  </si>
  <si>
    <t>IS 2062 E250 BR-150/8/49.32</t>
  </si>
  <si>
    <t>10⁶ k.cal/tls</t>
  </si>
  <si>
    <t>10⁶ k.cal/tcs</t>
  </si>
  <si>
    <t>Sinter in Burden</t>
  </si>
  <si>
    <t>Pellet in burden</t>
  </si>
  <si>
    <t>Prepared Burden</t>
  </si>
  <si>
    <t>Burden</t>
  </si>
  <si>
    <t>H.M to Dry Pit</t>
  </si>
  <si>
    <t>IS 2062 E350 BO 600*220*107.57</t>
  </si>
  <si>
    <t>IS 2062 E350 BR-150/6.1/36.53</t>
  </si>
  <si>
    <t>NMDC</t>
  </si>
  <si>
    <t>Average Pushing (COB#10)</t>
  </si>
  <si>
    <t>Average Pushing (COB#11)</t>
  </si>
  <si>
    <t>Equivalent Pushing</t>
  </si>
  <si>
    <t>Num of Ovens Pushed (COB#10)</t>
  </si>
  <si>
    <t>Num of Ovens Pushed (COB#11)</t>
  </si>
  <si>
    <t>BF GAS CONSUMPTION</t>
  </si>
  <si>
    <t>BF Productivity</t>
  </si>
  <si>
    <t xml:space="preserve">Scrap consumption </t>
  </si>
  <si>
    <r>
      <t xml:space="preserve">Ferro Alloys </t>
    </r>
    <r>
      <rPr>
        <sz val="10"/>
        <rFont val="Times New Roman"/>
        <family val="1"/>
      </rPr>
      <t>(FeMn+LCFeMn+SiMn+FeSi)</t>
    </r>
  </si>
  <si>
    <t>Sonepur Bazari</t>
  </si>
  <si>
    <t>Coal Dust Injection</t>
  </si>
  <si>
    <t>Available Hours</t>
  </si>
  <si>
    <t xml:space="preserve">Furnace Utilization </t>
  </si>
  <si>
    <t>Utilization Hours</t>
  </si>
  <si>
    <t>Calendar Hours</t>
  </si>
  <si>
    <t>Actual Jun'24</t>
  </si>
  <si>
    <t>KUTESWAR</t>
  </si>
  <si>
    <t>HC82B CR 12 (LRPC)</t>
  </si>
  <si>
    <t>IPE350</t>
  </si>
  <si>
    <t>Rejected IPE 350</t>
  </si>
  <si>
    <t>FLASH-MIXER DROSS</t>
  </si>
  <si>
    <t>IS 2062 E350 BR 350*170*50.22</t>
  </si>
  <si>
    <t>IPE-350</t>
  </si>
  <si>
    <t>IS2062 E250BR 350*170*50.22</t>
  </si>
  <si>
    <t>IS2062 E250BR 350*170*57.10</t>
  </si>
  <si>
    <t>NPB IS2062 E250BR 500*200*90.69</t>
  </si>
  <si>
    <t>NPB IS 2062 E350BR 500*200*90.69</t>
  </si>
  <si>
    <t>Sodium Hypochloride</t>
  </si>
  <si>
    <t>Actual Jul'24</t>
  </si>
  <si>
    <t>BLOOM CB IS 2830C20MMNC-ALK 150*150</t>
  </si>
  <si>
    <t>BB1 IS: 2062/2011; E250B</t>
  </si>
  <si>
    <t>Jhama Coal</t>
  </si>
  <si>
    <t>Jhama coal</t>
  </si>
  <si>
    <t>6 WRC IS7904/HCT1130CR(PC)</t>
  </si>
  <si>
    <t>IS 2062 E250 BR-500*200*79.36</t>
  </si>
  <si>
    <t>NPB IS 2062 E350 BR 600*220*122.45</t>
  </si>
  <si>
    <t>INDUSTRIAL SAFETY SHOE</t>
  </si>
  <si>
    <t>Actual Aug'24</t>
  </si>
  <si>
    <t>Graphite Granuels</t>
  </si>
  <si>
    <t>EN8D AlK(VD)</t>
  </si>
  <si>
    <t>BILLET EN8D (RH) ALK</t>
  </si>
  <si>
    <t>BILLET LRPC (NON RH)</t>
  </si>
  <si>
    <t>5.5 WRC HC62B</t>
  </si>
  <si>
    <t>5.5 WRC HC72B</t>
  </si>
  <si>
    <t>CHANNEL IS 2062 E250BR 300*90*7.8</t>
  </si>
  <si>
    <t>NPB IS 2062 E350BR 400*180*66.31</t>
  </si>
  <si>
    <t xml:space="preserve">PURCHASED PELLET </t>
  </si>
  <si>
    <t>Actual Sep'24</t>
  </si>
  <si>
    <t>Av. Steel ldl life</t>
  </si>
  <si>
    <t>IS2062 E350BR 350*170*57.10</t>
  </si>
  <si>
    <t xml:space="preserve">11 mm </t>
  </si>
  <si>
    <t>SAE 1005 (CAQ)</t>
  </si>
  <si>
    <t xml:space="preserve">11 mm Plain Coil </t>
  </si>
  <si>
    <t xml:space="preserve">HC82B CR (RH) </t>
  </si>
  <si>
    <t xml:space="preserve">HC82B CR </t>
  </si>
  <si>
    <t>EA 200 x 16</t>
  </si>
  <si>
    <t>BLOOM CB C15 MMNC 150*150</t>
  </si>
  <si>
    <t>NPB IS 2062 E250BR 450*190*77.58</t>
  </si>
  <si>
    <t>Actual Oct'24</t>
  </si>
  <si>
    <t>Actual Nov'24</t>
  </si>
  <si>
    <t>E-WASTE ELECTRIC./ELECTRONIC SCRAP ITEMS</t>
  </si>
  <si>
    <t>USED &amp; REJECTED RAILS</t>
  </si>
  <si>
    <t>USED/REJ. FIRECLAY &amp; INSULATION BRICKS</t>
  </si>
  <si>
    <t>REFLECTIVE FLUORESCENT JACKET, ORANGE</t>
  </si>
  <si>
    <t>IS 7904 HC82B CR (RH)</t>
  </si>
  <si>
    <t>IS 7904 HC82B CR</t>
  </si>
  <si>
    <t xml:space="preserve"> 6 WRC SAE 1005 (CAQ) </t>
  </si>
  <si>
    <t xml:space="preserve"> SAE 1005 (CAQ)</t>
  </si>
  <si>
    <t>Qtr-3</t>
  </si>
  <si>
    <t>Q2</t>
  </si>
  <si>
    <t>Q3</t>
  </si>
  <si>
    <t>IS 2062 E250 BR-150/6.1/36.53</t>
  </si>
  <si>
    <t>NPB IS 2062 E250BR 400*180*66.31</t>
  </si>
  <si>
    <t>NPB IS2062 E250BR 300*150*42.24</t>
  </si>
  <si>
    <t>NPB IS2062 E250BR 500*200*79.36</t>
  </si>
  <si>
    <t>BLOOM CB IS14650CPS1786FE500D 150*150</t>
  </si>
  <si>
    <t>Hot charging Billets</t>
  </si>
  <si>
    <t>Cold charging Billets</t>
  </si>
  <si>
    <t>Total Billets Charged</t>
  </si>
  <si>
    <t xml:space="preserve">32 TMT 550D </t>
  </si>
  <si>
    <t>Actual Dec'24</t>
  </si>
  <si>
    <t>Sl. No.</t>
  </si>
  <si>
    <t>Duration (No of days)</t>
  </si>
  <si>
    <t>LF</t>
  </si>
  <si>
    <t>Heating coke</t>
  </si>
  <si>
    <t>TARPOLINE COVER FOR RAILWAY WAGONS</t>
  </si>
  <si>
    <t>LITHIUM EP GREASE: EP2</t>
  </si>
  <si>
    <t>8 mm TMT (Fe-500D)</t>
  </si>
  <si>
    <t>CHANNEL IS 2062 E250BR 250*82*9</t>
  </si>
  <si>
    <t>NPB IS2062 E250BR 400*180*57.38</t>
  </si>
  <si>
    <t>Actual Jan'25</t>
  </si>
  <si>
    <t>BOF Gas consumption</t>
  </si>
  <si>
    <t>SPECIAL  SALEABLE STEEL</t>
  </si>
  <si>
    <t>IS7887 GR 4M</t>
  </si>
  <si>
    <t>Actual Feb'25</t>
  </si>
  <si>
    <t>Billet Gr4M-Sik</t>
  </si>
  <si>
    <t>IS 2062 E350 BO-200/10.2/90.69</t>
  </si>
  <si>
    <t xml:space="preserve">BLOOM CB C20 MMNA CU </t>
  </si>
  <si>
    <t>CFP</t>
  </si>
  <si>
    <t>BEAM BLANK</t>
  </si>
  <si>
    <t>Q4</t>
  </si>
  <si>
    <t xml:space="preserve">36 mm TMT </t>
  </si>
  <si>
    <t>Qtr-4</t>
  </si>
  <si>
    <t>Durgapur</t>
  </si>
  <si>
    <t>COKE BREEZE (EXTERNAL)</t>
  </si>
  <si>
    <t>COKE BREEZE (IPT)</t>
  </si>
  <si>
    <t>Actual Mar'25</t>
  </si>
  <si>
    <t>Plant Sales (Other Parties)</t>
  </si>
  <si>
    <t>Data Source: Traffic &amp; Raw Material Department (Provisional)</t>
  </si>
  <si>
    <t>VALUE ADDED  SALEABLE STEEL</t>
  </si>
  <si>
    <t>Hot charging Pieces</t>
  </si>
  <si>
    <t>Cold charging Pieces</t>
  </si>
  <si>
    <t>Blast Furnace Operating Days</t>
  </si>
  <si>
    <t xml:space="preserve">BURNT LIME REACTIVITY 
                                                        </t>
  </si>
  <si>
    <t>Fe500D</t>
  </si>
  <si>
    <t>NA</t>
  </si>
  <si>
    <t>BILLET SAE 1008 (CAQ) 150*150</t>
  </si>
  <si>
    <t>BILLET SAE1010-AlK</t>
  </si>
  <si>
    <t>BILLET SAE1018-AlK</t>
  </si>
  <si>
    <t>BILLET SAE1018-Sik</t>
  </si>
  <si>
    <t>BLOOM CB 45 C8 (ROLLING) 150*150</t>
  </si>
  <si>
    <t>BLOOM CB 55 C8 (ROLLING) 150*150</t>
  </si>
  <si>
    <t>BLOOM CB C20 HMNA 150*150</t>
  </si>
  <si>
    <t>BLOOM CB C20 MMNA CU 150*150</t>
  </si>
  <si>
    <t>BLOOM CB C25 HMN 150*150</t>
  </si>
  <si>
    <t>BLOOM CB C25 HMN MA V55 150*150</t>
  </si>
  <si>
    <t>BLOOM CB SAIL TOWER-GR6-NB(A) 150*150</t>
  </si>
  <si>
    <t>Fe500D(Rolling)</t>
  </si>
  <si>
    <t>Fe500D(Tr)</t>
  </si>
  <si>
    <t>BB3 IS: 2062/2011; E250B</t>
  </si>
  <si>
    <t>BLOOM CB C20 MMNC 200*280</t>
  </si>
  <si>
    <t>BLOOM CB C25 HMN 200*280</t>
  </si>
  <si>
    <t>C20 MMNA</t>
  </si>
  <si>
    <t>C20 HMNA</t>
  </si>
  <si>
    <t>C20MMNACU</t>
  </si>
  <si>
    <t>C25HMN</t>
  </si>
  <si>
    <t>C18MMNC-ALK</t>
  </si>
  <si>
    <t xml:space="preserve">C25HMN MA V55 </t>
  </si>
  <si>
    <t>C25HMNMAV65SIK</t>
  </si>
  <si>
    <t>C20MMN TLT</t>
  </si>
  <si>
    <t xml:space="preserve"> C15 MMNC 150*150</t>
  </si>
  <si>
    <t>SAILTOWER-GR6-V (A)</t>
  </si>
  <si>
    <t>45 C8</t>
  </si>
  <si>
    <t>55 C8</t>
  </si>
  <si>
    <t xml:space="preserve">C20MMNC-ALK </t>
  </si>
  <si>
    <t>C20 MMNA CUST TLT</t>
  </si>
  <si>
    <t>SA105_(VD)</t>
  </si>
  <si>
    <t>IS14650CPS1786FE500D</t>
  </si>
  <si>
    <t>51CRV4_ALK_(VD)</t>
  </si>
  <si>
    <t>Area/Unit</t>
  </si>
  <si>
    <t>Torpedo Ladles</t>
  </si>
  <si>
    <t>Hot Metal Ladle</t>
  </si>
  <si>
    <t>Converter</t>
  </si>
  <si>
    <t>Steel Ladle</t>
  </si>
  <si>
    <t>Slide Gate &amp; Purging</t>
  </si>
  <si>
    <t>Tundish &amp; Caster</t>
  </si>
  <si>
    <t>RH Degasser</t>
  </si>
  <si>
    <t>Slag Box</t>
  </si>
  <si>
    <t>Misc</t>
  </si>
  <si>
    <t>Re-heating Furnaces</t>
  </si>
  <si>
    <t>Grand Total</t>
  </si>
  <si>
    <t>Apr'25</t>
  </si>
  <si>
    <t>MAJOR TECHNO PARAMETERS 2025-2026</t>
  </si>
  <si>
    <t>MAJOR DESPATCH SUMMARY 2025-26 (As per Finance CENVAT report)</t>
  </si>
  <si>
    <t>ICC (AH)</t>
  </si>
  <si>
    <t>Mabu HCC trial (Hard)</t>
  </si>
  <si>
    <t>Moatize Low VM</t>
  </si>
  <si>
    <t>10.5-10.7</t>
  </si>
  <si>
    <t>13.4-14.1</t>
  </si>
  <si>
    <t>85.0-86.5</t>
  </si>
  <si>
    <t>7.5-8.0</t>
  </si>
  <si>
    <t>64.0-65.5</t>
  </si>
  <si>
    <t>22.5-24.0</t>
  </si>
  <si>
    <t>10.0-10.2</t>
  </si>
  <si>
    <t>12.5-13.5</t>
  </si>
  <si>
    <t>89.0-90.5</t>
  </si>
  <si>
    <t>5.5-5.9</t>
  </si>
  <si>
    <t>67.0-68.4</t>
  </si>
  <si>
    <t>21.0-22.5</t>
  </si>
  <si>
    <t>&lt;=2</t>
  </si>
  <si>
    <t>BLOOM CB C18 HMNC MA ALK 150*150</t>
  </si>
  <si>
    <t>Billet PC115(8)</t>
  </si>
  <si>
    <t>BB2 IS: 2062/2011; E350B (V)</t>
  </si>
  <si>
    <t>IS 2062 E350 BO-180/8.6/66.31</t>
  </si>
  <si>
    <t>C18 HMNC MA ALK</t>
  </si>
  <si>
    <t>OLD USED &amp; REJECTED CGI SCARP SHEETS</t>
  </si>
  <si>
    <t>USED &amp; REJECTED RAILS (BOKARO)</t>
  </si>
  <si>
    <t>Sulfuric Acid , MAT. CODE: 70410900120534</t>
  </si>
  <si>
    <t>Actual April'25</t>
  </si>
  <si>
    <t>Actual 2024-25</t>
  </si>
  <si>
    <t>BPP COB#11 (from BPTG/9ata PRDS) for process</t>
  </si>
  <si>
    <t>BPP COB#10 (from BPTG/13ataPRDS) for process</t>
  </si>
  <si>
    <t>BF (from BPTG/13ataPRDS) for process)</t>
  </si>
  <si>
    <t>Total process steam through BPTG/PRDS</t>
  </si>
  <si>
    <t>TOTAL Aux Steam with process steam through 22 ata PRDS</t>
  </si>
  <si>
    <t>Total Shutdown Actual</t>
  </si>
  <si>
    <t>Conversion</t>
  </si>
  <si>
    <t>May'25</t>
  </si>
  <si>
    <t>Calcined Lime (BOF)</t>
  </si>
  <si>
    <t>Kwh/T of prime production</t>
  </si>
  <si>
    <t>Calcined Dolomite fines</t>
  </si>
  <si>
    <t>BLOOM CB IS14650CPS2062E350RC 150*150</t>
  </si>
  <si>
    <t>BB2 IS: 2062/2011; E250C (Nb)</t>
  </si>
  <si>
    <t>Calcined Dolomite Fines</t>
  </si>
  <si>
    <t>USED &amp; REJECTED EMPTY DRUMS</t>
  </si>
  <si>
    <t>USED &amp; REJECTED STEEL CORD CONVEYOR BELT</t>
  </si>
  <si>
    <t>MIXED STRUCTURAL SCRAP</t>
  </si>
  <si>
    <t>Paver Block</t>
  </si>
  <si>
    <t>hmnc</t>
  </si>
  <si>
    <t>Actual May'25</t>
  </si>
  <si>
    <t>JUN'25</t>
  </si>
  <si>
    <t>JUL'25</t>
  </si>
  <si>
    <t>AUG'25</t>
  </si>
  <si>
    <t>SEP'25</t>
  </si>
  <si>
    <t>OCT'25</t>
  </si>
  <si>
    <t>NOV'25</t>
  </si>
  <si>
    <t>DEC'25</t>
  </si>
  <si>
    <t>JAN'26</t>
  </si>
  <si>
    <t>FEB'26</t>
  </si>
  <si>
    <t>MAR'26</t>
  </si>
  <si>
    <t>BLOOM CB C18 MMNC ALK 150*150</t>
  </si>
  <si>
    <t>2025-26</t>
  </si>
  <si>
    <t>IOF for conversion for PELLET (Dispatch)</t>
  </si>
  <si>
    <t>Jun'25</t>
  </si>
  <si>
    <t>June'25</t>
  </si>
  <si>
    <t>Fe-550D EQR</t>
  </si>
  <si>
    <t xml:space="preserve">10 mm TMT Coil </t>
  </si>
  <si>
    <t>36 mm</t>
  </si>
  <si>
    <t>E - 450BR</t>
  </si>
  <si>
    <t>UC 203*203</t>
  </si>
  <si>
    <t>Column</t>
  </si>
  <si>
    <t>IS 2062 E350BO</t>
  </si>
  <si>
    <t>CHANNEL  250*82*34.20</t>
  </si>
  <si>
    <t>IS 2062 E350 BO-190/ 9.4/77.58</t>
  </si>
  <si>
    <t>IS14650CPS2062E350RC</t>
  </si>
  <si>
    <t>BB2 IS: 2062/2011; E350C (Nb)</t>
  </si>
  <si>
    <t>BB2 IS: 2062/2011; E450BR (V)</t>
  </si>
  <si>
    <t>USED &amp; REJECTED CONVEYOR BELT (NYLON)</t>
  </si>
  <si>
    <t>PAVER BLOCK COSMIC(A-0.439SQFT,THK-60MM)</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</si>
  <si>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10424 Heats till 30.06.25</t>
  </si>
  <si>
    <t xml:space="preserve">
10th Relining carried on 28.07.22-02.08.22 which has resulted in 3510 Heats till 21.03.23.11th relining carried on from 22.03.2023-27.03.2023 which has resulted 10700 Heats till 28.04.2025.12th relining carried on from 29.04.2025 to-08.05.2025 which has resulted 995 Heats till 30.06.2025.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</si>
  <si>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12539 Heats till 30.06.25.</t>
  </si>
  <si>
    <t>10 TMTC</t>
  </si>
  <si>
    <t>FERRO SILICON</t>
  </si>
  <si>
    <t>Actual Jun'25</t>
  </si>
  <si>
    <t>Jul'25</t>
  </si>
  <si>
    <t>July'25</t>
  </si>
  <si>
    <t>UB 400</t>
  </si>
  <si>
    <t>Aug'25</t>
  </si>
  <si>
    <t>Beam</t>
  </si>
  <si>
    <t>CHANNEL  400*100*50.10</t>
  </si>
  <si>
    <t>BB2 IS: 2062/2011; E410C</t>
  </si>
  <si>
    <t>FERRO-VANADIUM</t>
  </si>
  <si>
    <t>ELECTRODE: 4MM FOR DISSIMILAR STEEL</t>
  </si>
  <si>
    <t>DISMANTLED BRASS SCRAP</t>
  </si>
  <si>
    <t>SOLAR ENERGY</t>
  </si>
  <si>
    <t>Actual Jul'25</t>
  </si>
  <si>
    <t>MLV/H</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</si>
  <si>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10953Heats till 31.07.25</t>
  </si>
  <si>
    <t xml:space="preserve">
10th Relining carried on 28.07.22-02.08.22 which has resulted in 3510 Heats till 21.03.23.11th relining carried on from 22.03.2023-27.03.2023 which has resulted 10700 Heats till 28.04.2025.12th relining carried on from 29.04.2025 to-08.05.2025 which has resulted 1557 Heats till 31.07.2025.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</si>
  <si>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13063 Heats till 31.07.25.</t>
  </si>
  <si>
    <t>BF Slag Analysis 2025-26</t>
  </si>
  <si>
    <t>BOF Slag Analysis 2025-26</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</si>
  <si>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11439 Heats till 31.08.25</t>
  </si>
  <si>
    <t xml:space="preserve">
10th Relining carried on 28.07.22-02.08.22 which has resulted in 3510 Heats till 21.03.23.11th relining carried on from 22.03.2023-27.03.2023 which has resulted 10700 Heats till 28.04.2025.12th relining carried on from 29.04.2025 to-08.05.2025 which has resulted 2090 Heats till 31.08.2025.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</si>
  <si>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13563 Heats till 31.08.25.</t>
  </si>
  <si>
    <t>Billet PC115(6.5)</t>
  </si>
  <si>
    <t>BB2 IS: 2062/2011; E250A CU</t>
  </si>
  <si>
    <t>WR COIL IS 7887 GR1(CAQ) 6</t>
  </si>
  <si>
    <t>CHANNEL 300*90*36.30</t>
  </si>
  <si>
    <t>REJECTED ROLLING STOCK SCRAP</t>
  </si>
  <si>
    <t>REJECTED/BROKEN GRAPHITE ELECTRODES</t>
  </si>
  <si>
    <t>SCRAP COMPONENETS OF VEHICLE AND EQUIPTS</t>
  </si>
  <si>
    <t>REJECTED TMT BAR SCRAP(ASP)</t>
  </si>
  <si>
    <t>LS LSTONE:SIO2&lt;1.25%</t>
  </si>
  <si>
    <t>7702 (MATE. CODE. 70410400080690)</t>
  </si>
  <si>
    <t>Actual Aug'25</t>
  </si>
  <si>
    <t>Rourkela</t>
  </si>
  <si>
    <t>Other Coal</t>
  </si>
  <si>
    <t>Sep'25</t>
  </si>
  <si>
    <t>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11920 Heats till 30.09.25</t>
  </si>
  <si>
    <t xml:space="preserve">
10th Relining carried on 28.07.22-02.08.22 which has resulted in 3510 Heats till 21.03.23.11th relining carried on from 22.03.2023-27.03.2023 which has resulted 10700 Heats till 28.04.2025.12th relining carried on from 29.04.2025 to-08.05.2025 which has resulted 2607 Heats till 30.09.2025.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</si>
  <si>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14019 Heats till 30.09.25.</t>
  </si>
  <si>
    <t>Gr 2(CAQ)</t>
  </si>
  <si>
    <t>UB 356*171*51</t>
  </si>
  <si>
    <t>UB 356*171*57</t>
  </si>
  <si>
    <t>BLOOM CB C20 MMNA 150*150</t>
  </si>
  <si>
    <t>BB3 IS: 2062/2011; E350C (Nb)</t>
  </si>
  <si>
    <t>IS 2062 E250BO</t>
  </si>
  <si>
    <t>UB  356*171*51</t>
  </si>
  <si>
    <t>UC 203*203*46.1</t>
  </si>
  <si>
    <t>UC  203*203*52</t>
  </si>
  <si>
    <t>UC 203*203*60</t>
  </si>
  <si>
    <t>Beam Blank</t>
  </si>
  <si>
    <t>Bloom</t>
  </si>
  <si>
    <t>POWER SAW CUTTING DUST(STEEL) WITH CHIPS</t>
  </si>
  <si>
    <t>FERRO CHROME,HIGH CARBON</t>
  </si>
  <si>
    <t>FERRO VANADIUM,50%MIN (BSL)</t>
  </si>
  <si>
    <t>RIVER SAND</t>
  </si>
  <si>
    <t>MAX QUAT-10( MATE. CODE 70410200040093)</t>
  </si>
  <si>
    <t>Actual Sep'25</t>
  </si>
  <si>
    <t>End Cut</t>
  </si>
  <si>
    <t>Bhilai</t>
  </si>
  <si>
    <t>Oct'25</t>
  </si>
  <si>
    <t>Actual Oct'25</t>
  </si>
  <si>
    <t>UB 406*178*74</t>
  </si>
  <si>
    <t>UB406*178*60</t>
  </si>
  <si>
    <t>Rejected UC 203</t>
  </si>
  <si>
    <t>Rejected UB 406</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</si>
  <si>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259 Heats till 31.10.2025.</t>
  </si>
  <si>
    <t xml:space="preserve">
10th Relining carried on 28.07.22-02.08.22 which has resulted in 3510 Heats till 21.03.23.11th relining carried on from 22.03.2023-27.03.2023 which has resulted 10700 Heats till 28.04.2025.12th relining carried on from 29.04.2025 to-08.05.2025 which has resulted 3000 Heats till 31.10.2025.</t>
  </si>
  <si>
    <t>IS 2062 E250BR 180/75.67</t>
  </si>
  <si>
    <t>IS2062 E250BR 180/75.66</t>
  </si>
  <si>
    <t>UB 406*178*60</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</si>
  <si>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14424 Heats till 31.10.25.</t>
  </si>
  <si>
    <t>MIXED STRUCTURAL SCRAP(BOKARO/ASP)</t>
  </si>
  <si>
    <t>RINL</t>
  </si>
  <si>
    <t xml:space="preserve">Assorted BILLET </t>
  </si>
  <si>
    <t xml:space="preserve">Commissioning and Connection of 4th Stove &amp; Shotcreting Jobs </t>
  </si>
  <si>
    <t xml:space="preserve">CDCP#4 Capital Repair </t>
  </si>
  <si>
    <t>Coldbox Repair &amp; Deriming Jobs.</t>
  </si>
  <si>
    <t>Jobs Executed</t>
  </si>
  <si>
    <t>Time Period</t>
  </si>
  <si>
    <t>COKE BREEZE (Road)</t>
  </si>
  <si>
    <t>Nov'25</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</si>
  <si>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790 Heats till 30.11.2025.</t>
  </si>
  <si>
    <t xml:space="preserve">
10th Relining carried on 28.07.22-02.08.22 which has resulted in 3510 Heats till 21.03.23.11th relining carried on from 22.03.2023-27.03.2023 which has resulted 10700 Heats till 28.04.2025.12th relining carried on from 29.04.2025 to-08.05.2025 which has resulted 3489 Heats till 30.11.2025.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</si>
  <si>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14861 Heats till 30.11.25.</t>
  </si>
  <si>
    <t>UB 356*171*45</t>
  </si>
  <si>
    <t>UB 356*171*67.1</t>
  </si>
  <si>
    <t>Rejected UB 356</t>
  </si>
  <si>
    <t>IS 2062 E410 BR-190/ 9.4/77.58</t>
  </si>
  <si>
    <t>IS 2062 E250 BR-180/8.6/66.30</t>
  </si>
  <si>
    <t>UB  356*171*45</t>
  </si>
  <si>
    <t>SET OF MANTURBO CARDS FOR RSP.</t>
  </si>
  <si>
    <t>Actual Nov'25</t>
  </si>
  <si>
    <t>Misc / Other Delays</t>
  </si>
  <si>
    <t>Cumulative (+18)</t>
  </si>
  <si>
    <t>Cumulative(-8)</t>
  </si>
  <si>
    <t>TI</t>
  </si>
  <si>
    <t>CCS</t>
  </si>
  <si>
    <t>Labour Productivity (MoU)</t>
  </si>
  <si>
    <t>Labour Productivity (Pre-existing)</t>
  </si>
  <si>
    <t>Labor productivity calculation (Pre existing)</t>
  </si>
  <si>
    <t>Labor productivity calculation (MoU)</t>
  </si>
  <si>
    <t>LP</t>
  </si>
  <si>
    <t>Average MP =  all regular employees + Contract workers deployed in the Works &amp; NW areas of the Plant except workforce deployed in Projects.</t>
  </si>
  <si>
    <t>Porosity</t>
  </si>
  <si>
    <t>Dec'25</t>
  </si>
  <si>
    <t>MIXED SCRAP OF ARMOURED ALUMINIUM CABLES</t>
  </si>
  <si>
    <t>SCRAP AL ARMOURED/UNARMOURED(DIFF SIZES)</t>
  </si>
  <si>
    <t>FERRO TITANIUM,MIN65%</t>
  </si>
  <si>
    <t>WPB 240*240*47.40</t>
  </si>
  <si>
    <t>UB 356*171*67</t>
  </si>
  <si>
    <t>UB 406*178*67</t>
  </si>
  <si>
    <t>Actual Dec'25</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</si>
  <si>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1322 Heats till 31.12.2025.</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</si>
  <si>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15343 Heats till 31.12.25.</t>
  </si>
  <si>
    <t xml:space="preserve">
10th Relining carried on 28.07.22-02.08.22 which has resulted in 3510 Heats till 21.03.23.11th relining carried on from 22.03.2023-27.03.2023 which has resulted 10700 Heats till 28.04.2025.12th relining carried on from 29.04.2025 to-08.05.2025 which has resulted 3979 Heats till 31.12.2025.</t>
  </si>
  <si>
    <t>Jan'26</t>
  </si>
  <si>
    <t>IS 2062 E350 BR-180/8.6/66.30</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</si>
  <si>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1858 Heats till 31.01.2026.</t>
  </si>
  <si>
    <t xml:space="preserve">
10th Relining carried on 28.07.22-02.08.22 which has resulted in 3510 Heats till 21.03.23.11th relining carried on from 22.03.2023-27.03.2023 which has resulted 10700 Heats till 28.04.2025.12th relining carried on from 29.04.2025 to-08.05.2025 which has resulted 4415 Heats till 31.01.2026.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</si>
  <si>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15834 Heats till 31.01.26.</t>
  </si>
  <si>
    <t>BLOOM CB SAILTOWER6 V 200*280</t>
  </si>
  <si>
    <t>BLOOM CB 45C8 ALK(VD) 200*280</t>
  </si>
  <si>
    <t>BLOOM CB 45 C8 (ROLLING) 200*280</t>
  </si>
  <si>
    <t>On Hold Beam Blank (Bad Cutting)</t>
  </si>
  <si>
    <t>CALCINED PETROLEUM COKE,IS:8502,1977</t>
  </si>
  <si>
    <t>CABLE,ARM,11/11KV(UE),AL,3C,240MM2</t>
  </si>
  <si>
    <t>SCRAPPED GRATE BAR, SINTER PLANT</t>
  </si>
  <si>
    <t>PVC POWER CABLE:LMFG</t>
  </si>
  <si>
    <t>BF WEATHERED GRANULATED SLAG</t>
  </si>
  <si>
    <t>BF Weathered Gran Slag</t>
  </si>
  <si>
    <t>OLD,USED &amp; REJ MECH. MACHINERY SCRAP</t>
  </si>
  <si>
    <t>SCRAP LEAD STRIPPED FROM XLPE CU CABLES</t>
  </si>
  <si>
    <t>DS SCRAP</t>
  </si>
  <si>
    <t>SCRAP SAW BLADE</t>
  </si>
  <si>
    <t>No.s</t>
  </si>
  <si>
    <t>Burden check</t>
  </si>
  <si>
    <t xml:space="preserve">% Fe in Hot Metal </t>
  </si>
  <si>
    <t>% Fe in Sinter</t>
  </si>
  <si>
    <t>% Fe in IOL</t>
  </si>
  <si>
    <t>% Fe in Pellet</t>
  </si>
  <si>
    <t>% Sinter Burden</t>
  </si>
  <si>
    <t>% IOL Burden</t>
  </si>
  <si>
    <t>%Pellet</t>
  </si>
  <si>
    <t>Prepared Burden %</t>
  </si>
  <si>
    <t>% Fe in Burden</t>
  </si>
  <si>
    <t>Burden Required</t>
  </si>
  <si>
    <t>IOL required per Ton of Hot Metal</t>
  </si>
  <si>
    <t>Pellet required per ton of Hot metal</t>
  </si>
  <si>
    <t>Sinter Required per Ton  of Hot Metal</t>
  </si>
  <si>
    <t>Reported</t>
  </si>
  <si>
    <t>Calclated</t>
  </si>
  <si>
    <t>Actual Jan'26</t>
  </si>
  <si>
    <t>Feb'26</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</si>
  <si>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2297 Heats till 28.02.2026.</t>
  </si>
  <si>
    <t xml:space="preserve">
10th Relining carried on 28.07.22-02.08.22 which has resulted in 3510 Heats till 21.03.23.11th relining carried on from 22.03.2023-27.03.2023 which has resulted 10700 Heats till 28.04.2025.12th relining carried on from 29.04.2025 to-08.05.2025 which has resulted 4800 Heats till 28.02.2026.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</si>
  <si>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16199 Heats till 28.02.26.</t>
  </si>
  <si>
    <t>IS 2062 E350 BO</t>
  </si>
  <si>
    <t>7 mm E250A</t>
  </si>
  <si>
    <t>CALCIUM SILICIDE CORED WIRE,13MM</t>
  </si>
  <si>
    <t>DISMANTLED ALUMINIUM CABLE</t>
  </si>
  <si>
    <t>OLD/USED &amp; DISCARDED PLANTE TYPE CELL</t>
  </si>
  <si>
    <t>SCRAP ARMOURED/NON-ARMOURED COPPER CABLE</t>
  </si>
  <si>
    <t>SCRAP LEAD PLATE</t>
  </si>
  <si>
    <t>SCRAP OF VAM CHILLER UNIT</t>
  </si>
  <si>
    <t>USED AND REJECTED CABLE TRAY MADE OF GI</t>
  </si>
  <si>
    <t>BLOOM IS: 2062/2011; E250A CU</t>
  </si>
  <si>
    <t>Actual Feb'26</t>
  </si>
  <si>
    <t>Pcs.</t>
  </si>
  <si>
    <t>Total Pieces</t>
  </si>
  <si>
    <t>JAMADOBA</t>
  </si>
  <si>
    <t>Mar'26</t>
  </si>
  <si>
    <t>.</t>
  </si>
  <si>
    <t>OLD, USED &amp; REJECTED MOTORS</t>
  </si>
  <si>
    <t>BLOOM CB 45 C8 (ROLLING) 200*280 (VISL)</t>
  </si>
  <si>
    <t>BLOOM CB 45C8 ALK(VD) 200*280 (VISL)</t>
  </si>
  <si>
    <t xml:space="preserve"> PIG IRON MIXED OG</t>
  </si>
  <si>
    <t>USED &amp; REJECTED MILD STEEL SCRAP (ASP)</t>
  </si>
  <si>
    <t>CONTACTOR,AUX,110V</t>
  </si>
  <si>
    <t>UNDEFINED_SPR</t>
  </si>
  <si>
    <t>Diverted Small Sinter (Joraburi)</t>
  </si>
  <si>
    <t>IS 2062 E350 BR-190/ 9.4/77.57</t>
  </si>
  <si>
    <t>125 X 125 BILLET</t>
  </si>
  <si>
    <t>125*125</t>
  </si>
  <si>
    <t>5.5 WRC HC78B</t>
  </si>
  <si>
    <t>5.5 WRC HC82B</t>
  </si>
  <si>
    <t>SAE 1018 / GR 7M</t>
  </si>
  <si>
    <t>Actual Mar'26</t>
  </si>
  <si>
    <t>ASSORTED BILLET (CCP)125*125- Road</t>
  </si>
  <si>
    <t>TOTAL ISP DIRECT SALES  (except asorted semis)</t>
  </si>
  <si>
    <t>Indigenous</t>
  </si>
  <si>
    <t>Average Production/Day</t>
  </si>
  <si>
    <t>value added Steel Production</t>
  </si>
  <si>
    <t>Rail</t>
  </si>
  <si>
    <t>Road</t>
  </si>
  <si>
    <t>WR COIL IS 2062 E250A 6</t>
  </si>
  <si>
    <t>WR COIL IS 2062 E250A 7</t>
  </si>
  <si>
    <t>BSL</t>
  </si>
  <si>
    <t>WR COIL IS 2062 E250A 12  (BSL)</t>
  </si>
  <si>
    <t>WR COIL IS 2062 E250A 16  (BSL)</t>
  </si>
  <si>
    <t>WR COIL IS 2062 E250A 20  (ASP)</t>
  </si>
  <si>
    <t>WR COIL IS 2062 E250A 5.5  (ASP)</t>
  </si>
  <si>
    <t>Assorted Beam Blank</t>
  </si>
  <si>
    <t>Direct/Plant Sales via IPT</t>
  </si>
  <si>
    <t>Direct/Plant Sales to others</t>
  </si>
  <si>
    <t>IPT Prime</t>
  </si>
  <si>
    <t>Bloom 200x280 Prime</t>
  </si>
  <si>
    <t>Estimation of Coal to Hot Metal Ratio at ------ During 2025-26</t>
  </si>
  <si>
    <t>Item</t>
  </si>
  <si>
    <t>Coking Coal</t>
  </si>
  <si>
    <t>Op. Stock (Tonnes)</t>
  </si>
  <si>
    <t>Receipt # in Tonnes on RR basis</t>
  </si>
  <si>
    <t>Closing Stock (Tonnes)</t>
  </si>
  <si>
    <t>Estimated Consumption(Tonnes)</t>
  </si>
  <si>
    <t>CDI Coal</t>
  </si>
  <si>
    <t>Receipt/Despatch (-) in Tonnes on RR basis ( dispatches to be entered with a negative sign)</t>
  </si>
  <si>
    <t>Estimated Consumption (Tonnes)</t>
  </si>
  <si>
    <t>Moisture in BF Coke (%)</t>
  </si>
  <si>
    <t>Estimated Consumption of Dry BF Coke  from stock (Tonnes)</t>
  </si>
  <si>
    <t>BF Coke Yield(%)</t>
  </si>
  <si>
    <t>Quantity of Dry Coking Coal equivalent to BF Coke Consumption from stock(Tonnes)</t>
  </si>
  <si>
    <t>Moisture in Coking Coal (%)</t>
  </si>
  <si>
    <t>Transit &amp; Handling Loss of Coking Coal (%)</t>
  </si>
  <si>
    <t>Quantity of Dispatch Basis Wet Coking Coal equivalent to BF Coke Consumption from stock (Tonnes)</t>
  </si>
  <si>
    <t>Total Estimated Met Coal Consumption (Tonnes)</t>
  </si>
  <si>
    <t>Hot Metal Production (Tonnes)</t>
  </si>
  <si>
    <t>Estimated Coal to HM Ratio</t>
  </si>
  <si>
    <t>SHOP/MONTH</t>
  </si>
  <si>
    <t>Apr'26</t>
  </si>
  <si>
    <t>2026-27 ABP</t>
  </si>
  <si>
    <t>2026-27 
Norm</t>
  </si>
  <si>
    <t>ABP 2026-27</t>
  </si>
  <si>
    <t>MAJOR TECHNO PARAMETERS 2026-27</t>
  </si>
  <si>
    <t>Mill+SMS Scale</t>
  </si>
  <si>
    <t>859 Kg/THM</t>
  </si>
  <si>
    <t>MZ Hard Benga</t>
  </si>
  <si>
    <t>&lt;3.3%</t>
  </si>
  <si>
    <t>24.8-25.2</t>
  </si>
  <si>
    <t>&lt;=0.50</t>
  </si>
  <si>
    <t>10.0-10.5</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</si>
  <si>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2835 Heats till 31.03.2026.</t>
  </si>
  <si>
    <t xml:space="preserve">
10th Relining carried on 28.07.22-02.08.22 which has resulted in 3510 Heats till 21.03.23.11th relining carried on from 22.03.2023-27.03.2023 which has resulted 10700 Heats till 28.04.2025.12th relining carried on from 29.04.2025 to-08.05.2025 which has resulted 5275 Heats till 31.03.2026.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</si>
  <si>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16713 Heats till 31.03.26.</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</si>
  <si>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3177 Heats till 30.04.2026.</t>
  </si>
  <si>
    <t xml:space="preserve">
10th Relining carried on 28.07.22-02.08.22 which has resulted in 3510 Heats till 21.03.23.11th relining carried on from 22.03.2023-27.03.2023 which has resulted 10700 Heats till 28.04.2025.12th relining carried on from 29.04.2025 to-08.05.2025 which has resulted 5834 Heats till 30.04.2026.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</si>
  <si>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17234 Heats till 30.04.26.</t>
  </si>
  <si>
    <t>FERRO NIOBIUM</t>
  </si>
  <si>
    <t>IS 2062 E350 B0-180/7/57.38</t>
  </si>
  <si>
    <t>BLOOM CB C25 HMN MA V65 150*150</t>
  </si>
  <si>
    <t>APR'26</t>
  </si>
  <si>
    <t>Power Import from DVC &amp; IPCL (Old Plant)</t>
  </si>
  <si>
    <t>BOF (21ata PRDS)</t>
  </si>
  <si>
    <t xml:space="preserve">DEA.TUR.AUX </t>
  </si>
  <si>
    <t>CDCP (AUX) + ESP Boiler</t>
  </si>
  <si>
    <t xml:space="preserve">LOSS </t>
  </si>
  <si>
    <t>TRIAL PCI</t>
  </si>
  <si>
    <t>April'26</t>
  </si>
  <si>
    <t>s</t>
  </si>
  <si>
    <t>ABP 2025-26</t>
  </si>
  <si>
    <t>APR 26</t>
  </si>
  <si>
    <t>MAY 26</t>
  </si>
  <si>
    <t>JUN 26</t>
  </si>
  <si>
    <t>JUL 26</t>
  </si>
  <si>
    <t>AUG 26</t>
  </si>
  <si>
    <t>SEP 26</t>
  </si>
  <si>
    <t>OCT 26</t>
  </si>
  <si>
    <t>NOV 26</t>
  </si>
  <si>
    <t>DEC 26</t>
  </si>
  <si>
    <t>JAN 27</t>
  </si>
  <si>
    <t>FEB 27</t>
  </si>
  <si>
    <t>MAR 27</t>
  </si>
  <si>
    <t>Total Specific Refractory Consumption (KG/TCS)</t>
  </si>
  <si>
    <t>Actual 2025-26</t>
  </si>
  <si>
    <t>Actual April'26</t>
  </si>
  <si>
    <t>FY2026-27</t>
  </si>
  <si>
    <t>2026-27</t>
  </si>
  <si>
    <t>Check point</t>
  </si>
  <si>
    <t>May'26</t>
  </si>
  <si>
    <t>Sp Power Consumption with oxygen plant</t>
  </si>
  <si>
    <t xml:space="preserve">Sp Power Consumption </t>
  </si>
  <si>
    <t>MAY'26</t>
  </si>
  <si>
    <t>IS7887 GR 7M</t>
  </si>
  <si>
    <t>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3428 Heats till 31.05.2026.</t>
  </si>
  <si>
    <t xml:space="preserve">
10th Relining carried on 28.07.22-02.08.22 which has resulted in 3510 Heats till 21.03.23.11th relining carried on from 22.03.2023-27.03.2023 which has resulted 10700 Heats till 28.04.2025.12th relining carried on from 29.04.2025 to-08.05.2025 which has resulted 5982 Heats till 31.05.2026.</t>
  </si>
  <si>
    <t>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17463 Heats till 31.05.26.</t>
  </si>
  <si>
    <t>VISL</t>
  </si>
  <si>
    <t>LUBRICATING OIL</t>
  </si>
  <si>
    <t>BLOOM CB IS2830 C18MMNC-ALK 200*280 (ASP)</t>
  </si>
  <si>
    <t>19MNB4(M)</t>
  </si>
  <si>
    <t>EN 8A CR</t>
  </si>
  <si>
    <t>EN 8D CR</t>
  </si>
  <si>
    <t>IS11169/SAE15B25</t>
  </si>
  <si>
    <t>HC52B</t>
  </si>
  <si>
    <t>GR 4 ALK</t>
  </si>
  <si>
    <t>GR 7M</t>
  </si>
  <si>
    <t>GR4(SWR14)</t>
  </si>
  <si>
    <t>EN8D CR</t>
  </si>
  <si>
    <t>IS11169 26C10BT/SAE15B25</t>
  </si>
  <si>
    <t>HC82B</t>
  </si>
  <si>
    <t>HCT1130CR(PC)</t>
  </si>
  <si>
    <t>HC62B</t>
  </si>
  <si>
    <t xml:space="preserve">9 mm Plain Coil </t>
  </si>
  <si>
    <t>32 mm TMT (Fe-550D)</t>
  </si>
  <si>
    <t>6 mm E250A</t>
  </si>
  <si>
    <t xml:space="preserve">BLOOM CB IS2830 C18MMNC-ALK 200*280 </t>
  </si>
  <si>
    <t>5.5 WRC HC68B</t>
  </si>
  <si>
    <t>BLOOM CB HCR 150*150</t>
  </si>
  <si>
    <t>BLOOM CB IS2830 C18MMNC-ALK 200*280</t>
  </si>
  <si>
    <t>BLOOM IS: 2062/2011; E250B</t>
  </si>
  <si>
    <t>Actual May'26</t>
  </si>
  <si>
    <t>Sp. CO2 emission (New WSA methodolgy)</t>
  </si>
  <si>
    <t>(1)EXPORT</t>
  </si>
  <si>
    <t>(2)IPT Prime</t>
  </si>
  <si>
    <t>(3)Direct/Plant Sales via IPT</t>
  </si>
  <si>
    <t>(4)Direct/Plant Sales to others</t>
  </si>
  <si>
    <t>(5)CMO (HOME SALES)</t>
  </si>
  <si>
    <t>TOTAL Assorted Beam Blank</t>
  </si>
  <si>
    <t>TOTAL 125 X 125 BILLET</t>
  </si>
  <si>
    <t>Capital Repair Details : 2026-27</t>
  </si>
  <si>
    <t>Dept.</t>
  </si>
  <si>
    <t xml:space="preserve">Plan </t>
  </si>
  <si>
    <t>Actual</t>
  </si>
  <si>
    <t>Jobs</t>
  </si>
  <si>
    <t>Reasons for any delays in execution/completion</t>
  </si>
  <si>
    <t>Make-up plan to bridge the production shortfall against ABP</t>
  </si>
  <si>
    <t>May'26-Aug'26</t>
  </si>
  <si>
    <t>During execution reliability will be ensured of other 3 boilers to meet ABP target.</t>
  </si>
  <si>
    <t>SP-1: ESP Upgradation &amp; Modification, Replacement of curved Rail, Teeth segment of Sinter Machine drive</t>
  </si>
  <si>
    <t>Aligned with BF Capital Repair.</t>
  </si>
  <si>
    <t xml:space="preserve">1.COG line replacement
2.Modified Furnace Wall changing 
3.ESP Hopper modification-  5 out of 6  hoppers partial mofification job done.  4.Cold Alignment and Tyre Grinding of MND
</t>
  </si>
  <si>
    <t>04.05.2026-16.05.2026</t>
  </si>
  <si>
    <t>No Delay</t>
  </si>
  <si>
    <t xml:space="preserve">SP-2: COG Line Replacement, Sinter Machine curved Rail Replacement, and MND Jobs. </t>
  </si>
  <si>
    <t xml:space="preserve">1.ESP Upgradation &amp; Modification (ESP Hopper modification — 2 out of 6 hoppers partial modification job done)
2.Sinter Machine Travelling Trolley with Roller Replacement
3.Sinter Machine Tipping Station DE and NDE Bearing Replacement
4.Mixing &amp; Nodulising Drum Polymer Liners and Lifter Bars Replacement
</t>
  </si>
  <si>
    <t>06.05.2026-19.05.2026</t>
  </si>
  <si>
    <t>RMHP</t>
  </si>
  <si>
    <t>Replacement of Side Beam Assembly in Wagon Tippler (WT) 302 of RMHP</t>
  </si>
  <si>
    <t>As per plan</t>
  </si>
  <si>
    <t>06.05.2026-13.05.2026</t>
  </si>
  <si>
    <t>Job was completed before time. Sufficient stock of Base Mix was available.</t>
  </si>
  <si>
    <t>26th April to 5th May’26.</t>
  </si>
  <si>
    <t>1+10+2</t>
  </si>
  <si>
    <t>Stove 4 connection</t>
  </si>
  <si>
    <t>06.05.2026-18.05.2026</t>
  </si>
  <si>
    <t>In leak test, leakage was found in the stove 4 valve flanges ,which led to delay in completion.
Nil Production: 06.05.2026-19.05.2026</t>
  </si>
  <si>
    <t>Consistent production of Hotmetal in the range of 9000-9200 TPD
Gap (ABP-Actual) in Apr'26-May'26 : 47,000 Tonnes</t>
  </si>
  <si>
    <t xml:space="preserve">Hatch door repair job </t>
  </si>
  <si>
    <t>Shortcreting of furnace</t>
  </si>
  <si>
    <t>14.05.2026-16.05.2026</t>
  </si>
  <si>
    <t>Tuyere &amp; Blow Pipe fixing  &amp; Distribution chute fixing</t>
  </si>
  <si>
    <t>16.05.2026-16.05.2026</t>
  </si>
  <si>
    <t xml:space="preserve">Hatch door fixing </t>
  </si>
  <si>
    <t>17.05.2026-18.05.2026</t>
  </si>
  <si>
    <t>Leak test</t>
  </si>
  <si>
    <t>Furnace Filling</t>
  </si>
  <si>
    <t>Oxy fuel lancing</t>
  </si>
  <si>
    <t>19.05.2026-19.05.2026</t>
  </si>
  <si>
    <t>SMS: BOF</t>
  </si>
  <si>
    <t>(i) Installation of Emergency Brakes in Cranes
(ii) Water Circuit Jobs
(iii) Level-1 upgrade for BOF, SRU, HMDS</t>
  </si>
  <si>
    <t>05.05.2026-20.05.2026</t>
  </si>
  <si>
    <t>No delay; production as per availability of hot metal</t>
  </si>
  <si>
    <t>Consuming all hot metal produced by Blast Furnace
Gap (ABP-Actual) in Apr'26-May'26 : 43,500 Tonnes</t>
  </si>
  <si>
    <t>Convertor#1 NDE &amp; DE Bearing replacement</t>
  </si>
  <si>
    <t>01.04.2026-10.04.2026</t>
  </si>
  <si>
    <t>SMS:CCP</t>
  </si>
  <si>
    <t>Major overhauling and repair work of various equipments and machineries</t>
  </si>
  <si>
    <t>12.05.2026-25.05.2026</t>
  </si>
  <si>
    <t>Unavailability of mixed gas</t>
  </si>
  <si>
    <t>With improvement in equipment health after CR,  emiisivity coating in RHF, futher Improvement in Mill utilization and Rolling rate shall be done.
Gap (ABP-Actual) in Apr'26-May'26 : 11,000 Tonnes in WR Mill &amp; 31,500 IN Bar Mill</t>
  </si>
  <si>
    <t>05.05.2026-22.05.2026</t>
  </si>
  <si>
    <t>01.05.2026-23.05.2026</t>
  </si>
  <si>
    <t>Gas leakage in BOF gas holder shell &amp; bottom plate area led to shutdown of Gas holder due to exigency. As no BOF gas was available, only two out of three mills could e run with the available gas. Subsequently , shutdown of USM was taken wef from 01.05.26</t>
  </si>
  <si>
    <t>Post-CR RHF emissivity coating o improve RHF thermal efficiency and enable improved &amp; uniform heating of beam blanks, With improvement in health of hydraulic systems, stabilisation of performace of cold saw blades, improved performance of rolls procured from SMS with respect to surface quality and campaign life, Improvement in Mill utilization and Rolling rate shall be realized.
Gap (ABP-Actual) in Apr'26-May'26 : 52,000 in US Mill</t>
  </si>
  <si>
    <t>Oxygen Plant-2</t>
  </si>
  <si>
    <t>4+13</t>
  </si>
  <si>
    <t>03.05.2026-18.05.2026</t>
  </si>
  <si>
    <t>N/A</t>
  </si>
  <si>
    <t>PBS#2</t>
  </si>
  <si>
    <t>Overhauling of Turbo blower#3</t>
  </si>
  <si>
    <t>28.04.2026 - 08.06.2026</t>
  </si>
  <si>
    <t>Inadequate resource mobilization by the contractor, stuck-up issue of two Stationary blade carriers assembly &amp; constraints of EOT crane avialablity due to simultaneous jobs in TB-3 and STG-3.</t>
  </si>
  <si>
    <t>No impact on ABP target as standbly Blowers 1 &amp; 2 are running reliabily as ber BF demand.</t>
  </si>
  <si>
    <t xml:space="preserve">Overhauling of TRT Turbine </t>
  </si>
  <si>
    <t>08.05.2026-27.05.2026</t>
  </si>
  <si>
    <t>Simultaneous job of Turbine and Generator was going on at one spot.</t>
  </si>
  <si>
    <t>No impact on ABP target</t>
  </si>
  <si>
    <t>Overhauling of TRT Generator</t>
  </si>
  <si>
    <t>07.05.2026-26.05.2026</t>
  </si>
  <si>
    <t>Booster house rooftop pipeline change and re-routing of PCV lines</t>
  </si>
  <si>
    <t>Job to be executed in Jun’26</t>
  </si>
  <si>
    <t>Additional jobs planned keeping in view the delay in BF repair</t>
  </si>
  <si>
    <r>
      <t xml:space="preserve">Repair Jobs in RHF, gas lines and Water Circuits/ Replcement of Overdrive Gearbox &amp; 5.4 MW Motor for 8 Pass BGV/ Installation and commissioning of two no. high capacity fans in cooling conveyor, </t>
    </r>
    <r>
      <rPr>
        <b/>
        <sz val="14"/>
        <color rgb="FF000000"/>
        <rFont val="Arial Narrow"/>
        <family val="2"/>
      </rPr>
      <t xml:space="preserve">Replacement of 4 roll segments in Cooling Conveyor along with replacement of extraction car in easy down. </t>
    </r>
  </si>
  <si>
    <r>
      <t xml:space="preserve">Repair Jobs in RHF, gas lines and Water Circuits/ Cold shear and Dividing shear replacement, </t>
    </r>
    <r>
      <rPr>
        <b/>
        <sz val="14"/>
        <color rgb="FF000000"/>
        <rFont val="Arial Narrow"/>
        <family val="2"/>
      </rPr>
      <t xml:space="preserve">Machining of bed plate of Rolling Stands </t>
    </r>
  </si>
  <si>
    <r>
      <t xml:space="preserve">Repair Jobs in RHF, Replacement of skid posts; Overhauling of gas lines/ Shifting of descalar, shifting of panels in UR and BD/ TD AGC &amp; keeper plate cylinder overhauling / BD Manipulator </t>
    </r>
    <r>
      <rPr>
        <b/>
        <sz val="14"/>
        <color rgb="FF000000"/>
        <rFont val="Arial Narrow"/>
        <family val="2"/>
      </rPr>
      <t>Replacement</t>
    </r>
    <r>
      <rPr>
        <sz val="14"/>
        <color rgb="FF000000"/>
        <rFont val="Arial Narrow"/>
        <family val="2"/>
      </rPr>
      <t>, and Water Circuits Jobs</t>
    </r>
  </si>
  <si>
    <t>June'26</t>
  </si>
  <si>
    <t>July'26</t>
  </si>
  <si>
    <t>Aug'26</t>
  </si>
  <si>
    <t>Sep'26</t>
  </si>
  <si>
    <t>Oct'26</t>
  </si>
  <si>
    <t>Nov'26</t>
  </si>
  <si>
    <t>Dec'26</t>
  </si>
  <si>
    <t>Jan'27</t>
  </si>
  <si>
    <t>Feb'27</t>
  </si>
  <si>
    <t>Mar'27</t>
  </si>
  <si>
    <t>% DIRECT (CMO Direct+export+Plant Sales+IPT)</t>
  </si>
  <si>
    <t>% DIRECT (CMO Direct+export)</t>
  </si>
  <si>
    <t>CRUDE STEEL GRADE SUMMARY AS PER RCL - 2026-27 (Unit: MT)</t>
  </si>
  <si>
    <t>SHOPWISE MAKE-UP WATER CONSUMPTION OF ISP FOR FY 2026-27</t>
  </si>
  <si>
    <t>Lakhs(m3)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</si>
</sst>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4" formatCode="_ &quot;₹&quot;\ * #,##0.00_ ;_ &quot;₹&quot;\ * \-#,##0.00_ ;_ &quot;₹&quot;\ * &quot;-&quot;??_ ;_ @_ "/>
    <numFmt numFmtId="43" formatCode="_ * #,##0.00_ ;_ * \-#,##0.00_ ;_ * &quot;-&quot;??_ ;_ @_ "/>
    <numFmt numFmtId="164" formatCode="_(* #,##0_);_(* \(#,##0\);_(* &quot;-&quot;_);_(@_)"/>
    <numFmt numFmtId="165" formatCode="_(&quot;$&quot;* #,##0.00_);_(&quot;$&quot;* \(#,##0.00\);_(&quot;$&quot;* &quot;-&quot;??_);_(@_)"/>
    <numFmt numFmtId="166" formatCode="_(* #,##0.00_);_(* \(#,##0.00\);_(* &quot;-&quot;??_);_(@_)"/>
    <numFmt numFmtId="167" formatCode="0.0"/>
    <numFmt numFmtId="168" formatCode="General_)"/>
    <numFmt numFmtId="169" formatCode="0.000"/>
    <numFmt numFmtId="170" formatCode="0.0000"/>
    <numFmt numFmtId="171" formatCode="0.0%"/>
    <numFmt numFmtId="172" formatCode="_(* #,##0.00_);_(* \(#,##0.00\);_(* &quot;-&quot;_);_(@_)"/>
    <numFmt numFmtId="173" formatCode="&quot;Rs.&quot;\ #,##0;[Red]&quot;Rs.&quot;\ \-#,##0"/>
    <numFmt numFmtId="174" formatCode="_(* #,##0_);_(* \(#,##0\);_(* &quot;-&quot;??_);_(@_)"/>
    <numFmt numFmtId="175" formatCode="_(* #,##0.00_);_(* \(#,##0.00\);_(* \-??_);_(@_)"/>
    <numFmt numFmtId="176" formatCode="_-* #,##0.00_-;\-* #,##0.00_-;_-* &quot;-&quot;??_-;_-@_-"/>
    <numFmt numFmtId="177" formatCode="_ * #,##0_ ;_ * \-#,##0_ ;_ * &quot;-&quot;??_ ;_ @_ "/>
    <numFmt numFmtId="178" formatCode="0E+00"/>
    <numFmt numFmtId="179" formatCode="0.00000000"/>
    <numFmt numFmtId="180" formatCode="0.000000000"/>
  </numFmts>
  <fonts count="206" x14ac:knownFonts="1">
    <font>
      <sz val="11"/>
      <color theme="1"/>
      <name val="Calibri"/>
      <family val="2"/>
      <scheme val="minor"/>
    </font>
    <font>
      <sz val="10"/>
      <name val="Courier"/>
      <family val="3"/>
    </font>
    <font>
      <sz val="10"/>
      <name val="Courier"/>
      <family val="3"/>
    </font>
    <font>
      <b/>
      <sz val="18"/>
      <name val="Times New Roman"/>
      <family val="1"/>
    </font>
    <font>
      <b/>
      <sz val="14"/>
      <name val="Times New Roman"/>
      <family val="1"/>
    </font>
    <font>
      <b/>
      <u/>
      <sz val="14"/>
      <name val="Times New Roman"/>
      <family val="1"/>
    </font>
    <font>
      <sz val="11"/>
      <color indexed="8"/>
      <name val="Calibri"/>
      <family val="2"/>
    </font>
    <font>
      <sz val="14"/>
      <name val="Times New Roman"/>
      <family val="1"/>
    </font>
    <font>
      <b/>
      <sz val="16"/>
      <name val="Times New Roman"/>
      <family val="1"/>
    </font>
    <font>
      <sz val="18"/>
      <color indexed="8"/>
      <name val="Calibri"/>
      <family val="2"/>
    </font>
    <font>
      <sz val="11"/>
      <color theme="1"/>
      <name val="Calibri"/>
      <family val="2"/>
      <scheme val="minor"/>
    </font>
    <font>
      <sz val="14"/>
      <color theme="1"/>
      <name val="Calibri"/>
      <family val="2"/>
      <scheme val="minor"/>
    </font>
    <font>
      <sz val="11"/>
      <color theme="1"/>
      <name val="Times New Roman"/>
      <family val="1"/>
    </font>
    <font>
      <b/>
      <sz val="12"/>
      <color indexed="8"/>
      <name val="Times New Roman"/>
      <family val="1"/>
    </font>
    <font>
      <b/>
      <sz val="12"/>
      <color theme="1"/>
      <name val="Times New Roman"/>
      <family val="1"/>
    </font>
    <font>
      <b/>
      <sz val="14"/>
      <color rgb="FFC00000"/>
      <name val="Times New Roman"/>
      <family val="1"/>
    </font>
    <font>
      <b/>
      <sz val="16"/>
      <color rgb="FFC00000"/>
      <name val="Times New Roman"/>
      <family val="1"/>
    </font>
    <font>
      <b/>
      <sz val="11"/>
      <color theme="1"/>
      <name val="Calibri"/>
      <family val="2"/>
      <scheme val="minor"/>
    </font>
    <font>
      <b/>
      <sz val="12"/>
      <name val="Times New Roman"/>
      <family val="1"/>
    </font>
    <font>
      <sz val="12"/>
      <name val="Times New Roman"/>
      <family val="1"/>
    </font>
    <font>
      <sz val="11"/>
      <name val="Times New Roman"/>
      <family val="1"/>
    </font>
    <font>
      <b/>
      <sz val="11"/>
      <name val="Times New Roman"/>
      <family val="1"/>
    </font>
    <font>
      <b/>
      <sz val="12"/>
      <color theme="1"/>
      <name val="Calibri"/>
      <family val="2"/>
      <scheme val="minor"/>
    </font>
    <font>
      <b/>
      <sz val="14"/>
      <color theme="1"/>
      <name val="Times New Roman"/>
      <family val="1"/>
    </font>
    <font>
      <b/>
      <sz val="11"/>
      <color indexed="8"/>
      <name val="Times New Roman"/>
      <family val="1"/>
    </font>
    <font>
      <sz val="11"/>
      <color indexed="8"/>
      <name val="Times New Roman"/>
      <family val="1"/>
    </font>
    <font>
      <b/>
      <sz val="11"/>
      <color theme="1"/>
      <name val="Times New Roman"/>
      <family val="1"/>
    </font>
    <font>
      <sz val="12"/>
      <color theme="1"/>
      <name val="Times New Roman"/>
      <family val="1"/>
    </font>
    <font>
      <b/>
      <u/>
      <sz val="16"/>
      <color rgb="FFC00000"/>
      <name val="Times New Roman"/>
      <family val="1"/>
    </font>
    <font>
      <b/>
      <u/>
      <sz val="11"/>
      <name val="Times New Roman"/>
      <family val="1"/>
    </font>
    <font>
      <b/>
      <sz val="12"/>
      <color rgb="FFC00000"/>
      <name val="Times New Roman"/>
      <family val="1"/>
    </font>
    <font>
      <b/>
      <u/>
      <sz val="18"/>
      <color theme="1"/>
      <name val="Times New Roman"/>
      <family val="1"/>
    </font>
    <font>
      <b/>
      <u/>
      <sz val="12"/>
      <name val="Times New Roman"/>
      <family val="1"/>
    </font>
    <font>
      <b/>
      <sz val="18"/>
      <color theme="1"/>
      <name val="Times New Roman"/>
      <family val="1"/>
    </font>
    <font>
      <b/>
      <sz val="8"/>
      <name val="Times New Roman"/>
      <family val="1"/>
    </font>
    <font>
      <sz val="8"/>
      <color theme="1"/>
      <name val="Times New Roman"/>
      <family val="1"/>
    </font>
    <font>
      <sz val="14"/>
      <color theme="1"/>
      <name val="Times New Roman"/>
      <family val="1"/>
    </font>
    <font>
      <sz val="11"/>
      <color rgb="FFC00000"/>
      <name val="Times New Roman"/>
      <family val="1"/>
    </font>
    <font>
      <b/>
      <sz val="12"/>
      <color rgb="FFC00000"/>
      <name val="Calibri"/>
      <family val="2"/>
      <scheme val="minor"/>
    </font>
    <font>
      <sz val="10"/>
      <name val="Times New Roman"/>
      <family val="1"/>
    </font>
    <font>
      <b/>
      <u/>
      <sz val="16"/>
      <name val="Times New Roman"/>
      <family val="1"/>
    </font>
    <font>
      <b/>
      <sz val="18"/>
      <color rgb="FF0070C0"/>
      <name val="Times New Roman"/>
      <family val="1"/>
    </font>
    <font>
      <sz val="8"/>
      <color theme="1"/>
      <name val="Calibri"/>
      <family val="2"/>
      <scheme val="minor"/>
    </font>
    <font>
      <sz val="9"/>
      <name val="Times New Roman"/>
      <family val="1"/>
    </font>
    <font>
      <sz val="8"/>
      <name val="Times New Roman"/>
      <family val="1"/>
    </font>
    <font>
      <sz val="11"/>
      <name val="Calibri"/>
      <family val="2"/>
      <scheme val="minor"/>
    </font>
    <font>
      <b/>
      <u/>
      <sz val="14"/>
      <color theme="1"/>
      <name val="Times New Roman"/>
      <family val="1"/>
    </font>
    <font>
      <sz val="11"/>
      <color rgb="FFC00000"/>
      <name val="Calibri"/>
      <family val="2"/>
      <scheme val="minor"/>
    </font>
    <font>
      <b/>
      <sz val="11"/>
      <name val="Calibri"/>
      <family val="2"/>
      <scheme val="minor"/>
    </font>
    <font>
      <sz val="10"/>
      <name val="Arial"/>
      <family val="2"/>
    </font>
    <font>
      <b/>
      <sz val="14"/>
      <color rgb="FFC00000"/>
      <name val="Calibri"/>
      <family val="2"/>
      <scheme val="minor"/>
    </font>
    <font>
      <sz val="11"/>
      <color theme="0"/>
      <name val="Calibri"/>
      <family val="2"/>
      <scheme val="minor"/>
    </font>
    <font>
      <b/>
      <sz val="12"/>
      <color theme="0"/>
      <name val="Times New Roman"/>
      <family val="1"/>
    </font>
    <font>
      <sz val="11"/>
      <color theme="0"/>
      <name val="Times New Roman"/>
      <family val="1"/>
    </font>
    <font>
      <sz val="12"/>
      <color theme="1"/>
      <name val="Calibri"/>
      <family val="2"/>
      <scheme val="minor"/>
    </font>
    <font>
      <sz val="11"/>
      <color rgb="FFFF0000"/>
      <name val="Calibri"/>
      <family val="2"/>
      <scheme val="minor"/>
    </font>
    <font>
      <sz val="10"/>
      <name val="Courier"/>
      <family val="3"/>
    </font>
    <font>
      <sz val="11"/>
      <color rgb="FF7030A0"/>
      <name val="Calibri"/>
      <family val="2"/>
      <scheme val="minor"/>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sz val="11"/>
      <color indexed="62"/>
      <name val="Calibri"/>
      <family val="2"/>
    </font>
    <font>
      <sz val="11"/>
      <color indexed="52"/>
      <name val="Calibri"/>
      <family val="2"/>
    </font>
    <font>
      <sz val="11"/>
      <color indexed="60"/>
      <name val="Calibri"/>
      <family val="2"/>
    </font>
    <font>
      <sz val="12"/>
      <color theme="1"/>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4"/>
      <name val="Calibri"/>
      <family val="2"/>
      <scheme val="minor"/>
    </font>
    <font>
      <sz val="10"/>
      <color rgb="FF000000"/>
      <name val="Times New Roman"/>
      <family val="1"/>
    </font>
    <font>
      <b/>
      <sz val="12"/>
      <color rgb="FF000000"/>
      <name val="Times New Roman"/>
      <family val="1"/>
    </font>
    <font>
      <sz val="12"/>
      <color rgb="FF000000"/>
      <name val="Times New Roman"/>
      <family val="1"/>
    </font>
    <font>
      <b/>
      <sz val="14"/>
      <color theme="1"/>
      <name val="Calibri"/>
      <family val="2"/>
      <scheme val="minor"/>
    </font>
    <font>
      <sz val="11"/>
      <color rgb="FF000000"/>
      <name val="Calibri"/>
      <family val="2"/>
    </font>
    <font>
      <sz val="10"/>
      <name val="Lucida Sans"/>
      <family val="2"/>
    </font>
    <font>
      <b/>
      <u/>
      <sz val="18"/>
      <name val="Times New Roman"/>
      <family val="1"/>
    </font>
    <font>
      <b/>
      <sz val="18"/>
      <color theme="1"/>
      <name val="Calibri"/>
      <family val="2"/>
      <scheme val="minor"/>
    </font>
    <font>
      <sz val="8"/>
      <name val="Calibri"/>
      <family val="2"/>
      <scheme val="minor"/>
    </font>
    <font>
      <b/>
      <sz val="14"/>
      <name val="Calibri"/>
      <family val="2"/>
      <scheme val="minor"/>
    </font>
    <font>
      <b/>
      <sz val="11"/>
      <color rgb="FF7030A0"/>
      <name val="Calibri"/>
      <family val="2"/>
      <scheme val="minor"/>
    </font>
    <font>
      <sz val="10"/>
      <color indexed="9"/>
      <name val="Calibri"/>
      <family val="2"/>
    </font>
    <font>
      <b/>
      <sz val="10"/>
      <color indexed="8"/>
      <name val="Calibri"/>
      <family val="2"/>
    </font>
    <font>
      <sz val="10"/>
      <color indexed="10"/>
      <name val="Calibri"/>
      <family val="2"/>
    </font>
    <font>
      <b/>
      <sz val="10"/>
      <color indexed="9"/>
      <name val="Calibri"/>
      <family val="2"/>
    </font>
    <font>
      <i/>
      <sz val="10"/>
      <color indexed="23"/>
      <name val="Calibri"/>
      <family val="2"/>
    </font>
    <font>
      <sz val="10"/>
      <color indexed="17"/>
      <name val="Calibri"/>
      <family val="2"/>
    </font>
    <font>
      <sz val="12"/>
      <color indexed="8"/>
      <name val="Calibri"/>
      <family val="2"/>
    </font>
    <font>
      <u/>
      <sz val="10"/>
      <color indexed="12"/>
      <name val="Calibri"/>
      <family val="2"/>
    </font>
    <font>
      <sz val="10"/>
      <color indexed="19"/>
      <name val="Calibri"/>
      <family val="2"/>
    </font>
    <font>
      <sz val="10"/>
      <color indexed="63"/>
      <name val="Calibri"/>
      <family val="2"/>
    </font>
    <font>
      <b/>
      <sz val="12"/>
      <color rgb="FFFF0000"/>
      <name val="Times New Roman"/>
      <family val="1"/>
    </font>
    <font>
      <b/>
      <sz val="12"/>
      <color rgb="FFFF0000"/>
      <name val="Calibri"/>
      <family val="2"/>
      <scheme val="minor"/>
    </font>
    <font>
      <b/>
      <sz val="11"/>
      <color rgb="FFFF0000"/>
      <name val="Calibri"/>
      <family val="2"/>
      <scheme val="minor"/>
    </font>
    <font>
      <sz val="10"/>
      <name val="Arial"/>
      <family val="2"/>
      <charset val="1"/>
    </font>
    <font>
      <sz val="11"/>
      <name val="Calibri"/>
      <family val="2"/>
    </font>
    <font>
      <sz val="11"/>
      <color rgb="FF000000"/>
      <name val="Calibri"/>
      <family val="2"/>
      <charset val="1"/>
    </font>
    <font>
      <sz val="10"/>
      <name val="Courier"/>
      <family val="3"/>
    </font>
    <font>
      <u/>
      <sz val="12"/>
      <name val="Times New Roman"/>
      <family val="1"/>
    </font>
    <font>
      <b/>
      <sz val="20"/>
      <color theme="1"/>
      <name val="Calibri"/>
      <family val="2"/>
      <scheme val="minor"/>
    </font>
    <font>
      <sz val="10"/>
      <name val="Arial"/>
      <family val="2"/>
    </font>
    <font>
      <b/>
      <sz val="14"/>
      <color theme="0"/>
      <name val="Calibri"/>
      <family val="2"/>
      <scheme val="minor"/>
    </font>
    <font>
      <b/>
      <sz val="20"/>
      <name val="Times New Roman"/>
      <family val="1"/>
    </font>
    <font>
      <sz val="12"/>
      <name val="Calibri"/>
      <family val="2"/>
    </font>
    <font>
      <b/>
      <sz val="12"/>
      <name val="Calibri"/>
      <family val="2"/>
    </font>
    <font>
      <sz val="12"/>
      <name val="Calibri"/>
      <family val="2"/>
      <scheme val="minor"/>
    </font>
    <font>
      <b/>
      <sz val="12"/>
      <name val="Calibri"/>
      <family val="2"/>
      <scheme val="minor"/>
    </font>
    <font>
      <b/>
      <u/>
      <sz val="14"/>
      <name val="Calibri"/>
      <family val="2"/>
      <scheme val="minor"/>
    </font>
    <font>
      <sz val="10"/>
      <name val="Arial"/>
      <family val="2"/>
    </font>
    <font>
      <b/>
      <sz val="20"/>
      <color rgb="FFFF6699"/>
      <name val="Times New Roman"/>
      <family val="1"/>
    </font>
    <font>
      <b/>
      <sz val="18"/>
      <color rgb="FFFF6699"/>
      <name val="Times New Roman"/>
      <family val="1"/>
    </font>
    <font>
      <b/>
      <sz val="28"/>
      <name val="Times New Roman"/>
      <family val="1"/>
    </font>
    <font>
      <sz val="9"/>
      <color indexed="81"/>
      <name val="Tahoma"/>
      <family val="2"/>
    </font>
    <font>
      <b/>
      <sz val="9"/>
      <color indexed="81"/>
      <name val="Tahoma"/>
      <family val="2"/>
    </font>
    <font>
      <b/>
      <sz val="12"/>
      <name val="Arial"/>
      <family val="2"/>
    </font>
    <font>
      <sz val="11"/>
      <color rgb="FFFF0000"/>
      <name val="Times New Roman"/>
      <family val="1"/>
    </font>
    <font>
      <sz val="11"/>
      <color theme="1"/>
      <name val="Calibri"/>
      <family val="2"/>
    </font>
    <font>
      <b/>
      <sz val="20"/>
      <name val="Calibri"/>
      <family val="2"/>
      <scheme val="minor"/>
    </font>
    <font>
      <sz val="11"/>
      <color theme="1"/>
      <name val="Bodoni MT Condensed"/>
      <family val="1"/>
    </font>
    <font>
      <sz val="10"/>
      <color theme="1"/>
      <name val="Calibri"/>
      <family val="2"/>
      <scheme val="minor"/>
    </font>
    <font>
      <b/>
      <sz val="18"/>
      <name val="Calibri"/>
      <family val="2"/>
      <scheme val="minor"/>
    </font>
    <font>
      <b/>
      <sz val="12"/>
      <color rgb="FF0070C0"/>
      <name val="Times New Roman"/>
      <family val="1"/>
    </font>
    <font>
      <b/>
      <sz val="12"/>
      <color theme="6" tint="-0.249977111117893"/>
      <name val="Times New Roman"/>
      <family val="1"/>
    </font>
    <font>
      <b/>
      <sz val="11"/>
      <color theme="7"/>
      <name val="Times New Roman"/>
      <family val="1"/>
    </font>
    <font>
      <b/>
      <sz val="12"/>
      <color theme="7"/>
      <name val="Times New Roman"/>
      <family val="1"/>
    </font>
    <font>
      <sz val="12"/>
      <color rgb="FFC00000"/>
      <name val="Times New Roman"/>
      <family val="1"/>
    </font>
    <font>
      <sz val="10"/>
      <name val="Arial"/>
      <family val="2"/>
    </font>
    <font>
      <b/>
      <sz val="22"/>
      <color rgb="FFC00000"/>
      <name val="Calibri"/>
      <family val="2"/>
      <scheme val="minor"/>
    </font>
    <font>
      <sz val="22"/>
      <color theme="1"/>
      <name val="Calibri"/>
      <family val="2"/>
      <scheme val="minor"/>
    </font>
    <font>
      <b/>
      <sz val="22"/>
      <color theme="1"/>
      <name val="Calibri"/>
      <family val="2"/>
      <scheme val="minor"/>
    </font>
    <font>
      <i/>
      <u/>
      <sz val="10"/>
      <color indexed="12"/>
      <name val="Arial"/>
      <family val="2"/>
    </font>
    <font>
      <u/>
      <sz val="11"/>
      <color theme="10"/>
      <name val="Calibri"/>
      <family val="2"/>
      <scheme val="minor"/>
    </font>
    <font>
      <sz val="8"/>
      <name val="Comic Sans MS"/>
      <family val="4"/>
    </font>
    <font>
      <b/>
      <sz val="16"/>
      <color theme="1"/>
      <name val="Arial Narrow"/>
      <family val="2"/>
    </font>
    <font>
      <sz val="10"/>
      <name val="Arial"/>
      <family val="2"/>
    </font>
    <font>
      <sz val="14"/>
      <color rgb="FFC00000"/>
      <name val="Times New Roman"/>
      <family val="1"/>
    </font>
    <font>
      <sz val="14"/>
      <color rgb="FFC00000"/>
      <name val="Calibri"/>
      <family val="2"/>
      <scheme val="minor"/>
    </font>
    <font>
      <u/>
      <sz val="14"/>
      <name val="Times New Roman"/>
      <family val="1"/>
    </font>
    <font>
      <u/>
      <sz val="11"/>
      <name val="Times New Roman"/>
      <family val="1"/>
    </font>
    <font>
      <sz val="10"/>
      <name val="Arial"/>
      <family val="2"/>
    </font>
    <font>
      <sz val="10"/>
      <color rgb="FF000000"/>
      <name val="Arial"/>
      <family val="2"/>
    </font>
    <font>
      <sz val="14"/>
      <color rgb="FFFF0000"/>
      <name val="Times New Roman"/>
      <family val="1"/>
    </font>
    <font>
      <b/>
      <sz val="20"/>
      <color rgb="FFC00000"/>
      <name val="Times New Roman"/>
      <family val="1"/>
    </font>
    <font>
      <b/>
      <sz val="14"/>
      <color rgb="FF0070C0"/>
      <name val="Times New Roman"/>
      <family val="1"/>
    </font>
    <font>
      <b/>
      <sz val="18"/>
      <color rgb="FFC00000"/>
      <name val="Times New Roman"/>
      <family val="1"/>
    </font>
    <font>
      <sz val="14"/>
      <color theme="0"/>
      <name val="Calibri"/>
      <family val="2"/>
      <scheme val="minor"/>
    </font>
    <font>
      <sz val="12"/>
      <color theme="0"/>
      <name val="Calibri"/>
      <family val="2"/>
      <scheme val="minor"/>
    </font>
    <font>
      <sz val="10"/>
      <name val="Arial"/>
      <family val="2"/>
    </font>
    <font>
      <sz val="18"/>
      <color theme="1"/>
      <name val="Arial Narrow"/>
      <family val="2"/>
    </font>
    <font>
      <b/>
      <sz val="18"/>
      <color theme="1"/>
      <name val="Arial Narrow"/>
      <family val="2"/>
    </font>
    <font>
      <vertAlign val="subscript"/>
      <sz val="18"/>
      <color theme="1"/>
      <name val="Arial Narrow"/>
      <family val="2"/>
    </font>
    <font>
      <sz val="11"/>
      <color rgb="FF000000"/>
      <name val="Arial"/>
      <family val="2"/>
    </font>
    <font>
      <b/>
      <sz val="16"/>
      <color rgb="FF000000"/>
      <name val="Arial"/>
      <family val="2"/>
    </font>
    <font>
      <b/>
      <sz val="11"/>
      <color rgb="FF000000"/>
      <name val="Arial"/>
      <family val="2"/>
    </font>
    <font>
      <sz val="11"/>
      <color theme="0" tint="-4.9989318521683403E-2"/>
      <name val="Arial"/>
      <family val="2"/>
    </font>
    <font>
      <b/>
      <sz val="11"/>
      <name val="Arial"/>
      <family val="2"/>
    </font>
    <font>
      <b/>
      <sz val="11"/>
      <color theme="0" tint="-4.9989318521683403E-2"/>
      <name val="Arial"/>
      <family val="2"/>
    </font>
    <font>
      <sz val="11"/>
      <name val="Arial"/>
      <family val="2"/>
    </font>
    <font>
      <sz val="11"/>
      <color theme="1"/>
      <name val="Arial"/>
      <family val="2"/>
    </font>
    <font>
      <b/>
      <sz val="11"/>
      <color theme="1"/>
      <name val="Arial"/>
      <family val="2"/>
    </font>
    <font>
      <b/>
      <sz val="14"/>
      <color rgb="FF000000"/>
      <name val="Arial"/>
      <family val="2"/>
    </font>
    <font>
      <b/>
      <u/>
      <sz val="14"/>
      <color rgb="FF000000"/>
      <name val="Times New Roman"/>
      <family val="1"/>
    </font>
    <font>
      <b/>
      <sz val="16"/>
      <color theme="1"/>
      <name val="Calibri"/>
      <family val="2"/>
      <scheme val="minor"/>
    </font>
    <font>
      <sz val="11"/>
      <color theme="4"/>
      <name val="Times New Roman"/>
      <family val="1"/>
    </font>
    <font>
      <sz val="14"/>
      <color theme="4"/>
      <name val="Times New Roman"/>
      <family val="1"/>
    </font>
    <font>
      <b/>
      <sz val="14"/>
      <color rgb="FFFF0000"/>
      <name val="Times New Roman"/>
      <family val="1"/>
    </font>
    <font>
      <b/>
      <sz val="9"/>
      <name val="Times New Roman"/>
      <family val="1"/>
    </font>
    <font>
      <b/>
      <i/>
      <sz val="12"/>
      <name val="Times New Roman"/>
      <family val="1"/>
    </font>
    <font>
      <sz val="10"/>
      <name val="Arial"/>
      <family val="2"/>
    </font>
    <font>
      <b/>
      <sz val="16"/>
      <color theme="1"/>
      <name val="Times New Roman"/>
      <family val="1"/>
    </font>
    <font>
      <sz val="12"/>
      <name val="Arial Narrow"/>
      <family val="2"/>
    </font>
    <font>
      <b/>
      <sz val="14"/>
      <color theme="1"/>
      <name val="Arial Narrow"/>
      <family val="2"/>
    </font>
    <font>
      <sz val="14"/>
      <name val="Arial Narrow"/>
      <family val="2"/>
    </font>
    <font>
      <b/>
      <sz val="14"/>
      <color rgb="FFC00000"/>
      <name val="Arial Narrow"/>
      <family val="2"/>
    </font>
    <font>
      <b/>
      <sz val="14"/>
      <name val="Arial Narrow"/>
      <family val="2"/>
    </font>
    <font>
      <b/>
      <sz val="13"/>
      <color theme="1"/>
      <name val="Times New Roman"/>
      <family val="1"/>
    </font>
    <font>
      <sz val="13"/>
      <color theme="1"/>
      <name val="Times New Roman"/>
      <family val="1"/>
    </font>
    <font>
      <sz val="13"/>
      <name val="Times New Roman"/>
      <family val="1"/>
    </font>
    <font>
      <sz val="13"/>
      <color rgb="FFFF0000"/>
      <name val="Times New Roman"/>
      <family val="1"/>
    </font>
    <font>
      <b/>
      <u/>
      <sz val="8"/>
      <name val="Times New Roman"/>
      <family val="1"/>
    </font>
    <font>
      <sz val="10"/>
      <name val="Arial"/>
      <family val="2"/>
    </font>
    <font>
      <sz val="11"/>
      <color theme="1"/>
      <name val="Calibri"/>
      <family val="2"/>
      <scheme val="minor"/>
    </font>
    <font>
      <b/>
      <sz val="18"/>
      <color indexed="56"/>
      <name val="Cambria"/>
      <family val="1"/>
    </font>
    <font>
      <b/>
      <sz val="18"/>
      <color rgb="FFFF0000"/>
      <name val="Calibri"/>
      <family val="2"/>
      <scheme val="minor"/>
    </font>
    <font>
      <b/>
      <i/>
      <sz val="16"/>
      <name val="Calibri"/>
      <family val="2"/>
      <scheme val="minor"/>
    </font>
    <font>
      <b/>
      <sz val="11"/>
      <color rgb="FF000000"/>
      <name val="Calibri"/>
      <family val="2"/>
    </font>
    <font>
      <sz val="14"/>
      <color theme="1"/>
      <name val="Arial Narrow"/>
      <family val="2"/>
    </font>
    <font>
      <b/>
      <u/>
      <sz val="12"/>
      <color theme="1"/>
      <name val="Times New Roman"/>
      <family val="1"/>
    </font>
    <font>
      <b/>
      <sz val="12"/>
      <color theme="1"/>
      <name val="Arial"/>
      <family val="2"/>
    </font>
    <font>
      <sz val="12"/>
      <color rgb="FFFF0000"/>
      <name val="Arial"/>
      <family val="2"/>
    </font>
    <font>
      <b/>
      <sz val="12"/>
      <color rgb="FFFF0000"/>
      <name val="Arial"/>
      <family val="2"/>
    </font>
    <font>
      <sz val="12"/>
      <color rgb="FFFF0000"/>
      <name val="Calibri"/>
      <family val="2"/>
      <scheme val="minor"/>
    </font>
    <font>
      <b/>
      <u/>
      <sz val="16"/>
      <color rgb="FF000000"/>
      <name val="Calibri"/>
      <family val="2"/>
    </font>
    <font>
      <u/>
      <sz val="11"/>
      <color theme="1"/>
      <name val="Calibri"/>
      <family val="2"/>
      <scheme val="minor"/>
    </font>
    <font>
      <b/>
      <sz val="12"/>
      <color rgb="FF000000"/>
      <name val="Calibri"/>
      <family val="2"/>
    </font>
    <font>
      <b/>
      <sz val="14"/>
      <color rgb="FF000000"/>
      <name val="Calibri"/>
      <family val="2"/>
    </font>
    <font>
      <sz val="10"/>
      <name val="Arial"/>
      <family val="2"/>
    </font>
    <font>
      <sz val="14"/>
      <color rgb="FF000000"/>
      <name val="Arial Narrow"/>
      <family val="2"/>
    </font>
    <font>
      <b/>
      <sz val="14"/>
      <color rgb="FF000000"/>
      <name val="Arial Narrow"/>
      <family val="2"/>
    </font>
  </fonts>
  <fills count="90">
    <fill>
      <patternFill patternType="none"/>
    </fill>
    <fill>
      <patternFill patternType="gray125"/>
    </fill>
    <fill>
      <patternFill patternType="solid">
        <fgColor indexed="9"/>
        <bgColor indexed="64"/>
      </patternFill>
    </fill>
    <fill>
      <patternFill patternType="solid">
        <fgColor rgb="FFCCCC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bgColor indexed="64"/>
      </patternFill>
    </fill>
    <fill>
      <patternFill patternType="solid">
        <fgColor theme="4" tint="0.599993896298104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indexed="8"/>
        <bgColor indexed="58"/>
      </patternFill>
    </fill>
    <fill>
      <patternFill patternType="solid">
        <fgColor indexed="23"/>
        <bgColor indexed="55"/>
      </patternFill>
    </fill>
    <fill>
      <patternFill patternType="solid">
        <fgColor indexed="31"/>
        <bgColor indexed="47"/>
      </patternFill>
    </fill>
    <fill>
      <patternFill patternType="solid">
        <fgColor indexed="47"/>
        <bgColor indexed="31"/>
      </patternFill>
    </fill>
    <fill>
      <patternFill patternType="solid">
        <fgColor indexed="10"/>
        <bgColor indexed="16"/>
      </patternFill>
    </fill>
    <fill>
      <patternFill patternType="solid">
        <fgColor indexed="42"/>
        <bgColor indexed="27"/>
      </patternFill>
    </fill>
    <fill>
      <patternFill patternType="solid">
        <fgColor indexed="26"/>
        <bgColor indexed="9"/>
      </patternFill>
    </fill>
    <fill>
      <patternFill patternType="solid">
        <fgColor theme="4" tint="0.79998168889431442"/>
        <bgColor indexed="64"/>
      </patternFill>
    </fill>
    <fill>
      <patternFill patternType="solid">
        <fgColor theme="3"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rgb="FFF6BCF6"/>
        <bgColor indexed="64"/>
      </patternFill>
    </fill>
    <fill>
      <patternFill patternType="solid">
        <fgColor rgb="FFFFC000"/>
        <bgColor indexed="64"/>
      </patternFill>
    </fill>
    <fill>
      <patternFill patternType="solid">
        <fgColor theme="9" tint="0.39997558519241921"/>
        <bgColor indexed="64"/>
      </patternFill>
    </fill>
    <fill>
      <patternFill patternType="solid">
        <fgColor theme="6" tint="0.39997558519241921"/>
        <bgColor indexed="64"/>
      </patternFill>
    </fill>
    <fill>
      <patternFill patternType="solid">
        <fgColor rgb="FFDAEEF3"/>
        <bgColor indexed="64"/>
      </patternFill>
    </fill>
    <fill>
      <patternFill patternType="solid">
        <fgColor rgb="FFD8E4BC"/>
        <bgColor indexed="64"/>
      </patternFill>
    </fill>
    <fill>
      <patternFill patternType="solid">
        <fgColor rgb="FFCCC0DA"/>
        <bgColor indexed="64"/>
      </patternFill>
    </fill>
    <fill>
      <patternFill patternType="solid">
        <fgColor rgb="FFFCD5B4"/>
        <bgColor indexed="64"/>
      </patternFill>
    </fill>
    <fill>
      <patternFill patternType="solid">
        <fgColor theme="0" tint="-0.14999847407452621"/>
        <bgColor indexed="64"/>
      </patternFill>
    </fill>
    <fill>
      <patternFill patternType="solid">
        <fgColor theme="8" tint="0.39997558519241921"/>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0"/>
        <bgColor rgb="FFFFFF00"/>
      </patternFill>
    </fill>
    <fill>
      <patternFill patternType="solid">
        <fgColor theme="0"/>
        <bgColor rgb="FFFFC000"/>
      </patternFill>
    </fill>
    <fill>
      <patternFill patternType="solid">
        <fgColor rgb="FF8FFFFF"/>
        <bgColor indexed="64"/>
      </patternFill>
    </fill>
    <fill>
      <patternFill patternType="solid">
        <fgColor rgb="FF92D050"/>
        <bgColor rgb="FFFFFF00"/>
      </patternFill>
    </fill>
    <fill>
      <patternFill patternType="solid">
        <fgColor rgb="FFB6DDE8"/>
        <bgColor rgb="FFB6DDE8"/>
      </patternFill>
    </fill>
    <fill>
      <patternFill patternType="solid">
        <fgColor theme="3" tint="0.79998168889431442"/>
        <bgColor indexed="64"/>
      </patternFill>
    </fill>
    <fill>
      <patternFill patternType="solid">
        <fgColor theme="0"/>
        <bgColor rgb="FF002060"/>
      </patternFill>
    </fill>
    <fill>
      <patternFill patternType="solid">
        <fgColor theme="5" tint="0.79998168889431442"/>
        <bgColor indexed="64"/>
      </patternFill>
    </fill>
    <fill>
      <patternFill patternType="solid">
        <fgColor theme="3" tint="0.89999084444715716"/>
        <bgColor indexed="64"/>
      </patternFill>
    </fill>
    <fill>
      <patternFill patternType="solid">
        <fgColor theme="5" tint="0.79998168889431442"/>
        <bgColor rgb="FF002060"/>
      </patternFill>
    </fill>
    <fill>
      <patternFill patternType="solid">
        <fgColor theme="3" tint="0.89999084444715716"/>
        <bgColor rgb="FF002060"/>
      </patternFill>
    </fill>
  </fills>
  <borders count="201">
    <border>
      <left/>
      <right/>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top style="thin">
        <color indexed="64"/>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medium">
        <color indexed="64"/>
      </bottom>
      <diagonal/>
    </border>
    <border>
      <left/>
      <right/>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bottom/>
      <diagonal/>
    </border>
    <border>
      <left/>
      <right/>
      <top style="medium">
        <color indexed="64"/>
      </top>
      <bottom/>
      <diagonal/>
    </border>
    <border>
      <left style="medium">
        <color indexed="64"/>
      </left>
      <right style="medium">
        <color indexed="64"/>
      </right>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style="medium">
        <color indexed="64"/>
      </right>
      <top/>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top/>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medium">
        <color indexed="64"/>
      </bottom>
      <diagonal/>
    </border>
    <border>
      <left/>
      <right style="thin">
        <color indexed="64"/>
      </right>
      <top/>
      <bottom style="medium">
        <color indexed="64"/>
      </bottom>
      <diagonal/>
    </border>
    <border>
      <left style="medium">
        <color indexed="64"/>
      </left>
      <right/>
      <top style="thin">
        <color indexed="64"/>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style="medium">
        <color indexed="64"/>
      </right>
      <top/>
      <bottom style="medium">
        <color indexed="64"/>
      </bottom>
      <diagonal/>
    </border>
    <border>
      <left style="medium">
        <color indexed="64"/>
      </left>
      <right style="thin">
        <color indexed="64"/>
      </right>
      <top/>
      <bottom/>
      <diagonal/>
    </border>
    <border>
      <left/>
      <right/>
      <top style="thin">
        <color indexed="64"/>
      </top>
      <bottom/>
      <diagonal/>
    </border>
    <border>
      <left style="medium">
        <color indexed="64"/>
      </left>
      <right style="thin">
        <color indexed="64"/>
      </right>
      <top style="medium">
        <color indexed="64"/>
      </top>
      <bottom/>
      <diagonal/>
    </border>
    <border>
      <left/>
      <right/>
      <top style="thick">
        <color auto="1"/>
      </top>
      <bottom style="thin">
        <color indexed="64"/>
      </bottom>
      <diagonal/>
    </border>
    <border>
      <left/>
      <right style="thick">
        <color auto="1"/>
      </right>
      <top/>
      <bottom/>
      <diagonal/>
    </border>
    <border>
      <left style="thin">
        <color indexed="64"/>
      </left>
      <right style="thin">
        <color indexed="64"/>
      </right>
      <top style="medium">
        <color indexed="64"/>
      </top>
      <bottom/>
      <diagonal/>
    </border>
    <border>
      <left/>
      <right style="thick">
        <color auto="1"/>
      </right>
      <top/>
      <bottom style="medium">
        <color indexed="64"/>
      </bottom>
      <diagonal/>
    </border>
    <border>
      <left style="thin">
        <color indexed="64"/>
      </left>
      <right style="thick">
        <color auto="1"/>
      </right>
      <top style="thin">
        <color indexed="64"/>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ck">
        <color indexed="64"/>
      </right>
      <top/>
      <bottom style="thin">
        <color indexed="64"/>
      </bottom>
      <diagonal/>
    </border>
    <border>
      <left style="thick">
        <color indexed="64"/>
      </left>
      <right style="thin">
        <color indexed="64"/>
      </right>
      <top style="medium">
        <color indexed="64"/>
      </top>
      <bottom style="medium">
        <color indexed="64"/>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style="medium">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thick">
        <color indexed="62"/>
      </bottom>
      <diagonal/>
    </border>
    <border>
      <left/>
      <right/>
      <top/>
      <bottom style="thick">
        <color indexed="22"/>
      </bottom>
      <diagonal/>
    </border>
    <border>
      <left/>
      <right/>
      <top/>
      <bottom style="thick">
        <color indexed="62"/>
      </bottom>
      <diagonal/>
    </border>
    <border>
      <left/>
      <right/>
      <top/>
      <bottom style="thick">
        <color indexed="22"/>
      </bottom>
      <diagonal/>
    </border>
    <border>
      <left style="thin">
        <color indexed="64"/>
      </left>
      <right style="thick">
        <color indexed="64"/>
      </right>
      <top/>
      <bottom style="medium">
        <color indexed="64"/>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thin">
        <color auto="1"/>
      </left>
      <right style="thin">
        <color auto="1"/>
      </right>
      <top style="thin">
        <color auto="1"/>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right style="medium">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indexed="64"/>
      </top>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thin">
        <color auto="1"/>
      </right>
      <top style="thin">
        <color auto="1"/>
      </top>
      <bottom style="thin">
        <color auto="1"/>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style="medium">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64"/>
      </top>
      <bottom style="thin">
        <color indexed="64"/>
      </bottom>
      <diagonal/>
    </border>
    <border>
      <left style="medium">
        <color indexed="64"/>
      </left>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64"/>
      </left>
      <right style="thick">
        <color auto="1"/>
      </right>
      <top style="thin">
        <color indexed="64"/>
      </top>
      <bottom style="thin">
        <color indexed="64"/>
      </bottom>
      <diagonal/>
    </border>
    <border>
      <left/>
      <right style="thin">
        <color indexed="64"/>
      </right>
      <top style="thin">
        <color indexed="64"/>
      </top>
      <bottom/>
      <diagonal/>
    </border>
    <border>
      <left style="thin">
        <color auto="1"/>
      </left>
      <right style="thin">
        <color auto="1"/>
      </right>
      <top style="thin">
        <color auto="1"/>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medium">
        <color auto="1"/>
      </left>
      <right style="medium">
        <color auto="1"/>
      </right>
      <top/>
      <bottom style="medium">
        <color auto="1"/>
      </bottom>
      <diagonal/>
    </border>
    <border>
      <left style="medium">
        <color indexed="64"/>
      </left>
      <right/>
      <top style="medium">
        <color indexed="64"/>
      </top>
      <bottom style="thin">
        <color rgb="FF000000"/>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top style="medium">
        <color indexed="64"/>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top style="medium">
        <color indexed="64"/>
      </top>
      <bottom style="thin">
        <color rgb="FF000000"/>
      </bottom>
      <diagonal/>
    </border>
    <border>
      <left/>
      <right/>
      <top/>
      <bottom style="thin">
        <color rgb="FF000000"/>
      </bottom>
      <diagonal/>
    </border>
    <border>
      <left/>
      <right/>
      <top style="thin">
        <color indexed="64"/>
      </top>
      <bottom style="thin">
        <color indexed="64"/>
      </bottom>
      <diagonal/>
    </border>
  </borders>
  <cellStyleXfs count="1036">
    <xf numFmtId="0" fontId="0" fillId="0" borderId="0"/>
    <xf numFmtId="168" fontId="1" fillId="0" borderId="0" applyBorder="0"/>
    <xf numFmtId="168" fontId="2" fillId="0" borderId="0" applyBorder="0"/>
    <xf numFmtId="168" fontId="2" fillId="0" borderId="0" applyBorder="0"/>
    <xf numFmtId="168" fontId="2" fillId="0" borderId="0" applyBorder="0"/>
    <xf numFmtId="168" fontId="2" fillId="0" borderId="0" applyBorder="0"/>
    <xf numFmtId="168" fontId="2" fillId="0" borderId="0" applyBorder="0"/>
    <xf numFmtId="0" fontId="49" fillId="0" borderId="0"/>
    <xf numFmtId="0" fontId="49" fillId="0" borderId="0"/>
    <xf numFmtId="166" fontId="10" fillId="0" borderId="0" applyFont="0" applyFill="0" applyBorder="0" applyAlignment="0" applyProtection="0"/>
    <xf numFmtId="0" fontId="49" fillId="0" borderId="0"/>
    <xf numFmtId="166" fontId="6" fillId="0" borderId="0" applyFont="0" applyFill="0" applyBorder="0" applyAlignment="0" applyProtection="0"/>
    <xf numFmtId="165" fontId="6" fillId="0" borderId="0" applyFont="0" applyFill="0" applyBorder="0" applyAlignment="0" applyProtection="0"/>
    <xf numFmtId="168" fontId="1" fillId="0" borderId="0" applyBorder="0"/>
    <xf numFmtId="0" fontId="10" fillId="0" borderId="0"/>
    <xf numFmtId="168" fontId="1" fillId="0" borderId="0" applyBorder="0"/>
    <xf numFmtId="168" fontId="1" fillId="0" borderId="0" applyBorder="0"/>
    <xf numFmtId="168" fontId="1" fillId="0" borderId="0" applyBorder="0"/>
    <xf numFmtId="168" fontId="1" fillId="0" borderId="0" applyBorder="0"/>
    <xf numFmtId="0" fontId="49" fillId="0" borderId="0"/>
    <xf numFmtId="9" fontId="49" fillId="0" borderId="0" applyFont="0" applyFill="0" applyBorder="0" applyAlignment="0" applyProtection="0"/>
    <xf numFmtId="9" fontId="49" fillId="0" borderId="0" applyFont="0" applyFill="0" applyBorder="0" applyAlignment="0" applyProtection="0"/>
    <xf numFmtId="9" fontId="10" fillId="0" borderId="0" applyFont="0" applyFill="0" applyBorder="0" applyAlignment="0" applyProtection="0"/>
    <xf numFmtId="168" fontId="56" fillId="0" borderId="0"/>
    <xf numFmtId="168" fontId="1" fillId="0" borderId="0"/>
    <xf numFmtId="168" fontId="1" fillId="0" borderId="0"/>
    <xf numFmtId="0" fontId="10" fillId="0" borderId="0"/>
    <xf numFmtId="0" fontId="49" fillId="0" borderId="0"/>
    <xf numFmtId="0" fontId="49" fillId="0" borderId="0"/>
    <xf numFmtId="0" fontId="6" fillId="10"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1" borderId="0" applyNumberFormat="0" applyBorder="0" applyAlignment="0" applyProtection="0"/>
    <xf numFmtId="0" fontId="6" fillId="12"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4"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8" borderId="0" applyNumberFormat="0" applyBorder="0" applyAlignment="0" applyProtection="0"/>
    <xf numFmtId="0" fontId="6" fillId="13" borderId="0" applyNumberFormat="0" applyBorder="0" applyAlignment="0" applyProtection="0"/>
    <xf numFmtId="0" fontId="6" fillId="13" borderId="0" applyNumberFormat="0" applyBorder="0" applyAlignment="0" applyProtection="0"/>
    <xf numFmtId="0" fontId="6" fillId="16"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19"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3" borderId="0" applyNumberFormat="0" applyBorder="0" applyAlignment="0" applyProtection="0"/>
    <xf numFmtId="0" fontId="58" fillId="23" borderId="0" applyNumberFormat="0" applyBorder="0" applyAlignment="0" applyProtection="0"/>
    <xf numFmtId="0" fontId="58" fillId="24" borderId="0" applyNumberFormat="0" applyBorder="0" applyAlignment="0" applyProtection="0"/>
    <xf numFmtId="0" fontId="58" fillId="24"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6" borderId="0" applyNumberFormat="0" applyBorder="0" applyAlignment="0" applyProtection="0"/>
    <xf numFmtId="0" fontId="58" fillId="26"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11" borderId="0" applyNumberFormat="0" applyBorder="0" applyAlignment="0" applyProtection="0"/>
    <xf numFmtId="0" fontId="59" fillId="11" borderId="0" applyNumberFormat="0" applyBorder="0" applyAlignment="0" applyProtection="0"/>
    <xf numFmtId="0" fontId="60" fillId="28" borderId="89" applyNumberFormat="0" applyAlignment="0" applyProtection="0"/>
    <xf numFmtId="0" fontId="60" fillId="28" borderId="89" applyNumberFormat="0" applyAlignment="0" applyProtection="0"/>
    <xf numFmtId="0" fontId="61" fillId="29" borderId="90" applyNumberFormat="0" applyAlignment="0" applyProtection="0"/>
    <xf numFmtId="0" fontId="61" fillId="29" borderId="90" applyNumberFormat="0" applyAlignment="0" applyProtection="0"/>
    <xf numFmtId="0" fontId="49" fillId="0" borderId="0" applyFont="0" applyFill="0" applyBorder="0" applyAlignment="0" applyProtection="0"/>
    <xf numFmtId="165" fontId="49" fillId="0" borderId="0" applyFont="0" applyFill="0" applyBorder="0" applyAlignment="0" applyProtection="0"/>
    <xf numFmtId="0" fontId="62" fillId="0" borderId="0" applyNumberFormat="0" applyFill="0" applyBorder="0" applyAlignment="0" applyProtection="0"/>
    <xf numFmtId="0" fontId="62" fillId="0" borderId="0" applyNumberFormat="0" applyFill="0" applyBorder="0" applyAlignment="0" applyProtection="0"/>
    <xf numFmtId="0" fontId="63" fillId="12" borderId="0" applyNumberFormat="0" applyBorder="0" applyAlignment="0" applyProtection="0"/>
    <xf numFmtId="0" fontId="63" fillId="12" borderId="0" applyNumberFormat="0" applyBorder="0" applyAlignment="0" applyProtection="0"/>
    <xf numFmtId="0" fontId="64" fillId="0" borderId="91" applyNumberFormat="0" applyFill="0" applyAlignment="0" applyProtection="0"/>
    <xf numFmtId="0" fontId="64" fillId="0" borderId="91" applyNumberFormat="0" applyFill="0" applyAlignment="0" applyProtection="0"/>
    <xf numFmtId="0" fontId="65" fillId="0" borderId="92" applyNumberFormat="0" applyFill="0" applyAlignment="0" applyProtection="0"/>
    <xf numFmtId="0" fontId="65" fillId="0" borderId="92" applyNumberFormat="0" applyFill="0" applyAlignment="0" applyProtection="0"/>
    <xf numFmtId="0" fontId="66" fillId="0" borderId="93" applyNumberFormat="0" applyFill="0" applyAlignment="0" applyProtection="0"/>
    <xf numFmtId="0" fontId="66" fillId="0" borderId="93" applyNumberFormat="0" applyFill="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alignment vertical="top"/>
      <protection locked="0"/>
    </xf>
    <xf numFmtId="0" fontId="68" fillId="15" borderId="89" applyNumberFormat="0" applyAlignment="0" applyProtection="0"/>
    <xf numFmtId="0" fontId="68" fillId="15" borderId="89" applyNumberFormat="0" applyAlignment="0" applyProtection="0"/>
    <xf numFmtId="0" fontId="69" fillId="0" borderId="94" applyNumberFormat="0" applyFill="0" applyAlignment="0" applyProtection="0"/>
    <xf numFmtId="0" fontId="69" fillId="0" borderId="94" applyNumberFormat="0" applyFill="0" applyAlignment="0" applyProtection="0"/>
    <xf numFmtId="0" fontId="70" fillId="30" borderId="0" applyNumberFormat="0" applyBorder="0" applyAlignment="0" applyProtection="0"/>
    <xf numFmtId="0" fontId="70" fillId="30" borderId="0" applyNumberFormat="0" applyBorder="0" applyAlignment="0" applyProtection="0"/>
    <xf numFmtId="0" fontId="49" fillId="0" borderId="0"/>
    <xf numFmtId="0" fontId="49" fillId="0" borderId="0"/>
    <xf numFmtId="0" fontId="49" fillId="0" borderId="0">
      <alignment horizontal="left"/>
    </xf>
    <xf numFmtId="0" fontId="49" fillId="0" borderId="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71" fillId="0" borderId="0"/>
    <xf numFmtId="0" fontId="71" fillId="0" borderId="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0" fontId="71" fillId="0" borderId="0"/>
    <xf numFmtId="0" fontId="71" fillId="0" borderId="0"/>
    <xf numFmtId="168" fontId="1" fillId="0" borderId="0" applyBorder="0"/>
    <xf numFmtId="0" fontId="49" fillId="0" borderId="0"/>
    <xf numFmtId="0" fontId="49" fillId="0" borderId="0"/>
    <xf numFmtId="0" fontId="49" fillId="0" borderId="0"/>
    <xf numFmtId="0" fontId="49" fillId="0" borderId="0"/>
    <xf numFmtId="0" fontId="49" fillId="0" borderId="0"/>
    <xf numFmtId="0" fontId="49" fillId="0" borderId="0"/>
    <xf numFmtId="168" fontId="1" fillId="0" borderId="0" applyBorder="0"/>
    <xf numFmtId="168" fontId="1" fillId="0" borderId="0" applyBorder="0"/>
    <xf numFmtId="168" fontId="1" fillId="0" borderId="0" applyBorder="0"/>
    <xf numFmtId="168" fontId="1" fillId="0" borderId="0" applyBorder="0"/>
    <xf numFmtId="0" fontId="49"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10" fillId="0" borderId="0"/>
    <xf numFmtId="168" fontId="1" fillId="0" borderId="0" applyBorder="0"/>
    <xf numFmtId="168" fontId="1" fillId="0" borderId="0" applyBorder="0"/>
    <xf numFmtId="168" fontId="1" fillId="0" borderId="0" applyBorder="0"/>
    <xf numFmtId="168" fontId="1" fillId="0" borderId="0" applyBorder="0"/>
    <xf numFmtId="168" fontId="1" fillId="0" borderId="0" applyBorder="0"/>
    <xf numFmtId="0" fontId="10" fillId="0" borderId="0"/>
    <xf numFmtId="0" fontId="6"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3" fillId="0" borderId="0" applyNumberFormat="0" applyFill="0" applyBorder="0" applyAlignment="0" applyProtection="0"/>
    <xf numFmtId="0" fontId="73" fillId="0" borderId="0" applyNumberFormat="0" applyFill="0" applyBorder="0" applyAlignment="0" applyProtection="0"/>
    <xf numFmtId="0" fontId="74" fillId="0" borderId="97" applyNumberFormat="0" applyFill="0" applyAlignment="0" applyProtection="0"/>
    <xf numFmtId="0" fontId="74" fillId="0" borderId="97"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7" fillId="0" borderId="0"/>
    <xf numFmtId="43" fontId="10"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169" fontId="81" fillId="0" borderId="0" applyBorder="0" applyProtection="0"/>
    <xf numFmtId="0" fontId="64" fillId="0" borderId="98" applyNumberFormat="0" applyFill="0" applyAlignment="0" applyProtection="0"/>
    <xf numFmtId="0" fontId="64" fillId="0" borderId="98" applyNumberFormat="0" applyFill="0" applyAlignment="0" applyProtection="0"/>
    <xf numFmtId="0" fontId="65" fillId="0" borderId="99" applyNumberFormat="0" applyFill="0" applyAlignment="0" applyProtection="0"/>
    <xf numFmtId="0" fontId="65" fillId="0" borderId="99" applyNumberFormat="0" applyFill="0" applyAlignment="0" applyProtection="0"/>
    <xf numFmtId="0" fontId="49" fillId="0" borderId="0"/>
    <xf numFmtId="0" fontId="49" fillId="0" borderId="0"/>
    <xf numFmtId="0" fontId="10" fillId="0" borderId="0"/>
    <xf numFmtId="0" fontId="10" fillId="0" borderId="0"/>
    <xf numFmtId="0" fontId="10" fillId="0" borderId="0"/>
    <xf numFmtId="0" fontId="10" fillId="0" borderId="0"/>
    <xf numFmtId="0" fontId="6" fillId="0" borderId="0"/>
    <xf numFmtId="0" fontId="6" fillId="0" borderId="0"/>
    <xf numFmtId="0" fontId="10" fillId="0" borderId="0"/>
    <xf numFmtId="0" fontId="10" fillId="0" borderId="0"/>
    <xf numFmtId="0" fontId="10"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0" fontId="71" fillId="0" borderId="0"/>
    <xf numFmtId="168" fontId="1" fillId="0" borderId="0" applyBorder="0"/>
    <xf numFmtId="168" fontId="1" fillId="0" borderId="0" applyBorder="0"/>
    <xf numFmtId="0" fontId="71" fillId="0" borderId="0"/>
    <xf numFmtId="0" fontId="71" fillId="0" borderId="0"/>
    <xf numFmtId="0" fontId="71" fillId="0" borderId="0"/>
    <xf numFmtId="0" fontId="71" fillId="0" borderId="0"/>
    <xf numFmtId="0" fontId="71" fillId="0" borderId="0"/>
    <xf numFmtId="0" fontId="82" fillId="0" borderId="0" applyNumberFormat="0" applyFill="0" applyBorder="0" applyAlignment="0" applyProtection="0"/>
    <xf numFmtId="0" fontId="88" fillId="35" borderId="0" applyNumberFormat="0" applyBorder="0" applyAlignment="0" applyProtection="0"/>
    <xf numFmtId="0" fontId="88" fillId="36" borderId="0" applyNumberFormat="0" applyBorder="0" applyAlignment="0" applyProtection="0"/>
    <xf numFmtId="0" fontId="89" fillId="37" borderId="0" applyNumberFormat="0" applyBorder="0" applyAlignment="0" applyProtection="0"/>
    <xf numFmtId="0" fontId="89" fillId="0" borderId="0" applyNumberFormat="0" applyFill="0" applyBorder="0" applyAlignment="0" applyProtection="0"/>
    <xf numFmtId="0" fontId="90" fillId="38" borderId="0" applyNumberFormat="0" applyBorder="0" applyAlignment="0" applyProtection="0"/>
    <xf numFmtId="0" fontId="91" fillId="39" borderId="0" applyNumberFormat="0" applyBorder="0" applyAlignment="0" applyProtection="0"/>
    <xf numFmtId="0" fontId="92" fillId="0" borderId="0" applyNumberFormat="0" applyFill="0" applyBorder="0" applyAlignment="0" applyProtection="0"/>
    <xf numFmtId="0" fontId="93" fillId="40" borderId="0" applyNumberFormat="0" applyBorder="0" applyAlignment="0" applyProtection="0"/>
    <xf numFmtId="0" fontId="9" fillId="0" borderId="0" applyNumberFormat="0" applyFill="0" applyBorder="0" applyAlignment="0" applyProtection="0"/>
    <xf numFmtId="0" fontId="94" fillId="0" borderId="0" applyNumberFormat="0" applyFill="0" applyBorder="0" applyAlignment="0" applyProtection="0"/>
    <xf numFmtId="0" fontId="95" fillId="0" borderId="0" applyNumberFormat="0" applyFill="0" applyBorder="0" applyAlignment="0" applyProtection="0"/>
    <xf numFmtId="0" fontId="96" fillId="41" borderId="0" applyNumberFormat="0" applyBorder="0" applyAlignment="0" applyProtection="0"/>
    <xf numFmtId="0" fontId="97" fillId="41" borderId="89" applyNumberFormat="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90" fillId="0" borderId="0" applyNumberFormat="0" applyFill="0" applyBorder="0" applyAlignment="0" applyProtection="0"/>
    <xf numFmtId="0" fontId="101" fillId="0" borderId="0"/>
    <xf numFmtId="0" fontId="10" fillId="0" borderId="0"/>
    <xf numFmtId="0" fontId="102" fillId="0" borderId="0">
      <alignment vertical="center"/>
    </xf>
    <xf numFmtId="0" fontId="10" fillId="0" borderId="0"/>
    <xf numFmtId="0" fontId="10" fillId="0" borderId="0"/>
    <xf numFmtId="0" fontId="102"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3" fillId="0" borderId="0"/>
    <xf numFmtId="0" fontId="10" fillId="0" borderId="0"/>
    <xf numFmtId="166" fontId="6" fillId="0" borderId="0" applyFont="0" applyFill="0" applyBorder="0" applyAlignment="0" applyProtection="0"/>
    <xf numFmtId="168" fontId="1" fillId="0" borderId="0" applyBorder="0"/>
    <xf numFmtId="168" fontId="1" fillId="0" borderId="0" applyBorder="0"/>
    <xf numFmtId="168" fontId="1" fillId="0" borderId="0" applyBorder="0"/>
    <xf numFmtId="0" fontId="49" fillId="0" borderId="0"/>
    <xf numFmtId="168" fontId="1" fillId="0" borderId="0"/>
    <xf numFmtId="168" fontId="1" fillId="0" borderId="0"/>
    <xf numFmtId="0" fontId="64" fillId="0" borderId="100" applyNumberFormat="0" applyFill="0" applyAlignment="0" applyProtection="0"/>
    <xf numFmtId="0" fontId="64" fillId="0" borderId="100" applyNumberFormat="0" applyFill="0" applyAlignment="0" applyProtection="0"/>
    <xf numFmtId="0" fontId="65" fillId="0" borderId="101" applyNumberFormat="0" applyFill="0" applyAlignment="0" applyProtection="0"/>
    <xf numFmtId="0" fontId="65" fillId="0" borderId="101" applyNumberFormat="0" applyFill="0" applyAlignment="0" applyProtection="0"/>
    <xf numFmtId="168" fontId="1" fillId="0" borderId="0" applyBorder="0"/>
    <xf numFmtId="0" fontId="64" fillId="0" borderId="100" applyNumberFormat="0" applyFill="0" applyAlignment="0" applyProtection="0"/>
    <xf numFmtId="0" fontId="64" fillId="0" borderId="100" applyNumberFormat="0" applyFill="0" applyAlignment="0" applyProtection="0"/>
    <xf numFmtId="0" fontId="65" fillId="0" borderId="101" applyNumberFormat="0" applyFill="0" applyAlignment="0" applyProtection="0"/>
    <xf numFmtId="0" fontId="65" fillId="0" borderId="101" applyNumberFormat="0" applyFill="0" applyAlignment="0" applyProtection="0"/>
    <xf numFmtId="0" fontId="10" fillId="0" borderId="0"/>
    <xf numFmtId="165" fontId="6" fillId="0" borderId="0" applyFont="0" applyFill="0" applyBorder="0" applyAlignment="0" applyProtection="0"/>
    <xf numFmtId="0" fontId="103" fillId="0" borderId="0"/>
    <xf numFmtId="0" fontId="11" fillId="0" borderId="0"/>
    <xf numFmtId="0" fontId="49" fillId="0" borderId="0"/>
    <xf numFmtId="168" fontId="1" fillId="0" borderId="0"/>
    <xf numFmtId="168" fontId="1" fillId="0" borderId="0"/>
    <xf numFmtId="0" fontId="10" fillId="0" borderId="0"/>
    <xf numFmtId="43" fontId="6" fillId="0" borderId="0" applyFont="0" applyFill="0" applyBorder="0" applyAlignment="0" applyProtection="0"/>
    <xf numFmtId="43" fontId="10" fillId="0" borderId="0" applyFont="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166" fontId="6" fillId="0" borderId="0" applyFont="0" applyFill="0" applyBorder="0" applyAlignment="0" applyProtection="0"/>
    <xf numFmtId="165" fontId="6" fillId="0" borderId="0" applyFont="0" applyFill="0" applyBorder="0" applyAlignment="0" applyProtection="0"/>
    <xf numFmtId="0" fontId="103" fillId="0" borderId="0"/>
    <xf numFmtId="0" fontId="49" fillId="0" borderId="0"/>
    <xf numFmtId="168" fontId="1" fillId="0" borderId="0" applyBorder="0"/>
    <xf numFmtId="168" fontId="1" fillId="0" borderId="0" applyBorder="0"/>
    <xf numFmtId="168" fontId="1" fillId="0" borderId="0" applyBorder="0"/>
    <xf numFmtId="0" fontId="49" fillId="0" borderId="0" applyFont="0" applyFill="0" applyBorder="0" applyAlignment="0" applyProtection="0"/>
    <xf numFmtId="165" fontId="49" fillId="0" borderId="0" applyFont="0" applyFill="0" applyBorder="0" applyAlignment="0" applyProtection="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0" fillId="28" borderId="89" applyNumberFormat="0" applyAlignment="0" applyProtection="0"/>
    <xf numFmtId="0" fontId="60" fillId="28" borderId="89" applyNumberFormat="0" applyAlignment="0" applyProtection="0"/>
    <xf numFmtId="0" fontId="68" fillId="15" borderId="89" applyNumberFormat="0" applyAlignment="0" applyProtection="0"/>
    <xf numFmtId="0" fontId="68" fillId="15" borderId="89" applyNumberFormat="0" applyAlignment="0" applyProtection="0"/>
    <xf numFmtId="0" fontId="6"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4" fillId="0" borderId="97" applyNumberFormat="0" applyFill="0" applyAlignment="0" applyProtection="0"/>
    <xf numFmtId="0" fontId="74" fillId="0" borderId="97" applyNumberFormat="0" applyFill="0" applyAlignment="0" applyProtection="0"/>
    <xf numFmtId="166" fontId="10" fillId="0" borderId="0" applyFont="0" applyFill="0" applyBorder="0" applyAlignment="0" applyProtection="0"/>
    <xf numFmtId="0" fontId="10" fillId="0" borderId="0"/>
    <xf numFmtId="0" fontId="10" fillId="0" borderId="0"/>
    <xf numFmtId="0" fontId="60" fillId="28" borderId="89" applyNumberFormat="0" applyAlignment="0" applyProtection="0"/>
    <xf numFmtId="0" fontId="60" fillId="28" borderId="89" applyNumberFormat="0" applyAlignment="0" applyProtection="0"/>
    <xf numFmtId="0" fontId="68" fillId="15" borderId="89" applyNumberFormat="0" applyAlignment="0" applyProtection="0"/>
    <xf numFmtId="0" fontId="68" fillId="15" borderId="89" applyNumberFormat="0" applyAlignment="0" applyProtection="0"/>
    <xf numFmtId="0" fontId="6"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4" fillId="0" borderId="97" applyNumberFormat="0" applyFill="0" applyAlignment="0" applyProtection="0"/>
    <xf numFmtId="0" fontId="74" fillId="0" borderId="97" applyNumberFormat="0" applyFill="0" applyAlignment="0" applyProtection="0"/>
    <xf numFmtId="0" fontId="54" fillId="0" borderId="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43" fontId="6"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49" fillId="0" borderId="0"/>
    <xf numFmtId="0" fontId="6" fillId="0" borderId="0"/>
    <xf numFmtId="168" fontId="104" fillId="0" borderId="0"/>
    <xf numFmtId="0" fontId="107" fillId="0" borderId="0"/>
    <xf numFmtId="0" fontId="115" fillId="0" borderId="0"/>
    <xf numFmtId="43" fontId="49" fillId="0" borderId="0" applyFont="0" applyFill="0" applyBorder="0" applyAlignment="0" applyProtection="0"/>
    <xf numFmtId="173" fontId="49" fillId="0" borderId="0" applyFont="0" applyFill="0" applyBorder="0" applyAlignment="0" applyProtection="0"/>
    <xf numFmtId="174" fontId="49"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4" fontId="49" fillId="0" borderId="0" applyFont="0" applyFill="0" applyBorder="0" applyAlignment="0" applyProtection="0"/>
    <xf numFmtId="0" fontId="6"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49" fillId="0" borderId="0"/>
    <xf numFmtId="0" fontId="10" fillId="0" borderId="0"/>
    <xf numFmtId="43" fontId="10" fillId="0" borderId="0" applyFont="0" applyFill="0" applyBorder="0" applyAlignment="0" applyProtection="0"/>
    <xf numFmtId="0" fontId="133" fillId="0" borderId="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0" fontId="60" fillId="28" borderId="89" applyNumberFormat="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6"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0" fontId="49" fillId="0" borderId="0" applyFont="0" applyFill="0" applyBorder="0" applyAlignment="0" applyProtection="0"/>
    <xf numFmtId="43" fontId="6" fillId="0" borderId="0" applyFont="0" applyFill="0" applyBorder="0" applyAlignment="0" applyProtection="0"/>
    <xf numFmtId="166" fontId="10" fillId="0" borderId="0" applyFont="0" applyFill="0" applyBorder="0" applyAlignment="0" applyProtection="0"/>
    <xf numFmtId="43" fontId="10" fillId="0" borderId="0" applyFont="0" applyFill="0" applyBorder="0" applyAlignment="0" applyProtection="0"/>
    <xf numFmtId="43" fontId="6"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175" fontId="81" fillId="0" borderId="0" applyBorder="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7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6" fontId="10" fillId="0" borderId="0" applyFont="0" applyFill="0" applyBorder="0" applyAlignment="0" applyProtection="0"/>
    <xf numFmtId="165" fontId="49" fillId="0" borderId="0" applyFont="0" applyFill="0" applyBorder="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0" fontId="137" fillId="0" borderId="0" applyNumberFormat="0" applyFill="0" applyBorder="0" applyAlignment="0" applyProtection="0">
      <alignment vertical="top"/>
      <protection locked="0"/>
    </xf>
    <xf numFmtId="0" fontId="138" fillId="0" borderId="0" applyNumberFormat="0" applyFill="0" applyBorder="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68" fillId="15" borderId="89" applyNumberFormat="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54" fillId="0" borderId="0"/>
    <xf numFmtId="0" fontId="49" fillId="0" borderId="0"/>
    <xf numFmtId="0" fontId="49" fillId="0" borderId="0"/>
    <xf numFmtId="0" fontId="10" fillId="0" borderId="0"/>
    <xf numFmtId="0" fontId="10" fillId="0" borderId="0"/>
    <xf numFmtId="0" fontId="10" fillId="0" borderId="0"/>
    <xf numFmtId="0" fontId="49" fillId="0" borderId="0"/>
    <xf numFmtId="0" fontId="49" fillId="0" borderId="0" applyFill="0"/>
    <xf numFmtId="0" fontId="102" fillId="0" borderId="0">
      <protection locked="0"/>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168" fontId="1" fillId="0" borderId="0"/>
    <xf numFmtId="168" fontId="1" fillId="0" borderId="0" applyBorder="0"/>
    <xf numFmtId="0" fontId="102" fillId="0" borderId="0">
      <protection locked="0"/>
    </xf>
    <xf numFmtId="0" fontId="6" fillId="0" borderId="0"/>
    <xf numFmtId="0" fontId="49" fillId="0" borderId="0"/>
    <xf numFmtId="0" fontId="49" fillId="0" borderId="0"/>
    <xf numFmtId="0" fontId="10" fillId="0" borderId="0"/>
    <xf numFmtId="0" fontId="10" fillId="0" borderId="0"/>
    <xf numFmtId="0" fontId="10" fillId="0" borderId="0"/>
    <xf numFmtId="3" fontId="139" fillId="0" borderId="0">
      <alignment vertical="center"/>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0" borderId="0">
      <alignment vertical="center"/>
    </xf>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81" fillId="0" borderId="0"/>
    <xf numFmtId="0" fontId="10" fillId="0" borderId="0"/>
    <xf numFmtId="0" fontId="81" fillId="0" borderId="0"/>
    <xf numFmtId="168" fontId="1" fillId="0" borderId="0" applyBorder="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71" fillId="0" borderId="0"/>
    <xf numFmtId="0" fontId="10" fillId="0" borderId="0"/>
    <xf numFmtId="0" fontId="102" fillId="0" borderId="0">
      <alignment vertical="center"/>
    </xf>
    <xf numFmtId="0" fontId="49" fillId="0" borderId="0"/>
    <xf numFmtId="0" fontId="71" fillId="0" borderId="0"/>
    <xf numFmtId="0" fontId="71" fillId="0" borderId="0"/>
    <xf numFmtId="0" fontId="10" fillId="0" borderId="0"/>
    <xf numFmtId="0" fontId="10" fillId="0" borderId="0"/>
    <xf numFmtId="0" fontId="10" fillId="0" borderId="0">
      <alignment horizontal="center"/>
    </xf>
    <xf numFmtId="0" fontId="10" fillId="0" borderId="0">
      <alignment horizontal="center"/>
    </xf>
    <xf numFmtId="0" fontId="10" fillId="0" borderId="0"/>
    <xf numFmtId="168" fontId="1" fillId="0" borderId="0" applyBorder="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0" borderId="0">
      <alignment vertical="center"/>
    </xf>
    <xf numFmtId="168" fontId="1" fillId="0" borderId="0" applyBorder="0"/>
    <xf numFmtId="0" fontId="10" fillId="0" borderId="0"/>
    <xf numFmtId="0" fontId="102" fillId="0" borderId="0">
      <alignment vertical="center"/>
    </xf>
    <xf numFmtId="0" fontId="10" fillId="0" borderId="0"/>
    <xf numFmtId="0" fontId="10" fillId="0" borderId="0"/>
    <xf numFmtId="0" fontId="10" fillId="0" borderId="0"/>
    <xf numFmtId="0" fontId="10" fillId="0" borderId="0"/>
    <xf numFmtId="0" fontId="49" fillId="0" borderId="0"/>
    <xf numFmtId="0" fontId="10" fillId="0" borderId="0"/>
    <xf numFmtId="0" fontId="10" fillId="0" borderId="0"/>
    <xf numFmtId="0" fontId="10" fillId="0" borderId="0"/>
    <xf numFmtId="0" fontId="10" fillId="0" borderId="0"/>
    <xf numFmtId="0" fontId="10" fillId="0" borderId="0"/>
    <xf numFmtId="0" fontId="10" fillId="0" borderId="0"/>
    <xf numFmtId="0" fontId="49" fillId="0" borderId="0"/>
    <xf numFmtId="0" fontId="49" fillId="0" borderId="0"/>
    <xf numFmtId="0" fontId="97" fillId="41" borderId="89" applyNumberFormat="0" applyAlignment="0" applyProtection="0"/>
    <xf numFmtId="0" fontId="97" fillId="41" borderId="89" applyNumberForma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6"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49" fillId="31" borderId="95" applyNumberFormat="0" applyFon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0" fontId="72" fillId="28" borderId="96" applyNumberFormat="0" applyAlignment="0" applyProtection="0"/>
    <xf numFmtId="9" fontId="39" fillId="0" borderId="0" applyFont="0" applyFill="0" applyBorder="0" applyAlignment="0" applyProtection="0"/>
    <xf numFmtId="9" fontId="81" fillId="0" borderId="0" applyBorder="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74" fillId="0" borderId="97" applyNumberFormat="0" applyFill="0" applyAlignment="0" applyProtection="0"/>
    <xf numFmtId="0" fontId="141" fillId="0" borderId="0"/>
    <xf numFmtId="0" fontId="146" fillId="0" borderId="0"/>
    <xf numFmtId="0" fontId="147" fillId="0" borderId="0"/>
    <xf numFmtId="9" fontId="147" fillId="0" borderId="0" applyFont="0" applyFill="0" applyBorder="0" applyAlignment="0" applyProtection="0"/>
    <xf numFmtId="0" fontId="154" fillId="0" borderId="0"/>
    <xf numFmtId="0" fontId="64" fillId="0" borderId="102" applyNumberFormat="0" applyFill="0" applyAlignment="0" applyProtection="0"/>
    <xf numFmtId="0" fontId="64" fillId="0" borderId="102" applyNumberFormat="0" applyFill="0" applyAlignment="0" applyProtection="0"/>
    <xf numFmtId="0" fontId="65" fillId="0" borderId="103" applyNumberFormat="0" applyFill="0" applyAlignment="0" applyProtection="0"/>
    <xf numFmtId="0" fontId="65" fillId="0" borderId="103" applyNumberFormat="0" applyFill="0" applyAlignment="0" applyProtection="0"/>
    <xf numFmtId="168" fontId="1" fillId="0" borderId="0"/>
    <xf numFmtId="0" fontId="49" fillId="0" borderId="0"/>
    <xf numFmtId="0" fontId="49" fillId="0" borderId="0"/>
    <xf numFmtId="0" fontId="49" fillId="0" borderId="0"/>
    <xf numFmtId="0" fontId="49" fillId="0" borderId="0"/>
    <xf numFmtId="0" fontId="175" fillId="0" borderId="0"/>
    <xf numFmtId="0" fontId="187" fillId="0" borderId="0"/>
    <xf numFmtId="0" fontId="188" fillId="0" borderId="0"/>
    <xf numFmtId="0" fontId="6" fillId="57" borderId="0" applyNumberFormat="0" applyBorder="0" applyAlignment="0" applyProtection="0"/>
    <xf numFmtId="0" fontId="6" fillId="57" borderId="0" applyNumberFormat="0" applyBorder="0" applyAlignment="0" applyProtection="0"/>
    <xf numFmtId="0" fontId="6" fillId="58" borderId="0" applyNumberFormat="0" applyBorder="0" applyAlignment="0" applyProtection="0"/>
    <xf numFmtId="0" fontId="6" fillId="58" borderId="0" applyNumberFormat="0" applyBorder="0" applyAlignment="0" applyProtection="0"/>
    <xf numFmtId="0" fontId="6" fillId="59"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1" borderId="0" applyNumberFormat="0" applyBorder="0" applyAlignment="0" applyProtection="0"/>
    <xf numFmtId="0" fontId="6" fillId="61" borderId="0" applyNumberFormat="0" applyBorder="0" applyAlignment="0" applyProtection="0"/>
    <xf numFmtId="0" fontId="6" fillId="62"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4" borderId="0" applyNumberFormat="0" applyBorder="0" applyAlignment="0" applyProtection="0"/>
    <xf numFmtId="0" fontId="6" fillId="64" borderId="0" applyNumberFormat="0" applyBorder="0" applyAlignment="0" applyProtection="0"/>
    <xf numFmtId="0" fontId="6" fillId="65" borderId="0" applyNumberFormat="0" applyBorder="0" applyAlignment="0" applyProtection="0"/>
    <xf numFmtId="0" fontId="6" fillId="65" borderId="0" applyNumberFormat="0" applyBorder="0" applyAlignment="0" applyProtection="0"/>
    <xf numFmtId="0" fontId="6" fillId="60" borderId="0" applyNumberFormat="0" applyBorder="0" applyAlignment="0" applyProtection="0"/>
    <xf numFmtId="0" fontId="6" fillId="60" borderId="0" applyNumberFormat="0" applyBorder="0" applyAlignment="0" applyProtection="0"/>
    <xf numFmtId="0" fontId="6" fillId="63" borderId="0" applyNumberFormat="0" applyBorder="0" applyAlignment="0" applyProtection="0"/>
    <xf numFmtId="0" fontId="6" fillId="63" borderId="0" applyNumberFormat="0" applyBorder="0" applyAlignment="0" applyProtection="0"/>
    <xf numFmtId="0" fontId="6" fillId="66" borderId="0" applyNumberFormat="0" applyBorder="0" applyAlignment="0" applyProtection="0"/>
    <xf numFmtId="0" fontId="6" fillId="66" borderId="0" applyNumberFormat="0" applyBorder="0" applyAlignment="0" applyProtection="0"/>
    <xf numFmtId="0" fontId="58" fillId="67" borderId="0" applyNumberFormat="0" applyBorder="0" applyAlignment="0" applyProtection="0"/>
    <xf numFmtId="0" fontId="58" fillId="67" borderId="0" applyNumberFormat="0" applyBorder="0" applyAlignment="0" applyProtection="0"/>
    <xf numFmtId="0" fontId="58" fillId="64" borderId="0" applyNumberFormat="0" applyBorder="0" applyAlignment="0" applyProtection="0"/>
    <xf numFmtId="0" fontId="58" fillId="64" borderId="0" applyNumberFormat="0" applyBorder="0" applyAlignment="0" applyProtection="0"/>
    <xf numFmtId="0" fontId="58" fillId="65" borderId="0" applyNumberFormat="0" applyBorder="0" applyAlignment="0" applyProtection="0"/>
    <xf numFmtId="0" fontId="58" fillId="65" borderId="0" applyNumberFormat="0" applyBorder="0" applyAlignment="0" applyProtection="0"/>
    <xf numFmtId="0" fontId="58" fillId="68" borderId="0" applyNumberFormat="0" applyBorder="0" applyAlignment="0" applyProtection="0"/>
    <xf numFmtId="0" fontId="58" fillId="68" borderId="0" applyNumberFormat="0" applyBorder="0" applyAlignment="0" applyProtection="0"/>
    <xf numFmtId="0" fontId="58" fillId="69" borderId="0" applyNumberFormat="0" applyBorder="0" applyAlignment="0" applyProtection="0"/>
    <xf numFmtId="0" fontId="58" fillId="69" borderId="0" applyNumberFormat="0" applyBorder="0" applyAlignment="0" applyProtection="0"/>
    <xf numFmtId="0" fontId="58" fillId="70" borderId="0" applyNumberFormat="0" applyBorder="0" applyAlignment="0" applyProtection="0"/>
    <xf numFmtId="0" fontId="58" fillId="70" borderId="0" applyNumberFormat="0" applyBorder="0" applyAlignment="0" applyProtection="0"/>
    <xf numFmtId="0" fontId="58" fillId="71" borderId="0" applyNumberFormat="0" applyBorder="0" applyAlignment="0" applyProtection="0"/>
    <xf numFmtId="0" fontId="58" fillId="71" borderId="0" applyNumberFormat="0" applyBorder="0" applyAlignment="0" applyProtection="0"/>
    <xf numFmtId="0" fontId="58" fillId="72" borderId="0" applyNumberFormat="0" applyBorder="0" applyAlignment="0" applyProtection="0"/>
    <xf numFmtId="0" fontId="58" fillId="72" borderId="0" applyNumberFormat="0" applyBorder="0" applyAlignment="0" applyProtection="0"/>
    <xf numFmtId="0" fontId="58" fillId="73" borderId="0" applyNumberFormat="0" applyBorder="0" applyAlignment="0" applyProtection="0"/>
    <xf numFmtId="0" fontId="58" fillId="73" borderId="0" applyNumberFormat="0" applyBorder="0" applyAlignment="0" applyProtection="0"/>
    <xf numFmtId="0" fontId="58" fillId="68" borderId="0" applyNumberFormat="0" applyBorder="0" applyAlignment="0" applyProtection="0"/>
    <xf numFmtId="0" fontId="58" fillId="68" borderId="0" applyNumberFormat="0" applyBorder="0" applyAlignment="0" applyProtection="0"/>
    <xf numFmtId="0" fontId="58" fillId="69" borderId="0" applyNumberFormat="0" applyBorder="0" applyAlignment="0" applyProtection="0"/>
    <xf numFmtId="0" fontId="58" fillId="69" borderId="0" applyNumberFormat="0" applyBorder="0" applyAlignment="0" applyProtection="0"/>
    <xf numFmtId="0" fontId="58" fillId="74" borderId="0" applyNumberFormat="0" applyBorder="0" applyAlignment="0" applyProtection="0"/>
    <xf numFmtId="0" fontId="58" fillId="74" borderId="0" applyNumberFormat="0" applyBorder="0" applyAlignment="0" applyProtection="0"/>
    <xf numFmtId="0" fontId="59" fillId="58" borderId="0" applyNumberFormat="0" applyBorder="0" applyAlignment="0" applyProtection="0"/>
    <xf numFmtId="0" fontId="59" fillId="58" borderId="0" applyNumberFormat="0" applyBorder="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0" fillId="75" borderId="134" applyNumberFormat="0" applyAlignment="0" applyProtection="0"/>
    <xf numFmtId="0" fontId="61" fillId="76" borderId="90" applyNumberFormat="0" applyAlignment="0" applyProtection="0"/>
    <xf numFmtId="0" fontId="61" fillId="76" borderId="90" applyNumberFormat="0" applyAlignment="0" applyProtection="0"/>
    <xf numFmtId="0" fontId="63" fillId="59" borderId="0" applyNumberFormat="0" applyBorder="0" applyAlignment="0" applyProtection="0"/>
    <xf numFmtId="0" fontId="63" fillId="59" borderId="0" applyNumberFormat="0" applyBorder="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68" fillId="62" borderId="134" applyNumberFormat="0" applyAlignment="0" applyProtection="0"/>
    <xf numFmtId="0" fontId="70" fillId="77" borderId="0" applyNumberFormat="0" applyBorder="0" applyAlignment="0" applyProtection="0"/>
    <xf numFmtId="0" fontId="70" fillId="77" borderId="0" applyNumberFormat="0" applyBorder="0" applyAlignment="0" applyProtection="0"/>
    <xf numFmtId="0" fontId="81" fillId="0" borderId="0"/>
    <xf numFmtId="0" fontId="81" fillId="0" borderId="0"/>
    <xf numFmtId="0" fontId="49" fillId="0" borderId="0"/>
    <xf numFmtId="0" fontId="97" fillId="41" borderId="134" applyNumberFormat="0" applyAlignment="0" applyProtection="0"/>
    <xf numFmtId="0" fontId="97" fillId="41" borderId="134" applyNumberFormat="0" applyAlignment="0" applyProtection="0"/>
    <xf numFmtId="0" fontId="97" fillId="41" borderId="134" applyNumberForma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6"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49" fillId="78" borderId="135" applyNumberFormat="0" applyFon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72" fillId="75" borderId="136" applyNumberFormat="0" applyAlignment="0" applyProtection="0"/>
    <xf numFmtId="0" fontId="81" fillId="0" borderId="0"/>
    <xf numFmtId="0" fontId="189" fillId="0" borderId="0" applyNumberFormat="0" applyFill="0" applyBorder="0" applyAlignment="0" applyProtection="0"/>
    <xf numFmtId="0" fontId="189" fillId="0" borderId="0" applyNumberFormat="0" applyFill="0" applyBorder="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74" fillId="0" borderId="137" applyNumberFormat="0" applyFill="0" applyAlignment="0" applyProtection="0"/>
    <xf numFmtId="0" fontId="203" fillId="0" borderId="0"/>
  </cellStyleXfs>
  <cellXfs count="6558">
    <xf numFmtId="0" fontId="0" fillId="0" borderId="0" xfId="0"/>
    <xf numFmtId="0" fontId="18" fillId="0" borderId="7" xfId="0" applyFont="1" applyBorder="1" applyAlignment="1">
      <alignment vertical="center"/>
    </xf>
    <xf numFmtId="0" fontId="0" fillId="0" borderId="31" xfId="0" applyBorder="1"/>
    <xf numFmtId="0" fontId="25" fillId="0" borderId="31" xfId="0" applyFont="1" applyBorder="1" applyAlignment="1">
      <alignment horizontal="right" vertical="center"/>
    </xf>
    <xf numFmtId="0" fontId="12" fillId="0" borderId="0" xfId="0" applyFont="1"/>
    <xf numFmtId="0" fontId="26" fillId="0" borderId="17" xfId="0" applyFont="1" applyBorder="1" applyAlignment="1">
      <alignment horizontal="center" vertical="center"/>
    </xf>
    <xf numFmtId="0" fontId="29" fillId="0" borderId="24" xfId="0" applyFont="1" applyBorder="1" applyAlignment="1">
      <alignment vertical="center"/>
    </xf>
    <xf numFmtId="0" fontId="4" fillId="0" borderId="6" xfId="0" applyFont="1" applyBorder="1" applyAlignment="1">
      <alignment vertical="center"/>
    </xf>
    <xf numFmtId="0" fontId="20" fillId="0" borderId="31" xfId="0" applyFont="1" applyBorder="1" applyAlignment="1">
      <alignment horizontal="right" vertical="center"/>
    </xf>
    <xf numFmtId="0" fontId="20" fillId="0" borderId="31" xfId="0" applyFont="1" applyBorder="1" applyAlignment="1">
      <alignment vertical="center"/>
    </xf>
    <xf numFmtId="0" fontId="18" fillId="0" borderId="34" xfId="0" applyFont="1" applyBorder="1" applyAlignment="1">
      <alignment vertical="center"/>
    </xf>
    <xf numFmtId="0" fontId="20" fillId="0" borderId="32" xfId="0" applyFont="1" applyBorder="1" applyAlignment="1">
      <alignment vertical="center"/>
    </xf>
    <xf numFmtId="0" fontId="20" fillId="0" borderId="17" xfId="0" applyFont="1" applyBorder="1" applyAlignment="1">
      <alignment horizontal="center" vertical="center"/>
    </xf>
    <xf numFmtId="0" fontId="20" fillId="0" borderId="72" xfId="0" applyFont="1" applyBorder="1" applyAlignment="1">
      <alignment horizontal="center" vertical="center"/>
    </xf>
    <xf numFmtId="0" fontId="18" fillId="0" borderId="11" xfId="0" applyFont="1" applyBorder="1" applyAlignment="1">
      <alignment horizontal="center" vertical="center"/>
    </xf>
    <xf numFmtId="0" fontId="20" fillId="0" borderId="53" xfId="0" applyFont="1" applyBorder="1" applyAlignment="1">
      <alignment horizontal="center" vertical="center"/>
    </xf>
    <xf numFmtId="0" fontId="31" fillId="0" borderId="0" xfId="0" applyFont="1"/>
    <xf numFmtId="1" fontId="20" fillId="0" borderId="17" xfId="0" applyNumberFormat="1" applyFont="1" applyBorder="1" applyAlignment="1">
      <alignment horizontal="center" vertical="center"/>
    </xf>
    <xf numFmtId="2" fontId="4" fillId="0" borderId="33" xfId="0" quotePrefix="1" applyNumberFormat="1" applyFont="1" applyBorder="1" applyAlignment="1">
      <alignment horizontal="center" vertical="center"/>
    </xf>
    <xf numFmtId="0" fontId="25" fillId="0" borderId="31" xfId="0" applyFont="1" applyBorder="1"/>
    <xf numFmtId="0" fontId="25" fillId="0" borderId="62" xfId="0" applyFont="1" applyBorder="1"/>
    <xf numFmtId="0" fontId="25" fillId="0" borderId="0" xfId="0" applyFont="1"/>
    <xf numFmtId="0" fontId="12" fillId="0" borderId="0" xfId="0" applyFont="1" applyAlignment="1">
      <alignment horizontal="center" vertical="center"/>
    </xf>
    <xf numFmtId="1" fontId="0" fillId="0" borderId="0" xfId="0" applyNumberFormat="1"/>
    <xf numFmtId="1" fontId="18" fillId="0" borderId="4" xfId="0" applyNumberFormat="1" applyFont="1" applyBorder="1" applyAlignment="1">
      <alignment horizontal="center" vertical="center"/>
    </xf>
    <xf numFmtId="1" fontId="20" fillId="0" borderId="53" xfId="0" applyNumberFormat="1" applyFont="1" applyBorder="1" applyAlignment="1">
      <alignment horizontal="center" vertical="center"/>
    </xf>
    <xf numFmtId="1" fontId="18" fillId="0" borderId="11" xfId="0" applyNumberFormat="1" applyFont="1" applyBorder="1" applyAlignment="1">
      <alignment horizontal="center" vertical="center"/>
    </xf>
    <xf numFmtId="0" fontId="12" fillId="0" borderId="0" xfId="0" applyFont="1" applyAlignment="1">
      <alignment vertical="center"/>
    </xf>
    <xf numFmtId="0" fontId="34" fillId="0" borderId="0" xfId="0" applyFont="1" applyAlignment="1">
      <alignment horizontal="center" vertical="center"/>
    </xf>
    <xf numFmtId="0" fontId="17" fillId="0" borderId="0" xfId="0" applyFont="1"/>
    <xf numFmtId="0" fontId="35" fillId="0" borderId="0" xfId="0" applyFont="1" applyAlignment="1">
      <alignment horizontal="center" vertical="center"/>
    </xf>
    <xf numFmtId="1" fontId="7" fillId="0" borderId="42" xfId="0" applyNumberFormat="1" applyFont="1" applyBorder="1" applyAlignment="1">
      <alignment horizontal="center" vertical="center"/>
    </xf>
    <xf numFmtId="0" fontId="18" fillId="0" borderId="73" xfId="0" applyFont="1" applyBorder="1" applyAlignment="1">
      <alignment horizontal="center" vertical="center"/>
    </xf>
    <xf numFmtId="0" fontId="18" fillId="0" borderId="42" xfId="0" applyFont="1" applyBorder="1" applyAlignment="1">
      <alignment horizontal="center" vertical="center"/>
    </xf>
    <xf numFmtId="1" fontId="20" fillId="0" borderId="33" xfId="0" applyNumberFormat="1" applyFont="1" applyBorder="1" applyAlignment="1">
      <alignment horizontal="center" vertical="center"/>
    </xf>
    <xf numFmtId="1" fontId="20" fillId="7" borderId="17" xfId="0" applyNumberFormat="1" applyFont="1" applyFill="1" applyBorder="1" applyAlignment="1">
      <alignment horizontal="center" vertical="center"/>
    </xf>
    <xf numFmtId="1" fontId="18" fillId="7" borderId="1" xfId="0" applyNumberFormat="1" applyFont="1" applyFill="1" applyBorder="1" applyAlignment="1">
      <alignment horizontal="center" vertical="center"/>
    </xf>
    <xf numFmtId="1" fontId="18" fillId="7" borderId="11" xfId="0" applyNumberFormat="1" applyFont="1" applyFill="1" applyBorder="1" applyAlignment="1">
      <alignment horizontal="center" vertical="center"/>
    </xf>
    <xf numFmtId="167" fontId="18" fillId="7" borderId="11" xfId="0" applyNumberFormat="1" applyFont="1" applyFill="1" applyBorder="1" applyAlignment="1">
      <alignment horizontal="center" vertical="center"/>
    </xf>
    <xf numFmtId="1" fontId="20" fillId="7" borderId="42" xfId="0" applyNumberFormat="1" applyFont="1" applyFill="1" applyBorder="1" applyAlignment="1">
      <alignment horizontal="center" vertical="center"/>
    </xf>
    <xf numFmtId="1" fontId="20" fillId="7" borderId="33" xfId="0" applyNumberFormat="1" applyFont="1" applyFill="1" applyBorder="1" applyAlignment="1">
      <alignment horizontal="center" vertical="center"/>
    </xf>
    <xf numFmtId="0" fontId="20" fillId="0" borderId="0" xfId="0" applyFont="1"/>
    <xf numFmtId="0" fontId="18" fillId="0" borderId="6" xfId="0" applyFont="1" applyBorder="1" applyAlignment="1">
      <alignment vertical="center"/>
    </xf>
    <xf numFmtId="0" fontId="5" fillId="0" borderId="6" xfId="0" applyFont="1" applyBorder="1" applyAlignment="1">
      <alignment vertical="center"/>
    </xf>
    <xf numFmtId="0" fontId="4" fillId="0" borderId="67" xfId="0" applyFont="1" applyBorder="1" applyAlignment="1">
      <alignment horizontal="center" vertical="center"/>
    </xf>
    <xf numFmtId="0" fontId="19" fillId="0" borderId="48" xfId="0" applyFont="1" applyBorder="1" applyAlignment="1">
      <alignment horizontal="center" vertical="center"/>
    </xf>
    <xf numFmtId="0" fontId="4" fillId="0" borderId="37" xfId="0" applyFont="1" applyBorder="1" applyAlignment="1">
      <alignment horizontal="center" vertical="center"/>
    </xf>
    <xf numFmtId="1" fontId="4" fillId="7" borderId="78" xfId="0" applyNumberFormat="1" applyFont="1" applyFill="1" applyBorder="1" applyAlignment="1">
      <alignment horizontal="center" vertical="center"/>
    </xf>
    <xf numFmtId="0" fontId="40" fillId="0" borderId="24" xfId="0" applyFont="1" applyBorder="1" applyAlignment="1">
      <alignment vertical="center"/>
    </xf>
    <xf numFmtId="167" fontId="20" fillId="7" borderId="31" xfId="0" applyNumberFormat="1" applyFont="1" applyFill="1" applyBorder="1" applyAlignment="1">
      <alignment horizontal="center" vertical="center"/>
    </xf>
    <xf numFmtId="167" fontId="20" fillId="7" borderId="34" xfId="0" applyNumberFormat="1" applyFont="1" applyFill="1" applyBorder="1" applyAlignment="1">
      <alignment horizontal="center" vertical="center"/>
    </xf>
    <xf numFmtId="0" fontId="5" fillId="0" borderId="24" xfId="0" applyFont="1" applyBorder="1" applyAlignment="1">
      <alignment vertical="center"/>
    </xf>
    <xf numFmtId="167" fontId="20" fillId="7" borderId="81" xfId="0" applyNumberFormat="1" applyFont="1" applyFill="1" applyBorder="1" applyAlignment="1">
      <alignment horizontal="center" vertical="center"/>
    </xf>
    <xf numFmtId="167" fontId="4" fillId="7" borderId="81" xfId="0" applyNumberFormat="1" applyFont="1" applyFill="1" applyBorder="1" applyAlignment="1">
      <alignment horizontal="center" vertical="center"/>
    </xf>
    <xf numFmtId="0" fontId="25" fillId="0" borderId="34" xfId="0" applyFont="1" applyBorder="1"/>
    <xf numFmtId="0" fontId="25" fillId="0" borderId="74" xfId="0" applyFont="1" applyBorder="1"/>
    <xf numFmtId="0" fontId="20" fillId="0" borderId="48" xfId="0" applyFont="1" applyBorder="1" applyAlignment="1">
      <alignment horizontal="center" vertical="center"/>
    </xf>
    <xf numFmtId="1" fontId="20" fillId="7" borderId="31" xfId="0" applyNumberFormat="1" applyFont="1" applyFill="1" applyBorder="1" applyAlignment="1">
      <alignment horizontal="center" vertical="center"/>
    </xf>
    <xf numFmtId="1" fontId="20" fillId="7" borderId="53" xfId="0" applyNumberFormat="1" applyFont="1" applyFill="1" applyBorder="1" applyAlignment="1">
      <alignment horizontal="center" vertical="center"/>
    </xf>
    <xf numFmtId="167" fontId="21" fillId="7" borderId="11" xfId="0" applyNumberFormat="1" applyFont="1" applyFill="1" applyBorder="1" applyAlignment="1">
      <alignment horizontal="center" vertical="center"/>
    </xf>
    <xf numFmtId="0" fontId="12" fillId="0" borderId="10" xfId="0" applyFont="1" applyBorder="1" applyAlignment="1">
      <alignment horizontal="center" vertical="center"/>
    </xf>
    <xf numFmtId="1" fontId="20" fillId="0" borderId="0" xfId="0" applyNumberFormat="1" applyFont="1" applyAlignment="1">
      <alignment horizontal="center" vertical="center"/>
    </xf>
    <xf numFmtId="2" fontId="18" fillId="0" borderId="0" xfId="0" applyNumberFormat="1" applyFont="1" applyAlignment="1">
      <alignment horizontal="center" vertical="center"/>
    </xf>
    <xf numFmtId="1" fontId="18" fillId="5" borderId="11" xfId="0" applyNumberFormat="1" applyFont="1" applyFill="1" applyBorder="1" applyAlignment="1">
      <alignment horizontal="center" vertical="center"/>
    </xf>
    <xf numFmtId="1" fontId="20" fillId="5" borderId="29" xfId="0" applyNumberFormat="1" applyFont="1" applyFill="1" applyBorder="1" applyAlignment="1">
      <alignment horizontal="center" vertical="center"/>
    </xf>
    <xf numFmtId="1" fontId="20" fillId="5" borderId="17" xfId="0" applyNumberFormat="1" applyFont="1" applyFill="1" applyBorder="1" applyAlignment="1">
      <alignment horizontal="center" vertical="center"/>
    </xf>
    <xf numFmtId="167" fontId="21" fillId="5" borderId="11" xfId="0" applyNumberFormat="1" applyFont="1" applyFill="1" applyBorder="1" applyAlignment="1">
      <alignment horizontal="center" vertical="center"/>
    </xf>
    <xf numFmtId="167" fontId="18" fillId="5" borderId="11" xfId="0" applyNumberFormat="1"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5" borderId="42" xfId="0" applyNumberFormat="1" applyFont="1" applyFill="1" applyBorder="1" applyAlignment="1">
      <alignment horizontal="center" vertical="center"/>
    </xf>
    <xf numFmtId="1" fontId="20" fillId="5" borderId="33" xfId="0" applyNumberFormat="1" applyFont="1" applyFill="1" applyBorder="1" applyAlignment="1">
      <alignment horizontal="center" vertical="center"/>
    </xf>
    <xf numFmtId="1" fontId="4" fillId="5" borderId="76" xfId="0" applyNumberFormat="1" applyFont="1" applyFill="1" applyBorder="1" applyAlignment="1">
      <alignment horizontal="center" vertical="center"/>
    </xf>
    <xf numFmtId="1" fontId="4" fillId="5" borderId="78" xfId="0" applyNumberFormat="1" applyFont="1" applyFill="1" applyBorder="1" applyAlignment="1">
      <alignment horizontal="center" vertical="center"/>
    </xf>
    <xf numFmtId="167" fontId="20" fillId="5" borderId="31" xfId="0" applyNumberFormat="1" applyFont="1" applyFill="1" applyBorder="1" applyAlignment="1">
      <alignment horizontal="center" vertical="center"/>
    </xf>
    <xf numFmtId="167" fontId="20" fillId="5" borderId="81" xfId="0" applyNumberFormat="1" applyFont="1" applyFill="1" applyBorder="1" applyAlignment="1">
      <alignment horizontal="center" vertical="center"/>
    </xf>
    <xf numFmtId="167" fontId="4" fillId="5" borderId="31" xfId="0" applyNumberFormat="1" applyFont="1" applyFill="1" applyBorder="1" applyAlignment="1">
      <alignment horizontal="center" vertical="center"/>
    </xf>
    <xf numFmtId="167" fontId="4" fillId="5" borderId="81" xfId="0" applyNumberFormat="1" applyFont="1" applyFill="1" applyBorder="1" applyAlignment="1">
      <alignment horizontal="center" vertical="center"/>
    </xf>
    <xf numFmtId="2" fontId="20" fillId="0" borderId="17" xfId="0" applyNumberFormat="1" applyFont="1" applyBorder="1" applyAlignment="1">
      <alignment horizontal="center" vertical="center"/>
    </xf>
    <xf numFmtId="2" fontId="20" fillId="7" borderId="31" xfId="0" applyNumberFormat="1" applyFont="1" applyFill="1" applyBorder="1" applyAlignment="1">
      <alignment horizontal="center" vertical="center"/>
    </xf>
    <xf numFmtId="1" fontId="20" fillId="5" borderId="53" xfId="0" applyNumberFormat="1" applyFont="1" applyFill="1" applyBorder="1" applyAlignment="1">
      <alignment horizontal="center" vertical="center"/>
    </xf>
    <xf numFmtId="1" fontId="20" fillId="0" borderId="50" xfId="0" applyNumberFormat="1" applyFont="1" applyBorder="1" applyAlignment="1">
      <alignment horizontal="center" vertical="center"/>
    </xf>
    <xf numFmtId="0" fontId="12" fillId="0" borderId="11" xfId="0" applyFont="1" applyBorder="1" applyAlignment="1">
      <alignment horizontal="center" vertical="center"/>
    </xf>
    <xf numFmtId="0" fontId="47" fillId="0" borderId="0" xfId="0" applyFont="1"/>
    <xf numFmtId="1" fontId="20" fillId="0" borderId="42" xfId="0" applyNumberFormat="1" applyFont="1" applyBorder="1" applyAlignment="1">
      <alignment horizontal="center" vertical="center"/>
    </xf>
    <xf numFmtId="1" fontId="20" fillId="7" borderId="19" xfId="0" applyNumberFormat="1" applyFont="1" applyFill="1" applyBorder="1" applyAlignment="1">
      <alignment horizontal="center" vertical="center"/>
    </xf>
    <xf numFmtId="2" fontId="20" fillId="5" borderId="53" xfId="0" applyNumberFormat="1" applyFont="1" applyFill="1" applyBorder="1" applyAlignment="1">
      <alignment horizontal="center" vertical="center"/>
    </xf>
    <xf numFmtId="1" fontId="18" fillId="5" borderId="53" xfId="0" applyNumberFormat="1" applyFont="1" applyFill="1" applyBorder="1" applyAlignment="1">
      <alignment horizontal="center" vertical="center"/>
    </xf>
    <xf numFmtId="1" fontId="18" fillId="0" borderId="21" xfId="0" applyNumberFormat="1" applyFont="1" applyBorder="1" applyAlignment="1">
      <alignment horizontal="center" vertical="center"/>
    </xf>
    <xf numFmtId="0" fontId="45" fillId="0" borderId="0" xfId="0" applyFont="1"/>
    <xf numFmtId="2" fontId="20" fillId="0" borderId="42" xfId="0" applyNumberFormat="1" applyFont="1" applyBorder="1" applyAlignment="1">
      <alignment horizontal="center" vertical="center"/>
    </xf>
    <xf numFmtId="2" fontId="20" fillId="5" borderId="42" xfId="0" applyNumberFormat="1" applyFont="1" applyFill="1" applyBorder="1" applyAlignment="1">
      <alignment horizontal="center" vertical="center"/>
    </xf>
    <xf numFmtId="0" fontId="44" fillId="0" borderId="0" xfId="0" applyFont="1" applyAlignment="1">
      <alignment horizontal="center" vertical="center"/>
    </xf>
    <xf numFmtId="2" fontId="20" fillId="7" borderId="53" xfId="0" applyNumberFormat="1" applyFont="1" applyFill="1" applyBorder="1" applyAlignment="1">
      <alignment horizontal="center" vertical="center"/>
    </xf>
    <xf numFmtId="1" fontId="18" fillId="7" borderId="53" xfId="0" applyNumberFormat="1" applyFont="1" applyFill="1" applyBorder="1" applyAlignment="1">
      <alignment horizontal="center" vertical="center"/>
    </xf>
    <xf numFmtId="1" fontId="21" fillId="7" borderId="53" xfId="0" applyNumberFormat="1" applyFont="1" applyFill="1" applyBorder="1" applyAlignment="1">
      <alignment horizontal="center" vertical="center"/>
    </xf>
    <xf numFmtId="167" fontId="20" fillId="0" borderId="17" xfId="0" applyNumberFormat="1" applyFont="1" applyBorder="1" applyAlignment="1">
      <alignment horizontal="center" vertical="center"/>
    </xf>
    <xf numFmtId="167" fontId="20" fillId="0" borderId="10" xfId="0" applyNumberFormat="1" applyFont="1" applyBorder="1" applyAlignment="1">
      <alignment horizontal="center" vertical="center"/>
    </xf>
    <xf numFmtId="167" fontId="20" fillId="0" borderId="30" xfId="0" applyNumberFormat="1" applyFont="1" applyBorder="1" applyAlignment="1">
      <alignment horizontal="center" vertical="center"/>
    </xf>
    <xf numFmtId="0" fontId="21" fillId="0" borderId="11" xfId="0" applyFont="1" applyBorder="1" applyAlignment="1">
      <alignment horizontal="center" vertical="center"/>
    </xf>
    <xf numFmtId="167" fontId="20" fillId="7" borderId="19" xfId="0" applyNumberFormat="1" applyFont="1" applyFill="1" applyBorder="1" applyAlignment="1">
      <alignment horizontal="center" vertical="center"/>
    </xf>
    <xf numFmtId="167" fontId="20" fillId="0" borderId="6" xfId="0" applyNumberFormat="1" applyFont="1" applyBorder="1" applyAlignment="1">
      <alignment horizontal="center" vertical="center"/>
    </xf>
    <xf numFmtId="167" fontId="20" fillId="7" borderId="17" xfId="0" applyNumberFormat="1" applyFont="1" applyFill="1" applyBorder="1" applyAlignment="1">
      <alignment horizontal="center" vertical="center"/>
    </xf>
    <xf numFmtId="167" fontId="20" fillId="7" borderId="72" xfId="0" applyNumberFormat="1" applyFont="1" applyFill="1" applyBorder="1" applyAlignment="1">
      <alignment horizontal="center" vertical="center"/>
    </xf>
    <xf numFmtId="1" fontId="20" fillId="0" borderId="23" xfId="0" applyNumberFormat="1" applyFont="1" applyBorder="1" applyAlignment="1">
      <alignment horizontal="center" vertical="center"/>
    </xf>
    <xf numFmtId="167" fontId="18" fillId="0" borderId="5" xfId="0" applyNumberFormat="1" applyFont="1" applyBorder="1" applyAlignment="1">
      <alignment horizontal="center" vertical="center"/>
    </xf>
    <xf numFmtId="0" fontId="37" fillId="0" borderId="0" xfId="0" applyFont="1"/>
    <xf numFmtId="167" fontId="20" fillId="5" borderId="19" xfId="0" applyNumberFormat="1" applyFont="1" applyFill="1" applyBorder="1" applyAlignment="1">
      <alignment horizontal="center" vertical="center"/>
    </xf>
    <xf numFmtId="167" fontId="20" fillId="5" borderId="17" xfId="0" applyNumberFormat="1" applyFont="1" applyFill="1" applyBorder="1" applyAlignment="1">
      <alignment horizontal="center" vertical="center"/>
    </xf>
    <xf numFmtId="167" fontId="20" fillId="5" borderId="72" xfId="0" applyNumberFormat="1" applyFont="1" applyFill="1" applyBorder="1" applyAlignment="1">
      <alignment horizontal="center" vertical="center"/>
    </xf>
    <xf numFmtId="0" fontId="18" fillId="0" borderId="30" xfId="0" applyFont="1" applyBorder="1" applyAlignment="1">
      <alignment horizontal="center" vertical="center"/>
    </xf>
    <xf numFmtId="1" fontId="45" fillId="0" borderId="0" xfId="0" applyNumberFormat="1" applyFont="1"/>
    <xf numFmtId="167" fontId="20" fillId="0" borderId="50" xfId="0" applyNumberFormat="1" applyFont="1" applyBorder="1" applyAlignment="1">
      <alignment horizontal="center" vertical="center"/>
    </xf>
    <xf numFmtId="1" fontId="18" fillId="5" borderId="87" xfId="0" applyNumberFormat="1" applyFont="1" applyFill="1" applyBorder="1" applyAlignment="1">
      <alignment horizontal="center" vertical="center"/>
    </xf>
    <xf numFmtId="167" fontId="20" fillId="5" borderId="53" xfId="0" applyNumberFormat="1" applyFont="1" applyFill="1" applyBorder="1" applyAlignment="1">
      <alignment horizontal="center" vertical="center"/>
    </xf>
    <xf numFmtId="1" fontId="20" fillId="0" borderId="19" xfId="0" applyNumberFormat="1" applyFont="1" applyBorder="1" applyAlignment="1">
      <alignment horizontal="center" vertical="center"/>
    </xf>
    <xf numFmtId="1" fontId="20" fillId="5" borderId="19" xfId="0" applyNumberFormat="1" applyFont="1" applyFill="1" applyBorder="1" applyAlignment="1">
      <alignment horizontal="center" vertical="center"/>
    </xf>
    <xf numFmtId="1" fontId="20" fillId="0" borderId="72" xfId="0" applyNumberFormat="1" applyFont="1" applyBorder="1" applyAlignment="1">
      <alignment horizontal="center" vertical="center"/>
    </xf>
    <xf numFmtId="167" fontId="20" fillId="7" borderId="53" xfId="0" applyNumberFormat="1" applyFont="1" applyFill="1" applyBorder="1" applyAlignment="1">
      <alignment horizontal="center" vertical="center"/>
    </xf>
    <xf numFmtId="1" fontId="4" fillId="0" borderId="42" xfId="0" applyNumberFormat="1" applyFont="1" applyBorder="1" applyAlignment="1">
      <alignment horizontal="center" vertical="center"/>
    </xf>
    <xf numFmtId="1" fontId="18" fillId="0" borderId="42" xfId="0" applyNumberFormat="1" applyFont="1" applyBorder="1" applyAlignment="1">
      <alignment horizontal="center" vertical="center"/>
    </xf>
    <xf numFmtId="167" fontId="20" fillId="7" borderId="33" xfId="0" applyNumberFormat="1" applyFont="1" applyFill="1" applyBorder="1" applyAlignment="1">
      <alignment horizontal="center" vertical="center"/>
    </xf>
    <xf numFmtId="167" fontId="20" fillId="0" borderId="19" xfId="0" applyNumberFormat="1" applyFont="1" applyBorder="1" applyAlignment="1">
      <alignment horizontal="center" vertical="center"/>
    </xf>
    <xf numFmtId="167" fontId="20" fillId="0" borderId="72" xfId="0" applyNumberFormat="1" applyFont="1" applyBorder="1" applyAlignment="1">
      <alignment horizontal="center" vertical="center"/>
    </xf>
    <xf numFmtId="167" fontId="20" fillId="8" borderId="17" xfId="0" applyNumberFormat="1" applyFont="1" applyFill="1" applyBorder="1" applyAlignment="1">
      <alignment horizontal="center" vertical="center"/>
    </xf>
    <xf numFmtId="2" fontId="20" fillId="0" borderId="33" xfId="0" applyNumberFormat="1" applyFont="1" applyBorder="1" applyAlignment="1">
      <alignment horizontal="center" vertical="center"/>
    </xf>
    <xf numFmtId="1" fontId="20" fillId="8" borderId="48" xfId="0" applyNumberFormat="1" applyFont="1" applyFill="1" applyBorder="1" applyAlignment="1">
      <alignment horizontal="center" vertical="center"/>
    </xf>
    <xf numFmtId="0" fontId="3" fillId="0" borderId="77" xfId="0" applyFont="1" applyBorder="1"/>
    <xf numFmtId="1" fontId="18" fillId="0" borderId="55" xfId="0" applyNumberFormat="1" applyFont="1" applyBorder="1" applyAlignment="1">
      <alignment horizontal="center" vertical="center"/>
    </xf>
    <xf numFmtId="1" fontId="4" fillId="0" borderId="11" xfId="0" applyNumberFormat="1" applyFont="1" applyBorder="1" applyAlignment="1">
      <alignment horizontal="center" vertical="center"/>
    </xf>
    <xf numFmtId="1" fontId="21" fillId="0" borderId="11" xfId="0" applyNumberFormat="1" applyFont="1" applyBorder="1" applyAlignment="1">
      <alignment horizontal="center" vertical="center"/>
    </xf>
    <xf numFmtId="167" fontId="20" fillId="0" borderId="7" xfId="0" applyNumberFormat="1" applyFont="1" applyBorder="1" applyAlignment="1">
      <alignment horizontal="center" vertical="center"/>
    </xf>
    <xf numFmtId="167" fontId="4" fillId="0" borderId="11" xfId="0" applyNumberFormat="1" applyFont="1" applyBorder="1" applyAlignment="1">
      <alignment horizontal="center" vertical="center"/>
    </xf>
    <xf numFmtId="167" fontId="20" fillId="0" borderId="42" xfId="0" applyNumberFormat="1" applyFont="1" applyBorder="1" applyAlignment="1">
      <alignment horizontal="center" vertical="center"/>
    </xf>
    <xf numFmtId="167" fontId="21" fillId="0" borderId="19" xfId="0" applyNumberFormat="1" applyFont="1" applyBorder="1" applyAlignment="1">
      <alignment horizontal="center" vertical="center"/>
    </xf>
    <xf numFmtId="0" fontId="21" fillId="7" borderId="4" xfId="0" applyFont="1" applyFill="1" applyBorder="1" applyAlignment="1">
      <alignment horizontal="center" vertical="center"/>
    </xf>
    <xf numFmtId="0" fontId="51" fillId="0" borderId="0" xfId="0" applyFont="1"/>
    <xf numFmtId="0" fontId="51" fillId="8" borderId="0" xfId="0" applyFont="1" applyFill="1"/>
    <xf numFmtId="0" fontId="0" fillId="8" borderId="0" xfId="0" applyFill="1"/>
    <xf numFmtId="0" fontId="0" fillId="8" borderId="0" xfId="0" applyFill="1" applyAlignment="1">
      <alignment horizontal="center" vertical="center"/>
    </xf>
    <xf numFmtId="1" fontId="12" fillId="8" borderId="10" xfId="0" applyNumberFormat="1" applyFont="1" applyFill="1" applyBorder="1" applyAlignment="1">
      <alignment horizontal="center" vertical="center"/>
    </xf>
    <xf numFmtId="0" fontId="54" fillId="0" borderId="0" xfId="0" applyFont="1"/>
    <xf numFmtId="0" fontId="12" fillId="8" borderId="17" xfId="0" applyFont="1" applyFill="1" applyBorder="1" applyAlignment="1">
      <alignment horizontal="center" vertical="center"/>
    </xf>
    <xf numFmtId="0" fontId="45" fillId="8" borderId="0" xfId="0" applyFont="1" applyFill="1"/>
    <xf numFmtId="1" fontId="20" fillId="8" borderId="31" xfId="0" applyNumberFormat="1" applyFont="1" applyFill="1" applyBorder="1" applyAlignment="1">
      <alignment horizontal="center" vertical="center"/>
    </xf>
    <xf numFmtId="0" fontId="21" fillId="0" borderId="69" xfId="0" applyFont="1" applyBorder="1" applyAlignment="1">
      <alignment horizontal="center" vertical="center"/>
    </xf>
    <xf numFmtId="1" fontId="20" fillId="0" borderId="41" xfId="0" applyNumberFormat="1" applyFont="1" applyBorder="1" applyAlignment="1">
      <alignment horizontal="center" vertical="center"/>
    </xf>
    <xf numFmtId="0" fontId="20" fillId="0" borderId="10" xfId="0" applyFont="1" applyBorder="1" applyAlignment="1">
      <alignment horizontal="center" vertical="center"/>
    </xf>
    <xf numFmtId="0" fontId="20" fillId="0" borderId="45" xfId="0" applyFont="1" applyBorder="1" applyAlignment="1">
      <alignment horizontal="center" vertical="center"/>
    </xf>
    <xf numFmtId="0" fontId="21" fillId="0" borderId="26" xfId="0" applyFont="1" applyBorder="1" applyAlignment="1">
      <alignment horizontal="center" vertical="center"/>
    </xf>
    <xf numFmtId="0" fontId="20" fillId="0" borderId="65" xfId="0" applyFont="1" applyBorder="1" applyAlignment="1">
      <alignment horizontal="center" vertical="center"/>
    </xf>
    <xf numFmtId="0" fontId="21" fillId="7" borderId="28" xfId="0" applyFont="1" applyFill="1" applyBorder="1" applyAlignment="1">
      <alignment horizontal="center" vertical="center"/>
    </xf>
    <xf numFmtId="2" fontId="20" fillId="7" borderId="33" xfId="0" applyNumberFormat="1" applyFont="1" applyFill="1" applyBorder="1" applyAlignment="1">
      <alignment horizontal="center" vertical="center"/>
    </xf>
    <xf numFmtId="1" fontId="20" fillId="7" borderId="72" xfId="0" applyNumberFormat="1" applyFont="1" applyFill="1" applyBorder="1" applyAlignment="1">
      <alignment horizontal="center" vertical="center"/>
    </xf>
    <xf numFmtId="167" fontId="20" fillId="7" borderId="42" xfId="0" applyNumberFormat="1" applyFont="1" applyFill="1" applyBorder="1" applyAlignment="1">
      <alignment horizontal="center" vertical="center"/>
    </xf>
    <xf numFmtId="167" fontId="20" fillId="7" borderId="50" xfId="0" applyNumberFormat="1" applyFont="1" applyFill="1" applyBorder="1" applyAlignment="1">
      <alignment horizontal="center" vertical="center"/>
    </xf>
    <xf numFmtId="167" fontId="21" fillId="7" borderId="19" xfId="0" applyNumberFormat="1" applyFont="1" applyFill="1" applyBorder="1" applyAlignment="1">
      <alignment horizontal="center" vertical="center"/>
    </xf>
    <xf numFmtId="167" fontId="4" fillId="7" borderId="11" xfId="0" applyNumberFormat="1" applyFont="1" applyFill="1" applyBorder="1" applyAlignment="1">
      <alignment horizontal="center" vertical="center"/>
    </xf>
    <xf numFmtId="0" fontId="21" fillId="5" borderId="28" xfId="0" applyFont="1" applyFill="1" applyBorder="1" applyAlignment="1">
      <alignment horizontal="center" vertical="center"/>
    </xf>
    <xf numFmtId="2" fontId="20" fillId="5" borderId="33" xfId="0" applyNumberFormat="1" applyFont="1" applyFill="1" applyBorder="1" applyAlignment="1">
      <alignment horizontal="center" vertical="center"/>
    </xf>
    <xf numFmtId="1" fontId="21" fillId="5" borderId="11" xfId="0" applyNumberFormat="1" applyFont="1" applyFill="1" applyBorder="1" applyAlignment="1">
      <alignment horizontal="center" vertical="center"/>
    </xf>
    <xf numFmtId="1" fontId="20" fillId="5" borderId="72" xfId="0" applyNumberFormat="1" applyFont="1" applyFill="1" applyBorder="1" applyAlignment="1">
      <alignment horizontal="center" vertical="center"/>
    </xf>
    <xf numFmtId="167" fontId="20" fillId="5" borderId="42" xfId="0" applyNumberFormat="1" applyFont="1" applyFill="1" applyBorder="1" applyAlignment="1">
      <alignment horizontal="center" vertical="center"/>
    </xf>
    <xf numFmtId="167" fontId="20" fillId="5" borderId="50" xfId="0" applyNumberFormat="1" applyFont="1" applyFill="1" applyBorder="1" applyAlignment="1">
      <alignment horizontal="center" vertical="center"/>
    </xf>
    <xf numFmtId="167" fontId="21" fillId="5" borderId="19" xfId="0" applyNumberFormat="1" applyFont="1" applyFill="1" applyBorder="1" applyAlignment="1">
      <alignment horizontal="center" vertical="center"/>
    </xf>
    <xf numFmtId="167" fontId="20" fillId="5" borderId="33" xfId="0" applyNumberFormat="1" applyFont="1" applyFill="1" applyBorder="1" applyAlignment="1">
      <alignment horizontal="center" vertical="center"/>
    </xf>
    <xf numFmtId="0" fontId="21" fillId="0" borderId="28" xfId="0" applyFont="1" applyBorder="1" applyAlignment="1">
      <alignment horizontal="center" vertical="center"/>
    </xf>
    <xf numFmtId="0" fontId="21" fillId="0" borderId="1" xfId="0" applyFont="1" applyBorder="1" applyAlignment="1">
      <alignment horizontal="center" vertical="center"/>
    </xf>
    <xf numFmtId="0" fontId="57" fillId="0" borderId="0" xfId="0" applyFont="1"/>
    <xf numFmtId="1" fontId="20" fillId="8" borderId="17" xfId="0" applyNumberFormat="1" applyFont="1" applyFill="1" applyBorder="1" applyAlignment="1">
      <alignment horizontal="center" vertical="center"/>
    </xf>
    <xf numFmtId="1" fontId="18" fillId="7" borderId="17" xfId="0" applyNumberFormat="1" applyFont="1" applyFill="1" applyBorder="1" applyAlignment="1">
      <alignment horizontal="center" vertical="center"/>
    </xf>
    <xf numFmtId="0" fontId="25" fillId="8" borderId="31" xfId="0" applyFont="1" applyFill="1" applyBorder="1"/>
    <xf numFmtId="0" fontId="0" fillId="0" borderId="10" xfId="0" applyBorder="1"/>
    <xf numFmtId="171" fontId="0" fillId="0" borderId="0" xfId="22" applyNumberFormat="1" applyFont="1"/>
    <xf numFmtId="1" fontId="55" fillId="0" borderId="0" xfId="0" applyNumberFormat="1" applyFont="1"/>
    <xf numFmtId="0" fontId="4" fillId="8" borderId="39" xfId="0" applyFont="1" applyFill="1" applyBorder="1" applyAlignment="1">
      <alignment horizontal="center" vertical="center"/>
    </xf>
    <xf numFmtId="0" fontId="4" fillId="8" borderId="39" xfId="0" applyFont="1" applyFill="1" applyBorder="1" applyAlignment="1">
      <alignment vertical="center"/>
    </xf>
    <xf numFmtId="0" fontId="26" fillId="7" borderId="10" xfId="0" applyFont="1" applyFill="1" applyBorder="1" applyAlignment="1">
      <alignment horizontal="center" vertical="center"/>
    </xf>
    <xf numFmtId="0" fontId="26" fillId="5" borderId="10" xfId="0" applyFont="1" applyFill="1" applyBorder="1" applyAlignment="1">
      <alignment horizontal="center" vertical="center"/>
    </xf>
    <xf numFmtId="167" fontId="20" fillId="8" borderId="10" xfId="0" applyNumberFormat="1" applyFont="1" applyFill="1" applyBorder="1" applyAlignment="1">
      <alignment horizontal="center" vertical="center"/>
    </xf>
    <xf numFmtId="167" fontId="20" fillId="8" borderId="23" xfId="0" applyNumberFormat="1" applyFont="1" applyFill="1" applyBorder="1" applyAlignment="1">
      <alignment horizontal="center" vertical="center"/>
    </xf>
    <xf numFmtId="169" fontId="20" fillId="7" borderId="19" xfId="0" applyNumberFormat="1" applyFont="1" applyFill="1" applyBorder="1" applyAlignment="1">
      <alignment horizontal="center" vertical="center"/>
    </xf>
    <xf numFmtId="0" fontId="18" fillId="5" borderId="53" xfId="0" applyFont="1" applyFill="1" applyBorder="1" applyAlignment="1">
      <alignment horizontal="center" vertical="center"/>
    </xf>
    <xf numFmtId="2" fontId="21" fillId="5" borderId="53" xfId="0" applyNumberFormat="1" applyFont="1" applyFill="1" applyBorder="1" applyAlignment="1">
      <alignment horizontal="center" vertical="center"/>
    </xf>
    <xf numFmtId="169" fontId="20" fillId="5" borderId="19" xfId="0" applyNumberFormat="1" applyFont="1" applyFill="1" applyBorder="1" applyAlignment="1">
      <alignment horizontal="center" vertical="center"/>
    </xf>
    <xf numFmtId="1" fontId="20" fillId="7" borderId="73" xfId="0" applyNumberFormat="1" applyFont="1" applyFill="1" applyBorder="1" applyAlignment="1">
      <alignment horizontal="center" vertical="center"/>
    </xf>
    <xf numFmtId="1" fontId="21" fillId="0" borderId="1" xfId="0" applyNumberFormat="1" applyFont="1" applyBorder="1" applyAlignment="1">
      <alignment horizontal="center" vertical="center"/>
    </xf>
    <xf numFmtId="0" fontId="45" fillId="0" borderId="0" xfId="0" quotePrefix="1" applyFont="1"/>
    <xf numFmtId="1" fontId="18" fillId="0" borderId="10" xfId="0" applyNumberFormat="1" applyFont="1" applyBorder="1" applyAlignment="1">
      <alignment horizontal="center" vertical="center"/>
    </xf>
    <xf numFmtId="1" fontId="18" fillId="0" borderId="45" xfId="0" applyNumberFormat="1" applyFont="1" applyBorder="1" applyAlignment="1">
      <alignment horizontal="center" vertical="center"/>
    </xf>
    <xf numFmtId="0" fontId="20" fillId="0" borderId="0" xfId="0" applyFont="1" applyAlignment="1">
      <alignment horizontal="center" vertical="center"/>
    </xf>
    <xf numFmtId="0" fontId="47" fillId="8" borderId="0" xfId="0" applyFont="1" applyFill="1"/>
    <xf numFmtId="0" fontId="20" fillId="8" borderId="41" xfId="0" applyFont="1" applyFill="1" applyBorder="1" applyAlignment="1">
      <alignment horizontal="center" vertical="center"/>
    </xf>
    <xf numFmtId="0" fontId="20" fillId="8" borderId="10" xfId="0" applyFont="1" applyFill="1" applyBorder="1" applyAlignment="1">
      <alignment horizontal="center" vertical="center"/>
    </xf>
    <xf numFmtId="0" fontId="4" fillId="0" borderId="5" xfId="0" applyFont="1" applyBorder="1" applyAlignment="1">
      <alignment horizontal="center" vertical="center"/>
    </xf>
    <xf numFmtId="1" fontId="7" fillId="0" borderId="10" xfId="0" applyNumberFormat="1" applyFont="1" applyBorder="1" applyAlignment="1">
      <alignment horizontal="center" vertical="center"/>
    </xf>
    <xf numFmtId="167" fontId="21" fillId="8" borderId="10" xfId="0" applyNumberFormat="1" applyFont="1" applyFill="1" applyBorder="1" applyAlignment="1">
      <alignment horizontal="center" vertical="center"/>
    </xf>
    <xf numFmtId="1" fontId="7" fillId="7" borderId="17" xfId="0" applyNumberFormat="1" applyFont="1" applyFill="1" applyBorder="1" applyAlignment="1">
      <alignment horizontal="center" vertical="center"/>
    </xf>
    <xf numFmtId="2" fontId="21" fillId="0" borderId="10" xfId="0" applyNumberFormat="1" applyFont="1" applyBorder="1" applyAlignment="1">
      <alignment horizontal="center" vertical="center"/>
    </xf>
    <xf numFmtId="0" fontId="3" fillId="0" borderId="7" xfId="0" applyFont="1" applyBorder="1"/>
    <xf numFmtId="1" fontId="18" fillId="0" borderId="39" xfId="0" applyNumberFormat="1" applyFont="1" applyBorder="1" applyAlignment="1">
      <alignment horizontal="center" vertical="center"/>
    </xf>
    <xf numFmtId="1" fontId="19" fillId="0" borderId="42" xfId="0" applyNumberFormat="1" applyFont="1" applyBorder="1" applyAlignment="1">
      <alignment horizontal="center" vertical="center"/>
    </xf>
    <xf numFmtId="0" fontId="20" fillId="7" borderId="81" xfId="0" applyFont="1" applyFill="1" applyBorder="1" applyAlignment="1">
      <alignment horizontal="center" vertical="center"/>
    </xf>
    <xf numFmtId="1" fontId="20" fillId="7" borderId="81" xfId="0" applyNumberFormat="1" applyFont="1" applyFill="1" applyBorder="1" applyAlignment="1">
      <alignment horizontal="center" vertical="center"/>
    </xf>
    <xf numFmtId="1" fontId="18" fillId="7" borderId="87" xfId="0" applyNumberFormat="1" applyFont="1" applyFill="1" applyBorder="1" applyAlignment="1">
      <alignment horizontal="center" vertical="center"/>
    </xf>
    <xf numFmtId="1" fontId="18" fillId="7" borderId="88" xfId="0" applyNumberFormat="1" applyFont="1" applyFill="1" applyBorder="1" applyAlignment="1">
      <alignment horizontal="center" vertical="center"/>
    </xf>
    <xf numFmtId="1" fontId="18" fillId="7" borderId="80" xfId="0" applyNumberFormat="1" applyFont="1" applyFill="1" applyBorder="1" applyAlignment="1">
      <alignment horizontal="center" vertical="center"/>
    </xf>
    <xf numFmtId="0" fontId="20" fillId="8" borderId="17" xfId="0" applyFont="1" applyFill="1" applyBorder="1" applyAlignment="1">
      <alignment horizontal="center" vertical="center"/>
    </xf>
    <xf numFmtId="1" fontId="20" fillId="8" borderId="45" xfId="0" applyNumberFormat="1" applyFont="1" applyFill="1" applyBorder="1" applyAlignment="1">
      <alignment horizontal="center" vertical="center"/>
    </xf>
    <xf numFmtId="0" fontId="21" fillId="8" borderId="4" xfId="0" applyFont="1" applyFill="1" applyBorder="1" applyAlignment="1">
      <alignment horizontal="center" vertical="center"/>
    </xf>
    <xf numFmtId="0" fontId="55" fillId="0" borderId="0" xfId="0" applyFont="1"/>
    <xf numFmtId="1" fontId="20" fillId="8" borderId="23" xfId="0" applyNumberFormat="1" applyFont="1" applyFill="1" applyBorder="1" applyAlignment="1">
      <alignment horizontal="center" vertical="center"/>
    </xf>
    <xf numFmtId="0" fontId="20" fillId="8" borderId="30" xfId="0" applyFont="1" applyFill="1" applyBorder="1" applyAlignment="1">
      <alignment horizontal="center" vertical="center"/>
    </xf>
    <xf numFmtId="0" fontId="78" fillId="0" borderId="12" xfId="186" applyFont="1" applyBorder="1" applyAlignment="1">
      <alignment horizontal="left" vertical="center"/>
    </xf>
    <xf numFmtId="1" fontId="79" fillId="0" borderId="10" xfId="186" applyNumberFormat="1" applyFont="1" applyBorder="1" applyAlignment="1">
      <alignment horizontal="center" vertical="center"/>
    </xf>
    <xf numFmtId="1" fontId="79" fillId="0" borderId="29" xfId="186" applyNumberFormat="1" applyFont="1" applyBorder="1" applyAlignment="1">
      <alignment horizontal="center" vertical="center"/>
    </xf>
    <xf numFmtId="0" fontId="18" fillId="8" borderId="24" xfId="0" applyFont="1" applyFill="1" applyBorder="1" applyAlignment="1">
      <alignment vertical="center"/>
    </xf>
    <xf numFmtId="1" fontId="20" fillId="5" borderId="81" xfId="0" applyNumberFormat="1" applyFont="1" applyFill="1" applyBorder="1" applyAlignment="1">
      <alignment horizontal="center" vertical="center"/>
    </xf>
    <xf numFmtId="167" fontId="20" fillId="5" borderId="34" xfId="0" applyNumberFormat="1" applyFont="1" applyFill="1" applyBorder="1" applyAlignment="1">
      <alignment horizontal="center" vertical="center"/>
    </xf>
    <xf numFmtId="1" fontId="18" fillId="5" borderId="88" xfId="0" applyNumberFormat="1" applyFont="1" applyFill="1" applyBorder="1" applyAlignment="1">
      <alignment horizontal="center" vertical="center"/>
    </xf>
    <xf numFmtId="1" fontId="18" fillId="5" borderId="80" xfId="0" applyNumberFormat="1" applyFont="1" applyFill="1" applyBorder="1" applyAlignment="1">
      <alignment horizontal="center" vertical="center"/>
    </xf>
    <xf numFmtId="0" fontId="20" fillId="5" borderId="81" xfId="0" applyFont="1" applyFill="1" applyBorder="1" applyAlignment="1">
      <alignment horizontal="center" vertical="center"/>
    </xf>
    <xf numFmtId="0" fontId="78" fillId="0" borderId="40" xfId="186" applyFont="1" applyBorder="1" applyAlignment="1">
      <alignment horizontal="left" vertical="center"/>
    </xf>
    <xf numFmtId="1" fontId="79" fillId="8" borderId="45" xfId="186" applyNumberFormat="1" applyFont="1" applyFill="1" applyBorder="1" applyAlignment="1">
      <alignment horizontal="center" vertical="center"/>
    </xf>
    <xf numFmtId="0" fontId="4" fillId="0" borderId="1" xfId="0" applyFont="1" applyBorder="1" applyAlignment="1">
      <alignment horizontal="right" vertical="center"/>
    </xf>
    <xf numFmtId="1" fontId="4" fillId="0" borderId="17" xfId="0" applyNumberFormat="1" applyFont="1" applyBorder="1" applyAlignment="1">
      <alignment horizontal="center" vertical="center"/>
    </xf>
    <xf numFmtId="1" fontId="4" fillId="8" borderId="39" xfId="0" applyNumberFormat="1" applyFont="1" applyFill="1" applyBorder="1" applyAlignment="1">
      <alignment horizontal="center" vertical="center"/>
    </xf>
    <xf numFmtId="1" fontId="7" fillId="5" borderId="17" xfId="0" applyNumberFormat="1" applyFont="1" applyFill="1" applyBorder="1" applyAlignment="1">
      <alignment horizontal="center" vertical="center"/>
    </xf>
    <xf numFmtId="0" fontId="5" fillId="8" borderId="10" xfId="0" applyFont="1" applyFill="1" applyBorder="1" applyAlignment="1">
      <alignment vertical="center"/>
    </xf>
    <xf numFmtId="1" fontId="79" fillId="8" borderId="38" xfId="186" applyNumberFormat="1" applyFont="1" applyFill="1" applyBorder="1" applyAlignment="1">
      <alignment horizontal="center" vertical="center"/>
    </xf>
    <xf numFmtId="1" fontId="20" fillId="8" borderId="53" xfId="0" applyNumberFormat="1" applyFont="1" applyFill="1" applyBorder="1" applyAlignment="1">
      <alignment horizontal="center" vertical="center"/>
    </xf>
    <xf numFmtId="1" fontId="18" fillId="5" borderId="73" xfId="0" applyNumberFormat="1" applyFont="1" applyFill="1" applyBorder="1" applyAlignment="1">
      <alignment horizontal="center" vertical="center"/>
    </xf>
    <xf numFmtId="1" fontId="18" fillId="7" borderId="10" xfId="0" applyNumberFormat="1" applyFont="1" applyFill="1" applyBorder="1" applyAlignment="1">
      <alignment horizontal="center" vertical="center"/>
    </xf>
    <xf numFmtId="1" fontId="79" fillId="0" borderId="30" xfId="186" applyNumberFormat="1" applyFont="1" applyBorder="1" applyAlignment="1">
      <alignment horizontal="center" vertical="center"/>
    </xf>
    <xf numFmtId="1" fontId="79" fillId="0" borderId="7" xfId="186" applyNumberFormat="1" applyFont="1" applyBorder="1" applyAlignment="1">
      <alignment horizontal="center" vertical="center"/>
    </xf>
    <xf numFmtId="1" fontId="78" fillId="7" borderId="30" xfId="186" applyNumberFormat="1" applyFont="1" applyFill="1" applyBorder="1" applyAlignment="1">
      <alignment horizontal="center" vertical="center"/>
    </xf>
    <xf numFmtId="0" fontId="20" fillId="8" borderId="53" xfId="0" applyFont="1" applyFill="1" applyBorder="1" applyAlignment="1">
      <alignment horizontal="center" vertical="center"/>
    </xf>
    <xf numFmtId="0" fontId="0" fillId="0" borderId="0" xfId="0" applyAlignment="1">
      <alignment horizontal="left"/>
    </xf>
    <xf numFmtId="1" fontId="18" fillId="8" borderId="17" xfId="0" applyNumberFormat="1" applyFont="1" applyFill="1" applyBorder="1" applyAlignment="1">
      <alignment horizontal="center" vertical="center"/>
    </xf>
    <xf numFmtId="169" fontId="20" fillId="8" borderId="10" xfId="0" applyNumberFormat="1" applyFont="1" applyFill="1" applyBorder="1" applyAlignment="1">
      <alignment horizontal="center" vertical="center"/>
    </xf>
    <xf numFmtId="0" fontId="18" fillId="8" borderId="7" xfId="0" applyFont="1" applyFill="1" applyBorder="1" applyAlignment="1">
      <alignment vertical="center"/>
    </xf>
    <xf numFmtId="167" fontId="20" fillId="7" borderId="10" xfId="0" applyNumberFormat="1" applyFont="1" applyFill="1" applyBorder="1" applyAlignment="1">
      <alignment horizontal="center" vertical="center"/>
    </xf>
    <xf numFmtId="0" fontId="4" fillId="8" borderId="10" xfId="0" applyFont="1" applyFill="1" applyBorder="1" applyAlignment="1">
      <alignment vertical="center"/>
    </xf>
    <xf numFmtId="0" fontId="4" fillId="8" borderId="10" xfId="0" applyFont="1" applyFill="1" applyBorder="1" applyAlignment="1">
      <alignment horizontal="center" vertical="center"/>
    </xf>
    <xf numFmtId="0" fontId="45" fillId="0" borderId="10" xfId="0" applyFont="1" applyBorder="1"/>
    <xf numFmtId="0" fontId="4" fillId="8" borderId="0" xfId="0" applyFont="1" applyFill="1" applyAlignment="1">
      <alignment horizontal="center" vertical="center"/>
    </xf>
    <xf numFmtId="0" fontId="4" fillId="8" borderId="0" xfId="0" applyFont="1" applyFill="1" applyAlignment="1">
      <alignment vertical="center"/>
    </xf>
    <xf numFmtId="0" fontId="0" fillId="0" borderId="10" xfId="0" applyBorder="1" applyAlignment="1">
      <alignment horizontal="center" vertical="center"/>
    </xf>
    <xf numFmtId="1" fontId="20" fillId="8" borderId="41" xfId="0" applyNumberFormat="1" applyFont="1" applyFill="1" applyBorder="1" applyAlignment="1">
      <alignment horizontal="center" vertical="center"/>
    </xf>
    <xf numFmtId="1" fontId="20" fillId="7" borderId="45" xfId="0" applyNumberFormat="1" applyFont="1" applyFill="1" applyBorder="1" applyAlignment="1">
      <alignment horizontal="center" vertical="center"/>
    </xf>
    <xf numFmtId="1" fontId="20" fillId="8" borderId="42" xfId="0" applyNumberFormat="1" applyFont="1" applyFill="1" applyBorder="1" applyAlignment="1">
      <alignment horizontal="center" vertical="center"/>
    </xf>
    <xf numFmtId="0" fontId="18" fillId="0" borderId="1" xfId="0" applyFont="1" applyBorder="1" applyAlignment="1">
      <alignment horizontal="left" vertical="center" wrapText="1"/>
    </xf>
    <xf numFmtId="0" fontId="0" fillId="0" borderId="0" xfId="0" applyAlignment="1">
      <alignment horizontal="center" vertical="center"/>
    </xf>
    <xf numFmtId="0" fontId="0" fillId="0" borderId="0" xfId="0" applyAlignment="1">
      <alignment horizontal="center"/>
    </xf>
    <xf numFmtId="2" fontId="20" fillId="0" borderId="0" xfId="0" applyNumberFormat="1" applyFont="1" applyAlignment="1">
      <alignment horizontal="center" vertical="center"/>
    </xf>
    <xf numFmtId="0" fontId="12" fillId="0" borderId="0" xfId="0" applyFont="1" applyAlignment="1">
      <alignment horizontal="center"/>
    </xf>
    <xf numFmtId="0" fontId="0" fillId="0" borderId="0" xfId="0" applyAlignment="1">
      <alignment horizontal="right"/>
    </xf>
    <xf numFmtId="0" fontId="35" fillId="0" borderId="0" xfId="0" applyFont="1" applyAlignment="1">
      <alignment horizontal="right" vertical="center"/>
    </xf>
    <xf numFmtId="0" fontId="41" fillId="0" borderId="24" xfId="0" applyFont="1" applyBorder="1" applyAlignment="1">
      <alignment vertical="center"/>
    </xf>
    <xf numFmtId="0" fontId="26" fillId="0" borderId="10" xfId="0" applyFont="1" applyBorder="1" applyAlignment="1">
      <alignment horizontal="right" vertical="center"/>
    </xf>
    <xf numFmtId="0" fontId="26" fillId="0" borderId="37" xfId="0" applyFont="1" applyBorder="1" applyAlignment="1">
      <alignment horizontal="right" vertical="center"/>
    </xf>
    <xf numFmtId="0" fontId="24" fillId="0" borderId="49" xfId="0" applyFont="1" applyBorder="1"/>
    <xf numFmtId="0" fontId="25" fillId="0" borderId="8" xfId="0" applyFont="1" applyBorder="1"/>
    <xf numFmtId="0" fontId="0" fillId="0" borderId="10" xfId="0" applyBorder="1" applyAlignment="1">
      <alignment horizontal="right" vertical="center"/>
    </xf>
    <xf numFmtId="0" fontId="0" fillId="0" borderId="37" xfId="0" applyBorder="1" applyAlignment="1">
      <alignment horizontal="right" vertical="center"/>
    </xf>
    <xf numFmtId="0" fontId="25" fillId="0" borderId="29" xfId="0" applyFont="1" applyBorder="1"/>
    <xf numFmtId="1" fontId="0" fillId="0" borderId="10" xfId="0" applyNumberFormat="1" applyBorder="1" applyAlignment="1">
      <alignment horizontal="right" vertical="center"/>
    </xf>
    <xf numFmtId="1" fontId="0" fillId="0" borderId="37" xfId="0" applyNumberFormat="1" applyBorder="1" applyAlignment="1">
      <alignment horizontal="right" vertical="center"/>
    </xf>
    <xf numFmtId="0" fontId="25" fillId="8" borderId="29" xfId="0" applyFont="1" applyFill="1" applyBorder="1"/>
    <xf numFmtId="0" fontId="25" fillId="0" borderId="36" xfId="0" applyFont="1" applyBorder="1"/>
    <xf numFmtId="0" fontId="13" fillId="0" borderId="4" xfId="0" applyFont="1" applyBorder="1"/>
    <xf numFmtId="0" fontId="18" fillId="0" borderId="10" xfId="0" applyFont="1" applyBorder="1" applyAlignment="1">
      <alignment horizontal="right" vertical="center"/>
    </xf>
    <xf numFmtId="0" fontId="18" fillId="0" borderId="37" xfId="0" applyFont="1" applyBorder="1" applyAlignment="1">
      <alignment horizontal="right" vertical="center"/>
    </xf>
    <xf numFmtId="0" fontId="25" fillId="0" borderId="38" xfId="0" applyFont="1" applyBorder="1"/>
    <xf numFmtId="0" fontId="13" fillId="0" borderId="84" xfId="0" applyFont="1" applyBorder="1"/>
    <xf numFmtId="1" fontId="18" fillId="0" borderId="10" xfId="0" applyNumberFormat="1" applyFont="1" applyBorder="1" applyAlignment="1">
      <alignment horizontal="right" vertical="center"/>
    </xf>
    <xf numFmtId="1" fontId="18" fillId="0" borderId="37" xfId="0" applyNumberFormat="1" applyFont="1" applyBorder="1" applyAlignment="1">
      <alignment horizontal="right" vertical="center"/>
    </xf>
    <xf numFmtId="0" fontId="0" fillId="0" borderId="29" xfId="0" applyBorder="1"/>
    <xf numFmtId="0" fontId="13" fillId="0" borderId="10" xfId="0" applyFont="1" applyBorder="1" applyAlignment="1">
      <alignment horizontal="left" vertical="center"/>
    </xf>
    <xf numFmtId="0" fontId="16" fillId="0" borderId="4" xfId="0" applyFont="1" applyBorder="1" applyAlignment="1">
      <alignment vertical="center"/>
    </xf>
    <xf numFmtId="0" fontId="19" fillId="0" borderId="67" xfId="0" applyFont="1" applyBorder="1" applyAlignment="1">
      <alignment horizontal="center" vertical="center"/>
    </xf>
    <xf numFmtId="1" fontId="0" fillId="0" borderId="10" xfId="0" applyNumberFormat="1" applyBorder="1" applyAlignment="1">
      <alignment horizontal="right"/>
    </xf>
    <xf numFmtId="1" fontId="0" fillId="0" borderId="37" xfId="0" applyNumberFormat="1" applyBorder="1" applyAlignment="1">
      <alignment horizontal="right"/>
    </xf>
    <xf numFmtId="0" fontId="51" fillId="8" borderId="0" xfId="0" applyFont="1" applyFill="1" applyAlignment="1">
      <alignment horizontal="center" vertical="center"/>
    </xf>
    <xf numFmtId="0" fontId="13" fillId="0" borderId="0" xfId="0" applyFont="1"/>
    <xf numFmtId="0" fontId="52" fillId="8" borderId="0" xfId="0" applyFont="1" applyFill="1" applyAlignment="1">
      <alignment horizontal="center" vertical="center"/>
    </xf>
    <xf numFmtId="0" fontId="51" fillId="8" borderId="0" xfId="0" applyFont="1" applyFill="1" applyAlignment="1">
      <alignment horizontal="right"/>
    </xf>
    <xf numFmtId="0" fontId="53" fillId="8" borderId="0" xfId="0" applyFont="1" applyFill="1" applyAlignment="1">
      <alignment horizontal="center"/>
    </xf>
    <xf numFmtId="2" fontId="20" fillId="0" borderId="8" xfId="0" applyNumberFormat="1" applyFont="1" applyBorder="1" applyAlignment="1">
      <alignment horizontal="right" vertical="center"/>
    </xf>
    <xf numFmtId="2" fontId="21" fillId="0" borderId="8" xfId="0" applyNumberFormat="1" applyFont="1" applyBorder="1" applyAlignment="1">
      <alignment horizontal="right" vertical="center"/>
    </xf>
    <xf numFmtId="0" fontId="13" fillId="0" borderId="76" xfId="0" applyFont="1" applyBorder="1"/>
    <xf numFmtId="0" fontId="18" fillId="0" borderId="82" xfId="0" applyFont="1" applyBorder="1" applyAlignment="1">
      <alignment horizontal="center" vertical="center"/>
    </xf>
    <xf numFmtId="0" fontId="13" fillId="0" borderId="63" xfId="0" applyFont="1" applyBorder="1"/>
    <xf numFmtId="1" fontId="0" fillId="0" borderId="17" xfId="0" applyNumberFormat="1" applyBorder="1" applyAlignment="1">
      <alignment horizontal="center"/>
    </xf>
    <xf numFmtId="1" fontId="22" fillId="0" borderId="17" xfId="0" applyNumberFormat="1" applyFont="1" applyBorder="1" applyAlignment="1">
      <alignment horizontal="center"/>
    </xf>
    <xf numFmtId="1" fontId="30" fillId="0" borderId="17" xfId="0" applyNumberFormat="1" applyFont="1" applyBorder="1" applyAlignment="1">
      <alignment horizontal="center" vertical="center"/>
    </xf>
    <xf numFmtId="1" fontId="17" fillId="0" borderId="17" xfId="0" applyNumberFormat="1" applyFont="1" applyBorder="1" applyAlignment="1">
      <alignment horizontal="center"/>
    </xf>
    <xf numFmtId="1" fontId="0" fillId="0" borderId="33" xfId="0" applyNumberFormat="1" applyBorder="1" applyAlignment="1">
      <alignment horizontal="center"/>
    </xf>
    <xf numFmtId="2" fontId="22" fillId="0" borderId="10" xfId="0" applyNumberFormat="1" applyFont="1" applyBorder="1" applyAlignment="1">
      <alignment horizontal="center"/>
    </xf>
    <xf numFmtId="2" fontId="22" fillId="0" borderId="17" xfId="0" applyNumberFormat="1" applyFont="1" applyBorder="1" applyAlignment="1">
      <alignment horizontal="center"/>
    </xf>
    <xf numFmtId="2" fontId="0" fillId="0" borderId="10" xfId="0" applyNumberFormat="1" applyBorder="1" applyAlignment="1">
      <alignment horizontal="center"/>
    </xf>
    <xf numFmtId="2" fontId="0" fillId="0" borderId="17" xfId="0" applyNumberFormat="1" applyBorder="1" applyAlignment="1">
      <alignment horizontal="center"/>
    </xf>
    <xf numFmtId="2" fontId="30" fillId="0" borderId="10" xfId="0" applyNumberFormat="1" applyFont="1" applyBorder="1" applyAlignment="1">
      <alignment horizontal="center" vertical="center"/>
    </xf>
    <xf numFmtId="2" fontId="30" fillId="0" borderId="17" xfId="0" applyNumberFormat="1" applyFont="1" applyBorder="1" applyAlignment="1">
      <alignment horizontal="center" vertical="center"/>
    </xf>
    <xf numFmtId="2" fontId="17" fillId="0" borderId="10" xfId="0" applyNumberFormat="1" applyFont="1" applyBorder="1" applyAlignment="1">
      <alignment horizontal="center"/>
    </xf>
    <xf numFmtId="2" fontId="17" fillId="0" borderId="17" xfId="0" applyNumberFormat="1" applyFont="1" applyBorder="1" applyAlignment="1">
      <alignment horizontal="center"/>
    </xf>
    <xf numFmtId="2" fontId="0" fillId="0" borderId="33" xfId="0" applyNumberFormat="1" applyBorder="1" applyAlignment="1">
      <alignment horizontal="center"/>
    </xf>
    <xf numFmtId="0" fontId="0" fillId="8" borderId="0" xfId="0" applyFill="1" applyAlignment="1">
      <alignment horizontal="center"/>
    </xf>
    <xf numFmtId="0" fontId="26" fillId="8" borderId="0" xfId="0" applyFont="1" applyFill="1" applyAlignment="1">
      <alignment horizontal="center" vertical="center"/>
    </xf>
    <xf numFmtId="0" fontId="41" fillId="8" borderId="44" xfId="0" applyFont="1" applyFill="1" applyBorder="1" applyAlignment="1">
      <alignment vertical="center"/>
    </xf>
    <xf numFmtId="0" fontId="26" fillId="8" borderId="0" xfId="0" applyFont="1" applyFill="1" applyAlignment="1">
      <alignment horizontal="right" vertical="center"/>
    </xf>
    <xf numFmtId="0" fontId="24" fillId="8" borderId="51" xfId="0" applyFont="1" applyFill="1" applyBorder="1"/>
    <xf numFmtId="0" fontId="26" fillId="8" borderId="10" xfId="0" applyFont="1" applyFill="1" applyBorder="1" applyAlignment="1">
      <alignment horizontal="right" vertical="center"/>
    </xf>
    <xf numFmtId="169" fontId="20" fillId="8" borderId="0" xfId="0" applyNumberFormat="1" applyFont="1" applyFill="1" applyAlignment="1">
      <alignment horizontal="center" vertical="center"/>
    </xf>
    <xf numFmtId="0" fontId="25" fillId="8" borderId="34" xfId="0" applyFont="1" applyFill="1" applyBorder="1"/>
    <xf numFmtId="2" fontId="20" fillId="8" borderId="8" xfId="0" applyNumberFormat="1" applyFont="1" applyFill="1" applyBorder="1" applyAlignment="1">
      <alignment horizontal="right" vertical="center"/>
    </xf>
    <xf numFmtId="2" fontId="20" fillId="8" borderId="0" xfId="0" applyNumberFormat="1" applyFont="1" applyFill="1" applyAlignment="1">
      <alignment horizontal="center" vertical="center"/>
    </xf>
    <xf numFmtId="0" fontId="45" fillId="0" borderId="0" xfId="0" applyFont="1" applyAlignment="1">
      <alignment horizontal="center" vertical="center"/>
    </xf>
    <xf numFmtId="167" fontId="20" fillId="7" borderId="30" xfId="0" applyNumberFormat="1" applyFont="1" applyFill="1" applyBorder="1" applyAlignment="1">
      <alignment horizontal="center" vertical="center"/>
    </xf>
    <xf numFmtId="2" fontId="7" fillId="7" borderId="10" xfId="0" applyNumberFormat="1" applyFont="1" applyFill="1" applyBorder="1" applyAlignment="1">
      <alignment horizontal="center" vertical="center"/>
    </xf>
    <xf numFmtId="1" fontId="7" fillId="7" borderId="29" xfId="0" applyNumberFormat="1" applyFont="1" applyFill="1" applyBorder="1" applyAlignment="1">
      <alignment horizontal="center" vertical="center"/>
    </xf>
    <xf numFmtId="1" fontId="0" fillId="0" borderId="10" xfId="0" applyNumberFormat="1" applyBorder="1" applyAlignment="1">
      <alignment horizontal="center" vertical="center"/>
    </xf>
    <xf numFmtId="1" fontId="79" fillId="0" borderId="38" xfId="186" applyNumberFormat="1" applyFont="1" applyBorder="1" applyAlignment="1">
      <alignment horizontal="center" vertical="center"/>
    </xf>
    <xf numFmtId="167" fontId="20" fillId="5" borderId="10" xfId="0" applyNumberFormat="1" applyFont="1" applyFill="1" applyBorder="1" applyAlignment="1">
      <alignment horizontal="center" vertical="center"/>
    </xf>
    <xf numFmtId="1" fontId="18" fillId="5" borderId="1" xfId="0" applyNumberFormat="1" applyFont="1" applyFill="1" applyBorder="1" applyAlignment="1">
      <alignment horizontal="center" vertical="center"/>
    </xf>
    <xf numFmtId="167" fontId="4" fillId="5" borderId="67" xfId="0" applyNumberFormat="1" applyFont="1" applyFill="1" applyBorder="1" applyAlignment="1">
      <alignment horizontal="center" vertical="center"/>
    </xf>
    <xf numFmtId="167" fontId="20" fillId="5" borderId="37" xfId="0" applyNumberFormat="1" applyFont="1" applyFill="1" applyBorder="1" applyAlignment="1">
      <alignment horizontal="center" vertical="center"/>
    </xf>
    <xf numFmtId="1" fontId="37" fillId="0" borderId="10" xfId="0" applyNumberFormat="1" applyFont="1" applyBorder="1" applyAlignment="1">
      <alignment horizontal="center" vertical="center"/>
    </xf>
    <xf numFmtId="0" fontId="0" fillId="5" borderId="17" xfId="0" applyFill="1" applyBorder="1" applyAlignment="1">
      <alignment horizontal="center"/>
    </xf>
    <xf numFmtId="1" fontId="0" fillId="5" borderId="17" xfId="0" applyNumberFormat="1" applyFill="1" applyBorder="1" applyAlignment="1">
      <alignment horizontal="center"/>
    </xf>
    <xf numFmtId="1" fontId="22" fillId="5" borderId="17" xfId="0" applyNumberFormat="1" applyFont="1" applyFill="1" applyBorder="1" applyAlignment="1">
      <alignment horizontal="center"/>
    </xf>
    <xf numFmtId="0" fontId="45" fillId="8" borderId="26" xfId="0" applyFont="1" applyFill="1" applyBorder="1" applyAlignment="1">
      <alignment horizontal="center" vertical="center"/>
    </xf>
    <xf numFmtId="2" fontId="20" fillId="8" borderId="53" xfId="0" applyNumberFormat="1" applyFont="1" applyFill="1" applyBorder="1" applyAlignment="1">
      <alignment horizontal="center" vertical="center"/>
    </xf>
    <xf numFmtId="1" fontId="22" fillId="8" borderId="17" xfId="0" applyNumberFormat="1" applyFont="1" applyFill="1" applyBorder="1" applyAlignment="1">
      <alignment horizontal="center"/>
    </xf>
    <xf numFmtId="167" fontId="19" fillId="8" borderId="53" xfId="0" applyNumberFormat="1" applyFont="1" applyFill="1" applyBorder="1" applyAlignment="1">
      <alignment horizontal="center" vertical="center"/>
    </xf>
    <xf numFmtId="0" fontId="48" fillId="0" borderId="10" xfId="0" applyFont="1" applyBorder="1" applyAlignment="1">
      <alignment horizontal="center" vertical="center"/>
    </xf>
    <xf numFmtId="1" fontId="45" fillId="0" borderId="10" xfId="0" applyNumberFormat="1" applyFont="1" applyBorder="1" applyAlignment="1">
      <alignment horizontal="center" vertical="center"/>
    </xf>
    <xf numFmtId="1" fontId="45" fillId="7" borderId="10" xfId="0" applyNumberFormat="1" applyFont="1" applyFill="1" applyBorder="1" applyAlignment="1">
      <alignment horizontal="center" vertical="center"/>
    </xf>
    <xf numFmtId="1" fontId="20" fillId="8" borderId="63" xfId="0" applyNumberFormat="1" applyFont="1" applyFill="1" applyBorder="1" applyAlignment="1">
      <alignment horizontal="center" vertical="center"/>
    </xf>
    <xf numFmtId="1" fontId="20" fillId="7" borderId="12" xfId="0" applyNumberFormat="1" applyFont="1" applyFill="1" applyBorder="1" applyAlignment="1">
      <alignment horizontal="center" vertical="center"/>
    </xf>
    <xf numFmtId="0" fontId="7" fillId="8" borderId="30" xfId="0" applyFont="1" applyFill="1" applyBorder="1" applyAlignment="1">
      <alignment vertical="center"/>
    </xf>
    <xf numFmtId="1" fontId="18" fillId="8" borderId="21" xfId="0" applyNumberFormat="1" applyFont="1" applyFill="1" applyBorder="1" applyAlignment="1">
      <alignment horizontal="center" vertical="center"/>
    </xf>
    <xf numFmtId="1" fontId="20" fillId="7" borderId="41" xfId="0" applyNumberFormat="1" applyFont="1" applyFill="1" applyBorder="1" applyAlignment="1">
      <alignment horizontal="center" vertical="center"/>
    </xf>
    <xf numFmtId="1" fontId="18" fillId="7" borderId="23" xfId="0" applyNumberFormat="1" applyFont="1" applyFill="1" applyBorder="1" applyAlignment="1">
      <alignment horizontal="center" vertical="center"/>
    </xf>
    <xf numFmtId="2" fontId="20" fillId="7" borderId="10" xfId="0" applyNumberFormat="1" applyFont="1" applyFill="1" applyBorder="1" applyAlignment="1">
      <alignment horizontal="center" vertical="center"/>
    </xf>
    <xf numFmtId="1" fontId="21" fillId="7" borderId="10" xfId="0" applyNumberFormat="1" applyFont="1" applyFill="1" applyBorder="1" applyAlignment="1">
      <alignment horizontal="center" vertical="center"/>
    </xf>
    <xf numFmtId="2" fontId="20" fillId="5" borderId="10" xfId="0" applyNumberFormat="1" applyFont="1" applyFill="1" applyBorder="1" applyAlignment="1">
      <alignment horizontal="center" vertical="center"/>
    </xf>
    <xf numFmtId="1" fontId="21" fillId="5" borderId="10" xfId="0" applyNumberFormat="1" applyFont="1" applyFill="1" applyBorder="1" applyAlignment="1">
      <alignment horizontal="center" vertical="center"/>
    </xf>
    <xf numFmtId="169" fontId="20" fillId="7" borderId="31" xfId="0" applyNumberFormat="1" applyFont="1" applyFill="1" applyBorder="1" applyAlignment="1">
      <alignment horizontal="center" vertical="center"/>
    </xf>
    <xf numFmtId="169" fontId="20" fillId="5" borderId="31" xfId="0" applyNumberFormat="1" applyFont="1" applyFill="1" applyBorder="1" applyAlignment="1">
      <alignment horizontal="center" vertical="center"/>
    </xf>
    <xf numFmtId="169" fontId="20" fillId="7" borderId="10" xfId="0" applyNumberFormat="1" applyFont="1" applyFill="1" applyBorder="1" applyAlignment="1">
      <alignment horizontal="center" vertical="center"/>
    </xf>
    <xf numFmtId="169" fontId="20" fillId="5" borderId="10" xfId="0" applyNumberFormat="1" applyFont="1" applyFill="1" applyBorder="1" applyAlignment="1">
      <alignment horizontal="center" vertical="center"/>
    </xf>
    <xf numFmtId="2" fontId="20" fillId="5" borderId="31" xfId="0" applyNumberFormat="1" applyFont="1" applyFill="1" applyBorder="1" applyAlignment="1">
      <alignment horizontal="center" vertical="center"/>
    </xf>
    <xf numFmtId="2" fontId="0" fillId="8" borderId="10" xfId="0" applyNumberFormat="1" applyFill="1" applyBorder="1" applyAlignment="1">
      <alignment horizontal="center"/>
    </xf>
    <xf numFmtId="2" fontId="17" fillId="8" borderId="10" xfId="0" applyNumberFormat="1" applyFont="1" applyFill="1" applyBorder="1" applyAlignment="1">
      <alignment horizontal="center"/>
    </xf>
    <xf numFmtId="2" fontId="22" fillId="8" borderId="10" xfId="0" applyNumberFormat="1" applyFont="1" applyFill="1" applyBorder="1" applyAlignment="1">
      <alignment horizontal="center"/>
    </xf>
    <xf numFmtId="2" fontId="0" fillId="8" borderId="23" xfId="0" applyNumberFormat="1" applyFill="1" applyBorder="1" applyAlignment="1">
      <alignment horizontal="center"/>
    </xf>
    <xf numFmtId="169" fontId="20" fillId="8" borderId="33" xfId="0" applyNumberFormat="1" applyFont="1" applyFill="1" applyBorder="1" applyAlignment="1">
      <alignment horizontal="center" vertical="center"/>
    </xf>
    <xf numFmtId="0" fontId="83" fillId="0" borderId="0" xfId="0" applyFont="1"/>
    <xf numFmtId="167" fontId="20" fillId="7" borderId="29" xfId="0" applyNumberFormat="1" applyFont="1" applyFill="1" applyBorder="1" applyAlignment="1">
      <alignment horizontal="center" vertical="center"/>
    </xf>
    <xf numFmtId="167" fontId="20" fillId="5" borderId="29" xfId="0" applyNumberFormat="1" applyFont="1" applyFill="1" applyBorder="1" applyAlignment="1">
      <alignment horizontal="center" vertical="center"/>
    </xf>
    <xf numFmtId="169" fontId="20" fillId="7" borderId="59" xfId="0" applyNumberFormat="1" applyFont="1" applyFill="1" applyBorder="1" applyAlignment="1">
      <alignment horizontal="center" vertical="center"/>
    </xf>
    <xf numFmtId="169" fontId="20" fillId="5" borderId="59" xfId="0" applyNumberFormat="1" applyFont="1" applyFill="1" applyBorder="1" applyAlignment="1">
      <alignment horizontal="center" vertical="center"/>
    </xf>
    <xf numFmtId="169" fontId="20" fillId="7" borderId="32" xfId="0" applyNumberFormat="1" applyFont="1" applyFill="1" applyBorder="1" applyAlignment="1">
      <alignment horizontal="center" vertical="center"/>
    </xf>
    <xf numFmtId="169" fontId="20" fillId="5" borderId="32" xfId="0" applyNumberFormat="1" applyFont="1" applyFill="1" applyBorder="1" applyAlignment="1">
      <alignment horizontal="center" vertical="center"/>
    </xf>
    <xf numFmtId="167" fontId="20" fillId="8" borderId="6" xfId="0" applyNumberFormat="1" applyFont="1" applyFill="1" applyBorder="1" applyAlignment="1">
      <alignment horizontal="center" vertical="center"/>
    </xf>
    <xf numFmtId="1" fontId="45" fillId="8" borderId="10" xfId="0" applyNumberFormat="1" applyFont="1" applyFill="1" applyBorder="1" applyAlignment="1">
      <alignment horizontal="center" vertical="center"/>
    </xf>
    <xf numFmtId="169" fontId="20" fillId="8" borderId="17" xfId="0" applyNumberFormat="1" applyFont="1" applyFill="1" applyBorder="1" applyAlignment="1">
      <alignment horizontal="center" vertical="center"/>
    </xf>
    <xf numFmtId="0" fontId="44" fillId="8" borderId="0" xfId="0" applyFont="1" applyFill="1" applyAlignment="1">
      <alignment horizontal="center" vertical="center"/>
    </xf>
    <xf numFmtId="0" fontId="21" fillId="8" borderId="28" xfId="0" applyFont="1" applyFill="1" applyBorder="1" applyAlignment="1">
      <alignment horizontal="center" vertical="center"/>
    </xf>
    <xf numFmtId="1" fontId="18" fillId="8" borderId="11" xfId="0" applyNumberFormat="1" applyFont="1" applyFill="1" applyBorder="1" applyAlignment="1">
      <alignment horizontal="center" vertical="center"/>
    </xf>
    <xf numFmtId="2" fontId="21" fillId="7" borderId="10" xfId="0" applyNumberFormat="1" applyFont="1" applyFill="1" applyBorder="1" applyAlignment="1">
      <alignment horizontal="center" vertical="center"/>
    </xf>
    <xf numFmtId="0" fontId="7" fillId="8" borderId="10" xfId="0" applyFont="1" applyFill="1" applyBorder="1" applyAlignment="1">
      <alignment horizontal="center" vertical="center"/>
    </xf>
    <xf numFmtId="167" fontId="7" fillId="5" borderId="10" xfId="0" applyNumberFormat="1" applyFont="1" applyFill="1" applyBorder="1" applyAlignment="1">
      <alignment horizontal="center" vertical="center"/>
    </xf>
    <xf numFmtId="1" fontId="7" fillId="5" borderId="29" xfId="0" applyNumberFormat="1" applyFont="1" applyFill="1" applyBorder="1" applyAlignment="1">
      <alignment horizontal="center" vertical="center"/>
    </xf>
    <xf numFmtId="2" fontId="20" fillId="8" borderId="31" xfId="0" applyNumberFormat="1" applyFont="1" applyFill="1" applyBorder="1" applyAlignment="1">
      <alignment horizontal="center" vertical="center"/>
    </xf>
    <xf numFmtId="0" fontId="28" fillId="8" borderId="44" xfId="0" applyFont="1" applyFill="1" applyBorder="1" applyAlignment="1">
      <alignment vertical="center"/>
    </xf>
    <xf numFmtId="2" fontId="4" fillId="8" borderId="33" xfId="0" applyNumberFormat="1" applyFont="1" applyFill="1" applyBorder="1" applyAlignment="1">
      <alignment horizontal="center" vertical="center"/>
    </xf>
    <xf numFmtId="1" fontId="7" fillId="8" borderId="42" xfId="0" applyNumberFormat="1" applyFont="1" applyFill="1" applyBorder="1" applyAlignment="1">
      <alignment horizontal="center" vertical="center"/>
    </xf>
    <xf numFmtId="167" fontId="20" fillId="8" borderId="53" xfId="0" applyNumberFormat="1" applyFont="1" applyFill="1" applyBorder="1" applyAlignment="1">
      <alignment horizontal="center" vertical="center"/>
    </xf>
    <xf numFmtId="1" fontId="19" fillId="8" borderId="42" xfId="0" applyNumberFormat="1" applyFont="1" applyFill="1" applyBorder="1" applyAlignment="1">
      <alignment horizontal="center" vertical="center"/>
    </xf>
    <xf numFmtId="2" fontId="18" fillId="0" borderId="33" xfId="0" quotePrefix="1" applyNumberFormat="1" applyFont="1" applyBorder="1" applyAlignment="1">
      <alignment horizontal="center" vertical="center"/>
    </xf>
    <xf numFmtId="0" fontId="29" fillId="8" borderId="6" xfId="0" applyFont="1" applyFill="1" applyBorder="1" applyAlignment="1">
      <alignment vertical="center"/>
    </xf>
    <xf numFmtId="0" fontId="4" fillId="0" borderId="75" xfId="0" applyFont="1" applyBorder="1" applyAlignment="1">
      <alignment vertical="center"/>
    </xf>
    <xf numFmtId="1" fontId="20" fillId="7" borderId="18" xfId="0" applyNumberFormat="1" applyFont="1" applyFill="1" applyBorder="1" applyAlignment="1">
      <alignment horizontal="center" vertical="center"/>
    </xf>
    <xf numFmtId="2" fontId="21" fillId="7" borderId="12" xfId="0" applyNumberFormat="1" applyFont="1" applyFill="1" applyBorder="1" applyAlignment="1">
      <alignment horizontal="center" vertical="center"/>
    </xf>
    <xf numFmtId="1" fontId="7" fillId="7" borderId="18" xfId="0" applyNumberFormat="1" applyFont="1" applyFill="1" applyBorder="1" applyAlignment="1">
      <alignment horizontal="center" vertical="center"/>
    </xf>
    <xf numFmtId="2" fontId="4" fillId="7" borderId="20" xfId="0" applyNumberFormat="1" applyFont="1" applyFill="1" applyBorder="1" applyAlignment="1">
      <alignment horizontal="center" vertical="center"/>
    </xf>
    <xf numFmtId="167" fontId="21" fillId="7" borderId="12" xfId="0" applyNumberFormat="1" applyFont="1" applyFill="1" applyBorder="1" applyAlignment="1">
      <alignment horizontal="center" vertical="center"/>
    </xf>
    <xf numFmtId="167" fontId="18" fillId="7" borderId="60" xfId="0" quotePrefix="1" applyNumberFormat="1" applyFont="1" applyFill="1" applyBorder="1" applyAlignment="1">
      <alignment horizontal="center" vertical="center"/>
    </xf>
    <xf numFmtId="1" fontId="19" fillId="7" borderId="18" xfId="0" applyNumberFormat="1" applyFont="1" applyFill="1" applyBorder="1" applyAlignment="1">
      <alignment horizontal="center" vertical="center"/>
    </xf>
    <xf numFmtId="167" fontId="19" fillId="7" borderId="22" xfId="0" applyNumberFormat="1" applyFont="1" applyFill="1" applyBorder="1" applyAlignment="1">
      <alignment horizontal="center" vertical="center"/>
    </xf>
    <xf numFmtId="1" fontId="4" fillId="7" borderId="20" xfId="0" applyNumberFormat="1" applyFont="1" applyFill="1" applyBorder="1" applyAlignment="1">
      <alignment horizontal="center" vertical="center"/>
    </xf>
    <xf numFmtId="1" fontId="20" fillId="5" borderId="18" xfId="0" applyNumberFormat="1" applyFont="1" applyFill="1" applyBorder="1" applyAlignment="1">
      <alignment horizontal="center" vertical="center"/>
    </xf>
    <xf numFmtId="2" fontId="21" fillId="5" borderId="12" xfId="0" applyNumberFormat="1" applyFont="1" applyFill="1" applyBorder="1" applyAlignment="1">
      <alignment horizontal="center" vertical="center"/>
    </xf>
    <xf numFmtId="1" fontId="20" fillId="5" borderId="12" xfId="0" applyNumberFormat="1" applyFont="1" applyFill="1" applyBorder="1" applyAlignment="1">
      <alignment horizontal="center" vertical="center"/>
    </xf>
    <xf numFmtId="1" fontId="7" fillId="5" borderId="18" xfId="0" applyNumberFormat="1" applyFont="1" applyFill="1" applyBorder="1" applyAlignment="1">
      <alignment horizontal="center" vertical="center"/>
    </xf>
    <xf numFmtId="2" fontId="4" fillId="5" borderId="20" xfId="0" applyNumberFormat="1" applyFont="1" applyFill="1" applyBorder="1" applyAlignment="1">
      <alignment horizontal="center" vertical="center"/>
    </xf>
    <xf numFmtId="167" fontId="21" fillId="5" borderId="12" xfId="0" applyNumberFormat="1" applyFont="1" applyFill="1" applyBorder="1" applyAlignment="1">
      <alignment horizontal="center" vertical="center"/>
    </xf>
    <xf numFmtId="167" fontId="18" fillId="5" borderId="60" xfId="0" quotePrefix="1" applyNumberFormat="1" applyFont="1" applyFill="1" applyBorder="1" applyAlignment="1">
      <alignment horizontal="center" vertical="center"/>
    </xf>
    <xf numFmtId="1" fontId="19" fillId="5" borderId="18" xfId="0" applyNumberFormat="1" applyFont="1" applyFill="1" applyBorder="1" applyAlignment="1">
      <alignment horizontal="center" vertical="center"/>
    </xf>
    <xf numFmtId="167" fontId="19" fillId="5" borderId="22" xfId="0" applyNumberFormat="1" applyFont="1" applyFill="1" applyBorder="1" applyAlignment="1">
      <alignment horizontal="center" vertical="center"/>
    </xf>
    <xf numFmtId="1" fontId="4" fillId="5" borderId="20" xfId="0" applyNumberFormat="1" applyFont="1" applyFill="1" applyBorder="1" applyAlignment="1">
      <alignment horizontal="center" vertical="center"/>
    </xf>
    <xf numFmtId="1" fontId="20" fillId="7" borderId="29" xfId="0" applyNumberFormat="1" applyFont="1" applyFill="1" applyBorder="1" applyAlignment="1">
      <alignment horizontal="center" vertical="center"/>
    </xf>
    <xf numFmtId="9" fontId="45" fillId="0" borderId="10" xfId="22" applyFont="1" applyBorder="1" applyAlignment="1">
      <alignment horizontal="center" vertical="center"/>
    </xf>
    <xf numFmtId="9" fontId="45" fillId="7" borderId="10" xfId="22" applyFont="1" applyFill="1" applyBorder="1" applyAlignment="1">
      <alignment horizontal="center" vertical="center"/>
    </xf>
    <xf numFmtId="9" fontId="45" fillId="5" borderId="10" xfId="22" applyFont="1" applyFill="1" applyBorder="1" applyAlignment="1">
      <alignment horizontal="center" vertical="center"/>
    </xf>
    <xf numFmtId="0" fontId="0" fillId="8" borderId="10" xfId="0" applyFill="1" applyBorder="1"/>
    <xf numFmtId="9" fontId="45" fillId="8" borderId="10" xfId="22" applyFont="1" applyFill="1" applyBorder="1" applyAlignment="1">
      <alignment horizontal="center" vertical="center"/>
    </xf>
    <xf numFmtId="1" fontId="45" fillId="8" borderId="10" xfId="22" applyNumberFormat="1" applyFont="1" applyFill="1" applyBorder="1" applyAlignment="1">
      <alignment horizontal="center" vertical="center"/>
    </xf>
    <xf numFmtId="1" fontId="45" fillId="7" borderId="10" xfId="22" applyNumberFormat="1" applyFont="1" applyFill="1" applyBorder="1" applyAlignment="1">
      <alignment horizontal="center" vertical="center"/>
    </xf>
    <xf numFmtId="1" fontId="45" fillId="5" borderId="10" xfId="22" applyNumberFormat="1" applyFont="1" applyFill="1" applyBorder="1" applyAlignment="1">
      <alignment horizontal="center" vertical="center"/>
    </xf>
    <xf numFmtId="1" fontId="45" fillId="5" borderId="10" xfId="0" applyNumberFormat="1" applyFont="1" applyFill="1" applyBorder="1" applyAlignment="1">
      <alignment horizontal="center" vertical="center"/>
    </xf>
    <xf numFmtId="0" fontId="35" fillId="8" borderId="0" xfId="0" applyFont="1" applyFill="1" applyAlignment="1">
      <alignment horizontal="center" vertical="center"/>
    </xf>
    <xf numFmtId="1" fontId="20" fillId="8" borderId="6" xfId="0" applyNumberFormat="1" applyFont="1" applyFill="1" applyBorder="1" applyAlignment="1">
      <alignment horizontal="center" vertical="center"/>
    </xf>
    <xf numFmtId="0" fontId="21" fillId="8" borderId="10" xfId="0" applyFont="1" applyFill="1" applyBorder="1" applyAlignment="1">
      <alignment horizontal="left" vertical="center"/>
    </xf>
    <xf numFmtId="1" fontId="20" fillId="8" borderId="24" xfId="0" applyNumberFormat="1" applyFont="1" applyFill="1" applyBorder="1" applyAlignment="1">
      <alignment horizontal="center" vertical="center"/>
    </xf>
    <xf numFmtId="167" fontId="20" fillId="5" borderId="30" xfId="0" applyNumberFormat="1" applyFont="1" applyFill="1" applyBorder="1" applyAlignment="1">
      <alignment horizontal="center" vertical="center"/>
    </xf>
    <xf numFmtId="0" fontId="0" fillId="6" borderId="0" xfId="0" applyFill="1"/>
    <xf numFmtId="1" fontId="20" fillId="6" borderId="17" xfId="0" applyNumberFormat="1" applyFont="1" applyFill="1" applyBorder="1" applyAlignment="1">
      <alignment horizontal="center" vertical="center"/>
    </xf>
    <xf numFmtId="1" fontId="18" fillId="8" borderId="1" xfId="0" applyNumberFormat="1" applyFont="1" applyFill="1" applyBorder="1" applyAlignment="1">
      <alignment horizontal="center" vertical="center"/>
    </xf>
    <xf numFmtId="1" fontId="20" fillId="5" borderId="8" xfId="0" applyNumberFormat="1" applyFont="1" applyFill="1" applyBorder="1" applyAlignment="1">
      <alignment horizontal="center" vertical="center"/>
    </xf>
    <xf numFmtId="1" fontId="21" fillId="8" borderId="10" xfId="0" applyNumberFormat="1" applyFont="1" applyFill="1" applyBorder="1" applyAlignment="1">
      <alignment horizontal="center" vertical="center"/>
    </xf>
    <xf numFmtId="1" fontId="20" fillId="6" borderId="42" xfId="0" applyNumberFormat="1" applyFont="1" applyFill="1" applyBorder="1" applyAlignment="1">
      <alignment horizontal="center" vertical="center"/>
    </xf>
    <xf numFmtId="1" fontId="20" fillId="6" borderId="33" xfId="0" applyNumberFormat="1" applyFont="1" applyFill="1" applyBorder="1" applyAlignment="1">
      <alignment horizontal="center" vertical="center"/>
    </xf>
    <xf numFmtId="1" fontId="18" fillId="6" borderId="11" xfId="0" applyNumberFormat="1" applyFont="1" applyFill="1" applyBorder="1" applyAlignment="1">
      <alignment horizontal="center" vertical="center"/>
    </xf>
    <xf numFmtId="167" fontId="18" fillId="6" borderId="11" xfId="0" applyNumberFormat="1" applyFont="1" applyFill="1" applyBorder="1" applyAlignment="1">
      <alignment horizontal="center" vertical="center"/>
    </xf>
    <xf numFmtId="167" fontId="20" fillId="6" borderId="34" xfId="0" applyNumberFormat="1" applyFont="1" applyFill="1" applyBorder="1" applyAlignment="1">
      <alignment horizontal="center" vertical="center"/>
    </xf>
    <xf numFmtId="1" fontId="18" fillId="6" borderId="1" xfId="0" applyNumberFormat="1" applyFont="1" applyFill="1" applyBorder="1" applyAlignment="1">
      <alignment horizontal="center" vertical="center"/>
    </xf>
    <xf numFmtId="2" fontId="20" fillId="6" borderId="17" xfId="0" applyNumberFormat="1" applyFont="1" applyFill="1" applyBorder="1" applyAlignment="1">
      <alignment horizontal="center" vertical="center"/>
    </xf>
    <xf numFmtId="1" fontId="20" fillId="6" borderId="10" xfId="0" applyNumberFormat="1" applyFont="1" applyFill="1" applyBorder="1" applyAlignment="1">
      <alignment horizontal="center" vertical="center"/>
    </xf>
    <xf numFmtId="167" fontId="20" fillId="6" borderId="10" xfId="0" applyNumberFormat="1" applyFont="1" applyFill="1" applyBorder="1" applyAlignment="1">
      <alignment horizontal="center" vertical="center"/>
    </xf>
    <xf numFmtId="0" fontId="21" fillId="6" borderId="28" xfId="0" applyFont="1" applyFill="1" applyBorder="1" applyAlignment="1">
      <alignment horizontal="center" vertical="center"/>
    </xf>
    <xf numFmtId="1" fontId="18" fillId="6" borderId="53" xfId="0" applyNumberFormat="1" applyFont="1" applyFill="1" applyBorder="1" applyAlignment="1">
      <alignment horizontal="center" vertical="center"/>
    </xf>
    <xf numFmtId="1" fontId="20" fillId="6" borderId="29" xfId="0" applyNumberFormat="1" applyFont="1" applyFill="1" applyBorder="1" applyAlignment="1">
      <alignment horizontal="center" vertical="center"/>
    </xf>
    <xf numFmtId="1" fontId="45" fillId="6" borderId="10" xfId="0" applyNumberFormat="1" applyFont="1" applyFill="1" applyBorder="1" applyAlignment="1">
      <alignment horizontal="center" vertical="center"/>
    </xf>
    <xf numFmtId="167" fontId="20" fillId="6" borderId="19" xfId="0" applyNumberFormat="1" applyFont="1" applyFill="1" applyBorder="1" applyAlignment="1">
      <alignment horizontal="center" vertical="center"/>
    </xf>
    <xf numFmtId="167" fontId="20" fillId="6" borderId="30" xfId="0" applyNumberFormat="1" applyFont="1" applyFill="1" applyBorder="1" applyAlignment="1">
      <alignment horizontal="center" vertical="center"/>
    </xf>
    <xf numFmtId="1" fontId="21" fillId="6" borderId="11" xfId="0" applyNumberFormat="1" applyFont="1" applyFill="1" applyBorder="1" applyAlignment="1">
      <alignment horizontal="center" vertical="center"/>
    </xf>
    <xf numFmtId="167" fontId="20" fillId="6" borderId="17" xfId="0" applyNumberFormat="1" applyFont="1" applyFill="1" applyBorder="1" applyAlignment="1">
      <alignment horizontal="center" vertical="center"/>
    </xf>
    <xf numFmtId="2" fontId="20" fillId="6" borderId="53" xfId="0" applyNumberFormat="1" applyFont="1" applyFill="1" applyBorder="1" applyAlignment="1">
      <alignment horizontal="center" vertical="center"/>
    </xf>
    <xf numFmtId="2" fontId="20" fillId="6" borderId="33" xfId="0" applyNumberFormat="1" applyFont="1" applyFill="1" applyBorder="1" applyAlignment="1">
      <alignment horizontal="center" vertical="center"/>
    </xf>
    <xf numFmtId="1" fontId="20" fillId="6" borderId="53" xfId="0" applyNumberFormat="1" applyFont="1" applyFill="1" applyBorder="1" applyAlignment="1">
      <alignment horizontal="center" vertical="center"/>
    </xf>
    <xf numFmtId="167" fontId="20" fillId="6" borderId="42" xfId="0" applyNumberFormat="1" applyFont="1" applyFill="1" applyBorder="1" applyAlignment="1">
      <alignment horizontal="center" vertical="center"/>
    </xf>
    <xf numFmtId="167" fontId="20" fillId="6" borderId="72" xfId="0" applyNumberFormat="1" applyFont="1" applyFill="1" applyBorder="1" applyAlignment="1">
      <alignment horizontal="center" vertical="center"/>
    </xf>
    <xf numFmtId="167" fontId="20" fillId="6" borderId="53" xfId="0" applyNumberFormat="1" applyFont="1" applyFill="1" applyBorder="1" applyAlignment="1">
      <alignment horizontal="center" vertical="center"/>
    </xf>
    <xf numFmtId="167" fontId="20" fillId="6" borderId="50" xfId="0" applyNumberFormat="1" applyFont="1" applyFill="1" applyBorder="1" applyAlignment="1">
      <alignment horizontal="center" vertical="center"/>
    </xf>
    <xf numFmtId="167" fontId="21" fillId="6" borderId="19" xfId="0" applyNumberFormat="1" applyFont="1" applyFill="1" applyBorder="1" applyAlignment="1">
      <alignment horizontal="center" vertical="center"/>
    </xf>
    <xf numFmtId="167" fontId="20" fillId="6" borderId="29" xfId="0" applyNumberFormat="1" applyFont="1" applyFill="1" applyBorder="1" applyAlignment="1">
      <alignment horizontal="center" vertical="center"/>
    </xf>
    <xf numFmtId="1" fontId="20" fillId="6" borderId="19" xfId="0" applyNumberFormat="1" applyFont="1" applyFill="1" applyBorder="1" applyAlignment="1">
      <alignment horizontal="center" vertical="center"/>
    </xf>
    <xf numFmtId="167" fontId="20" fillId="6" borderId="37" xfId="0" applyNumberFormat="1" applyFont="1" applyFill="1" applyBorder="1" applyAlignment="1">
      <alignment horizontal="center" vertical="center"/>
    </xf>
    <xf numFmtId="1" fontId="21" fillId="5" borderId="73" xfId="0" applyNumberFormat="1" applyFont="1" applyFill="1" applyBorder="1" applyAlignment="1">
      <alignment horizontal="center" vertical="center"/>
    </xf>
    <xf numFmtId="1" fontId="20" fillId="5" borderId="30" xfId="0" applyNumberFormat="1" applyFont="1" applyFill="1" applyBorder="1" applyAlignment="1">
      <alignment horizontal="center" vertical="center"/>
    </xf>
    <xf numFmtId="1" fontId="20" fillId="5" borderId="23" xfId="0" applyNumberFormat="1" applyFont="1" applyFill="1" applyBorder="1" applyAlignment="1">
      <alignment horizontal="center" vertical="center"/>
    </xf>
    <xf numFmtId="2" fontId="20" fillId="5" borderId="34" xfId="0" applyNumberFormat="1" applyFont="1" applyFill="1" applyBorder="1" applyAlignment="1">
      <alignment horizontal="center" vertical="center"/>
    </xf>
    <xf numFmtId="0" fontId="21" fillId="8" borderId="55" xfId="0" applyFont="1" applyFill="1" applyBorder="1" applyAlignment="1">
      <alignment vertical="center"/>
    </xf>
    <xf numFmtId="1" fontId="21" fillId="6" borderId="53" xfId="0" applyNumberFormat="1" applyFont="1" applyFill="1" applyBorder="1" applyAlignment="1">
      <alignment horizontal="center" vertical="center"/>
    </xf>
    <xf numFmtId="167" fontId="20" fillId="6" borderId="33" xfId="0" applyNumberFormat="1" applyFont="1" applyFill="1" applyBorder="1" applyAlignment="1">
      <alignment horizontal="center" vertical="center"/>
    </xf>
    <xf numFmtId="2" fontId="20" fillId="6" borderId="10" xfId="0" applyNumberFormat="1" applyFont="1" applyFill="1" applyBorder="1" applyAlignment="1">
      <alignment horizontal="center" vertical="center"/>
    </xf>
    <xf numFmtId="2" fontId="21" fillId="6" borderId="10" xfId="0" applyNumberFormat="1" applyFont="1" applyFill="1" applyBorder="1" applyAlignment="1">
      <alignment horizontal="center" vertical="center"/>
    </xf>
    <xf numFmtId="0" fontId="18" fillId="0" borderId="67" xfId="0" applyFont="1" applyBorder="1" applyAlignment="1">
      <alignment horizontal="center" vertical="center"/>
    </xf>
    <xf numFmtId="1" fontId="20" fillId="8" borderId="19" xfId="0" applyNumberFormat="1" applyFont="1" applyFill="1" applyBorder="1" applyAlignment="1">
      <alignment horizontal="center" vertical="center"/>
    </xf>
    <xf numFmtId="1" fontId="7" fillId="6" borderId="10" xfId="0" applyNumberFormat="1" applyFont="1" applyFill="1" applyBorder="1" applyAlignment="1">
      <alignment horizontal="center" vertical="center"/>
    </xf>
    <xf numFmtId="2" fontId="7" fillId="6" borderId="10" xfId="0" applyNumberFormat="1" applyFont="1" applyFill="1" applyBorder="1" applyAlignment="1">
      <alignment horizontal="center" vertical="center"/>
    </xf>
    <xf numFmtId="0" fontId="21" fillId="6" borderId="80" xfId="0" applyFont="1" applyFill="1" applyBorder="1" applyAlignment="1">
      <alignment horizontal="center" vertical="center"/>
    </xf>
    <xf numFmtId="1" fontId="20" fillId="6" borderId="81" xfId="0" applyNumberFormat="1" applyFont="1" applyFill="1" applyBorder="1" applyAlignment="1">
      <alignment horizontal="center" vertical="center"/>
    </xf>
    <xf numFmtId="1" fontId="18" fillId="6" borderId="87" xfId="0" applyNumberFormat="1" applyFont="1" applyFill="1" applyBorder="1" applyAlignment="1">
      <alignment horizontal="center" vertical="center"/>
    </xf>
    <xf numFmtId="167" fontId="20" fillId="6" borderId="81" xfId="0" applyNumberFormat="1" applyFont="1" applyFill="1" applyBorder="1" applyAlignment="1">
      <alignment horizontal="center" vertical="center"/>
    </xf>
    <xf numFmtId="1" fontId="20" fillId="6" borderId="18" xfId="0" applyNumberFormat="1" applyFont="1" applyFill="1" applyBorder="1" applyAlignment="1">
      <alignment horizontal="center" vertical="center"/>
    </xf>
    <xf numFmtId="2" fontId="21" fillId="6" borderId="12" xfId="0" applyNumberFormat="1" applyFont="1" applyFill="1" applyBorder="1" applyAlignment="1">
      <alignment horizontal="center" vertical="center"/>
    </xf>
    <xf numFmtId="1" fontId="20" fillId="6" borderId="12" xfId="0" applyNumberFormat="1" applyFont="1" applyFill="1" applyBorder="1" applyAlignment="1">
      <alignment horizontal="center" vertical="center"/>
    </xf>
    <xf numFmtId="1" fontId="7" fillId="6" borderId="18" xfId="0" applyNumberFormat="1" applyFont="1" applyFill="1" applyBorder="1" applyAlignment="1">
      <alignment horizontal="center" vertical="center"/>
    </xf>
    <xf numFmtId="2" fontId="4" fillId="6" borderId="20" xfId="0" applyNumberFormat="1" applyFont="1" applyFill="1" applyBorder="1" applyAlignment="1">
      <alignment horizontal="center" vertical="center"/>
    </xf>
    <xf numFmtId="167" fontId="21" fillId="6" borderId="12" xfId="0" applyNumberFormat="1" applyFont="1" applyFill="1" applyBorder="1" applyAlignment="1">
      <alignment horizontal="center" vertical="center"/>
    </xf>
    <xf numFmtId="167" fontId="18" fillId="6" borderId="60" xfId="0" quotePrefix="1" applyNumberFormat="1" applyFont="1" applyFill="1" applyBorder="1" applyAlignment="1">
      <alignment horizontal="center" vertical="center"/>
    </xf>
    <xf numFmtId="1" fontId="19" fillId="6" borderId="18" xfId="0" applyNumberFormat="1" applyFont="1" applyFill="1" applyBorder="1" applyAlignment="1">
      <alignment horizontal="center" vertical="center"/>
    </xf>
    <xf numFmtId="167" fontId="19" fillId="6" borderId="22" xfId="0" applyNumberFormat="1" applyFont="1" applyFill="1" applyBorder="1" applyAlignment="1">
      <alignment horizontal="center" vertical="center"/>
    </xf>
    <xf numFmtId="1" fontId="4" fillId="6" borderId="20" xfId="0" applyNumberFormat="1" applyFont="1" applyFill="1" applyBorder="1" applyAlignment="1">
      <alignment horizontal="center" vertical="center"/>
    </xf>
    <xf numFmtId="1" fontId="18" fillId="6" borderId="80" xfId="0" applyNumberFormat="1" applyFont="1" applyFill="1" applyBorder="1" applyAlignment="1">
      <alignment horizontal="center" vertical="center"/>
    </xf>
    <xf numFmtId="1" fontId="4" fillId="6" borderId="78" xfId="0" applyNumberFormat="1" applyFont="1" applyFill="1" applyBorder="1" applyAlignment="1">
      <alignment horizontal="center" vertical="center"/>
    </xf>
    <xf numFmtId="167" fontId="4" fillId="6" borderId="87" xfId="0" applyNumberFormat="1" applyFont="1" applyFill="1" applyBorder="1" applyAlignment="1">
      <alignment horizontal="center" vertical="center"/>
    </xf>
    <xf numFmtId="167" fontId="4" fillId="6" borderId="81" xfId="0" applyNumberFormat="1" applyFont="1" applyFill="1" applyBorder="1" applyAlignment="1">
      <alignment horizontal="center" vertical="center"/>
    </xf>
    <xf numFmtId="1" fontId="20" fillId="8" borderId="50" xfId="0" applyNumberFormat="1" applyFont="1" applyFill="1" applyBorder="1" applyAlignment="1">
      <alignment horizontal="center" vertical="center"/>
    </xf>
    <xf numFmtId="1" fontId="18" fillId="6" borderId="10" xfId="0" applyNumberFormat="1" applyFont="1" applyFill="1" applyBorder="1" applyAlignment="1">
      <alignment horizontal="center" vertical="center"/>
    </xf>
    <xf numFmtId="0" fontId="18" fillId="8" borderId="1" xfId="0" applyFont="1" applyFill="1" applyBorder="1" applyAlignment="1">
      <alignment horizontal="left" vertical="center"/>
    </xf>
    <xf numFmtId="1" fontId="26" fillId="8" borderId="1" xfId="0" applyNumberFormat="1" applyFont="1" applyFill="1" applyBorder="1" applyAlignment="1">
      <alignment horizontal="center" vertical="center"/>
    </xf>
    <xf numFmtId="1" fontId="26" fillId="8" borderId="11" xfId="0" applyNumberFormat="1" applyFont="1" applyFill="1" applyBorder="1" applyAlignment="1">
      <alignment horizontal="center" vertical="center"/>
    </xf>
    <xf numFmtId="0" fontId="20" fillId="8" borderId="0" xfId="0" applyFont="1" applyFill="1"/>
    <xf numFmtId="1" fontId="20" fillId="7" borderId="37" xfId="0" applyNumberFormat="1" applyFont="1" applyFill="1" applyBorder="1" applyAlignment="1">
      <alignment horizontal="center" vertical="center"/>
    </xf>
    <xf numFmtId="1" fontId="20" fillId="5" borderId="37" xfId="0" applyNumberFormat="1" applyFont="1" applyFill="1" applyBorder="1" applyAlignment="1">
      <alignment horizontal="center" vertical="center"/>
    </xf>
    <xf numFmtId="0" fontId="80" fillId="8" borderId="0" xfId="0" applyFont="1" applyFill="1"/>
    <xf numFmtId="0" fontId="87" fillId="0" borderId="0" xfId="0" applyFont="1"/>
    <xf numFmtId="167" fontId="0" fillId="0" borderId="0" xfId="0" applyNumberFormat="1"/>
    <xf numFmtId="1" fontId="20" fillId="5" borderId="71" xfId="0" applyNumberFormat="1" applyFont="1" applyFill="1" applyBorder="1" applyAlignment="1">
      <alignment horizontal="center" vertical="center"/>
    </xf>
    <xf numFmtId="1" fontId="20" fillId="7" borderId="71" xfId="0" applyNumberFormat="1" applyFont="1" applyFill="1" applyBorder="1" applyAlignment="1">
      <alignment horizontal="center" vertical="center"/>
    </xf>
    <xf numFmtId="0" fontId="5" fillId="8" borderId="7" xfId="0" applyFont="1" applyFill="1" applyBorder="1" applyAlignment="1">
      <alignment vertical="center"/>
    </xf>
    <xf numFmtId="1" fontId="18" fillId="0" borderId="1" xfId="0" applyNumberFormat="1" applyFont="1" applyBorder="1" applyAlignment="1">
      <alignment horizontal="center" vertical="center"/>
    </xf>
    <xf numFmtId="167" fontId="21" fillId="0" borderId="58" xfId="0" applyNumberFormat="1" applyFont="1" applyBorder="1" applyAlignment="1">
      <alignment horizontal="center" vertical="center"/>
    </xf>
    <xf numFmtId="167" fontId="21" fillId="7" borderId="58" xfId="0" applyNumberFormat="1" applyFont="1" applyFill="1" applyBorder="1" applyAlignment="1">
      <alignment horizontal="center" vertical="center"/>
    </xf>
    <xf numFmtId="167" fontId="21" fillId="0" borderId="75" xfId="0" applyNumberFormat="1" applyFont="1" applyBorder="1" applyAlignment="1">
      <alignment horizontal="center" vertical="center"/>
    </xf>
    <xf numFmtId="167" fontId="21" fillId="5" borderId="58" xfId="0" applyNumberFormat="1" applyFont="1" applyFill="1" applyBorder="1" applyAlignment="1">
      <alignment horizontal="center" vertical="center"/>
    </xf>
    <xf numFmtId="0" fontId="11" fillId="0" borderId="0" xfId="0" applyFont="1"/>
    <xf numFmtId="0" fontId="80" fillId="0" borderId="0" xfId="0" applyFont="1"/>
    <xf numFmtId="1" fontId="21" fillId="6" borderId="10" xfId="0" applyNumberFormat="1" applyFont="1" applyFill="1" applyBorder="1" applyAlignment="1">
      <alignment horizontal="center" vertical="center"/>
    </xf>
    <xf numFmtId="0" fontId="12" fillId="0" borderId="10" xfId="0" applyFont="1" applyBorder="1" applyAlignment="1">
      <alignment horizontal="right"/>
    </xf>
    <xf numFmtId="0" fontId="21" fillId="0" borderId="4" xfId="0" applyFont="1" applyBorder="1" applyAlignment="1">
      <alignment horizontal="center" vertical="center"/>
    </xf>
    <xf numFmtId="0" fontId="21" fillId="7" borderId="1" xfId="0" applyFont="1" applyFill="1" applyBorder="1" applyAlignment="1">
      <alignment horizontal="center" vertical="center"/>
    </xf>
    <xf numFmtId="0" fontId="26" fillId="0" borderId="10" xfId="0" applyFont="1" applyBorder="1" applyAlignment="1">
      <alignment horizontal="center" vertical="center"/>
    </xf>
    <xf numFmtId="1" fontId="0" fillId="8" borderId="0" xfId="0" applyNumberFormat="1" applyFill="1"/>
    <xf numFmtId="2" fontId="20" fillId="0" borderId="53" xfId="0" applyNumberFormat="1" applyFont="1" applyBorder="1" applyAlignment="1">
      <alignment horizontal="center" vertical="center"/>
    </xf>
    <xf numFmtId="0" fontId="20" fillId="0" borderId="37" xfId="0" applyFont="1" applyBorder="1" applyAlignment="1">
      <alignment horizontal="center" vertical="center"/>
    </xf>
    <xf numFmtId="0" fontId="27" fillId="0" borderId="0" xfId="0" applyFont="1"/>
    <xf numFmtId="0" fontId="23" fillId="0" borderId="10" xfId="0" applyFont="1" applyBorder="1" applyAlignment="1">
      <alignment horizontal="center"/>
    </xf>
    <xf numFmtId="0" fontId="36" fillId="0" borderId="10" xfId="0" applyFont="1" applyBorder="1"/>
    <xf numFmtId="1" fontId="36" fillId="0" borderId="10" xfId="0" applyNumberFormat="1" applyFont="1" applyBorder="1" applyAlignment="1">
      <alignment horizontal="center"/>
    </xf>
    <xf numFmtId="0" fontId="23" fillId="0" borderId="10" xfId="0" applyFont="1" applyBorder="1"/>
    <xf numFmtId="1" fontId="23" fillId="0" borderId="10" xfId="0" applyNumberFormat="1" applyFont="1" applyBorder="1" applyAlignment="1">
      <alignment horizontal="center"/>
    </xf>
    <xf numFmtId="1" fontId="26" fillId="0" borderId="13" xfId="0" applyNumberFormat="1" applyFont="1" applyBorder="1" applyAlignment="1">
      <alignment horizontal="center"/>
    </xf>
    <xf numFmtId="1" fontId="12" fillId="0" borderId="47" xfId="0" applyNumberFormat="1" applyFont="1" applyBorder="1" applyAlignment="1">
      <alignment horizontal="center"/>
    </xf>
    <xf numFmtId="1" fontId="21" fillId="0" borderId="13" xfId="0" applyNumberFormat="1" applyFont="1" applyBorder="1" applyAlignment="1">
      <alignment horizontal="center"/>
    </xf>
    <xf numFmtId="1" fontId="12" fillId="0" borderId="60" xfId="0" applyNumberFormat="1" applyFont="1" applyBorder="1" applyAlignment="1">
      <alignment horizontal="center"/>
    </xf>
    <xf numFmtId="1" fontId="21" fillId="0" borderId="51" xfId="0" applyNumberFormat="1" applyFont="1" applyBorder="1" applyAlignment="1">
      <alignment horizontal="center"/>
    </xf>
    <xf numFmtId="1" fontId="12" fillId="0" borderId="12" xfId="0" applyNumberFormat="1" applyFont="1" applyBorder="1" applyAlignment="1">
      <alignment horizontal="center"/>
    </xf>
    <xf numFmtId="0" fontId="26" fillId="0" borderId="25" xfId="0" applyFont="1" applyBorder="1" applyAlignment="1">
      <alignment horizontal="left" vertical="center"/>
    </xf>
    <xf numFmtId="0" fontId="12" fillId="0" borderId="70" xfId="0" applyFont="1" applyBorder="1" applyAlignment="1">
      <alignment horizontal="center"/>
    </xf>
    <xf numFmtId="0" fontId="12" fillId="0" borderId="47" xfId="0" applyFont="1" applyBorder="1" applyAlignment="1">
      <alignment horizontal="center"/>
    </xf>
    <xf numFmtId="1" fontId="26" fillId="0" borderId="25" xfId="0" applyNumberFormat="1" applyFont="1" applyBorder="1" applyAlignment="1">
      <alignment horizontal="center"/>
    </xf>
    <xf numFmtId="0" fontId="26" fillId="0" borderId="13" xfId="0" applyFont="1" applyBorder="1" applyAlignment="1">
      <alignment horizontal="center" vertical="center"/>
    </xf>
    <xf numFmtId="1" fontId="12" fillId="0" borderId="70" xfId="0" applyNumberFormat="1" applyFont="1" applyBorder="1" applyAlignment="1">
      <alignment horizontal="center"/>
    </xf>
    <xf numFmtId="1" fontId="21" fillId="0" borderId="25" xfId="0" applyNumberFormat="1" applyFont="1" applyBorder="1" applyAlignment="1">
      <alignment horizontal="center"/>
    </xf>
    <xf numFmtId="1" fontId="21" fillId="0" borderId="20" xfId="0" applyNumberFormat="1" applyFont="1" applyBorder="1" applyAlignment="1">
      <alignment horizontal="center"/>
    </xf>
    <xf numFmtId="2" fontId="20" fillId="7" borderId="82" xfId="0" applyNumberFormat="1" applyFont="1" applyFill="1" applyBorder="1" applyAlignment="1">
      <alignment horizontal="center" vertical="center"/>
    </xf>
    <xf numFmtId="2" fontId="20" fillId="7" borderId="10" xfId="0" applyNumberFormat="1" applyFont="1" applyFill="1" applyBorder="1" applyAlignment="1">
      <alignment horizontal="center"/>
    </xf>
    <xf numFmtId="1" fontId="19" fillId="5" borderId="10" xfId="0" applyNumberFormat="1" applyFont="1" applyFill="1" applyBorder="1" applyAlignment="1">
      <alignment horizontal="center" vertical="center"/>
    </xf>
    <xf numFmtId="1" fontId="18" fillId="7" borderId="71" xfId="0" applyNumberFormat="1" applyFont="1" applyFill="1" applyBorder="1" applyAlignment="1">
      <alignment horizontal="center" vertical="center"/>
    </xf>
    <xf numFmtId="1" fontId="18" fillId="0" borderId="71" xfId="0" applyNumberFormat="1" applyFont="1" applyBorder="1" applyAlignment="1">
      <alignment horizontal="center" vertical="center"/>
    </xf>
    <xf numFmtId="0" fontId="32" fillId="8" borderId="10" xfId="0" applyFont="1" applyFill="1" applyBorder="1" applyAlignment="1">
      <alignment horizontal="center" vertical="center"/>
    </xf>
    <xf numFmtId="0" fontId="45" fillId="8" borderId="0" xfId="0" applyFont="1" applyFill="1" applyAlignment="1">
      <alignment horizontal="center" vertical="center"/>
    </xf>
    <xf numFmtId="0" fontId="36" fillId="8" borderId="10" xfId="0" applyFont="1" applyFill="1" applyBorder="1" applyAlignment="1">
      <alignment horizontal="center"/>
    </xf>
    <xf numFmtId="1" fontId="36" fillId="8" borderId="10" xfId="0" applyNumberFormat="1" applyFont="1" applyFill="1" applyBorder="1" applyAlignment="1">
      <alignment horizontal="center"/>
    </xf>
    <xf numFmtId="0" fontId="4" fillId="0" borderId="84" xfId="0" applyFont="1" applyBorder="1" applyAlignment="1">
      <alignment horizontal="center" vertical="center"/>
    </xf>
    <xf numFmtId="0" fontId="4" fillId="0" borderId="38" xfId="0" applyFont="1" applyBorder="1" applyAlignment="1">
      <alignment horizontal="center" vertical="center"/>
    </xf>
    <xf numFmtId="0" fontId="4" fillId="0" borderId="10" xfId="0" applyFont="1" applyBorder="1" applyAlignment="1">
      <alignment vertical="center"/>
    </xf>
    <xf numFmtId="1" fontId="11" fillId="0" borderId="0" xfId="0" applyNumberFormat="1" applyFont="1"/>
    <xf numFmtId="1" fontId="79" fillId="8" borderId="65" xfId="186" applyNumberFormat="1" applyFont="1" applyFill="1" applyBorder="1" applyAlignment="1">
      <alignment horizontal="center" vertical="center"/>
    </xf>
    <xf numFmtId="1" fontId="19" fillId="7" borderId="10" xfId="0" applyNumberFormat="1" applyFont="1" applyFill="1" applyBorder="1" applyAlignment="1">
      <alignment horizontal="center" vertical="center"/>
    </xf>
    <xf numFmtId="0" fontId="105" fillId="8" borderId="10" xfId="0" applyFont="1" applyFill="1" applyBorder="1" applyAlignment="1">
      <alignment horizontal="center" vertical="center"/>
    </xf>
    <xf numFmtId="1" fontId="20" fillId="7" borderId="23" xfId="0" applyNumberFormat="1" applyFont="1" applyFill="1" applyBorder="1" applyAlignment="1">
      <alignment horizontal="center" vertical="center"/>
    </xf>
    <xf numFmtId="0" fontId="20" fillId="7" borderId="10" xfId="0" applyFont="1" applyFill="1" applyBorder="1" applyAlignment="1">
      <alignment horizontal="center" vertical="center"/>
    </xf>
    <xf numFmtId="0" fontId="4" fillId="8" borderId="41" xfId="0" applyFont="1" applyFill="1" applyBorder="1" applyAlignment="1">
      <alignment horizontal="center" vertical="center"/>
    </xf>
    <xf numFmtId="0" fontId="4" fillId="8" borderId="42" xfId="0" applyFont="1" applyFill="1" applyBorder="1" applyAlignment="1">
      <alignment horizontal="center" vertical="center"/>
    </xf>
    <xf numFmtId="167" fontId="20" fillId="7" borderId="23" xfId="0" applyNumberFormat="1" applyFont="1" applyFill="1" applyBorder="1" applyAlignment="1">
      <alignment horizontal="center" vertical="center"/>
    </xf>
    <xf numFmtId="167" fontId="20" fillId="5" borderId="23" xfId="0" applyNumberFormat="1" applyFont="1" applyFill="1" applyBorder="1" applyAlignment="1">
      <alignment horizontal="center" vertical="center"/>
    </xf>
    <xf numFmtId="1" fontId="19" fillId="5" borderId="72" xfId="0" applyNumberFormat="1" applyFont="1" applyFill="1" applyBorder="1" applyAlignment="1">
      <alignment horizontal="center" vertical="center"/>
    </xf>
    <xf numFmtId="1" fontId="19" fillId="8" borderId="10" xfId="0" applyNumberFormat="1" applyFont="1" applyFill="1" applyBorder="1" applyAlignment="1">
      <alignment horizontal="center" vertical="center"/>
    </xf>
    <xf numFmtId="1" fontId="4" fillId="8" borderId="1" xfId="0" applyNumberFormat="1" applyFont="1" applyFill="1" applyBorder="1" applyAlignment="1">
      <alignment horizontal="center" vertical="center"/>
    </xf>
    <xf numFmtId="1" fontId="20" fillId="0" borderId="0" xfId="0" applyNumberFormat="1" applyFont="1"/>
    <xf numFmtId="0" fontId="20" fillId="8" borderId="0" xfId="0" applyFont="1" applyFill="1" applyAlignment="1">
      <alignment vertical="center"/>
    </xf>
    <xf numFmtId="167" fontId="4" fillId="7" borderId="104" xfId="0" applyNumberFormat="1" applyFont="1" applyFill="1" applyBorder="1" applyAlignment="1">
      <alignment horizontal="center" vertical="center"/>
    </xf>
    <xf numFmtId="167" fontId="4" fillId="5" borderId="104" xfId="0" applyNumberFormat="1" applyFont="1" applyFill="1" applyBorder="1" applyAlignment="1">
      <alignment horizontal="center" vertical="center"/>
    </xf>
    <xf numFmtId="167" fontId="20" fillId="7" borderId="45" xfId="0" applyNumberFormat="1" applyFont="1" applyFill="1" applyBorder="1" applyAlignment="1">
      <alignment horizontal="center" vertical="center"/>
    </xf>
    <xf numFmtId="167" fontId="4" fillId="7" borderId="5" xfId="0" applyNumberFormat="1" applyFont="1" applyFill="1" applyBorder="1" applyAlignment="1">
      <alignment horizontal="center" vertical="center"/>
    </xf>
    <xf numFmtId="167" fontId="4" fillId="5" borderId="5" xfId="0" applyNumberFormat="1" applyFont="1" applyFill="1" applyBorder="1" applyAlignment="1">
      <alignment horizontal="center" vertical="center"/>
    </xf>
    <xf numFmtId="1" fontId="18" fillId="8" borderId="63" xfId="0" quotePrefix="1" applyNumberFormat="1" applyFont="1" applyFill="1" applyBorder="1" applyAlignment="1">
      <alignment horizontal="center" vertical="center"/>
    </xf>
    <xf numFmtId="1" fontId="4" fillId="8" borderId="63" xfId="0" applyNumberFormat="1" applyFont="1" applyFill="1" applyBorder="1" applyAlignment="1">
      <alignment horizontal="center" vertical="center"/>
    </xf>
    <xf numFmtId="167" fontId="5" fillId="8" borderId="24" xfId="0" applyNumberFormat="1" applyFont="1" applyFill="1" applyBorder="1" applyAlignment="1">
      <alignment vertical="center"/>
    </xf>
    <xf numFmtId="169" fontId="5" fillId="0" borderId="6" xfId="0" applyNumberFormat="1" applyFont="1" applyBorder="1" applyAlignment="1">
      <alignment vertical="center"/>
    </xf>
    <xf numFmtId="0" fontId="18" fillId="8" borderId="61" xfId="0" applyFont="1" applyFill="1" applyBorder="1" applyAlignment="1">
      <alignment vertical="center"/>
    </xf>
    <xf numFmtId="2" fontId="21" fillId="5" borderId="73" xfId="0" applyNumberFormat="1" applyFont="1" applyFill="1" applyBorder="1" applyAlignment="1">
      <alignment horizontal="center" vertical="center"/>
    </xf>
    <xf numFmtId="2" fontId="21" fillId="7" borderId="46" xfId="0" applyNumberFormat="1" applyFont="1" applyFill="1" applyBorder="1" applyAlignment="1">
      <alignment horizontal="center" vertical="center"/>
    </xf>
    <xf numFmtId="2" fontId="21" fillId="7" borderId="41" xfId="0" applyNumberFormat="1" applyFont="1" applyFill="1" applyBorder="1" applyAlignment="1">
      <alignment horizontal="center" vertical="center"/>
    </xf>
    <xf numFmtId="2" fontId="21" fillId="7" borderId="23" xfId="0" applyNumberFormat="1" applyFont="1" applyFill="1" applyBorder="1" applyAlignment="1">
      <alignment horizontal="center" vertical="center"/>
    </xf>
    <xf numFmtId="1" fontId="18" fillId="0" borderId="26" xfId="0" applyNumberFormat="1" applyFont="1" applyBorder="1" applyAlignment="1">
      <alignment horizontal="center" vertical="center"/>
    </xf>
    <xf numFmtId="0" fontId="0" fillId="7" borderId="10" xfId="0" applyFill="1" applyBorder="1"/>
    <xf numFmtId="0" fontId="0" fillId="5" borderId="10" xfId="0" applyFill="1" applyBorder="1"/>
    <xf numFmtId="1" fontId="20" fillId="5" borderId="41" xfId="0" applyNumberFormat="1" applyFont="1" applyFill="1" applyBorder="1" applyAlignment="1">
      <alignment horizontal="center" vertical="center"/>
    </xf>
    <xf numFmtId="167" fontId="20" fillId="6" borderId="23" xfId="0" applyNumberFormat="1" applyFont="1" applyFill="1" applyBorder="1" applyAlignment="1">
      <alignment horizontal="center" vertical="center"/>
    </xf>
    <xf numFmtId="167" fontId="21" fillId="5" borderId="10" xfId="0" applyNumberFormat="1" applyFont="1" applyFill="1" applyBorder="1" applyAlignment="1">
      <alignment horizontal="center" vertical="center"/>
    </xf>
    <xf numFmtId="1" fontId="4" fillId="8" borderId="10" xfId="0" applyNumberFormat="1" applyFont="1" applyFill="1" applyBorder="1" applyAlignment="1">
      <alignment horizontal="center" vertical="center"/>
    </xf>
    <xf numFmtId="0" fontId="45" fillId="8" borderId="0" xfId="0" applyFont="1" applyFill="1" applyAlignment="1">
      <alignment horizontal="center"/>
    </xf>
    <xf numFmtId="9" fontId="21" fillId="8" borderId="10" xfId="22" applyFont="1" applyFill="1" applyBorder="1" applyAlignment="1">
      <alignment horizontal="center" vertical="center"/>
    </xf>
    <xf numFmtId="1" fontId="11" fillId="0" borderId="10" xfId="0" applyNumberFormat="1" applyFont="1" applyBorder="1" applyAlignment="1">
      <alignment horizontal="center" vertical="center"/>
    </xf>
    <xf numFmtId="1" fontId="36" fillId="7" borderId="10" xfId="0" applyNumberFormat="1" applyFont="1" applyFill="1" applyBorder="1" applyAlignment="1">
      <alignment horizontal="center"/>
    </xf>
    <xf numFmtId="1" fontId="23" fillId="7" borderId="10" xfId="0" applyNumberFormat="1" applyFont="1" applyFill="1" applyBorder="1" applyAlignment="1">
      <alignment horizontal="center"/>
    </xf>
    <xf numFmtId="0" fontId="36" fillId="7" borderId="10" xfId="0" applyFont="1" applyFill="1" applyBorder="1" applyAlignment="1">
      <alignment horizontal="center"/>
    </xf>
    <xf numFmtId="0" fontId="0" fillId="7" borderId="0" xfId="0" applyFill="1"/>
    <xf numFmtId="1" fontId="11" fillId="7" borderId="10" xfId="0" applyNumberFormat="1" applyFont="1" applyFill="1" applyBorder="1" applyAlignment="1">
      <alignment horizontal="center" vertical="center"/>
    </xf>
    <xf numFmtId="1" fontId="36" fillId="5" borderId="10" xfId="0" applyNumberFormat="1" applyFont="1" applyFill="1" applyBorder="1" applyAlignment="1">
      <alignment horizontal="center"/>
    </xf>
    <xf numFmtId="1" fontId="23" fillId="5" borderId="10" xfId="0" applyNumberFormat="1" applyFont="1" applyFill="1" applyBorder="1" applyAlignment="1">
      <alignment horizontal="center"/>
    </xf>
    <xf numFmtId="0" fontId="36" fillId="5" borderId="10" xfId="0" applyFont="1" applyFill="1" applyBorder="1" applyAlignment="1">
      <alignment horizontal="center"/>
    </xf>
    <xf numFmtId="1" fontId="11" fillId="5" borderId="10" xfId="0" applyNumberFormat="1" applyFont="1" applyFill="1" applyBorder="1" applyAlignment="1">
      <alignment horizontal="center" vertical="center"/>
    </xf>
    <xf numFmtId="0" fontId="23" fillId="43" borderId="10" xfId="0" applyFont="1" applyFill="1" applyBorder="1"/>
    <xf numFmtId="1" fontId="23" fillId="43" borderId="10" xfId="0" applyNumberFormat="1" applyFont="1" applyFill="1" applyBorder="1" applyAlignment="1">
      <alignment horizontal="center"/>
    </xf>
    <xf numFmtId="1" fontId="36" fillId="43" borderId="10" xfId="0" applyNumberFormat="1" applyFont="1" applyFill="1" applyBorder="1" applyAlignment="1">
      <alignment horizontal="center"/>
    </xf>
    <xf numFmtId="0" fontId="23" fillId="43" borderId="10" xfId="0" applyFont="1" applyFill="1" applyBorder="1" applyAlignment="1">
      <alignment horizontal="center"/>
    </xf>
    <xf numFmtId="9" fontId="23" fillId="0" borderId="10" xfId="22" applyFont="1" applyBorder="1" applyAlignment="1">
      <alignment horizontal="center"/>
    </xf>
    <xf numFmtId="0" fontId="77" fillId="0" borderId="0" xfId="186"/>
    <xf numFmtId="1" fontId="20" fillId="6" borderId="31" xfId="0" applyNumberFormat="1" applyFont="1" applyFill="1" applyBorder="1" applyAlignment="1">
      <alignment horizontal="center" vertical="center"/>
    </xf>
    <xf numFmtId="0" fontId="20" fillId="8" borderId="0" xfId="0" applyFont="1" applyFill="1" applyAlignment="1">
      <alignment horizontal="center" vertical="center"/>
    </xf>
    <xf numFmtId="0" fontId="45" fillId="8" borderId="10" xfId="0" applyFont="1" applyFill="1" applyBorder="1"/>
    <xf numFmtId="2" fontId="20" fillId="5" borderId="10" xfId="0" applyNumberFormat="1" applyFont="1" applyFill="1" applyBorder="1" applyAlignment="1">
      <alignment horizontal="center"/>
    </xf>
    <xf numFmtId="0" fontId="21" fillId="8" borderId="6" xfId="0" applyFont="1" applyFill="1" applyBorder="1" applyAlignment="1">
      <alignment horizontal="center" vertical="center"/>
    </xf>
    <xf numFmtId="0" fontId="45" fillId="5" borderId="10" xfId="0" applyFont="1" applyFill="1" applyBorder="1" applyAlignment="1">
      <alignment horizontal="center" vertical="center"/>
    </xf>
    <xf numFmtId="0" fontId="45" fillId="7" borderId="10" xfId="0" applyFont="1" applyFill="1" applyBorder="1" applyAlignment="1">
      <alignment horizontal="center" vertical="center"/>
    </xf>
    <xf numFmtId="0" fontId="108" fillId="0" borderId="0" xfId="0" applyFont="1"/>
    <xf numFmtId="1" fontId="4" fillId="7" borderId="10" xfId="0" applyNumberFormat="1" applyFont="1" applyFill="1" applyBorder="1" applyAlignment="1">
      <alignment horizontal="center" vertical="center"/>
    </xf>
    <xf numFmtId="1" fontId="4" fillId="5" borderId="10" xfId="0" applyNumberFormat="1" applyFont="1" applyFill="1" applyBorder="1" applyAlignment="1">
      <alignment horizontal="center" vertical="center"/>
    </xf>
    <xf numFmtId="1" fontId="4" fillId="6" borderId="10" xfId="0" applyNumberFormat="1" applyFont="1" applyFill="1" applyBorder="1" applyAlignment="1">
      <alignment horizontal="center" vertical="center"/>
    </xf>
    <xf numFmtId="1" fontId="21" fillId="8" borderId="6" xfId="0" applyNumberFormat="1" applyFont="1" applyFill="1" applyBorder="1" applyAlignment="1">
      <alignment horizontal="center" vertical="center"/>
    </xf>
    <xf numFmtId="169" fontId="20" fillId="6" borderId="37" xfId="0" applyNumberFormat="1" applyFont="1" applyFill="1" applyBorder="1" applyAlignment="1">
      <alignment horizontal="center" vertical="center"/>
    </xf>
    <xf numFmtId="2" fontId="20" fillId="6" borderId="37" xfId="0" applyNumberFormat="1" applyFont="1" applyFill="1" applyBorder="1" applyAlignment="1">
      <alignment horizontal="center" vertical="center"/>
    </xf>
    <xf numFmtId="1" fontId="20" fillId="6" borderId="37" xfId="0" applyNumberFormat="1" applyFont="1" applyFill="1" applyBorder="1" applyAlignment="1">
      <alignment horizontal="center" vertical="center"/>
    </xf>
    <xf numFmtId="0" fontId="48" fillId="6" borderId="10" xfId="0" applyFont="1" applyFill="1" applyBorder="1" applyAlignment="1">
      <alignment horizontal="center" vertical="center"/>
    </xf>
    <xf numFmtId="169" fontId="20" fillId="5" borderId="37" xfId="0" applyNumberFormat="1" applyFont="1" applyFill="1" applyBorder="1" applyAlignment="1">
      <alignment horizontal="center" vertical="center"/>
    </xf>
    <xf numFmtId="2" fontId="20" fillId="5" borderId="37" xfId="0" applyNumberFormat="1" applyFont="1" applyFill="1" applyBorder="1" applyAlignment="1">
      <alignment horizontal="center" vertical="center"/>
    </xf>
    <xf numFmtId="0" fontId="48" fillId="5" borderId="10" xfId="0" applyFont="1" applyFill="1" applyBorder="1" applyAlignment="1">
      <alignment horizontal="center" vertical="center"/>
    </xf>
    <xf numFmtId="0" fontId="48" fillId="7" borderId="10" xfId="0" applyFont="1" applyFill="1" applyBorder="1" applyAlignment="1">
      <alignment horizontal="center" vertical="center"/>
    </xf>
    <xf numFmtId="1" fontId="18" fillId="6" borderId="73" xfId="0" applyNumberFormat="1" applyFont="1" applyFill="1" applyBorder="1" applyAlignment="1">
      <alignment horizontal="center" vertical="center"/>
    </xf>
    <xf numFmtId="1" fontId="19" fillId="6" borderId="10" xfId="0" applyNumberFormat="1" applyFont="1" applyFill="1" applyBorder="1" applyAlignment="1">
      <alignment horizontal="center" vertical="center"/>
    </xf>
    <xf numFmtId="169" fontId="20" fillId="6" borderId="10" xfId="0" applyNumberFormat="1" applyFont="1" applyFill="1" applyBorder="1" applyAlignment="1">
      <alignment horizontal="center" vertical="center"/>
    </xf>
    <xf numFmtId="9" fontId="45" fillId="6" borderId="10" xfId="22" applyFont="1" applyFill="1" applyBorder="1" applyAlignment="1">
      <alignment horizontal="center" vertical="center"/>
    </xf>
    <xf numFmtId="1" fontId="18" fillId="5" borderId="38" xfId="0" applyNumberFormat="1" applyFont="1" applyFill="1" applyBorder="1" applyAlignment="1">
      <alignment horizontal="center" vertical="center"/>
    </xf>
    <xf numFmtId="1" fontId="18" fillId="6" borderId="38" xfId="0" applyNumberFormat="1" applyFont="1" applyFill="1" applyBorder="1" applyAlignment="1">
      <alignment horizontal="center" vertical="center"/>
    </xf>
    <xf numFmtId="167" fontId="20" fillId="6" borderId="31" xfId="0" applyNumberFormat="1" applyFont="1" applyFill="1" applyBorder="1" applyAlignment="1">
      <alignment horizontal="center" vertical="center"/>
    </xf>
    <xf numFmtId="1" fontId="20" fillId="7" borderId="44" xfId="0" applyNumberFormat="1" applyFont="1" applyFill="1" applyBorder="1" applyAlignment="1">
      <alignment horizontal="center" vertical="center"/>
    </xf>
    <xf numFmtId="1" fontId="20" fillId="7" borderId="47" xfId="0" applyNumberFormat="1" applyFont="1" applyFill="1" applyBorder="1" applyAlignment="1">
      <alignment horizontal="center" vertical="center"/>
    </xf>
    <xf numFmtId="1" fontId="7" fillId="7" borderId="44" xfId="0" applyNumberFormat="1" applyFont="1" applyFill="1" applyBorder="1" applyAlignment="1">
      <alignment horizontal="center" vertical="center"/>
    </xf>
    <xf numFmtId="2" fontId="4" fillId="7" borderId="51" xfId="0" applyNumberFormat="1" applyFont="1" applyFill="1" applyBorder="1" applyAlignment="1">
      <alignment horizontal="center" vertical="center"/>
    </xf>
    <xf numFmtId="167" fontId="21" fillId="7" borderId="47" xfId="0" applyNumberFormat="1" applyFont="1" applyFill="1" applyBorder="1" applyAlignment="1">
      <alignment horizontal="center" vertical="center"/>
    </xf>
    <xf numFmtId="2" fontId="21" fillId="8" borderId="17" xfId="0" applyNumberFormat="1" applyFont="1" applyFill="1" applyBorder="1" applyAlignment="1">
      <alignment horizontal="center" vertical="center"/>
    </xf>
    <xf numFmtId="167" fontId="21" fillId="8" borderId="17" xfId="0" applyNumberFormat="1" applyFont="1" applyFill="1" applyBorder="1" applyAlignment="1">
      <alignment horizontal="center" vertical="center"/>
    </xf>
    <xf numFmtId="1" fontId="18" fillId="8" borderId="18" xfId="0" quotePrefix="1" applyNumberFormat="1" applyFont="1" applyFill="1" applyBorder="1" applyAlignment="1">
      <alignment horizontal="center" vertical="center"/>
    </xf>
    <xf numFmtId="1" fontId="4" fillId="8" borderId="18" xfId="0" applyNumberFormat="1" applyFont="1" applyFill="1" applyBorder="1" applyAlignment="1">
      <alignment horizontal="center" vertical="center"/>
    </xf>
    <xf numFmtId="0" fontId="29" fillId="0" borderId="61" xfId="0" applyFont="1" applyBorder="1" applyAlignment="1">
      <alignment vertical="center"/>
    </xf>
    <xf numFmtId="1" fontId="18" fillId="0" borderId="28" xfId="0" applyNumberFormat="1" applyFont="1" applyBorder="1" applyAlignment="1">
      <alignment horizontal="center" vertical="center"/>
    </xf>
    <xf numFmtId="1" fontId="4" fillId="0" borderId="54" xfId="0" applyNumberFormat="1" applyFont="1" applyBorder="1" applyAlignment="1">
      <alignment horizontal="center" vertical="center"/>
    </xf>
    <xf numFmtId="0" fontId="40" fillId="0" borderId="61" xfId="0" applyFont="1" applyBorder="1" applyAlignment="1">
      <alignment vertical="center"/>
    </xf>
    <xf numFmtId="0" fontId="18" fillId="0" borderId="19" xfId="0" applyFont="1" applyBorder="1" applyAlignment="1">
      <alignment vertical="center"/>
    </xf>
    <xf numFmtId="167" fontId="20" fillId="0" borderId="53" xfId="0" applyNumberFormat="1" applyFont="1" applyBorder="1" applyAlignment="1">
      <alignment horizontal="center" vertical="center"/>
    </xf>
    <xf numFmtId="169" fontId="5" fillId="0" borderId="19" xfId="0" applyNumberFormat="1" applyFont="1" applyBorder="1" applyAlignment="1">
      <alignment vertical="center"/>
    </xf>
    <xf numFmtId="167" fontId="5" fillId="8" borderId="61" xfId="0" applyNumberFormat="1" applyFont="1" applyFill="1" applyBorder="1" applyAlignment="1">
      <alignment vertical="center"/>
    </xf>
    <xf numFmtId="0" fontId="29" fillId="8" borderId="19" xfId="0" applyFont="1" applyFill="1" applyBorder="1" applyAlignment="1">
      <alignment vertical="center"/>
    </xf>
    <xf numFmtId="0" fontId="21" fillId="5" borderId="26" xfId="0" applyFont="1" applyFill="1" applyBorder="1" applyAlignment="1">
      <alignment horizontal="center" vertical="center"/>
    </xf>
    <xf numFmtId="1" fontId="7" fillId="5" borderId="44" xfId="0" applyNumberFormat="1" applyFont="1" applyFill="1" applyBorder="1" applyAlignment="1">
      <alignment horizontal="center" vertical="center"/>
    </xf>
    <xf numFmtId="167" fontId="21" fillId="5" borderId="47" xfId="0" applyNumberFormat="1" applyFont="1" applyFill="1" applyBorder="1" applyAlignment="1">
      <alignment horizontal="center" vertical="center"/>
    </xf>
    <xf numFmtId="9" fontId="23" fillId="5" borderId="10" xfId="22" applyFont="1" applyFill="1" applyBorder="1" applyAlignment="1">
      <alignment horizontal="center"/>
    </xf>
    <xf numFmtId="1" fontId="20" fillId="44" borderId="10" xfId="0" applyNumberFormat="1" applyFont="1" applyFill="1" applyBorder="1" applyAlignment="1">
      <alignment horizontal="center" vertical="center"/>
    </xf>
    <xf numFmtId="1" fontId="79" fillId="0" borderId="37" xfId="186" applyNumberFormat="1" applyFont="1" applyBorder="1" applyAlignment="1">
      <alignment horizontal="center" vertical="center"/>
    </xf>
    <xf numFmtId="1" fontId="78" fillId="8" borderId="64" xfId="186" applyNumberFormat="1" applyFont="1" applyFill="1" applyBorder="1" applyAlignment="1">
      <alignment horizontal="center" vertical="center"/>
    </xf>
    <xf numFmtId="0" fontId="21" fillId="5" borderId="1" xfId="0" applyFont="1" applyFill="1" applyBorder="1" applyAlignment="1">
      <alignment horizontal="center" vertical="center"/>
    </xf>
    <xf numFmtId="0" fontId="21" fillId="5" borderId="4" xfId="0" applyFont="1" applyFill="1" applyBorder="1" applyAlignment="1">
      <alignment horizontal="center" vertical="center"/>
    </xf>
    <xf numFmtId="0" fontId="21" fillId="6" borderId="4" xfId="0" applyFont="1" applyFill="1" applyBorder="1" applyAlignment="1">
      <alignment horizontal="center" vertical="center"/>
    </xf>
    <xf numFmtId="0" fontId="21" fillId="0" borderId="10" xfId="0" applyFont="1" applyBorder="1" applyAlignment="1">
      <alignment horizontal="center" vertical="center"/>
    </xf>
    <xf numFmtId="0" fontId="21" fillId="7" borderId="10" xfId="0" applyFont="1" applyFill="1" applyBorder="1" applyAlignment="1">
      <alignment horizontal="center" vertical="center"/>
    </xf>
    <xf numFmtId="0" fontId="21" fillId="5" borderId="10" xfId="0" applyFont="1" applyFill="1" applyBorder="1" applyAlignment="1">
      <alignment horizontal="center" vertical="center"/>
    </xf>
    <xf numFmtId="9" fontId="20" fillId="8" borderId="71" xfId="22" applyFont="1" applyFill="1" applyBorder="1" applyAlignment="1">
      <alignment horizontal="center" vertical="center"/>
    </xf>
    <xf numFmtId="1" fontId="20" fillId="8" borderId="36" xfId="0" applyNumberFormat="1" applyFont="1" applyFill="1" applyBorder="1" applyAlignment="1">
      <alignment horizontal="center" vertical="center"/>
    </xf>
    <xf numFmtId="1" fontId="18" fillId="8" borderId="4" xfId="0" applyNumberFormat="1" applyFont="1" applyFill="1" applyBorder="1" applyAlignment="1">
      <alignment horizontal="center" vertical="center"/>
    </xf>
    <xf numFmtId="1" fontId="20" fillId="7" borderId="63" xfId="0" applyNumberFormat="1" applyFont="1" applyFill="1" applyBorder="1" applyAlignment="1">
      <alignment horizontal="center" vertical="center"/>
    </xf>
    <xf numFmtId="1" fontId="20" fillId="5" borderId="63" xfId="0" applyNumberFormat="1" applyFont="1" applyFill="1" applyBorder="1" applyAlignment="1">
      <alignment horizontal="center" vertical="center"/>
    </xf>
    <xf numFmtId="1" fontId="20" fillId="6" borderId="63" xfId="0" applyNumberFormat="1" applyFont="1" applyFill="1" applyBorder="1" applyAlignment="1">
      <alignment horizontal="center" vertical="center"/>
    </xf>
    <xf numFmtId="1" fontId="20" fillId="7" borderId="3" xfId="0" applyNumberFormat="1" applyFont="1" applyFill="1" applyBorder="1" applyAlignment="1">
      <alignment horizontal="center" vertical="center"/>
    </xf>
    <xf numFmtId="1" fontId="20" fillId="5" borderId="3" xfId="0" applyNumberFormat="1" applyFont="1" applyFill="1" applyBorder="1" applyAlignment="1">
      <alignment horizontal="center" vertical="center"/>
    </xf>
    <xf numFmtId="0" fontId="18" fillId="8" borderId="0" xfId="0" applyFont="1" applyFill="1" applyAlignment="1">
      <alignment vertical="center"/>
    </xf>
    <xf numFmtId="1" fontId="20" fillId="7" borderId="34" xfId="0" applyNumberFormat="1" applyFont="1" applyFill="1" applyBorder="1" applyAlignment="1">
      <alignment horizontal="center" vertical="center"/>
    </xf>
    <xf numFmtId="1" fontId="4" fillId="8" borderId="32" xfId="0" applyNumberFormat="1" applyFont="1" applyFill="1" applyBorder="1" applyAlignment="1">
      <alignment horizontal="center" vertical="center"/>
    </xf>
    <xf numFmtId="1" fontId="20" fillId="8" borderId="32" xfId="0" applyNumberFormat="1" applyFont="1" applyFill="1" applyBorder="1" applyAlignment="1">
      <alignment horizontal="center" vertical="center"/>
    </xf>
    <xf numFmtId="1" fontId="20" fillId="7" borderId="32" xfId="0" applyNumberFormat="1" applyFont="1" applyFill="1" applyBorder="1" applyAlignment="1">
      <alignment horizontal="center" vertical="center"/>
    </xf>
    <xf numFmtId="1" fontId="20" fillId="6" borderId="32" xfId="0" applyNumberFormat="1" applyFont="1" applyFill="1" applyBorder="1" applyAlignment="1">
      <alignment horizontal="center" vertical="center"/>
    </xf>
    <xf numFmtId="0" fontId="20" fillId="0" borderId="0" xfId="0" applyFont="1" applyAlignment="1">
      <alignment horizontal="left" wrapText="1"/>
    </xf>
    <xf numFmtId="1" fontId="20" fillId="0" borderId="62" xfId="0" applyNumberFormat="1" applyFont="1" applyBorder="1" applyAlignment="1">
      <alignment horizontal="center" vertical="center"/>
    </xf>
    <xf numFmtId="1" fontId="18" fillId="7" borderId="4" xfId="0" applyNumberFormat="1" applyFont="1" applyFill="1" applyBorder="1" applyAlignment="1">
      <alignment horizontal="center" vertical="center"/>
    </xf>
    <xf numFmtId="1" fontId="18" fillId="5" borderId="4" xfId="0" applyNumberFormat="1" applyFont="1" applyFill="1" applyBorder="1" applyAlignment="1">
      <alignment horizontal="center" vertical="center"/>
    </xf>
    <xf numFmtId="1" fontId="18" fillId="6" borderId="4" xfId="0" applyNumberFormat="1" applyFont="1" applyFill="1" applyBorder="1" applyAlignment="1">
      <alignment horizontal="center" vertical="center"/>
    </xf>
    <xf numFmtId="0" fontId="20" fillId="0" borderId="29" xfId="0" applyFont="1" applyBorder="1" applyAlignment="1">
      <alignment horizontal="center" vertical="center"/>
    </xf>
    <xf numFmtId="0" fontId="18" fillId="0" borderId="53" xfId="0" applyFont="1" applyBorder="1" applyAlignment="1">
      <alignment horizontal="center" vertical="center"/>
    </xf>
    <xf numFmtId="0" fontId="18" fillId="8" borderId="11" xfId="0" applyFont="1" applyFill="1" applyBorder="1" applyAlignment="1">
      <alignment horizontal="center" vertical="center"/>
    </xf>
    <xf numFmtId="2" fontId="20" fillId="8" borderId="34" xfId="0" applyNumberFormat="1" applyFont="1" applyFill="1" applyBorder="1" applyAlignment="1">
      <alignment horizontal="center" vertical="center"/>
    </xf>
    <xf numFmtId="0" fontId="4" fillId="0" borderId="13" xfId="0" applyFont="1" applyBorder="1" applyAlignment="1">
      <alignment horizontal="center" vertical="center"/>
    </xf>
    <xf numFmtId="1" fontId="4" fillId="8" borderId="31" xfId="0" applyNumberFormat="1" applyFont="1" applyFill="1" applyBorder="1" applyAlignment="1">
      <alignment horizontal="center" vertical="center"/>
    </xf>
    <xf numFmtId="1" fontId="4" fillId="8" borderId="76" xfId="0" applyNumberFormat="1" applyFont="1" applyFill="1" applyBorder="1" applyAlignment="1">
      <alignment horizontal="center" vertical="center"/>
    </xf>
    <xf numFmtId="1" fontId="7" fillId="8" borderId="31" xfId="0" applyNumberFormat="1" applyFont="1" applyFill="1" applyBorder="1" applyAlignment="1">
      <alignment horizontal="center" vertical="center"/>
    </xf>
    <xf numFmtId="0" fontId="20" fillId="8" borderId="31" xfId="0" applyFont="1" applyFill="1" applyBorder="1" applyAlignment="1">
      <alignment horizontal="right" vertical="center"/>
    </xf>
    <xf numFmtId="0" fontId="21" fillId="8" borderId="31" xfId="0" applyFont="1" applyFill="1" applyBorder="1" applyAlignment="1">
      <alignment horizontal="left" vertical="center"/>
    </xf>
    <xf numFmtId="1" fontId="21" fillId="7" borderId="25" xfId="0" applyNumberFormat="1" applyFont="1" applyFill="1" applyBorder="1" applyAlignment="1">
      <alignment horizontal="center" vertical="center"/>
    </xf>
    <xf numFmtId="167" fontId="21" fillId="5" borderId="25" xfId="0" applyNumberFormat="1" applyFont="1" applyFill="1" applyBorder="1" applyAlignment="1">
      <alignment horizontal="center" vertical="center"/>
    </xf>
    <xf numFmtId="167" fontId="21" fillId="7" borderId="25" xfId="0" applyNumberFormat="1" applyFont="1" applyFill="1" applyBorder="1" applyAlignment="1">
      <alignment horizontal="center" vertical="center"/>
    </xf>
    <xf numFmtId="1" fontId="21" fillId="5" borderId="25" xfId="0" applyNumberFormat="1" applyFont="1" applyFill="1" applyBorder="1" applyAlignment="1">
      <alignment horizontal="center" vertical="center"/>
    </xf>
    <xf numFmtId="0" fontId="20" fillId="0" borderId="68" xfId="0" applyFont="1" applyBorder="1" applyAlignment="1">
      <alignment horizontal="center" vertical="center"/>
    </xf>
    <xf numFmtId="2" fontId="20" fillId="0" borderId="34" xfId="0" applyNumberFormat="1" applyFont="1" applyBorder="1" applyAlignment="1">
      <alignment horizontal="center" vertical="center"/>
    </xf>
    <xf numFmtId="2" fontId="20" fillId="7" borderId="34" xfId="0" applyNumberFormat="1" applyFont="1" applyFill="1" applyBorder="1" applyAlignment="1">
      <alignment horizontal="center" vertical="center"/>
    </xf>
    <xf numFmtId="2" fontId="20" fillId="6" borderId="34" xfId="0" applyNumberFormat="1" applyFont="1" applyFill="1" applyBorder="1" applyAlignment="1">
      <alignment horizontal="center" vertical="center"/>
    </xf>
    <xf numFmtId="2" fontId="20" fillId="0" borderId="32" xfId="0" applyNumberFormat="1" applyFont="1" applyBorder="1" applyAlignment="1">
      <alignment horizontal="center" vertical="center"/>
    </xf>
    <xf numFmtId="2" fontId="20" fillId="7" borderId="32" xfId="0" applyNumberFormat="1" applyFont="1" applyFill="1" applyBorder="1" applyAlignment="1">
      <alignment horizontal="center" vertical="center"/>
    </xf>
    <xf numFmtId="2" fontId="20" fillId="5" borderId="32" xfId="0" applyNumberFormat="1" applyFont="1" applyFill="1" applyBorder="1" applyAlignment="1">
      <alignment horizontal="center" vertical="center"/>
    </xf>
    <xf numFmtId="2" fontId="20" fillId="6" borderId="32" xfId="0" applyNumberFormat="1" applyFont="1" applyFill="1" applyBorder="1" applyAlignment="1">
      <alignment horizontal="center" vertical="center"/>
    </xf>
    <xf numFmtId="0" fontId="20" fillId="0" borderId="66" xfId="0" applyFont="1" applyBorder="1" applyAlignment="1">
      <alignment horizontal="center" vertical="center"/>
    </xf>
    <xf numFmtId="1" fontId="20" fillId="6" borderId="24" xfId="0" applyNumberFormat="1" applyFont="1" applyFill="1" applyBorder="1" applyAlignment="1">
      <alignment horizontal="center" vertical="center"/>
    </xf>
    <xf numFmtId="1" fontId="20" fillId="7" borderId="52" xfId="0" applyNumberFormat="1" applyFont="1" applyFill="1" applyBorder="1" applyAlignment="1">
      <alignment horizontal="center" vertical="center"/>
    </xf>
    <xf numFmtId="1" fontId="20" fillId="5" borderId="52" xfId="0" applyNumberFormat="1" applyFont="1" applyFill="1" applyBorder="1" applyAlignment="1">
      <alignment horizontal="center" vertical="center"/>
    </xf>
    <xf numFmtId="1" fontId="21" fillId="5" borderId="57" xfId="0" applyNumberFormat="1" applyFont="1" applyFill="1" applyBorder="1" applyAlignment="1">
      <alignment horizontal="center" vertical="center"/>
    </xf>
    <xf numFmtId="1" fontId="20" fillId="6" borderId="52" xfId="0" applyNumberFormat="1" applyFont="1" applyFill="1" applyBorder="1" applyAlignment="1">
      <alignment horizontal="center" vertical="center"/>
    </xf>
    <xf numFmtId="1" fontId="20" fillId="7" borderId="51" xfId="0" applyNumberFormat="1" applyFont="1" applyFill="1" applyBorder="1" applyAlignment="1">
      <alignment horizontal="center" vertical="center"/>
    </xf>
    <xf numFmtId="1" fontId="20" fillId="7" borderId="70" xfId="0" applyNumberFormat="1" applyFont="1" applyFill="1" applyBorder="1" applyAlignment="1">
      <alignment horizontal="center" vertical="center"/>
    </xf>
    <xf numFmtId="1" fontId="21" fillId="5" borderId="1" xfId="0" applyNumberFormat="1" applyFont="1" applyFill="1" applyBorder="1" applyAlignment="1">
      <alignment horizontal="center" vertical="center"/>
    </xf>
    <xf numFmtId="167" fontId="20" fillId="0" borderId="63" xfId="0" applyNumberFormat="1" applyFont="1" applyBorder="1" applyAlignment="1">
      <alignment horizontal="center" vertical="center"/>
    </xf>
    <xf numFmtId="167" fontId="20" fillId="7" borderId="63" xfId="0" applyNumberFormat="1" applyFont="1" applyFill="1" applyBorder="1" applyAlignment="1">
      <alignment horizontal="center" vertical="center"/>
    </xf>
    <xf numFmtId="167" fontId="20" fillId="0" borderId="31" xfId="0" applyNumberFormat="1" applyFont="1" applyBorder="1" applyAlignment="1">
      <alignment horizontal="center" vertical="center"/>
    </xf>
    <xf numFmtId="167" fontId="20" fillId="7" borderId="62" xfId="0" applyNumberFormat="1" applyFont="1" applyFill="1" applyBorder="1" applyAlignment="1">
      <alignment horizontal="center" vertical="center"/>
    </xf>
    <xf numFmtId="167" fontId="18" fillId="7" borderId="1" xfId="0" applyNumberFormat="1" applyFont="1" applyFill="1" applyBorder="1" applyAlignment="1">
      <alignment horizontal="center" vertical="center"/>
    </xf>
    <xf numFmtId="167" fontId="18" fillId="5" borderId="1" xfId="0" applyNumberFormat="1" applyFont="1" applyFill="1" applyBorder="1" applyAlignment="1">
      <alignment horizontal="center" vertical="center"/>
    </xf>
    <xf numFmtId="167" fontId="20" fillId="8" borderId="31" xfId="0" applyNumberFormat="1" applyFont="1" applyFill="1" applyBorder="1" applyAlignment="1">
      <alignment horizontal="center" vertical="center"/>
    </xf>
    <xf numFmtId="1" fontId="18" fillId="0" borderId="13" xfId="0" applyNumberFormat="1" applyFont="1" applyBorder="1" applyAlignment="1">
      <alignment horizontal="center" vertical="center"/>
    </xf>
    <xf numFmtId="0" fontId="20" fillId="0" borderId="10" xfId="0" applyFont="1" applyBorder="1" applyAlignment="1">
      <alignment vertical="center"/>
    </xf>
    <xf numFmtId="0" fontId="20" fillId="0" borderId="10" xfId="0" applyFont="1" applyBorder="1" applyAlignment="1">
      <alignment horizontal="center"/>
    </xf>
    <xf numFmtId="0" fontId="18" fillId="0" borderId="9" xfId="0" applyFont="1" applyBorder="1" applyAlignment="1">
      <alignment vertical="center"/>
    </xf>
    <xf numFmtId="0" fontId="5" fillId="8" borderId="52" xfId="0" applyFont="1" applyFill="1" applyBorder="1" applyAlignment="1">
      <alignment vertical="center"/>
    </xf>
    <xf numFmtId="1" fontId="20" fillId="5" borderId="35"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1" fontId="20" fillId="7" borderId="10" xfId="0" applyNumberFormat="1" applyFont="1" applyFill="1" applyBorder="1" applyAlignment="1">
      <alignment horizontal="center" vertical="center"/>
    </xf>
    <xf numFmtId="0" fontId="18" fillId="8" borderId="44" xfId="0" applyFont="1" applyFill="1" applyBorder="1" applyAlignment="1">
      <alignment vertical="center"/>
    </xf>
    <xf numFmtId="0" fontId="21" fillId="0" borderId="17" xfId="0" applyFont="1" applyBorder="1" applyAlignment="1">
      <alignment horizontal="center" vertical="center"/>
    </xf>
    <xf numFmtId="1" fontId="21" fillId="5" borderId="29" xfId="0" applyNumberFormat="1" applyFont="1" applyFill="1" applyBorder="1" applyAlignment="1">
      <alignment horizontal="center" vertical="center"/>
    </xf>
    <xf numFmtId="0" fontId="20" fillId="7" borderId="29" xfId="0" applyFont="1" applyFill="1" applyBorder="1" applyAlignment="1">
      <alignment horizontal="center" vertical="center"/>
    </xf>
    <xf numFmtId="0" fontId="20" fillId="6" borderId="29" xfId="0" applyFont="1" applyFill="1" applyBorder="1" applyAlignment="1">
      <alignment horizontal="center" vertical="center"/>
    </xf>
    <xf numFmtId="0" fontId="20" fillId="0" borderId="5" xfId="0" applyFont="1" applyBorder="1" applyAlignment="1">
      <alignment horizontal="center" vertical="center"/>
    </xf>
    <xf numFmtId="0" fontId="20" fillId="5" borderId="31" xfId="0" applyFont="1" applyFill="1" applyBorder="1" applyAlignment="1">
      <alignment horizontal="center" vertical="center"/>
    </xf>
    <xf numFmtId="169" fontId="20" fillId="8" borderId="32" xfId="0" applyNumberFormat="1" applyFont="1" applyFill="1" applyBorder="1" applyAlignment="1">
      <alignment horizontal="center" vertical="center"/>
    </xf>
    <xf numFmtId="0" fontId="20" fillId="0" borderId="30" xfId="0" applyFont="1" applyBorder="1" applyAlignment="1">
      <alignment horizontal="center" vertical="center"/>
    </xf>
    <xf numFmtId="0" fontId="83" fillId="8" borderId="0" xfId="0" applyFont="1" applyFill="1"/>
    <xf numFmtId="2" fontId="20" fillId="7" borderId="47" xfId="0" applyNumberFormat="1" applyFont="1" applyFill="1" applyBorder="1" applyAlignment="1">
      <alignment horizontal="center" vertical="center"/>
    </xf>
    <xf numFmtId="2" fontId="20" fillId="6" borderId="47" xfId="0" applyNumberFormat="1" applyFont="1" applyFill="1" applyBorder="1" applyAlignment="1">
      <alignment horizontal="center" vertical="center"/>
    </xf>
    <xf numFmtId="1" fontId="20" fillId="6" borderId="34" xfId="0" applyNumberFormat="1" applyFont="1" applyFill="1" applyBorder="1" applyAlignment="1">
      <alignment horizontal="center" vertical="center"/>
    </xf>
    <xf numFmtId="167" fontId="45" fillId="0" borderId="10" xfId="0" applyNumberFormat="1" applyFont="1" applyBorder="1" applyAlignment="1">
      <alignment horizontal="center" vertical="center"/>
    </xf>
    <xf numFmtId="0" fontId="21" fillId="6" borderId="10" xfId="0" applyFont="1" applyFill="1" applyBorder="1" applyAlignment="1">
      <alignment horizontal="center" vertical="center"/>
    </xf>
    <xf numFmtId="1" fontId="18" fillId="5" borderId="10" xfId="0" applyNumberFormat="1" applyFont="1" applyFill="1" applyBorder="1" applyAlignment="1">
      <alignment horizontal="center" vertical="center"/>
    </xf>
    <xf numFmtId="0" fontId="21" fillId="6" borderId="17" xfId="0" applyFont="1" applyFill="1" applyBorder="1" applyAlignment="1">
      <alignment horizontal="center" vertical="center"/>
    </xf>
    <xf numFmtId="0" fontId="18" fillId="0" borderId="10" xfId="0" applyFont="1" applyBorder="1" applyAlignment="1">
      <alignment horizontal="center" vertical="center"/>
    </xf>
    <xf numFmtId="167" fontId="19" fillId="5" borderId="10" xfId="0" applyNumberFormat="1" applyFont="1" applyFill="1" applyBorder="1" applyAlignment="1">
      <alignment horizontal="center" vertical="center"/>
    </xf>
    <xf numFmtId="167" fontId="19" fillId="7" borderId="10" xfId="0" applyNumberFormat="1" applyFont="1" applyFill="1" applyBorder="1" applyAlignment="1">
      <alignment horizontal="center" vertical="center"/>
    </xf>
    <xf numFmtId="167" fontId="19" fillId="6" borderId="10" xfId="0" applyNumberFormat="1" applyFont="1" applyFill="1" applyBorder="1" applyAlignment="1">
      <alignment horizontal="center" vertical="center"/>
    </xf>
    <xf numFmtId="0" fontId="32" fillId="0" borderId="10" xfId="0" applyFont="1" applyBorder="1"/>
    <xf numFmtId="0" fontId="113" fillId="0" borderId="10" xfId="0" applyFont="1" applyBorder="1"/>
    <xf numFmtId="0" fontId="18" fillId="0" borderId="10" xfId="0" applyFont="1" applyBorder="1" applyAlignment="1">
      <alignment vertical="center"/>
    </xf>
    <xf numFmtId="0" fontId="18" fillId="8" borderId="10" xfId="0" applyFont="1" applyFill="1" applyBorder="1" applyAlignment="1">
      <alignment horizontal="center" vertical="center"/>
    </xf>
    <xf numFmtId="0" fontId="21" fillId="8" borderId="10" xfId="0" applyFont="1" applyFill="1" applyBorder="1" applyAlignment="1">
      <alignment horizontal="center" vertical="center"/>
    </xf>
    <xf numFmtId="167" fontId="18" fillId="8" borderId="10" xfId="0" applyNumberFormat="1" applyFont="1" applyFill="1" applyBorder="1" applyAlignment="1">
      <alignment horizontal="center" vertical="center"/>
    </xf>
    <xf numFmtId="167" fontId="18" fillId="7" borderId="10" xfId="0" applyNumberFormat="1" applyFont="1" applyFill="1" applyBorder="1" applyAlignment="1">
      <alignment horizontal="center" vertical="center"/>
    </xf>
    <xf numFmtId="167" fontId="18" fillId="5" borderId="10" xfId="0" applyNumberFormat="1" applyFont="1" applyFill="1" applyBorder="1" applyAlignment="1">
      <alignment horizontal="center" vertical="center"/>
    </xf>
    <xf numFmtId="167" fontId="18" fillId="6" borderId="10" xfId="0" applyNumberFormat="1" applyFont="1" applyFill="1" applyBorder="1" applyAlignment="1">
      <alignment horizontal="center" vertical="center"/>
    </xf>
    <xf numFmtId="167" fontId="18" fillId="0" borderId="10" xfId="0" applyNumberFormat="1" applyFont="1" applyBorder="1" applyAlignment="1">
      <alignment horizontal="center" vertical="center"/>
    </xf>
    <xf numFmtId="0" fontId="20" fillId="0" borderId="41" xfId="0" applyFont="1" applyBorder="1" applyAlignment="1">
      <alignment horizontal="center" vertical="center"/>
    </xf>
    <xf numFmtId="0" fontId="20" fillId="5" borderId="29" xfId="0" applyFont="1" applyFill="1" applyBorder="1" applyAlignment="1">
      <alignment horizontal="center" vertical="center"/>
    </xf>
    <xf numFmtId="1" fontId="21" fillId="7" borderId="29" xfId="0" applyNumberFormat="1" applyFont="1" applyFill="1" applyBorder="1" applyAlignment="1">
      <alignment horizontal="center" vertical="center"/>
    </xf>
    <xf numFmtId="0" fontId="20" fillId="7" borderId="3" xfId="0" applyFont="1" applyFill="1" applyBorder="1" applyAlignment="1">
      <alignment horizontal="center" vertical="center"/>
    </xf>
    <xf numFmtId="0" fontId="20" fillId="5" borderId="3" xfId="0" applyFont="1" applyFill="1" applyBorder="1" applyAlignment="1">
      <alignment horizontal="center" vertical="center"/>
    </xf>
    <xf numFmtId="0" fontId="20" fillId="6" borderId="3" xfId="0" applyFont="1" applyFill="1" applyBorder="1" applyAlignment="1">
      <alignment horizontal="center" vertical="center"/>
    </xf>
    <xf numFmtId="0" fontId="20" fillId="0" borderId="64" xfId="0" applyFont="1" applyBorder="1" applyAlignment="1">
      <alignment horizontal="center" vertical="center"/>
    </xf>
    <xf numFmtId="0" fontId="20" fillId="6" borderId="38" xfId="0" applyFont="1" applyFill="1" applyBorder="1" applyAlignment="1">
      <alignment horizontal="center" vertical="center"/>
    </xf>
    <xf numFmtId="1" fontId="20" fillId="7" borderId="31" xfId="0" quotePrefix="1" applyNumberFormat="1" applyFont="1" applyFill="1" applyBorder="1" applyAlignment="1">
      <alignment horizontal="center" vertical="center"/>
    </xf>
    <xf numFmtId="1" fontId="20" fillId="5" borderId="31" xfId="0" quotePrefix="1" applyNumberFormat="1" applyFont="1" applyFill="1" applyBorder="1" applyAlignment="1">
      <alignment horizontal="center" vertical="center"/>
    </xf>
    <xf numFmtId="1" fontId="20" fillId="6" borderId="31" xfId="0" quotePrefix="1" applyNumberFormat="1" applyFont="1" applyFill="1" applyBorder="1" applyAlignment="1">
      <alignment horizontal="center" vertical="center"/>
    </xf>
    <xf numFmtId="0" fontId="20" fillId="0" borderId="15" xfId="0" applyFont="1" applyBorder="1" applyAlignment="1">
      <alignment horizontal="center" vertical="center"/>
    </xf>
    <xf numFmtId="1" fontId="21" fillId="7" borderId="35" xfId="0" quotePrefix="1" applyNumberFormat="1" applyFont="1" applyFill="1" applyBorder="1" applyAlignment="1">
      <alignment horizontal="center" vertical="center"/>
    </xf>
    <xf numFmtId="2" fontId="21" fillId="7" borderId="66" xfId="0" applyNumberFormat="1" applyFont="1" applyFill="1" applyBorder="1" applyAlignment="1">
      <alignment horizontal="center" vertical="center"/>
    </xf>
    <xf numFmtId="2" fontId="21" fillId="6" borderId="48" xfId="0" applyNumberFormat="1" applyFont="1" applyFill="1" applyBorder="1" applyAlignment="1">
      <alignment horizontal="center" vertical="center"/>
    </xf>
    <xf numFmtId="2" fontId="21" fillId="7" borderId="48" xfId="0" applyNumberFormat="1" applyFont="1" applyFill="1" applyBorder="1" applyAlignment="1">
      <alignment horizontal="center" vertical="center"/>
    </xf>
    <xf numFmtId="2" fontId="21" fillId="7" borderId="15" xfId="0" applyNumberFormat="1" applyFont="1" applyFill="1" applyBorder="1" applyAlignment="1">
      <alignment horizontal="center" vertical="center"/>
    </xf>
    <xf numFmtId="0" fontId="21" fillId="0" borderId="64" xfId="0" applyFont="1" applyBorder="1" applyAlignment="1">
      <alignment horizontal="center" vertical="center"/>
    </xf>
    <xf numFmtId="0" fontId="20" fillId="6" borderId="31" xfId="0" applyFont="1" applyFill="1" applyBorder="1" applyAlignment="1">
      <alignment horizontal="center" vertical="center"/>
    </xf>
    <xf numFmtId="0" fontId="48" fillId="0" borderId="10" xfId="0" applyFont="1" applyBorder="1"/>
    <xf numFmtId="0" fontId="45" fillId="8" borderId="10" xfId="0" applyFont="1" applyFill="1" applyBorder="1" applyAlignment="1">
      <alignment horizontal="center" vertical="center"/>
    </xf>
    <xf numFmtId="0" fontId="45" fillId="6" borderId="10" xfId="0" applyFont="1" applyFill="1" applyBorder="1" applyAlignment="1">
      <alignment horizontal="center" vertical="center"/>
    </xf>
    <xf numFmtId="0" fontId="48" fillId="0" borderId="0" xfId="0" applyFont="1"/>
    <xf numFmtId="0" fontId="45" fillId="0" borderId="29" xfId="0" applyFont="1" applyBorder="1" applyAlignment="1">
      <alignment horizontal="center" vertical="center"/>
    </xf>
    <xf numFmtId="0" fontId="4" fillId="8" borderId="37" xfId="0" applyFont="1" applyFill="1" applyBorder="1" applyAlignment="1">
      <alignment horizontal="center" vertical="center"/>
    </xf>
    <xf numFmtId="167" fontId="4" fillId="7" borderId="9" xfId="0" applyNumberFormat="1" applyFont="1" applyFill="1" applyBorder="1" applyAlignment="1">
      <alignment horizontal="center" vertical="center"/>
    </xf>
    <xf numFmtId="0" fontId="4" fillId="7" borderId="29" xfId="0" applyFont="1" applyFill="1" applyBorder="1" applyAlignment="1">
      <alignment horizontal="center" vertical="center"/>
    </xf>
    <xf numFmtId="0" fontId="4" fillId="5" borderId="29" xfId="0" applyFont="1" applyFill="1" applyBorder="1" applyAlignment="1">
      <alignment horizontal="center" vertical="center"/>
    </xf>
    <xf numFmtId="1" fontId="18" fillId="5" borderId="9" xfId="0" applyNumberFormat="1" applyFont="1" applyFill="1" applyBorder="1" applyAlignment="1">
      <alignment horizontal="center" vertical="center"/>
    </xf>
    <xf numFmtId="1" fontId="18" fillId="6" borderId="9" xfId="0" applyNumberFormat="1" applyFont="1" applyFill="1" applyBorder="1" applyAlignment="1">
      <alignment horizontal="center" vertical="center"/>
    </xf>
    <xf numFmtId="164" fontId="20" fillId="8" borderId="31" xfId="0" quotePrefix="1" applyNumberFormat="1" applyFont="1" applyFill="1" applyBorder="1" applyAlignment="1">
      <alignment horizontal="left" vertical="center"/>
    </xf>
    <xf numFmtId="0" fontId="18" fillId="8" borderId="10" xfId="0" applyFont="1" applyFill="1" applyBorder="1" applyAlignment="1">
      <alignment vertical="center"/>
    </xf>
    <xf numFmtId="1" fontId="20" fillId="7" borderId="10" xfId="0" applyNumberFormat="1" applyFont="1" applyFill="1" applyBorder="1" applyAlignment="1">
      <alignment vertical="center"/>
    </xf>
    <xf numFmtId="1" fontId="20" fillId="0" borderId="29" xfId="0" applyNumberFormat="1" applyFont="1" applyBorder="1" applyAlignment="1">
      <alignment vertical="center"/>
    </xf>
    <xf numFmtId="1" fontId="18" fillId="0" borderId="29" xfId="0" applyNumberFormat="1" applyFont="1" applyBorder="1" applyAlignment="1">
      <alignment vertical="center"/>
    </xf>
    <xf numFmtId="1" fontId="19" fillId="5" borderId="45" xfId="0" applyNumberFormat="1" applyFont="1" applyFill="1" applyBorder="1" applyAlignment="1">
      <alignment horizontal="center" vertical="center"/>
    </xf>
    <xf numFmtId="164" fontId="18" fillId="0" borderId="10" xfId="0" applyNumberFormat="1" applyFont="1" applyBorder="1" applyAlignment="1">
      <alignment horizontal="right" vertical="center"/>
    </xf>
    <xf numFmtId="164" fontId="18" fillId="0" borderId="10" xfId="0" applyNumberFormat="1" applyFont="1" applyBorder="1" applyAlignment="1">
      <alignment horizontal="center" vertical="center"/>
    </xf>
    <xf numFmtId="164" fontId="18" fillId="8" borderId="10" xfId="0" applyNumberFormat="1" applyFont="1" applyFill="1" applyBorder="1" applyAlignment="1">
      <alignment horizontal="right" vertical="center"/>
    </xf>
    <xf numFmtId="164" fontId="18" fillId="8" borderId="10" xfId="0" applyNumberFormat="1" applyFont="1" applyFill="1" applyBorder="1" applyAlignment="1">
      <alignment horizontal="center" vertical="center"/>
    </xf>
    <xf numFmtId="0" fontId="21" fillId="8" borderId="10" xfId="0" applyFont="1" applyFill="1" applyBorder="1" applyAlignment="1">
      <alignment vertical="center"/>
    </xf>
    <xf numFmtId="0" fontId="4" fillId="8" borderId="35" xfId="0" applyFont="1" applyFill="1" applyBorder="1" applyAlignment="1">
      <alignment vertical="center"/>
    </xf>
    <xf numFmtId="0" fontId="20" fillId="0" borderId="63" xfId="0" applyFont="1" applyBorder="1" applyAlignment="1">
      <alignment vertical="center"/>
    </xf>
    <xf numFmtId="0" fontId="20" fillId="0" borderId="24" xfId="0" applyFont="1" applyBorder="1" applyAlignment="1">
      <alignment vertical="center"/>
    </xf>
    <xf numFmtId="0" fontId="20" fillId="7" borderId="44" xfId="0" applyFont="1" applyFill="1" applyBorder="1" applyAlignment="1">
      <alignment horizontal="center" vertical="center"/>
    </xf>
    <xf numFmtId="0" fontId="20" fillId="0" borderId="6" xfId="0" applyFont="1" applyBorder="1" applyAlignment="1">
      <alignment vertical="center"/>
    </xf>
    <xf numFmtId="167" fontId="20" fillId="7" borderId="47" xfId="0" applyNumberFormat="1" applyFont="1" applyFill="1" applyBorder="1" applyAlignment="1">
      <alignment horizontal="center" vertical="center"/>
    </xf>
    <xf numFmtId="167" fontId="20" fillId="5" borderId="47" xfId="0" applyNumberFormat="1" applyFont="1" applyFill="1" applyBorder="1" applyAlignment="1">
      <alignment horizontal="center" vertical="center"/>
    </xf>
    <xf numFmtId="169" fontId="20" fillId="7" borderId="47" xfId="0" applyNumberFormat="1" applyFont="1" applyFill="1" applyBorder="1" applyAlignment="1">
      <alignment horizontal="center" vertical="center"/>
    </xf>
    <xf numFmtId="169" fontId="20" fillId="5" borderId="47" xfId="0" applyNumberFormat="1" applyFont="1" applyFill="1" applyBorder="1" applyAlignment="1">
      <alignment horizontal="center" vertical="center"/>
    </xf>
    <xf numFmtId="2" fontId="20" fillId="5" borderId="47" xfId="0" applyNumberFormat="1" applyFont="1" applyFill="1" applyBorder="1" applyAlignment="1">
      <alignment horizontal="center" vertical="center"/>
    </xf>
    <xf numFmtId="0" fontId="20" fillId="0" borderId="49" xfId="0" applyFont="1" applyBorder="1" applyAlignment="1">
      <alignment vertical="center"/>
    </xf>
    <xf numFmtId="0" fontId="45" fillId="7" borderId="10" xfId="0" applyFont="1" applyFill="1" applyBorder="1"/>
    <xf numFmtId="0" fontId="45" fillId="5" borderId="10" xfId="0" applyFont="1" applyFill="1" applyBorder="1"/>
    <xf numFmtId="0" fontId="45" fillId="5" borderId="10" xfId="0" applyFont="1" applyFill="1" applyBorder="1" applyAlignment="1">
      <alignment horizontal="center"/>
    </xf>
    <xf numFmtId="0" fontId="45" fillId="6" borderId="10" xfId="0" applyFont="1" applyFill="1" applyBorder="1" applyAlignment="1">
      <alignment horizontal="center"/>
    </xf>
    <xf numFmtId="167" fontId="45" fillId="0" borderId="10" xfId="0" applyNumberFormat="1" applyFont="1" applyBorder="1"/>
    <xf numFmtId="167" fontId="45" fillId="7" borderId="10" xfId="0" applyNumberFormat="1" applyFont="1" applyFill="1" applyBorder="1"/>
    <xf numFmtId="167" fontId="45" fillId="5" borderId="10" xfId="0" applyNumberFormat="1" applyFont="1" applyFill="1" applyBorder="1"/>
    <xf numFmtId="167" fontId="45" fillId="5" borderId="10" xfId="0" applyNumberFormat="1" applyFont="1" applyFill="1" applyBorder="1" applyAlignment="1">
      <alignment horizontal="center"/>
    </xf>
    <xf numFmtId="167" fontId="45" fillId="6" borderId="10" xfId="0" applyNumberFormat="1" applyFont="1" applyFill="1" applyBorder="1" applyAlignment="1">
      <alignment horizontal="center"/>
    </xf>
    <xf numFmtId="0" fontId="114" fillId="8" borderId="0" xfId="0" applyFont="1" applyFill="1"/>
    <xf numFmtId="0" fontId="45" fillId="0" borderId="10" xfId="0" applyFont="1" applyBorder="1" applyAlignment="1">
      <alignment horizontal="left" vertical="center" wrapText="1"/>
    </xf>
    <xf numFmtId="1" fontId="18" fillId="0" borderId="38" xfId="0" applyNumberFormat="1" applyFont="1" applyBorder="1" applyAlignment="1">
      <alignment horizontal="center" vertical="center"/>
    </xf>
    <xf numFmtId="1" fontId="18" fillId="7" borderId="38" xfId="0" applyNumberFormat="1" applyFont="1" applyFill="1" applyBorder="1" applyAlignment="1">
      <alignment horizontal="center" vertical="center"/>
    </xf>
    <xf numFmtId="164" fontId="20" fillId="0" borderId="47" xfId="0" quotePrefix="1" applyNumberFormat="1" applyFont="1" applyBorder="1" applyAlignment="1">
      <alignment horizontal="left" vertical="center"/>
    </xf>
    <xf numFmtId="1" fontId="18" fillId="5" borderId="45" xfId="0" applyNumberFormat="1" applyFont="1" applyFill="1" applyBorder="1" applyAlignment="1">
      <alignment horizontal="center" vertical="center"/>
    </xf>
    <xf numFmtId="1" fontId="18" fillId="7" borderId="45" xfId="0" applyNumberFormat="1" applyFont="1" applyFill="1" applyBorder="1" applyAlignment="1">
      <alignment horizontal="center" vertical="center"/>
    </xf>
    <xf numFmtId="0" fontId="21" fillId="8" borderId="63" xfId="0" applyFont="1" applyFill="1" applyBorder="1" applyAlignment="1">
      <alignment vertical="center"/>
    </xf>
    <xf numFmtId="0" fontId="21" fillId="8" borderId="24" xfId="0" applyFont="1" applyFill="1" applyBorder="1" applyAlignment="1">
      <alignment vertical="center"/>
    </xf>
    <xf numFmtId="0" fontId="20" fillId="0" borderId="23" xfId="0" applyFont="1" applyBorder="1" applyAlignment="1">
      <alignment vertical="center"/>
    </xf>
    <xf numFmtId="0" fontId="20" fillId="0" borderId="23" xfId="0" applyFont="1" applyBorder="1" applyAlignment="1">
      <alignment horizontal="center" vertical="center"/>
    </xf>
    <xf numFmtId="0" fontId="45" fillId="0" borderId="37" xfId="0" applyFont="1" applyBorder="1"/>
    <xf numFmtId="167" fontId="45" fillId="7" borderId="10" xfId="0" applyNumberFormat="1" applyFont="1" applyFill="1" applyBorder="1" applyAlignment="1">
      <alignment horizontal="center" vertical="center"/>
    </xf>
    <xf numFmtId="167" fontId="45" fillId="5" borderId="10" xfId="0" applyNumberFormat="1" applyFont="1" applyFill="1" applyBorder="1" applyAlignment="1">
      <alignment horizontal="center" vertical="center"/>
    </xf>
    <xf numFmtId="167" fontId="45" fillId="6" borderId="10" xfId="0" applyNumberFormat="1" applyFont="1" applyFill="1" applyBorder="1" applyAlignment="1">
      <alignment horizontal="center" vertical="center"/>
    </xf>
    <xf numFmtId="0" fontId="45" fillId="0" borderId="10" xfId="0" applyFont="1" applyBorder="1" applyAlignment="1">
      <alignment wrapText="1"/>
    </xf>
    <xf numFmtId="0" fontId="45" fillId="0" borderId="10" xfId="0" applyFont="1" applyBorder="1" applyAlignment="1">
      <alignment horizontal="center" vertical="center"/>
    </xf>
    <xf numFmtId="1" fontId="18" fillId="5" borderId="8" xfId="0" applyNumberFormat="1" applyFont="1" applyFill="1" applyBorder="1" applyAlignment="1">
      <alignment horizontal="center" vertical="center"/>
    </xf>
    <xf numFmtId="1" fontId="18" fillId="44" borderId="8" xfId="0" applyNumberFormat="1" applyFont="1" applyFill="1" applyBorder="1" applyAlignment="1">
      <alignment horizontal="center" vertical="center"/>
    </xf>
    <xf numFmtId="1" fontId="20" fillId="5" borderId="10" xfId="0" applyNumberFormat="1" applyFont="1" applyFill="1" applyBorder="1" applyAlignment="1">
      <alignment vertical="center"/>
    </xf>
    <xf numFmtId="1" fontId="20" fillId="44" borderId="10" xfId="0" applyNumberFormat="1" applyFont="1" applyFill="1" applyBorder="1" applyAlignment="1">
      <alignment vertical="center"/>
    </xf>
    <xf numFmtId="1" fontId="21" fillId="5" borderId="10" xfId="0" applyNumberFormat="1" applyFont="1" applyFill="1" applyBorder="1" applyAlignment="1">
      <alignment vertical="center"/>
    </xf>
    <xf numFmtId="1" fontId="21" fillId="44" borderId="10" xfId="0" applyNumberFormat="1" applyFont="1" applyFill="1" applyBorder="1" applyAlignment="1">
      <alignment vertical="center"/>
    </xf>
    <xf numFmtId="164" fontId="18" fillId="8" borderId="1" xfId="0" applyNumberFormat="1" applyFont="1" applyFill="1" applyBorder="1" applyAlignment="1">
      <alignment horizontal="right" vertical="center"/>
    </xf>
    <xf numFmtId="164" fontId="18" fillId="8" borderId="1" xfId="0" applyNumberFormat="1" applyFont="1" applyFill="1" applyBorder="1" applyAlignment="1">
      <alignment horizontal="center" vertical="center"/>
    </xf>
    <xf numFmtId="0" fontId="45" fillId="0" borderId="0" xfId="0" applyFont="1" applyAlignment="1">
      <alignment horizontal="left"/>
    </xf>
    <xf numFmtId="0" fontId="45" fillId="0" borderId="0" xfId="0" applyFont="1" applyAlignment="1">
      <alignment horizontal="center"/>
    </xf>
    <xf numFmtId="0" fontId="45" fillId="0" borderId="63" xfId="0" applyFont="1" applyBorder="1" applyAlignment="1">
      <alignment horizontal="left"/>
    </xf>
    <xf numFmtId="0" fontId="3" fillId="0" borderId="41" xfId="0" applyFont="1" applyBorder="1" applyAlignment="1">
      <alignment vertical="center"/>
    </xf>
    <xf numFmtId="0" fontId="45" fillId="0" borderId="31" xfId="0" applyFont="1" applyBorder="1" applyAlignment="1">
      <alignment horizontal="left"/>
    </xf>
    <xf numFmtId="0" fontId="21" fillId="7" borderId="17" xfId="0" applyFont="1" applyFill="1" applyBorder="1" applyAlignment="1">
      <alignment horizontal="center" vertical="center"/>
    </xf>
    <xf numFmtId="0" fontId="21" fillId="5" borderId="17" xfId="0" applyFont="1" applyFill="1" applyBorder="1" applyAlignment="1">
      <alignment horizontal="center" vertical="center"/>
    </xf>
    <xf numFmtId="0" fontId="113" fillId="0" borderId="31" xfId="0" applyFont="1" applyBorder="1" applyAlignment="1">
      <alignment horizontal="left"/>
    </xf>
    <xf numFmtId="0" fontId="113" fillId="7" borderId="17" xfId="0" applyFont="1" applyFill="1" applyBorder="1" applyAlignment="1">
      <alignment horizontal="center"/>
    </xf>
    <xf numFmtId="1" fontId="113" fillId="7" borderId="17" xfId="0" applyNumberFormat="1" applyFont="1" applyFill="1" applyBorder="1" applyAlignment="1">
      <alignment horizontal="center"/>
    </xf>
    <xf numFmtId="1" fontId="113" fillId="6" borderId="17" xfId="0" applyNumberFormat="1" applyFont="1" applyFill="1" applyBorder="1" applyAlignment="1">
      <alignment horizontal="center"/>
    </xf>
    <xf numFmtId="1" fontId="45" fillId="7" borderId="17" xfId="0" applyNumberFormat="1" applyFont="1" applyFill="1" applyBorder="1" applyAlignment="1">
      <alignment horizontal="center"/>
    </xf>
    <xf numFmtId="1" fontId="45" fillId="6" borderId="17" xfId="0" applyNumberFormat="1" applyFont="1" applyFill="1" applyBorder="1" applyAlignment="1">
      <alignment horizontal="center"/>
    </xf>
    <xf numFmtId="0" fontId="18" fillId="0" borderId="31" xfId="0" applyFont="1" applyBorder="1" applyAlignment="1">
      <alignment horizontal="left" vertical="center"/>
    </xf>
    <xf numFmtId="0" fontId="48" fillId="0" borderId="31" xfId="0" applyFont="1" applyBorder="1" applyAlignment="1">
      <alignment horizontal="left"/>
    </xf>
    <xf numFmtId="1" fontId="48" fillId="7" borderId="17" xfId="0" applyNumberFormat="1" applyFont="1" applyFill="1" applyBorder="1" applyAlignment="1">
      <alignment horizontal="center"/>
    </xf>
    <xf numFmtId="1" fontId="48" fillId="6" borderId="17" xfId="0" applyNumberFormat="1" applyFont="1" applyFill="1" applyBorder="1" applyAlignment="1">
      <alignment horizontal="center"/>
    </xf>
    <xf numFmtId="0" fontId="45" fillId="0" borderId="32" xfId="0" applyFont="1" applyBorder="1" applyAlignment="1">
      <alignment horizontal="left"/>
    </xf>
    <xf numFmtId="0" fontId="45" fillId="0" borderId="23" xfId="0" applyFont="1" applyBorder="1"/>
    <xf numFmtId="1" fontId="45" fillId="7" borderId="33" xfId="0" applyNumberFormat="1" applyFont="1" applyFill="1" applyBorder="1" applyAlignment="1">
      <alignment horizontal="center"/>
    </xf>
    <xf numFmtId="1" fontId="45" fillId="6" borderId="33" xfId="0" applyNumberFormat="1" applyFont="1" applyFill="1" applyBorder="1" applyAlignment="1">
      <alignment horizontal="center"/>
    </xf>
    <xf numFmtId="0" fontId="45" fillId="8" borderId="0" xfId="0" applyFont="1" applyFill="1" applyAlignment="1">
      <alignment horizontal="left"/>
    </xf>
    <xf numFmtId="2" fontId="113" fillId="7" borderId="17" xfId="0" applyNumberFormat="1" applyFont="1" applyFill="1" applyBorder="1" applyAlignment="1">
      <alignment horizontal="center"/>
    </xf>
    <xf numFmtId="2" fontId="113" fillId="5" borderId="17" xfId="0" applyNumberFormat="1" applyFont="1" applyFill="1" applyBorder="1" applyAlignment="1">
      <alignment horizontal="center"/>
    </xf>
    <xf numFmtId="2" fontId="113" fillId="6" borderId="17" xfId="0" applyNumberFormat="1" applyFont="1" applyFill="1" applyBorder="1" applyAlignment="1">
      <alignment horizontal="center"/>
    </xf>
    <xf numFmtId="2" fontId="45" fillId="7" borderId="17" xfId="0" applyNumberFormat="1" applyFont="1" applyFill="1" applyBorder="1" applyAlignment="1">
      <alignment horizontal="center"/>
    </xf>
    <xf numFmtId="2" fontId="45" fillId="5" borderId="17" xfId="0" applyNumberFormat="1" applyFont="1" applyFill="1" applyBorder="1" applyAlignment="1">
      <alignment horizontal="center"/>
    </xf>
    <xf numFmtId="2" fontId="45" fillId="6" borderId="17" xfId="0" applyNumberFormat="1" applyFont="1" applyFill="1" applyBorder="1" applyAlignment="1">
      <alignment horizontal="center"/>
    </xf>
    <xf numFmtId="2" fontId="18" fillId="7" borderId="17" xfId="0" applyNumberFormat="1" applyFont="1" applyFill="1" applyBorder="1" applyAlignment="1">
      <alignment horizontal="center" vertical="center"/>
    </xf>
    <xf numFmtId="2" fontId="48" fillId="7" borderId="17" xfId="0" applyNumberFormat="1" applyFont="1" applyFill="1" applyBorder="1" applyAlignment="1">
      <alignment horizontal="center"/>
    </xf>
    <xf numFmtId="2" fontId="48" fillId="5" borderId="17" xfId="0" applyNumberFormat="1" applyFont="1" applyFill="1" applyBorder="1" applyAlignment="1">
      <alignment horizontal="center"/>
    </xf>
    <xf numFmtId="2" fontId="48" fillId="6" borderId="17" xfId="0" applyNumberFormat="1" applyFont="1" applyFill="1" applyBorder="1" applyAlignment="1">
      <alignment horizontal="center"/>
    </xf>
    <xf numFmtId="2" fontId="45" fillId="7" borderId="33" xfId="0" applyNumberFormat="1" applyFont="1" applyFill="1" applyBorder="1" applyAlignment="1">
      <alignment horizontal="center"/>
    </xf>
    <xf numFmtId="2" fontId="45" fillId="5" borderId="33" xfId="0" applyNumberFormat="1" applyFont="1" applyFill="1" applyBorder="1" applyAlignment="1">
      <alignment horizontal="center"/>
    </xf>
    <xf numFmtId="2" fontId="45" fillId="6" borderId="33" xfId="0" applyNumberFormat="1" applyFont="1" applyFill="1" applyBorder="1" applyAlignment="1">
      <alignment horizontal="center"/>
    </xf>
    <xf numFmtId="1" fontId="18" fillId="7" borderId="59" xfId="0" applyNumberFormat="1" applyFont="1" applyFill="1" applyBorder="1" applyAlignment="1">
      <alignment horizontal="center" vertical="center"/>
    </xf>
    <xf numFmtId="1" fontId="18" fillId="7" borderId="63" xfId="0" applyNumberFormat="1" applyFont="1" applyFill="1" applyBorder="1" applyAlignment="1">
      <alignment horizontal="center" vertical="center"/>
    </xf>
    <xf numFmtId="0" fontId="20" fillId="5" borderId="10" xfId="0" applyFont="1" applyFill="1" applyBorder="1" applyAlignment="1">
      <alignment horizontal="center" vertical="center"/>
    </xf>
    <xf numFmtId="0" fontId="7" fillId="0" borderId="10" xfId="0" applyFont="1" applyBorder="1"/>
    <xf numFmtId="0" fontId="7" fillId="8" borderId="10" xfId="0" applyFont="1" applyFill="1" applyBorder="1"/>
    <xf numFmtId="167" fontId="20" fillId="8" borderId="34" xfId="0" applyNumberFormat="1" applyFont="1" applyFill="1" applyBorder="1" applyAlignment="1">
      <alignment horizontal="center" vertical="center"/>
    </xf>
    <xf numFmtId="1" fontId="7" fillId="8" borderId="63" xfId="0" quotePrefix="1" applyNumberFormat="1" applyFont="1" applyFill="1" applyBorder="1" applyAlignment="1">
      <alignment horizontal="center" vertical="center"/>
    </xf>
    <xf numFmtId="1" fontId="7" fillId="6" borderId="44" xfId="0" applyNumberFormat="1" applyFont="1" applyFill="1" applyBorder="1" applyAlignment="1">
      <alignment horizontal="center" vertical="center"/>
    </xf>
    <xf numFmtId="2" fontId="4" fillId="7" borderId="57" xfId="0" applyNumberFormat="1" applyFont="1" applyFill="1" applyBorder="1" applyAlignment="1">
      <alignment horizontal="center" vertical="center"/>
    </xf>
    <xf numFmtId="2" fontId="4" fillId="5" borderId="57" xfId="0" applyNumberFormat="1" applyFont="1" applyFill="1" applyBorder="1" applyAlignment="1">
      <alignment horizontal="center" vertical="center"/>
    </xf>
    <xf numFmtId="167" fontId="4" fillId="8" borderId="9" xfId="0" quotePrefix="1" applyNumberFormat="1" applyFont="1" applyFill="1" applyBorder="1" applyAlignment="1">
      <alignment horizontal="center" vertical="center"/>
    </xf>
    <xf numFmtId="2" fontId="4" fillId="6" borderId="57" xfId="0" applyNumberFormat="1" applyFont="1" applyFill="1" applyBorder="1" applyAlignment="1">
      <alignment horizontal="center" vertical="center"/>
    </xf>
    <xf numFmtId="1" fontId="20" fillId="8" borderId="34" xfId="0" quotePrefix="1" applyNumberFormat="1" applyFont="1" applyFill="1" applyBorder="1" applyAlignment="1">
      <alignment horizontal="center" vertical="center"/>
    </xf>
    <xf numFmtId="167" fontId="21" fillId="8" borderId="31" xfId="0" quotePrefix="1" applyNumberFormat="1" applyFont="1" applyFill="1" applyBorder="1" applyAlignment="1">
      <alignment horizontal="center" vertical="center"/>
    </xf>
    <xf numFmtId="167" fontId="21" fillId="6" borderId="47" xfId="0" applyNumberFormat="1" applyFont="1" applyFill="1" applyBorder="1" applyAlignment="1">
      <alignment horizontal="center" vertical="center"/>
    </xf>
    <xf numFmtId="1" fontId="20" fillId="8" borderId="31" xfId="0" quotePrefix="1" applyNumberFormat="1" applyFont="1" applyFill="1" applyBorder="1" applyAlignment="1">
      <alignment horizontal="center" vertical="center"/>
    </xf>
    <xf numFmtId="167" fontId="21" fillId="8" borderId="62" xfId="0" quotePrefix="1" applyNumberFormat="1" applyFont="1" applyFill="1" applyBorder="1" applyAlignment="1">
      <alignment horizontal="center" vertical="center"/>
    </xf>
    <xf numFmtId="167" fontId="18" fillId="7" borderId="51" xfId="0" quotePrefix="1" applyNumberFormat="1" applyFont="1" applyFill="1" applyBorder="1" applyAlignment="1">
      <alignment horizontal="center" vertical="center"/>
    </xf>
    <xf numFmtId="167" fontId="18" fillId="5" borderId="51" xfId="0" quotePrefix="1" applyNumberFormat="1" applyFont="1" applyFill="1" applyBorder="1" applyAlignment="1">
      <alignment horizontal="center" vertical="center"/>
    </xf>
    <xf numFmtId="167" fontId="18" fillId="6" borderId="51" xfId="0" quotePrefix="1" applyNumberFormat="1" applyFont="1" applyFill="1" applyBorder="1" applyAlignment="1">
      <alignment horizontal="center" vertical="center"/>
    </xf>
    <xf numFmtId="1" fontId="19" fillId="8" borderId="63" xfId="0" applyNumberFormat="1" applyFont="1" applyFill="1" applyBorder="1" applyAlignment="1">
      <alignment horizontal="center" vertical="center"/>
    </xf>
    <xf numFmtId="167" fontId="18" fillId="8" borderId="32" xfId="0" applyNumberFormat="1" applyFont="1" applyFill="1" applyBorder="1" applyAlignment="1">
      <alignment horizontal="center" vertical="center"/>
    </xf>
    <xf numFmtId="1" fontId="4" fillId="8" borderId="3" xfId="0" applyNumberFormat="1" applyFont="1" applyFill="1" applyBorder="1" applyAlignment="1">
      <alignment horizontal="center" vertical="center"/>
    </xf>
    <xf numFmtId="0" fontId="29" fillId="8" borderId="44" xfId="0" applyFont="1" applyFill="1" applyBorder="1" applyAlignment="1">
      <alignment vertical="center"/>
    </xf>
    <xf numFmtId="1" fontId="18" fillId="8" borderId="63" xfId="0" applyNumberFormat="1" applyFont="1" applyFill="1" applyBorder="1" applyAlignment="1">
      <alignment horizontal="center" vertical="center"/>
    </xf>
    <xf numFmtId="1" fontId="18" fillId="5" borderId="63" xfId="0" applyNumberFormat="1" applyFont="1" applyFill="1" applyBorder="1" applyAlignment="1">
      <alignment horizontal="center" vertical="center"/>
    </xf>
    <xf numFmtId="1" fontId="18" fillId="7" borderId="32" xfId="0" applyNumberFormat="1" applyFont="1" applyFill="1" applyBorder="1" applyAlignment="1">
      <alignment horizontal="center" vertical="center"/>
    </xf>
    <xf numFmtId="1" fontId="18" fillId="8" borderId="32" xfId="0" applyNumberFormat="1" applyFont="1" applyFill="1" applyBorder="1" applyAlignment="1">
      <alignment horizontal="center" vertical="center"/>
    </xf>
    <xf numFmtId="1" fontId="18" fillId="5" borderId="32" xfId="0" applyNumberFormat="1" applyFont="1" applyFill="1" applyBorder="1" applyAlignment="1">
      <alignment horizontal="center" vertical="center"/>
    </xf>
    <xf numFmtId="1" fontId="18" fillId="6" borderId="32" xfId="0" applyNumberFormat="1" applyFont="1" applyFill="1" applyBorder="1" applyAlignment="1">
      <alignment horizontal="center" vertical="center"/>
    </xf>
    <xf numFmtId="1" fontId="4" fillId="7" borderId="76" xfId="0" applyNumberFormat="1" applyFont="1" applyFill="1" applyBorder="1" applyAlignment="1">
      <alignment horizontal="center" vertical="center"/>
    </xf>
    <xf numFmtId="1" fontId="4" fillId="6" borderId="76" xfId="0" applyNumberFormat="1" applyFont="1" applyFill="1" applyBorder="1" applyAlignment="1">
      <alignment horizontal="center" vertical="center"/>
    </xf>
    <xf numFmtId="0" fontId="40" fillId="0" borderId="44" xfId="0" applyFont="1" applyBorder="1" applyAlignment="1">
      <alignment vertical="center"/>
    </xf>
    <xf numFmtId="0" fontId="18" fillId="0" borderId="47" xfId="0" applyFont="1" applyBorder="1" applyAlignment="1">
      <alignment vertical="center"/>
    </xf>
    <xf numFmtId="167" fontId="4" fillId="6" borderId="1" xfId="0" applyNumberFormat="1" applyFont="1" applyFill="1" applyBorder="1" applyAlignment="1">
      <alignment horizontal="center" vertical="center"/>
    </xf>
    <xf numFmtId="167" fontId="4" fillId="7" borderId="31" xfId="0" applyNumberFormat="1" applyFont="1" applyFill="1" applyBorder="1" applyAlignment="1">
      <alignment horizontal="center" vertical="center"/>
    </xf>
    <xf numFmtId="167" fontId="4" fillId="6" borderId="31" xfId="0" applyNumberFormat="1" applyFont="1" applyFill="1" applyBorder="1" applyAlignment="1">
      <alignment horizontal="center" vertical="center"/>
    </xf>
    <xf numFmtId="169" fontId="5" fillId="0" borderId="47" xfId="0" applyNumberFormat="1" applyFont="1" applyBorder="1" applyAlignment="1">
      <alignment vertical="center"/>
    </xf>
    <xf numFmtId="167" fontId="4" fillId="8" borderId="1" xfId="0" applyNumberFormat="1" applyFont="1" applyFill="1" applyBorder="1" applyAlignment="1">
      <alignment horizontal="center" vertical="center"/>
    </xf>
    <xf numFmtId="167" fontId="5" fillId="8" borderId="44" xfId="0" applyNumberFormat="1" applyFont="1" applyFill="1" applyBorder="1" applyAlignment="1">
      <alignment vertical="center"/>
    </xf>
    <xf numFmtId="167" fontId="20" fillId="5" borderId="45" xfId="0" applyNumberFormat="1" applyFont="1" applyFill="1" applyBorder="1" applyAlignment="1">
      <alignment horizontal="center" vertical="center"/>
    </xf>
    <xf numFmtId="169" fontId="20" fillId="8" borderId="31" xfId="0" applyNumberFormat="1" applyFont="1" applyFill="1" applyBorder="1" applyAlignment="1">
      <alignment horizontal="center" vertical="center"/>
    </xf>
    <xf numFmtId="0" fontId="29" fillId="8" borderId="47" xfId="0" applyFont="1" applyFill="1" applyBorder="1" applyAlignment="1">
      <alignment vertical="center"/>
    </xf>
    <xf numFmtId="167" fontId="20" fillId="8" borderId="74" xfId="0" applyNumberFormat="1" applyFont="1" applyFill="1" applyBorder="1" applyAlignment="1">
      <alignment vertical="center"/>
    </xf>
    <xf numFmtId="167" fontId="20" fillId="8" borderId="32" xfId="0" applyNumberFormat="1" applyFont="1" applyFill="1" applyBorder="1" applyAlignment="1">
      <alignment horizontal="center" vertical="center"/>
    </xf>
    <xf numFmtId="0" fontId="83" fillId="0" borderId="10" xfId="0" applyFont="1" applyBorder="1"/>
    <xf numFmtId="0" fontId="20" fillId="0" borderId="10" xfId="0" applyFont="1" applyBorder="1"/>
    <xf numFmtId="0" fontId="20" fillId="8" borderId="10" xfId="0" applyFont="1" applyFill="1" applyBorder="1"/>
    <xf numFmtId="0" fontId="43" fillId="0" borderId="10" xfId="0" applyFont="1" applyBorder="1" applyAlignment="1">
      <alignment horizontal="center"/>
    </xf>
    <xf numFmtId="0" fontId="44" fillId="8" borderId="10" xfId="0" applyFont="1" applyFill="1" applyBorder="1" applyAlignment="1">
      <alignment horizontal="center" vertical="center"/>
    </xf>
    <xf numFmtId="0" fontId="44" fillId="0" borderId="10" xfId="0" applyFont="1" applyBorder="1" applyAlignment="1">
      <alignment horizontal="center" vertical="center"/>
    </xf>
    <xf numFmtId="0" fontId="40" fillId="8" borderId="10" xfId="0" applyFont="1" applyFill="1" applyBorder="1" applyAlignment="1">
      <alignment vertical="center"/>
    </xf>
    <xf numFmtId="2" fontId="44" fillId="8" borderId="10" xfId="0" applyNumberFormat="1" applyFont="1" applyFill="1" applyBorder="1" applyAlignment="1">
      <alignment horizontal="center" vertical="center"/>
    </xf>
    <xf numFmtId="0" fontId="20" fillId="2" borderId="10" xfId="0" applyFont="1" applyFill="1" applyBorder="1" applyAlignment="1">
      <alignment vertical="center"/>
    </xf>
    <xf numFmtId="0" fontId="4" fillId="0" borderId="10" xfId="0" applyFont="1" applyBorder="1" applyAlignment="1">
      <alignment horizontal="center" vertical="center"/>
    </xf>
    <xf numFmtId="0" fontId="20" fillId="0" borderId="10" xfId="0" applyFont="1" applyBorder="1" applyAlignment="1">
      <alignment horizontal="right" vertical="center"/>
    </xf>
    <xf numFmtId="0" fontId="40" fillId="0" borderId="10" xfId="0" applyFont="1" applyBorder="1" applyAlignment="1">
      <alignment vertical="center"/>
    </xf>
    <xf numFmtId="167" fontId="20" fillId="7" borderId="10" xfId="0" quotePrefix="1" applyNumberFormat="1" applyFont="1" applyFill="1" applyBorder="1" applyAlignment="1">
      <alignment horizontal="center" vertical="center"/>
    </xf>
    <xf numFmtId="1" fontId="20" fillId="0" borderId="10" xfId="0" quotePrefix="1" applyNumberFormat="1" applyFont="1" applyBorder="1" applyAlignment="1">
      <alignment horizontal="center" vertical="center"/>
    </xf>
    <xf numFmtId="1" fontId="20" fillId="7" borderId="10" xfId="0" quotePrefix="1" applyNumberFormat="1" applyFont="1" applyFill="1" applyBorder="1" applyAlignment="1">
      <alignment horizontal="center" vertical="center"/>
    </xf>
    <xf numFmtId="1" fontId="18" fillId="5" borderId="10" xfId="0" quotePrefix="1" applyNumberFormat="1" applyFont="1" applyFill="1" applyBorder="1" applyAlignment="1">
      <alignment horizontal="center" vertical="center"/>
    </xf>
    <xf numFmtId="1" fontId="20" fillId="6" borderId="10" xfId="0" quotePrefix="1" applyNumberFormat="1" applyFont="1" applyFill="1" applyBorder="1" applyAlignment="1">
      <alignment horizontal="center" vertical="center"/>
    </xf>
    <xf numFmtId="0" fontId="18" fillId="2" borderId="10" xfId="0" applyFont="1" applyFill="1" applyBorder="1" applyAlignment="1">
      <alignment vertical="center"/>
    </xf>
    <xf numFmtId="1" fontId="18" fillId="0" borderId="10" xfId="0" quotePrefix="1" applyNumberFormat="1" applyFont="1" applyBorder="1" applyAlignment="1">
      <alignment horizontal="center" vertical="center"/>
    </xf>
    <xf numFmtId="1" fontId="18" fillId="7" borderId="10" xfId="0" quotePrefix="1" applyNumberFormat="1" applyFont="1" applyFill="1" applyBorder="1" applyAlignment="1">
      <alignment horizontal="center" vertical="center"/>
    </xf>
    <xf numFmtId="1" fontId="18" fillId="6" borderId="10" xfId="0" quotePrefix="1" applyNumberFormat="1" applyFont="1" applyFill="1" applyBorder="1" applyAlignment="1">
      <alignment horizontal="center" vertical="center"/>
    </xf>
    <xf numFmtId="1" fontId="20" fillId="5" borderId="10" xfId="0" quotePrefix="1" applyNumberFormat="1" applyFont="1" applyFill="1" applyBorder="1" applyAlignment="1">
      <alignment horizontal="center" vertical="center"/>
    </xf>
    <xf numFmtId="167" fontId="20" fillId="5" borderId="10" xfId="0" quotePrefix="1" applyNumberFormat="1" applyFont="1" applyFill="1" applyBorder="1" applyAlignment="1">
      <alignment horizontal="center" vertical="center"/>
    </xf>
    <xf numFmtId="167" fontId="20" fillId="6" borderId="10" xfId="0" quotePrefix="1" applyNumberFormat="1" applyFont="1" applyFill="1" applyBorder="1" applyAlignment="1">
      <alignment horizontal="center" vertical="center"/>
    </xf>
    <xf numFmtId="0" fontId="4" fillId="0" borderId="10" xfId="0" applyFont="1" applyBorder="1" applyAlignment="1">
      <alignment horizontal="right" vertical="center"/>
    </xf>
    <xf numFmtId="0" fontId="8" fillId="0" borderId="10" xfId="0" applyFont="1" applyBorder="1" applyAlignment="1">
      <alignment vertical="center"/>
    </xf>
    <xf numFmtId="0" fontId="8" fillId="8" borderId="10" xfId="0" applyFont="1" applyFill="1" applyBorder="1" applyAlignment="1">
      <alignment vertical="center"/>
    </xf>
    <xf numFmtId="168" fontId="20" fillId="0" borderId="10" xfId="1" applyFont="1" applyBorder="1" applyAlignment="1">
      <alignment vertical="center"/>
    </xf>
    <xf numFmtId="168" fontId="18" fillId="0" borderId="10" xfId="1" applyFont="1" applyBorder="1" applyAlignment="1">
      <alignment horizontal="right" vertical="center"/>
    </xf>
    <xf numFmtId="169" fontId="18" fillId="8" borderId="10" xfId="0" applyNumberFormat="1" applyFont="1" applyFill="1" applyBorder="1" applyAlignment="1">
      <alignment horizontal="center" vertical="center"/>
    </xf>
    <xf numFmtId="169" fontId="18" fillId="5" borderId="10" xfId="0" applyNumberFormat="1" applyFont="1" applyFill="1" applyBorder="1" applyAlignment="1">
      <alignment horizontal="center" vertical="center"/>
    </xf>
    <xf numFmtId="0" fontId="21" fillId="8" borderId="1" xfId="0" applyFont="1" applyFill="1" applyBorder="1" applyAlignment="1">
      <alignment horizontal="center" vertical="center"/>
    </xf>
    <xf numFmtId="164" fontId="18" fillId="8" borderId="30" xfId="0" applyNumberFormat="1" applyFont="1" applyFill="1" applyBorder="1" applyAlignment="1">
      <alignment horizontal="right" vertical="center"/>
    </xf>
    <xf numFmtId="164" fontId="18" fillId="8" borderId="9" xfId="0" applyNumberFormat="1" applyFont="1" applyFill="1" applyBorder="1" applyAlignment="1">
      <alignment horizontal="right" vertical="center"/>
    </xf>
    <xf numFmtId="0" fontId="18" fillId="8" borderId="74" xfId="0" applyFont="1" applyFill="1" applyBorder="1" applyAlignment="1">
      <alignment vertical="center"/>
    </xf>
    <xf numFmtId="0" fontId="21" fillId="8" borderId="32" xfId="0" applyFont="1" applyFill="1" applyBorder="1" applyAlignment="1">
      <alignment vertical="center"/>
    </xf>
    <xf numFmtId="0" fontId="21" fillId="8" borderId="49" xfId="0" applyFont="1" applyFill="1" applyBorder="1" applyAlignment="1">
      <alignment vertical="center"/>
    </xf>
    <xf numFmtId="0" fontId="80" fillId="0" borderId="10" xfId="0" applyFont="1" applyBorder="1"/>
    <xf numFmtId="1" fontId="80" fillId="0" borderId="10" xfId="0" applyNumberFormat="1" applyFont="1" applyBorder="1" applyAlignment="1">
      <alignment horizontal="center" vertical="center"/>
    </xf>
    <xf numFmtId="1" fontId="20" fillId="6" borderId="41" xfId="0" applyNumberFormat="1" applyFont="1" applyFill="1" applyBorder="1" applyAlignment="1">
      <alignment horizontal="center" vertical="center"/>
    </xf>
    <xf numFmtId="0" fontId="45" fillId="8" borderId="57" xfId="0" applyFont="1" applyFill="1" applyBorder="1"/>
    <xf numFmtId="0" fontId="45" fillId="8" borderId="26" xfId="0" applyFont="1" applyFill="1" applyBorder="1"/>
    <xf numFmtId="0" fontId="45" fillId="8" borderId="26" xfId="0" applyFont="1" applyFill="1" applyBorder="1" applyAlignment="1">
      <alignment horizontal="center"/>
    </xf>
    <xf numFmtId="0" fontId="45" fillId="0" borderId="63" xfId="0" applyFont="1" applyBorder="1"/>
    <xf numFmtId="0" fontId="45" fillId="0" borderId="41" xfId="0" applyFont="1" applyBorder="1"/>
    <xf numFmtId="1" fontId="45" fillId="0" borderId="41" xfId="0" applyNumberFormat="1" applyFont="1" applyBorder="1" applyAlignment="1">
      <alignment horizontal="center" vertical="center"/>
    </xf>
    <xf numFmtId="0" fontId="45" fillId="7" borderId="41" xfId="0" applyFont="1" applyFill="1" applyBorder="1"/>
    <xf numFmtId="1" fontId="45" fillId="7" borderId="41" xfId="0" applyNumberFormat="1" applyFont="1" applyFill="1" applyBorder="1" applyAlignment="1">
      <alignment horizontal="center" vertical="center"/>
    </xf>
    <xf numFmtId="0" fontId="45" fillId="5" borderId="41" xfId="0" applyFont="1" applyFill="1" applyBorder="1"/>
    <xf numFmtId="0" fontId="45" fillId="5" borderId="41" xfId="0" applyFont="1" applyFill="1" applyBorder="1" applyAlignment="1">
      <alignment horizontal="center"/>
    </xf>
    <xf numFmtId="0" fontId="45" fillId="6" borderId="41" xfId="0" applyFont="1" applyFill="1" applyBorder="1" applyAlignment="1">
      <alignment horizontal="center"/>
    </xf>
    <xf numFmtId="0" fontId="45" fillId="0" borderId="31" xfId="0" applyFont="1" applyBorder="1"/>
    <xf numFmtId="0" fontId="45" fillId="8" borderId="31" xfId="0" applyFont="1" applyFill="1" applyBorder="1"/>
    <xf numFmtId="0" fontId="45" fillId="0" borderId="32" xfId="0" applyFont="1" applyBorder="1"/>
    <xf numFmtId="167" fontId="45" fillId="0" borderId="23" xfId="0" applyNumberFormat="1" applyFont="1" applyBorder="1"/>
    <xf numFmtId="1" fontId="45" fillId="0" borderId="23" xfId="0" applyNumberFormat="1" applyFont="1" applyBorder="1" applyAlignment="1">
      <alignment horizontal="center" vertical="center"/>
    </xf>
    <xf numFmtId="167" fontId="45" fillId="7" borderId="23" xfId="0" applyNumberFormat="1" applyFont="1" applyFill="1" applyBorder="1"/>
    <xf numFmtId="1" fontId="45" fillId="7" borderId="23" xfId="0" applyNumberFormat="1" applyFont="1" applyFill="1" applyBorder="1" applyAlignment="1">
      <alignment horizontal="center" vertical="center"/>
    </xf>
    <xf numFmtId="167" fontId="45" fillId="5" borderId="23" xfId="0" applyNumberFormat="1" applyFont="1" applyFill="1" applyBorder="1"/>
    <xf numFmtId="167" fontId="45" fillId="5" borderId="23" xfId="0" applyNumberFormat="1" applyFont="1" applyFill="1" applyBorder="1" applyAlignment="1">
      <alignment horizontal="center"/>
    </xf>
    <xf numFmtId="167" fontId="45" fillId="6" borderId="23" xfId="0" applyNumberFormat="1" applyFont="1" applyFill="1" applyBorder="1" applyAlignment="1">
      <alignment horizontal="center"/>
    </xf>
    <xf numFmtId="167" fontId="45" fillId="0" borderId="41" xfId="0" applyNumberFormat="1" applyFont="1" applyBorder="1"/>
    <xf numFmtId="167" fontId="45" fillId="7" borderId="41" xfId="0" applyNumberFormat="1" applyFont="1" applyFill="1" applyBorder="1"/>
    <xf numFmtId="167" fontId="45" fillId="5" borderId="41" xfId="0" applyNumberFormat="1" applyFont="1" applyFill="1" applyBorder="1"/>
    <xf numFmtId="1" fontId="45" fillId="5" borderId="41" xfId="0" applyNumberFormat="1" applyFont="1" applyFill="1" applyBorder="1" applyAlignment="1">
      <alignment horizontal="center" vertical="center"/>
    </xf>
    <xf numFmtId="167" fontId="45" fillId="5" borderId="41" xfId="0" applyNumberFormat="1" applyFont="1" applyFill="1" applyBorder="1" applyAlignment="1">
      <alignment horizontal="center"/>
    </xf>
    <xf numFmtId="167" fontId="45" fillId="6" borderId="41" xfId="0" applyNumberFormat="1" applyFont="1" applyFill="1" applyBorder="1" applyAlignment="1">
      <alignment horizontal="center"/>
    </xf>
    <xf numFmtId="1" fontId="45" fillId="6" borderId="41" xfId="0" applyNumberFormat="1" applyFont="1" applyFill="1" applyBorder="1" applyAlignment="1">
      <alignment horizontal="center" vertical="center"/>
    </xf>
    <xf numFmtId="1" fontId="45" fillId="7" borderId="42" xfId="0" applyNumberFormat="1" applyFont="1" applyFill="1" applyBorder="1" applyAlignment="1">
      <alignment horizontal="center" vertical="center"/>
    </xf>
    <xf numFmtId="0" fontId="45" fillId="0" borderId="31" xfId="0" applyFont="1" applyBorder="1" applyAlignment="1">
      <alignment horizontal="left" vertical="center" wrapText="1"/>
    </xf>
    <xf numFmtId="1" fontId="45" fillId="5" borderId="23" xfId="0" applyNumberFormat="1" applyFont="1" applyFill="1" applyBorder="1" applyAlignment="1">
      <alignment horizontal="center" vertical="center"/>
    </xf>
    <xf numFmtId="1" fontId="45" fillId="6" borderId="23" xfId="0" applyNumberFormat="1" applyFont="1" applyFill="1" applyBorder="1" applyAlignment="1">
      <alignment horizontal="center" vertical="center"/>
    </xf>
    <xf numFmtId="167" fontId="45" fillId="5" borderId="5" xfId="0" applyNumberFormat="1" applyFont="1" applyFill="1" applyBorder="1" applyAlignment="1">
      <alignment horizontal="center"/>
    </xf>
    <xf numFmtId="167" fontId="45" fillId="6" borderId="5" xfId="0" applyNumberFormat="1" applyFont="1" applyFill="1" applyBorder="1" applyAlignment="1">
      <alignment horizontal="center"/>
    </xf>
    <xf numFmtId="164" fontId="20" fillId="0" borderId="12" xfId="0" quotePrefix="1" applyNumberFormat="1" applyFont="1" applyBorder="1" applyAlignment="1">
      <alignment horizontal="left" vertical="center"/>
    </xf>
    <xf numFmtId="0" fontId="84" fillId="0" borderId="0" xfId="0" applyFont="1" applyAlignment="1">
      <alignment horizontal="center"/>
    </xf>
    <xf numFmtId="0" fontId="36" fillId="0" borderId="10" xfId="0" applyFont="1" applyBorder="1" applyAlignment="1">
      <alignment horizontal="center"/>
    </xf>
    <xf numFmtId="0" fontId="21" fillId="45" borderId="4" xfId="0" applyFont="1" applyFill="1" applyBorder="1" applyAlignment="1">
      <alignment horizontal="center" vertical="center"/>
    </xf>
    <xf numFmtId="0" fontId="21" fillId="45" borderId="28" xfId="0" applyFont="1" applyFill="1" applyBorder="1" applyAlignment="1">
      <alignment horizontal="center" vertical="center"/>
    </xf>
    <xf numFmtId="1" fontId="18" fillId="45" borderId="1" xfId="0" applyNumberFormat="1" applyFont="1" applyFill="1" applyBorder="1" applyAlignment="1">
      <alignment horizontal="center" vertical="center"/>
    </xf>
    <xf numFmtId="1" fontId="18" fillId="45" borderId="11" xfId="0" applyNumberFormat="1" applyFont="1" applyFill="1" applyBorder="1" applyAlignment="1">
      <alignment horizontal="center" vertical="center"/>
    </xf>
    <xf numFmtId="1" fontId="20" fillId="45" borderId="29" xfId="0" applyNumberFormat="1" applyFont="1" applyFill="1" applyBorder="1" applyAlignment="1">
      <alignment horizontal="center" vertical="center"/>
    </xf>
    <xf numFmtId="1" fontId="20" fillId="45" borderId="17" xfId="0" applyNumberFormat="1" applyFont="1" applyFill="1" applyBorder="1" applyAlignment="1">
      <alignment horizontal="center" vertical="center"/>
    </xf>
    <xf numFmtId="1" fontId="20" fillId="45" borderId="31" xfId="0" applyNumberFormat="1" applyFont="1" applyFill="1" applyBorder="1" applyAlignment="1">
      <alignment horizontal="center" vertical="center"/>
    </xf>
    <xf numFmtId="1" fontId="20" fillId="45" borderId="33" xfId="0" applyNumberFormat="1" applyFont="1" applyFill="1" applyBorder="1" applyAlignment="1">
      <alignment horizontal="center" vertical="center"/>
    </xf>
    <xf numFmtId="0" fontId="26" fillId="34" borderId="25" xfId="0" applyFont="1" applyFill="1" applyBorder="1" applyAlignment="1">
      <alignment horizontal="center" vertical="center"/>
    </xf>
    <xf numFmtId="0" fontId="26" fillId="34" borderId="13" xfId="0" applyFont="1" applyFill="1" applyBorder="1" applyAlignment="1">
      <alignment horizontal="center" vertical="center"/>
    </xf>
    <xf numFmtId="1" fontId="12" fillId="34" borderId="47" xfId="0" applyNumberFormat="1" applyFont="1" applyFill="1" applyBorder="1" applyAlignment="1">
      <alignment horizontal="center"/>
    </xf>
    <xf numFmtId="1" fontId="21" fillId="34" borderId="25" xfId="0" applyNumberFormat="1" applyFont="1" applyFill="1" applyBorder="1" applyAlignment="1">
      <alignment horizontal="center"/>
    </xf>
    <xf numFmtId="1" fontId="21" fillId="34" borderId="13" xfId="0" applyNumberFormat="1" applyFont="1" applyFill="1" applyBorder="1" applyAlignment="1">
      <alignment horizontal="center"/>
    </xf>
    <xf numFmtId="1" fontId="26" fillId="34" borderId="25" xfId="0" applyNumberFormat="1" applyFont="1" applyFill="1" applyBorder="1" applyAlignment="1">
      <alignment horizontal="center"/>
    </xf>
    <xf numFmtId="1" fontId="26" fillId="34" borderId="13" xfId="0" applyNumberFormat="1" applyFont="1" applyFill="1" applyBorder="1" applyAlignment="1">
      <alignment horizontal="center"/>
    </xf>
    <xf numFmtId="1" fontId="21" fillId="34" borderId="51" xfId="0" applyNumberFormat="1" applyFont="1" applyFill="1" applyBorder="1" applyAlignment="1">
      <alignment horizontal="center"/>
    </xf>
    <xf numFmtId="1" fontId="21" fillId="34" borderId="20" xfId="0" applyNumberFormat="1" applyFont="1" applyFill="1" applyBorder="1" applyAlignment="1">
      <alignment horizontal="center"/>
    </xf>
    <xf numFmtId="1" fontId="21" fillId="7" borderId="25" xfId="0" applyNumberFormat="1" applyFont="1" applyFill="1" applyBorder="1" applyAlignment="1">
      <alignment horizontal="center"/>
    </xf>
    <xf numFmtId="1" fontId="21" fillId="7" borderId="13" xfId="0" applyNumberFormat="1" applyFont="1" applyFill="1" applyBorder="1" applyAlignment="1">
      <alignment horizontal="center"/>
    </xf>
    <xf numFmtId="1" fontId="21" fillId="7" borderId="51" xfId="0" applyNumberFormat="1" applyFont="1" applyFill="1" applyBorder="1" applyAlignment="1">
      <alignment horizontal="center"/>
    </xf>
    <xf numFmtId="1" fontId="21" fillId="7" borderId="20" xfId="0" applyNumberFormat="1" applyFont="1" applyFill="1" applyBorder="1" applyAlignment="1">
      <alignment horizontal="center"/>
    </xf>
    <xf numFmtId="0" fontId="0" fillId="0" borderId="2" xfId="0" applyBorder="1"/>
    <xf numFmtId="0" fontId="0" fillId="0" borderId="39" xfId="0" applyBorder="1"/>
    <xf numFmtId="1" fontId="11" fillId="8" borderId="10" xfId="0" applyNumberFormat="1" applyFont="1" applyFill="1" applyBorder="1" applyAlignment="1">
      <alignment horizontal="center" vertical="center"/>
    </xf>
    <xf numFmtId="1" fontId="18" fillId="0" borderId="9" xfId="0" applyNumberFormat="1" applyFont="1" applyBorder="1" applyAlignment="1">
      <alignment horizontal="center" vertical="center"/>
    </xf>
    <xf numFmtId="9" fontId="23" fillId="8" borderId="10" xfId="22" applyFont="1" applyFill="1" applyBorder="1" applyAlignment="1">
      <alignment horizontal="center"/>
    </xf>
    <xf numFmtId="1" fontId="20" fillId="0" borderId="34" xfId="0" applyNumberFormat="1" applyFont="1" applyBorder="1" applyAlignment="1">
      <alignment horizontal="center" vertical="center"/>
    </xf>
    <xf numFmtId="1" fontId="20" fillId="5" borderId="34"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0" borderId="63" xfId="0" applyNumberFormat="1" applyFont="1" applyBorder="1" applyAlignment="1">
      <alignment horizontal="center" vertical="center"/>
    </xf>
    <xf numFmtId="1" fontId="20" fillId="0" borderId="31" xfId="0" applyNumberFormat="1" applyFont="1" applyBorder="1" applyAlignment="1">
      <alignment horizontal="center" vertical="center"/>
    </xf>
    <xf numFmtId="1" fontId="20" fillId="7" borderId="8" xfId="0" applyNumberFormat="1" applyFont="1" applyFill="1" applyBorder="1" applyAlignment="1">
      <alignment horizontal="center" vertical="center"/>
    </xf>
    <xf numFmtId="1" fontId="21" fillId="7" borderId="1" xfId="0" applyNumberFormat="1" applyFont="1" applyFill="1" applyBorder="1" applyAlignment="1">
      <alignment horizontal="center" vertical="center"/>
    </xf>
    <xf numFmtId="1" fontId="21" fillId="7" borderId="11" xfId="0" applyNumberFormat="1" applyFont="1" applyFill="1" applyBorder="1" applyAlignment="1">
      <alignment horizontal="center" vertical="center"/>
    </xf>
    <xf numFmtId="0" fontId="86" fillId="7" borderId="10" xfId="0" applyFont="1" applyFill="1" applyBorder="1" applyAlignment="1">
      <alignment horizontal="center" vertical="center"/>
    </xf>
    <xf numFmtId="1" fontId="7" fillId="5" borderId="31" xfId="0" applyNumberFormat="1" applyFont="1" applyFill="1" applyBorder="1" applyAlignment="1">
      <alignment horizontal="center" vertical="center"/>
    </xf>
    <xf numFmtId="0" fontId="86" fillId="6" borderId="10" xfId="0" applyFont="1" applyFill="1" applyBorder="1" applyAlignment="1">
      <alignment horizontal="center" vertical="center"/>
    </xf>
    <xf numFmtId="1" fontId="7" fillId="6" borderId="31" xfId="0" applyNumberFormat="1" applyFont="1" applyFill="1" applyBorder="1" applyAlignment="1">
      <alignment horizontal="center" vertical="center"/>
    </xf>
    <xf numFmtId="1" fontId="20" fillId="8" borderId="10" xfId="0" applyNumberFormat="1" applyFont="1" applyFill="1" applyBorder="1" applyAlignment="1">
      <alignment horizontal="center" vertical="center"/>
    </xf>
    <xf numFmtId="0" fontId="21" fillId="0" borderId="37" xfId="0" applyFont="1" applyBorder="1" applyAlignment="1">
      <alignment horizontal="center" vertical="center"/>
    </xf>
    <xf numFmtId="2" fontId="20" fillId="8" borderId="10" xfId="0" applyNumberFormat="1" applyFont="1" applyFill="1" applyBorder="1" applyAlignment="1">
      <alignment horizontal="center" vertical="center"/>
    </xf>
    <xf numFmtId="1" fontId="18" fillId="8" borderId="10" xfId="0" applyNumberFormat="1" applyFont="1" applyFill="1" applyBorder="1" applyAlignment="1">
      <alignment horizontal="center" vertical="center"/>
    </xf>
    <xf numFmtId="0" fontId="21" fillId="45" borderId="10" xfId="0" applyFont="1" applyFill="1" applyBorder="1" applyAlignment="1">
      <alignment horizontal="center" vertical="center"/>
    </xf>
    <xf numFmtId="1" fontId="18" fillId="45" borderId="10" xfId="0" applyNumberFormat="1" applyFont="1" applyFill="1" applyBorder="1" applyAlignment="1">
      <alignment horizontal="center" vertical="center"/>
    </xf>
    <xf numFmtId="1" fontId="4" fillId="45" borderId="10" xfId="0" applyNumberFormat="1" applyFont="1" applyFill="1" applyBorder="1" applyAlignment="1">
      <alignment horizontal="center" vertical="center"/>
    </xf>
    <xf numFmtId="1" fontId="21" fillId="8" borderId="17" xfId="0" applyNumberFormat="1" applyFont="1" applyFill="1" applyBorder="1" applyAlignment="1">
      <alignment horizontal="center" vertical="center"/>
    </xf>
    <xf numFmtId="1" fontId="21" fillId="8" borderId="23" xfId="0" applyNumberFormat="1" applyFont="1" applyFill="1" applyBorder="1" applyAlignment="1">
      <alignment horizontal="center" vertical="center"/>
    </xf>
    <xf numFmtId="1" fontId="20" fillId="6" borderId="23" xfId="0" applyNumberFormat="1" applyFont="1" applyFill="1" applyBorder="1" applyAlignment="1">
      <alignment horizontal="center" vertical="center"/>
    </xf>
    <xf numFmtId="1" fontId="20" fillId="45" borderId="23" xfId="0" applyNumberFormat="1" applyFont="1" applyFill="1" applyBorder="1" applyAlignment="1">
      <alignment horizontal="center" vertical="center"/>
    </xf>
    <xf numFmtId="1" fontId="19" fillId="8" borderId="17" xfId="0" applyNumberFormat="1" applyFont="1" applyFill="1" applyBorder="1" applyAlignment="1">
      <alignment horizontal="center" vertical="center"/>
    </xf>
    <xf numFmtId="0" fontId="21" fillId="0" borderId="32" xfId="0" applyFont="1" applyBorder="1" applyAlignment="1">
      <alignment horizontal="center" vertical="center"/>
    </xf>
    <xf numFmtId="0" fontId="21" fillId="0" borderId="33" xfId="0" applyFont="1" applyBorder="1" applyAlignment="1">
      <alignment horizontal="center" vertical="center"/>
    </xf>
    <xf numFmtId="1" fontId="20" fillId="8" borderId="75" xfId="0" applyNumberFormat="1" applyFont="1" applyFill="1" applyBorder="1" applyAlignment="1">
      <alignment horizontal="center" vertical="center"/>
    </xf>
    <xf numFmtId="2" fontId="48" fillId="8" borderId="10" xfId="0" applyNumberFormat="1" applyFont="1" applyFill="1" applyBorder="1" applyAlignment="1">
      <alignment horizontal="center" vertical="center"/>
    </xf>
    <xf numFmtId="0" fontId="19" fillId="0" borderId="45" xfId="0" applyFont="1" applyBorder="1"/>
    <xf numFmtId="0" fontId="18" fillId="7" borderId="33" xfId="0" applyFont="1" applyFill="1" applyBorder="1" applyAlignment="1">
      <alignment horizontal="center" vertical="center"/>
    </xf>
    <xf numFmtId="0" fontId="112" fillId="0" borderId="0" xfId="0" applyFont="1"/>
    <xf numFmtId="0" fontId="112" fillId="0" borderId="0" xfId="0" applyFont="1" applyAlignment="1">
      <alignment horizontal="center" vertical="center"/>
    </xf>
    <xf numFmtId="0" fontId="18" fillId="8" borderId="32" xfId="0" applyFont="1" applyFill="1" applyBorder="1" applyAlignment="1">
      <alignment horizontal="center" vertical="center"/>
    </xf>
    <xf numFmtId="0" fontId="18" fillId="8" borderId="33" xfId="0" applyFont="1" applyFill="1" applyBorder="1" applyAlignment="1">
      <alignment horizontal="center" vertical="center"/>
    </xf>
    <xf numFmtId="167" fontId="19" fillId="8" borderId="17" xfId="0" applyNumberFormat="1" applyFont="1" applyFill="1" applyBorder="1" applyAlignment="1">
      <alignment horizontal="center" vertical="center"/>
    </xf>
    <xf numFmtId="1" fontId="19" fillId="5" borderId="31" xfId="0" applyNumberFormat="1" applyFont="1" applyFill="1" applyBorder="1" applyAlignment="1">
      <alignment horizontal="center" vertical="center"/>
    </xf>
    <xf numFmtId="0" fontId="19" fillId="5" borderId="17" xfId="0" applyFont="1" applyFill="1" applyBorder="1" applyAlignment="1">
      <alignment horizontal="center" vertical="center"/>
    </xf>
    <xf numFmtId="1" fontId="19" fillId="5" borderId="17" xfId="0" applyNumberFormat="1" applyFont="1" applyFill="1" applyBorder="1" applyAlignment="1">
      <alignment horizontal="center" vertical="center"/>
    </xf>
    <xf numFmtId="1" fontId="19" fillId="6" borderId="31" xfId="0" applyNumberFormat="1" applyFont="1" applyFill="1" applyBorder="1" applyAlignment="1">
      <alignment horizontal="center" vertical="center"/>
    </xf>
    <xf numFmtId="1" fontId="19" fillId="6" borderId="17" xfId="0" applyNumberFormat="1" applyFont="1" applyFill="1" applyBorder="1" applyAlignment="1">
      <alignment horizontal="center" vertical="center"/>
    </xf>
    <xf numFmtId="0" fontId="19" fillId="6" borderId="17" xfId="0" applyFont="1" applyFill="1" applyBorder="1" applyAlignment="1">
      <alignment horizontal="center" vertical="center"/>
    </xf>
    <xf numFmtId="0" fontId="105" fillId="8" borderId="34" xfId="0" applyFont="1" applyFill="1" applyBorder="1" applyAlignment="1">
      <alignment vertical="center"/>
    </xf>
    <xf numFmtId="0" fontId="105" fillId="8" borderId="53" xfId="0" applyFont="1" applyFill="1" applyBorder="1" applyAlignment="1">
      <alignment vertical="center"/>
    </xf>
    <xf numFmtId="1" fontId="112" fillId="5" borderId="17" xfId="0" applyNumberFormat="1" applyFont="1" applyFill="1" applyBorder="1" applyAlignment="1">
      <alignment horizontal="center"/>
    </xf>
    <xf numFmtId="1" fontId="112" fillId="6" borderId="17" xfId="0" applyNumberFormat="1" applyFont="1" applyFill="1" applyBorder="1" applyAlignment="1">
      <alignment horizontal="center"/>
    </xf>
    <xf numFmtId="1" fontId="112" fillId="5" borderId="33" xfId="0" applyNumberFormat="1" applyFont="1" applyFill="1" applyBorder="1" applyAlignment="1">
      <alignment horizontal="center"/>
    </xf>
    <xf numFmtId="1" fontId="112" fillId="6" borderId="33" xfId="0" applyNumberFormat="1" applyFont="1" applyFill="1" applyBorder="1" applyAlignment="1">
      <alignment horizontal="center"/>
    </xf>
    <xf numFmtId="1" fontId="11" fillId="6" borderId="10" xfId="0" applyNumberFormat="1" applyFont="1" applyFill="1" applyBorder="1" applyAlignment="1">
      <alignment horizontal="center" vertical="center"/>
    </xf>
    <xf numFmtId="0" fontId="17" fillId="8" borderId="63" xfId="0" applyFont="1" applyFill="1" applyBorder="1"/>
    <xf numFmtId="0" fontId="17" fillId="8" borderId="41" xfId="0" applyFont="1" applyFill="1" applyBorder="1"/>
    <xf numFmtId="0" fontId="11" fillId="8" borderId="31" xfId="0" applyFont="1" applyFill="1" applyBorder="1"/>
    <xf numFmtId="0" fontId="80" fillId="8" borderId="32" xfId="0" applyFont="1" applyFill="1" applyBorder="1"/>
    <xf numFmtId="1" fontId="80" fillId="8" borderId="23" xfId="0" applyNumberFormat="1" applyFont="1" applyFill="1" applyBorder="1" applyAlignment="1">
      <alignment horizontal="center" vertical="center"/>
    </xf>
    <xf numFmtId="0" fontId="100" fillId="0" borderId="10" xfId="0" applyFont="1" applyBorder="1" applyAlignment="1">
      <alignment horizontal="left"/>
    </xf>
    <xf numFmtId="0" fontId="19" fillId="7" borderId="17" xfId="0" applyFont="1" applyFill="1" applyBorder="1" applyAlignment="1">
      <alignment horizontal="center" vertical="center"/>
    </xf>
    <xf numFmtId="1" fontId="19" fillId="7" borderId="17" xfId="0" applyNumberFormat="1" applyFont="1" applyFill="1" applyBorder="1" applyAlignment="1">
      <alignment horizontal="center" vertical="center"/>
    </xf>
    <xf numFmtId="1" fontId="112" fillId="7" borderId="17" xfId="0" applyNumberFormat="1" applyFont="1" applyFill="1" applyBorder="1" applyAlignment="1">
      <alignment horizontal="center"/>
    </xf>
    <xf numFmtId="1" fontId="112" fillId="7" borderId="33" xfId="0" applyNumberFormat="1" applyFont="1" applyFill="1" applyBorder="1" applyAlignment="1">
      <alignment horizontal="center"/>
    </xf>
    <xf numFmtId="1" fontId="18" fillId="0" borderId="16" xfId="0" applyNumberFormat="1" applyFont="1" applyBorder="1" applyAlignment="1">
      <alignment horizontal="center" vertical="center"/>
    </xf>
    <xf numFmtId="0" fontId="18" fillId="0" borderId="5" xfId="0" applyFont="1" applyBorder="1" applyAlignment="1">
      <alignment horizontal="center" vertical="center"/>
    </xf>
    <xf numFmtId="167" fontId="18" fillId="7" borderId="5" xfId="0" applyNumberFormat="1" applyFont="1" applyFill="1" applyBorder="1" applyAlignment="1">
      <alignment horizontal="center" vertical="center"/>
    </xf>
    <xf numFmtId="1" fontId="18" fillId="7" borderId="5" xfId="0" applyNumberFormat="1" applyFont="1" applyFill="1" applyBorder="1" applyAlignment="1">
      <alignment horizontal="center" vertical="center"/>
    </xf>
    <xf numFmtId="1" fontId="18" fillId="5" borderId="5" xfId="0" applyNumberFormat="1" applyFont="1" applyFill="1" applyBorder="1" applyAlignment="1">
      <alignment horizontal="center" vertical="center"/>
    </xf>
    <xf numFmtId="1" fontId="18" fillId="6" borderId="5" xfId="0" applyNumberFormat="1" applyFont="1" applyFill="1" applyBorder="1" applyAlignment="1">
      <alignment horizontal="center" vertical="center"/>
    </xf>
    <xf numFmtId="0" fontId="5" fillId="8" borderId="0" xfId="0" applyFont="1" applyFill="1" applyAlignment="1">
      <alignment vertical="center"/>
    </xf>
    <xf numFmtId="0" fontId="21" fillId="45" borderId="13" xfId="0" applyFont="1" applyFill="1" applyBorder="1" applyAlignment="1">
      <alignment horizontal="center" vertical="center"/>
    </xf>
    <xf numFmtId="167" fontId="20" fillId="45" borderId="34" xfId="0" applyNumberFormat="1" applyFont="1" applyFill="1" applyBorder="1" applyAlignment="1">
      <alignment horizontal="center" vertical="center"/>
    </xf>
    <xf numFmtId="167" fontId="20" fillId="45" borderId="50" xfId="0" applyNumberFormat="1" applyFont="1" applyFill="1" applyBorder="1" applyAlignment="1">
      <alignment horizontal="center" vertical="center"/>
    </xf>
    <xf numFmtId="167" fontId="20" fillId="45" borderId="53" xfId="0" applyNumberFormat="1" applyFont="1" applyFill="1" applyBorder="1" applyAlignment="1">
      <alignment horizontal="center" vertical="center"/>
    </xf>
    <xf numFmtId="1" fontId="20" fillId="45" borderId="34" xfId="0" applyNumberFormat="1" applyFont="1" applyFill="1" applyBorder="1" applyAlignment="1">
      <alignment horizontal="center" vertical="center"/>
    </xf>
    <xf numFmtId="1" fontId="20" fillId="45" borderId="19" xfId="0" applyNumberFormat="1" applyFont="1" applyFill="1" applyBorder="1" applyAlignment="1">
      <alignment horizontal="center" vertical="center"/>
    </xf>
    <xf numFmtId="167" fontId="20" fillId="45" borderId="17" xfId="0" applyNumberFormat="1" applyFont="1" applyFill="1" applyBorder="1" applyAlignment="1">
      <alignment horizontal="center" vertical="center"/>
    </xf>
    <xf numFmtId="2" fontId="20" fillId="45" borderId="17" xfId="0" applyNumberFormat="1" applyFont="1" applyFill="1" applyBorder="1" applyAlignment="1">
      <alignment horizontal="center" vertical="center"/>
    </xf>
    <xf numFmtId="0" fontId="4" fillId="46" borderId="84" xfId="0" applyFont="1" applyFill="1" applyBorder="1" applyAlignment="1">
      <alignment horizontal="center" vertical="center"/>
    </xf>
    <xf numFmtId="0" fontId="4" fillId="46" borderId="38" xfId="0" applyFont="1" applyFill="1" applyBorder="1" applyAlignment="1">
      <alignment horizontal="center" vertical="center"/>
    </xf>
    <xf numFmtId="1" fontId="20" fillId="0" borderId="10" xfId="0" applyNumberFormat="1" applyFont="1" applyBorder="1" applyAlignment="1">
      <alignment horizontal="center" vertical="center"/>
    </xf>
    <xf numFmtId="1" fontId="20" fillId="0" borderId="30" xfId="0" applyNumberFormat="1" applyFont="1" applyBorder="1" applyAlignment="1">
      <alignment horizontal="center" vertical="center"/>
    </xf>
    <xf numFmtId="1" fontId="20" fillId="5" borderId="45" xfId="0" applyNumberFormat="1" applyFont="1" applyFill="1" applyBorder="1" applyAlignment="1">
      <alignment horizontal="center" vertical="center"/>
    </xf>
    <xf numFmtId="167" fontId="20" fillId="45" borderId="72" xfId="0" applyNumberFormat="1" applyFont="1" applyFill="1" applyBorder="1" applyAlignment="1">
      <alignment horizontal="center" vertical="center"/>
    </xf>
    <xf numFmtId="0" fontId="18" fillId="0" borderId="32" xfId="0" applyFont="1" applyBorder="1" applyAlignment="1">
      <alignment vertical="center"/>
    </xf>
    <xf numFmtId="169" fontId="20" fillId="45" borderId="32" xfId="0" applyNumberFormat="1" applyFont="1" applyFill="1" applyBorder="1" applyAlignment="1">
      <alignment horizontal="center" vertical="center"/>
    </xf>
    <xf numFmtId="1" fontId="20" fillId="45" borderId="58" xfId="0" applyNumberFormat="1" applyFont="1" applyFill="1" applyBorder="1" applyAlignment="1">
      <alignment horizontal="center" vertical="center"/>
    </xf>
    <xf numFmtId="0" fontId="18" fillId="0" borderId="63" xfId="0" applyFont="1" applyBorder="1" applyAlignment="1">
      <alignment vertical="center"/>
    </xf>
    <xf numFmtId="167" fontId="20" fillId="45" borderId="10" xfId="0" applyNumberFormat="1" applyFont="1" applyFill="1" applyBorder="1" applyAlignment="1">
      <alignment horizontal="center" vertical="center"/>
    </xf>
    <xf numFmtId="169" fontId="20" fillId="45" borderId="10" xfId="0" applyNumberFormat="1" applyFont="1" applyFill="1" applyBorder="1" applyAlignment="1">
      <alignment horizontal="center" vertical="center"/>
    </xf>
    <xf numFmtId="2" fontId="20" fillId="45" borderId="10" xfId="0" applyNumberFormat="1" applyFont="1" applyFill="1" applyBorder="1" applyAlignment="1">
      <alignment horizontal="center" vertical="center"/>
    </xf>
    <xf numFmtId="170" fontId="20" fillId="45" borderId="10" xfId="0" applyNumberFormat="1" applyFont="1" applyFill="1" applyBorder="1" applyAlignment="1">
      <alignment horizontal="center" vertical="center"/>
    </xf>
    <xf numFmtId="0" fontId="47" fillId="8" borderId="10" xfId="0" applyFont="1" applyFill="1" applyBorder="1"/>
    <xf numFmtId="1" fontId="47" fillId="8" borderId="10" xfId="0" applyNumberFormat="1" applyFont="1" applyFill="1" applyBorder="1" applyAlignment="1">
      <alignment horizontal="center" vertical="center"/>
    </xf>
    <xf numFmtId="1" fontId="20" fillId="0" borderId="45" xfId="0" applyNumberFormat="1" applyFont="1" applyBorder="1" applyAlignment="1">
      <alignment horizontal="center" vertical="center"/>
    </xf>
    <xf numFmtId="0" fontId="4" fillId="7" borderId="84" xfId="0" applyFont="1" applyFill="1" applyBorder="1" applyAlignment="1">
      <alignment horizontal="center" vertical="center"/>
    </xf>
    <xf numFmtId="1" fontId="78" fillId="5" borderId="17" xfId="186" applyNumberFormat="1" applyFont="1" applyFill="1" applyBorder="1" applyAlignment="1">
      <alignment horizontal="center" vertical="center"/>
    </xf>
    <xf numFmtId="2" fontId="0" fillId="0" borderId="0" xfId="0" applyNumberFormat="1"/>
    <xf numFmtId="0" fontId="47" fillId="0" borderId="10" xfId="0" applyFont="1" applyBorder="1" applyAlignment="1">
      <alignment horizontal="center" vertical="center"/>
    </xf>
    <xf numFmtId="167" fontId="20" fillId="8" borderId="41" xfId="0" applyNumberFormat="1" applyFont="1" applyFill="1" applyBorder="1" applyAlignment="1">
      <alignment horizontal="center" vertical="center"/>
    </xf>
    <xf numFmtId="1" fontId="12" fillId="6" borderId="10" xfId="0" applyNumberFormat="1" applyFont="1" applyFill="1" applyBorder="1" applyAlignment="1">
      <alignment horizontal="center" vertical="center"/>
    </xf>
    <xf numFmtId="0" fontId="7" fillId="8" borderId="10" xfId="0" applyFont="1" applyFill="1" applyBorder="1" applyAlignment="1">
      <alignment horizontal="left" vertical="center"/>
    </xf>
    <xf numFmtId="1" fontId="79" fillId="0" borderId="8" xfId="186" applyNumberFormat="1" applyFont="1" applyBorder="1" applyAlignment="1">
      <alignment horizontal="center" vertical="center"/>
    </xf>
    <xf numFmtId="1" fontId="78" fillId="5" borderId="53" xfId="186" applyNumberFormat="1" applyFont="1" applyFill="1" applyBorder="1" applyAlignment="1">
      <alignment horizontal="center" vertical="center"/>
    </xf>
    <xf numFmtId="1" fontId="78" fillId="6" borderId="30" xfId="186" applyNumberFormat="1" applyFont="1" applyFill="1" applyBorder="1" applyAlignment="1">
      <alignment horizontal="center" vertical="center"/>
    </xf>
    <xf numFmtId="1" fontId="79" fillId="8" borderId="36" xfId="186" applyNumberFormat="1" applyFont="1" applyFill="1" applyBorder="1" applyAlignment="1">
      <alignment horizontal="center" vertical="center"/>
    </xf>
    <xf numFmtId="1" fontId="78" fillId="8" borderId="45" xfId="186" applyNumberFormat="1" applyFont="1" applyFill="1" applyBorder="1" applyAlignment="1">
      <alignment horizontal="center" vertical="center"/>
    </xf>
    <xf numFmtId="1" fontId="79" fillId="42" borderId="4" xfId="186" applyNumberFormat="1" applyFont="1" applyFill="1" applyBorder="1" applyAlignment="1">
      <alignment horizontal="center" vertical="center"/>
    </xf>
    <xf numFmtId="1" fontId="78" fillId="42" borderId="67" xfId="186" applyNumberFormat="1" applyFont="1" applyFill="1" applyBorder="1" applyAlignment="1">
      <alignment horizontal="center" vertical="center"/>
    </xf>
    <xf numFmtId="1" fontId="79" fillId="42" borderId="5" xfId="186" applyNumberFormat="1" applyFont="1" applyFill="1" applyBorder="1" applyAlignment="1">
      <alignment horizontal="center" vertical="center"/>
    </xf>
    <xf numFmtId="1" fontId="78" fillId="42" borderId="11" xfId="186" applyNumberFormat="1" applyFont="1" applyFill="1" applyBorder="1" applyAlignment="1">
      <alignment horizontal="center" vertical="center"/>
    </xf>
    <xf numFmtId="1" fontId="78" fillId="42" borderId="5" xfId="186" applyNumberFormat="1" applyFont="1" applyFill="1" applyBorder="1" applyAlignment="1">
      <alignment horizontal="center" vertical="center"/>
    </xf>
    <xf numFmtId="0" fontId="122" fillId="0" borderId="10" xfId="0" applyFont="1" applyBorder="1" applyAlignment="1">
      <alignment horizontal="left"/>
    </xf>
    <xf numFmtId="0" fontId="55" fillId="0" borderId="10" xfId="0" applyFont="1" applyBorder="1" applyAlignment="1">
      <alignment horizontal="right"/>
    </xf>
    <xf numFmtId="0" fontId="122" fillId="0" borderId="29" xfId="0" applyFont="1" applyBorder="1" applyAlignment="1">
      <alignment horizontal="center" vertical="center"/>
    </xf>
    <xf numFmtId="1" fontId="122" fillId="0" borderId="29" xfId="0" applyNumberFormat="1" applyFont="1" applyBorder="1" applyAlignment="1">
      <alignment horizontal="center" vertical="center"/>
    </xf>
    <xf numFmtId="1" fontId="122" fillId="0" borderId="37" xfId="0" applyNumberFormat="1" applyFont="1" applyBorder="1" applyAlignment="1">
      <alignment horizontal="center" vertical="center"/>
    </xf>
    <xf numFmtId="1" fontId="122" fillId="7" borderId="31" xfId="0" applyNumberFormat="1" applyFont="1" applyFill="1" applyBorder="1" applyAlignment="1">
      <alignment horizontal="center" vertical="center"/>
    </xf>
    <xf numFmtId="1" fontId="122" fillId="7" borderId="19" xfId="0" applyNumberFormat="1" applyFont="1" applyFill="1" applyBorder="1" applyAlignment="1">
      <alignment horizontal="center" vertical="center"/>
    </xf>
    <xf numFmtId="1" fontId="122" fillId="5" borderId="31" xfId="0" applyNumberFormat="1" applyFont="1" applyFill="1" applyBorder="1" applyAlignment="1">
      <alignment horizontal="center" vertical="center"/>
    </xf>
    <xf numFmtId="1" fontId="122" fillId="5" borderId="19" xfId="0" applyNumberFormat="1" applyFont="1" applyFill="1" applyBorder="1" applyAlignment="1">
      <alignment horizontal="center" vertical="center"/>
    </xf>
    <xf numFmtId="1" fontId="122" fillId="8" borderId="29" xfId="0" applyNumberFormat="1" applyFont="1" applyFill="1" applyBorder="1" applyAlignment="1">
      <alignment horizontal="center" vertical="center"/>
    </xf>
    <xf numFmtId="1" fontId="122" fillId="8" borderId="37" xfId="0" applyNumberFormat="1" applyFont="1" applyFill="1" applyBorder="1" applyAlignment="1">
      <alignment horizontal="center" vertical="center"/>
    </xf>
    <xf numFmtId="1" fontId="122" fillId="6" borderId="31" xfId="0" applyNumberFormat="1" applyFont="1" applyFill="1" applyBorder="1" applyAlignment="1">
      <alignment horizontal="center" vertical="center"/>
    </xf>
    <xf numFmtId="1" fontId="122" fillId="6" borderId="19" xfId="0" applyNumberFormat="1" applyFont="1" applyFill="1" applyBorder="1" applyAlignment="1">
      <alignment horizontal="center" vertical="center"/>
    </xf>
    <xf numFmtId="167" fontId="122" fillId="0" borderId="29" xfId="0" applyNumberFormat="1" applyFont="1" applyBorder="1" applyAlignment="1">
      <alignment horizontal="center" vertical="center"/>
    </xf>
    <xf numFmtId="167" fontId="122" fillId="0" borderId="37" xfId="0" applyNumberFormat="1" applyFont="1" applyBorder="1" applyAlignment="1">
      <alignment horizontal="center" vertical="center"/>
    </xf>
    <xf numFmtId="167" fontId="122" fillId="7" borderId="31" xfId="0" applyNumberFormat="1" applyFont="1" applyFill="1" applyBorder="1" applyAlignment="1">
      <alignment horizontal="center" vertical="center"/>
    </xf>
    <xf numFmtId="167" fontId="122" fillId="7" borderId="19" xfId="0" applyNumberFormat="1" applyFont="1" applyFill="1" applyBorder="1" applyAlignment="1">
      <alignment horizontal="center" vertical="center"/>
    </xf>
    <xf numFmtId="167" fontId="122" fillId="5" borderId="31" xfId="0" applyNumberFormat="1" applyFont="1" applyFill="1" applyBorder="1" applyAlignment="1">
      <alignment horizontal="center" vertical="center"/>
    </xf>
    <xf numFmtId="167" fontId="122" fillId="5" borderId="19" xfId="0" applyNumberFormat="1" applyFont="1" applyFill="1" applyBorder="1" applyAlignment="1">
      <alignment horizontal="center" vertical="center"/>
    </xf>
    <xf numFmtId="167" fontId="122" fillId="8" borderId="29" xfId="0" applyNumberFormat="1" applyFont="1" applyFill="1" applyBorder="1" applyAlignment="1">
      <alignment horizontal="center" vertical="center"/>
    </xf>
    <xf numFmtId="167" fontId="122" fillId="8" borderId="37" xfId="0" applyNumberFormat="1" applyFont="1" applyFill="1" applyBorder="1" applyAlignment="1">
      <alignment horizontal="center" vertical="center"/>
    </xf>
    <xf numFmtId="167" fontId="122" fillId="6" borderId="31" xfId="0" applyNumberFormat="1" applyFont="1" applyFill="1" applyBorder="1" applyAlignment="1">
      <alignment horizontal="center" vertical="center"/>
    </xf>
    <xf numFmtId="167" fontId="122" fillId="6" borderId="19" xfId="0" applyNumberFormat="1" applyFont="1" applyFill="1" applyBorder="1" applyAlignment="1">
      <alignment horizontal="center" vertical="center"/>
    </xf>
    <xf numFmtId="0" fontId="100" fillId="0" borderId="10" xfId="0" applyFont="1" applyBorder="1"/>
    <xf numFmtId="0" fontId="55" fillId="0" borderId="29" xfId="0" applyFont="1" applyBorder="1"/>
    <xf numFmtId="0" fontId="55" fillId="0" borderId="29" xfId="0" applyFont="1" applyBorder="1" applyAlignment="1">
      <alignment horizontal="center" vertical="center"/>
    </xf>
    <xf numFmtId="0" fontId="55" fillId="0" borderId="10" xfId="0" applyFont="1" applyBorder="1"/>
    <xf numFmtId="0" fontId="99" fillId="0" borderId="10" xfId="0" applyFont="1" applyBorder="1" applyAlignment="1">
      <alignment horizontal="left"/>
    </xf>
    <xf numFmtId="0" fontId="55" fillId="0" borderId="29" xfId="0" applyFont="1" applyBorder="1" applyAlignment="1">
      <alignment horizontal="center"/>
    </xf>
    <xf numFmtId="2" fontId="122" fillId="0" borderId="29" xfId="0" applyNumberFormat="1" applyFont="1" applyBorder="1" applyAlignment="1">
      <alignment horizontal="center" vertical="center"/>
    </xf>
    <xf numFmtId="2" fontId="122" fillId="0" borderId="37" xfId="0" applyNumberFormat="1" applyFont="1" applyBorder="1" applyAlignment="1">
      <alignment horizontal="center" vertical="center"/>
    </xf>
    <xf numFmtId="2" fontId="122" fillId="7" borderId="31" xfId="0" applyNumberFormat="1" applyFont="1" applyFill="1" applyBorder="1" applyAlignment="1">
      <alignment horizontal="center" vertical="center"/>
    </xf>
    <xf numFmtId="2" fontId="122" fillId="7" borderId="19" xfId="0" applyNumberFormat="1" applyFont="1" applyFill="1" applyBorder="1" applyAlignment="1">
      <alignment horizontal="center" vertical="center"/>
    </xf>
    <xf numFmtId="2" fontId="122" fillId="5" borderId="31" xfId="0" applyNumberFormat="1" applyFont="1" applyFill="1" applyBorder="1" applyAlignment="1">
      <alignment horizontal="center" vertical="center"/>
    </xf>
    <xf numFmtId="2" fontId="122" fillId="5" borderId="19" xfId="0" applyNumberFormat="1" applyFont="1" applyFill="1" applyBorder="1" applyAlignment="1">
      <alignment horizontal="center" vertical="center"/>
    </xf>
    <xf numFmtId="2" fontId="122" fillId="8" borderId="29" xfId="0" applyNumberFormat="1" applyFont="1" applyFill="1" applyBorder="1" applyAlignment="1">
      <alignment horizontal="center" vertical="center"/>
    </xf>
    <xf numFmtId="2" fontId="122" fillId="8" borderId="37" xfId="0" applyNumberFormat="1" applyFont="1" applyFill="1" applyBorder="1" applyAlignment="1">
      <alignment horizontal="center" vertical="center"/>
    </xf>
    <xf numFmtId="2" fontId="122" fillId="6" borderId="31" xfId="0" applyNumberFormat="1" applyFont="1" applyFill="1" applyBorder="1" applyAlignment="1">
      <alignment horizontal="center" vertical="center"/>
    </xf>
    <xf numFmtId="2" fontId="122" fillId="6" borderId="19" xfId="0" applyNumberFormat="1" applyFont="1" applyFill="1" applyBorder="1" applyAlignment="1">
      <alignment horizontal="center" vertical="center"/>
    </xf>
    <xf numFmtId="0" fontId="31" fillId="8" borderId="0" xfId="0" applyFont="1" applyFill="1"/>
    <xf numFmtId="0" fontId="12" fillId="8" borderId="0" xfId="0" applyFont="1" applyFill="1"/>
    <xf numFmtId="1" fontId="35" fillId="0" borderId="0" xfId="0" applyNumberFormat="1" applyFont="1" applyAlignment="1">
      <alignment horizontal="center" vertical="center"/>
    </xf>
    <xf numFmtId="1" fontId="35" fillId="8" borderId="0" xfId="0" applyNumberFormat="1" applyFont="1" applyFill="1" applyAlignment="1">
      <alignment horizontal="center" vertical="center"/>
    </xf>
    <xf numFmtId="0" fontId="26" fillId="6" borderId="10" xfId="0" applyFont="1" applyFill="1" applyBorder="1" applyAlignment="1">
      <alignment horizontal="center" vertical="center"/>
    </xf>
    <xf numFmtId="0" fontId="46" fillId="8" borderId="10" xfId="0" applyFont="1" applyFill="1" applyBorder="1" applyAlignment="1">
      <alignment vertical="center"/>
    </xf>
    <xf numFmtId="0" fontId="12" fillId="0" borderId="10" xfId="0" applyFont="1" applyBorder="1" applyAlignment="1">
      <alignment horizontal="right" vertical="center"/>
    </xf>
    <xf numFmtId="1" fontId="12" fillId="0" borderId="10" xfId="0" applyNumberFormat="1" applyFont="1" applyBorder="1" applyAlignment="1">
      <alignment horizontal="center" vertical="center"/>
    </xf>
    <xf numFmtId="1" fontId="12" fillId="7" borderId="10" xfId="0" applyNumberFormat="1" applyFont="1" applyFill="1" applyBorder="1" applyAlignment="1">
      <alignment horizontal="center" vertical="center"/>
    </xf>
    <xf numFmtId="0" fontId="12" fillId="7" borderId="10" xfId="0" applyFont="1" applyFill="1" applyBorder="1" applyAlignment="1">
      <alignment horizontal="center" vertical="center"/>
    </xf>
    <xf numFmtId="1" fontId="12" fillId="5" borderId="10" xfId="0" applyNumberFormat="1" applyFont="1" applyFill="1" applyBorder="1" applyAlignment="1">
      <alignment horizontal="center" vertical="center"/>
    </xf>
    <xf numFmtId="0" fontId="12" fillId="5" borderId="10" xfId="0" applyFont="1" applyFill="1" applyBorder="1" applyAlignment="1">
      <alignment horizontal="center" vertical="center"/>
    </xf>
    <xf numFmtId="0" fontId="14" fillId="0" borderId="10" xfId="0" applyFont="1" applyBorder="1" applyAlignment="1">
      <alignment horizontal="right" vertical="center"/>
    </xf>
    <xf numFmtId="0" fontId="14" fillId="0" borderId="10" xfId="0" applyFont="1" applyBorder="1" applyAlignment="1">
      <alignment horizontal="center" vertical="center"/>
    </xf>
    <xf numFmtId="1" fontId="14" fillId="0" borderId="10" xfId="0" applyNumberFormat="1" applyFont="1" applyBorder="1" applyAlignment="1">
      <alignment horizontal="center" vertical="center"/>
    </xf>
    <xf numFmtId="1" fontId="14" fillId="7" borderId="10" xfId="0" applyNumberFormat="1" applyFont="1" applyFill="1" applyBorder="1" applyAlignment="1">
      <alignment horizontal="center" vertical="center"/>
    </xf>
    <xf numFmtId="0" fontId="14" fillId="7" borderId="10" xfId="0" applyFont="1" applyFill="1" applyBorder="1" applyAlignment="1">
      <alignment horizontal="center" vertical="center"/>
    </xf>
    <xf numFmtId="1" fontId="14" fillId="5" borderId="10" xfId="0" applyNumberFormat="1" applyFont="1" applyFill="1" applyBorder="1" applyAlignment="1">
      <alignment horizontal="center" vertical="center"/>
    </xf>
    <xf numFmtId="1" fontId="14" fillId="6" borderId="10" xfId="0" applyNumberFormat="1" applyFont="1" applyFill="1" applyBorder="1" applyAlignment="1">
      <alignment horizontal="center" vertical="center"/>
    </xf>
    <xf numFmtId="2" fontId="12" fillId="7" borderId="10" xfId="0" applyNumberFormat="1" applyFont="1" applyFill="1" applyBorder="1" applyAlignment="1">
      <alignment horizontal="center" vertical="center"/>
    </xf>
    <xf numFmtId="167" fontId="12" fillId="0" borderId="10" xfId="0" applyNumberFormat="1" applyFont="1" applyBorder="1" applyAlignment="1">
      <alignment horizontal="center" vertical="center"/>
    </xf>
    <xf numFmtId="167" fontId="12" fillId="5" borderId="10" xfId="0" applyNumberFormat="1" applyFont="1" applyFill="1" applyBorder="1" applyAlignment="1">
      <alignment horizontal="center" vertical="center"/>
    </xf>
    <xf numFmtId="0" fontId="12" fillId="6" borderId="10" xfId="0" applyFont="1" applyFill="1" applyBorder="1" applyAlignment="1">
      <alignment horizontal="center" vertical="center"/>
    </xf>
    <xf numFmtId="167" fontId="12" fillId="7" borderId="10" xfId="0" applyNumberFormat="1" applyFont="1" applyFill="1" applyBorder="1" applyAlignment="1">
      <alignment horizontal="center" vertical="center"/>
    </xf>
    <xf numFmtId="167" fontId="12" fillId="6" borderId="10" xfId="0" applyNumberFormat="1" applyFont="1" applyFill="1" applyBorder="1" applyAlignment="1">
      <alignment horizontal="center" vertical="center"/>
    </xf>
    <xf numFmtId="0" fontId="46" fillId="8" borderId="10" xfId="0" applyFont="1" applyFill="1" applyBorder="1" applyAlignment="1">
      <alignment horizontal="center" vertical="center"/>
    </xf>
    <xf numFmtId="0" fontId="12" fillId="8" borderId="10" xfId="0" applyFont="1" applyFill="1" applyBorder="1" applyAlignment="1">
      <alignment horizontal="center" vertical="center"/>
    </xf>
    <xf numFmtId="2" fontId="12" fillId="5" borderId="10" xfId="0" applyNumberFormat="1" applyFont="1" applyFill="1" applyBorder="1" applyAlignment="1">
      <alignment horizontal="center" vertical="center"/>
    </xf>
    <xf numFmtId="2" fontId="12" fillId="6" borderId="10" xfId="0" applyNumberFormat="1" applyFont="1" applyFill="1" applyBorder="1" applyAlignment="1">
      <alignment horizontal="center" vertical="center"/>
    </xf>
    <xf numFmtId="170" fontId="12" fillId="7" borderId="10" xfId="0" applyNumberFormat="1" applyFont="1" applyFill="1" applyBorder="1" applyAlignment="1">
      <alignment horizontal="center" vertical="center"/>
    </xf>
    <xf numFmtId="170" fontId="12" fillId="5" borderId="10" xfId="0" applyNumberFormat="1" applyFont="1" applyFill="1" applyBorder="1" applyAlignment="1">
      <alignment horizontal="center" vertical="center"/>
    </xf>
    <xf numFmtId="1" fontId="20" fillId="0" borderId="9" xfId="0" applyNumberFormat="1" applyFont="1" applyBorder="1" applyAlignment="1">
      <alignment horizontal="center" vertical="center"/>
    </xf>
    <xf numFmtId="1" fontId="20" fillId="8" borderId="30" xfId="0" applyNumberFormat="1" applyFont="1" applyFill="1" applyBorder="1" applyAlignment="1">
      <alignment horizontal="center" vertical="center"/>
    </xf>
    <xf numFmtId="0" fontId="18" fillId="0" borderId="10" xfId="0" applyFont="1" applyBorder="1" applyAlignment="1">
      <alignment horizontal="left" vertical="center"/>
    </xf>
    <xf numFmtId="0" fontId="21" fillId="0" borderId="31" xfId="0" applyFont="1" applyBorder="1" applyAlignment="1">
      <alignment horizontal="center" vertical="center"/>
    </xf>
    <xf numFmtId="1" fontId="20" fillId="8" borderId="62" xfId="0" applyNumberFormat="1" applyFont="1" applyFill="1" applyBorder="1" applyAlignment="1">
      <alignment horizontal="center" vertical="center"/>
    </xf>
    <xf numFmtId="1" fontId="20" fillId="0" borderId="7" xfId="0" applyNumberFormat="1" applyFont="1" applyBorder="1" applyAlignment="1">
      <alignment horizontal="center" vertical="center"/>
    </xf>
    <xf numFmtId="1" fontId="20" fillId="8" borderId="54" xfId="0" applyNumberFormat="1" applyFont="1" applyFill="1" applyBorder="1" applyAlignment="1">
      <alignment horizontal="center" vertical="center"/>
    </xf>
    <xf numFmtId="1" fontId="21" fillId="8" borderId="11" xfId="0" applyNumberFormat="1" applyFont="1" applyFill="1" applyBorder="1" applyAlignment="1">
      <alignment horizontal="center" vertical="center"/>
    </xf>
    <xf numFmtId="0" fontId="21" fillId="8" borderId="25" xfId="0" applyFont="1" applyFill="1" applyBorder="1" applyAlignment="1">
      <alignment vertical="center"/>
    </xf>
    <xf numFmtId="167" fontId="20" fillId="8" borderId="19" xfId="0" applyNumberFormat="1" applyFont="1" applyFill="1" applyBorder="1" applyAlignment="1">
      <alignment horizontal="center" vertical="center"/>
    </xf>
    <xf numFmtId="0" fontId="5" fillId="8" borderId="50" xfId="0" applyFont="1" applyFill="1" applyBorder="1" applyAlignment="1">
      <alignment vertical="center"/>
    </xf>
    <xf numFmtId="1" fontId="18" fillId="0" borderId="76" xfId="0" applyNumberFormat="1" applyFont="1" applyBorder="1" applyAlignment="1">
      <alignment horizontal="center" vertical="center"/>
    </xf>
    <xf numFmtId="0" fontId="5" fillId="8" borderId="35" xfId="0" applyFont="1" applyFill="1" applyBorder="1" applyAlignment="1">
      <alignment vertical="center"/>
    </xf>
    <xf numFmtId="0" fontId="5" fillId="8" borderId="54" xfId="0" applyFont="1" applyFill="1" applyBorder="1" applyAlignment="1">
      <alignment vertical="center"/>
    </xf>
    <xf numFmtId="1" fontId="20" fillId="0" borderId="22" xfId="0" applyNumberFormat="1" applyFont="1" applyBorder="1" applyAlignment="1">
      <alignment horizontal="center" vertical="center"/>
    </xf>
    <xf numFmtId="1" fontId="20" fillId="0" borderId="12" xfId="0" applyNumberFormat="1" applyFont="1" applyBorder="1" applyAlignment="1">
      <alignment horizontal="center" vertical="center"/>
    </xf>
    <xf numFmtId="167" fontId="20" fillId="0" borderId="12" xfId="0" applyNumberFormat="1" applyFont="1" applyBorder="1" applyAlignment="1">
      <alignment horizontal="center" vertical="center"/>
    </xf>
    <xf numFmtId="2" fontId="20" fillId="0" borderId="63" xfId="0" applyNumberFormat="1" applyFont="1" applyBorder="1" applyAlignment="1">
      <alignment horizontal="center" vertical="center"/>
    </xf>
    <xf numFmtId="2" fontId="20" fillId="0" borderId="17" xfId="0" applyNumberFormat="1" applyFont="1" applyBorder="1" applyAlignment="1">
      <alignment horizontal="center"/>
    </xf>
    <xf numFmtId="0" fontId="45" fillId="8" borderId="54" xfId="0" applyFont="1" applyFill="1" applyBorder="1"/>
    <xf numFmtId="0" fontId="20" fillId="0" borderId="18" xfId="0" applyFont="1" applyBorder="1" applyAlignment="1">
      <alignment horizontal="center" vertical="center"/>
    </xf>
    <xf numFmtId="1" fontId="12" fillId="0" borderId="6" xfId="0" applyNumberFormat="1" applyFont="1" applyBorder="1" applyAlignment="1">
      <alignment horizontal="center"/>
    </xf>
    <xf numFmtId="0" fontId="12" fillId="0" borderId="6" xfId="0" applyFont="1" applyBorder="1" applyAlignment="1">
      <alignment horizontal="center"/>
    </xf>
    <xf numFmtId="1" fontId="12" fillId="0" borderId="75" xfId="0" applyNumberFormat="1" applyFont="1" applyBorder="1" applyAlignment="1">
      <alignment horizontal="center"/>
    </xf>
    <xf numFmtId="1" fontId="21" fillId="0" borderId="55" xfId="0" applyNumberFormat="1" applyFont="1" applyBorder="1" applyAlignment="1">
      <alignment horizontal="center"/>
    </xf>
    <xf numFmtId="1" fontId="26" fillId="0" borderId="55" xfId="0" applyNumberFormat="1" applyFont="1" applyBorder="1" applyAlignment="1">
      <alignment horizontal="center"/>
    </xf>
    <xf numFmtId="1" fontId="21" fillId="0" borderId="49" xfId="0" applyNumberFormat="1" applyFont="1" applyBorder="1" applyAlignment="1">
      <alignment horizontal="center"/>
    </xf>
    <xf numFmtId="0" fontId="20" fillId="8" borderId="31" xfId="0" applyFont="1" applyFill="1" applyBorder="1" applyAlignment="1">
      <alignment horizontal="center" vertical="center"/>
    </xf>
    <xf numFmtId="0" fontId="21" fillId="8" borderId="17" xfId="0" applyFont="1" applyFill="1" applyBorder="1" applyAlignment="1">
      <alignment horizontal="center" vertical="center"/>
    </xf>
    <xf numFmtId="1" fontId="21" fillId="8" borderId="31" xfId="0" applyNumberFormat="1" applyFont="1" applyFill="1" applyBorder="1" applyAlignment="1">
      <alignment horizontal="center" vertical="center"/>
    </xf>
    <xf numFmtId="0" fontId="45" fillId="8" borderId="31" xfId="0" applyFont="1" applyFill="1" applyBorder="1" applyAlignment="1">
      <alignment horizontal="center" vertical="center"/>
    </xf>
    <xf numFmtId="0" fontId="4" fillId="8" borderId="31" xfId="0" applyFont="1" applyFill="1" applyBorder="1" applyAlignment="1">
      <alignment horizontal="center" vertical="center"/>
    </xf>
    <xf numFmtId="0" fontId="21" fillId="8" borderId="11" xfId="0" applyFont="1" applyFill="1" applyBorder="1" applyAlignment="1">
      <alignment horizontal="center" vertical="center"/>
    </xf>
    <xf numFmtId="167" fontId="20" fillId="8" borderId="62" xfId="0" applyNumberFormat="1" applyFont="1" applyFill="1" applyBorder="1" applyAlignment="1">
      <alignment horizontal="center" vertical="center"/>
    </xf>
    <xf numFmtId="2" fontId="20" fillId="0" borderId="10" xfId="0" applyNumberFormat="1" applyFont="1" applyBorder="1" applyAlignment="1">
      <alignment horizontal="center" vertical="center"/>
    </xf>
    <xf numFmtId="1" fontId="45" fillId="8" borderId="10" xfId="0" applyNumberFormat="1" applyFont="1" applyFill="1" applyBorder="1"/>
    <xf numFmtId="1" fontId="45" fillId="0" borderId="0" xfId="0" applyNumberFormat="1" applyFont="1" applyAlignment="1">
      <alignment horizontal="center" vertical="center"/>
    </xf>
    <xf numFmtId="0" fontId="4" fillId="0" borderId="37" xfId="0" applyFont="1" applyBorder="1"/>
    <xf numFmtId="0" fontId="4" fillId="8" borderId="37" xfId="0" applyFont="1" applyFill="1" applyBorder="1"/>
    <xf numFmtId="0" fontId="32" fillId="0" borderId="0" xfId="0" applyFont="1" applyAlignment="1">
      <alignment vertical="center"/>
    </xf>
    <xf numFmtId="0" fontId="18" fillId="0" borderId="0" xfId="0" applyFont="1" applyAlignment="1">
      <alignment vertical="center"/>
    </xf>
    <xf numFmtId="0" fontId="18" fillId="0" borderId="62" xfId="0" applyFont="1" applyBorder="1" applyAlignment="1">
      <alignment vertical="center"/>
    </xf>
    <xf numFmtId="0" fontId="18" fillId="0" borderId="31" xfId="0" applyFont="1" applyBorder="1" applyAlignment="1">
      <alignment vertical="center"/>
    </xf>
    <xf numFmtId="2" fontId="20" fillId="0" borderId="31" xfId="0" applyNumberFormat="1" applyFont="1" applyBorder="1" applyAlignment="1">
      <alignment horizontal="center" vertical="center"/>
    </xf>
    <xf numFmtId="0" fontId="125" fillId="0" borderId="0" xfId="0" applyFont="1" applyAlignment="1">
      <alignment horizontal="center" vertical="center"/>
    </xf>
    <xf numFmtId="0" fontId="126" fillId="0" borderId="0" xfId="0" applyFont="1"/>
    <xf numFmtId="0" fontId="125" fillId="0" borderId="0" xfId="0" applyFont="1"/>
    <xf numFmtId="1" fontId="8" fillId="8" borderId="11" xfId="0" applyNumberFormat="1" applyFont="1" applyFill="1" applyBorder="1" applyAlignment="1">
      <alignment horizontal="center" vertical="center"/>
    </xf>
    <xf numFmtId="0" fontId="21" fillId="7" borderId="59" xfId="0" applyFont="1" applyFill="1" applyBorder="1" applyAlignment="1">
      <alignment horizontal="center" vertical="center"/>
    </xf>
    <xf numFmtId="0" fontId="21" fillId="7" borderId="33" xfId="0" applyFont="1" applyFill="1" applyBorder="1" applyAlignment="1">
      <alignment horizontal="center" vertical="center"/>
    </xf>
    <xf numFmtId="0" fontId="4" fillId="7" borderId="54" xfId="0" applyFont="1" applyFill="1" applyBorder="1" applyAlignment="1">
      <alignment horizontal="center" vertical="center"/>
    </xf>
    <xf numFmtId="0" fontId="4" fillId="0" borderId="31" xfId="0" applyFont="1" applyBorder="1" applyAlignment="1">
      <alignment vertical="center"/>
    </xf>
    <xf numFmtId="167" fontId="20" fillId="0" borderId="34" xfId="0" applyNumberFormat="1" applyFont="1" applyBorder="1" applyAlignment="1">
      <alignment horizontal="center" vertical="center"/>
    </xf>
    <xf numFmtId="167" fontId="21" fillId="6" borderId="11" xfId="0" applyNumberFormat="1" applyFont="1" applyFill="1" applyBorder="1" applyAlignment="1">
      <alignment horizontal="center" vertical="center"/>
    </xf>
    <xf numFmtId="167" fontId="18" fillId="7" borderId="31" xfId="0" applyNumberFormat="1" applyFont="1" applyFill="1" applyBorder="1" applyAlignment="1">
      <alignment horizontal="center" vertical="center"/>
    </xf>
    <xf numFmtId="2" fontId="20" fillId="7" borderId="63" xfId="0" applyNumberFormat="1" applyFont="1" applyFill="1" applyBorder="1" applyAlignment="1">
      <alignment horizontal="center" vertical="center"/>
    </xf>
    <xf numFmtId="2" fontId="20" fillId="7" borderId="31" xfId="0" applyNumberFormat="1" applyFont="1" applyFill="1" applyBorder="1" applyAlignment="1">
      <alignment horizontal="center"/>
    </xf>
    <xf numFmtId="167" fontId="21" fillId="0" borderId="31" xfId="0" applyNumberFormat="1" applyFont="1" applyBorder="1" applyAlignment="1">
      <alignment horizontal="center" vertical="center"/>
    </xf>
    <xf numFmtId="167" fontId="21" fillId="7" borderId="31" xfId="0" applyNumberFormat="1" applyFont="1" applyFill="1" applyBorder="1" applyAlignment="1">
      <alignment horizontal="center" vertical="center"/>
    </xf>
    <xf numFmtId="167" fontId="21" fillId="5" borderId="31" xfId="0" applyNumberFormat="1" applyFont="1" applyFill="1" applyBorder="1" applyAlignment="1">
      <alignment horizontal="center" vertical="center"/>
    </xf>
    <xf numFmtId="167" fontId="21" fillId="5" borderId="29" xfId="0" applyNumberFormat="1" applyFont="1" applyFill="1" applyBorder="1" applyAlignment="1">
      <alignment horizontal="center" vertical="center"/>
    </xf>
    <xf numFmtId="167" fontId="5" fillId="8" borderId="6" xfId="0" applyNumberFormat="1" applyFont="1" applyFill="1" applyBorder="1" applyAlignment="1">
      <alignment vertical="center"/>
    </xf>
    <xf numFmtId="167" fontId="5" fillId="8" borderId="47" xfId="0" applyNumberFormat="1" applyFont="1" applyFill="1" applyBorder="1" applyAlignment="1">
      <alignment vertical="center"/>
    </xf>
    <xf numFmtId="167" fontId="5" fillId="8" borderId="19" xfId="0" applyNumberFormat="1" applyFont="1" applyFill="1" applyBorder="1" applyAlignment="1">
      <alignment vertical="center"/>
    </xf>
    <xf numFmtId="167" fontId="5" fillId="8" borderId="7" xfId="0" applyNumberFormat="1" applyFont="1" applyFill="1" applyBorder="1" applyAlignment="1">
      <alignment horizontal="center" vertical="center"/>
    </xf>
    <xf numFmtId="167" fontId="5" fillId="8" borderId="6" xfId="0" applyNumberFormat="1" applyFont="1" applyFill="1" applyBorder="1" applyAlignment="1">
      <alignment horizontal="center" vertical="center"/>
    </xf>
    <xf numFmtId="167" fontId="21" fillId="0" borderId="62" xfId="0" applyNumberFormat="1" applyFont="1" applyBorder="1" applyAlignment="1">
      <alignment horizontal="center" vertical="center"/>
    </xf>
    <xf numFmtId="167" fontId="21" fillId="7" borderId="62" xfId="0" applyNumberFormat="1" applyFont="1" applyFill="1" applyBorder="1" applyAlignment="1">
      <alignment horizontal="center" vertical="center"/>
    </xf>
    <xf numFmtId="167" fontId="21" fillId="5" borderId="62" xfId="0" applyNumberFormat="1" applyFont="1" applyFill="1" applyBorder="1" applyAlignment="1">
      <alignment horizontal="center" vertical="center"/>
    </xf>
    <xf numFmtId="167" fontId="5" fillId="8" borderId="47" xfId="0" applyNumberFormat="1" applyFont="1" applyFill="1" applyBorder="1" applyAlignment="1">
      <alignment horizontal="center" vertical="center"/>
    </xf>
    <xf numFmtId="167" fontId="29" fillId="8" borderId="6" xfId="0" applyNumberFormat="1" applyFont="1" applyFill="1" applyBorder="1" applyAlignment="1">
      <alignment vertical="center"/>
    </xf>
    <xf numFmtId="167" fontId="29" fillId="8" borderId="47" xfId="0" applyNumberFormat="1" applyFont="1" applyFill="1" applyBorder="1" applyAlignment="1">
      <alignment vertical="center"/>
    </xf>
    <xf numFmtId="167" fontId="29" fillId="8" borderId="19" xfId="0" applyNumberFormat="1" applyFont="1" applyFill="1" applyBorder="1" applyAlignment="1">
      <alignment vertical="center"/>
    </xf>
    <xf numFmtId="167" fontId="29" fillId="8" borderId="6" xfId="0" applyNumberFormat="1" applyFont="1" applyFill="1" applyBorder="1" applyAlignment="1">
      <alignment horizontal="center" vertical="center"/>
    </xf>
    <xf numFmtId="167" fontId="4" fillId="5" borderId="79" xfId="0" applyNumberFormat="1" applyFont="1" applyFill="1" applyBorder="1" applyAlignment="1">
      <alignment horizontal="center" vertical="center"/>
    </xf>
    <xf numFmtId="167" fontId="4" fillId="0" borderId="1" xfId="0" applyNumberFormat="1" applyFont="1" applyBorder="1" applyAlignment="1">
      <alignment horizontal="center" vertical="center"/>
    </xf>
    <xf numFmtId="167" fontId="4" fillId="6" borderId="5" xfId="0" applyNumberFormat="1" applyFont="1" applyFill="1" applyBorder="1" applyAlignment="1">
      <alignment horizontal="center" vertical="center"/>
    </xf>
    <xf numFmtId="1" fontId="18" fillId="8" borderId="13" xfId="0" applyNumberFormat="1" applyFont="1" applyFill="1" applyBorder="1" applyAlignment="1">
      <alignment horizontal="center" vertical="center"/>
    </xf>
    <xf numFmtId="1" fontId="18" fillId="8" borderId="55" xfId="0" applyNumberFormat="1" applyFont="1" applyFill="1" applyBorder="1" applyAlignment="1">
      <alignment horizontal="center" vertical="center"/>
    </xf>
    <xf numFmtId="0" fontId="21" fillId="0" borderId="25" xfId="0" applyFont="1" applyBorder="1"/>
    <xf numFmtId="0" fontId="20" fillId="0" borderId="52" xfId="0" applyFont="1" applyBorder="1" applyAlignment="1">
      <alignment horizontal="right"/>
    </xf>
    <xf numFmtId="0" fontId="20" fillId="0" borderId="12" xfId="0" applyFont="1" applyBorder="1" applyAlignment="1">
      <alignment horizontal="center" vertical="center"/>
    </xf>
    <xf numFmtId="0" fontId="21" fillId="0" borderId="12" xfId="0" applyFont="1" applyBorder="1" applyAlignment="1">
      <alignment horizontal="center" vertical="center"/>
    </xf>
    <xf numFmtId="0" fontId="20" fillId="0" borderId="12" xfId="0" applyFont="1" applyBorder="1" applyAlignment="1">
      <alignment horizontal="center"/>
    </xf>
    <xf numFmtId="0" fontId="5" fillId="8" borderId="12" xfId="0" applyFont="1" applyFill="1" applyBorder="1" applyAlignment="1">
      <alignment horizontal="center"/>
    </xf>
    <xf numFmtId="0" fontId="18" fillId="0" borderId="12" xfId="0" applyFont="1" applyBorder="1" applyAlignment="1">
      <alignment horizontal="center"/>
    </xf>
    <xf numFmtId="0" fontId="5" fillId="8" borderId="12" xfId="0" applyFont="1" applyFill="1" applyBorder="1" applyAlignment="1">
      <alignment horizontal="center" vertical="center"/>
    </xf>
    <xf numFmtId="0" fontId="29" fillId="8" borderId="12" xfId="0" applyFont="1" applyFill="1" applyBorder="1" applyAlignment="1">
      <alignment horizontal="center" vertical="center"/>
    </xf>
    <xf numFmtId="0" fontId="18" fillId="8" borderId="13" xfId="0" applyFont="1" applyFill="1" applyBorder="1" applyAlignment="1">
      <alignment horizontal="center"/>
    </xf>
    <xf numFmtId="1" fontId="18" fillId="8" borderId="54" xfId="0" applyNumberFormat="1" applyFont="1" applyFill="1" applyBorder="1" applyAlignment="1">
      <alignment horizontal="center" vertical="center"/>
    </xf>
    <xf numFmtId="0" fontId="20" fillId="0" borderId="45" xfId="0" applyFont="1" applyBorder="1" applyAlignment="1">
      <alignment horizontal="center"/>
    </xf>
    <xf numFmtId="0" fontId="20" fillId="0" borderId="30" xfId="0" applyFont="1" applyBorder="1" applyAlignment="1">
      <alignment horizontal="center"/>
    </xf>
    <xf numFmtId="0" fontId="20" fillId="0" borderId="60" xfId="0" applyFont="1" applyBorder="1" applyAlignment="1">
      <alignment horizontal="center" vertical="center"/>
    </xf>
    <xf numFmtId="167" fontId="20" fillId="0" borderId="71" xfId="0" applyNumberFormat="1" applyFont="1" applyBorder="1" applyAlignment="1">
      <alignment horizontal="center" vertical="center"/>
    </xf>
    <xf numFmtId="167" fontId="20" fillId="7" borderId="46" xfId="0" applyNumberFormat="1" applyFont="1" applyFill="1" applyBorder="1" applyAlignment="1">
      <alignment horizontal="center" vertical="center"/>
    </xf>
    <xf numFmtId="0" fontId="20" fillId="0" borderId="22" xfId="0" applyFont="1" applyBorder="1" applyAlignment="1">
      <alignment horizontal="center" vertical="center"/>
    </xf>
    <xf numFmtId="167" fontId="20" fillId="7" borderId="71" xfId="0" applyNumberFormat="1" applyFont="1" applyFill="1" applyBorder="1" applyAlignment="1">
      <alignment horizontal="center" vertical="center"/>
    </xf>
    <xf numFmtId="0" fontId="21" fillId="0" borderId="13" xfId="0" applyFont="1" applyBorder="1" applyAlignment="1">
      <alignment horizontal="center" vertical="center"/>
    </xf>
    <xf numFmtId="0" fontId="18" fillId="8" borderId="18" xfId="0" applyFont="1" applyFill="1" applyBorder="1"/>
    <xf numFmtId="0" fontId="20" fillId="0" borderId="51" xfId="0" applyFont="1" applyBorder="1" applyAlignment="1">
      <alignment horizontal="right"/>
    </xf>
    <xf numFmtId="0" fontId="20" fillId="0" borderId="20" xfId="0" applyFont="1" applyBorder="1" applyAlignment="1">
      <alignment horizontal="center" vertical="center"/>
    </xf>
    <xf numFmtId="1" fontId="20" fillId="7" borderId="35" xfId="0" applyNumberFormat="1" applyFont="1" applyFill="1" applyBorder="1" applyAlignment="1">
      <alignment horizontal="center" vertical="center"/>
    </xf>
    <xf numFmtId="0" fontId="18" fillId="8" borderId="35" xfId="0" applyFont="1" applyFill="1" applyBorder="1"/>
    <xf numFmtId="0" fontId="21" fillId="8" borderId="0" xfId="0" applyFont="1" applyFill="1" applyAlignment="1">
      <alignment vertical="center"/>
    </xf>
    <xf numFmtId="0" fontId="18" fillId="0" borderId="60" xfId="0" applyFont="1" applyBorder="1" applyAlignment="1">
      <alignment horizontal="center" vertical="center"/>
    </xf>
    <xf numFmtId="1" fontId="18" fillId="0" borderId="82" xfId="0" applyNumberFormat="1" applyFont="1" applyBorder="1" applyAlignment="1">
      <alignment horizontal="center" vertical="center"/>
    </xf>
    <xf numFmtId="1" fontId="18" fillId="7" borderId="79" xfId="0" applyNumberFormat="1" applyFont="1" applyFill="1" applyBorder="1" applyAlignment="1">
      <alignment horizontal="center" vertical="center"/>
    </xf>
    <xf numFmtId="0" fontId="3" fillId="0" borderId="66" xfId="0" applyFont="1" applyBorder="1" applyAlignment="1">
      <alignment vertical="center"/>
    </xf>
    <xf numFmtId="0" fontId="113" fillId="0" borderId="37" xfId="0" applyFont="1" applyBorder="1"/>
    <xf numFmtId="0" fontId="18" fillId="0" borderId="37" xfId="0" applyFont="1" applyBorder="1" applyAlignment="1">
      <alignment vertical="center"/>
    </xf>
    <xf numFmtId="0" fontId="48" fillId="0" borderId="37" xfId="0" applyFont="1" applyBorder="1"/>
    <xf numFmtId="0" fontId="45" fillId="0" borderId="68" xfId="0" applyFont="1" applyBorder="1"/>
    <xf numFmtId="0" fontId="45" fillId="0" borderId="29" xfId="0" applyFont="1" applyBorder="1" applyAlignment="1">
      <alignment horizontal="center"/>
    </xf>
    <xf numFmtId="1" fontId="22" fillId="0" borderId="31" xfId="0" applyNumberFormat="1" applyFont="1" applyBorder="1" applyAlignment="1">
      <alignment horizontal="center"/>
    </xf>
    <xf numFmtId="0" fontId="0" fillId="0" borderId="31" xfId="0" applyBorder="1" applyAlignment="1">
      <alignment horizontal="center"/>
    </xf>
    <xf numFmtId="1" fontId="0" fillId="0" borderId="31" xfId="0" applyNumberFormat="1" applyBorder="1" applyAlignment="1">
      <alignment horizontal="center"/>
    </xf>
    <xf numFmtId="1" fontId="30" fillId="0" borderId="31" xfId="0" applyNumberFormat="1" applyFont="1" applyBorder="1" applyAlignment="1">
      <alignment horizontal="center" vertical="center"/>
    </xf>
    <xf numFmtId="1" fontId="17" fillId="0" borderId="31" xfId="0" applyNumberFormat="1" applyFont="1" applyBorder="1" applyAlignment="1">
      <alignment horizontal="center"/>
    </xf>
    <xf numFmtId="0" fontId="0" fillId="8" borderId="35" xfId="0" applyFill="1" applyBorder="1"/>
    <xf numFmtId="0" fontId="0" fillId="0" borderId="32" xfId="0" applyBorder="1" applyAlignment="1">
      <alignment horizontal="center"/>
    </xf>
    <xf numFmtId="167" fontId="20" fillId="0" borderId="0" xfId="0" applyNumberFormat="1" applyFont="1" applyAlignment="1">
      <alignment horizontal="center" vertical="center"/>
    </xf>
    <xf numFmtId="2" fontId="20" fillId="0" borderId="7" xfId="0" applyNumberFormat="1" applyFont="1" applyBorder="1" applyAlignment="1">
      <alignment horizontal="center" vertical="center"/>
    </xf>
    <xf numFmtId="2" fontId="20" fillId="0" borderId="49" xfId="0" applyNumberFormat="1" applyFont="1" applyBorder="1" applyAlignment="1">
      <alignment horizontal="center" vertical="center"/>
    </xf>
    <xf numFmtId="1" fontId="20" fillId="0" borderId="75" xfId="0" applyNumberFormat="1" applyFont="1" applyBorder="1" applyAlignment="1">
      <alignment horizontal="center" vertical="center"/>
    </xf>
    <xf numFmtId="1" fontId="21" fillId="0" borderId="55" xfId="0" applyNumberFormat="1" applyFont="1" applyBorder="1" applyAlignment="1">
      <alignment horizontal="center" vertical="center"/>
    </xf>
    <xf numFmtId="1" fontId="20" fillId="0" borderId="24" xfId="0" applyNumberFormat="1" applyFont="1" applyBorder="1" applyAlignment="1">
      <alignment horizontal="center" vertical="center"/>
    </xf>
    <xf numFmtId="167" fontId="21" fillId="0" borderId="6" xfId="0" applyNumberFormat="1" applyFont="1" applyBorder="1" applyAlignment="1">
      <alignment horizontal="center" vertical="center"/>
    </xf>
    <xf numFmtId="2" fontId="20" fillId="0" borderId="24" xfId="0" applyNumberFormat="1" applyFont="1" applyBorder="1" applyAlignment="1">
      <alignment horizontal="center" vertical="center"/>
    </xf>
    <xf numFmtId="167" fontId="4" fillId="0" borderId="55" xfId="0" applyNumberFormat="1" applyFont="1" applyBorder="1" applyAlignment="1">
      <alignment horizontal="center" vertical="center"/>
    </xf>
    <xf numFmtId="1" fontId="44" fillId="0" borderId="0" xfId="0" applyNumberFormat="1" applyFont="1" applyAlignment="1">
      <alignment horizontal="center" vertical="center"/>
    </xf>
    <xf numFmtId="0" fontId="45" fillId="0" borderId="29" xfId="0" applyFont="1" applyBorder="1"/>
    <xf numFmtId="9" fontId="23" fillId="7" borderId="10" xfId="22" applyFont="1" applyFill="1" applyBorder="1" applyAlignment="1">
      <alignment horizontal="center"/>
    </xf>
    <xf numFmtId="0" fontId="45" fillId="8" borderId="0" xfId="0" quotePrefix="1" applyFont="1" applyFill="1"/>
    <xf numFmtId="0" fontId="45" fillId="4" borderId="0" xfId="0" applyFont="1" applyFill="1"/>
    <xf numFmtId="0" fontId="21" fillId="0" borderId="32" xfId="0" applyFont="1" applyBorder="1" applyAlignment="1">
      <alignment vertical="center"/>
    </xf>
    <xf numFmtId="167" fontId="20" fillId="0" borderId="41" xfId="0" applyNumberFormat="1" applyFont="1" applyBorder="1" applyAlignment="1">
      <alignment horizontal="center" vertical="center"/>
    </xf>
    <xf numFmtId="167" fontId="20" fillId="7" borderId="41" xfId="0" applyNumberFormat="1" applyFont="1" applyFill="1" applyBorder="1" applyAlignment="1">
      <alignment horizontal="center" vertical="center"/>
    </xf>
    <xf numFmtId="167" fontId="20" fillId="0" borderId="23" xfId="0" applyNumberFormat="1" applyFont="1" applyBorder="1" applyAlignment="1">
      <alignment horizontal="center" vertical="center"/>
    </xf>
    <xf numFmtId="0" fontId="78" fillId="8" borderId="22" xfId="186" applyFont="1" applyFill="1" applyBorder="1" applyAlignment="1">
      <alignment horizontal="left" vertical="center"/>
    </xf>
    <xf numFmtId="0" fontId="78" fillId="8" borderId="40" xfId="186" applyFont="1" applyFill="1" applyBorder="1" applyAlignment="1">
      <alignment horizontal="left" vertical="center"/>
    </xf>
    <xf numFmtId="0" fontId="26" fillId="7" borderId="13" xfId="0" applyFont="1" applyFill="1" applyBorder="1" applyAlignment="1">
      <alignment horizontal="center" vertical="center"/>
    </xf>
    <xf numFmtId="1" fontId="12" fillId="7" borderId="47" xfId="0" applyNumberFormat="1" applyFont="1" applyFill="1" applyBorder="1" applyAlignment="1">
      <alignment horizontal="center"/>
    </xf>
    <xf numFmtId="1" fontId="12" fillId="7" borderId="12" xfId="0" applyNumberFormat="1" applyFont="1" applyFill="1" applyBorder="1" applyAlignment="1">
      <alignment horizontal="center"/>
    </xf>
    <xf numFmtId="1" fontId="26" fillId="7" borderId="25" xfId="0" applyNumberFormat="1" applyFont="1" applyFill="1" applyBorder="1" applyAlignment="1">
      <alignment horizontal="center"/>
    </xf>
    <xf numFmtId="1" fontId="26" fillId="7" borderId="13" xfId="0" applyNumberFormat="1" applyFont="1" applyFill="1" applyBorder="1" applyAlignment="1">
      <alignment horizontal="center"/>
    </xf>
    <xf numFmtId="1" fontId="79" fillId="7" borderId="29" xfId="186" applyNumberFormat="1" applyFont="1" applyFill="1" applyBorder="1" applyAlignment="1">
      <alignment horizontal="center" vertical="center"/>
    </xf>
    <xf numFmtId="0" fontId="27" fillId="0" borderId="18" xfId="0" applyFont="1" applyBorder="1" applyAlignment="1">
      <alignment horizontal="left" vertical="center"/>
    </xf>
    <xf numFmtId="167" fontId="27" fillId="0" borderId="8" xfId="0" applyNumberFormat="1" applyFont="1" applyBorder="1" applyAlignment="1">
      <alignment horizontal="center" vertical="center"/>
    </xf>
    <xf numFmtId="1" fontId="27" fillId="0" borderId="53" xfId="0" applyNumberFormat="1" applyFont="1" applyBorder="1" applyAlignment="1">
      <alignment horizontal="center" vertical="center"/>
    </xf>
    <xf numFmtId="0" fontId="27" fillId="0" borderId="20" xfId="0" applyFont="1" applyBorder="1" applyAlignment="1">
      <alignment horizontal="left" vertical="center"/>
    </xf>
    <xf numFmtId="0" fontId="7" fillId="0" borderId="29" xfId="0" applyFont="1" applyBorder="1"/>
    <xf numFmtId="0" fontId="7" fillId="8" borderId="29" xfId="0" applyFont="1" applyFill="1" applyBorder="1"/>
    <xf numFmtId="0" fontId="4" fillId="0" borderId="31" xfId="0" applyFont="1" applyBorder="1"/>
    <xf numFmtId="0" fontId="7" fillId="0" borderId="17" xfId="0" applyFont="1" applyBorder="1"/>
    <xf numFmtId="0" fontId="4" fillId="8" borderId="31" xfId="0" applyFont="1" applyFill="1" applyBorder="1"/>
    <xf numFmtId="0" fontId="7" fillId="8" borderId="17" xfId="0" applyFont="1" applyFill="1" applyBorder="1"/>
    <xf numFmtId="0" fontId="7" fillId="0" borderId="31" xfId="0" applyFont="1" applyBorder="1"/>
    <xf numFmtId="0" fontId="7" fillId="8" borderId="31" xfId="0" applyFont="1" applyFill="1" applyBorder="1"/>
    <xf numFmtId="0" fontId="21" fillId="7" borderId="29" xfId="0" applyFont="1" applyFill="1" applyBorder="1" applyAlignment="1">
      <alignment horizontal="center" vertical="center"/>
    </xf>
    <xf numFmtId="167" fontId="27" fillId="0" borderId="3" xfId="0" applyNumberFormat="1" applyFont="1" applyBorder="1" applyAlignment="1">
      <alignment horizontal="center" vertical="center"/>
    </xf>
    <xf numFmtId="0" fontId="14" fillId="0" borderId="33" xfId="0" applyFont="1" applyBorder="1" applyAlignment="1">
      <alignment horizontal="center" vertical="center"/>
    </xf>
    <xf numFmtId="0" fontId="27" fillId="0" borderId="44" xfId="0" applyFont="1" applyBorder="1"/>
    <xf numFmtId="0" fontId="27" fillId="0" borderId="51" xfId="0" applyFont="1" applyBorder="1"/>
    <xf numFmtId="0" fontId="14" fillId="0" borderId="59" xfId="0" applyFont="1" applyBorder="1" applyAlignment="1">
      <alignment horizontal="center" vertical="center"/>
    </xf>
    <xf numFmtId="0" fontId="27" fillId="0" borderId="18" xfId="0" applyFont="1" applyBorder="1" applyAlignment="1">
      <alignment horizontal="center" vertical="center"/>
    </xf>
    <xf numFmtId="0" fontId="27" fillId="0" borderId="20" xfId="0" applyFont="1" applyBorder="1"/>
    <xf numFmtId="1" fontId="27" fillId="0" borderId="42" xfId="0" applyNumberFormat="1" applyFont="1" applyBorder="1" applyAlignment="1">
      <alignment horizontal="center" vertical="center"/>
    </xf>
    <xf numFmtId="0" fontId="14" fillId="7" borderId="33" xfId="0" applyFont="1" applyFill="1" applyBorder="1" applyAlignment="1">
      <alignment horizontal="center" vertical="center"/>
    </xf>
    <xf numFmtId="0" fontId="14" fillId="7" borderId="59" xfId="0" applyFont="1" applyFill="1" applyBorder="1" applyAlignment="1">
      <alignment horizontal="center" vertical="center"/>
    </xf>
    <xf numFmtId="167" fontId="27" fillId="7" borderId="3" xfId="0" applyNumberFormat="1" applyFont="1" applyFill="1" applyBorder="1" applyAlignment="1">
      <alignment horizontal="center" vertical="center"/>
    </xf>
    <xf numFmtId="1" fontId="27" fillId="7" borderId="42" xfId="0" applyNumberFormat="1" applyFont="1" applyFill="1" applyBorder="1" applyAlignment="1">
      <alignment horizontal="center" vertical="center"/>
    </xf>
    <xf numFmtId="0" fontId="18" fillId="0" borderId="41" xfId="0" applyFont="1" applyBorder="1" applyAlignment="1">
      <alignment horizontal="left" vertical="center"/>
    </xf>
    <xf numFmtId="0" fontId="18" fillId="0" borderId="46" xfId="0" applyFont="1" applyBorder="1" applyAlignment="1">
      <alignment horizontal="left" vertical="center"/>
    </xf>
    <xf numFmtId="0" fontId="18" fillId="0" borderId="23" xfId="0" applyFont="1" applyBorder="1" applyAlignment="1">
      <alignment horizontal="left" vertical="center"/>
    </xf>
    <xf numFmtId="0" fontId="18" fillId="7" borderId="32" xfId="0" applyFont="1" applyFill="1" applyBorder="1" applyAlignment="1">
      <alignment horizontal="center" vertical="center"/>
    </xf>
    <xf numFmtId="167" fontId="18" fillId="45" borderId="10" xfId="0" applyNumberFormat="1" applyFont="1" applyFill="1" applyBorder="1" applyAlignment="1">
      <alignment horizontal="center" vertical="center"/>
    </xf>
    <xf numFmtId="1" fontId="19" fillId="45" borderId="10" xfId="0" applyNumberFormat="1" applyFont="1" applyFill="1" applyBorder="1" applyAlignment="1">
      <alignment horizontal="center" vertical="center"/>
    </xf>
    <xf numFmtId="1" fontId="21" fillId="45" borderId="10" xfId="0" applyNumberFormat="1" applyFont="1" applyFill="1" applyBorder="1" applyAlignment="1">
      <alignment horizontal="center" vertical="center"/>
    </xf>
    <xf numFmtId="1" fontId="18" fillId="5" borderId="21" xfId="0" applyNumberFormat="1" applyFont="1" applyFill="1" applyBorder="1" applyAlignment="1">
      <alignment horizontal="center" vertical="center"/>
    </xf>
    <xf numFmtId="1" fontId="18" fillId="5" borderId="10" xfId="0" applyNumberFormat="1" applyFont="1" applyFill="1" applyBorder="1" applyAlignment="1">
      <alignment vertical="center"/>
    </xf>
    <xf numFmtId="1" fontId="18" fillId="5" borderId="45" xfId="0" applyNumberFormat="1" applyFont="1" applyFill="1" applyBorder="1" applyAlignment="1">
      <alignment vertical="center"/>
    </xf>
    <xf numFmtId="9" fontId="21" fillId="5" borderId="10" xfId="22" applyFont="1" applyFill="1" applyBorder="1" applyAlignment="1">
      <alignment horizontal="center" vertical="center"/>
    </xf>
    <xf numFmtId="0" fontId="26" fillId="0" borderId="55" xfId="0" applyFont="1" applyBorder="1" applyAlignment="1">
      <alignment horizontal="center" vertical="center"/>
    </xf>
    <xf numFmtId="0" fontId="26" fillId="0" borderId="25" xfId="0" applyFont="1" applyBorder="1" applyAlignment="1">
      <alignment horizontal="center" vertical="center"/>
    </xf>
    <xf numFmtId="0" fontId="26" fillId="7" borderId="25" xfId="0" applyFont="1" applyFill="1" applyBorder="1" applyAlignment="1">
      <alignment horizontal="center" vertical="center"/>
    </xf>
    <xf numFmtId="0" fontId="14" fillId="5" borderId="10" xfId="0" applyFont="1" applyFill="1" applyBorder="1" applyAlignment="1">
      <alignment horizontal="center" vertical="center"/>
    </xf>
    <xf numFmtId="1" fontId="26" fillId="5" borderId="10" xfId="0" applyNumberFormat="1" applyFont="1" applyFill="1" applyBorder="1" applyAlignment="1">
      <alignment horizontal="center" vertical="center"/>
    </xf>
    <xf numFmtId="1" fontId="22" fillId="5" borderId="10" xfId="0" applyNumberFormat="1" applyFont="1" applyFill="1" applyBorder="1" applyAlignment="1">
      <alignment horizontal="center"/>
    </xf>
    <xf numFmtId="0" fontId="0" fillId="5" borderId="10" xfId="0" applyFill="1" applyBorder="1" applyAlignment="1">
      <alignment horizontal="center"/>
    </xf>
    <xf numFmtId="1" fontId="0" fillId="5" borderId="10" xfId="0" applyNumberFormat="1" applyFill="1" applyBorder="1" applyAlignment="1">
      <alignment horizontal="center"/>
    </xf>
    <xf numFmtId="1" fontId="30" fillId="5" borderId="10" xfId="0" applyNumberFormat="1" applyFont="1" applyFill="1" applyBorder="1" applyAlignment="1">
      <alignment horizontal="center" vertical="center"/>
    </xf>
    <xf numFmtId="1" fontId="30" fillId="5" borderId="17" xfId="0" applyNumberFormat="1" applyFont="1" applyFill="1" applyBorder="1" applyAlignment="1">
      <alignment horizontal="center" vertical="center"/>
    </xf>
    <xf numFmtId="1" fontId="17" fillId="5" borderId="10" xfId="0" applyNumberFormat="1" applyFont="1" applyFill="1" applyBorder="1" applyAlignment="1">
      <alignment horizontal="center"/>
    </xf>
    <xf numFmtId="1" fontId="17" fillId="5" borderId="17" xfId="0" applyNumberFormat="1" applyFont="1" applyFill="1" applyBorder="1" applyAlignment="1">
      <alignment horizontal="center"/>
    </xf>
    <xf numFmtId="0" fontId="0" fillId="5" borderId="23" xfId="0" applyFill="1" applyBorder="1" applyAlignment="1">
      <alignment horizontal="center"/>
    </xf>
    <xf numFmtId="1" fontId="0" fillId="5" borderId="33" xfId="0" applyNumberFormat="1" applyFill="1" applyBorder="1" applyAlignment="1">
      <alignment horizontal="center"/>
    </xf>
    <xf numFmtId="2" fontId="7" fillId="8" borderId="31" xfId="0" applyNumberFormat="1" applyFont="1" applyFill="1" applyBorder="1" applyAlignment="1">
      <alignment horizontal="center" vertical="center"/>
    </xf>
    <xf numFmtId="1" fontId="79" fillId="8" borderId="29" xfId="186" applyNumberFormat="1" applyFont="1" applyFill="1" applyBorder="1" applyAlignment="1">
      <alignment horizontal="center" vertical="center"/>
    </xf>
    <xf numFmtId="0" fontId="78" fillId="8" borderId="12" xfId="186" applyFont="1" applyFill="1" applyBorder="1" applyAlignment="1">
      <alignment horizontal="left" vertical="center"/>
    </xf>
    <xf numFmtId="1" fontId="26" fillId="5" borderId="1" xfId="0" applyNumberFormat="1" applyFont="1" applyFill="1" applyBorder="1" applyAlignment="1">
      <alignment horizontal="center" vertical="center"/>
    </xf>
    <xf numFmtId="1" fontId="26" fillId="5" borderId="11" xfId="0" applyNumberFormat="1" applyFont="1" applyFill="1" applyBorder="1" applyAlignment="1">
      <alignment horizontal="center" vertical="center"/>
    </xf>
    <xf numFmtId="167" fontId="4" fillId="5" borderId="9" xfId="0" applyNumberFormat="1" applyFont="1" applyFill="1" applyBorder="1" applyAlignment="1">
      <alignment horizontal="center" vertical="center"/>
    </xf>
    <xf numFmtId="0" fontId="14" fillId="8" borderId="59" xfId="0" applyFont="1" applyFill="1" applyBorder="1" applyAlignment="1">
      <alignment horizontal="center" vertical="center"/>
    </xf>
    <xf numFmtId="0" fontId="14" fillId="8" borderId="33" xfId="0" applyFont="1" applyFill="1" applyBorder="1" applyAlignment="1">
      <alignment horizontal="center" vertical="center"/>
    </xf>
    <xf numFmtId="0" fontId="78" fillId="0" borderId="6" xfId="186" applyFont="1" applyBorder="1" applyAlignment="1">
      <alignment horizontal="left" vertical="center"/>
    </xf>
    <xf numFmtId="0" fontId="78" fillId="0" borderId="0" xfId="186" applyFont="1" applyAlignment="1">
      <alignment horizontal="left" vertical="center"/>
    </xf>
    <xf numFmtId="0" fontId="78" fillId="8" borderId="7" xfId="186" applyFont="1" applyFill="1" applyBorder="1" applyAlignment="1">
      <alignment horizontal="left" vertical="center"/>
    </xf>
    <xf numFmtId="0" fontId="78" fillId="8" borderId="6" xfId="186" applyFont="1" applyFill="1" applyBorder="1" applyAlignment="1">
      <alignment horizontal="left" vertical="center"/>
    </xf>
    <xf numFmtId="0" fontId="78" fillId="8" borderId="0" xfId="186" applyFont="1" applyFill="1" applyAlignment="1">
      <alignment horizontal="left" vertical="center"/>
    </xf>
    <xf numFmtId="1" fontId="79" fillId="0" borderId="6" xfId="186" applyNumberFormat="1" applyFont="1" applyBorder="1" applyAlignment="1">
      <alignment horizontal="center" vertical="center"/>
    </xf>
    <xf numFmtId="1" fontId="79" fillId="8" borderId="0" xfId="186" applyNumberFormat="1" applyFont="1" applyFill="1" applyAlignment="1">
      <alignment horizontal="center" vertical="center"/>
    </xf>
    <xf numFmtId="1" fontId="79" fillId="42" borderId="67" xfId="186" applyNumberFormat="1" applyFont="1" applyFill="1" applyBorder="1" applyAlignment="1">
      <alignment horizontal="center" vertical="center"/>
    </xf>
    <xf numFmtId="1" fontId="79" fillId="5" borderId="6" xfId="186" applyNumberFormat="1" applyFont="1" applyFill="1" applyBorder="1" applyAlignment="1">
      <alignment horizontal="center" vertical="center"/>
    </xf>
    <xf numFmtId="167" fontId="20" fillId="5" borderId="41" xfId="0" applyNumberFormat="1" applyFont="1" applyFill="1" applyBorder="1" applyAlignment="1">
      <alignment horizontal="center" vertical="center"/>
    </xf>
    <xf numFmtId="1" fontId="20" fillId="5" borderId="32" xfId="0" applyNumberFormat="1" applyFont="1" applyFill="1" applyBorder="1" applyAlignment="1">
      <alignment horizontal="center" vertical="center"/>
    </xf>
    <xf numFmtId="0" fontId="45" fillId="49" borderId="0" xfId="0" applyFont="1" applyFill="1"/>
    <xf numFmtId="0" fontId="0" fillId="49" borderId="0" xfId="0" applyFill="1"/>
    <xf numFmtId="9" fontId="5" fillId="8" borderId="10" xfId="22" applyFont="1" applyFill="1" applyBorder="1" applyAlignment="1">
      <alignment vertical="center"/>
    </xf>
    <xf numFmtId="1" fontId="27" fillId="7" borderId="3" xfId="0" applyNumberFormat="1" applyFont="1" applyFill="1" applyBorder="1" applyAlignment="1">
      <alignment horizontal="center" vertical="center"/>
    </xf>
    <xf numFmtId="9" fontId="21" fillId="7" borderId="10" xfId="22" applyFont="1" applyFill="1" applyBorder="1" applyAlignment="1">
      <alignment horizontal="center" vertical="center"/>
    </xf>
    <xf numFmtId="1" fontId="78" fillId="7" borderId="17" xfId="186" applyNumberFormat="1" applyFont="1" applyFill="1" applyBorder="1" applyAlignment="1">
      <alignment horizontal="center" vertical="center"/>
    </xf>
    <xf numFmtId="1" fontId="18" fillId="8" borderId="31" xfId="0" applyNumberFormat="1" applyFont="1" applyFill="1" applyBorder="1" applyAlignment="1">
      <alignment horizontal="center" vertical="center"/>
    </xf>
    <xf numFmtId="0" fontId="26" fillId="8" borderId="10" xfId="0" applyFont="1" applyFill="1" applyBorder="1" applyAlignment="1">
      <alignment horizontal="center" vertical="center"/>
    </xf>
    <xf numFmtId="0" fontId="55" fillId="8" borderId="0" xfId="0" applyFont="1" applyFill="1"/>
    <xf numFmtId="0" fontId="34" fillId="8" borderId="0" xfId="0" applyFont="1" applyFill="1" applyAlignment="1">
      <alignment horizontal="center" vertical="center"/>
    </xf>
    <xf numFmtId="0" fontId="21" fillId="8" borderId="29" xfId="0" applyFont="1" applyFill="1" applyBorder="1" applyAlignment="1">
      <alignment horizontal="center" vertical="center"/>
    </xf>
    <xf numFmtId="1" fontId="18" fillId="8" borderId="69" xfId="0" applyNumberFormat="1" applyFont="1" applyFill="1" applyBorder="1" applyAlignment="1">
      <alignment horizontal="center" vertical="center"/>
    </xf>
    <xf numFmtId="167" fontId="45" fillId="8" borderId="23" xfId="0" applyNumberFormat="1" applyFont="1" applyFill="1" applyBorder="1"/>
    <xf numFmtId="167" fontId="45" fillId="8" borderId="41" xfId="0" applyNumberFormat="1" applyFont="1" applyFill="1" applyBorder="1"/>
    <xf numFmtId="167" fontId="45" fillId="8" borderId="10" xfId="0" applyNumberFormat="1" applyFont="1" applyFill="1" applyBorder="1"/>
    <xf numFmtId="0" fontId="21" fillId="8" borderId="86" xfId="0" applyFont="1" applyFill="1" applyBorder="1" applyAlignment="1">
      <alignment horizontal="center" vertical="center"/>
    </xf>
    <xf numFmtId="0" fontId="112" fillId="8" borderId="0" xfId="0" applyFont="1" applyFill="1" applyAlignment="1">
      <alignment horizontal="center" vertical="center"/>
    </xf>
    <xf numFmtId="0" fontId="47" fillId="8" borderId="10" xfId="0" applyFont="1" applyFill="1" applyBorder="1" applyAlignment="1">
      <alignment horizontal="center" vertical="center"/>
    </xf>
    <xf numFmtId="1" fontId="20" fillId="5" borderId="62" xfId="0" applyNumberFormat="1" applyFont="1" applyFill="1" applyBorder="1" applyAlignment="1">
      <alignment horizontal="center" vertical="center"/>
    </xf>
    <xf numFmtId="167" fontId="18" fillId="5" borderId="5" xfId="0" applyNumberFormat="1" applyFont="1" applyFill="1" applyBorder="1" applyAlignment="1">
      <alignment horizontal="center" vertical="center"/>
    </xf>
    <xf numFmtId="1" fontId="21" fillId="7" borderId="2" xfId="0" applyNumberFormat="1" applyFont="1" applyFill="1" applyBorder="1" applyAlignment="1">
      <alignment horizontal="center" vertical="center"/>
    </xf>
    <xf numFmtId="1" fontId="21" fillId="7" borderId="82" xfId="0" applyNumberFormat="1" applyFont="1" applyFill="1" applyBorder="1" applyAlignment="1">
      <alignment horizontal="center" vertical="center"/>
    </xf>
    <xf numFmtId="167" fontId="20" fillId="5" borderId="71" xfId="0" applyNumberFormat="1" applyFont="1" applyFill="1" applyBorder="1" applyAlignment="1">
      <alignment horizontal="center" vertical="center"/>
    </xf>
    <xf numFmtId="1" fontId="21" fillId="5" borderId="76" xfId="0" applyNumberFormat="1" applyFont="1" applyFill="1" applyBorder="1" applyAlignment="1">
      <alignment horizontal="center" vertical="center"/>
    </xf>
    <xf numFmtId="1" fontId="21" fillId="5" borderId="82" xfId="0" applyNumberFormat="1" applyFont="1" applyFill="1" applyBorder="1" applyAlignment="1">
      <alignment horizontal="center" vertical="center"/>
    </xf>
    <xf numFmtId="1" fontId="20" fillId="5" borderId="73" xfId="0" applyNumberFormat="1" applyFont="1" applyFill="1" applyBorder="1" applyAlignment="1">
      <alignment horizontal="center" vertical="center"/>
    </xf>
    <xf numFmtId="167" fontId="20" fillId="5" borderId="63" xfId="0" applyNumberFormat="1" applyFont="1" applyFill="1" applyBorder="1" applyAlignment="1">
      <alignment horizontal="center" vertical="center"/>
    </xf>
    <xf numFmtId="167" fontId="20" fillId="5" borderId="62" xfId="0" applyNumberFormat="1" applyFont="1" applyFill="1" applyBorder="1" applyAlignment="1">
      <alignment horizontal="center" vertical="center"/>
    </xf>
    <xf numFmtId="1" fontId="20" fillId="5" borderId="58" xfId="0" applyNumberFormat="1" applyFont="1" applyFill="1" applyBorder="1" applyAlignment="1">
      <alignment horizontal="center" vertical="center"/>
    </xf>
    <xf numFmtId="1" fontId="20" fillId="5" borderId="50" xfId="0" applyNumberFormat="1" applyFont="1" applyFill="1" applyBorder="1" applyAlignment="1">
      <alignment horizontal="center" vertical="center"/>
    </xf>
    <xf numFmtId="1" fontId="20" fillId="5" borderId="54" xfId="0" applyNumberFormat="1" applyFont="1" applyFill="1" applyBorder="1" applyAlignment="1">
      <alignment horizontal="center" vertical="center"/>
    </xf>
    <xf numFmtId="1" fontId="18" fillId="5" borderId="76" xfId="0" applyNumberFormat="1" applyFont="1" applyFill="1" applyBorder="1" applyAlignment="1">
      <alignment horizontal="center" vertical="center"/>
    </xf>
    <xf numFmtId="1" fontId="18" fillId="5" borderId="82" xfId="0" applyNumberFormat="1" applyFont="1" applyFill="1" applyBorder="1" applyAlignment="1">
      <alignment horizontal="center" vertical="center"/>
    </xf>
    <xf numFmtId="167" fontId="18" fillId="5" borderId="31" xfId="0" applyNumberFormat="1" applyFont="1" applyFill="1" applyBorder="1" applyAlignment="1">
      <alignment horizontal="center" vertical="center"/>
    </xf>
    <xf numFmtId="167" fontId="18" fillId="5" borderId="17" xfId="0" applyNumberFormat="1" applyFont="1" applyFill="1" applyBorder="1" applyAlignment="1">
      <alignment horizontal="center" vertical="center"/>
    </xf>
    <xf numFmtId="1" fontId="18" fillId="5" borderId="13" xfId="0" applyNumberFormat="1" applyFont="1" applyFill="1" applyBorder="1" applyAlignment="1">
      <alignment horizontal="center" vertical="center"/>
    </xf>
    <xf numFmtId="1" fontId="18" fillId="5" borderId="16" xfId="0" applyNumberFormat="1" applyFont="1" applyFill="1" applyBorder="1" applyAlignment="1">
      <alignment horizontal="center" vertical="center"/>
    </xf>
    <xf numFmtId="1" fontId="20" fillId="5" borderId="22" xfId="0" applyNumberFormat="1" applyFont="1" applyFill="1" applyBorder="1" applyAlignment="1">
      <alignment horizontal="center" vertical="center"/>
    </xf>
    <xf numFmtId="167" fontId="20" fillId="5" borderId="12" xfId="0" applyNumberFormat="1" applyFont="1" applyFill="1" applyBorder="1" applyAlignment="1">
      <alignment horizontal="center" vertical="center"/>
    </xf>
    <xf numFmtId="169" fontId="20" fillId="5" borderId="33" xfId="0" applyNumberFormat="1" applyFont="1" applyFill="1" applyBorder="1" applyAlignment="1">
      <alignment horizontal="center" vertical="center"/>
    </xf>
    <xf numFmtId="2" fontId="20" fillId="5" borderId="63" xfId="0" applyNumberFormat="1" applyFont="1" applyFill="1" applyBorder="1" applyAlignment="1">
      <alignment horizontal="center" vertical="center"/>
    </xf>
    <xf numFmtId="2" fontId="20" fillId="5" borderId="31" xfId="0" applyNumberFormat="1" applyFont="1" applyFill="1" applyBorder="1" applyAlignment="1">
      <alignment horizontal="center"/>
    </xf>
    <xf numFmtId="2" fontId="20" fillId="5" borderId="17" xfId="0" applyNumberFormat="1" applyFont="1" applyFill="1" applyBorder="1" applyAlignment="1">
      <alignment horizontal="center"/>
    </xf>
    <xf numFmtId="167" fontId="4" fillId="5" borderId="1" xfId="0" applyNumberFormat="1" applyFont="1" applyFill="1" applyBorder="1" applyAlignment="1">
      <alignment horizontal="center" vertical="center"/>
    </xf>
    <xf numFmtId="167" fontId="4" fillId="5" borderId="11" xfId="0" applyNumberFormat="1" applyFont="1" applyFill="1" applyBorder="1" applyAlignment="1">
      <alignment horizontal="center" vertical="center"/>
    </xf>
    <xf numFmtId="1" fontId="98" fillId="7" borderId="17" xfId="0" applyNumberFormat="1" applyFont="1" applyFill="1" applyBorder="1" applyAlignment="1">
      <alignment horizontal="center" vertical="center"/>
    </xf>
    <xf numFmtId="0" fontId="21" fillId="50" borderId="4" xfId="0" applyFont="1" applyFill="1" applyBorder="1" applyAlignment="1">
      <alignment horizontal="center" vertical="center"/>
    </xf>
    <xf numFmtId="0" fontId="21" fillId="50" borderId="26" xfId="0" applyFont="1" applyFill="1" applyBorder="1" applyAlignment="1">
      <alignment horizontal="center" vertical="center"/>
    </xf>
    <xf numFmtId="1" fontId="4" fillId="5" borderId="63" xfId="0" applyNumberFormat="1" applyFont="1" applyFill="1" applyBorder="1" applyAlignment="1">
      <alignment horizontal="center" vertical="center"/>
    </xf>
    <xf numFmtId="1" fontId="18" fillId="5" borderId="63" xfId="0" quotePrefix="1"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 fontId="20" fillId="8" borderId="0" xfId="0" applyNumberFormat="1" applyFont="1" applyFill="1"/>
    <xf numFmtId="1" fontId="45" fillId="8" borderId="41" xfId="0" applyNumberFormat="1" applyFont="1" applyFill="1" applyBorder="1" applyAlignment="1">
      <alignment horizontal="center" vertical="center"/>
    </xf>
    <xf numFmtId="167" fontId="7" fillId="8" borderId="17" xfId="0" applyNumberFormat="1" applyFont="1" applyFill="1" applyBorder="1" applyAlignment="1">
      <alignment horizontal="center" vertical="center"/>
    </xf>
    <xf numFmtId="1" fontId="20" fillId="5" borderId="66" xfId="0" applyNumberFormat="1" applyFont="1" applyFill="1" applyBorder="1" applyAlignment="1">
      <alignment horizontal="center" vertical="center"/>
    </xf>
    <xf numFmtId="1" fontId="18" fillId="5" borderId="67" xfId="0" applyNumberFormat="1" applyFont="1" applyFill="1" applyBorder="1" applyAlignment="1">
      <alignment horizontal="center" vertical="center"/>
    </xf>
    <xf numFmtId="0" fontId="27" fillId="8" borderId="20" xfId="0" applyFont="1" applyFill="1" applyBorder="1" applyAlignment="1">
      <alignment horizontal="left" vertical="center"/>
    </xf>
    <xf numFmtId="0" fontId="27" fillId="8" borderId="18" xfId="0" applyFont="1" applyFill="1" applyBorder="1" applyAlignment="1">
      <alignment horizontal="left" vertical="center"/>
    </xf>
    <xf numFmtId="0" fontId="14" fillId="8" borderId="20" xfId="0" applyFont="1" applyFill="1" applyBorder="1" applyAlignment="1">
      <alignment horizontal="right" vertical="center"/>
    </xf>
    <xf numFmtId="0" fontId="27" fillId="8" borderId="22" xfId="0" applyFont="1" applyFill="1" applyBorder="1" applyAlignment="1">
      <alignment horizontal="left" vertical="center"/>
    </xf>
    <xf numFmtId="1" fontId="20" fillId="6" borderId="30" xfId="0" applyNumberFormat="1" applyFont="1" applyFill="1" applyBorder="1" applyAlignment="1">
      <alignment horizontal="center" vertical="center"/>
    </xf>
    <xf numFmtId="167" fontId="21" fillId="5" borderId="5" xfId="0" applyNumberFormat="1" applyFont="1" applyFill="1" applyBorder="1" applyAlignment="1">
      <alignment horizontal="center" vertical="center"/>
    </xf>
    <xf numFmtId="167" fontId="21" fillId="6" borderId="5" xfId="0" applyNumberFormat="1" applyFont="1" applyFill="1" applyBorder="1" applyAlignment="1">
      <alignment horizontal="center" vertical="center"/>
    </xf>
    <xf numFmtId="167" fontId="20" fillId="6" borderId="63" xfId="0" applyNumberFormat="1" applyFont="1" applyFill="1" applyBorder="1" applyAlignment="1">
      <alignment horizontal="center" vertical="center"/>
    </xf>
    <xf numFmtId="167" fontId="20" fillId="6" borderId="62" xfId="0" applyNumberFormat="1" applyFont="1" applyFill="1" applyBorder="1" applyAlignment="1">
      <alignment horizontal="center" vertical="center"/>
    </xf>
    <xf numFmtId="2" fontId="20" fillId="6" borderId="63" xfId="0" applyNumberFormat="1" applyFont="1" applyFill="1" applyBorder="1" applyAlignment="1">
      <alignment horizontal="center" vertical="center"/>
    </xf>
    <xf numFmtId="2" fontId="20" fillId="6" borderId="31" xfId="0" applyNumberFormat="1" applyFont="1" applyFill="1" applyBorder="1" applyAlignment="1">
      <alignment horizontal="center"/>
    </xf>
    <xf numFmtId="170" fontId="12" fillId="6" borderId="10" xfId="0" applyNumberFormat="1" applyFont="1" applyFill="1" applyBorder="1" applyAlignment="1">
      <alignment horizontal="center" vertical="center"/>
    </xf>
    <xf numFmtId="9" fontId="21" fillId="6" borderId="10" xfId="22" applyFont="1" applyFill="1" applyBorder="1" applyAlignment="1">
      <alignment horizontal="center" vertical="center"/>
    </xf>
    <xf numFmtId="2" fontId="45" fillId="7" borderId="10" xfId="22" applyNumberFormat="1" applyFont="1" applyFill="1" applyBorder="1" applyAlignment="1">
      <alignment horizontal="center" vertical="center"/>
    </xf>
    <xf numFmtId="1" fontId="18" fillId="44" borderId="10" xfId="0" applyNumberFormat="1" applyFont="1" applyFill="1" applyBorder="1" applyAlignment="1">
      <alignment horizontal="center" vertical="center"/>
    </xf>
    <xf numFmtId="167" fontId="18" fillId="44" borderId="10" xfId="0" applyNumberFormat="1" applyFont="1" applyFill="1" applyBorder="1" applyAlignment="1">
      <alignment horizontal="center" vertical="center"/>
    </xf>
    <xf numFmtId="1" fontId="21" fillId="44" borderId="10" xfId="0" applyNumberFormat="1" applyFont="1" applyFill="1" applyBorder="1" applyAlignment="1">
      <alignment horizontal="center" vertical="center"/>
    </xf>
    <xf numFmtId="9" fontId="21" fillId="44" borderId="10" xfId="22" applyFont="1" applyFill="1" applyBorder="1" applyAlignment="1">
      <alignment horizontal="center" vertical="center"/>
    </xf>
    <xf numFmtId="0" fontId="26" fillId="44" borderId="25" xfId="0" applyFont="1" applyFill="1" applyBorder="1" applyAlignment="1">
      <alignment horizontal="center" vertical="center"/>
    </xf>
    <xf numFmtId="0" fontId="26" fillId="44" borderId="13" xfId="0" applyFont="1" applyFill="1" applyBorder="1" applyAlignment="1">
      <alignment horizontal="center" vertical="center"/>
    </xf>
    <xf numFmtId="1" fontId="12" fillId="44" borderId="47" xfId="0" applyNumberFormat="1" applyFont="1" applyFill="1" applyBorder="1" applyAlignment="1">
      <alignment horizontal="center"/>
    </xf>
    <xf numFmtId="1" fontId="21" fillId="44" borderId="25" xfId="0" applyNumberFormat="1" applyFont="1" applyFill="1" applyBorder="1" applyAlignment="1">
      <alignment horizontal="center"/>
    </xf>
    <xf numFmtId="1" fontId="21" fillId="44" borderId="13" xfId="0" applyNumberFormat="1" applyFont="1" applyFill="1" applyBorder="1" applyAlignment="1">
      <alignment horizontal="center"/>
    </xf>
    <xf numFmtId="1" fontId="26" fillId="44" borderId="25" xfId="0" applyNumberFormat="1" applyFont="1" applyFill="1" applyBorder="1" applyAlignment="1">
      <alignment horizontal="center"/>
    </xf>
    <xf numFmtId="1" fontId="26" fillId="44" borderId="13" xfId="0" applyNumberFormat="1" applyFont="1" applyFill="1" applyBorder="1" applyAlignment="1">
      <alignment horizontal="center"/>
    </xf>
    <xf numFmtId="1" fontId="21" fillId="44" borderId="51" xfId="0" applyNumberFormat="1" applyFont="1" applyFill="1" applyBorder="1" applyAlignment="1">
      <alignment horizontal="center"/>
    </xf>
    <xf numFmtId="1" fontId="21" fillId="44" borderId="20" xfId="0" applyNumberFormat="1" applyFont="1" applyFill="1" applyBorder="1" applyAlignment="1">
      <alignment horizontal="center"/>
    </xf>
    <xf numFmtId="0" fontId="36" fillId="8" borderId="10" xfId="0" applyFont="1" applyFill="1" applyBorder="1"/>
    <xf numFmtId="167" fontId="18" fillId="7" borderId="45" xfId="0" applyNumberFormat="1" applyFont="1" applyFill="1" applyBorder="1" applyAlignment="1">
      <alignment vertical="center"/>
    </xf>
    <xf numFmtId="164" fontId="131" fillId="8" borderId="62" xfId="0" quotePrefix="1" applyNumberFormat="1" applyFont="1" applyFill="1" applyBorder="1" applyAlignment="1">
      <alignment horizontal="left" vertical="center"/>
    </xf>
    <xf numFmtId="164" fontId="132" fillId="8" borderId="62" xfId="0" quotePrefix="1" applyNumberFormat="1" applyFont="1" applyFill="1" applyBorder="1" applyAlignment="1">
      <alignment horizontal="left" vertical="center"/>
    </xf>
    <xf numFmtId="0" fontId="132" fillId="0" borderId="37" xfId="0" applyFont="1" applyBorder="1" applyAlignment="1">
      <alignment horizontal="center" vertical="center"/>
    </xf>
    <xf numFmtId="164" fontId="132" fillId="0" borderId="31" xfId="0" quotePrefix="1" applyNumberFormat="1" applyFont="1" applyBorder="1" applyAlignment="1">
      <alignment horizontal="left" vertical="center"/>
    </xf>
    <xf numFmtId="164" fontId="132" fillId="0" borderId="6" xfId="0" quotePrefix="1" applyNumberFormat="1" applyFont="1" applyBorder="1" applyAlignment="1">
      <alignment horizontal="left" vertical="center"/>
    </xf>
    <xf numFmtId="164" fontId="132" fillId="0" borderId="74" xfId="0" quotePrefix="1" applyNumberFormat="1" applyFont="1" applyBorder="1" applyAlignment="1">
      <alignment horizontal="left" vertical="center"/>
    </xf>
    <xf numFmtId="164" fontId="132" fillId="0" borderId="0" xfId="0" quotePrefix="1" applyNumberFormat="1" applyFont="1" applyAlignment="1">
      <alignment horizontal="left" vertical="center"/>
    </xf>
    <xf numFmtId="0" fontId="132" fillId="0" borderId="64" xfId="0" applyFont="1" applyBorder="1" applyAlignment="1">
      <alignment horizontal="center" vertical="center"/>
    </xf>
    <xf numFmtId="164" fontId="37" fillId="0" borderId="12" xfId="0" quotePrefix="1" applyNumberFormat="1" applyFont="1" applyBorder="1" applyAlignment="1">
      <alignment horizontal="left" vertical="center"/>
    </xf>
    <xf numFmtId="164" fontId="37" fillId="0" borderId="29" xfId="0" quotePrefix="1" applyNumberFormat="1" applyFont="1" applyBorder="1" applyAlignment="1">
      <alignment horizontal="left" vertical="center"/>
    </xf>
    <xf numFmtId="0" fontId="0" fillId="0" borderId="0" xfId="0" quotePrefix="1"/>
    <xf numFmtId="1" fontId="0" fillId="0" borderId="0" xfId="0" applyNumberFormat="1" applyAlignment="1">
      <alignment horizontal="center" vertical="center"/>
    </xf>
    <xf numFmtId="0" fontId="0" fillId="49" borderId="10" xfId="0" applyFill="1" applyBorder="1"/>
    <xf numFmtId="1" fontId="0" fillId="49" borderId="10" xfId="0" applyNumberFormat="1" applyFill="1" applyBorder="1" applyAlignment="1">
      <alignment horizontal="center" vertical="center"/>
    </xf>
    <xf numFmtId="0" fontId="47" fillId="49" borderId="10" xfId="0" applyFont="1" applyFill="1" applyBorder="1"/>
    <xf numFmtId="1" fontId="45" fillId="49" borderId="10" xfId="0" applyNumberFormat="1" applyFont="1" applyFill="1" applyBorder="1" applyAlignment="1">
      <alignment horizontal="center"/>
    </xf>
    <xf numFmtId="167" fontId="45" fillId="0" borderId="0" xfId="0" applyNumberFormat="1" applyFont="1" applyAlignment="1">
      <alignment horizontal="center" vertical="center"/>
    </xf>
    <xf numFmtId="0" fontId="21" fillId="0" borderId="31" xfId="0" applyFont="1" applyBorder="1" applyAlignment="1">
      <alignment horizontal="left" vertical="top"/>
    </xf>
    <xf numFmtId="0" fontId="21" fillId="50" borderId="28" xfId="0" applyFont="1" applyFill="1" applyBorder="1" applyAlignment="1">
      <alignment horizontal="center" vertical="center"/>
    </xf>
    <xf numFmtId="1" fontId="20" fillId="50" borderId="10" xfId="0" applyNumberFormat="1" applyFont="1" applyFill="1" applyBorder="1" applyAlignment="1">
      <alignment horizontal="center" vertical="center"/>
    </xf>
    <xf numFmtId="1" fontId="4" fillId="8" borderId="39" xfId="0" applyNumberFormat="1" applyFont="1" applyFill="1" applyBorder="1" applyAlignment="1">
      <alignment vertical="center"/>
    </xf>
    <xf numFmtId="2" fontId="98" fillId="6" borderId="17" xfId="0" applyNumberFormat="1" applyFont="1" applyFill="1" applyBorder="1" applyAlignment="1">
      <alignment horizontal="center" vertical="center"/>
    </xf>
    <xf numFmtId="2" fontId="98" fillId="5" borderId="17" xfId="0" applyNumberFormat="1" applyFont="1" applyFill="1" applyBorder="1" applyAlignment="1">
      <alignment horizontal="center" vertical="center"/>
    </xf>
    <xf numFmtId="1" fontId="98" fillId="6" borderId="17" xfId="0" applyNumberFormat="1" applyFont="1" applyFill="1" applyBorder="1" applyAlignment="1">
      <alignment horizontal="center" vertical="center"/>
    </xf>
    <xf numFmtId="1" fontId="20" fillId="7" borderId="38" xfId="0" applyNumberFormat="1" applyFont="1" applyFill="1" applyBorder="1" applyAlignment="1">
      <alignment horizontal="center" vertical="center"/>
    </xf>
    <xf numFmtId="1" fontId="20" fillId="6" borderId="73" xfId="0" applyNumberFormat="1" applyFont="1" applyFill="1" applyBorder="1" applyAlignment="1">
      <alignment horizontal="center" vertical="center"/>
    </xf>
    <xf numFmtId="0" fontId="20" fillId="0" borderId="19" xfId="0" applyFont="1" applyBorder="1" applyAlignment="1">
      <alignment horizontal="center"/>
    </xf>
    <xf numFmtId="0" fontId="18" fillId="0" borderId="19" xfId="0" applyFont="1" applyBorder="1" applyAlignment="1">
      <alignment horizontal="center"/>
    </xf>
    <xf numFmtId="0" fontId="20" fillId="0" borderId="19" xfId="0" applyFont="1" applyBorder="1" applyAlignment="1">
      <alignment horizontal="center" vertical="center"/>
    </xf>
    <xf numFmtId="0" fontId="20" fillId="0" borderId="58" xfId="0" applyFont="1" applyBorder="1" applyAlignment="1">
      <alignment horizontal="center" vertical="center"/>
    </xf>
    <xf numFmtId="1" fontId="20" fillId="8" borderId="10" xfId="0" quotePrefix="1" applyNumberFormat="1" applyFont="1" applyFill="1" applyBorder="1" applyAlignment="1">
      <alignment horizontal="center" vertical="center"/>
    </xf>
    <xf numFmtId="0" fontId="45" fillId="8" borderId="37" xfId="0" applyFont="1" applyFill="1" applyBorder="1" applyAlignment="1">
      <alignment horizontal="center" vertical="center"/>
    </xf>
    <xf numFmtId="0" fontId="20" fillId="0" borderId="10" xfId="0" quotePrefix="1" applyFont="1" applyBorder="1" applyAlignment="1">
      <alignment horizontal="center" vertical="center"/>
    </xf>
    <xf numFmtId="1" fontId="20" fillId="45" borderId="62" xfId="0" applyNumberFormat="1" applyFont="1" applyFill="1" applyBorder="1" applyAlignment="1">
      <alignment horizontal="center" vertical="center"/>
    </xf>
    <xf numFmtId="1" fontId="20" fillId="45" borderId="74" xfId="0" applyNumberFormat="1" applyFont="1" applyFill="1" applyBorder="1" applyAlignment="1">
      <alignment horizontal="center" vertical="center"/>
    </xf>
    <xf numFmtId="0" fontId="21" fillId="8" borderId="29" xfId="0" applyFont="1" applyFill="1" applyBorder="1" applyAlignment="1">
      <alignment vertical="center"/>
    </xf>
    <xf numFmtId="0" fontId="21" fillId="8" borderId="6" xfId="0" applyFont="1" applyFill="1" applyBorder="1" applyAlignment="1">
      <alignment vertical="center"/>
    </xf>
    <xf numFmtId="0" fontId="18" fillId="8" borderId="52" xfId="0" applyFont="1" applyFill="1" applyBorder="1" applyAlignment="1">
      <alignment vertical="center"/>
    </xf>
    <xf numFmtId="0" fontId="18" fillId="8" borderId="50" xfId="0" applyFont="1" applyFill="1" applyBorder="1" applyAlignment="1">
      <alignment vertical="center"/>
    </xf>
    <xf numFmtId="0" fontId="19" fillId="0" borderId="23" xfId="0" applyFont="1" applyBorder="1" applyAlignment="1">
      <alignment horizontal="center" vertical="center"/>
    </xf>
    <xf numFmtId="2" fontId="19" fillId="0" borderId="23" xfId="0" applyNumberFormat="1" applyFont="1" applyBorder="1" applyAlignment="1">
      <alignment horizontal="center" vertical="center"/>
    </xf>
    <xf numFmtId="2" fontId="112" fillId="8" borderId="10" xfId="0" applyNumberFormat="1" applyFont="1" applyFill="1" applyBorder="1" applyAlignment="1">
      <alignment horizontal="center" vertical="center"/>
    </xf>
    <xf numFmtId="2" fontId="48" fillId="7" borderId="10" xfId="0" applyNumberFormat="1" applyFont="1" applyFill="1" applyBorder="1" applyAlignment="1">
      <alignment horizontal="center" vertical="center"/>
    </xf>
    <xf numFmtId="1" fontId="4" fillId="7" borderId="17" xfId="0" applyNumberFormat="1" applyFont="1" applyFill="1" applyBorder="1" applyAlignment="1">
      <alignment horizontal="center" vertical="center"/>
    </xf>
    <xf numFmtId="0" fontId="21" fillId="50" borderId="1" xfId="0" applyFont="1" applyFill="1" applyBorder="1" applyAlignment="1">
      <alignment horizontal="center" vertical="center"/>
    </xf>
    <xf numFmtId="2" fontId="48" fillId="5" borderId="10" xfId="0" applyNumberFormat="1" applyFont="1" applyFill="1" applyBorder="1" applyAlignment="1">
      <alignment horizontal="center" vertical="center"/>
    </xf>
    <xf numFmtId="0" fontId="4" fillId="8" borderId="34" xfId="0" applyFont="1" applyFill="1" applyBorder="1" applyAlignment="1">
      <alignment vertical="center"/>
    </xf>
    <xf numFmtId="9" fontId="21" fillId="8" borderId="30" xfId="22" applyFont="1" applyFill="1" applyBorder="1" applyAlignment="1">
      <alignment horizontal="center" vertical="center"/>
    </xf>
    <xf numFmtId="9" fontId="21" fillId="7" borderId="30" xfId="22" applyFont="1" applyFill="1" applyBorder="1" applyAlignment="1">
      <alignment horizontal="center" vertical="center"/>
    </xf>
    <xf numFmtId="9" fontId="21" fillId="5" borderId="30" xfId="22" applyFont="1" applyFill="1" applyBorder="1" applyAlignment="1">
      <alignment horizontal="center" vertical="center"/>
    </xf>
    <xf numFmtId="9" fontId="21" fillId="6" borderId="30" xfId="22" applyFont="1" applyFill="1" applyBorder="1" applyAlignment="1">
      <alignment horizontal="center" vertical="center"/>
    </xf>
    <xf numFmtId="9" fontId="21" fillId="6" borderId="48" xfId="22" applyFont="1" applyFill="1" applyBorder="1" applyAlignment="1">
      <alignment horizontal="center" vertical="center"/>
    </xf>
    <xf numFmtId="9" fontId="21" fillId="8" borderId="8" xfId="22" applyFont="1" applyFill="1" applyBorder="1" applyAlignment="1">
      <alignment horizontal="center" vertical="center"/>
    </xf>
    <xf numFmtId="0" fontId="4" fillId="8" borderId="30" xfId="0" applyFont="1" applyFill="1" applyBorder="1" applyAlignment="1">
      <alignment vertical="center"/>
    </xf>
    <xf numFmtId="169" fontId="12" fillId="5" borderId="10" xfId="0" applyNumberFormat="1" applyFont="1" applyFill="1" applyBorder="1" applyAlignment="1">
      <alignment horizontal="center" vertical="center"/>
    </xf>
    <xf numFmtId="0" fontId="54" fillId="0" borderId="0" xfId="376"/>
    <xf numFmtId="167" fontId="21" fillId="8" borderId="41" xfId="0" applyNumberFormat="1" applyFont="1" applyFill="1" applyBorder="1" applyAlignment="1">
      <alignment horizontal="center" vertical="center"/>
    </xf>
    <xf numFmtId="2" fontId="21" fillId="8" borderId="23" xfId="0" applyNumberFormat="1" applyFont="1" applyFill="1" applyBorder="1" applyAlignment="1">
      <alignment horizontal="center" vertical="center"/>
    </xf>
    <xf numFmtId="0" fontId="7" fillId="0" borderId="10" xfId="0" applyFont="1" applyBorder="1" applyAlignment="1">
      <alignment horizontal="left" vertical="center"/>
    </xf>
    <xf numFmtId="0" fontId="113" fillId="0" borderId="30" xfId="0" applyFont="1" applyBorder="1" applyAlignment="1">
      <alignment horizontal="left" vertical="center"/>
    </xf>
    <xf numFmtId="0" fontId="113" fillId="0" borderId="10" xfId="0" applyFont="1" applyBorder="1" applyAlignment="1">
      <alignment horizontal="left" vertical="center"/>
    </xf>
    <xf numFmtId="0" fontId="113" fillId="0" borderId="10" xfId="0" applyFont="1" applyBorder="1" applyAlignment="1">
      <alignment horizontal="left" vertical="center" wrapText="1"/>
    </xf>
    <xf numFmtId="0" fontId="0" fillId="0" borderId="41" xfId="0" applyBorder="1"/>
    <xf numFmtId="167" fontId="4" fillId="7" borderId="1" xfId="0" applyNumberFormat="1" applyFont="1" applyFill="1" applyBorder="1" applyAlignment="1">
      <alignment horizontal="center" vertical="center"/>
    </xf>
    <xf numFmtId="178" fontId="45" fillId="8" borderId="0" xfId="0" applyNumberFormat="1" applyFont="1" applyFill="1" applyAlignment="1">
      <alignment horizontal="center" vertical="center"/>
    </xf>
    <xf numFmtId="167" fontId="18" fillId="7" borderId="65" xfId="0" applyNumberFormat="1" applyFont="1" applyFill="1" applyBorder="1" applyAlignment="1">
      <alignment horizontal="center" vertical="center"/>
    </xf>
    <xf numFmtId="0" fontId="19" fillId="0" borderId="6" xfId="0" applyFont="1" applyBorder="1" applyAlignment="1">
      <alignment horizontal="center" vertical="center"/>
    </xf>
    <xf numFmtId="0" fontId="21" fillId="0" borderId="29" xfId="0" applyFont="1" applyBorder="1" applyAlignment="1">
      <alignment horizontal="center" vertical="center"/>
    </xf>
    <xf numFmtId="0" fontId="4" fillId="8" borderId="17" xfId="0" applyFont="1" applyFill="1" applyBorder="1" applyAlignment="1">
      <alignment vertical="center"/>
    </xf>
    <xf numFmtId="0" fontId="18" fillId="0" borderId="13" xfId="0" applyFont="1" applyBorder="1" applyAlignment="1">
      <alignment horizontal="center" vertical="center"/>
    </xf>
    <xf numFmtId="0" fontId="21" fillId="8" borderId="32" xfId="0" applyFont="1" applyFill="1" applyBorder="1" applyAlignment="1">
      <alignment horizontal="left" vertical="center"/>
    </xf>
    <xf numFmtId="1" fontId="21" fillId="8" borderId="32" xfId="0" applyNumberFormat="1" applyFont="1" applyFill="1" applyBorder="1" applyAlignment="1">
      <alignment horizontal="center" vertical="center"/>
    </xf>
    <xf numFmtId="0" fontId="32" fillId="8" borderId="35" xfId="0" applyFont="1" applyFill="1" applyBorder="1" applyAlignment="1">
      <alignment vertical="center"/>
    </xf>
    <xf numFmtId="0" fontId="20" fillId="0" borderId="31" xfId="0" applyFont="1" applyBorder="1" applyAlignment="1">
      <alignment horizontal="left" vertical="center" indent="1"/>
    </xf>
    <xf numFmtId="0" fontId="20" fillId="0" borderId="32" xfId="0" applyFont="1" applyBorder="1" applyAlignment="1">
      <alignment horizontal="left" vertical="center" indent="1"/>
    </xf>
    <xf numFmtId="0" fontId="20" fillId="0" borderId="63" xfId="0" applyFont="1" applyBorder="1" applyAlignment="1">
      <alignment horizontal="left" vertical="center" indent="1"/>
    </xf>
    <xf numFmtId="0" fontId="20" fillId="0" borderId="47" xfId="0" applyFont="1" applyBorder="1" applyAlignment="1">
      <alignment horizontal="left" vertical="center" indent="1"/>
    </xf>
    <xf numFmtId="0" fontId="20" fillId="0" borderId="62" xfId="0" applyFont="1" applyBorder="1" applyAlignment="1">
      <alignment horizontal="left" vertical="center" indent="1"/>
    </xf>
    <xf numFmtId="0" fontId="18" fillId="0" borderId="1" xfId="0" applyFont="1" applyBorder="1" applyAlignment="1">
      <alignment horizontal="left" vertical="center" indent="1"/>
    </xf>
    <xf numFmtId="0" fontId="20" fillId="0" borderId="34" xfId="0" applyFont="1" applyBorder="1" applyAlignment="1">
      <alignment horizontal="left" vertical="center" wrapText="1" indent="1"/>
    </xf>
    <xf numFmtId="0" fontId="20" fillId="8" borderId="31" xfId="0" applyFont="1" applyFill="1" applyBorder="1" applyAlignment="1">
      <alignment horizontal="left" vertical="center" indent="1"/>
    </xf>
    <xf numFmtId="0" fontId="18" fillId="8" borderId="0" xfId="0" applyFont="1" applyFill="1" applyAlignment="1">
      <alignment horizontal="center" vertical="center"/>
    </xf>
    <xf numFmtId="0" fontId="20" fillId="0" borderId="34" xfId="0" applyFont="1" applyBorder="1" applyAlignment="1">
      <alignment horizontal="left" vertical="center" indent="1"/>
    </xf>
    <xf numFmtId="0" fontId="20" fillId="0" borderId="9" xfId="0" applyFont="1" applyBorder="1" applyAlignment="1">
      <alignment horizontal="left" vertical="center" indent="1"/>
    </xf>
    <xf numFmtId="0" fontId="20" fillId="0" borderId="74" xfId="0" applyFont="1" applyBorder="1" applyAlignment="1">
      <alignment horizontal="left" vertical="center" wrapText="1" indent="1"/>
    </xf>
    <xf numFmtId="0" fontId="21" fillId="0" borderId="74" xfId="0" applyFont="1" applyBorder="1" applyAlignment="1">
      <alignment horizontal="left" vertical="center" indent="1"/>
    </xf>
    <xf numFmtId="168" fontId="20" fillId="0" borderId="31" xfId="0" applyNumberFormat="1" applyFont="1" applyBorder="1" applyAlignment="1">
      <alignment horizontal="left" indent="1"/>
    </xf>
    <xf numFmtId="168" fontId="20" fillId="0" borderId="10" xfId="0" applyNumberFormat="1" applyFont="1" applyBorder="1" applyAlignment="1">
      <alignment horizontal="left" vertical="center" indent="1"/>
    </xf>
    <xf numFmtId="0" fontId="48" fillId="0" borderId="10" xfId="0" applyFont="1" applyBorder="1" applyAlignment="1">
      <alignment horizontal="left" indent="1"/>
    </xf>
    <xf numFmtId="0" fontId="18" fillId="0" borderId="62" xfId="0" applyFont="1" applyBorder="1" applyAlignment="1">
      <alignment horizontal="left" vertical="center" indent="1"/>
    </xf>
    <xf numFmtId="0" fontId="20" fillId="0" borderId="10" xfId="0" applyFont="1" applyBorder="1" applyAlignment="1">
      <alignment horizontal="right" vertical="center" indent="2"/>
    </xf>
    <xf numFmtId="1" fontId="26" fillId="0" borderId="11" xfId="0" applyNumberFormat="1" applyFont="1" applyBorder="1" applyAlignment="1">
      <alignment horizontal="center" vertical="center"/>
    </xf>
    <xf numFmtId="0" fontId="46" fillId="0" borderId="10" xfId="0" applyFont="1" applyBorder="1" applyAlignment="1">
      <alignment vertical="center"/>
    </xf>
    <xf numFmtId="1" fontId="21" fillId="0" borderId="10" xfId="0" applyNumberFormat="1" applyFont="1" applyBorder="1" applyAlignment="1">
      <alignment horizontal="center" vertical="center"/>
    </xf>
    <xf numFmtId="1" fontId="20" fillId="45" borderId="10" xfId="0" applyNumberFormat="1" applyFont="1" applyFill="1" applyBorder="1" applyAlignment="1">
      <alignment horizontal="center" vertical="center"/>
    </xf>
    <xf numFmtId="1" fontId="20" fillId="45" borderId="41" xfId="0" applyNumberFormat="1" applyFont="1" applyFill="1" applyBorder="1" applyAlignment="1">
      <alignment horizontal="center" vertical="center"/>
    </xf>
    <xf numFmtId="0" fontId="45" fillId="45" borderId="10" xfId="0" applyFont="1" applyFill="1" applyBorder="1"/>
    <xf numFmtId="167" fontId="21" fillId="45" borderId="10" xfId="0" applyNumberFormat="1" applyFont="1" applyFill="1" applyBorder="1" applyAlignment="1">
      <alignment horizontal="center" vertical="center"/>
    </xf>
    <xf numFmtId="167" fontId="20" fillId="45" borderId="45" xfId="0" applyNumberFormat="1" applyFont="1" applyFill="1" applyBorder="1" applyAlignment="1">
      <alignment horizontal="center" vertical="center"/>
    </xf>
    <xf numFmtId="167" fontId="20" fillId="45" borderId="23" xfId="0" applyNumberFormat="1" applyFont="1" applyFill="1" applyBorder="1" applyAlignment="1">
      <alignment horizontal="center" vertical="center"/>
    </xf>
    <xf numFmtId="0" fontId="21" fillId="8" borderId="31" xfId="0" applyFont="1" applyFill="1" applyBorder="1" applyAlignment="1">
      <alignment horizontal="left" vertical="center" indent="1"/>
    </xf>
    <xf numFmtId="0" fontId="0" fillId="0" borderId="54" xfId="0" applyBorder="1"/>
    <xf numFmtId="0" fontId="20" fillId="0" borderId="52" xfId="0" applyFont="1" applyBorder="1" applyAlignment="1">
      <alignment horizontal="left" indent="1"/>
    </xf>
    <xf numFmtId="0" fontId="20" fillId="0" borderId="70" xfId="0" applyFont="1" applyBorder="1" applyAlignment="1">
      <alignment horizontal="left" indent="1"/>
    </xf>
    <xf numFmtId="0" fontId="20" fillId="0" borderId="44" xfId="0" applyFont="1" applyBorder="1" applyAlignment="1">
      <alignment horizontal="left" indent="1"/>
    </xf>
    <xf numFmtId="0" fontId="20" fillId="0" borderId="51" xfId="0" applyFont="1" applyBorder="1" applyAlignment="1">
      <alignment horizontal="left" indent="1"/>
    </xf>
    <xf numFmtId="1" fontId="20" fillId="5" borderId="9" xfId="0" applyNumberFormat="1" applyFont="1" applyFill="1" applyBorder="1" applyAlignment="1">
      <alignment horizontal="center" vertical="center"/>
    </xf>
    <xf numFmtId="1" fontId="20" fillId="0" borderId="26" xfId="0" applyNumberFormat="1" applyFont="1" applyBorder="1" applyAlignment="1">
      <alignment horizontal="center" vertical="center"/>
    </xf>
    <xf numFmtId="0" fontId="21" fillId="0" borderId="20" xfId="0" applyFont="1" applyBorder="1" applyAlignment="1">
      <alignment horizontal="center" vertical="center"/>
    </xf>
    <xf numFmtId="167" fontId="18" fillId="0" borderId="41" xfId="0" applyNumberFormat="1" applyFont="1" applyBorder="1" applyAlignment="1">
      <alignment horizontal="center" vertical="center"/>
    </xf>
    <xf numFmtId="167" fontId="18" fillId="7" borderId="41" xfId="0" applyNumberFormat="1" applyFont="1" applyFill="1" applyBorder="1" applyAlignment="1">
      <alignment horizontal="center" vertical="center"/>
    </xf>
    <xf numFmtId="167" fontId="18" fillId="5" borderId="41" xfId="0" applyNumberFormat="1" applyFont="1" applyFill="1" applyBorder="1" applyAlignment="1">
      <alignment horizontal="center" vertical="center"/>
    </xf>
    <xf numFmtId="0" fontId="20" fillId="0" borderId="31" xfId="0" applyFont="1" applyBorder="1" applyAlignment="1">
      <alignment horizontal="left" indent="1"/>
    </xf>
    <xf numFmtId="0" fontId="20" fillId="0" borderId="63" xfId="0" applyFont="1" applyBorder="1" applyAlignment="1">
      <alignment horizontal="left" indent="1"/>
    </xf>
    <xf numFmtId="0" fontId="20" fillId="0" borderId="62" xfId="0" applyFont="1" applyBorder="1" applyAlignment="1">
      <alignment horizontal="left" indent="1"/>
    </xf>
    <xf numFmtId="0" fontId="18" fillId="0" borderId="1" xfId="0" applyFont="1" applyBorder="1"/>
    <xf numFmtId="0" fontId="21" fillId="8" borderId="40" xfId="0" applyFont="1" applyFill="1" applyBorder="1"/>
    <xf numFmtId="0" fontId="21" fillId="8" borderId="45" xfId="0" applyFont="1" applyFill="1" applyBorder="1" applyAlignment="1">
      <alignment vertical="center"/>
    </xf>
    <xf numFmtId="0" fontId="21" fillId="8" borderId="35" xfId="0" applyFont="1" applyFill="1" applyBorder="1" applyAlignment="1">
      <alignment vertical="center"/>
    </xf>
    <xf numFmtId="9" fontId="21" fillId="8" borderId="54" xfId="22" applyFont="1" applyFill="1" applyBorder="1" applyAlignment="1">
      <alignment vertical="center"/>
    </xf>
    <xf numFmtId="0" fontId="19" fillId="0" borderId="41" xfId="0" applyFont="1" applyBorder="1" applyAlignment="1">
      <alignment horizontal="center" vertical="center"/>
    </xf>
    <xf numFmtId="2" fontId="19" fillId="0" borderId="41" xfId="0" applyNumberFormat="1" applyFont="1" applyBorder="1" applyAlignment="1">
      <alignment horizontal="center" vertical="center"/>
    </xf>
    <xf numFmtId="2" fontId="19" fillId="7" borderId="41" xfId="0" applyNumberFormat="1" applyFont="1" applyFill="1" applyBorder="1" applyAlignment="1">
      <alignment horizontal="center" vertical="center"/>
    </xf>
    <xf numFmtId="2" fontId="19" fillId="5" borderId="41" xfId="0" applyNumberFormat="1" applyFont="1" applyFill="1" applyBorder="1" applyAlignment="1">
      <alignment horizontal="center" vertical="center"/>
    </xf>
    <xf numFmtId="2" fontId="19" fillId="7" borderId="42" xfId="0" applyNumberFormat="1" applyFont="1" applyFill="1" applyBorder="1" applyAlignment="1">
      <alignment horizontal="center" vertical="center"/>
    </xf>
    <xf numFmtId="2" fontId="19" fillId="7" borderId="23" xfId="0" applyNumberFormat="1" applyFont="1" applyFill="1" applyBorder="1" applyAlignment="1">
      <alignment horizontal="center" vertical="center"/>
    </xf>
    <xf numFmtId="2" fontId="19" fillId="5" borderId="23" xfId="0" applyNumberFormat="1" applyFont="1" applyFill="1" applyBorder="1" applyAlignment="1">
      <alignment horizontal="center" vertical="center"/>
    </xf>
    <xf numFmtId="2" fontId="19" fillId="7" borderId="33" xfId="0" applyNumberFormat="1" applyFont="1" applyFill="1" applyBorder="1" applyAlignment="1">
      <alignment horizontal="center" vertical="center"/>
    </xf>
    <xf numFmtId="2" fontId="18" fillId="0" borderId="41" xfId="0" applyNumberFormat="1" applyFont="1" applyBorder="1" applyAlignment="1">
      <alignment horizontal="center" vertical="center"/>
    </xf>
    <xf numFmtId="2" fontId="18" fillId="0" borderId="23" xfId="0" applyNumberFormat="1" applyFont="1" applyBorder="1" applyAlignment="1">
      <alignment horizontal="center" vertical="center"/>
    </xf>
    <xf numFmtId="1" fontId="20" fillId="8" borderId="55" xfId="0" applyNumberFormat="1" applyFont="1" applyFill="1" applyBorder="1" applyAlignment="1">
      <alignment horizontal="center" vertical="center"/>
    </xf>
    <xf numFmtId="1" fontId="20" fillId="8" borderId="1" xfId="0" applyNumberFormat="1" applyFont="1" applyFill="1" applyBorder="1" applyAlignment="1">
      <alignment horizontal="center" vertical="center"/>
    </xf>
    <xf numFmtId="1" fontId="20" fillId="8" borderId="21" xfId="0" applyNumberFormat="1" applyFont="1" applyFill="1" applyBorder="1" applyAlignment="1">
      <alignment horizontal="center" vertical="center"/>
    </xf>
    <xf numFmtId="1" fontId="20" fillId="7" borderId="1" xfId="0" applyNumberFormat="1" applyFont="1" applyFill="1" applyBorder="1" applyAlignment="1">
      <alignment horizontal="center" vertical="center"/>
    </xf>
    <xf numFmtId="1" fontId="20" fillId="7" borderId="11" xfId="0" applyNumberFormat="1" applyFont="1" applyFill="1" applyBorder="1" applyAlignment="1">
      <alignment horizontal="center" vertical="center"/>
    </xf>
    <xf numFmtId="1" fontId="20" fillId="5" borderId="1" xfId="0" applyNumberFormat="1" applyFont="1" applyFill="1" applyBorder="1" applyAlignment="1">
      <alignment horizontal="center" vertical="center"/>
    </xf>
    <xf numFmtId="1" fontId="20" fillId="5" borderId="21" xfId="0" applyNumberFormat="1" applyFont="1" applyFill="1" applyBorder="1" applyAlignment="1">
      <alignment horizontal="center" vertical="center"/>
    </xf>
    <xf numFmtId="0" fontId="20" fillId="0" borderId="47" xfId="0" applyFont="1" applyBorder="1" applyAlignment="1">
      <alignment horizontal="right" indent="1"/>
    </xf>
    <xf numFmtId="0" fontId="20" fillId="0" borderId="70" xfId="0" applyFont="1" applyBorder="1" applyAlignment="1">
      <alignment horizontal="right" indent="1"/>
    </xf>
    <xf numFmtId="0" fontId="18" fillId="0" borderId="25" xfId="0" applyFont="1" applyBorder="1" applyAlignment="1">
      <alignment horizontal="right" indent="1"/>
    </xf>
    <xf numFmtId="0" fontId="20" fillId="0" borderId="52" xfId="0" applyFont="1" applyBorder="1" applyAlignment="1">
      <alignment horizontal="right" indent="1"/>
    </xf>
    <xf numFmtId="0" fontId="18" fillId="0" borderId="2" xfId="0" applyFont="1" applyBorder="1" applyAlignment="1">
      <alignment horizontal="right" indent="1"/>
    </xf>
    <xf numFmtId="0" fontId="20" fillId="0" borderId="63" xfId="0" applyFont="1" applyBorder="1" applyAlignment="1">
      <alignment horizontal="right" vertical="center" indent="1"/>
    </xf>
    <xf numFmtId="0" fontId="20" fillId="0" borderId="32" xfId="0" applyFont="1" applyBorder="1" applyAlignment="1">
      <alignment horizontal="right" vertical="center" indent="1"/>
    </xf>
    <xf numFmtId="0" fontId="21" fillId="0" borderId="25" xfId="0" applyFont="1" applyBorder="1" applyAlignment="1">
      <alignment horizontal="left" indent="1"/>
    </xf>
    <xf numFmtId="0" fontId="20" fillId="0" borderId="63" xfId="0" applyFont="1" applyBorder="1" applyAlignment="1">
      <alignment horizontal="left" indent="2"/>
    </xf>
    <xf numFmtId="0" fontId="20" fillId="0" borderId="31" xfId="0" applyFont="1" applyBorder="1" applyAlignment="1">
      <alignment horizontal="left" indent="2"/>
    </xf>
    <xf numFmtId="0" fontId="18" fillId="8" borderId="74" xfId="0" applyFont="1" applyFill="1" applyBorder="1" applyAlignment="1">
      <alignment horizontal="left" indent="1"/>
    </xf>
    <xf numFmtId="0" fontId="5" fillId="8" borderId="52" xfId="0" applyFont="1" applyFill="1" applyBorder="1" applyAlignment="1">
      <alignment horizontal="left" vertical="center" indent="1"/>
    </xf>
    <xf numFmtId="0" fontId="18" fillId="8" borderId="25" xfId="0" applyFont="1" applyFill="1" applyBorder="1" applyAlignment="1">
      <alignment horizontal="right" vertical="center" indent="2"/>
    </xf>
    <xf numFmtId="0" fontId="18" fillId="8" borderId="13" xfId="0" applyFont="1" applyFill="1" applyBorder="1" applyAlignment="1">
      <alignment horizontal="left" indent="1"/>
    </xf>
    <xf numFmtId="0" fontId="5" fillId="8" borderId="35" xfId="0" applyFont="1" applyFill="1" applyBorder="1" applyAlignment="1">
      <alignment horizontal="left" vertical="center" indent="1"/>
    </xf>
    <xf numFmtId="0" fontId="5" fillId="8" borderId="40" xfId="0" applyFont="1" applyFill="1" applyBorder="1" applyAlignment="1">
      <alignment vertical="center"/>
    </xf>
    <xf numFmtId="167" fontId="18" fillId="7" borderId="17" xfId="0" applyNumberFormat="1" applyFont="1" applyFill="1" applyBorder="1" applyAlignment="1">
      <alignment horizontal="center" vertical="center"/>
    </xf>
    <xf numFmtId="167" fontId="20" fillId="0" borderId="49" xfId="0" applyNumberFormat="1" applyFont="1" applyBorder="1" applyAlignment="1">
      <alignment horizontal="center" vertical="center"/>
    </xf>
    <xf numFmtId="167" fontId="20" fillId="0" borderId="32" xfId="0" applyNumberFormat="1" applyFont="1" applyBorder="1" applyAlignment="1">
      <alignment horizontal="center" vertical="center"/>
    </xf>
    <xf numFmtId="167" fontId="20" fillId="0" borderId="33" xfId="0" applyNumberFormat="1" applyFont="1" applyBorder="1" applyAlignment="1">
      <alignment horizontal="center" vertical="center"/>
    </xf>
    <xf numFmtId="167" fontId="20" fillId="5" borderId="32" xfId="0" applyNumberFormat="1" applyFont="1" applyFill="1" applyBorder="1" applyAlignment="1">
      <alignment horizontal="center" vertical="center"/>
    </xf>
    <xf numFmtId="0" fontId="5" fillId="8" borderId="22" xfId="0" applyFont="1" applyFill="1" applyBorder="1" applyAlignment="1">
      <alignment horizontal="center"/>
    </xf>
    <xf numFmtId="167" fontId="0" fillId="0" borderId="39" xfId="0" applyNumberFormat="1" applyBorder="1"/>
    <xf numFmtId="167" fontId="0" fillId="0" borderId="56" xfId="0" applyNumberFormat="1" applyBorder="1"/>
    <xf numFmtId="0" fontId="5" fillId="8" borderId="44" xfId="0" applyFont="1" applyFill="1" applyBorder="1" applyAlignment="1">
      <alignment horizontal="left" vertical="center" indent="1"/>
    </xf>
    <xf numFmtId="0" fontId="20" fillId="0" borderId="47" xfId="0" applyFont="1" applyBorder="1" applyAlignment="1">
      <alignment horizontal="right" vertical="center" indent="1"/>
    </xf>
    <xf numFmtId="0" fontId="20" fillId="0" borderId="70" xfId="0" applyFont="1" applyBorder="1" applyAlignment="1">
      <alignment horizontal="right" vertical="center" indent="1"/>
    </xf>
    <xf numFmtId="0" fontId="20" fillId="0" borderId="47" xfId="0" applyFont="1" applyBorder="1" applyAlignment="1">
      <alignment horizontal="right" vertical="center" indent="2"/>
    </xf>
    <xf numFmtId="0" fontId="20" fillId="0" borderId="70" xfId="0" applyFont="1" applyBorder="1" applyAlignment="1">
      <alignment horizontal="right" vertical="center" indent="2"/>
    </xf>
    <xf numFmtId="0" fontId="20" fillId="0" borderId="31" xfId="0" applyFont="1" applyBorder="1" applyAlignment="1">
      <alignment horizontal="right" vertical="center" indent="1"/>
    </xf>
    <xf numFmtId="0" fontId="20" fillId="0" borderId="31" xfId="0" applyFont="1" applyBorder="1" applyAlignment="1">
      <alignment horizontal="right" vertical="center" indent="2"/>
    </xf>
    <xf numFmtId="0" fontId="20" fillId="0" borderId="62" xfId="0" applyFont="1" applyBorder="1" applyAlignment="1">
      <alignment horizontal="right" vertical="center" indent="2"/>
    </xf>
    <xf numFmtId="0" fontId="18" fillId="0" borderId="10" xfId="0" applyFont="1" applyBorder="1" applyAlignment="1">
      <alignment horizontal="right" vertical="center" indent="2"/>
    </xf>
    <xf numFmtId="0" fontId="18" fillId="0" borderId="25" xfId="0" applyFont="1" applyBorder="1" applyAlignment="1">
      <alignment horizontal="right" vertical="center" indent="2"/>
    </xf>
    <xf numFmtId="0" fontId="4" fillId="8" borderId="44" xfId="0" applyFont="1" applyFill="1" applyBorder="1" applyAlignment="1">
      <alignment horizontal="left" vertical="center" indent="1"/>
    </xf>
    <xf numFmtId="0" fontId="20" fillId="0" borderId="52" xfId="0" applyFont="1" applyBorder="1" applyAlignment="1">
      <alignment horizontal="right" vertical="center" indent="1"/>
    </xf>
    <xf numFmtId="0" fontId="20" fillId="0" borderId="35" xfId="0" applyFont="1" applyBorder="1" applyAlignment="1">
      <alignment horizontal="right" vertical="center" indent="1"/>
    </xf>
    <xf numFmtId="0" fontId="20" fillId="0" borderId="52" xfId="0" applyFont="1" applyBorder="1" applyAlignment="1">
      <alignment horizontal="right" vertical="center" indent="2"/>
    </xf>
    <xf numFmtId="0" fontId="18" fillId="0" borderId="57" xfId="0" applyFont="1" applyBorder="1" applyAlignment="1">
      <alignment horizontal="right" vertical="center" indent="2"/>
    </xf>
    <xf numFmtId="0" fontId="20" fillId="0" borderId="35" xfId="0" applyFont="1" applyBorder="1" applyAlignment="1">
      <alignment horizontal="right" vertical="center" indent="2"/>
    </xf>
    <xf numFmtId="0" fontId="18" fillId="0" borderId="2" xfId="0" applyFont="1" applyBorder="1" applyAlignment="1">
      <alignment horizontal="right" vertical="center" indent="2"/>
    </xf>
    <xf numFmtId="0" fontId="21" fillId="0" borderId="47" xfId="0" applyFont="1" applyBorder="1" applyAlignment="1">
      <alignment horizontal="right" vertical="center" indent="1"/>
    </xf>
    <xf numFmtId="168" fontId="20" fillId="0" borderId="47" xfId="0" applyNumberFormat="1" applyFont="1" applyBorder="1" applyAlignment="1">
      <alignment horizontal="right" vertical="center" indent="1"/>
    </xf>
    <xf numFmtId="168" fontId="20" fillId="0" borderId="47" xfId="0" quotePrefix="1" applyNumberFormat="1" applyFont="1" applyBorder="1" applyAlignment="1">
      <alignment horizontal="right" vertical="center" indent="1"/>
    </xf>
    <xf numFmtId="0" fontId="4" fillId="8" borderId="2" xfId="0" applyFont="1" applyFill="1" applyBorder="1" applyAlignment="1">
      <alignment vertical="center"/>
    </xf>
    <xf numFmtId="0" fontId="5" fillId="8" borderId="22" xfId="0" applyFont="1" applyFill="1" applyBorder="1" applyAlignment="1">
      <alignment horizontal="center" vertical="center"/>
    </xf>
    <xf numFmtId="0" fontId="4" fillId="8" borderId="2" xfId="0" applyFont="1" applyFill="1" applyBorder="1" applyAlignment="1">
      <alignment horizontal="left" vertical="center" indent="1"/>
    </xf>
    <xf numFmtId="169" fontId="20" fillId="7" borderId="27" xfId="0" applyNumberFormat="1" applyFont="1" applyFill="1" applyBorder="1" applyAlignment="1">
      <alignment horizontal="center" vertical="center"/>
    </xf>
    <xf numFmtId="167" fontId="0" fillId="0" borderId="54" xfId="0" applyNumberFormat="1" applyBorder="1"/>
    <xf numFmtId="167" fontId="20" fillId="7" borderId="12" xfId="0" applyNumberFormat="1" applyFont="1" applyFill="1" applyBorder="1" applyAlignment="1">
      <alignment horizontal="center" vertical="center"/>
    </xf>
    <xf numFmtId="169" fontId="20" fillId="7" borderId="20" xfId="0" applyNumberFormat="1" applyFont="1" applyFill="1" applyBorder="1" applyAlignment="1">
      <alignment horizontal="center" vertical="center"/>
    </xf>
    <xf numFmtId="2" fontId="20" fillId="7" borderId="17" xfId="0" applyNumberFormat="1" applyFont="1" applyFill="1" applyBorder="1" applyAlignment="1">
      <alignment horizontal="center"/>
    </xf>
    <xf numFmtId="2" fontId="20" fillId="7" borderId="23" xfId="0" applyNumberFormat="1" applyFont="1" applyFill="1" applyBorder="1" applyAlignment="1">
      <alignment horizontal="center"/>
    </xf>
    <xf numFmtId="2" fontId="20" fillId="7" borderId="33" xfId="0" applyNumberFormat="1" applyFont="1" applyFill="1" applyBorder="1" applyAlignment="1">
      <alignment horizontal="center"/>
    </xf>
    <xf numFmtId="0" fontId="18" fillId="8" borderId="18" xfId="0" applyFont="1" applyFill="1" applyBorder="1" applyAlignment="1">
      <alignment vertical="center"/>
    </xf>
    <xf numFmtId="0" fontId="20" fillId="0" borderId="25" xfId="0" applyFont="1" applyBorder="1" applyAlignment="1">
      <alignment horizontal="left" vertical="center" indent="1"/>
    </xf>
    <xf numFmtId="0" fontId="21" fillId="0" borderId="70" xfId="0" applyFont="1" applyBorder="1" applyAlignment="1">
      <alignment horizontal="right" vertical="center" indent="2"/>
    </xf>
    <xf numFmtId="0" fontId="20" fillId="0" borderId="25" xfId="0" applyFont="1" applyBorder="1" applyAlignment="1">
      <alignment horizontal="right" vertical="center" indent="2"/>
    </xf>
    <xf numFmtId="0" fontId="18" fillId="0" borderId="60" xfId="0" applyFont="1" applyBorder="1" applyAlignment="1">
      <alignment horizontal="center"/>
    </xf>
    <xf numFmtId="1" fontId="18" fillId="0" borderId="43" xfId="0" applyNumberFormat="1" applyFont="1" applyBorder="1" applyAlignment="1">
      <alignment horizontal="center" vertical="center"/>
    </xf>
    <xf numFmtId="1" fontId="18" fillId="5" borderId="43" xfId="0" applyNumberFormat="1" applyFont="1" applyFill="1" applyBorder="1" applyAlignment="1">
      <alignment horizontal="center" vertical="center"/>
    </xf>
    <xf numFmtId="1" fontId="0" fillId="0" borderId="39" xfId="0" applyNumberFormat="1" applyBorder="1"/>
    <xf numFmtId="1" fontId="0" fillId="0" borderId="56" xfId="0" applyNumberFormat="1" applyBorder="1"/>
    <xf numFmtId="167" fontId="0" fillId="0" borderId="35" xfId="0" applyNumberFormat="1" applyBorder="1"/>
    <xf numFmtId="167" fontId="5" fillId="8" borderId="7" xfId="0" applyNumberFormat="1" applyFont="1" applyFill="1" applyBorder="1" applyAlignment="1">
      <alignment vertical="center"/>
    </xf>
    <xf numFmtId="167" fontId="5" fillId="8" borderId="52" xfId="0" applyNumberFormat="1" applyFont="1" applyFill="1" applyBorder="1" applyAlignment="1">
      <alignment vertical="center"/>
    </xf>
    <xf numFmtId="167" fontId="5" fillId="8" borderId="50" xfId="0" applyNumberFormat="1" applyFont="1" applyFill="1" applyBorder="1" applyAlignment="1">
      <alignment vertical="center"/>
    </xf>
    <xf numFmtId="0" fontId="20" fillId="0" borderId="44" xfId="0" applyFont="1" applyBorder="1" applyAlignment="1">
      <alignment horizontal="right" vertical="center" indent="2"/>
    </xf>
    <xf numFmtId="167" fontId="20" fillId="0" borderId="24" xfId="0" applyNumberFormat="1" applyFont="1" applyBorder="1" applyAlignment="1">
      <alignment horizontal="center" vertical="center"/>
    </xf>
    <xf numFmtId="167" fontId="20" fillId="0" borderId="61" xfId="0" applyNumberFormat="1" applyFont="1" applyBorder="1" applyAlignment="1">
      <alignment horizontal="center" vertical="center"/>
    </xf>
    <xf numFmtId="167" fontId="20" fillId="7" borderId="61" xfId="0" applyNumberFormat="1" applyFont="1" applyFill="1" applyBorder="1" applyAlignment="1">
      <alignment horizontal="center" vertical="center"/>
    </xf>
    <xf numFmtId="167" fontId="20" fillId="5" borderId="61" xfId="0" applyNumberFormat="1" applyFont="1" applyFill="1" applyBorder="1" applyAlignment="1">
      <alignment horizontal="center" vertical="center"/>
    </xf>
    <xf numFmtId="168" fontId="20" fillId="0" borderId="47" xfId="0" applyNumberFormat="1" applyFont="1" applyBorder="1" applyAlignment="1">
      <alignment horizontal="left" vertical="center" indent="1"/>
    </xf>
    <xf numFmtId="168" fontId="20" fillId="0" borderId="51" xfId="0" applyNumberFormat="1" applyFont="1" applyBorder="1" applyAlignment="1">
      <alignment horizontal="left" vertical="center" indent="1"/>
    </xf>
    <xf numFmtId="0" fontId="29" fillId="8" borderId="47" xfId="0" applyFont="1" applyFill="1" applyBorder="1" applyAlignment="1">
      <alignment horizontal="left" indent="1"/>
    </xf>
    <xf numFmtId="0" fontId="4" fillId="8" borderId="47" xfId="0" applyFont="1" applyFill="1" applyBorder="1" applyAlignment="1">
      <alignment horizontal="left" vertical="center" indent="1"/>
    </xf>
    <xf numFmtId="0" fontId="4" fillId="8" borderId="47" xfId="0" applyFont="1" applyFill="1" applyBorder="1" applyAlignment="1">
      <alignment horizontal="left" indent="1"/>
    </xf>
    <xf numFmtId="0" fontId="18" fillId="8" borderId="44" xfId="0" applyFont="1" applyFill="1" applyBorder="1" applyAlignment="1">
      <alignment horizontal="left" vertical="center" indent="1"/>
    </xf>
    <xf numFmtId="0" fontId="4" fillId="8" borderId="52" xfId="0" applyFont="1" applyFill="1" applyBorder="1" applyAlignment="1">
      <alignment horizontal="left" indent="1"/>
    </xf>
    <xf numFmtId="0" fontId="5" fillId="8" borderId="47" xfId="0" applyFont="1" applyFill="1" applyBorder="1" applyAlignment="1">
      <alignment horizontal="left" vertical="center" indent="1"/>
    </xf>
    <xf numFmtId="0" fontId="45" fillId="0" borderId="25" xfId="0" applyFont="1" applyBorder="1" applyAlignment="1">
      <alignment horizontal="left" indent="1"/>
    </xf>
    <xf numFmtId="0" fontId="4" fillId="0" borderId="25" xfId="0" applyFont="1" applyBorder="1" applyAlignment="1">
      <alignment horizontal="right" vertical="center" indent="1"/>
    </xf>
    <xf numFmtId="0" fontId="4" fillId="0" borderId="57" xfId="0" applyFont="1" applyBorder="1" applyAlignment="1">
      <alignment horizontal="right" vertical="center" indent="1"/>
    </xf>
    <xf numFmtId="0" fontId="5" fillId="8" borderId="43" xfId="0" applyFont="1" applyFill="1" applyBorder="1" applyAlignment="1">
      <alignment vertical="center"/>
    </xf>
    <xf numFmtId="0" fontId="20" fillId="0" borderId="44" xfId="0" applyFont="1" applyBorder="1" applyAlignment="1">
      <alignment horizontal="right" vertical="center" indent="1"/>
    </xf>
    <xf numFmtId="0" fontId="8" fillId="8" borderId="2" xfId="0" applyFont="1" applyFill="1" applyBorder="1" applyAlignment="1">
      <alignment horizontal="left" vertical="center" indent="2"/>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0" fontId="23" fillId="8" borderId="55" xfId="0" applyFont="1" applyFill="1" applyBorder="1" applyAlignment="1">
      <alignment horizontal="center" vertical="center"/>
    </xf>
    <xf numFmtId="167" fontId="21" fillId="51" borderId="5" xfId="0" applyNumberFormat="1" applyFont="1" applyFill="1" applyBorder="1" applyAlignment="1">
      <alignment horizontal="center" vertical="center"/>
    </xf>
    <xf numFmtId="1" fontId="20" fillId="51" borderId="42" xfId="0" applyNumberFormat="1" applyFont="1" applyFill="1" applyBorder="1" applyAlignment="1">
      <alignment horizontal="center" vertical="center"/>
    </xf>
    <xf numFmtId="1" fontId="20" fillId="51" borderId="53" xfId="0" applyNumberFormat="1" applyFont="1" applyFill="1" applyBorder="1" applyAlignment="1">
      <alignment horizontal="center" vertical="center"/>
    </xf>
    <xf numFmtId="1" fontId="18" fillId="51" borderId="11" xfId="0" applyNumberFormat="1" applyFont="1" applyFill="1" applyBorder="1" applyAlignment="1">
      <alignment horizontal="center" vertical="center"/>
    </xf>
    <xf numFmtId="167" fontId="18" fillId="51" borderId="11" xfId="0" applyNumberFormat="1" applyFont="1" applyFill="1" applyBorder="1" applyAlignment="1">
      <alignment horizontal="center" vertical="center"/>
    </xf>
    <xf numFmtId="1" fontId="20" fillId="51" borderId="8" xfId="0" applyNumberFormat="1" applyFont="1" applyFill="1" applyBorder="1" applyAlignment="1">
      <alignment horizontal="center" vertical="center"/>
    </xf>
    <xf numFmtId="167" fontId="21" fillId="51" borderId="13" xfId="0" applyNumberFormat="1" applyFont="1" applyFill="1" applyBorder="1" applyAlignment="1">
      <alignment horizontal="center" vertical="center"/>
    </xf>
    <xf numFmtId="1" fontId="21" fillId="0" borderId="69" xfId="0" applyNumberFormat="1" applyFont="1" applyBorder="1" applyAlignment="1">
      <alignment vertical="center"/>
    </xf>
    <xf numFmtId="1" fontId="20" fillId="45" borderId="15" xfId="0" applyNumberFormat="1" applyFont="1" applyFill="1" applyBorder="1" applyAlignment="1">
      <alignment vertical="center"/>
    </xf>
    <xf numFmtId="1" fontId="20" fillId="5" borderId="6" xfId="0" applyNumberFormat="1" applyFont="1" applyFill="1" applyBorder="1" applyAlignment="1">
      <alignment horizontal="center" vertical="center"/>
    </xf>
    <xf numFmtId="167" fontId="18" fillId="7" borderId="67" xfId="0" applyNumberFormat="1" applyFont="1" applyFill="1" applyBorder="1" applyAlignment="1">
      <alignment horizontal="center" vertical="center"/>
    </xf>
    <xf numFmtId="0" fontId="4" fillId="8" borderId="56" xfId="0" applyFont="1" applyFill="1" applyBorder="1" applyAlignment="1">
      <alignment horizontal="center" vertical="center"/>
    </xf>
    <xf numFmtId="1" fontId="20" fillId="7" borderId="66" xfId="0" applyNumberFormat="1" applyFont="1" applyFill="1" applyBorder="1" applyAlignment="1">
      <alignment horizontal="center" vertical="center"/>
    </xf>
    <xf numFmtId="1" fontId="20" fillId="5" borderId="24" xfId="0" applyNumberFormat="1" applyFont="1" applyFill="1" applyBorder="1" applyAlignment="1">
      <alignment horizontal="center" vertical="center"/>
    </xf>
    <xf numFmtId="167" fontId="21" fillId="51" borderId="11" xfId="0" applyNumberFormat="1" applyFont="1" applyFill="1" applyBorder="1" applyAlignment="1">
      <alignment horizontal="center" vertical="center"/>
    </xf>
    <xf numFmtId="1" fontId="21" fillId="5" borderId="69" xfId="0" applyNumberFormat="1" applyFont="1" applyFill="1" applyBorder="1" applyAlignment="1">
      <alignment vertical="center"/>
    </xf>
    <xf numFmtId="0" fontId="18" fillId="0" borderId="1" xfId="0" applyFont="1" applyBorder="1" applyAlignment="1">
      <alignment horizontal="left" vertical="center" wrapText="1" indent="1"/>
    </xf>
    <xf numFmtId="0" fontId="20" fillId="0" borderId="31" xfId="0" applyFont="1" applyBorder="1" applyAlignment="1">
      <alignment horizontal="left" vertical="center" wrapText="1" indent="1"/>
    </xf>
    <xf numFmtId="0" fontId="18" fillId="0" borderId="1" xfId="0" applyFont="1" applyBorder="1" applyAlignment="1">
      <alignment horizontal="left" vertical="center" wrapText="1" indent="2"/>
    </xf>
    <xf numFmtId="0" fontId="18" fillId="0" borderId="1" xfId="0" applyFont="1" applyBorder="1" applyAlignment="1">
      <alignment horizontal="right" vertical="center" wrapText="1" indent="2"/>
    </xf>
    <xf numFmtId="0" fontId="18" fillId="8" borderId="1" xfId="0" applyFont="1" applyFill="1" applyBorder="1" applyAlignment="1">
      <alignment horizontal="left" vertical="center" wrapText="1" indent="1"/>
    </xf>
    <xf numFmtId="0" fontId="4" fillId="8" borderId="2" xfId="0" applyFont="1" applyFill="1" applyBorder="1" applyAlignment="1">
      <alignment horizontal="left" vertical="center" wrapText="1" indent="1"/>
    </xf>
    <xf numFmtId="0" fontId="20" fillId="0" borderId="44" xfId="0" applyFont="1" applyBorder="1" applyAlignment="1">
      <alignment horizontal="left" vertical="center" wrapText="1" indent="2"/>
    </xf>
    <xf numFmtId="1" fontId="21" fillId="47" borderId="34" xfId="0" applyNumberFormat="1" applyFont="1" applyFill="1" applyBorder="1" applyAlignment="1">
      <alignment horizontal="center" vertical="center"/>
    </xf>
    <xf numFmtId="1" fontId="21" fillId="8" borderId="34" xfId="0" applyNumberFormat="1" applyFont="1" applyFill="1" applyBorder="1" applyAlignment="1">
      <alignment horizontal="center" vertical="center"/>
    </xf>
    <xf numFmtId="1" fontId="21" fillId="0" borderId="55" xfId="0" applyNumberFormat="1" applyFont="1" applyBorder="1" applyAlignment="1">
      <alignment vertical="center"/>
    </xf>
    <xf numFmtId="167" fontId="18" fillId="5" borderId="55" xfId="0" applyNumberFormat="1" applyFont="1" applyFill="1" applyBorder="1" applyAlignment="1">
      <alignment horizontal="center" vertical="center"/>
    </xf>
    <xf numFmtId="1" fontId="20" fillId="45" borderId="55" xfId="0" applyNumberFormat="1" applyFont="1" applyFill="1" applyBorder="1" applyAlignment="1">
      <alignment vertical="center"/>
    </xf>
    <xf numFmtId="167" fontId="18" fillId="51" borderId="21" xfId="0" applyNumberFormat="1" applyFont="1" applyFill="1" applyBorder="1" applyAlignment="1">
      <alignment horizontal="center" vertical="center"/>
    </xf>
    <xf numFmtId="167" fontId="18" fillId="51" borderId="55" xfId="0" applyNumberFormat="1" applyFont="1" applyFill="1" applyBorder="1" applyAlignment="1">
      <alignment horizontal="center" vertical="center"/>
    </xf>
    <xf numFmtId="1" fontId="21" fillId="5" borderId="57" xfId="0" applyNumberFormat="1" applyFont="1" applyFill="1" applyBorder="1" applyAlignment="1">
      <alignment vertical="center"/>
    </xf>
    <xf numFmtId="1" fontId="4" fillId="8" borderId="84" xfId="0" applyNumberFormat="1" applyFont="1" applyFill="1" applyBorder="1" applyAlignment="1">
      <alignment horizontal="center" vertical="center"/>
    </xf>
    <xf numFmtId="1" fontId="18" fillId="51" borderId="21" xfId="0" applyNumberFormat="1" applyFont="1" applyFill="1" applyBorder="1" applyAlignment="1">
      <alignment horizontal="center" vertical="center"/>
    </xf>
    <xf numFmtId="1" fontId="20" fillId="51" borderId="34" xfId="0" applyNumberFormat="1" applyFont="1" applyFill="1" applyBorder="1" applyAlignment="1">
      <alignment horizontal="center" vertical="center"/>
    </xf>
    <xf numFmtId="0" fontId="20" fillId="0" borderId="63" xfId="0" applyFont="1" applyBorder="1" applyAlignment="1">
      <alignment horizontal="right" vertical="center" wrapText="1" indent="2"/>
    </xf>
    <xf numFmtId="1" fontId="20" fillId="51" borderId="3" xfId="0" applyNumberFormat="1" applyFont="1" applyFill="1" applyBorder="1" applyAlignment="1">
      <alignment horizontal="center" vertical="center"/>
    </xf>
    <xf numFmtId="0" fontId="12" fillId="0" borderId="6" xfId="0" applyFont="1" applyBorder="1" applyAlignment="1">
      <alignment horizontal="center" vertical="center"/>
    </xf>
    <xf numFmtId="0" fontId="14" fillId="0" borderId="6" xfId="0" applyFont="1" applyBorder="1" applyAlignment="1">
      <alignment horizontal="center" vertical="center"/>
    </xf>
    <xf numFmtId="0" fontId="23" fillId="0" borderId="6" xfId="0" applyFont="1" applyBorder="1" applyAlignment="1">
      <alignment horizontal="center" vertical="center"/>
    </xf>
    <xf numFmtId="0" fontId="12" fillId="0" borderId="49" xfId="0" applyFont="1" applyBorder="1" applyAlignment="1">
      <alignment horizontal="center" vertical="center"/>
    </xf>
    <xf numFmtId="1" fontId="20" fillId="8" borderId="12" xfId="0" applyNumberFormat="1" applyFont="1" applyFill="1" applyBorder="1" applyAlignment="1">
      <alignment horizontal="center" vertical="center"/>
    </xf>
    <xf numFmtId="1" fontId="21" fillId="8" borderId="20" xfId="0" applyNumberFormat="1" applyFont="1" applyFill="1" applyBorder="1" applyAlignment="1">
      <alignment horizontal="center" vertical="center"/>
    </xf>
    <xf numFmtId="0" fontId="21" fillId="7" borderId="72" xfId="0" applyFont="1" applyFill="1" applyBorder="1" applyAlignment="1">
      <alignment horizontal="center" vertical="center"/>
    </xf>
    <xf numFmtId="0" fontId="23" fillId="8" borderId="24" xfId="0" applyFont="1" applyFill="1" applyBorder="1" applyAlignment="1">
      <alignment vertical="center"/>
    </xf>
    <xf numFmtId="0" fontId="14" fillId="8" borderId="49" xfId="0" applyFont="1" applyFill="1" applyBorder="1" applyAlignment="1">
      <alignment horizontal="center" vertical="center"/>
    </xf>
    <xf numFmtId="0" fontId="12" fillId="0" borderId="55" xfId="0" applyFont="1" applyBorder="1" applyAlignment="1">
      <alignment horizontal="center" vertical="center"/>
    </xf>
    <xf numFmtId="1" fontId="21" fillId="8" borderId="13" xfId="0" applyNumberFormat="1" applyFont="1" applyFill="1" applyBorder="1" applyAlignment="1">
      <alignment horizontal="center" vertical="center"/>
    </xf>
    <xf numFmtId="0" fontId="30" fillId="8" borderId="55" xfId="0" applyFont="1" applyFill="1" applyBorder="1" applyAlignment="1">
      <alignment horizontal="center" vertical="center"/>
    </xf>
    <xf numFmtId="0" fontId="26" fillId="0" borderId="49" xfId="0" applyFont="1" applyBorder="1" applyAlignment="1">
      <alignment horizontal="center" vertical="center"/>
    </xf>
    <xf numFmtId="0" fontId="26" fillId="8" borderId="49" xfId="0" applyFont="1" applyFill="1" applyBorder="1" applyAlignment="1">
      <alignment horizontal="center" vertical="center"/>
    </xf>
    <xf numFmtId="1" fontId="21" fillId="7" borderId="33" xfId="0" applyNumberFormat="1" applyFont="1" applyFill="1" applyBorder="1" applyAlignment="1">
      <alignment horizontal="center" vertical="center"/>
    </xf>
    <xf numFmtId="0" fontId="12" fillId="0" borderId="24" xfId="0" applyFont="1" applyBorder="1" applyAlignment="1">
      <alignment horizontal="center" vertical="center"/>
    </xf>
    <xf numFmtId="1" fontId="21" fillId="8" borderId="18" xfId="0" applyNumberFormat="1" applyFont="1" applyFill="1" applyBorder="1" applyAlignment="1">
      <alignment horizontal="center" vertical="center"/>
    </xf>
    <xf numFmtId="0" fontId="20" fillId="0" borderId="18" xfId="0" applyFont="1" applyBorder="1" applyAlignment="1">
      <alignment horizontal="left" vertical="center" indent="2"/>
    </xf>
    <xf numFmtId="0" fontId="20" fillId="0" borderId="12" xfId="0" applyFont="1" applyBorder="1" applyAlignment="1">
      <alignment horizontal="left" vertical="center" indent="2"/>
    </xf>
    <xf numFmtId="0" fontId="21" fillId="8" borderId="20" xfId="0" applyFont="1" applyFill="1" applyBorder="1" applyAlignment="1">
      <alignment horizontal="left" vertical="center" indent="2"/>
    </xf>
    <xf numFmtId="0" fontId="4" fillId="8" borderId="13" xfId="0" applyFont="1" applyFill="1" applyBorder="1" applyAlignment="1">
      <alignment horizontal="left" vertical="center" indent="1"/>
    </xf>
    <xf numFmtId="0" fontId="21" fillId="0" borderId="20" xfId="0" applyFont="1" applyBorder="1" applyAlignment="1">
      <alignment horizontal="left" vertical="center" indent="1"/>
    </xf>
    <xf numFmtId="0" fontId="21" fillId="0" borderId="12" xfId="0" applyFont="1" applyBorder="1" applyAlignment="1">
      <alignment horizontal="left" vertical="center" indent="1"/>
    </xf>
    <xf numFmtId="0" fontId="4" fillId="0" borderId="12" xfId="0" applyFont="1" applyBorder="1" applyAlignment="1">
      <alignment horizontal="left" vertical="center" indent="1"/>
    </xf>
    <xf numFmtId="0" fontId="25" fillId="0" borderId="12" xfId="0" applyFont="1" applyBorder="1" applyAlignment="1">
      <alignment horizontal="left" vertical="center" indent="2"/>
    </xf>
    <xf numFmtId="0" fontId="23" fillId="8" borderId="18" xfId="0" applyFont="1" applyFill="1" applyBorder="1" applyAlignment="1">
      <alignment horizontal="left" vertical="center" indent="1"/>
    </xf>
    <xf numFmtId="0" fontId="20" fillId="0" borderId="12" xfId="0" applyFont="1" applyBorder="1" applyAlignment="1">
      <alignment horizontal="right" vertical="center" indent="1"/>
    </xf>
    <xf numFmtId="0" fontId="18" fillId="0" borderId="12" xfId="0" applyFont="1" applyBorder="1" applyAlignment="1">
      <alignment horizontal="right" vertical="center" indent="1"/>
    </xf>
    <xf numFmtId="0" fontId="18" fillId="8" borderId="20" xfId="0" applyFont="1" applyFill="1" applyBorder="1" applyAlignment="1">
      <alignment horizontal="right" vertical="center" indent="1"/>
    </xf>
    <xf numFmtId="0" fontId="18" fillId="8" borderId="18" xfId="0" applyFont="1" applyFill="1" applyBorder="1" applyAlignment="1">
      <alignment horizontal="left" vertical="center" indent="1"/>
    </xf>
    <xf numFmtId="0" fontId="20" fillId="0" borderId="12" xfId="0" applyFont="1" applyBorder="1" applyAlignment="1">
      <alignment horizontal="right" vertical="center" indent="2"/>
    </xf>
    <xf numFmtId="0" fontId="18" fillId="0" borderId="13" xfId="0" applyFont="1" applyBorder="1" applyAlignment="1">
      <alignment horizontal="left" vertical="center" indent="1"/>
    </xf>
    <xf numFmtId="0" fontId="14" fillId="0" borderId="13" xfId="0" applyFont="1" applyBorder="1" applyAlignment="1">
      <alignment horizontal="left" vertical="center" indent="1"/>
    </xf>
    <xf numFmtId="0" fontId="30" fillId="8" borderId="13" xfId="0" applyFont="1" applyFill="1" applyBorder="1" applyAlignment="1">
      <alignment horizontal="left" vertical="center" indent="1"/>
    </xf>
    <xf numFmtId="0" fontId="20" fillId="0" borderId="12" xfId="0" applyFont="1" applyBorder="1" applyAlignment="1">
      <alignment horizontal="right" vertical="center" wrapText="1" indent="1"/>
    </xf>
    <xf numFmtId="0" fontId="18" fillId="0" borderId="20" xfId="0" applyFont="1" applyBorder="1" applyAlignment="1">
      <alignment horizontal="right" vertical="center" indent="1"/>
    </xf>
    <xf numFmtId="0" fontId="21" fillId="0" borderId="13" xfId="0" applyFont="1" applyBorder="1" applyAlignment="1">
      <alignment horizontal="left" vertical="center" wrapText="1" indent="1"/>
    </xf>
    <xf numFmtId="0" fontId="21" fillId="0" borderId="13" xfId="0" applyFont="1" applyBorder="1" applyAlignment="1">
      <alignment horizontal="left" vertical="center" indent="1"/>
    </xf>
    <xf numFmtId="0" fontId="21" fillId="0" borderId="62" xfId="0" applyFont="1" applyBorder="1" applyAlignment="1">
      <alignment horizontal="center" vertical="center"/>
    </xf>
    <xf numFmtId="0" fontId="21" fillId="0" borderId="72" xfId="0" applyFont="1" applyBorder="1" applyAlignment="1">
      <alignment horizontal="center" vertical="center"/>
    </xf>
    <xf numFmtId="1" fontId="20" fillId="0" borderId="11" xfId="0" applyNumberFormat="1" applyFont="1" applyBorder="1" applyAlignment="1">
      <alignment horizontal="center" vertical="center"/>
    </xf>
    <xf numFmtId="1" fontId="20" fillId="8" borderId="11" xfId="0" applyNumberFormat="1" applyFont="1" applyFill="1" applyBorder="1" applyAlignment="1">
      <alignment horizontal="center" vertical="center"/>
    </xf>
    <xf numFmtId="1" fontId="21" fillId="8" borderId="33" xfId="0" applyNumberFormat="1" applyFont="1" applyFill="1" applyBorder="1" applyAlignment="1">
      <alignment horizontal="center" vertical="center"/>
    </xf>
    <xf numFmtId="0" fontId="21" fillId="7" borderId="62" xfId="0" applyFont="1" applyFill="1" applyBorder="1" applyAlignment="1">
      <alignment horizontal="center" vertical="center"/>
    </xf>
    <xf numFmtId="1" fontId="21" fillId="7" borderId="32" xfId="0" applyNumberFormat="1" applyFont="1" applyFill="1" applyBorder="1" applyAlignment="1">
      <alignment horizontal="center" vertical="center"/>
    </xf>
    <xf numFmtId="0" fontId="21" fillId="8" borderId="62" xfId="0" applyFont="1" applyFill="1" applyBorder="1" applyAlignment="1">
      <alignment horizontal="center" vertical="center"/>
    </xf>
    <xf numFmtId="0" fontId="21" fillId="8" borderId="72" xfId="0" applyFont="1" applyFill="1" applyBorder="1" applyAlignment="1">
      <alignment horizontal="center" vertical="center"/>
    </xf>
    <xf numFmtId="0" fontId="21" fillId="5" borderId="62" xfId="0" applyFont="1" applyFill="1" applyBorder="1" applyAlignment="1">
      <alignment horizontal="center" vertical="center"/>
    </xf>
    <xf numFmtId="0" fontId="21" fillId="5" borderId="72" xfId="0" applyFont="1" applyFill="1" applyBorder="1" applyAlignment="1">
      <alignment horizontal="center" vertical="center"/>
    </xf>
    <xf numFmtId="1" fontId="18" fillId="5" borderId="31" xfId="0" applyNumberFormat="1" applyFont="1" applyFill="1" applyBorder="1" applyAlignment="1">
      <alignment horizontal="center" vertical="center"/>
    </xf>
    <xf numFmtId="1" fontId="18" fillId="5" borderId="17" xfId="0" applyNumberFormat="1" applyFont="1" applyFill="1" applyBorder="1" applyAlignment="1">
      <alignment horizontal="center" vertical="center"/>
    </xf>
    <xf numFmtId="1" fontId="20" fillId="5" borderId="11" xfId="0" applyNumberFormat="1" applyFont="1" applyFill="1" applyBorder="1" applyAlignment="1">
      <alignment horizontal="center" vertical="center"/>
    </xf>
    <xf numFmtId="1" fontId="21" fillId="5" borderId="32" xfId="0" applyNumberFormat="1" applyFont="1" applyFill="1" applyBorder="1" applyAlignment="1">
      <alignment horizontal="center" vertical="center"/>
    </xf>
    <xf numFmtId="1" fontId="21" fillId="5" borderId="33" xfId="0" applyNumberFormat="1" applyFont="1" applyFill="1" applyBorder="1" applyAlignment="1">
      <alignment horizontal="center" vertical="center"/>
    </xf>
    <xf numFmtId="1" fontId="18" fillId="7" borderId="31" xfId="0" applyNumberFormat="1" applyFont="1" applyFill="1" applyBorder="1" applyAlignment="1">
      <alignment horizontal="center" vertical="center"/>
    </xf>
    <xf numFmtId="0" fontId="21" fillId="45" borderId="17" xfId="0" applyFont="1" applyFill="1" applyBorder="1" applyAlignment="1">
      <alignment horizontal="center" vertical="center"/>
    </xf>
    <xf numFmtId="167" fontId="18" fillId="45" borderId="17" xfId="0" applyNumberFormat="1" applyFont="1" applyFill="1" applyBorder="1" applyAlignment="1">
      <alignment horizontal="center" vertical="center"/>
    </xf>
    <xf numFmtId="1" fontId="19" fillId="45" borderId="17" xfId="0" applyNumberFormat="1" applyFont="1" applyFill="1" applyBorder="1" applyAlignment="1">
      <alignment horizontal="center" vertical="center"/>
    </xf>
    <xf numFmtId="1" fontId="18" fillId="45" borderId="17" xfId="0" applyNumberFormat="1" applyFont="1" applyFill="1" applyBorder="1" applyAlignment="1">
      <alignment horizontal="center" vertical="center"/>
    </xf>
    <xf numFmtId="1" fontId="0" fillId="0" borderId="54" xfId="0" applyNumberFormat="1" applyBorder="1"/>
    <xf numFmtId="1" fontId="4" fillId="45" borderId="17" xfId="0" applyNumberFormat="1" applyFont="1" applyFill="1" applyBorder="1" applyAlignment="1">
      <alignment horizontal="center" vertical="center"/>
    </xf>
    <xf numFmtId="1" fontId="21" fillId="45" borderId="17" xfId="0" applyNumberFormat="1" applyFont="1" applyFill="1" applyBorder="1" applyAlignment="1">
      <alignment horizontal="center" vertical="center"/>
    </xf>
    <xf numFmtId="1" fontId="0" fillId="0" borderId="35" xfId="0" applyNumberFormat="1" applyBorder="1"/>
    <xf numFmtId="0" fontId="19" fillId="0" borderId="17" xfId="0" applyFont="1" applyBorder="1" applyAlignment="1">
      <alignment horizontal="center" vertical="center"/>
    </xf>
    <xf numFmtId="1" fontId="20" fillId="0" borderId="31" xfId="0" applyNumberFormat="1" applyFont="1" applyBorder="1" applyAlignment="1">
      <alignment vertical="center"/>
    </xf>
    <xf numFmtId="1" fontId="21" fillId="0" borderId="31" xfId="0" applyNumberFormat="1" applyFont="1" applyBorder="1" applyAlignment="1">
      <alignment vertical="center"/>
    </xf>
    <xf numFmtId="9" fontId="21" fillId="8" borderId="31" xfId="22" applyFont="1" applyFill="1" applyBorder="1" applyAlignment="1">
      <alignment horizontal="center" vertical="center"/>
    </xf>
    <xf numFmtId="9" fontId="21" fillId="8" borderId="17" xfId="22" applyFont="1" applyFill="1" applyBorder="1" applyAlignment="1">
      <alignment horizontal="center" vertical="center"/>
    </xf>
    <xf numFmtId="0" fontId="20" fillId="0" borderId="31" xfId="0" applyFont="1" applyBorder="1" applyAlignment="1">
      <alignment horizontal="center" vertical="center"/>
    </xf>
    <xf numFmtId="1" fontId="20" fillId="7" borderId="29" xfId="0" applyNumberFormat="1" applyFont="1" applyFill="1" applyBorder="1" applyAlignment="1">
      <alignment vertical="center"/>
    </xf>
    <xf numFmtId="1" fontId="21" fillId="7" borderId="29" xfId="0" applyNumberFormat="1" applyFont="1" applyFill="1" applyBorder="1" applyAlignment="1">
      <alignment vertical="center"/>
    </xf>
    <xf numFmtId="1" fontId="18" fillId="7" borderId="29" xfId="0" applyNumberFormat="1" applyFont="1" applyFill="1" applyBorder="1" applyAlignment="1">
      <alignment horizontal="center" vertical="center"/>
    </xf>
    <xf numFmtId="9" fontId="21" fillId="7" borderId="29" xfId="22" applyFont="1" applyFill="1" applyBorder="1" applyAlignment="1">
      <alignment horizontal="center" vertical="center"/>
    </xf>
    <xf numFmtId="1" fontId="18" fillId="7" borderId="37" xfId="0" applyNumberFormat="1" applyFont="1" applyFill="1" applyBorder="1" applyAlignment="1">
      <alignment horizontal="center" vertical="center"/>
    </xf>
    <xf numFmtId="1" fontId="21" fillId="7" borderId="37" xfId="0" applyNumberFormat="1" applyFont="1" applyFill="1" applyBorder="1" applyAlignment="1">
      <alignment horizontal="center" vertical="center"/>
    </xf>
    <xf numFmtId="9" fontId="21" fillId="7" borderId="37" xfId="22" applyFont="1" applyFill="1" applyBorder="1" applyAlignment="1">
      <alignment horizontal="center" vertical="center"/>
    </xf>
    <xf numFmtId="1" fontId="18" fillId="5" borderId="34" xfId="0" applyNumberFormat="1" applyFont="1" applyFill="1" applyBorder="1" applyAlignment="1">
      <alignment horizontal="center" vertical="center"/>
    </xf>
    <xf numFmtId="1" fontId="18" fillId="5" borderId="50" xfId="0" applyNumberFormat="1" applyFont="1" applyFill="1" applyBorder="1" applyAlignment="1">
      <alignment horizontal="center" vertical="center"/>
    </xf>
    <xf numFmtId="1" fontId="20" fillId="5" borderId="31" xfId="0" applyNumberFormat="1" applyFont="1" applyFill="1" applyBorder="1" applyAlignment="1">
      <alignment vertical="center"/>
    </xf>
    <xf numFmtId="1" fontId="21" fillId="5" borderId="31" xfId="0" applyNumberFormat="1" applyFont="1" applyFill="1" applyBorder="1" applyAlignment="1">
      <alignment vertical="center"/>
    </xf>
    <xf numFmtId="1" fontId="21" fillId="5" borderId="31" xfId="0" applyNumberFormat="1" applyFont="1" applyFill="1" applyBorder="1" applyAlignment="1">
      <alignment horizontal="center" vertical="center"/>
    </xf>
    <xf numFmtId="1" fontId="21" fillId="5" borderId="17" xfId="0" applyNumberFormat="1" applyFont="1" applyFill="1" applyBorder="1" applyAlignment="1">
      <alignment horizontal="center" vertical="center"/>
    </xf>
    <xf numFmtId="9" fontId="21" fillId="5" borderId="31" xfId="22" applyFont="1" applyFill="1" applyBorder="1" applyAlignment="1">
      <alignment horizontal="center" vertical="center"/>
    </xf>
    <xf numFmtId="9" fontId="21" fillId="5" borderId="17" xfId="22" applyFont="1" applyFill="1" applyBorder="1" applyAlignment="1">
      <alignment horizontal="center" vertical="center"/>
    </xf>
    <xf numFmtId="2" fontId="20" fillId="5" borderId="12" xfId="0" applyNumberFormat="1" applyFont="1" applyFill="1" applyBorder="1" applyAlignment="1">
      <alignment horizontal="center" vertical="center"/>
    </xf>
    <xf numFmtId="1" fontId="18" fillId="7" borderId="34" xfId="0" applyNumberFormat="1" applyFont="1" applyFill="1" applyBorder="1" applyAlignment="1">
      <alignment horizontal="center" vertical="center"/>
    </xf>
    <xf numFmtId="1" fontId="20" fillId="7" borderId="31" xfId="0" applyNumberFormat="1" applyFont="1" applyFill="1" applyBorder="1" applyAlignment="1">
      <alignment vertical="center"/>
    </xf>
    <xf numFmtId="1" fontId="21" fillId="7" borderId="31" xfId="0" applyNumberFormat="1" applyFont="1" applyFill="1" applyBorder="1" applyAlignment="1">
      <alignment vertical="center"/>
    </xf>
    <xf numFmtId="1" fontId="21" fillId="7" borderId="31" xfId="0" applyNumberFormat="1" applyFont="1" applyFill="1" applyBorder="1" applyAlignment="1">
      <alignment horizontal="center" vertical="center"/>
    </xf>
    <xf numFmtId="1" fontId="21" fillId="7" borderId="17" xfId="0" applyNumberFormat="1" applyFont="1" applyFill="1" applyBorder="1" applyAlignment="1">
      <alignment horizontal="center" vertical="center"/>
    </xf>
    <xf numFmtId="9" fontId="21" fillId="7" borderId="31" xfId="22" applyFont="1" applyFill="1" applyBorder="1" applyAlignment="1">
      <alignment horizontal="center" vertical="center"/>
    </xf>
    <xf numFmtId="9" fontId="21" fillId="7" borderId="17" xfId="22" applyFont="1" applyFill="1" applyBorder="1" applyAlignment="1">
      <alignment horizontal="center" vertical="center"/>
    </xf>
    <xf numFmtId="167" fontId="20" fillId="7" borderId="32" xfId="0" applyNumberFormat="1" applyFont="1" applyFill="1" applyBorder="1" applyAlignment="1">
      <alignment horizontal="center" vertical="center"/>
    </xf>
    <xf numFmtId="0" fontId="4" fillId="8" borderId="56" xfId="0" applyFont="1" applyFill="1" applyBorder="1" applyAlignment="1">
      <alignment vertical="center"/>
    </xf>
    <xf numFmtId="0" fontId="20" fillId="0" borderId="41" xfId="0" applyFont="1" applyBorder="1" applyAlignment="1">
      <alignment vertical="center"/>
    </xf>
    <xf numFmtId="0" fontId="20" fillId="0" borderId="63" xfId="0" applyFont="1" applyBorder="1" applyAlignment="1">
      <alignment horizontal="center" vertical="center"/>
    </xf>
    <xf numFmtId="164" fontId="18" fillId="8" borderId="48" xfId="0" applyNumberFormat="1" applyFont="1" applyFill="1" applyBorder="1" applyAlignment="1">
      <alignment horizontal="right" vertical="center"/>
    </xf>
    <xf numFmtId="164" fontId="18" fillId="8" borderId="57" xfId="0" applyNumberFormat="1" applyFont="1" applyFill="1" applyBorder="1" applyAlignment="1">
      <alignment horizontal="right" vertical="center"/>
    </xf>
    <xf numFmtId="164" fontId="18" fillId="8" borderId="25" xfId="0" applyNumberFormat="1" applyFont="1" applyFill="1" applyBorder="1" applyAlignment="1">
      <alignment horizontal="right" vertical="center"/>
    </xf>
    <xf numFmtId="0" fontId="37" fillId="0" borderId="12" xfId="0" applyFont="1" applyBorder="1" applyAlignment="1">
      <alignment horizontal="center" vertical="center"/>
    </xf>
    <xf numFmtId="164" fontId="18" fillId="8" borderId="13" xfId="0" applyNumberFormat="1" applyFont="1" applyFill="1" applyBorder="1" applyAlignment="1">
      <alignment horizontal="center" vertical="center"/>
    </xf>
    <xf numFmtId="0" fontId="18" fillId="8" borderId="40" xfId="0" applyFont="1" applyFill="1" applyBorder="1" applyAlignment="1">
      <alignment horizontal="center" vertical="center"/>
    </xf>
    <xf numFmtId="0" fontId="21" fillId="8" borderId="18" xfId="0" applyFont="1" applyFill="1" applyBorder="1" applyAlignment="1">
      <alignment horizontal="center" vertical="center"/>
    </xf>
    <xf numFmtId="0" fontId="21" fillId="8" borderId="20" xfId="0" applyFont="1" applyFill="1" applyBorder="1" applyAlignment="1">
      <alignment horizontal="center" vertical="center"/>
    </xf>
    <xf numFmtId="0" fontId="4" fillId="8" borderId="43" xfId="0" applyFont="1" applyFill="1" applyBorder="1" applyAlignment="1">
      <alignment vertical="center"/>
    </xf>
    <xf numFmtId="9" fontId="21" fillId="0" borderId="30" xfId="22" applyFont="1" applyFill="1" applyBorder="1" applyAlignment="1">
      <alignment horizontal="center" vertical="center"/>
    </xf>
    <xf numFmtId="1" fontId="7" fillId="8" borderId="17" xfId="0" applyNumberFormat="1" applyFont="1" applyFill="1" applyBorder="1" applyAlignment="1">
      <alignment horizontal="center" vertical="center"/>
    </xf>
    <xf numFmtId="167" fontId="7" fillId="8" borderId="31" xfId="0" applyNumberFormat="1" applyFont="1" applyFill="1" applyBorder="1" applyAlignment="1">
      <alignment horizontal="center" vertical="center"/>
    </xf>
    <xf numFmtId="0" fontId="4" fillId="0" borderId="31" xfId="0" applyFont="1" applyBorder="1" applyAlignment="1">
      <alignment horizontal="center" vertical="center"/>
    </xf>
    <xf numFmtId="2" fontId="7" fillId="7" borderId="29" xfId="0" applyNumberFormat="1" applyFont="1" applyFill="1" applyBorder="1" applyAlignment="1">
      <alignment horizontal="center" vertical="center"/>
    </xf>
    <xf numFmtId="167" fontId="7" fillId="5" borderId="17"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0" fontId="12" fillId="0" borderId="47" xfId="0" applyFont="1" applyBorder="1" applyAlignment="1">
      <alignment horizontal="left" indent="1"/>
    </xf>
    <xf numFmtId="0" fontId="12" fillId="0" borderId="70" xfId="0" applyFont="1" applyBorder="1" applyAlignment="1">
      <alignment horizontal="left" indent="1"/>
    </xf>
    <xf numFmtId="0" fontId="26" fillId="0" borderId="25" xfId="0" applyFont="1" applyBorder="1" applyAlignment="1">
      <alignment horizontal="left" indent="1"/>
    </xf>
    <xf numFmtId="0" fontId="19" fillId="0" borderId="31" xfId="0" applyFont="1" applyBorder="1" applyAlignment="1">
      <alignment horizontal="left" vertical="center" indent="1"/>
    </xf>
    <xf numFmtId="0" fontId="7" fillId="0" borderId="10" xfId="0" applyFont="1" applyBorder="1" applyAlignment="1">
      <alignment horizontal="center" vertical="center"/>
    </xf>
    <xf numFmtId="0" fontId="7" fillId="5" borderId="10" xfId="0" applyFont="1" applyFill="1" applyBorder="1" applyAlignment="1">
      <alignment horizontal="center" vertical="center"/>
    </xf>
    <xf numFmtId="0" fontId="7" fillId="7" borderId="10" xfId="0" applyFont="1" applyFill="1" applyBorder="1" applyAlignment="1">
      <alignment horizontal="center" vertical="center"/>
    </xf>
    <xf numFmtId="0" fontId="4" fillId="5" borderId="10" xfId="0" applyFont="1" applyFill="1" applyBorder="1" applyAlignment="1">
      <alignment horizontal="center" vertical="center"/>
    </xf>
    <xf numFmtId="0" fontId="4" fillId="7" borderId="10" xfId="0" applyFont="1" applyFill="1" applyBorder="1" applyAlignment="1">
      <alignment horizontal="center" vertical="center"/>
    </xf>
    <xf numFmtId="0" fontId="18" fillId="7" borderId="10" xfId="0" applyFont="1" applyFill="1" applyBorder="1" applyAlignment="1">
      <alignment horizontal="center" vertical="center"/>
    </xf>
    <xf numFmtId="0" fontId="0" fillId="0" borderId="37" xfId="0" applyBorder="1"/>
    <xf numFmtId="0" fontId="4" fillId="0" borderId="10" xfId="0" applyFont="1" applyBorder="1" applyAlignment="1">
      <alignment horizontal="left"/>
    </xf>
    <xf numFmtId="0" fontId="15" fillId="0" borderId="10" xfId="0" applyFont="1" applyBorder="1" applyAlignment="1">
      <alignment horizontal="left" vertical="center"/>
    </xf>
    <xf numFmtId="0" fontId="4" fillId="8" borderId="10" xfId="0" applyFont="1" applyFill="1" applyBorder="1" applyAlignment="1">
      <alignment horizontal="left" vertical="center"/>
    </xf>
    <xf numFmtId="0" fontId="4" fillId="8" borderId="10" xfId="0" applyFont="1" applyFill="1" applyBorder="1" applyAlignment="1">
      <alignment horizontal="left"/>
    </xf>
    <xf numFmtId="0" fontId="7" fillId="8" borderId="10" xfId="0" applyFont="1" applyFill="1" applyBorder="1" applyAlignment="1">
      <alignment horizontal="left"/>
    </xf>
    <xf numFmtId="0" fontId="7" fillId="0" borderId="37" xfId="0" applyFont="1" applyBorder="1" applyAlignment="1">
      <alignment horizontal="left" vertical="center"/>
    </xf>
    <xf numFmtId="0" fontId="15" fillId="0" borderId="37" xfId="0" applyFont="1" applyBorder="1" applyAlignment="1">
      <alignment horizontal="left" vertical="center"/>
    </xf>
    <xf numFmtId="0" fontId="4" fillId="8" borderId="37" xfId="0" applyFont="1" applyFill="1" applyBorder="1" applyAlignment="1">
      <alignment horizontal="left" vertical="center"/>
    </xf>
    <xf numFmtId="0" fontId="7" fillId="8" borderId="37" xfId="0" applyFont="1" applyFill="1" applyBorder="1"/>
    <xf numFmtId="0" fontId="4" fillId="8" borderId="37" xfId="0" applyFont="1" applyFill="1" applyBorder="1" applyAlignment="1">
      <alignment horizontal="left"/>
    </xf>
    <xf numFmtId="0" fontId="36" fillId="8" borderId="37" xfId="0" applyFont="1" applyFill="1" applyBorder="1"/>
    <xf numFmtId="0" fontId="7" fillId="8" borderId="37" xfId="0" applyFont="1" applyFill="1" applyBorder="1" applyAlignment="1">
      <alignment horizontal="left" vertical="center"/>
    </xf>
    <xf numFmtId="0" fontId="7" fillId="8" borderId="37" xfId="0" applyFont="1" applyFill="1" applyBorder="1" applyAlignment="1">
      <alignment horizontal="left"/>
    </xf>
    <xf numFmtId="0" fontId="4" fillId="0" borderId="37" xfId="0" applyFont="1" applyBorder="1" applyAlignment="1">
      <alignment horizontal="left"/>
    </xf>
    <xf numFmtId="0" fontId="15" fillId="0" borderId="10" xfId="0" applyFont="1" applyBorder="1" applyAlignment="1">
      <alignment horizontal="center" vertical="center"/>
    </xf>
    <xf numFmtId="0" fontId="7" fillId="4" borderId="10" xfId="0" applyFont="1" applyFill="1" applyBorder="1" applyAlignment="1">
      <alignment horizontal="left" vertical="center"/>
    </xf>
    <xf numFmtId="0" fontId="0" fillId="4" borderId="10" xfId="0" applyFill="1" applyBorder="1"/>
    <xf numFmtId="0" fontId="4" fillId="0" borderId="37" xfId="0" applyFont="1" applyBorder="1" applyAlignment="1">
      <alignment horizontal="left" vertical="center"/>
    </xf>
    <xf numFmtId="0" fontId="142" fillId="7" borderId="10" xfId="0" applyFont="1" applyFill="1" applyBorder="1" applyAlignment="1">
      <alignment horizontal="center" vertical="center"/>
    </xf>
    <xf numFmtId="0" fontId="142" fillId="5" borderId="10" xfId="0" applyFont="1" applyFill="1" applyBorder="1" applyAlignment="1">
      <alignment horizontal="center" vertical="center"/>
    </xf>
    <xf numFmtId="0" fontId="54" fillId="8" borderId="10" xfId="0" applyFont="1" applyFill="1" applyBorder="1"/>
    <xf numFmtId="167" fontId="27" fillId="7" borderId="41" xfId="0" applyNumberFormat="1" applyFont="1" applyFill="1" applyBorder="1" applyAlignment="1">
      <alignment horizontal="center" vertical="center"/>
    </xf>
    <xf numFmtId="167" fontId="27" fillId="7" borderId="79" xfId="0" applyNumberFormat="1" applyFont="1" applyFill="1" applyBorder="1" applyAlignment="1">
      <alignment horizontal="center" vertical="center"/>
    </xf>
    <xf numFmtId="1" fontId="20" fillId="53" borderId="42" xfId="0" applyNumberFormat="1" applyFont="1" applyFill="1" applyBorder="1" applyAlignment="1">
      <alignment horizontal="center" vertical="center"/>
    </xf>
    <xf numFmtId="1" fontId="21" fillId="53" borderId="11" xfId="0" applyNumberFormat="1" applyFont="1" applyFill="1" applyBorder="1" applyAlignment="1">
      <alignment horizontal="center" vertical="center"/>
    </xf>
    <xf numFmtId="1" fontId="20" fillId="53" borderId="53" xfId="0" applyNumberFormat="1" applyFont="1" applyFill="1" applyBorder="1" applyAlignment="1">
      <alignment horizontal="center" vertical="center"/>
    </xf>
    <xf numFmtId="0" fontId="21" fillId="0" borderId="66" xfId="0" applyFont="1" applyBorder="1" applyAlignment="1">
      <alignment horizontal="center" vertical="center"/>
    </xf>
    <xf numFmtId="1" fontId="20" fillId="7" borderId="74" xfId="0" applyNumberFormat="1" applyFont="1" applyFill="1" applyBorder="1" applyAlignment="1">
      <alignment horizontal="center" vertical="center"/>
    </xf>
    <xf numFmtId="0" fontId="20" fillId="7" borderId="38" xfId="0" applyFont="1" applyFill="1" applyBorder="1" applyAlignment="1">
      <alignment horizontal="center" vertical="center"/>
    </xf>
    <xf numFmtId="0" fontId="20" fillId="5" borderId="38" xfId="0" applyFont="1" applyFill="1" applyBorder="1" applyAlignment="1">
      <alignment horizontal="center" vertical="center"/>
    </xf>
    <xf numFmtId="2" fontId="20" fillId="8" borderId="17" xfId="0" applyNumberFormat="1" applyFont="1" applyFill="1" applyBorder="1" applyAlignment="1">
      <alignment horizontal="center" vertical="center"/>
    </xf>
    <xf numFmtId="168" fontId="20" fillId="0" borderId="31" xfId="0" applyNumberFormat="1" applyFont="1" applyBorder="1" applyAlignment="1">
      <alignment horizontal="right" vertical="center" indent="1"/>
    </xf>
    <xf numFmtId="0" fontId="32" fillId="8" borderId="0" xfId="0" applyFont="1" applyFill="1" applyAlignment="1">
      <alignment horizontal="center" vertical="center"/>
    </xf>
    <xf numFmtId="0" fontId="32" fillId="8" borderId="30" xfId="0" applyFont="1" applyFill="1" applyBorder="1" applyAlignment="1">
      <alignment horizontal="center" vertical="center"/>
    </xf>
    <xf numFmtId="0" fontId="20" fillId="0" borderId="51" xfId="0" applyFont="1" applyBorder="1" applyAlignment="1">
      <alignment horizontal="left" vertical="center" indent="1"/>
    </xf>
    <xf numFmtId="1" fontId="20" fillId="5" borderId="59" xfId="0" applyNumberFormat="1" applyFont="1" applyFill="1" applyBorder="1" applyAlignment="1">
      <alignment horizontal="center" vertical="center"/>
    </xf>
    <xf numFmtId="1" fontId="20" fillId="8" borderId="46" xfId="0" quotePrefix="1" applyNumberFormat="1" applyFont="1" applyFill="1" applyBorder="1" applyAlignment="1">
      <alignment horizontal="center" vertical="center"/>
    </xf>
    <xf numFmtId="0" fontId="20" fillId="8" borderId="63" xfId="0" applyFont="1" applyFill="1" applyBorder="1" applyAlignment="1">
      <alignment horizontal="left" vertical="center" indent="1"/>
    </xf>
    <xf numFmtId="0" fontId="20" fillId="0" borderId="41" xfId="0" quotePrefix="1" applyFont="1" applyBorder="1" applyAlignment="1">
      <alignment horizontal="center" vertical="center"/>
    </xf>
    <xf numFmtId="2" fontId="20" fillId="8" borderId="41" xfId="0" applyNumberFormat="1" applyFont="1" applyFill="1" applyBorder="1" applyAlignment="1">
      <alignment horizontal="center" vertical="center"/>
    </xf>
    <xf numFmtId="2" fontId="20" fillId="7" borderId="41" xfId="0" applyNumberFormat="1" applyFont="1" applyFill="1" applyBorder="1" applyAlignment="1">
      <alignment horizontal="center" vertical="center"/>
    </xf>
    <xf numFmtId="2" fontId="20" fillId="5" borderId="41" xfId="0" applyNumberFormat="1" applyFont="1" applyFill="1" applyBorder="1" applyAlignment="1">
      <alignment horizontal="center" vertical="center"/>
    </xf>
    <xf numFmtId="2" fontId="20" fillId="6" borderId="42" xfId="0" applyNumberFormat="1" applyFont="1" applyFill="1" applyBorder="1" applyAlignment="1">
      <alignment horizontal="center" vertical="center"/>
    </xf>
    <xf numFmtId="0" fontId="20" fillId="0" borderId="23" xfId="0" quotePrefix="1" applyFont="1" applyBorder="1" applyAlignment="1">
      <alignment horizontal="center" vertical="center"/>
    </xf>
    <xf numFmtId="2" fontId="20" fillId="8" borderId="23" xfId="0" applyNumberFormat="1" applyFont="1" applyFill="1" applyBorder="1" applyAlignment="1">
      <alignment horizontal="center" vertical="center"/>
    </xf>
    <xf numFmtId="0" fontId="20" fillId="7" borderId="69" xfId="0" applyFont="1" applyFill="1" applyBorder="1" applyAlignment="1">
      <alignment horizontal="center" vertical="center"/>
    </xf>
    <xf numFmtId="2" fontId="20" fillId="7" borderId="23" xfId="0" applyNumberFormat="1" applyFont="1" applyFill="1" applyBorder="1" applyAlignment="1">
      <alignment horizontal="center" vertical="center"/>
    </xf>
    <xf numFmtId="0" fontId="20" fillId="5" borderId="69" xfId="0" applyFont="1" applyFill="1" applyBorder="1" applyAlignment="1">
      <alignment horizontal="center" vertical="center"/>
    </xf>
    <xf numFmtId="2" fontId="20" fillId="5" borderId="23" xfId="0" applyNumberFormat="1" applyFont="1" applyFill="1" applyBorder="1" applyAlignment="1">
      <alignment horizontal="center" vertical="center"/>
    </xf>
    <xf numFmtId="0" fontId="20" fillId="6" borderId="69" xfId="0" applyFont="1" applyFill="1" applyBorder="1" applyAlignment="1">
      <alignment horizontal="center" vertical="center"/>
    </xf>
    <xf numFmtId="167" fontId="20" fillId="8" borderId="63" xfId="0" applyNumberFormat="1" applyFont="1" applyFill="1" applyBorder="1" applyAlignment="1">
      <alignment horizontal="center" vertical="center"/>
    </xf>
    <xf numFmtId="167" fontId="20" fillId="5" borderId="25" xfId="0" applyNumberFormat="1" applyFont="1" applyFill="1" applyBorder="1" applyAlignment="1">
      <alignment horizontal="center" vertical="center"/>
    </xf>
    <xf numFmtId="167" fontId="20" fillId="5" borderId="11" xfId="0" applyNumberFormat="1" applyFont="1" applyFill="1" applyBorder="1" applyAlignment="1">
      <alignment horizontal="center" vertical="center"/>
    </xf>
    <xf numFmtId="167" fontId="20" fillId="6" borderId="25" xfId="0" applyNumberFormat="1" applyFont="1" applyFill="1" applyBorder="1" applyAlignment="1">
      <alignment horizontal="center" vertical="center"/>
    </xf>
    <xf numFmtId="167" fontId="20" fillId="6" borderId="11" xfId="0" applyNumberFormat="1" applyFont="1" applyFill="1" applyBorder="1" applyAlignment="1">
      <alignment horizontal="center" vertical="center"/>
    </xf>
    <xf numFmtId="167" fontId="20" fillId="7" borderId="69" xfId="0" applyNumberFormat="1" applyFont="1" applyFill="1" applyBorder="1" applyAlignment="1">
      <alignment horizontal="center" vertical="center"/>
    </xf>
    <xf numFmtId="167" fontId="20" fillId="5" borderId="26" xfId="0" applyNumberFormat="1" applyFont="1" applyFill="1" applyBorder="1" applyAlignment="1">
      <alignment horizontal="center" vertical="center"/>
    </xf>
    <xf numFmtId="167" fontId="20" fillId="6" borderId="26" xfId="0" applyNumberFormat="1" applyFont="1" applyFill="1" applyBorder="1" applyAlignment="1">
      <alignment horizontal="center" vertical="center"/>
    </xf>
    <xf numFmtId="0" fontId="18" fillId="8" borderId="46" xfId="0" applyFont="1" applyFill="1" applyBorder="1" applyAlignment="1">
      <alignment horizontal="center" vertical="center"/>
    </xf>
    <xf numFmtId="0" fontId="21" fillId="0" borderId="63" xfId="0" applyFont="1" applyBorder="1" applyAlignment="1">
      <alignment horizontal="left" vertical="center" indent="1"/>
    </xf>
    <xf numFmtId="169" fontId="21" fillId="0" borderId="41" xfId="0" applyNumberFormat="1" applyFont="1" applyBorder="1" applyAlignment="1">
      <alignment horizontal="center" vertical="center"/>
    </xf>
    <xf numFmtId="169" fontId="21" fillId="8" borderId="41" xfId="0" applyNumberFormat="1" applyFont="1" applyFill="1" applyBorder="1" applyAlignment="1">
      <alignment horizontal="center" vertical="center"/>
    </xf>
    <xf numFmtId="169" fontId="21" fillId="7" borderId="41" xfId="0" applyNumberFormat="1" applyFont="1" applyFill="1" applyBorder="1" applyAlignment="1">
      <alignment horizontal="center" vertical="center"/>
    </xf>
    <xf numFmtId="169" fontId="21" fillId="5" borderId="41" xfId="0" applyNumberFormat="1" applyFont="1" applyFill="1" applyBorder="1" applyAlignment="1">
      <alignment horizontal="center" vertical="center"/>
    </xf>
    <xf numFmtId="169" fontId="21" fillId="5" borderId="63" xfId="0" applyNumberFormat="1" applyFont="1" applyFill="1" applyBorder="1" applyAlignment="1">
      <alignment horizontal="center" vertical="center"/>
    </xf>
    <xf numFmtId="169" fontId="21" fillId="6" borderId="63" xfId="0" applyNumberFormat="1" applyFont="1" applyFill="1" applyBorder="1" applyAlignment="1">
      <alignment horizontal="center" vertical="center"/>
    </xf>
    <xf numFmtId="169" fontId="21" fillId="6" borderId="61" xfId="0" applyNumberFormat="1" applyFont="1" applyFill="1" applyBorder="1" applyAlignment="1">
      <alignment horizontal="center" vertical="center"/>
    </xf>
    <xf numFmtId="2" fontId="20" fillId="6" borderId="51" xfId="0" applyNumberFormat="1" applyFont="1" applyFill="1" applyBorder="1" applyAlignment="1">
      <alignment horizontal="center" vertical="center"/>
    </xf>
    <xf numFmtId="1" fontId="21" fillId="5" borderId="9" xfId="0" quotePrefix="1" applyNumberFormat="1" applyFont="1" applyFill="1" applyBorder="1" applyAlignment="1">
      <alignment horizontal="center" vertical="center"/>
    </xf>
    <xf numFmtId="1" fontId="21" fillId="6" borderId="57" xfId="0" quotePrefix="1" applyNumberFormat="1" applyFont="1" applyFill="1" applyBorder="1" applyAlignment="1">
      <alignment horizontal="center" vertical="center"/>
    </xf>
    <xf numFmtId="2" fontId="21" fillId="6" borderId="30" xfId="0" applyNumberFormat="1" applyFont="1" applyFill="1" applyBorder="1" applyAlignment="1">
      <alignment horizontal="center" vertical="center"/>
    </xf>
    <xf numFmtId="2" fontId="48" fillId="6" borderId="10" xfId="0" applyNumberFormat="1" applyFont="1" applyFill="1" applyBorder="1" applyAlignment="1">
      <alignment horizontal="center" vertical="center"/>
    </xf>
    <xf numFmtId="1" fontId="79" fillId="7" borderId="38" xfId="186" applyNumberFormat="1" applyFont="1" applyFill="1" applyBorder="1" applyAlignment="1">
      <alignment horizontal="center" vertical="center"/>
    </xf>
    <xf numFmtId="1" fontId="79" fillId="5" borderId="0" xfId="186" applyNumberFormat="1" applyFont="1" applyFill="1" applyAlignment="1">
      <alignment horizontal="center" vertical="center"/>
    </xf>
    <xf numFmtId="1" fontId="78" fillId="7" borderId="38" xfId="186" applyNumberFormat="1" applyFont="1" applyFill="1" applyBorder="1" applyAlignment="1">
      <alignment horizontal="center" vertical="center"/>
    </xf>
    <xf numFmtId="0" fontId="14" fillId="8" borderId="68" xfId="0" applyFont="1" applyFill="1" applyBorder="1" applyAlignment="1">
      <alignment horizontal="center" vertical="center"/>
    </xf>
    <xf numFmtId="0" fontId="14" fillId="5" borderId="31" xfId="0" applyFont="1" applyFill="1" applyBorder="1" applyAlignment="1">
      <alignment horizontal="center" vertical="center"/>
    </xf>
    <xf numFmtId="0" fontId="14" fillId="5" borderId="17" xfId="0" applyFont="1" applyFill="1" applyBorder="1" applyAlignment="1">
      <alignment horizontal="center" vertical="center"/>
    </xf>
    <xf numFmtId="1" fontId="7" fillId="7" borderId="10" xfId="0" applyNumberFormat="1" applyFont="1" applyFill="1" applyBorder="1" applyAlignment="1">
      <alignment horizontal="center" vertical="center"/>
    </xf>
    <xf numFmtId="0" fontId="23" fillId="0" borderId="0" xfId="0" applyFont="1" applyAlignment="1">
      <alignment vertical="center"/>
    </xf>
    <xf numFmtId="0" fontId="23" fillId="0" borderId="26" xfId="0" applyFont="1" applyBorder="1" applyAlignment="1">
      <alignment vertical="center"/>
    </xf>
    <xf numFmtId="0" fontId="23" fillId="0" borderId="4" xfId="0" applyFont="1" applyBorder="1" applyAlignment="1">
      <alignment horizontal="center" vertical="center"/>
    </xf>
    <xf numFmtId="0" fontId="23" fillId="0" borderId="69" xfId="0" applyFont="1" applyBorder="1" applyAlignment="1">
      <alignment horizontal="center" vertical="center"/>
    </xf>
    <xf numFmtId="0" fontId="23" fillId="0" borderId="26" xfId="0" applyFont="1" applyBorder="1" applyAlignment="1">
      <alignment horizontal="center" vertical="center"/>
    </xf>
    <xf numFmtId="0" fontId="23" fillId="7" borderId="1" xfId="0" applyFont="1" applyFill="1" applyBorder="1" applyAlignment="1">
      <alignment horizontal="center" vertical="center"/>
    </xf>
    <xf numFmtId="0" fontId="23" fillId="7" borderId="28" xfId="0" applyFont="1" applyFill="1" applyBorder="1" applyAlignment="1">
      <alignment horizontal="center" vertical="center"/>
    </xf>
    <xf numFmtId="0" fontId="23" fillId="0" borderId="1" xfId="0" applyFont="1" applyBorder="1" applyAlignment="1">
      <alignment horizontal="center" vertical="center"/>
    </xf>
    <xf numFmtId="0" fontId="23" fillId="0" borderId="28" xfId="0" applyFont="1" applyBorder="1" applyAlignment="1">
      <alignment horizontal="center" vertical="center"/>
    </xf>
    <xf numFmtId="0" fontId="23" fillId="5" borderId="4" xfId="0" applyFont="1" applyFill="1" applyBorder="1" applyAlignment="1">
      <alignment horizontal="center" vertical="center"/>
    </xf>
    <xf numFmtId="0" fontId="23" fillId="5" borderId="28" xfId="0" applyFont="1" applyFill="1" applyBorder="1" applyAlignment="1">
      <alignment horizontal="center" vertical="center"/>
    </xf>
    <xf numFmtId="0" fontId="23" fillId="5" borderId="1" xfId="0" applyFont="1" applyFill="1" applyBorder="1" applyAlignment="1">
      <alignment horizontal="center" vertical="center"/>
    </xf>
    <xf numFmtId="0" fontId="23" fillId="6" borderId="1" xfId="0" applyFont="1" applyFill="1" applyBorder="1" applyAlignment="1">
      <alignment horizontal="center" vertical="center"/>
    </xf>
    <xf numFmtId="0" fontId="23" fillId="6" borderId="28" xfId="0" applyFont="1" applyFill="1" applyBorder="1" applyAlignment="1">
      <alignment horizontal="center" vertical="center"/>
    </xf>
    <xf numFmtId="0" fontId="36" fillId="0" borderId="63" xfId="0" applyFont="1" applyBorder="1"/>
    <xf numFmtId="0" fontId="36" fillId="0" borderId="42" xfId="0" applyFont="1" applyBorder="1" applyAlignment="1">
      <alignment horizontal="center" vertical="center"/>
    </xf>
    <xf numFmtId="1" fontId="36" fillId="8" borderId="3" xfId="0" applyNumberFormat="1" applyFont="1" applyFill="1" applyBorder="1" applyAlignment="1">
      <alignment horizontal="center" vertical="center"/>
    </xf>
    <xf numFmtId="1" fontId="36" fillId="8" borderId="41" xfId="0" applyNumberFormat="1" applyFont="1" applyFill="1" applyBorder="1" applyAlignment="1">
      <alignment horizontal="center" vertical="center"/>
    </xf>
    <xf numFmtId="1" fontId="36" fillId="0" borderId="3" xfId="0" applyNumberFormat="1" applyFont="1" applyBorder="1" applyAlignment="1">
      <alignment horizontal="center" vertical="center"/>
    </xf>
    <xf numFmtId="1" fontId="36" fillId="7" borderId="63" xfId="0" applyNumberFormat="1" applyFont="1" applyFill="1" applyBorder="1" applyAlignment="1">
      <alignment horizontal="center" vertical="center"/>
    </xf>
    <xf numFmtId="1" fontId="36" fillId="7" borderId="42" xfId="0" applyNumberFormat="1" applyFont="1" applyFill="1" applyBorder="1" applyAlignment="1">
      <alignment horizontal="center" vertical="center"/>
    </xf>
    <xf numFmtId="1" fontId="36" fillId="5" borderId="63" xfId="0" applyNumberFormat="1" applyFont="1" applyFill="1" applyBorder="1" applyAlignment="1">
      <alignment horizontal="center" vertical="center"/>
    </xf>
    <xf numFmtId="1" fontId="36" fillId="5" borderId="42" xfId="0" applyNumberFormat="1" applyFont="1" applyFill="1" applyBorder="1" applyAlignment="1">
      <alignment horizontal="center" vertical="center"/>
    </xf>
    <xf numFmtId="1" fontId="36" fillId="6" borderId="63" xfId="0" applyNumberFormat="1" applyFont="1" applyFill="1" applyBorder="1" applyAlignment="1">
      <alignment horizontal="center" vertical="center"/>
    </xf>
    <xf numFmtId="1" fontId="36" fillId="6" borderId="42" xfId="0" applyNumberFormat="1" applyFont="1" applyFill="1" applyBorder="1" applyAlignment="1">
      <alignment horizontal="center" vertical="center"/>
    </xf>
    <xf numFmtId="0" fontId="36" fillId="0" borderId="31" xfId="0" applyFont="1" applyBorder="1"/>
    <xf numFmtId="0" fontId="36" fillId="0" borderId="17" xfId="0" applyFont="1" applyBorder="1" applyAlignment="1">
      <alignment horizontal="center" vertical="center"/>
    </xf>
    <xf numFmtId="1" fontId="36" fillId="8" borderId="29" xfId="0" applyNumberFormat="1" applyFont="1" applyFill="1" applyBorder="1" applyAlignment="1">
      <alignment horizontal="center" vertical="center"/>
    </xf>
    <xf numFmtId="1" fontId="36" fillId="8" borderId="10" xfId="0" applyNumberFormat="1" applyFont="1" applyFill="1" applyBorder="1" applyAlignment="1">
      <alignment horizontal="center" vertical="center"/>
    </xf>
    <xf numFmtId="1" fontId="36" fillId="0" borderId="29" xfId="0" applyNumberFormat="1" applyFont="1" applyBorder="1" applyAlignment="1">
      <alignment horizontal="center" vertical="center"/>
    </xf>
    <xf numFmtId="1" fontId="36" fillId="7" borderId="34" xfId="0" applyNumberFormat="1" applyFont="1" applyFill="1" applyBorder="1" applyAlignment="1">
      <alignment horizontal="center" vertical="center"/>
    </xf>
    <xf numFmtId="1" fontId="36" fillId="7" borderId="17" xfId="0" applyNumberFormat="1" applyFont="1" applyFill="1" applyBorder="1" applyAlignment="1">
      <alignment horizontal="center" vertical="center"/>
    </xf>
    <xf numFmtId="1" fontId="36" fillId="5" borderId="34" xfId="0" applyNumberFormat="1" applyFont="1" applyFill="1" applyBorder="1" applyAlignment="1">
      <alignment horizontal="center" vertical="center"/>
    </xf>
    <xf numFmtId="1" fontId="36" fillId="5" borderId="17" xfId="0" applyNumberFormat="1" applyFont="1" applyFill="1" applyBorder="1" applyAlignment="1">
      <alignment horizontal="center" vertical="center"/>
    </xf>
    <xf numFmtId="1" fontId="36" fillId="6" borderId="31" xfId="0" applyNumberFormat="1" applyFont="1" applyFill="1" applyBorder="1" applyAlignment="1">
      <alignment horizontal="center" vertical="center"/>
    </xf>
    <xf numFmtId="1" fontId="36" fillId="6" borderId="17" xfId="0" applyNumberFormat="1" applyFont="1" applyFill="1" applyBorder="1" applyAlignment="1">
      <alignment horizontal="center" vertical="center"/>
    </xf>
    <xf numFmtId="0" fontId="36" fillId="0" borderId="32" xfId="0" applyFont="1" applyBorder="1"/>
    <xf numFmtId="0" fontId="36" fillId="0" borderId="33" xfId="0" applyFont="1" applyBorder="1" applyAlignment="1">
      <alignment horizontal="center" vertical="center"/>
    </xf>
    <xf numFmtId="1" fontId="36" fillId="8" borderId="59" xfId="0" applyNumberFormat="1" applyFont="1" applyFill="1" applyBorder="1" applyAlignment="1">
      <alignment horizontal="center" vertical="center"/>
    </xf>
    <xf numFmtId="1" fontId="36" fillId="8" borderId="23" xfId="0" applyNumberFormat="1" applyFont="1" applyFill="1" applyBorder="1" applyAlignment="1">
      <alignment horizontal="center" vertical="center"/>
    </xf>
    <xf numFmtId="1" fontId="36" fillId="0" borderId="23" xfId="0" applyNumberFormat="1" applyFont="1" applyBorder="1" applyAlignment="1">
      <alignment horizontal="center" vertical="center"/>
    </xf>
    <xf numFmtId="1" fontId="36" fillId="7" borderId="9" xfId="0" applyNumberFormat="1" applyFont="1" applyFill="1" applyBorder="1" applyAlignment="1">
      <alignment horizontal="center" vertical="center"/>
    </xf>
    <xf numFmtId="1" fontId="36" fillId="7" borderId="73" xfId="0" applyNumberFormat="1" applyFont="1" applyFill="1" applyBorder="1" applyAlignment="1">
      <alignment horizontal="center" vertical="center"/>
    </xf>
    <xf numFmtId="1" fontId="36" fillId="5" borderId="9" xfId="0" applyNumberFormat="1" applyFont="1" applyFill="1" applyBorder="1" applyAlignment="1">
      <alignment horizontal="center" vertical="center"/>
    </xf>
    <xf numFmtId="1" fontId="36" fillId="5" borderId="73" xfId="0" applyNumberFormat="1" applyFont="1" applyFill="1" applyBorder="1" applyAlignment="1">
      <alignment horizontal="center" vertical="center"/>
    </xf>
    <xf numFmtId="1" fontId="36" fillId="6" borderId="32" xfId="0" applyNumberFormat="1" applyFont="1" applyFill="1" applyBorder="1" applyAlignment="1">
      <alignment horizontal="center" vertical="center"/>
    </xf>
    <xf numFmtId="1" fontId="36" fillId="6" borderId="33" xfId="0" applyNumberFormat="1" applyFont="1" applyFill="1" applyBorder="1" applyAlignment="1">
      <alignment horizontal="center" vertical="center"/>
    </xf>
    <xf numFmtId="167" fontId="142" fillId="0" borderId="0" xfId="0" applyNumberFormat="1" applyFont="1" applyAlignment="1">
      <alignment horizontal="center" vertical="center"/>
    </xf>
    <xf numFmtId="0" fontId="36" fillId="0" borderId="0" xfId="0" applyFont="1" applyAlignment="1">
      <alignment horizontal="right" vertical="center"/>
    </xf>
    <xf numFmtId="2" fontId="36" fillId="0" borderId="0" xfId="0" applyNumberFormat="1" applyFont="1" applyAlignment="1">
      <alignment horizontal="right" vertical="center"/>
    </xf>
    <xf numFmtId="1" fontId="36" fillId="5" borderId="37" xfId="0" applyNumberFormat="1" applyFont="1" applyFill="1" applyBorder="1" applyAlignment="1">
      <alignment horizontal="center"/>
    </xf>
    <xf numFmtId="1" fontId="23" fillId="43" borderId="37" xfId="0" applyNumberFormat="1" applyFont="1" applyFill="1" applyBorder="1" applyAlignment="1">
      <alignment horizontal="center"/>
    </xf>
    <xf numFmtId="1" fontId="23" fillId="5" borderId="37" xfId="0" applyNumberFormat="1" applyFont="1" applyFill="1" applyBorder="1" applyAlignment="1">
      <alignment horizontal="center"/>
    </xf>
    <xf numFmtId="9" fontId="23" fillId="5" borderId="37" xfId="22" applyFont="1" applyFill="1" applyBorder="1" applyAlignment="1">
      <alignment horizontal="center"/>
    </xf>
    <xf numFmtId="1" fontId="11" fillId="5" borderId="37" xfId="0" applyNumberFormat="1" applyFont="1" applyFill="1" applyBorder="1" applyAlignment="1">
      <alignment horizontal="center" vertical="center"/>
    </xf>
    <xf numFmtId="0" fontId="0" fillId="7" borderId="10" xfId="0" applyFill="1" applyBorder="1" applyAlignment="1">
      <alignment horizontal="center" vertical="center"/>
    </xf>
    <xf numFmtId="2" fontId="18" fillId="6" borderId="10" xfId="0" applyNumberFormat="1" applyFont="1" applyFill="1" applyBorder="1" applyAlignment="1">
      <alignment horizontal="center" vertical="center"/>
    </xf>
    <xf numFmtId="0" fontId="143" fillId="0" borderId="0" xfId="0" applyFont="1"/>
    <xf numFmtId="0" fontId="5" fillId="0" borderId="0" xfId="0" applyFont="1"/>
    <xf numFmtId="0" fontId="7" fillId="0" borderId="0" xfId="0" applyFont="1"/>
    <xf numFmtId="0" fontId="76" fillId="8" borderId="0" xfId="0" applyFont="1" applyFill="1"/>
    <xf numFmtId="0" fontId="76" fillId="0" borderId="0" xfId="0" applyFont="1"/>
    <xf numFmtId="0" fontId="11" fillId="8" borderId="0" xfId="0" applyFont="1" applyFill="1"/>
    <xf numFmtId="0" fontId="4" fillId="0" borderId="0" xfId="0" applyFont="1"/>
    <xf numFmtId="0" fontId="4" fillId="0" borderId="0" xfId="0" applyFont="1" applyAlignment="1">
      <alignment horizontal="center" vertical="center"/>
    </xf>
    <xf numFmtId="0" fontId="4" fillId="0" borderId="17" xfId="0" applyFont="1" applyBorder="1" applyAlignment="1">
      <alignment horizontal="center" vertical="center"/>
    </xf>
    <xf numFmtId="0" fontId="4" fillId="7" borderId="17" xfId="0" applyFont="1" applyFill="1" applyBorder="1" applyAlignment="1">
      <alignment horizontal="center" vertical="center"/>
    </xf>
    <xf numFmtId="0" fontId="4" fillId="6" borderId="10" xfId="0" applyFont="1" applyFill="1" applyBorder="1" applyAlignment="1">
      <alignment horizontal="center" vertical="center"/>
    </xf>
    <xf numFmtId="0" fontId="143" fillId="8" borderId="0" xfId="0" applyFont="1" applyFill="1"/>
    <xf numFmtId="0" fontId="4" fillId="0" borderId="31" xfId="0" applyFont="1" applyBorder="1" applyAlignment="1">
      <alignment horizontal="right"/>
    </xf>
    <xf numFmtId="2" fontId="7" fillId="5" borderId="29" xfId="0" applyNumberFormat="1" applyFont="1" applyFill="1" applyBorder="1" applyAlignment="1">
      <alignment horizontal="center" vertical="center"/>
    </xf>
    <xf numFmtId="0" fontId="4" fillId="8" borderId="31" xfId="0" applyFont="1" applyFill="1" applyBorder="1" applyAlignment="1">
      <alignment horizontal="right"/>
    </xf>
    <xf numFmtId="167" fontId="7" fillId="5" borderId="29" xfId="0" applyNumberFormat="1" applyFont="1" applyFill="1" applyBorder="1" applyAlignment="1">
      <alignment horizontal="center" vertical="center"/>
    </xf>
    <xf numFmtId="1" fontId="7" fillId="8" borderId="31" xfId="0" applyNumberFormat="1" applyFont="1" applyFill="1" applyBorder="1"/>
    <xf numFmtId="1" fontId="7" fillId="8" borderId="17" xfId="0" applyNumberFormat="1" applyFont="1" applyFill="1" applyBorder="1"/>
    <xf numFmtId="1" fontId="7" fillId="8" borderId="29" xfId="0" applyNumberFormat="1" applyFont="1" applyFill="1" applyBorder="1"/>
    <xf numFmtId="1" fontId="7" fillId="8" borderId="10" xfId="0" applyNumberFormat="1" applyFont="1" applyFill="1" applyBorder="1"/>
    <xf numFmtId="0" fontId="4" fillId="8" borderId="9" xfId="0" applyFont="1" applyFill="1" applyBorder="1" applyAlignment="1">
      <alignment horizontal="right"/>
    </xf>
    <xf numFmtId="0" fontId="4" fillId="8" borderId="15" xfId="0" applyFont="1" applyFill="1" applyBorder="1" applyAlignment="1">
      <alignment horizontal="center" vertical="center"/>
    </xf>
    <xf numFmtId="167" fontId="7" fillId="8" borderId="32" xfId="0" applyNumberFormat="1" applyFont="1" applyFill="1" applyBorder="1" applyAlignment="1">
      <alignment horizontal="center" vertical="center"/>
    </xf>
    <xf numFmtId="167" fontId="7" fillId="5" borderId="69" xfId="0" applyNumberFormat="1" applyFont="1" applyFill="1" applyBorder="1" applyAlignment="1">
      <alignment horizontal="center" vertical="center"/>
    </xf>
    <xf numFmtId="167" fontId="7" fillId="5" borderId="28" xfId="0" applyNumberFormat="1" applyFont="1" applyFill="1" applyBorder="1" applyAlignment="1">
      <alignment horizontal="center" vertical="center"/>
    </xf>
    <xf numFmtId="167" fontId="7" fillId="53" borderId="10" xfId="0" applyNumberFormat="1" applyFont="1" applyFill="1" applyBorder="1" applyAlignment="1">
      <alignment horizontal="center" vertical="center"/>
    </xf>
    <xf numFmtId="2" fontId="7" fillId="53" borderId="10" xfId="0" applyNumberFormat="1" applyFont="1" applyFill="1" applyBorder="1" applyAlignment="1">
      <alignment horizontal="center" vertical="center"/>
    </xf>
    <xf numFmtId="167" fontId="7" fillId="53" borderId="69"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0" fontId="21" fillId="6" borderId="1" xfId="0" applyFont="1" applyFill="1" applyBorder="1" applyAlignment="1">
      <alignment horizontal="center" vertical="center"/>
    </xf>
    <xf numFmtId="1" fontId="21" fillId="6" borderId="74" xfId="0" applyNumberFormat="1" applyFont="1" applyFill="1" applyBorder="1" applyAlignment="1">
      <alignment horizontal="center" vertical="center"/>
    </xf>
    <xf numFmtId="0" fontId="21" fillId="0" borderId="23" xfId="0" applyFont="1" applyBorder="1" applyAlignment="1">
      <alignment horizontal="center" vertical="center"/>
    </xf>
    <xf numFmtId="1" fontId="20" fillId="7" borderId="9" xfId="0" applyNumberFormat="1" applyFont="1" applyFill="1" applyBorder="1" applyAlignment="1">
      <alignment horizontal="center" vertical="center"/>
    </xf>
    <xf numFmtId="1" fontId="20" fillId="6" borderId="9" xfId="0" applyNumberFormat="1" applyFont="1" applyFill="1" applyBorder="1" applyAlignment="1">
      <alignment horizontal="center" vertical="center"/>
    </xf>
    <xf numFmtId="1" fontId="20" fillId="5" borderId="36" xfId="0" applyNumberFormat="1" applyFont="1" applyFill="1" applyBorder="1" applyAlignment="1">
      <alignment horizontal="center" vertical="center"/>
    </xf>
    <xf numFmtId="0" fontId="0" fillId="6" borderId="10" xfId="0" applyFill="1" applyBorder="1" applyAlignment="1">
      <alignment horizontal="center" vertical="center"/>
    </xf>
    <xf numFmtId="0" fontId="18" fillId="5" borderId="4" xfId="0" applyFont="1" applyFill="1" applyBorder="1" applyAlignment="1">
      <alignment horizontal="center" vertical="center"/>
    </xf>
    <xf numFmtId="0" fontId="18" fillId="5" borderId="28" xfId="0" applyFont="1" applyFill="1" applyBorder="1" applyAlignment="1">
      <alignment horizontal="center" vertical="center"/>
    </xf>
    <xf numFmtId="1" fontId="20" fillId="8" borderId="29" xfId="0" applyNumberFormat="1" applyFont="1" applyFill="1" applyBorder="1" applyAlignment="1">
      <alignment horizontal="center" vertical="center"/>
    </xf>
    <xf numFmtId="1" fontId="20" fillId="6" borderId="45" xfId="0" applyNumberFormat="1" applyFont="1" applyFill="1" applyBorder="1" applyAlignment="1">
      <alignment horizontal="center" vertical="center"/>
    </xf>
    <xf numFmtId="167" fontId="4" fillId="5" borderId="76" xfId="0" applyNumberFormat="1" applyFont="1" applyFill="1" applyBorder="1" applyAlignment="1">
      <alignment horizontal="center" vertical="center"/>
    </xf>
    <xf numFmtId="0" fontId="54" fillId="5" borderId="0" xfId="0" applyFont="1" applyFill="1"/>
    <xf numFmtId="1" fontId="14" fillId="0" borderId="82" xfId="0" applyNumberFormat="1" applyFont="1" applyBorder="1" applyAlignment="1">
      <alignment horizontal="center" vertical="center"/>
    </xf>
    <xf numFmtId="167" fontId="14" fillId="0" borderId="84" xfId="0" applyNumberFormat="1" applyFont="1" applyBorder="1" applyAlignment="1">
      <alignment horizontal="center" vertical="center"/>
    </xf>
    <xf numFmtId="167" fontId="14" fillId="7" borderId="84" xfId="0" applyNumberFormat="1" applyFont="1" applyFill="1" applyBorder="1" applyAlignment="1">
      <alignment horizontal="center" vertical="center"/>
    </xf>
    <xf numFmtId="9" fontId="45" fillId="6" borderId="17" xfId="22" applyFont="1" applyFill="1" applyBorder="1" applyAlignment="1">
      <alignment horizontal="center" vertical="center"/>
    </xf>
    <xf numFmtId="1" fontId="45" fillId="6" borderId="17" xfId="22" applyNumberFormat="1" applyFont="1" applyFill="1" applyBorder="1" applyAlignment="1">
      <alignment horizontal="center" vertical="center"/>
    </xf>
    <xf numFmtId="1" fontId="18" fillId="5" borderId="23" xfId="0" applyNumberFormat="1" applyFont="1" applyFill="1" applyBorder="1" applyAlignment="1">
      <alignment horizontal="center" vertical="center"/>
    </xf>
    <xf numFmtId="1" fontId="21" fillId="7" borderId="63" xfId="0" quotePrefix="1" applyNumberFormat="1" applyFont="1" applyFill="1" applyBorder="1" applyAlignment="1">
      <alignment horizontal="center" vertical="center"/>
    </xf>
    <xf numFmtId="1" fontId="21" fillId="7" borderId="42" xfId="0" applyNumberFormat="1" applyFont="1" applyFill="1" applyBorder="1" applyAlignment="1">
      <alignment horizontal="center" vertical="center"/>
    </xf>
    <xf numFmtId="1" fontId="21" fillId="5" borderId="63" xfId="0" quotePrefix="1" applyNumberFormat="1" applyFont="1" applyFill="1" applyBorder="1" applyAlignment="1">
      <alignment horizontal="center" vertical="center"/>
    </xf>
    <xf numFmtId="1" fontId="21" fillId="6" borderId="63" xfId="0" quotePrefix="1" applyNumberFormat="1" applyFont="1" applyFill="1" applyBorder="1" applyAlignment="1">
      <alignment horizontal="center" vertical="center"/>
    </xf>
    <xf numFmtId="1" fontId="21" fillId="5" borderId="34" xfId="0" applyNumberFormat="1" applyFont="1" applyFill="1" applyBorder="1" applyAlignment="1">
      <alignment horizontal="center" vertical="center"/>
    </xf>
    <xf numFmtId="1" fontId="21" fillId="5" borderId="8" xfId="0" applyNumberFormat="1" applyFont="1" applyFill="1" applyBorder="1" applyAlignment="1">
      <alignment horizontal="center" vertical="center"/>
    </xf>
    <xf numFmtId="1" fontId="21" fillId="6" borderId="42" xfId="0" applyNumberFormat="1" applyFont="1" applyFill="1" applyBorder="1" applyAlignment="1">
      <alignment horizontal="center" vertical="center"/>
    </xf>
    <xf numFmtId="0" fontId="21" fillId="0" borderId="48" xfId="0" applyFont="1" applyBorder="1" applyAlignment="1">
      <alignment horizontal="center" vertical="center"/>
    </xf>
    <xf numFmtId="1" fontId="21" fillId="7" borderId="74" xfId="0" quotePrefix="1" applyNumberFormat="1" applyFont="1" applyFill="1" applyBorder="1" applyAlignment="1">
      <alignment horizontal="center" vertical="center"/>
    </xf>
    <xf numFmtId="1" fontId="21" fillId="5" borderId="34" xfId="0" quotePrefix="1" applyNumberFormat="1" applyFont="1" applyFill="1" applyBorder="1" applyAlignment="1">
      <alignment horizontal="center" vertical="center"/>
    </xf>
    <xf numFmtId="1" fontId="21" fillId="6" borderId="74" xfId="0" quotePrefix="1" applyNumberFormat="1" applyFont="1" applyFill="1" applyBorder="1" applyAlignment="1">
      <alignment horizontal="center" vertical="center"/>
    </xf>
    <xf numFmtId="1" fontId="21" fillId="0" borderId="41" xfId="0" quotePrefix="1" applyNumberFormat="1" applyFont="1" applyBorder="1" applyAlignment="1">
      <alignment horizontal="center" vertical="center"/>
    </xf>
    <xf numFmtId="0" fontId="21" fillId="0" borderId="41" xfId="0" quotePrefix="1" applyFont="1" applyBorder="1" applyAlignment="1">
      <alignment horizontal="center" vertical="center"/>
    </xf>
    <xf numFmtId="1" fontId="21" fillId="8" borderId="41" xfId="0" applyNumberFormat="1" applyFont="1" applyFill="1" applyBorder="1" applyAlignment="1">
      <alignment horizontal="center" vertical="center"/>
    </xf>
    <xf numFmtId="1" fontId="20" fillId="6" borderId="72" xfId="0" applyNumberFormat="1" applyFont="1" applyFill="1" applyBorder="1" applyAlignment="1">
      <alignment horizontal="center" vertical="center"/>
    </xf>
    <xf numFmtId="1" fontId="18" fillId="0" borderId="5" xfId="0" applyNumberFormat="1" applyFont="1" applyBorder="1" applyAlignment="1">
      <alignment horizontal="center" vertical="center"/>
    </xf>
    <xf numFmtId="0" fontId="32" fillId="8" borderId="2" xfId="0" applyFont="1" applyFill="1" applyBorder="1" applyAlignment="1">
      <alignment vertical="center"/>
    </xf>
    <xf numFmtId="0" fontId="18" fillId="8" borderId="39" xfId="0" applyFont="1" applyFill="1" applyBorder="1" applyAlignment="1">
      <alignment horizontal="center" vertical="center"/>
    </xf>
    <xf numFmtId="1" fontId="21" fillId="7" borderId="23" xfId="0" applyNumberFormat="1" applyFont="1" applyFill="1" applyBorder="1" applyAlignment="1">
      <alignment horizontal="center" vertical="center"/>
    </xf>
    <xf numFmtId="1" fontId="21" fillId="5" borderId="23" xfId="0" applyNumberFormat="1" applyFont="1" applyFill="1" applyBorder="1" applyAlignment="1">
      <alignment horizontal="center" vertical="center"/>
    </xf>
    <xf numFmtId="1" fontId="21" fillId="6" borderId="23" xfId="0" applyNumberFormat="1" applyFont="1" applyFill="1" applyBorder="1" applyAlignment="1">
      <alignment horizontal="center" vertical="center"/>
    </xf>
    <xf numFmtId="1" fontId="21" fillId="6" borderId="33" xfId="0" applyNumberFormat="1" applyFont="1" applyFill="1" applyBorder="1" applyAlignment="1">
      <alignment horizontal="center" vertical="center"/>
    </xf>
    <xf numFmtId="168" fontId="20" fillId="0" borderId="62" xfId="0" applyNumberFormat="1" applyFont="1" applyBorder="1" applyAlignment="1">
      <alignment horizontal="right" vertical="center" indent="1"/>
    </xf>
    <xf numFmtId="1" fontId="20" fillId="6" borderId="36" xfId="0" applyNumberFormat="1" applyFont="1" applyFill="1" applyBorder="1" applyAlignment="1">
      <alignment horizontal="center" vertical="center"/>
    </xf>
    <xf numFmtId="1" fontId="20" fillId="6" borderId="71" xfId="0" applyNumberFormat="1" applyFont="1" applyFill="1" applyBorder="1" applyAlignment="1">
      <alignment horizontal="center" vertical="center"/>
    </xf>
    <xf numFmtId="1" fontId="20" fillId="8" borderId="46" xfId="0" applyNumberFormat="1" applyFont="1" applyFill="1" applyBorder="1" applyAlignment="1">
      <alignment horizontal="center" vertical="center"/>
    </xf>
    <xf numFmtId="1" fontId="20" fillId="5" borderId="38" xfId="0" applyNumberFormat="1" applyFont="1" applyFill="1" applyBorder="1" applyAlignment="1">
      <alignment horizontal="center" vertical="center"/>
    </xf>
    <xf numFmtId="1" fontId="20" fillId="6" borderId="38" xfId="0" applyNumberFormat="1" applyFont="1" applyFill="1" applyBorder="1" applyAlignment="1">
      <alignment horizontal="center" vertical="center"/>
    </xf>
    <xf numFmtId="0" fontId="20" fillId="6" borderId="10" xfId="0" applyFont="1" applyFill="1" applyBorder="1" applyAlignment="1">
      <alignment horizontal="center" vertical="center"/>
    </xf>
    <xf numFmtId="0" fontId="20" fillId="0" borderId="31" xfId="0" applyFont="1" applyBorder="1" applyAlignment="1">
      <alignment horizontal="right" vertical="center" wrapText="1" indent="1"/>
    </xf>
    <xf numFmtId="0" fontId="18" fillId="0" borderId="32" xfId="0" applyFont="1" applyBorder="1" applyAlignment="1">
      <alignment horizontal="right" vertical="center"/>
    </xf>
    <xf numFmtId="1" fontId="18" fillId="0" borderId="23" xfId="0" applyNumberFormat="1" applyFont="1" applyBorder="1" applyAlignment="1">
      <alignment horizontal="center" vertical="center"/>
    </xf>
    <xf numFmtId="1" fontId="18" fillId="8" borderId="23" xfId="0" applyNumberFormat="1" applyFont="1" applyFill="1" applyBorder="1" applyAlignment="1">
      <alignment horizontal="center" vertical="center"/>
    </xf>
    <xf numFmtId="1" fontId="18" fillId="6" borderId="23" xfId="0" applyNumberFormat="1" applyFont="1" applyFill="1" applyBorder="1" applyAlignment="1">
      <alignment horizontal="center" vertical="center"/>
    </xf>
    <xf numFmtId="1" fontId="18" fillId="6" borderId="33" xfId="0" applyNumberFormat="1" applyFont="1" applyFill="1" applyBorder="1" applyAlignment="1">
      <alignment horizontal="center" vertical="center"/>
    </xf>
    <xf numFmtId="0" fontId="21" fillId="8" borderId="76" xfId="0" applyFont="1" applyFill="1" applyBorder="1" applyAlignment="1">
      <alignment horizontal="left" vertical="center" indent="1"/>
    </xf>
    <xf numFmtId="0" fontId="21" fillId="8" borderId="79" xfId="0" applyFont="1" applyFill="1" applyBorder="1" applyAlignment="1">
      <alignment horizontal="center" vertical="center"/>
    </xf>
    <xf numFmtId="1" fontId="21" fillId="8" borderId="82" xfId="0" applyNumberFormat="1" applyFont="1" applyFill="1" applyBorder="1" applyAlignment="1">
      <alignment horizontal="center" vertical="center"/>
    </xf>
    <xf numFmtId="1" fontId="18" fillId="6" borderId="8" xfId="0" applyNumberFormat="1" applyFont="1" applyFill="1" applyBorder="1" applyAlignment="1">
      <alignment horizontal="center" vertical="center"/>
    </xf>
    <xf numFmtId="167" fontId="21" fillId="6" borderId="17" xfId="0" applyNumberFormat="1" applyFont="1" applyFill="1" applyBorder="1" applyAlignment="1">
      <alignment horizontal="center" vertical="center"/>
    </xf>
    <xf numFmtId="167" fontId="20" fillId="6" borderId="12" xfId="0" applyNumberFormat="1" applyFont="1" applyFill="1" applyBorder="1" applyAlignment="1">
      <alignment horizontal="center" vertical="center"/>
    </xf>
    <xf numFmtId="169" fontId="20" fillId="6" borderId="20" xfId="0" applyNumberFormat="1" applyFont="1" applyFill="1" applyBorder="1" applyAlignment="1">
      <alignment horizontal="center" vertical="center"/>
    </xf>
    <xf numFmtId="2" fontId="20" fillId="6" borderId="17" xfId="0" applyNumberFormat="1" applyFont="1" applyFill="1" applyBorder="1" applyAlignment="1">
      <alignment horizontal="center"/>
    </xf>
    <xf numFmtId="167" fontId="20" fillId="6" borderId="41" xfId="0" applyNumberFormat="1" applyFont="1" applyFill="1" applyBorder="1" applyAlignment="1">
      <alignment horizontal="center" vertical="center"/>
    </xf>
    <xf numFmtId="167" fontId="4" fillId="6" borderId="11" xfId="0" applyNumberFormat="1" applyFont="1" applyFill="1" applyBorder="1" applyAlignment="1">
      <alignment horizontal="center" vertical="center"/>
    </xf>
    <xf numFmtId="1" fontId="18" fillId="6" borderId="63" xfId="0" quotePrefix="1" applyNumberFormat="1" applyFont="1" applyFill="1" applyBorder="1" applyAlignment="1">
      <alignment horizontal="center" vertical="center"/>
    </xf>
    <xf numFmtId="1" fontId="4" fillId="6" borderId="63" xfId="0" applyNumberFormat="1" applyFont="1" applyFill="1" applyBorder="1" applyAlignment="1">
      <alignment horizontal="center" vertical="center"/>
    </xf>
    <xf numFmtId="1" fontId="4" fillId="5" borderId="51" xfId="0" applyNumberFormat="1" applyFont="1" applyFill="1" applyBorder="1" applyAlignment="1">
      <alignment horizontal="center" vertical="center"/>
    </xf>
    <xf numFmtId="1" fontId="4" fillId="6" borderId="51" xfId="0" applyNumberFormat="1" applyFont="1" applyFill="1" applyBorder="1" applyAlignment="1">
      <alignment horizontal="center" vertical="center"/>
    </xf>
    <xf numFmtId="1" fontId="18" fillId="6" borderId="34" xfId="0" applyNumberFormat="1" applyFont="1" applyFill="1" applyBorder="1" applyAlignment="1">
      <alignment horizontal="center" vertical="center"/>
    </xf>
    <xf numFmtId="1" fontId="18" fillId="6" borderId="85" xfId="0" applyNumberFormat="1" applyFont="1" applyFill="1" applyBorder="1" applyAlignment="1">
      <alignment horizontal="center" vertical="center"/>
    </xf>
    <xf numFmtId="0" fontId="29" fillId="0" borderId="39" xfId="0" applyFont="1" applyBorder="1" applyAlignment="1">
      <alignment vertical="center"/>
    </xf>
    <xf numFmtId="0" fontId="29" fillId="8" borderId="7" xfId="0" applyFont="1" applyFill="1" applyBorder="1" applyAlignment="1">
      <alignment vertical="center"/>
    </xf>
    <xf numFmtId="167" fontId="4" fillId="5" borderId="82" xfId="0" applyNumberFormat="1" applyFont="1" applyFill="1" applyBorder="1" applyAlignment="1">
      <alignment horizontal="center" vertical="center"/>
    </xf>
    <xf numFmtId="2" fontId="20" fillId="5" borderId="17" xfId="0" applyNumberFormat="1" applyFont="1" applyFill="1" applyBorder="1" applyAlignment="1">
      <alignment horizontal="center" vertical="center"/>
    </xf>
    <xf numFmtId="167" fontId="4" fillId="6" borderId="4" xfId="0" applyNumberFormat="1" applyFont="1" applyFill="1" applyBorder="1" applyAlignment="1">
      <alignment horizontal="center" vertical="center"/>
    </xf>
    <xf numFmtId="2" fontId="20" fillId="6" borderId="50" xfId="0" applyNumberFormat="1" applyFont="1" applyFill="1" applyBorder="1" applyAlignment="1">
      <alignment horizontal="center" vertical="center"/>
    </xf>
    <xf numFmtId="2" fontId="20" fillId="6" borderId="8" xfId="0" applyNumberFormat="1" applyFont="1" applyFill="1" applyBorder="1" applyAlignment="1">
      <alignment horizontal="center" vertical="center"/>
    </xf>
    <xf numFmtId="2" fontId="20" fillId="6" borderId="29" xfId="0" applyNumberFormat="1" applyFont="1" applyFill="1" applyBorder="1" applyAlignment="1">
      <alignment horizontal="center" vertical="center"/>
    </xf>
    <xf numFmtId="169" fontId="20" fillId="6" borderId="29" xfId="0" applyNumberFormat="1" applyFont="1" applyFill="1" applyBorder="1" applyAlignment="1">
      <alignment horizontal="center" vertical="center"/>
    </xf>
    <xf numFmtId="0" fontId="20" fillId="8" borderId="23" xfId="0" applyFont="1" applyFill="1" applyBorder="1" applyAlignment="1">
      <alignment horizontal="center" vertical="center"/>
    </xf>
    <xf numFmtId="0" fontId="21" fillId="0" borderId="1" xfId="0" applyFont="1" applyBorder="1" applyAlignment="1">
      <alignment vertical="center"/>
    </xf>
    <xf numFmtId="0" fontId="20" fillId="6" borderId="1" xfId="0" applyFont="1" applyFill="1" applyBorder="1" applyAlignment="1">
      <alignment horizontal="center" vertical="center"/>
    </xf>
    <xf numFmtId="1" fontId="20" fillId="53" borderId="17" xfId="0" applyNumberFormat="1" applyFont="1" applyFill="1" applyBorder="1" applyAlignment="1">
      <alignment horizontal="center" vertical="center"/>
    </xf>
    <xf numFmtId="0" fontId="20" fillId="0" borderId="62" xfId="0" applyFont="1" applyBorder="1" applyAlignment="1">
      <alignment horizontal="left" indent="2"/>
    </xf>
    <xf numFmtId="167" fontId="18" fillId="0" borderId="45" xfId="0" applyNumberFormat="1" applyFont="1" applyBorder="1" applyAlignment="1">
      <alignment horizontal="center" vertical="center"/>
    </xf>
    <xf numFmtId="167" fontId="18" fillId="7" borderId="45" xfId="0" applyNumberFormat="1" applyFont="1" applyFill="1" applyBorder="1" applyAlignment="1">
      <alignment horizontal="center" vertical="center"/>
    </xf>
    <xf numFmtId="167" fontId="18" fillId="5" borderId="45" xfId="0" applyNumberFormat="1" applyFont="1" applyFill="1" applyBorder="1" applyAlignment="1">
      <alignment horizontal="center" vertical="center"/>
    </xf>
    <xf numFmtId="1" fontId="20" fillId="53" borderId="72" xfId="0" applyNumberFormat="1" applyFont="1" applyFill="1" applyBorder="1" applyAlignment="1">
      <alignment horizontal="center" vertical="center"/>
    </xf>
    <xf numFmtId="0" fontId="20" fillId="0" borderId="34" xfId="0" applyFont="1" applyBorder="1" applyAlignment="1">
      <alignment horizontal="left" indent="2"/>
    </xf>
    <xf numFmtId="167" fontId="18" fillId="0" borderId="30" xfId="0" applyNumberFormat="1" applyFont="1" applyBorder="1" applyAlignment="1">
      <alignment horizontal="center" vertical="center"/>
    </xf>
    <xf numFmtId="167" fontId="18" fillId="7" borderId="30" xfId="0" applyNumberFormat="1" applyFont="1" applyFill="1" applyBorder="1" applyAlignment="1">
      <alignment horizontal="center" vertical="center"/>
    </xf>
    <xf numFmtId="167" fontId="18" fillId="5" borderId="30" xfId="0" applyNumberFormat="1" applyFont="1" applyFill="1" applyBorder="1" applyAlignment="1">
      <alignment horizontal="center" vertical="center"/>
    </xf>
    <xf numFmtId="0" fontId="21" fillId="0" borderId="1" xfId="0" applyFont="1" applyBorder="1" applyAlignment="1">
      <alignment horizontal="left" indent="1"/>
    </xf>
    <xf numFmtId="0" fontId="21" fillId="0" borderId="5" xfId="0" applyFont="1" applyBorder="1" applyAlignment="1">
      <alignment horizontal="center" vertical="center"/>
    </xf>
    <xf numFmtId="1" fontId="21" fillId="0" borderId="5" xfId="0" applyNumberFormat="1" applyFont="1" applyBorder="1" applyAlignment="1">
      <alignment horizontal="center" vertical="center"/>
    </xf>
    <xf numFmtId="1" fontId="21" fillId="5" borderId="5" xfId="0" applyNumberFormat="1" applyFont="1" applyFill="1" applyBorder="1" applyAlignment="1">
      <alignment horizontal="center" vertical="center"/>
    </xf>
    <xf numFmtId="1" fontId="21" fillId="7" borderId="5" xfId="0" applyNumberFormat="1" applyFont="1" applyFill="1" applyBorder="1" applyAlignment="1">
      <alignment horizontal="center" vertical="center"/>
    </xf>
    <xf numFmtId="0" fontId="19" fillId="8" borderId="24" xfId="0" applyFont="1" applyFill="1" applyBorder="1" applyAlignment="1">
      <alignment vertical="center"/>
    </xf>
    <xf numFmtId="1" fontId="20" fillId="6" borderId="25" xfId="0" applyNumberFormat="1" applyFont="1" applyFill="1" applyBorder="1" applyAlignment="1">
      <alignment horizontal="center" vertical="center"/>
    </xf>
    <xf numFmtId="0" fontId="20" fillId="8" borderId="55" xfId="0" applyFont="1" applyFill="1" applyBorder="1" applyAlignment="1">
      <alignment vertical="center"/>
    </xf>
    <xf numFmtId="1" fontId="20" fillId="6" borderId="1" xfId="0" applyNumberFormat="1" applyFont="1" applyFill="1" applyBorder="1" applyAlignment="1">
      <alignment horizontal="center" vertical="center"/>
    </xf>
    <xf numFmtId="167" fontId="19" fillId="6" borderId="1" xfId="0" applyNumberFormat="1" applyFont="1" applyFill="1" applyBorder="1" applyAlignment="1">
      <alignment horizontal="center" vertical="center"/>
    </xf>
    <xf numFmtId="167" fontId="19" fillId="6" borderId="41" xfId="0" applyNumberFormat="1" applyFont="1" applyFill="1" applyBorder="1" applyAlignment="1">
      <alignment horizontal="center" vertical="center"/>
    </xf>
    <xf numFmtId="167" fontId="19" fillId="6" borderId="45" xfId="0" applyNumberFormat="1" applyFont="1" applyFill="1" applyBorder="1" applyAlignment="1">
      <alignment horizontal="center" vertical="center"/>
    </xf>
    <xf numFmtId="167" fontId="19" fillId="6" borderId="5" xfId="0" applyNumberFormat="1" applyFont="1" applyFill="1" applyBorder="1" applyAlignment="1">
      <alignment horizontal="center" vertical="center"/>
    </xf>
    <xf numFmtId="167" fontId="19" fillId="6" borderId="30" xfId="0" applyNumberFormat="1" applyFont="1" applyFill="1" applyBorder="1" applyAlignment="1">
      <alignment horizontal="center" vertical="center"/>
    </xf>
    <xf numFmtId="1" fontId="19" fillId="6" borderId="5" xfId="0" applyNumberFormat="1" applyFont="1" applyFill="1" applyBorder="1" applyAlignment="1">
      <alignment horizontal="center" vertical="center"/>
    </xf>
    <xf numFmtId="0" fontId="144" fillId="8" borderId="7" xfId="0" applyFont="1" applyFill="1" applyBorder="1" applyAlignment="1">
      <alignment vertical="center"/>
    </xf>
    <xf numFmtId="1" fontId="19" fillId="6" borderId="1" xfId="0" applyNumberFormat="1" applyFont="1" applyFill="1" applyBorder="1" applyAlignment="1">
      <alignment horizontal="center" vertical="center"/>
    </xf>
    <xf numFmtId="1" fontId="19" fillId="6" borderId="4" xfId="0" applyNumberFormat="1" applyFont="1" applyFill="1" applyBorder="1" applyAlignment="1">
      <alignment horizontal="center" vertical="center"/>
    </xf>
    <xf numFmtId="1" fontId="19" fillId="6" borderId="11" xfId="0" applyNumberFormat="1" applyFont="1" applyFill="1" applyBorder="1" applyAlignment="1">
      <alignment horizontal="center" vertical="center"/>
    </xf>
    <xf numFmtId="167" fontId="144" fillId="8" borderId="7" xfId="0" applyNumberFormat="1" applyFont="1" applyFill="1" applyBorder="1" applyAlignment="1">
      <alignment horizontal="center" vertical="center"/>
    </xf>
    <xf numFmtId="167" fontId="144" fillId="8" borderId="6" xfId="0" applyNumberFormat="1" applyFont="1" applyFill="1" applyBorder="1" applyAlignment="1">
      <alignment horizontal="center" vertical="center"/>
    </xf>
    <xf numFmtId="0" fontId="145" fillId="8" borderId="6" xfId="0" applyFont="1" applyFill="1" applyBorder="1" applyAlignment="1">
      <alignment vertical="center"/>
    </xf>
    <xf numFmtId="167" fontId="144" fillId="8" borderId="47" xfId="0" applyNumberFormat="1" applyFont="1" applyFill="1" applyBorder="1" applyAlignment="1">
      <alignment horizontal="center" vertical="center"/>
    </xf>
    <xf numFmtId="167" fontId="145" fillId="8" borderId="6" xfId="0" applyNumberFormat="1" applyFont="1" applyFill="1" applyBorder="1" applyAlignment="1">
      <alignment horizontal="center" vertical="center"/>
    </xf>
    <xf numFmtId="167" fontId="7" fillId="6" borderId="79" xfId="0" applyNumberFormat="1" applyFont="1" applyFill="1" applyBorder="1" applyAlignment="1">
      <alignment horizontal="center" vertical="center"/>
    </xf>
    <xf numFmtId="167" fontId="7" fillId="6" borderId="5" xfId="0" applyNumberFormat="1" applyFont="1" applyFill="1" applyBorder="1" applyAlignment="1">
      <alignment horizontal="center" vertical="center"/>
    </xf>
    <xf numFmtId="167" fontId="19" fillId="5" borderId="41" xfId="0" applyNumberFormat="1" applyFont="1" applyFill="1" applyBorder="1" applyAlignment="1">
      <alignment horizontal="center" vertical="center"/>
    </xf>
    <xf numFmtId="167" fontId="19" fillId="6" borderId="42" xfId="0" applyNumberFormat="1" applyFont="1" applyFill="1" applyBorder="1" applyAlignment="1">
      <alignment horizontal="center" vertical="center"/>
    </xf>
    <xf numFmtId="0" fontId="19" fillId="0" borderId="63" xfId="0" applyFont="1" applyBorder="1" applyAlignment="1">
      <alignment horizontal="right" vertical="center" indent="1"/>
    </xf>
    <xf numFmtId="167" fontId="19" fillId="8" borderId="41" xfId="0" applyNumberFormat="1" applyFont="1" applyFill="1" applyBorder="1" applyAlignment="1">
      <alignment horizontal="center" vertical="center"/>
    </xf>
    <xf numFmtId="167" fontId="19" fillId="0" borderId="41" xfId="0" applyNumberFormat="1" applyFont="1" applyBorder="1" applyAlignment="1">
      <alignment horizontal="center" vertical="center"/>
    </xf>
    <xf numFmtId="167" fontId="19" fillId="7" borderId="41" xfId="0" applyNumberFormat="1" applyFont="1" applyFill="1" applyBorder="1" applyAlignment="1">
      <alignment horizontal="center" vertical="center"/>
    </xf>
    <xf numFmtId="0" fontId="19" fillId="0" borderId="31" xfId="0" applyFont="1" applyBorder="1" applyAlignment="1">
      <alignment horizontal="right" vertical="center" indent="1"/>
    </xf>
    <xf numFmtId="0" fontId="18" fillId="8" borderId="31" xfId="0" applyFont="1" applyFill="1" applyBorder="1" applyAlignment="1">
      <alignment horizontal="right" vertical="center" indent="1"/>
    </xf>
    <xf numFmtId="0" fontId="19" fillId="8" borderId="31" xfId="0" applyFont="1" applyFill="1" applyBorder="1" applyAlignment="1">
      <alignment horizontal="right" vertical="center" indent="2"/>
    </xf>
    <xf numFmtId="0" fontId="18" fillId="8" borderId="31" xfId="0" applyFont="1" applyFill="1" applyBorder="1" applyAlignment="1">
      <alignment horizontal="right" vertical="center" indent="2"/>
    </xf>
    <xf numFmtId="0" fontId="18" fillId="8" borderId="31" xfId="0" applyFont="1" applyFill="1" applyBorder="1" applyAlignment="1">
      <alignment horizontal="right" indent="1"/>
    </xf>
    <xf numFmtId="0" fontId="20" fillId="0" borderId="31" xfId="0" applyFont="1" applyBorder="1" applyAlignment="1">
      <alignment horizontal="right" indent="1"/>
    </xf>
    <xf numFmtId="0" fontId="20" fillId="0" borderId="32" xfId="0" applyFont="1" applyBorder="1" applyAlignment="1">
      <alignment horizontal="right" indent="1"/>
    </xf>
    <xf numFmtId="0" fontId="20" fillId="0" borderId="34" xfId="0" applyFont="1" applyBorder="1" applyAlignment="1">
      <alignment horizontal="right" vertical="center" indent="2"/>
    </xf>
    <xf numFmtId="0" fontId="18" fillId="8" borderId="13" xfId="0" applyFont="1" applyFill="1" applyBorder="1" applyAlignment="1">
      <alignment horizontal="right" vertical="center" indent="2"/>
    </xf>
    <xf numFmtId="0" fontId="20" fillId="0" borderId="60" xfId="0" applyFont="1" applyBorder="1" applyAlignment="1">
      <alignment horizontal="center"/>
    </xf>
    <xf numFmtId="1" fontId="18" fillId="8" borderId="5" xfId="0" applyNumberFormat="1" applyFont="1" applyFill="1" applyBorder="1" applyAlignment="1">
      <alignment horizontal="center" vertical="center"/>
    </xf>
    <xf numFmtId="0" fontId="18" fillId="8" borderId="35" xfId="0" applyFont="1" applyFill="1" applyBorder="1" applyAlignment="1">
      <alignment horizontal="left" indent="1"/>
    </xf>
    <xf numFmtId="0" fontId="18" fillId="8" borderId="54" xfId="0" applyFont="1" applyFill="1" applyBorder="1" applyAlignment="1">
      <alignment vertical="center"/>
    </xf>
    <xf numFmtId="0" fontId="18" fillId="8" borderId="75" xfId="0" applyFont="1" applyFill="1" applyBorder="1" applyAlignment="1">
      <alignment vertical="center"/>
    </xf>
    <xf numFmtId="0" fontId="19" fillId="8" borderId="75" xfId="0" applyFont="1" applyFill="1" applyBorder="1" applyAlignment="1">
      <alignment vertical="center"/>
    </xf>
    <xf numFmtId="0" fontId="20" fillId="0" borderId="63" xfId="0" applyFont="1" applyBorder="1" applyAlignment="1">
      <alignment horizontal="right" indent="1"/>
    </xf>
    <xf numFmtId="0" fontId="20" fillId="0" borderId="62" xfId="0" applyFont="1" applyBorder="1" applyAlignment="1">
      <alignment horizontal="right" indent="1"/>
    </xf>
    <xf numFmtId="0" fontId="18" fillId="0" borderId="1" xfId="0" applyFont="1" applyBorder="1" applyAlignment="1">
      <alignment horizontal="right" indent="1"/>
    </xf>
    <xf numFmtId="2" fontId="18" fillId="5" borderId="39" xfId="0" applyNumberFormat="1" applyFont="1" applyFill="1" applyBorder="1" applyAlignment="1">
      <alignment horizontal="center" vertical="center"/>
    </xf>
    <xf numFmtId="2" fontId="18" fillId="6" borderId="56" xfId="0" applyNumberFormat="1" applyFont="1" applyFill="1" applyBorder="1" applyAlignment="1">
      <alignment horizontal="center" vertical="center"/>
    </xf>
    <xf numFmtId="2" fontId="19" fillId="6" borderId="39" xfId="0" applyNumberFormat="1" applyFont="1" applyFill="1" applyBorder="1" applyAlignment="1">
      <alignment horizontal="center" vertical="center"/>
    </xf>
    <xf numFmtId="0" fontId="0" fillId="47" borderId="10" xfId="0" applyFill="1" applyBorder="1" applyAlignment="1">
      <alignment horizontal="center" vertical="center"/>
    </xf>
    <xf numFmtId="0" fontId="0" fillId="47" borderId="10" xfId="0" applyFill="1" applyBorder="1" applyAlignment="1">
      <alignment horizontal="right" indent="1"/>
    </xf>
    <xf numFmtId="0" fontId="4" fillId="5" borderId="76" xfId="0" applyFont="1" applyFill="1" applyBorder="1" applyAlignment="1">
      <alignment horizontal="center" vertical="center"/>
    </xf>
    <xf numFmtId="0" fontId="4" fillId="5" borderId="54" xfId="0" applyFont="1" applyFill="1" applyBorder="1" applyAlignment="1">
      <alignment horizontal="center" vertical="center"/>
    </xf>
    <xf numFmtId="0" fontId="4" fillId="6" borderId="76" xfId="0" applyFont="1" applyFill="1" applyBorder="1" applyAlignment="1">
      <alignment horizontal="center" vertical="center"/>
    </xf>
    <xf numFmtId="0" fontId="4" fillId="6" borderId="54" xfId="0" applyFont="1" applyFill="1" applyBorder="1" applyAlignment="1">
      <alignment horizontal="center" vertical="center"/>
    </xf>
    <xf numFmtId="1" fontId="7" fillId="6" borderId="17" xfId="0" applyNumberFormat="1" applyFont="1" applyFill="1" applyBorder="1" applyAlignment="1">
      <alignment horizontal="center" vertical="center"/>
    </xf>
    <xf numFmtId="1" fontId="18" fillId="45" borderId="55" xfId="0" applyNumberFormat="1" applyFont="1" applyFill="1" applyBorder="1" applyAlignment="1">
      <alignment horizontal="center" vertical="center"/>
    </xf>
    <xf numFmtId="1" fontId="18" fillId="6" borderId="13" xfId="0" applyNumberFormat="1" applyFont="1" applyFill="1" applyBorder="1" applyAlignment="1">
      <alignment horizontal="center" vertical="center"/>
    </xf>
    <xf numFmtId="1" fontId="18" fillId="6" borderId="21" xfId="0" applyNumberFormat="1" applyFont="1" applyFill="1" applyBorder="1" applyAlignment="1">
      <alignment horizontal="center" vertical="center"/>
    </xf>
    <xf numFmtId="1" fontId="19" fillId="6" borderId="13" xfId="0" applyNumberFormat="1" applyFont="1" applyFill="1" applyBorder="1" applyAlignment="1">
      <alignment horizontal="center" vertical="center"/>
    </xf>
    <xf numFmtId="2" fontId="18" fillId="5" borderId="10" xfId="0" applyNumberFormat="1" applyFont="1" applyFill="1" applyBorder="1" applyAlignment="1">
      <alignment horizontal="center" vertical="center"/>
    </xf>
    <xf numFmtId="2" fontId="18" fillId="44" borderId="10" xfId="0" applyNumberFormat="1" applyFont="1" applyFill="1" applyBorder="1" applyAlignment="1">
      <alignment horizontal="center" vertical="center"/>
    </xf>
    <xf numFmtId="0" fontId="45" fillId="8" borderId="30" xfId="0" applyFont="1" applyFill="1" applyBorder="1"/>
    <xf numFmtId="0" fontId="4" fillId="8" borderId="23" xfId="0" applyFont="1" applyFill="1" applyBorder="1" applyAlignment="1">
      <alignment horizontal="center" vertical="center"/>
    </xf>
    <xf numFmtId="1" fontId="4" fillId="8" borderId="23" xfId="0" applyNumberFormat="1" applyFont="1" applyFill="1" applyBorder="1" applyAlignment="1">
      <alignment horizontal="center" vertical="center"/>
    </xf>
    <xf numFmtId="1" fontId="4" fillId="7" borderId="23" xfId="0" applyNumberFormat="1" applyFont="1" applyFill="1" applyBorder="1" applyAlignment="1">
      <alignment horizontal="center" vertical="center"/>
    </xf>
    <xf numFmtId="167" fontId="20" fillId="7" borderId="74" xfId="0" applyNumberFormat="1" applyFont="1" applyFill="1" applyBorder="1" applyAlignment="1">
      <alignment horizontal="center" vertical="center"/>
    </xf>
    <xf numFmtId="167" fontId="20" fillId="5" borderId="74" xfId="0" applyNumberFormat="1" applyFont="1" applyFill="1" applyBorder="1" applyAlignment="1">
      <alignment horizontal="center" vertical="center"/>
    </xf>
    <xf numFmtId="169" fontId="20" fillId="6" borderId="27" xfId="0" applyNumberFormat="1" applyFont="1" applyFill="1" applyBorder="1" applyAlignment="1">
      <alignment horizontal="center" vertical="center"/>
    </xf>
    <xf numFmtId="2" fontId="18" fillId="5" borderId="41" xfId="0" applyNumberFormat="1" applyFont="1" applyFill="1" applyBorder="1" applyAlignment="1">
      <alignment horizontal="center" vertical="center"/>
    </xf>
    <xf numFmtId="2" fontId="18" fillId="5" borderId="23" xfId="0" applyNumberFormat="1" applyFont="1" applyFill="1" applyBorder="1" applyAlignment="1">
      <alignment horizontal="center" vertical="center"/>
    </xf>
    <xf numFmtId="9" fontId="80" fillId="6" borderId="10" xfId="22" applyFont="1" applyFill="1" applyBorder="1" applyAlignment="1">
      <alignment horizontal="center" vertical="center"/>
    </xf>
    <xf numFmtId="1" fontId="80" fillId="6" borderId="10" xfId="0" applyNumberFormat="1" applyFont="1" applyFill="1" applyBorder="1" applyAlignment="1">
      <alignment horizontal="center" vertical="center"/>
    </xf>
    <xf numFmtId="0" fontId="19" fillId="8" borderId="31" xfId="0" applyFont="1" applyFill="1" applyBorder="1" applyAlignment="1">
      <alignment horizontal="left" vertical="center" wrapText="1" indent="1"/>
    </xf>
    <xf numFmtId="0" fontId="45" fillId="52" borderId="0" xfId="0" applyFont="1" applyFill="1"/>
    <xf numFmtId="0" fontId="54" fillId="8" borderId="45" xfId="0" applyFont="1" applyFill="1" applyBorder="1"/>
    <xf numFmtId="169" fontId="12" fillId="7" borderId="10" xfId="0" applyNumberFormat="1" applyFont="1" applyFill="1" applyBorder="1" applyAlignment="1">
      <alignment horizontal="center" vertical="center"/>
    </xf>
    <xf numFmtId="0" fontId="7" fillId="0" borderId="10" xfId="0" applyFont="1" applyBorder="1" applyAlignment="1">
      <alignment horizontal="center"/>
    </xf>
    <xf numFmtId="1" fontId="7" fillId="0" borderId="10" xfId="0" applyNumberFormat="1" applyFont="1" applyBorder="1" applyAlignment="1">
      <alignment horizontal="center"/>
    </xf>
    <xf numFmtId="1" fontId="46" fillId="8" borderId="10" xfId="0" applyNumberFormat="1" applyFont="1" applyFill="1" applyBorder="1" applyAlignment="1">
      <alignment vertical="center"/>
    </xf>
    <xf numFmtId="0" fontId="149" fillId="8" borderId="63" xfId="0" applyFont="1" applyFill="1" applyBorder="1" applyAlignment="1">
      <alignment horizontal="center" vertical="center"/>
    </xf>
    <xf numFmtId="0" fontId="109" fillId="8" borderId="76" xfId="0" applyFont="1" applyFill="1" applyBorder="1" applyAlignment="1">
      <alignment horizontal="left" vertical="center"/>
    </xf>
    <xf numFmtId="0" fontId="4" fillId="8" borderId="79" xfId="0" applyFont="1" applyFill="1" applyBorder="1" applyAlignment="1">
      <alignment horizontal="center" vertical="center"/>
    </xf>
    <xf numFmtId="1" fontId="8" fillId="8" borderId="82" xfId="0" applyNumberFormat="1" applyFont="1" applyFill="1" applyBorder="1" applyAlignment="1">
      <alignment horizontal="center" vertical="center"/>
    </xf>
    <xf numFmtId="1" fontId="18" fillId="8" borderId="82" xfId="0" applyNumberFormat="1" applyFont="1" applyFill="1" applyBorder="1" applyAlignment="1">
      <alignment horizontal="center" vertical="center"/>
    </xf>
    <xf numFmtId="0" fontId="117" fillId="8" borderId="63" xfId="0" applyFont="1" applyFill="1" applyBorder="1" applyAlignment="1">
      <alignment horizontal="left" vertical="center"/>
    </xf>
    <xf numFmtId="0" fontId="0" fillId="50" borderId="41" xfId="0" applyFill="1" applyBorder="1"/>
    <xf numFmtId="0" fontId="54" fillId="0" borderId="41" xfId="0" applyFont="1" applyBorder="1"/>
    <xf numFmtId="1" fontId="18" fillId="48" borderId="41" xfId="0" applyNumberFormat="1" applyFont="1" applyFill="1" applyBorder="1" applyAlignment="1">
      <alignment horizontal="center" vertical="center"/>
    </xf>
    <xf numFmtId="9" fontId="0" fillId="0" borderId="0" xfId="22" applyFont="1"/>
    <xf numFmtId="1" fontId="20" fillId="45" borderId="3" xfId="0" applyNumberFormat="1" applyFont="1" applyFill="1" applyBorder="1" applyAlignment="1">
      <alignment horizontal="center" vertical="center"/>
    </xf>
    <xf numFmtId="1" fontId="21" fillId="45" borderId="29" xfId="0" applyNumberFormat="1" applyFont="1" applyFill="1" applyBorder="1" applyAlignment="1">
      <alignment horizontal="center" vertical="center"/>
    </xf>
    <xf numFmtId="0" fontId="45" fillId="45" borderId="29" xfId="0" applyFont="1" applyFill="1" applyBorder="1"/>
    <xf numFmtId="167" fontId="20" fillId="45" borderId="29" xfId="0" applyNumberFormat="1" applyFont="1" applyFill="1" applyBorder="1" applyAlignment="1">
      <alignment horizontal="center" vertical="center"/>
    </xf>
    <xf numFmtId="167" fontId="21" fillId="45" borderId="29" xfId="0" applyNumberFormat="1" applyFont="1" applyFill="1" applyBorder="1" applyAlignment="1">
      <alignment horizontal="center" vertical="center"/>
    </xf>
    <xf numFmtId="167" fontId="20" fillId="45" borderId="36" xfId="0" applyNumberFormat="1" applyFont="1" applyFill="1" applyBorder="1" applyAlignment="1">
      <alignment horizontal="center" vertical="center"/>
    </xf>
    <xf numFmtId="167" fontId="20" fillId="45" borderId="59" xfId="0" applyNumberFormat="1" applyFont="1" applyFill="1" applyBorder="1" applyAlignment="1">
      <alignment horizontal="center" vertical="center"/>
    </xf>
    <xf numFmtId="0" fontId="0" fillId="0" borderId="26" xfId="0" applyBorder="1"/>
    <xf numFmtId="0" fontId="5" fillId="8" borderId="41" xfId="0" applyFont="1" applyFill="1" applyBorder="1" applyAlignment="1">
      <alignment vertical="center"/>
    </xf>
    <xf numFmtId="167" fontId="21" fillId="7" borderId="41" xfId="0" applyNumberFormat="1" applyFont="1" applyFill="1" applyBorder="1" applyAlignment="1">
      <alignment horizontal="center" vertical="center"/>
    </xf>
    <xf numFmtId="0" fontId="12" fillId="0" borderId="0" xfId="0" applyFont="1" applyAlignment="1">
      <alignment wrapText="1"/>
    </xf>
    <xf numFmtId="1" fontId="20" fillId="0" borderId="105" xfId="0" applyNumberFormat="1" applyFont="1" applyBorder="1" applyAlignment="1">
      <alignment horizontal="center" vertical="center"/>
    </xf>
    <xf numFmtId="1" fontId="20" fillId="7" borderId="105" xfId="0" applyNumberFormat="1" applyFont="1" applyFill="1" applyBorder="1" applyAlignment="1">
      <alignment vertical="center"/>
    </xf>
    <xf numFmtId="1" fontId="20" fillId="7" borderId="105" xfId="0" applyNumberFormat="1" applyFont="1" applyFill="1" applyBorder="1" applyAlignment="1">
      <alignment horizontal="center" vertical="center"/>
    </xf>
    <xf numFmtId="1" fontId="20" fillId="5" borderId="105" xfId="0" applyNumberFormat="1" applyFont="1" applyFill="1" applyBorder="1" applyAlignment="1">
      <alignment vertical="center"/>
    </xf>
    <xf numFmtId="1" fontId="20" fillId="5" borderId="105" xfId="0" applyNumberFormat="1" applyFont="1" applyFill="1" applyBorder="1" applyAlignment="1">
      <alignment horizontal="center" vertical="center"/>
    </xf>
    <xf numFmtId="1" fontId="19" fillId="5" borderId="105" xfId="0" applyNumberFormat="1" applyFont="1" applyFill="1" applyBorder="1" applyAlignment="1">
      <alignment horizontal="center" vertical="center"/>
    </xf>
    <xf numFmtId="1" fontId="20" fillId="8" borderId="105" xfId="0" applyNumberFormat="1" applyFont="1" applyFill="1" applyBorder="1" applyAlignment="1">
      <alignment horizontal="center" vertical="center"/>
    </xf>
    <xf numFmtId="1" fontId="20" fillId="44" borderId="105" xfId="0" applyNumberFormat="1" applyFont="1" applyFill="1" applyBorder="1" applyAlignment="1">
      <alignment vertical="center"/>
    </xf>
    <xf numFmtId="0" fontId="7" fillId="0" borderId="105" xfId="0" applyFont="1" applyBorder="1" applyAlignment="1">
      <alignment horizontal="left" vertical="center"/>
    </xf>
    <xf numFmtId="0" fontId="7" fillId="0" borderId="105" xfId="0" applyFont="1" applyBorder="1" applyAlignment="1">
      <alignment horizontal="center" vertical="center"/>
    </xf>
    <xf numFmtId="0" fontId="7" fillId="7" borderId="105" xfId="0" applyFont="1" applyFill="1" applyBorder="1" applyAlignment="1">
      <alignment horizontal="center" vertical="center"/>
    </xf>
    <xf numFmtId="0" fontId="7" fillId="5" borderId="105" xfId="0" applyFont="1" applyFill="1" applyBorder="1" applyAlignment="1">
      <alignment horizontal="center" vertical="center"/>
    </xf>
    <xf numFmtId="0" fontId="0" fillId="0" borderId="105" xfId="0" applyBorder="1" applyAlignment="1">
      <alignment horizontal="center" vertical="center"/>
    </xf>
    <xf numFmtId="0" fontId="13" fillId="0" borderId="38" xfId="0" applyFont="1" applyBorder="1"/>
    <xf numFmtId="0" fontId="18" fillId="0" borderId="71" xfId="0" applyFont="1" applyBorder="1" applyAlignment="1">
      <alignment horizontal="center" vertical="center"/>
    </xf>
    <xf numFmtId="0" fontId="18" fillId="0" borderId="105" xfId="0" applyFont="1" applyBorder="1" applyAlignment="1">
      <alignment horizontal="right" vertical="center"/>
    </xf>
    <xf numFmtId="0" fontId="20" fillId="0" borderId="105" xfId="0" applyFont="1" applyBorder="1" applyAlignment="1">
      <alignment horizontal="center" vertical="center"/>
    </xf>
    <xf numFmtId="1" fontId="20" fillId="6" borderId="105" xfId="0" applyNumberFormat="1" applyFont="1" applyFill="1" applyBorder="1" applyAlignment="1">
      <alignment horizontal="center" vertical="center"/>
    </xf>
    <xf numFmtId="1" fontId="21" fillId="8" borderId="12" xfId="0" applyNumberFormat="1" applyFont="1" applyFill="1" applyBorder="1" applyAlignment="1">
      <alignment horizontal="center" vertical="center"/>
    </xf>
    <xf numFmtId="1" fontId="12" fillId="0" borderId="0" xfId="0" applyNumberFormat="1" applyFont="1"/>
    <xf numFmtId="0" fontId="21" fillId="8" borderId="18" xfId="0" applyFont="1" applyFill="1" applyBorder="1" applyAlignment="1">
      <alignment vertical="center"/>
    </xf>
    <xf numFmtId="0" fontId="21" fillId="8" borderId="42" xfId="0" applyFont="1" applyFill="1" applyBorder="1" applyAlignment="1">
      <alignment vertical="center"/>
    </xf>
    <xf numFmtId="1" fontId="24" fillId="0" borderId="31" xfId="0" applyNumberFormat="1" applyFont="1" applyBorder="1" applyAlignment="1">
      <alignment horizontal="center" vertical="center"/>
    </xf>
    <xf numFmtId="1" fontId="24" fillId="0" borderId="17" xfId="0" applyNumberFormat="1" applyFont="1" applyBorder="1" applyAlignment="1">
      <alignment horizontal="center" vertical="center"/>
    </xf>
    <xf numFmtId="1" fontId="24" fillId="52" borderId="31" xfId="0" applyNumberFormat="1" applyFont="1" applyFill="1" applyBorder="1" applyAlignment="1">
      <alignment horizontal="center" vertical="center"/>
    </xf>
    <xf numFmtId="1" fontId="24" fillId="52" borderId="17" xfId="0" applyNumberFormat="1" applyFont="1" applyFill="1" applyBorder="1" applyAlignment="1">
      <alignment horizontal="center" vertical="center"/>
    </xf>
    <xf numFmtId="1" fontId="24" fillId="0" borderId="20" xfId="0" applyNumberFormat="1" applyFont="1" applyBorder="1" applyAlignment="1">
      <alignment horizontal="center" vertical="center"/>
    </xf>
    <xf numFmtId="1" fontId="24" fillId="0" borderId="32" xfId="0" applyNumberFormat="1" applyFont="1" applyBorder="1" applyAlignment="1">
      <alignment horizontal="center" vertical="center"/>
    </xf>
    <xf numFmtId="1" fontId="24" fillId="0" borderId="33" xfId="0" applyNumberFormat="1" applyFont="1" applyBorder="1" applyAlignment="1">
      <alignment horizontal="center" vertical="center"/>
    </xf>
    <xf numFmtId="1" fontId="24" fillId="52" borderId="32" xfId="0" applyNumberFormat="1" applyFont="1" applyFill="1" applyBorder="1" applyAlignment="1">
      <alignment horizontal="center" vertical="center"/>
    </xf>
    <xf numFmtId="1" fontId="24" fillId="52" borderId="33" xfId="0" applyNumberFormat="1" applyFont="1" applyFill="1" applyBorder="1" applyAlignment="1">
      <alignment horizontal="center" vertical="center"/>
    </xf>
    <xf numFmtId="1" fontId="21" fillId="52" borderId="32" xfId="0" applyNumberFormat="1" applyFont="1" applyFill="1" applyBorder="1" applyAlignment="1">
      <alignment horizontal="center" vertical="center"/>
    </xf>
    <xf numFmtId="1" fontId="21" fillId="52" borderId="33" xfId="0" applyNumberFormat="1" applyFont="1" applyFill="1" applyBorder="1" applyAlignment="1">
      <alignment horizontal="center" vertical="center"/>
    </xf>
    <xf numFmtId="1" fontId="21" fillId="8" borderId="1" xfId="0" applyNumberFormat="1" applyFont="1" applyFill="1" applyBorder="1" applyAlignment="1">
      <alignment horizontal="center" vertical="center"/>
    </xf>
    <xf numFmtId="1" fontId="21" fillId="0" borderId="20" xfId="0" applyNumberFormat="1" applyFont="1" applyBorder="1" applyAlignment="1">
      <alignment horizontal="center" vertical="center"/>
    </xf>
    <xf numFmtId="1" fontId="21" fillId="0" borderId="33" xfId="0" applyNumberFormat="1" applyFont="1" applyBorder="1" applyAlignment="1">
      <alignment horizontal="center" vertical="center"/>
    </xf>
    <xf numFmtId="169" fontId="44" fillId="0" borderId="0" xfId="0" applyNumberFormat="1" applyFont="1" applyAlignment="1">
      <alignment horizontal="center" vertical="center"/>
    </xf>
    <xf numFmtId="1" fontId="20" fillId="8" borderId="0" xfId="0" applyNumberFormat="1" applyFont="1" applyFill="1" applyAlignment="1">
      <alignment horizontal="center" vertical="center"/>
    </xf>
    <xf numFmtId="0" fontId="7" fillId="0" borderId="0" xfId="0" applyFont="1" applyAlignment="1">
      <alignment horizontal="center" vertical="center"/>
    </xf>
    <xf numFmtId="0" fontId="7" fillId="8" borderId="0" xfId="0" applyFont="1" applyFill="1" applyAlignment="1">
      <alignment horizontal="center" vertical="center"/>
    </xf>
    <xf numFmtId="0" fontId="76" fillId="8" borderId="0" xfId="0" applyFont="1" applyFill="1" applyAlignment="1">
      <alignment horizontal="center" vertical="center"/>
    </xf>
    <xf numFmtId="0" fontId="76" fillId="0" borderId="0" xfId="0" applyFont="1" applyAlignment="1">
      <alignment horizontal="center" vertical="center"/>
    </xf>
    <xf numFmtId="0" fontId="152" fillId="8" borderId="0" xfId="0" applyFont="1" applyFill="1"/>
    <xf numFmtId="0" fontId="4" fillId="45" borderId="28" xfId="0" applyFont="1" applyFill="1" applyBorder="1" applyAlignment="1">
      <alignment horizontal="center" vertical="center"/>
    </xf>
    <xf numFmtId="0" fontId="4" fillId="45" borderId="4" xfId="0" applyFont="1" applyFill="1" applyBorder="1" applyAlignment="1">
      <alignment horizontal="center" vertical="center"/>
    </xf>
    <xf numFmtId="167" fontId="7" fillId="45" borderId="34" xfId="0" applyNumberFormat="1" applyFont="1" applyFill="1" applyBorder="1" applyAlignment="1">
      <alignment horizontal="center" vertical="center"/>
    </xf>
    <xf numFmtId="167" fontId="7" fillId="45" borderId="50" xfId="0" applyNumberFormat="1" applyFont="1" applyFill="1" applyBorder="1" applyAlignment="1">
      <alignment horizontal="center" vertical="center"/>
    </xf>
    <xf numFmtId="167" fontId="7" fillId="0" borderId="10" xfId="0" applyNumberFormat="1" applyFont="1" applyBorder="1" applyAlignment="1">
      <alignment horizontal="center" vertical="center"/>
    </xf>
    <xf numFmtId="167" fontId="7" fillId="7" borderId="10" xfId="0" applyNumberFormat="1" applyFont="1" applyFill="1" applyBorder="1" applyAlignment="1">
      <alignment horizontal="center" vertical="center"/>
    </xf>
    <xf numFmtId="1" fontId="7" fillId="45" borderId="31" xfId="0" applyNumberFormat="1" applyFont="1" applyFill="1" applyBorder="1" applyAlignment="1">
      <alignment horizontal="center" vertical="center"/>
    </xf>
    <xf numFmtId="167" fontId="7" fillId="45" borderId="53" xfId="0" applyNumberFormat="1" applyFont="1" applyFill="1" applyBorder="1" applyAlignment="1">
      <alignment horizontal="center" vertical="center"/>
    </xf>
    <xf numFmtId="1" fontId="7" fillId="45" borderId="62" xfId="0" applyNumberFormat="1" applyFont="1" applyFill="1" applyBorder="1" applyAlignment="1">
      <alignment horizontal="center" vertical="center"/>
    </xf>
    <xf numFmtId="167" fontId="7" fillId="45" borderId="72" xfId="0" applyNumberFormat="1" applyFont="1" applyFill="1" applyBorder="1" applyAlignment="1">
      <alignment horizontal="center" vertical="center"/>
    </xf>
    <xf numFmtId="1" fontId="7" fillId="45" borderId="34" xfId="0" applyNumberFormat="1" applyFont="1" applyFill="1" applyBorder="1" applyAlignment="1">
      <alignment horizontal="center" vertical="center"/>
    </xf>
    <xf numFmtId="1" fontId="7" fillId="45" borderId="53" xfId="0" applyNumberFormat="1" applyFont="1" applyFill="1" applyBorder="1" applyAlignment="1">
      <alignment horizontal="center" vertical="center"/>
    </xf>
    <xf numFmtId="1" fontId="7" fillId="45" borderId="74" xfId="0" applyNumberFormat="1" applyFont="1" applyFill="1" applyBorder="1" applyAlignment="1">
      <alignment horizontal="center" vertical="center"/>
    </xf>
    <xf numFmtId="1" fontId="7" fillId="45" borderId="71" xfId="0" applyNumberFormat="1" applyFont="1" applyFill="1" applyBorder="1" applyAlignment="1">
      <alignment horizontal="center" vertical="center"/>
    </xf>
    <xf numFmtId="1" fontId="4" fillId="7" borderId="41" xfId="0" applyNumberFormat="1" applyFont="1" applyFill="1" applyBorder="1" applyAlignment="1">
      <alignment horizontal="center" vertical="center"/>
    </xf>
    <xf numFmtId="1" fontId="4" fillId="8" borderId="41" xfId="0" applyNumberFormat="1" applyFont="1" applyFill="1" applyBorder="1" applyAlignment="1">
      <alignment horizontal="center" vertical="center"/>
    </xf>
    <xf numFmtId="169" fontId="7" fillId="45" borderId="32" xfId="0" applyNumberFormat="1" applyFont="1" applyFill="1" applyBorder="1" applyAlignment="1">
      <alignment horizontal="center" vertical="center"/>
    </xf>
    <xf numFmtId="1" fontId="7" fillId="45" borderId="19" xfId="0" applyNumberFormat="1" applyFont="1" applyFill="1" applyBorder="1" applyAlignment="1">
      <alignment horizontal="center" vertical="center"/>
    </xf>
    <xf numFmtId="1" fontId="7" fillId="45" borderId="58" xfId="0" applyNumberFormat="1" applyFont="1" applyFill="1" applyBorder="1" applyAlignment="1">
      <alignment horizontal="center" vertical="center"/>
    </xf>
    <xf numFmtId="167" fontId="7" fillId="45" borderId="10" xfId="0" applyNumberFormat="1" applyFont="1" applyFill="1" applyBorder="1" applyAlignment="1">
      <alignment horizontal="center" vertical="center"/>
    </xf>
    <xf numFmtId="2" fontId="7" fillId="45" borderId="10" xfId="0" applyNumberFormat="1" applyFont="1" applyFill="1" applyBorder="1" applyAlignment="1">
      <alignment horizontal="center" vertical="center"/>
    </xf>
    <xf numFmtId="169" fontId="7" fillId="45" borderId="10" xfId="0" applyNumberFormat="1" applyFont="1" applyFill="1" applyBorder="1" applyAlignment="1">
      <alignment horizontal="center" vertical="center"/>
    </xf>
    <xf numFmtId="1" fontId="7" fillId="45" borderId="10" xfId="0" applyNumberFormat="1" applyFont="1" applyFill="1" applyBorder="1" applyAlignment="1">
      <alignment horizontal="center" vertical="center"/>
    </xf>
    <xf numFmtId="167" fontId="4" fillId="7" borderId="17" xfId="0" applyNumberFormat="1" applyFont="1" applyFill="1" applyBorder="1" applyAlignment="1">
      <alignment horizontal="center" vertical="center"/>
    </xf>
    <xf numFmtId="167" fontId="7" fillId="45" borderId="17" xfId="0" applyNumberFormat="1" applyFont="1" applyFill="1" applyBorder="1" applyAlignment="1">
      <alignment horizontal="center" vertical="center"/>
    </xf>
    <xf numFmtId="1" fontId="7" fillId="45" borderId="41" xfId="0" applyNumberFormat="1" applyFont="1" applyFill="1" applyBorder="1" applyAlignment="1">
      <alignment horizontal="center" vertical="center"/>
    </xf>
    <xf numFmtId="1" fontId="7" fillId="45" borderId="42" xfId="0" applyNumberFormat="1" applyFont="1" applyFill="1" applyBorder="1" applyAlignment="1">
      <alignment horizontal="center" vertical="center"/>
    </xf>
    <xf numFmtId="1" fontId="7" fillId="45" borderId="17" xfId="0" applyNumberFormat="1" applyFont="1" applyFill="1" applyBorder="1" applyAlignment="1">
      <alignment horizontal="center" vertical="center"/>
    </xf>
    <xf numFmtId="167" fontId="4" fillId="45" borderId="17" xfId="0" applyNumberFormat="1" applyFont="1" applyFill="1" applyBorder="1" applyAlignment="1">
      <alignment horizontal="center" vertical="center"/>
    </xf>
    <xf numFmtId="167" fontId="7" fillId="45" borderId="33" xfId="0" applyNumberFormat="1" applyFont="1" applyFill="1" applyBorder="1" applyAlignment="1">
      <alignment horizontal="center" vertical="center"/>
    </xf>
    <xf numFmtId="0" fontId="7" fillId="0" borderId="0" xfId="0" applyFont="1" applyAlignment="1">
      <alignment horizontal="left" vertical="center"/>
    </xf>
    <xf numFmtId="0" fontId="76" fillId="0" borderId="41" xfId="0" applyFont="1" applyBorder="1" applyAlignment="1">
      <alignment horizontal="left" vertical="center"/>
    </xf>
    <xf numFmtId="0" fontId="86" fillId="0" borderId="23" xfId="0" applyFont="1" applyBorder="1" applyAlignment="1">
      <alignment horizontal="left" vertical="center"/>
    </xf>
    <xf numFmtId="0" fontId="11" fillId="8" borderId="41" xfId="0" applyFont="1" applyFill="1" applyBorder="1" applyAlignment="1">
      <alignment horizontal="center" vertical="center"/>
    </xf>
    <xf numFmtId="0" fontId="76" fillId="8" borderId="53" xfId="0" applyFont="1" applyFill="1" applyBorder="1" applyAlignment="1">
      <alignment horizontal="center" vertical="center"/>
    </xf>
    <xf numFmtId="0" fontId="76" fillId="8" borderId="17" xfId="0" applyFont="1" applyFill="1" applyBorder="1" applyAlignment="1">
      <alignment horizontal="center" vertical="center"/>
    </xf>
    <xf numFmtId="0" fontId="76" fillId="8" borderId="33" xfId="0" applyFont="1" applyFill="1" applyBorder="1" applyAlignment="1">
      <alignment horizontal="center" vertical="center"/>
    </xf>
    <xf numFmtId="0" fontId="76" fillId="45" borderId="17" xfId="0" applyFont="1" applyFill="1" applyBorder="1" applyAlignment="1">
      <alignment horizontal="center" vertical="center"/>
    </xf>
    <xf numFmtId="0" fontId="76" fillId="0" borderId="63" xfId="0" applyFont="1" applyBorder="1" applyAlignment="1">
      <alignment horizontal="left" vertical="center"/>
    </xf>
    <xf numFmtId="0" fontId="76" fillId="0" borderId="31" xfId="0" applyFont="1" applyBorder="1" applyAlignment="1">
      <alignment horizontal="left" vertical="center"/>
    </xf>
    <xf numFmtId="0" fontId="86" fillId="0" borderId="31" xfId="0" applyFont="1" applyBorder="1" applyAlignment="1">
      <alignment horizontal="left" vertical="center"/>
    </xf>
    <xf numFmtId="0" fontId="86" fillId="8" borderId="31" xfId="0" applyFont="1" applyFill="1" applyBorder="1" applyAlignment="1">
      <alignment horizontal="left" vertical="center"/>
    </xf>
    <xf numFmtId="0" fontId="86" fillId="0" borderId="32" xfId="0" applyFont="1" applyBorder="1" applyAlignment="1">
      <alignment horizontal="left" vertical="center"/>
    </xf>
    <xf numFmtId="0" fontId="17" fillId="0" borderId="42" xfId="0" applyFont="1" applyBorder="1"/>
    <xf numFmtId="0" fontId="17" fillId="0" borderId="54" xfId="0" applyFont="1" applyBorder="1"/>
    <xf numFmtId="0" fontId="54" fillId="8" borderId="0" xfId="376" applyFill="1"/>
    <xf numFmtId="0" fontId="54" fillId="8" borderId="0" xfId="376" applyFill="1" applyAlignment="1">
      <alignment horizontal="center" vertical="center"/>
    </xf>
    <xf numFmtId="167" fontId="19" fillId="6" borderId="82" xfId="0" applyNumberFormat="1" applyFont="1" applyFill="1" applyBorder="1" applyAlignment="1">
      <alignment horizontal="center" vertical="center"/>
    </xf>
    <xf numFmtId="0" fontId="45" fillId="0" borderId="105" xfId="0" applyFont="1" applyBorder="1"/>
    <xf numFmtId="2" fontId="98" fillId="7" borderId="17" xfId="0" applyNumberFormat="1" applyFont="1" applyFill="1" applyBorder="1" applyAlignment="1">
      <alignment horizontal="center" vertical="center"/>
    </xf>
    <xf numFmtId="1" fontId="79" fillId="0" borderId="0" xfId="186" applyNumberFormat="1" applyFont="1" applyAlignment="1">
      <alignment horizontal="center" vertical="center"/>
    </xf>
    <xf numFmtId="1" fontId="79" fillId="0" borderId="48" xfId="186" applyNumberFormat="1" applyFont="1" applyBorder="1" applyAlignment="1">
      <alignment horizontal="center" vertical="center"/>
    </xf>
    <xf numFmtId="1" fontId="78" fillId="5" borderId="48" xfId="186" applyNumberFormat="1" applyFont="1" applyFill="1" applyBorder="1" applyAlignment="1">
      <alignment horizontal="center" vertical="center"/>
    </xf>
    <xf numFmtId="1" fontId="78" fillId="8" borderId="65" xfId="186" applyNumberFormat="1" applyFont="1" applyFill="1" applyBorder="1" applyAlignment="1">
      <alignment horizontal="center" vertical="center"/>
    </xf>
    <xf numFmtId="1" fontId="44" fillId="0" borderId="10" xfId="0" applyNumberFormat="1" applyFont="1" applyBorder="1" applyAlignment="1">
      <alignment horizontal="center" vertical="center"/>
    </xf>
    <xf numFmtId="1" fontId="8" fillId="6" borderId="82" xfId="0" applyNumberFormat="1" applyFont="1" applyFill="1" applyBorder="1" applyAlignment="1">
      <alignment horizontal="center" vertical="center"/>
    </xf>
    <xf numFmtId="0" fontId="17" fillId="6" borderId="54" xfId="0" applyFont="1" applyFill="1" applyBorder="1"/>
    <xf numFmtId="1" fontId="7" fillId="5" borderId="10" xfId="0" applyNumberFormat="1" applyFont="1" applyFill="1" applyBorder="1" applyAlignment="1">
      <alignment horizontal="center" vertical="center"/>
    </xf>
    <xf numFmtId="0" fontId="20" fillId="8" borderId="107" xfId="0" applyFont="1" applyFill="1" applyBorder="1" applyAlignment="1">
      <alignment horizontal="left" vertical="center"/>
    </xf>
    <xf numFmtId="0" fontId="19" fillId="0" borderId="107" xfId="0" applyFont="1" applyBorder="1" applyAlignment="1">
      <alignment horizontal="center" vertical="center"/>
    </xf>
    <xf numFmtId="0" fontId="18" fillId="8" borderId="106" xfId="0" applyFont="1" applyFill="1" applyBorder="1" applyAlignment="1">
      <alignment vertical="center"/>
    </xf>
    <xf numFmtId="1" fontId="20" fillId="0" borderId="106" xfId="0" applyNumberFormat="1" applyFont="1" applyBorder="1" applyAlignment="1">
      <alignment horizontal="center" vertical="center"/>
    </xf>
    <xf numFmtId="1" fontId="20" fillId="7" borderId="106"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19" fillId="5" borderId="106" xfId="0" applyNumberFormat="1" applyFont="1" applyFill="1" applyBorder="1" applyAlignment="1">
      <alignment horizontal="center" vertical="center"/>
    </xf>
    <xf numFmtId="1" fontId="19" fillId="6" borderId="106" xfId="0" applyNumberFormat="1" applyFont="1" applyFill="1" applyBorder="1" applyAlignment="1">
      <alignment horizontal="center" vertical="center"/>
    </xf>
    <xf numFmtId="167" fontId="44" fillId="0" borderId="0" xfId="0" applyNumberFormat="1" applyFont="1" applyAlignment="1">
      <alignment horizontal="center" vertical="center"/>
    </xf>
    <xf numFmtId="0" fontId="17" fillId="0" borderId="106" xfId="0" applyFont="1" applyBorder="1" applyAlignment="1">
      <alignment horizontal="center" vertical="center"/>
    </xf>
    <xf numFmtId="1" fontId="17" fillId="0" borderId="106" xfId="0" applyNumberFormat="1" applyFont="1" applyBorder="1" applyAlignment="1">
      <alignment horizontal="center" vertical="center"/>
    </xf>
    <xf numFmtId="0" fontId="20" fillId="0" borderId="106" xfId="0" applyFont="1" applyBorder="1" applyAlignment="1">
      <alignment horizontal="center" vertical="center"/>
    </xf>
    <xf numFmtId="1" fontId="18" fillId="0" borderId="106" xfId="0" applyNumberFormat="1" applyFont="1" applyBorder="1" applyAlignment="1">
      <alignment horizontal="center" vertical="center"/>
    </xf>
    <xf numFmtId="1" fontId="4" fillId="8" borderId="106" xfId="0" applyNumberFormat="1" applyFont="1" applyFill="1" applyBorder="1" applyAlignment="1">
      <alignment horizontal="center" vertical="center"/>
    </xf>
    <xf numFmtId="1" fontId="18" fillId="6" borderId="106" xfId="0" applyNumberFormat="1" applyFont="1" applyFill="1" applyBorder="1" applyAlignment="1">
      <alignment horizontal="center" vertical="center"/>
    </xf>
    <xf numFmtId="0" fontId="19" fillId="8" borderId="84" xfId="0" applyFont="1" applyFill="1" applyBorder="1" applyAlignment="1">
      <alignment horizontal="center" vertical="center"/>
    </xf>
    <xf numFmtId="1" fontId="51" fillId="0" borderId="39" xfId="0" applyNumberFormat="1" applyFont="1" applyBorder="1"/>
    <xf numFmtId="0" fontId="51" fillId="0" borderId="39" xfId="0" applyFont="1" applyBorder="1"/>
    <xf numFmtId="0" fontId="153" fillId="0" borderId="39" xfId="0" applyFont="1" applyBorder="1"/>
    <xf numFmtId="1" fontId="51" fillId="6" borderId="39" xfId="0" applyNumberFormat="1" applyFont="1" applyFill="1" applyBorder="1"/>
    <xf numFmtId="1" fontId="45" fillId="0" borderId="56" xfId="0" applyNumberFormat="1" applyFont="1" applyBorder="1"/>
    <xf numFmtId="1" fontId="19" fillId="0" borderId="106" xfId="0" applyNumberFormat="1" applyFont="1" applyBorder="1" applyAlignment="1">
      <alignment horizontal="center" vertical="center"/>
    </xf>
    <xf numFmtId="1" fontId="21" fillId="6" borderId="106" xfId="0" applyNumberFormat="1" applyFont="1" applyFill="1" applyBorder="1" applyAlignment="1">
      <alignment horizontal="center" vertical="center"/>
    </xf>
    <xf numFmtId="1" fontId="7" fillId="8" borderId="10" xfId="0" applyNumberFormat="1" applyFont="1" applyFill="1" applyBorder="1" applyAlignment="1">
      <alignment horizontal="left"/>
    </xf>
    <xf numFmtId="1" fontId="4" fillId="8" borderId="10" xfId="0" applyNumberFormat="1" applyFont="1" applyFill="1" applyBorder="1" applyAlignment="1">
      <alignment horizontal="left"/>
    </xf>
    <xf numFmtId="1" fontId="20" fillId="5" borderId="48" xfId="0" applyNumberFormat="1" applyFont="1" applyFill="1" applyBorder="1" applyAlignment="1">
      <alignment horizontal="center" vertical="center"/>
    </xf>
    <xf numFmtId="1" fontId="20" fillId="5" borderId="64" xfId="0" applyNumberFormat="1" applyFont="1" applyFill="1" applyBorder="1" applyAlignment="1">
      <alignment horizontal="center" vertical="center"/>
    </xf>
    <xf numFmtId="1" fontId="20" fillId="5" borderId="107" xfId="0" applyNumberFormat="1" applyFont="1" applyFill="1" applyBorder="1" applyAlignment="1">
      <alignment horizontal="center" vertical="center"/>
    </xf>
    <xf numFmtId="1" fontId="20" fillId="5" borderId="65" xfId="0" applyNumberFormat="1" applyFont="1" applyFill="1" applyBorder="1" applyAlignment="1">
      <alignment horizontal="center" vertical="center"/>
    </xf>
    <xf numFmtId="1" fontId="20" fillId="7" borderId="36" xfId="0" applyNumberFormat="1" applyFont="1" applyFill="1" applyBorder="1" applyAlignment="1">
      <alignment horizontal="center" vertical="center"/>
    </xf>
    <xf numFmtId="1" fontId="18" fillId="7" borderId="84" xfId="0" applyNumberFormat="1" applyFont="1" applyFill="1" applyBorder="1" applyAlignment="1">
      <alignment horizontal="center" vertical="center"/>
    </xf>
    <xf numFmtId="1" fontId="20" fillId="7" borderId="4" xfId="0" applyNumberFormat="1" applyFont="1" applyFill="1" applyBorder="1" applyAlignment="1">
      <alignment horizontal="center" vertical="center"/>
    </xf>
    <xf numFmtId="0" fontId="19" fillId="8" borderId="39" xfId="0" applyFont="1" applyFill="1" applyBorder="1" applyAlignment="1">
      <alignment vertical="center"/>
    </xf>
    <xf numFmtId="0" fontId="18" fillId="8" borderId="39" xfId="0" applyFont="1" applyFill="1" applyBorder="1" applyAlignment="1">
      <alignment vertical="center"/>
    </xf>
    <xf numFmtId="1" fontId="20" fillId="6" borderId="106" xfId="0" applyNumberFormat="1" applyFont="1" applyFill="1" applyBorder="1" applyAlignment="1">
      <alignment horizontal="center" vertical="center"/>
    </xf>
    <xf numFmtId="0" fontId="19" fillId="8" borderId="106" xfId="0" applyFont="1" applyFill="1" applyBorder="1" applyAlignment="1">
      <alignment vertical="center"/>
    </xf>
    <xf numFmtId="1" fontId="36" fillId="8" borderId="106" xfId="0" applyNumberFormat="1" applyFont="1" applyFill="1" applyBorder="1" applyAlignment="1">
      <alignment horizontal="center"/>
    </xf>
    <xf numFmtId="1" fontId="78" fillId="8" borderId="0" xfId="186" applyNumberFormat="1" applyFont="1" applyFill="1" applyAlignment="1">
      <alignment horizontal="center" vertical="center"/>
    </xf>
    <xf numFmtId="1" fontId="79" fillId="0" borderId="107" xfId="186" applyNumberFormat="1" applyFont="1" applyBorder="1" applyAlignment="1">
      <alignment horizontal="center" vertical="center"/>
    </xf>
    <xf numFmtId="1" fontId="79" fillId="0" borderId="106" xfId="186" applyNumberFormat="1" applyFont="1" applyBorder="1" applyAlignment="1">
      <alignment horizontal="center" vertical="center"/>
    </xf>
    <xf numFmtId="1" fontId="78" fillId="7" borderId="29" xfId="186" applyNumberFormat="1" applyFont="1" applyFill="1" applyBorder="1" applyAlignment="1">
      <alignment horizontal="center" vertical="center"/>
    </xf>
    <xf numFmtId="1" fontId="78" fillId="7" borderId="106" xfId="186" applyNumberFormat="1" applyFont="1" applyFill="1" applyBorder="1" applyAlignment="1">
      <alignment horizontal="center" vertical="center"/>
    </xf>
    <xf numFmtId="1" fontId="78" fillId="7" borderId="8" xfId="186" applyNumberFormat="1" applyFont="1" applyFill="1" applyBorder="1" applyAlignment="1">
      <alignment horizontal="center" vertical="center"/>
    </xf>
    <xf numFmtId="1" fontId="78" fillId="7" borderId="7" xfId="186" applyNumberFormat="1" applyFont="1" applyFill="1" applyBorder="1" applyAlignment="1">
      <alignment horizontal="center" vertical="center"/>
    </xf>
    <xf numFmtId="1" fontId="78" fillId="5" borderId="107" xfId="186" applyNumberFormat="1" applyFont="1" applyFill="1" applyBorder="1" applyAlignment="1">
      <alignment horizontal="center" vertical="center"/>
    </xf>
    <xf numFmtId="1" fontId="78" fillId="6" borderId="106" xfId="186" applyNumberFormat="1" applyFont="1" applyFill="1" applyBorder="1" applyAlignment="1">
      <alignment horizontal="center" vertical="center"/>
    </xf>
    <xf numFmtId="1" fontId="78" fillId="6" borderId="29" xfId="186" applyNumberFormat="1" applyFont="1" applyFill="1" applyBorder="1" applyAlignment="1">
      <alignment horizontal="center" vertical="center"/>
    </xf>
    <xf numFmtId="1" fontId="78" fillId="6" borderId="8" xfId="186" applyNumberFormat="1" applyFont="1" applyFill="1" applyBorder="1" applyAlignment="1">
      <alignment horizontal="center" vertical="center"/>
    </xf>
    <xf numFmtId="1" fontId="78" fillId="6" borderId="38" xfId="186" applyNumberFormat="1" applyFont="1" applyFill="1" applyBorder="1" applyAlignment="1">
      <alignment horizontal="center" vertical="center"/>
    </xf>
    <xf numFmtId="1" fontId="12" fillId="8" borderId="0" xfId="0" applyNumberFormat="1" applyFont="1" applyFill="1"/>
    <xf numFmtId="0" fontId="12" fillId="8" borderId="31" xfId="0" applyFont="1" applyFill="1" applyBorder="1" applyAlignment="1">
      <alignment horizontal="right" vertical="center"/>
    </xf>
    <xf numFmtId="0" fontId="0" fillId="0" borderId="106" xfId="0" applyBorder="1"/>
    <xf numFmtId="0" fontId="4" fillId="8" borderId="25" xfId="0" applyFont="1" applyFill="1" applyBorder="1" applyAlignment="1">
      <alignment horizontal="center" vertical="center"/>
    </xf>
    <xf numFmtId="0" fontId="17" fillId="8" borderId="106" xfId="0" applyFont="1" applyFill="1" applyBorder="1" applyAlignment="1">
      <alignment horizontal="center"/>
    </xf>
    <xf numFmtId="1" fontId="20" fillId="8" borderId="106" xfId="0" applyNumberFormat="1" applyFont="1" applyFill="1" applyBorder="1" applyAlignment="1">
      <alignment horizontal="center" vertical="center"/>
    </xf>
    <xf numFmtId="167" fontId="21" fillId="7" borderId="48" xfId="0" applyNumberFormat="1" applyFont="1" applyFill="1" applyBorder="1" applyAlignment="1">
      <alignment horizontal="center" vertical="center"/>
    </xf>
    <xf numFmtId="167" fontId="21" fillId="6" borderId="48" xfId="0" applyNumberFormat="1" applyFont="1" applyFill="1" applyBorder="1" applyAlignment="1">
      <alignment horizontal="center" vertical="center"/>
    </xf>
    <xf numFmtId="167" fontId="21" fillId="5" borderId="53" xfId="0" applyNumberFormat="1" applyFont="1" applyFill="1" applyBorder="1" applyAlignment="1">
      <alignment horizontal="center" vertical="center"/>
    </xf>
    <xf numFmtId="167" fontId="21" fillId="7" borderId="66" xfId="0" applyNumberFormat="1" applyFont="1" applyFill="1" applyBorder="1" applyAlignment="1">
      <alignment horizontal="center" vertical="center"/>
    </xf>
    <xf numFmtId="167" fontId="4" fillId="7" borderId="20" xfId="0" applyNumberFormat="1" applyFont="1" applyFill="1" applyBorder="1" applyAlignment="1">
      <alignment horizontal="center" vertical="center"/>
    </xf>
    <xf numFmtId="167" fontId="4" fillId="5" borderId="51" xfId="0" applyNumberFormat="1" applyFont="1" applyFill="1" applyBorder="1" applyAlignment="1">
      <alignment horizontal="center" vertical="center"/>
    </xf>
    <xf numFmtId="167" fontId="4" fillId="5" borderId="20" xfId="0" applyNumberFormat="1" applyFont="1" applyFill="1" applyBorder="1" applyAlignment="1">
      <alignment horizontal="center" vertical="center"/>
    </xf>
    <xf numFmtId="167" fontId="4" fillId="6" borderId="51" xfId="0" applyNumberFormat="1" applyFont="1" applyFill="1" applyBorder="1" applyAlignment="1">
      <alignment horizontal="center" vertical="center"/>
    </xf>
    <xf numFmtId="167" fontId="4" fillId="6" borderId="20" xfId="0" applyNumberFormat="1" applyFont="1" applyFill="1" applyBorder="1" applyAlignment="1">
      <alignment horizontal="center" vertical="center"/>
    </xf>
    <xf numFmtId="167" fontId="4" fillId="7" borderId="51" xfId="0" applyNumberFormat="1" applyFont="1" applyFill="1" applyBorder="1" applyAlignment="1">
      <alignment horizontal="center" vertical="center"/>
    </xf>
    <xf numFmtId="0" fontId="55" fillId="0" borderId="0" xfId="0" quotePrefix="1" applyFont="1"/>
    <xf numFmtId="0" fontId="113" fillId="8" borderId="10" xfId="0" applyFont="1" applyFill="1" applyBorder="1" applyAlignment="1">
      <alignment horizontal="left" vertical="center" wrapText="1"/>
    </xf>
    <xf numFmtId="2" fontId="20" fillId="8" borderId="106" xfId="0" applyNumberFormat="1" applyFont="1" applyFill="1" applyBorder="1" applyAlignment="1">
      <alignment horizontal="center" vertical="center"/>
    </xf>
    <xf numFmtId="2" fontId="19" fillId="7" borderId="106" xfId="0" applyNumberFormat="1" applyFont="1" applyFill="1" applyBorder="1" applyAlignment="1">
      <alignment horizontal="center" vertical="center"/>
    </xf>
    <xf numFmtId="2" fontId="19" fillId="5" borderId="106" xfId="0" applyNumberFormat="1" applyFont="1" applyFill="1" applyBorder="1" applyAlignment="1">
      <alignment horizontal="center" vertical="center"/>
    </xf>
    <xf numFmtId="2" fontId="19" fillId="6" borderId="106" xfId="0" applyNumberFormat="1" applyFont="1" applyFill="1" applyBorder="1" applyAlignment="1">
      <alignment horizontal="center" vertical="center"/>
    </xf>
    <xf numFmtId="169" fontId="20" fillId="8" borderId="106" xfId="0" applyNumberFormat="1" applyFont="1" applyFill="1" applyBorder="1" applyAlignment="1">
      <alignment horizontal="center" vertical="center"/>
    </xf>
    <xf numFmtId="169" fontId="19" fillId="5" borderId="106" xfId="0" applyNumberFormat="1" applyFont="1" applyFill="1" applyBorder="1" applyAlignment="1">
      <alignment horizontal="center" vertical="center"/>
    </xf>
    <xf numFmtId="169" fontId="19" fillId="7" borderId="106" xfId="0" applyNumberFormat="1" applyFont="1" applyFill="1" applyBorder="1" applyAlignment="1">
      <alignment horizontal="center" vertical="center"/>
    </xf>
    <xf numFmtId="169" fontId="19" fillId="6" borderId="106" xfId="0" applyNumberFormat="1" applyFont="1" applyFill="1" applyBorder="1" applyAlignment="1">
      <alignment horizontal="center" vertical="center"/>
    </xf>
    <xf numFmtId="1" fontId="19" fillId="8" borderId="106" xfId="0" applyNumberFormat="1" applyFont="1" applyFill="1" applyBorder="1" applyAlignment="1">
      <alignment horizontal="center" vertical="center"/>
    </xf>
    <xf numFmtId="1" fontId="19" fillId="7" borderId="106" xfId="0" applyNumberFormat="1" applyFont="1" applyFill="1" applyBorder="1" applyAlignment="1">
      <alignment horizontal="center"/>
    </xf>
    <xf numFmtId="1" fontId="19" fillId="5" borderId="106" xfId="0" applyNumberFormat="1" applyFont="1" applyFill="1" applyBorder="1" applyAlignment="1">
      <alignment horizontal="center"/>
    </xf>
    <xf numFmtId="1" fontId="19" fillId="6" borderId="106" xfId="0" applyNumberFormat="1" applyFont="1" applyFill="1" applyBorder="1" applyAlignment="1">
      <alignment horizontal="center"/>
    </xf>
    <xf numFmtId="1" fontId="112" fillId="8" borderId="106" xfId="0" applyNumberFormat="1" applyFont="1" applyFill="1" applyBorder="1" applyAlignment="1">
      <alignment horizontal="center" vertical="center"/>
    </xf>
    <xf numFmtId="0" fontId="112" fillId="7" borderId="106" xfId="0" applyFont="1" applyFill="1" applyBorder="1"/>
    <xf numFmtId="0" fontId="112" fillId="7" borderId="106" xfId="0" applyFont="1" applyFill="1" applyBorder="1" applyAlignment="1">
      <alignment horizontal="center" vertical="center"/>
    </xf>
    <xf numFmtId="0" fontId="112" fillId="5" borderId="106" xfId="0" applyFont="1" applyFill="1" applyBorder="1" applyAlignment="1">
      <alignment horizontal="right" vertical="center"/>
    </xf>
    <xf numFmtId="0" fontId="112" fillId="6" borderId="106" xfId="0" applyFont="1" applyFill="1" applyBorder="1"/>
    <xf numFmtId="1" fontId="45" fillId="0" borderId="106" xfId="0" applyNumberFormat="1" applyFont="1" applyBorder="1" applyAlignment="1">
      <alignment horizontal="center" vertical="center"/>
    </xf>
    <xf numFmtId="0" fontId="19" fillId="0" borderId="106" xfId="0" applyFont="1" applyBorder="1" applyAlignment="1">
      <alignment horizontal="center" vertical="center"/>
    </xf>
    <xf numFmtId="0" fontId="19" fillId="5" borderId="106" xfId="0" applyFont="1" applyFill="1" applyBorder="1" applyAlignment="1">
      <alignment horizontal="center" vertical="center"/>
    </xf>
    <xf numFmtId="0" fontId="19" fillId="50" borderId="106" xfId="0" applyFont="1" applyFill="1" applyBorder="1" applyAlignment="1">
      <alignment horizontal="center" vertical="center"/>
    </xf>
    <xf numFmtId="0" fontId="19" fillId="6" borderId="106" xfId="0" applyFont="1" applyFill="1" applyBorder="1" applyAlignment="1">
      <alignment horizontal="center" vertical="center"/>
    </xf>
    <xf numFmtId="177" fontId="112" fillId="32" borderId="106" xfId="412" applyNumberFormat="1" applyFont="1" applyFill="1" applyBorder="1" applyAlignment="1">
      <alignment horizontal="center" vertical="center"/>
    </xf>
    <xf numFmtId="167" fontId="0" fillId="0" borderId="0" xfId="0" applyNumberFormat="1" applyAlignment="1">
      <alignment horizontal="center" vertical="center"/>
    </xf>
    <xf numFmtId="1" fontId="0" fillId="0" borderId="0" xfId="0" applyNumberFormat="1" applyAlignment="1">
      <alignment horizontal="center"/>
    </xf>
    <xf numFmtId="1" fontId="19" fillId="7" borderId="31" xfId="0" applyNumberFormat="1" applyFont="1" applyFill="1" applyBorder="1" applyAlignment="1">
      <alignment horizontal="center" vertical="center"/>
    </xf>
    <xf numFmtId="167" fontId="19" fillId="5" borderId="31" xfId="0" applyNumberFormat="1" applyFont="1" applyFill="1" applyBorder="1" applyAlignment="1">
      <alignment horizontal="center" vertical="center"/>
    </xf>
    <xf numFmtId="167" fontId="19" fillId="6" borderId="31"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2" fontId="18" fillId="8" borderId="10" xfId="0" applyNumberFormat="1" applyFont="1" applyFill="1" applyBorder="1" applyAlignment="1">
      <alignment horizontal="center" vertical="center"/>
    </xf>
    <xf numFmtId="0" fontId="12" fillId="0" borderId="106" xfId="0" applyFont="1" applyBorder="1" applyAlignment="1">
      <alignment horizontal="right" vertical="center"/>
    </xf>
    <xf numFmtId="1" fontId="12" fillId="0" borderId="106" xfId="0" applyNumberFormat="1" applyFont="1" applyBorder="1" applyAlignment="1">
      <alignment horizontal="center" vertical="center"/>
    </xf>
    <xf numFmtId="1" fontId="12" fillId="7" borderId="106" xfId="0" applyNumberFormat="1" applyFont="1" applyFill="1" applyBorder="1" applyAlignment="1">
      <alignment horizontal="center" vertical="center"/>
    </xf>
    <xf numFmtId="1" fontId="12" fillId="5" borderId="106" xfId="0" applyNumberFormat="1" applyFont="1" applyFill="1" applyBorder="1" applyAlignment="1">
      <alignment horizontal="center" vertical="center"/>
    </xf>
    <xf numFmtId="1" fontId="12" fillId="8" borderId="106" xfId="0" applyNumberFormat="1" applyFont="1" applyFill="1" applyBorder="1" applyAlignment="1">
      <alignment horizontal="center" vertical="center"/>
    </xf>
    <xf numFmtId="1" fontId="12" fillId="6" borderId="106" xfId="0" applyNumberFormat="1" applyFont="1" applyFill="1" applyBorder="1" applyAlignment="1">
      <alignment horizontal="center" vertical="center"/>
    </xf>
    <xf numFmtId="0" fontId="14" fillId="5" borderId="107" xfId="0" applyFont="1" applyFill="1" applyBorder="1" applyAlignment="1">
      <alignment horizontal="center" vertical="center"/>
    </xf>
    <xf numFmtId="0" fontId="14" fillId="6" borderId="106" xfId="0" applyFont="1" applyFill="1" applyBorder="1" applyAlignment="1">
      <alignment horizontal="center" vertical="center"/>
    </xf>
    <xf numFmtId="1" fontId="0" fillId="0" borderId="39" xfId="0" applyNumberFormat="1" applyBorder="1" applyAlignment="1">
      <alignment horizontal="center" vertical="center"/>
    </xf>
    <xf numFmtId="1" fontId="54" fillId="0" borderId="39" xfId="0" applyNumberFormat="1" applyFont="1" applyBorder="1" applyAlignment="1">
      <alignment horizontal="center" vertical="center"/>
    </xf>
    <xf numFmtId="1" fontId="0" fillId="0" borderId="56" xfId="0" applyNumberFormat="1" applyBorder="1" applyAlignment="1">
      <alignment horizontal="center" vertical="center"/>
    </xf>
    <xf numFmtId="1" fontId="17" fillId="0" borderId="56" xfId="0" applyNumberFormat="1" applyFont="1" applyBorder="1" applyAlignment="1">
      <alignment horizontal="center" vertical="center"/>
    </xf>
    <xf numFmtId="0" fontId="112" fillId="8" borderId="31" xfId="0" applyFont="1" applyFill="1" applyBorder="1" applyAlignment="1">
      <alignment horizontal="right" indent="1"/>
    </xf>
    <xf numFmtId="0" fontId="112" fillId="8" borderId="31" xfId="0" applyFont="1" applyFill="1" applyBorder="1" applyAlignment="1">
      <alignment horizontal="right" wrapText="1" indent="1"/>
    </xf>
    <xf numFmtId="0" fontId="112" fillId="8" borderId="32" xfId="0" applyFont="1" applyFill="1" applyBorder="1" applyAlignment="1">
      <alignment horizontal="right" indent="1"/>
    </xf>
    <xf numFmtId="0" fontId="19" fillId="8" borderId="33" xfId="0" applyFont="1" applyFill="1" applyBorder="1" applyAlignment="1">
      <alignment horizontal="center" vertical="center"/>
    </xf>
    <xf numFmtId="0" fontId="18" fillId="6" borderId="32" xfId="0" applyFont="1" applyFill="1" applyBorder="1" applyAlignment="1">
      <alignment horizontal="center" vertical="center"/>
    </xf>
    <xf numFmtId="0" fontId="18" fillId="6" borderId="33" xfId="0" applyFont="1" applyFill="1" applyBorder="1" applyAlignment="1">
      <alignment horizontal="center" vertical="center"/>
    </xf>
    <xf numFmtId="0" fontId="105" fillId="6" borderId="34" xfId="0" applyFont="1" applyFill="1" applyBorder="1" applyAlignment="1">
      <alignment vertical="center"/>
    </xf>
    <xf numFmtId="0" fontId="105" fillId="6" borderId="53" xfId="0" applyFont="1" applyFill="1" applyBorder="1" applyAlignment="1">
      <alignment vertical="center"/>
    </xf>
    <xf numFmtId="167" fontId="19" fillId="6" borderId="17" xfId="0" applyNumberFormat="1" applyFont="1" applyFill="1" applyBorder="1" applyAlignment="1">
      <alignment horizontal="center" vertical="center"/>
    </xf>
    <xf numFmtId="0" fontId="105" fillId="6" borderId="31" xfId="0" applyFont="1" applyFill="1" applyBorder="1" applyAlignment="1">
      <alignment vertical="center"/>
    </xf>
    <xf numFmtId="0" fontId="105" fillId="6" borderId="17" xfId="0" applyFont="1" applyFill="1" applyBorder="1" applyAlignment="1">
      <alignment vertical="center"/>
    </xf>
    <xf numFmtId="0" fontId="18" fillId="5" borderId="32" xfId="0" applyFont="1" applyFill="1" applyBorder="1" applyAlignment="1">
      <alignment horizontal="center" vertical="center"/>
    </xf>
    <xf numFmtId="0" fontId="18" fillId="5" borderId="33" xfId="0" applyFont="1" applyFill="1" applyBorder="1" applyAlignment="1">
      <alignment horizontal="center" vertical="center"/>
    </xf>
    <xf numFmtId="0" fontId="105" fillId="5" borderId="34" xfId="0" applyFont="1" applyFill="1" applyBorder="1" applyAlignment="1">
      <alignment vertical="center"/>
    </xf>
    <xf numFmtId="0" fontId="105" fillId="5" borderId="53" xfId="0" applyFont="1" applyFill="1" applyBorder="1" applyAlignment="1">
      <alignment vertical="center"/>
    </xf>
    <xf numFmtId="167" fontId="19" fillId="5" borderId="17" xfId="0" applyNumberFormat="1" applyFont="1" applyFill="1" applyBorder="1" applyAlignment="1">
      <alignment horizontal="center" vertical="center"/>
    </xf>
    <xf numFmtId="0" fontId="105" fillId="5" borderId="31" xfId="0" applyFont="1" applyFill="1" applyBorder="1" applyAlignment="1">
      <alignment vertical="center"/>
    </xf>
    <xf numFmtId="0" fontId="105" fillId="5" borderId="17" xfId="0" applyFont="1" applyFill="1" applyBorder="1" applyAlignment="1">
      <alignment vertical="center"/>
    </xf>
    <xf numFmtId="0" fontId="18" fillId="7" borderId="59" xfId="0" applyFont="1" applyFill="1" applyBorder="1" applyAlignment="1">
      <alignment horizontal="center" vertical="center"/>
    </xf>
    <xf numFmtId="0" fontId="105" fillId="7" borderId="8" xfId="0" applyFont="1" applyFill="1" applyBorder="1" applyAlignment="1">
      <alignment vertical="center"/>
    </xf>
    <xf numFmtId="0" fontId="105" fillId="7" borderId="53" xfId="0" applyFont="1" applyFill="1" applyBorder="1" applyAlignment="1">
      <alignment vertical="center"/>
    </xf>
    <xf numFmtId="167" fontId="19" fillId="7" borderId="17" xfId="0" applyNumberFormat="1" applyFont="1" applyFill="1" applyBorder="1" applyAlignment="1">
      <alignment horizontal="center" vertical="center"/>
    </xf>
    <xf numFmtId="0" fontId="105" fillId="7" borderId="31" xfId="0" applyFont="1" applyFill="1" applyBorder="1" applyAlignment="1">
      <alignment vertical="center"/>
    </xf>
    <xf numFmtId="0" fontId="105" fillId="7" borderId="17" xfId="0" applyFont="1" applyFill="1" applyBorder="1" applyAlignment="1">
      <alignment vertical="center"/>
    </xf>
    <xf numFmtId="0" fontId="18" fillId="7" borderId="68" xfId="0" applyFont="1" applyFill="1" applyBorder="1" applyAlignment="1">
      <alignment horizontal="center" vertical="center"/>
    </xf>
    <xf numFmtId="0" fontId="105" fillId="7" borderId="48" xfId="0" applyFont="1" applyFill="1" applyBorder="1" applyAlignment="1">
      <alignment vertical="center"/>
    </xf>
    <xf numFmtId="1" fontId="24" fillId="0" borderId="12" xfId="0" applyNumberFormat="1" applyFont="1" applyBorder="1" applyAlignment="1">
      <alignment horizontal="center" vertical="center"/>
    </xf>
    <xf numFmtId="0" fontId="7" fillId="8" borderId="106" xfId="0" applyFont="1" applyFill="1" applyBorder="1" applyAlignment="1">
      <alignment horizontal="left" vertical="center"/>
    </xf>
    <xf numFmtId="1" fontId="7" fillId="0" borderId="106" xfId="0" applyNumberFormat="1" applyFont="1" applyBorder="1" applyAlignment="1">
      <alignment horizontal="center" vertical="center"/>
    </xf>
    <xf numFmtId="0" fontId="7" fillId="8" borderId="106" xfId="0" applyFont="1" applyFill="1" applyBorder="1" applyAlignment="1">
      <alignment horizontal="center" vertical="center"/>
    </xf>
    <xf numFmtId="2" fontId="20" fillId="8" borderId="6" xfId="0" applyNumberFormat="1" applyFont="1" applyFill="1" applyBorder="1" applyAlignment="1">
      <alignment horizontal="center"/>
    </xf>
    <xf numFmtId="2" fontId="20" fillId="8" borderId="31" xfId="0" applyNumberFormat="1" applyFont="1" applyFill="1" applyBorder="1" applyAlignment="1">
      <alignment horizontal="center"/>
    </xf>
    <xf numFmtId="167" fontId="20" fillId="8" borderId="7" xfId="0" applyNumberFormat="1" applyFont="1" applyFill="1" applyBorder="1" applyAlignment="1">
      <alignment horizontal="center" vertical="center"/>
    </xf>
    <xf numFmtId="1" fontId="11" fillId="8" borderId="106" xfId="0" applyNumberFormat="1" applyFont="1" applyFill="1" applyBorder="1" applyAlignment="1">
      <alignment horizontal="center" vertical="center"/>
    </xf>
    <xf numFmtId="1" fontId="11" fillId="7" borderId="106" xfId="0" applyNumberFormat="1" applyFont="1" applyFill="1" applyBorder="1" applyAlignment="1">
      <alignment horizontal="center" vertical="center"/>
    </xf>
    <xf numFmtId="1" fontId="11" fillId="5" borderId="106" xfId="0" applyNumberFormat="1" applyFont="1" applyFill="1" applyBorder="1" applyAlignment="1">
      <alignment horizontal="center" vertical="center"/>
    </xf>
    <xf numFmtId="1" fontId="11" fillId="6" borderId="106" xfId="0" applyNumberFormat="1" applyFont="1" applyFill="1" applyBorder="1" applyAlignment="1">
      <alignment horizontal="center" vertical="center"/>
    </xf>
    <xf numFmtId="0" fontId="36" fillId="0" borderId="106" xfId="0" applyFont="1" applyBorder="1"/>
    <xf numFmtId="0" fontId="36" fillId="8" borderId="106" xfId="0" applyFont="1" applyFill="1" applyBorder="1"/>
    <xf numFmtId="1" fontId="36" fillId="0" borderId="106" xfId="0" applyNumberFormat="1" applyFont="1" applyBorder="1" applyAlignment="1">
      <alignment horizontal="center"/>
    </xf>
    <xf numFmtId="1" fontId="36" fillId="7" borderId="106" xfId="0" applyNumberFormat="1" applyFont="1" applyFill="1" applyBorder="1" applyAlignment="1">
      <alignment horizontal="center"/>
    </xf>
    <xf numFmtId="1" fontId="36" fillId="5" borderId="106" xfId="0" applyNumberFormat="1" applyFont="1" applyFill="1" applyBorder="1" applyAlignment="1">
      <alignment horizontal="center"/>
    </xf>
    <xf numFmtId="0" fontId="0" fillId="6" borderId="106" xfId="0" applyFill="1" applyBorder="1" applyAlignment="1">
      <alignment horizontal="center" vertical="center"/>
    </xf>
    <xf numFmtId="1" fontId="20" fillId="45" borderId="106" xfId="0" applyNumberFormat="1" applyFont="1" applyFill="1" applyBorder="1" applyAlignment="1">
      <alignment horizontal="center" vertical="center"/>
    </xf>
    <xf numFmtId="0" fontId="14" fillId="0" borderId="13" xfId="0" applyFont="1" applyBorder="1" applyAlignment="1">
      <alignment horizontal="right" vertical="center" indent="1"/>
    </xf>
    <xf numFmtId="0" fontId="46" fillId="0" borderId="0" xfId="0" applyFont="1"/>
    <xf numFmtId="1" fontId="20" fillId="4" borderId="106" xfId="0" applyNumberFormat="1" applyFont="1" applyFill="1" applyBorder="1" applyAlignment="1">
      <alignment horizontal="center" vertical="center"/>
    </xf>
    <xf numFmtId="0" fontId="81" fillId="0" borderId="0" xfId="536" applyFont="1"/>
    <xf numFmtId="2" fontId="155" fillId="0" borderId="106" xfId="0" applyNumberFormat="1" applyFont="1" applyBorder="1" applyAlignment="1">
      <alignment horizontal="center" vertical="center"/>
    </xf>
    <xf numFmtId="0" fontId="156" fillId="0" borderId="106" xfId="0" applyFont="1" applyBorder="1" applyAlignment="1">
      <alignment horizontal="center" vertical="center"/>
    </xf>
    <xf numFmtId="1" fontId="0" fillId="0" borderId="106" xfId="0" applyNumberFormat="1" applyBorder="1" applyAlignment="1">
      <alignment horizontal="center" vertical="center"/>
    </xf>
    <xf numFmtId="0" fontId="0" fillId="0" borderId="108" xfId="0" applyBorder="1"/>
    <xf numFmtId="1" fontId="0" fillId="0" borderId="108" xfId="0" applyNumberFormat="1" applyBorder="1" applyAlignment="1">
      <alignment horizontal="center" vertical="center"/>
    </xf>
    <xf numFmtId="0" fontId="22" fillId="0" borderId="2" xfId="0" applyFont="1" applyBorder="1"/>
    <xf numFmtId="0" fontId="22" fillId="0" borderId="41" xfId="0" applyFont="1" applyBorder="1" applyAlignment="1">
      <alignment horizontal="center" vertical="center"/>
    </xf>
    <xf numFmtId="0" fontId="22" fillId="32" borderId="62" xfId="0" applyFont="1" applyFill="1" applyBorder="1"/>
    <xf numFmtId="1" fontId="22" fillId="32" borderId="108" xfId="0" applyNumberFormat="1" applyFont="1" applyFill="1" applyBorder="1" applyAlignment="1">
      <alignment horizontal="center" vertical="center"/>
    </xf>
    <xf numFmtId="0" fontId="17" fillId="8" borderId="31" xfId="0" applyFont="1" applyFill="1" applyBorder="1"/>
    <xf numFmtId="0" fontId="0" fillId="0" borderId="31" xfId="0" applyBorder="1" applyAlignment="1">
      <alignment horizontal="right"/>
    </xf>
    <xf numFmtId="0" fontId="22" fillId="32" borderId="32" xfId="0" applyFont="1" applyFill="1" applyBorder="1"/>
    <xf numFmtId="1" fontId="22" fillId="32" borderId="23" xfId="0" applyNumberFormat="1" applyFont="1" applyFill="1" applyBorder="1" applyAlignment="1">
      <alignment horizontal="center" vertical="center"/>
    </xf>
    <xf numFmtId="0" fontId="0" fillId="0" borderId="35" xfId="0" applyBorder="1"/>
    <xf numFmtId="0" fontId="0" fillId="54" borderId="31" xfId="0" applyFill="1" applyBorder="1"/>
    <xf numFmtId="1" fontId="0" fillId="54" borderId="106" xfId="0" applyNumberFormat="1" applyFill="1" applyBorder="1" applyAlignment="1">
      <alignment horizontal="center" vertical="center"/>
    </xf>
    <xf numFmtId="0" fontId="86" fillId="48" borderId="106" xfId="0" applyFont="1" applyFill="1" applyBorder="1" applyAlignment="1">
      <alignment horizontal="center" vertical="center"/>
    </xf>
    <xf numFmtId="1" fontId="86" fillId="48" borderId="106" xfId="0" applyNumberFormat="1" applyFont="1" applyFill="1" applyBorder="1" applyAlignment="1">
      <alignment horizontal="center" vertical="center"/>
    </xf>
    <xf numFmtId="0" fontId="0" fillId="0" borderId="30" xfId="0" applyBorder="1" applyAlignment="1">
      <alignment horizontal="left" vertical="center"/>
    </xf>
    <xf numFmtId="0" fontId="80" fillId="0" borderId="106" xfId="0" applyFont="1" applyBorder="1" applyAlignment="1">
      <alignment horizontal="left" vertical="center"/>
    </xf>
    <xf numFmtId="0" fontId="0" fillId="0" borderId="106" xfId="0" applyBorder="1" applyAlignment="1">
      <alignment horizontal="left" vertical="center"/>
    </xf>
    <xf numFmtId="0" fontId="17" fillId="0" borderId="106" xfId="0" applyFont="1" applyBorder="1" applyAlignment="1">
      <alignment horizontal="left" vertical="center"/>
    </xf>
    <xf numFmtId="0" fontId="0" fillId="0" borderId="106" xfId="0" applyBorder="1" applyAlignment="1">
      <alignment horizontal="left"/>
    </xf>
    <xf numFmtId="0" fontId="86" fillId="7" borderId="106" xfId="0" applyFont="1" applyFill="1" applyBorder="1" applyAlignment="1">
      <alignment horizontal="left" vertical="center"/>
    </xf>
    <xf numFmtId="0" fontId="86" fillId="7" borderId="106" xfId="0" applyFont="1" applyFill="1" applyBorder="1" applyAlignment="1">
      <alignment horizontal="center" vertical="center"/>
    </xf>
    <xf numFmtId="0" fontId="22" fillId="0" borderId="39" xfId="0" applyFont="1" applyBorder="1"/>
    <xf numFmtId="0" fontId="22" fillId="32" borderId="109" xfId="0" applyFont="1" applyFill="1" applyBorder="1"/>
    <xf numFmtId="0" fontId="17" fillId="8" borderId="29" xfId="0" applyFont="1" applyFill="1" applyBorder="1"/>
    <xf numFmtId="0" fontId="0" fillId="0" borderId="29" xfId="0" applyBorder="1" applyAlignment="1">
      <alignment horizontal="right"/>
    </xf>
    <xf numFmtId="0" fontId="22" fillId="32" borderId="59" xfId="0" applyFont="1" applyFill="1" applyBorder="1"/>
    <xf numFmtId="0" fontId="0" fillId="54" borderId="29" xfId="0" applyFill="1" applyBorder="1"/>
    <xf numFmtId="0" fontId="113" fillId="8" borderId="10" xfId="0" applyFont="1" applyFill="1" applyBorder="1" applyAlignment="1">
      <alignment horizontal="left" vertical="center"/>
    </xf>
    <xf numFmtId="0" fontId="113" fillId="8" borderId="10" xfId="0" applyFont="1" applyFill="1" applyBorder="1"/>
    <xf numFmtId="0" fontId="113" fillId="8" borderId="10" xfId="0" applyFont="1" applyFill="1" applyBorder="1" applyAlignment="1">
      <alignment horizontal="right" vertical="center"/>
    </xf>
    <xf numFmtId="0" fontId="113" fillId="8" borderId="105" xfId="0" applyFont="1" applyFill="1" applyBorder="1" applyAlignment="1">
      <alignment horizontal="right" vertical="center"/>
    </xf>
    <xf numFmtId="0" fontId="112" fillId="8" borderId="106" xfId="0" applyFont="1" applyFill="1" applyBorder="1" applyAlignment="1">
      <alignment horizontal="right" vertical="center"/>
    </xf>
    <xf numFmtId="0" fontId="113" fillId="8" borderId="10" xfId="0" applyFont="1" applyFill="1" applyBorder="1" applyAlignment="1">
      <alignment horizontal="center" vertical="center"/>
    </xf>
    <xf numFmtId="1" fontId="112" fillId="8" borderId="106" xfId="0" applyNumberFormat="1" applyFont="1" applyFill="1" applyBorder="1" applyAlignment="1">
      <alignment horizontal="right" vertical="center"/>
    </xf>
    <xf numFmtId="1" fontId="14" fillId="0" borderId="108" xfId="0" applyNumberFormat="1" applyFont="1" applyBorder="1" applyAlignment="1">
      <alignment horizontal="center" vertical="center"/>
    </xf>
    <xf numFmtId="0" fontId="158" fillId="0" borderId="0" xfId="0" applyFont="1" applyAlignment="1">
      <alignment wrapText="1"/>
    </xf>
    <xf numFmtId="0" fontId="158" fillId="0" borderId="0" xfId="0" applyFont="1" applyAlignment="1">
      <alignment horizontal="center" vertical="center" wrapText="1"/>
    </xf>
    <xf numFmtId="1" fontId="158" fillId="0" borderId="0" xfId="0" applyNumberFormat="1" applyFont="1" applyAlignment="1">
      <alignment wrapText="1"/>
    </xf>
    <xf numFmtId="1" fontId="45" fillId="8" borderId="10" xfId="0" applyNumberFormat="1" applyFont="1" applyFill="1" applyBorder="1" applyAlignment="1">
      <alignment horizontal="center"/>
    </xf>
    <xf numFmtId="1" fontId="4" fillId="0" borderId="10" xfId="0" applyNumberFormat="1" applyFont="1" applyBorder="1" applyAlignment="1">
      <alignment horizontal="center" vertical="center"/>
    </xf>
    <xf numFmtId="164" fontId="20" fillId="0" borderId="109" xfId="0" quotePrefix="1" applyNumberFormat="1" applyFont="1" applyBorder="1" applyAlignment="1">
      <alignment horizontal="left" vertical="center"/>
    </xf>
    <xf numFmtId="172" fontId="20" fillId="0" borderId="107" xfId="0" quotePrefix="1" applyNumberFormat="1" applyFont="1" applyBorder="1" applyAlignment="1">
      <alignment horizontal="center" vertical="center"/>
    </xf>
    <xf numFmtId="1" fontId="20" fillId="5" borderId="106" xfId="0" applyNumberFormat="1" applyFont="1" applyFill="1" applyBorder="1" applyAlignment="1">
      <alignment vertical="center"/>
    </xf>
    <xf numFmtId="1" fontId="20" fillId="44" borderId="106" xfId="0" applyNumberFormat="1" applyFont="1" applyFill="1" applyBorder="1" applyAlignment="1">
      <alignment vertical="center"/>
    </xf>
    <xf numFmtId="1" fontId="19" fillId="7" borderId="106" xfId="0" applyNumberFormat="1" applyFont="1" applyFill="1" applyBorder="1" applyAlignment="1">
      <alignment horizontal="center" vertical="center"/>
    </xf>
    <xf numFmtId="1" fontId="19" fillId="7" borderId="108" xfId="0" applyNumberFormat="1" applyFont="1" applyFill="1" applyBorder="1" applyAlignment="1">
      <alignment horizontal="center" vertical="center"/>
    </xf>
    <xf numFmtId="1" fontId="19" fillId="7" borderId="46" xfId="0" applyNumberFormat="1" applyFont="1" applyFill="1" applyBorder="1" applyAlignment="1">
      <alignment horizontal="center" vertical="center"/>
    </xf>
    <xf numFmtId="0" fontId="18" fillId="0" borderId="23" xfId="0" applyFont="1" applyBorder="1" applyAlignment="1">
      <alignment horizontal="center" vertical="center"/>
    </xf>
    <xf numFmtId="1" fontId="20" fillId="8" borderId="34" xfId="0" applyNumberFormat="1" applyFont="1" applyFill="1" applyBorder="1" applyAlignment="1">
      <alignment horizontal="center" vertical="center"/>
    </xf>
    <xf numFmtId="0" fontId="19" fillId="8" borderId="17" xfId="0" applyFont="1" applyFill="1" applyBorder="1" applyAlignment="1">
      <alignment horizontal="center" vertical="center"/>
    </xf>
    <xf numFmtId="0" fontId="19" fillId="8" borderId="31" xfId="0" applyFont="1" applyFill="1" applyBorder="1" applyAlignment="1">
      <alignment horizontal="left" vertical="center" indent="1"/>
    </xf>
    <xf numFmtId="2" fontId="7" fillId="8" borderId="17" xfId="0" applyNumberFormat="1" applyFont="1" applyFill="1" applyBorder="1" applyAlignment="1">
      <alignment horizontal="center" vertical="center"/>
    </xf>
    <xf numFmtId="2" fontId="7" fillId="7" borderId="17" xfId="0" applyNumberFormat="1" applyFont="1" applyFill="1" applyBorder="1" applyAlignment="1">
      <alignment horizontal="center" vertical="center"/>
    </xf>
    <xf numFmtId="2" fontId="155" fillId="4" borderId="106" xfId="0" applyNumberFormat="1" applyFont="1" applyFill="1" applyBorder="1" applyAlignment="1">
      <alignment horizontal="center" vertical="center"/>
    </xf>
    <xf numFmtId="0" fontId="32" fillId="8" borderId="0" xfId="0" applyFont="1" applyFill="1" applyAlignment="1">
      <alignment vertical="center"/>
    </xf>
    <xf numFmtId="0" fontId="18" fillId="8" borderId="46" xfId="0" applyFont="1" applyFill="1" applyBorder="1" applyAlignment="1">
      <alignment vertical="center"/>
    </xf>
    <xf numFmtId="164" fontId="20" fillId="8" borderId="63" xfId="0" quotePrefix="1" applyNumberFormat="1" applyFont="1" applyFill="1" applyBorder="1" applyAlignment="1">
      <alignment horizontal="left" vertical="center"/>
    </xf>
    <xf numFmtId="0" fontId="20" fillId="8" borderId="66" xfId="0" applyFont="1" applyFill="1" applyBorder="1" applyAlignment="1">
      <alignment horizontal="left" vertical="center"/>
    </xf>
    <xf numFmtId="0" fontId="19" fillId="0" borderId="66" xfId="0" applyFont="1" applyBorder="1" applyAlignment="1">
      <alignment horizontal="center" vertical="center"/>
    </xf>
    <xf numFmtId="0" fontId="18" fillId="8" borderId="41" xfId="0" applyFont="1" applyFill="1" applyBorder="1" applyAlignment="1">
      <alignment vertical="center"/>
    </xf>
    <xf numFmtId="164" fontId="20" fillId="8" borderId="32" xfId="0" quotePrefix="1" applyNumberFormat="1" applyFont="1" applyFill="1" applyBorder="1" applyAlignment="1">
      <alignment horizontal="left" vertical="center"/>
    </xf>
    <xf numFmtId="0" fontId="20" fillId="8" borderId="68" xfId="0" applyFont="1" applyFill="1" applyBorder="1" applyAlignment="1">
      <alignment horizontal="left" vertical="center"/>
    </xf>
    <xf numFmtId="0" fontId="19" fillId="0" borderId="68" xfId="0" applyFont="1" applyBorder="1" applyAlignment="1">
      <alignment horizontal="center" vertical="center"/>
    </xf>
    <xf numFmtId="0" fontId="18" fillId="8" borderId="23" xfId="0" applyFont="1" applyFill="1" applyBorder="1" applyAlignment="1">
      <alignment vertical="center"/>
    </xf>
    <xf numFmtId="0" fontId="19" fillId="8" borderId="41" xfId="0" applyFont="1" applyFill="1" applyBorder="1" applyAlignment="1">
      <alignment vertical="center"/>
    </xf>
    <xf numFmtId="0" fontId="19" fillId="8" borderId="23" xfId="0" applyFont="1" applyFill="1" applyBorder="1" applyAlignment="1">
      <alignment vertical="center"/>
    </xf>
    <xf numFmtId="0" fontId="18" fillId="8" borderId="59" xfId="0" applyFont="1" applyFill="1" applyBorder="1" applyAlignment="1">
      <alignment vertical="center"/>
    </xf>
    <xf numFmtId="1" fontId="20" fillId="0" borderId="3" xfId="0" applyNumberFormat="1" applyFont="1" applyBorder="1" applyAlignment="1">
      <alignment vertical="center"/>
    </xf>
    <xf numFmtId="1" fontId="20" fillId="7" borderId="41" xfId="0" applyNumberFormat="1" applyFont="1" applyFill="1" applyBorder="1" applyAlignment="1">
      <alignment vertical="center"/>
    </xf>
    <xf numFmtId="1" fontId="20" fillId="7" borderId="106" xfId="0" applyNumberFormat="1" applyFont="1" applyFill="1" applyBorder="1" applyAlignment="1">
      <alignment vertical="center"/>
    </xf>
    <xf numFmtId="1" fontId="20" fillId="0" borderId="59" xfId="0" applyNumberFormat="1" applyFont="1" applyBorder="1" applyAlignment="1">
      <alignment vertical="center"/>
    </xf>
    <xf numFmtId="1" fontId="20" fillId="7" borderId="23" xfId="0" applyNumberFormat="1" applyFont="1" applyFill="1" applyBorder="1" applyAlignment="1">
      <alignment vertical="center"/>
    </xf>
    <xf numFmtId="1" fontId="20" fillId="0" borderId="59" xfId="0" applyNumberFormat="1" applyFont="1" applyBorder="1" applyAlignment="1">
      <alignment horizontal="center" vertical="center"/>
    </xf>
    <xf numFmtId="0" fontId="19" fillId="0" borderId="49" xfId="0" applyFont="1" applyBorder="1" applyAlignment="1">
      <alignment horizontal="center" vertical="center"/>
    </xf>
    <xf numFmtId="167" fontId="20" fillId="0" borderId="106" xfId="0" applyNumberFormat="1" applyFont="1" applyBorder="1" applyAlignment="1">
      <alignment horizontal="center" vertical="center"/>
    </xf>
    <xf numFmtId="2" fontId="20" fillId="0" borderId="106" xfId="0" applyNumberFormat="1" applyFont="1" applyBorder="1" applyAlignment="1">
      <alignment horizontal="center" vertical="center"/>
    </xf>
    <xf numFmtId="2" fontId="20" fillId="0" borderId="23" xfId="0" applyNumberFormat="1" applyFont="1" applyBorder="1" applyAlignment="1">
      <alignment horizontal="center" vertical="center"/>
    </xf>
    <xf numFmtId="167" fontId="20" fillId="8" borderId="106" xfId="0" applyNumberFormat="1" applyFont="1" applyFill="1" applyBorder="1" applyAlignment="1">
      <alignment horizontal="center" vertical="center"/>
    </xf>
    <xf numFmtId="2" fontId="20" fillId="0" borderId="41" xfId="0" applyNumberFormat="1" applyFont="1" applyBorder="1" applyAlignment="1">
      <alignment horizontal="center" vertical="center"/>
    </xf>
    <xf numFmtId="2" fontId="18" fillId="8" borderId="17" xfId="0" applyNumberFormat="1" applyFont="1" applyFill="1" applyBorder="1" applyAlignment="1">
      <alignment horizontal="center" vertical="center"/>
    </xf>
    <xf numFmtId="0" fontId="18" fillId="8" borderId="108" xfId="0" applyFont="1" applyFill="1" applyBorder="1" applyAlignment="1">
      <alignment vertical="center"/>
    </xf>
    <xf numFmtId="1" fontId="20" fillId="0" borderId="108" xfId="0" applyNumberFormat="1" applyFont="1" applyBorder="1" applyAlignment="1">
      <alignment horizontal="center" vertical="center"/>
    </xf>
    <xf numFmtId="1" fontId="20" fillId="7" borderId="108" xfId="0" applyNumberFormat="1" applyFont="1" applyFill="1" applyBorder="1" applyAlignment="1">
      <alignment horizontal="center" vertical="center"/>
    </xf>
    <xf numFmtId="0" fontId="20" fillId="0" borderId="107" xfId="0" applyFont="1" applyBorder="1" applyAlignment="1">
      <alignment horizontal="center" vertical="center"/>
    </xf>
    <xf numFmtId="169" fontId="20" fillId="0" borderId="106" xfId="0" applyNumberFormat="1" applyFont="1" applyBorder="1" applyAlignment="1">
      <alignment horizontal="center" vertical="center"/>
    </xf>
    <xf numFmtId="169" fontId="20" fillId="7" borderId="17" xfId="0" applyNumberFormat="1" applyFont="1" applyFill="1" applyBorder="1" applyAlignment="1">
      <alignment horizontal="center" vertical="center"/>
    </xf>
    <xf numFmtId="2" fontId="20" fillId="7" borderId="17" xfId="0" applyNumberFormat="1" applyFont="1" applyFill="1" applyBorder="1" applyAlignment="1">
      <alignment horizontal="center" vertical="center"/>
    </xf>
    <xf numFmtId="2" fontId="20" fillId="7" borderId="51" xfId="0" applyNumberFormat="1" applyFont="1" applyFill="1" applyBorder="1" applyAlignment="1">
      <alignment horizontal="center" vertical="center"/>
    </xf>
    <xf numFmtId="164" fontId="18" fillId="0" borderId="30" xfId="0" applyNumberFormat="1" applyFont="1" applyBorder="1" applyAlignment="1">
      <alignment horizontal="left" vertical="center"/>
    </xf>
    <xf numFmtId="1" fontId="18" fillId="8" borderId="30" xfId="0" applyNumberFormat="1" applyFont="1" applyFill="1" applyBorder="1" applyAlignment="1">
      <alignment horizontal="center" vertical="center"/>
    </xf>
    <xf numFmtId="164" fontId="132" fillId="8" borderId="76" xfId="0" quotePrefix="1" applyNumberFormat="1" applyFont="1" applyFill="1" applyBorder="1" applyAlignment="1">
      <alignment horizontal="left" vertical="center"/>
    </xf>
    <xf numFmtId="164" fontId="132" fillId="8" borderId="39" xfId="0" quotePrefix="1" applyNumberFormat="1" applyFont="1" applyFill="1" applyBorder="1" applyAlignment="1">
      <alignment horizontal="left" vertical="center"/>
    </xf>
    <xf numFmtId="0" fontId="132" fillId="0" borderId="66" xfId="0" applyFont="1" applyBorder="1" applyAlignment="1">
      <alignment horizontal="center" vertical="center"/>
    </xf>
    <xf numFmtId="1" fontId="18" fillId="0" borderId="3" xfId="0" applyNumberFormat="1" applyFont="1" applyBorder="1" applyAlignment="1">
      <alignment vertical="center"/>
    </xf>
    <xf numFmtId="167" fontId="18" fillId="7" borderId="41" xfId="0" applyNumberFormat="1" applyFont="1" applyFill="1" applyBorder="1" applyAlignment="1">
      <alignment vertical="center"/>
    </xf>
    <xf numFmtId="164" fontId="132" fillId="8" borderId="110" xfId="0" quotePrefix="1" applyNumberFormat="1" applyFont="1" applyFill="1" applyBorder="1" applyAlignment="1">
      <alignment horizontal="left" vertical="center"/>
    </xf>
    <xf numFmtId="0" fontId="132" fillId="0" borderId="107" xfId="0" applyFont="1" applyBorder="1" applyAlignment="1">
      <alignment horizontal="center" vertical="center"/>
    </xf>
    <xf numFmtId="167" fontId="18" fillId="7" borderId="106" xfId="0" applyNumberFormat="1" applyFont="1" applyFill="1" applyBorder="1" applyAlignment="1">
      <alignment vertical="center"/>
    </xf>
    <xf numFmtId="1" fontId="18" fillId="0" borderId="109" xfId="0" applyNumberFormat="1" applyFont="1" applyBorder="1" applyAlignment="1">
      <alignment vertical="center"/>
    </xf>
    <xf numFmtId="167" fontId="18" fillId="7" borderId="108" xfId="0" applyNumberFormat="1" applyFont="1" applyFill="1" applyBorder="1" applyAlignment="1">
      <alignment vertical="center"/>
    </xf>
    <xf numFmtId="0" fontId="132" fillId="0" borderId="111" xfId="0" applyFont="1" applyBorder="1" applyAlignment="1">
      <alignment horizontal="center" vertical="center"/>
    </xf>
    <xf numFmtId="164" fontId="132" fillId="0" borderId="32" xfId="0" quotePrefix="1" applyNumberFormat="1" applyFont="1" applyBorder="1" applyAlignment="1">
      <alignment horizontal="left" vertical="center"/>
    </xf>
    <xf numFmtId="164" fontId="132" fillId="0" borderId="49" xfId="0" quotePrefix="1" applyNumberFormat="1" applyFont="1" applyBorder="1" applyAlignment="1">
      <alignment horizontal="left" vertical="center"/>
    </xf>
    <xf numFmtId="0" fontId="132" fillId="0" borderId="68" xfId="0" applyFont="1" applyBorder="1" applyAlignment="1">
      <alignment horizontal="center" vertical="center"/>
    </xf>
    <xf numFmtId="1" fontId="18" fillId="0" borderId="59" xfId="0" applyNumberFormat="1" applyFont="1" applyBorder="1" applyAlignment="1">
      <alignment vertical="center"/>
    </xf>
    <xf numFmtId="167" fontId="18" fillId="7" borderId="23" xfId="0" applyNumberFormat="1" applyFont="1" applyFill="1" applyBorder="1" applyAlignment="1">
      <alignment vertical="center"/>
    </xf>
    <xf numFmtId="0" fontId="22" fillId="0" borderId="0" xfId="0" quotePrefix="1" applyFont="1"/>
    <xf numFmtId="164" fontId="131" fillId="8" borderId="76" xfId="0" quotePrefix="1" applyNumberFormat="1" applyFont="1" applyFill="1" applyBorder="1" applyAlignment="1">
      <alignment horizontal="left" vertical="center"/>
    </xf>
    <xf numFmtId="0" fontId="130" fillId="8" borderId="39" xfId="0" applyFont="1" applyFill="1" applyBorder="1" applyAlignment="1">
      <alignment horizontal="left" vertical="center"/>
    </xf>
    <xf numFmtId="0" fontId="131" fillId="0" borderId="66" xfId="0" applyFont="1" applyBorder="1" applyAlignment="1">
      <alignment horizontal="center" vertical="center"/>
    </xf>
    <xf numFmtId="167" fontId="20" fillId="7" borderId="41" xfId="0" applyNumberFormat="1" applyFont="1" applyFill="1" applyBorder="1" applyAlignment="1">
      <alignment vertical="center"/>
    </xf>
    <xf numFmtId="0" fontId="130" fillId="8" borderId="110" xfId="0" applyFont="1" applyFill="1" applyBorder="1" applyAlignment="1">
      <alignment horizontal="left" vertical="center"/>
    </xf>
    <xf numFmtId="0" fontId="131" fillId="0" borderId="107" xfId="0" applyFont="1" applyBorder="1" applyAlignment="1">
      <alignment horizontal="center" vertical="center"/>
    </xf>
    <xf numFmtId="167" fontId="20" fillId="7" borderId="106" xfId="0" applyNumberFormat="1" applyFont="1" applyFill="1" applyBorder="1" applyAlignment="1">
      <alignment vertical="center"/>
    </xf>
    <xf numFmtId="0" fontId="130" fillId="0" borderId="110" xfId="0" applyFont="1" applyBorder="1" applyAlignment="1">
      <alignment horizontal="left" vertical="center"/>
    </xf>
    <xf numFmtId="164" fontId="131" fillId="0" borderId="32" xfId="0" quotePrefix="1" applyNumberFormat="1" applyFont="1" applyBorder="1" applyAlignment="1">
      <alignment horizontal="left" vertical="center"/>
    </xf>
    <xf numFmtId="0" fontId="130" fillId="0" borderId="49" xfId="0" applyFont="1" applyBorder="1" applyAlignment="1">
      <alignment horizontal="left" vertical="center"/>
    </xf>
    <xf numFmtId="0" fontId="131" fillId="0" borderId="68" xfId="0" applyFont="1" applyBorder="1" applyAlignment="1">
      <alignment horizontal="center" vertical="center"/>
    </xf>
    <xf numFmtId="167" fontId="20" fillId="7" borderId="23" xfId="0" applyNumberFormat="1" applyFont="1" applyFill="1" applyBorder="1" applyAlignment="1">
      <alignment vertical="center"/>
    </xf>
    <xf numFmtId="0" fontId="20" fillId="0" borderId="108" xfId="0" applyFont="1" applyBorder="1" applyAlignment="1">
      <alignment horizontal="center" vertical="center"/>
    </xf>
    <xf numFmtId="1" fontId="20" fillId="8" borderId="108" xfId="0" applyNumberFormat="1" applyFont="1" applyFill="1" applyBorder="1" applyAlignment="1">
      <alignment horizontal="center" vertical="center"/>
    </xf>
    <xf numFmtId="1" fontId="12" fillId="0" borderId="108" xfId="0" applyNumberFormat="1" applyFont="1" applyBorder="1" applyAlignment="1">
      <alignment horizontal="center" vertical="center"/>
    </xf>
    <xf numFmtId="0" fontId="18" fillId="8" borderId="30" xfId="0" applyFont="1" applyFill="1" applyBorder="1" applyAlignment="1">
      <alignment horizontal="center" vertical="center"/>
    </xf>
    <xf numFmtId="0" fontId="20" fillId="2" borderId="63" xfId="0" applyFont="1" applyFill="1" applyBorder="1" applyAlignment="1">
      <alignment vertical="center"/>
    </xf>
    <xf numFmtId="1" fontId="12" fillId="0" borderId="41" xfId="0" applyNumberFormat="1" applyFont="1" applyBorder="1" applyAlignment="1">
      <alignment horizontal="center" vertical="center"/>
    </xf>
    <xf numFmtId="0" fontId="20" fillId="2" borderId="31" xfId="0" applyFont="1" applyFill="1" applyBorder="1" applyAlignment="1">
      <alignment vertical="center"/>
    </xf>
    <xf numFmtId="0" fontId="4" fillId="8" borderId="32" xfId="0" applyFont="1" applyFill="1" applyBorder="1" applyAlignment="1">
      <alignment vertical="center"/>
    </xf>
    <xf numFmtId="1" fontId="23" fillId="8" borderId="23" xfId="0" applyNumberFormat="1" applyFont="1" applyFill="1" applyBorder="1" applyAlignment="1">
      <alignment horizontal="center" vertical="center"/>
    </xf>
    <xf numFmtId="1" fontId="4" fillId="7" borderId="33" xfId="0" applyNumberFormat="1" applyFont="1" applyFill="1" applyBorder="1" applyAlignment="1">
      <alignment horizontal="center" vertical="center"/>
    </xf>
    <xf numFmtId="0" fontId="18" fillId="0" borderId="108" xfId="0" applyFont="1" applyBorder="1" applyAlignment="1">
      <alignment vertical="center"/>
    </xf>
    <xf numFmtId="0" fontId="14" fillId="0" borderId="108" xfId="0" applyFont="1" applyBorder="1" applyAlignment="1">
      <alignment vertical="center"/>
    </xf>
    <xf numFmtId="0" fontId="40" fillId="0" borderId="30" xfId="0" applyFont="1" applyBorder="1" applyAlignment="1">
      <alignment vertical="center"/>
    </xf>
    <xf numFmtId="0" fontId="40" fillId="8" borderId="30" xfId="0" applyFont="1" applyFill="1" applyBorder="1" applyAlignment="1">
      <alignment vertical="center"/>
    </xf>
    <xf numFmtId="0" fontId="20" fillId="0" borderId="63" xfId="0" applyFont="1" applyBorder="1" applyAlignment="1">
      <alignment horizontal="right" vertical="center"/>
    </xf>
    <xf numFmtId="2" fontId="12" fillId="0" borderId="106" xfId="0" applyNumberFormat="1" applyFont="1" applyBorder="1" applyAlignment="1">
      <alignment horizontal="center" vertical="center"/>
    </xf>
    <xf numFmtId="0" fontId="21" fillId="8" borderId="108" xfId="0" applyFont="1" applyFill="1" applyBorder="1" applyAlignment="1">
      <alignment horizontal="center" vertical="center"/>
    </xf>
    <xf numFmtId="0" fontId="21" fillId="0" borderId="108" xfId="0" applyFont="1" applyBorder="1" applyAlignment="1">
      <alignment horizontal="center" vertical="center"/>
    </xf>
    <xf numFmtId="0" fontId="21" fillId="7" borderId="108" xfId="0" applyFont="1" applyFill="1" applyBorder="1" applyAlignment="1">
      <alignment horizontal="center" vertical="center"/>
    </xf>
    <xf numFmtId="0" fontId="40" fillId="8" borderId="63" xfId="0" applyFont="1" applyFill="1" applyBorder="1" applyAlignment="1">
      <alignment vertical="center"/>
    </xf>
    <xf numFmtId="0" fontId="43" fillId="8" borderId="41" xfId="0" applyFont="1" applyFill="1" applyBorder="1" applyAlignment="1">
      <alignment horizontal="center" vertical="center"/>
    </xf>
    <xf numFmtId="2" fontId="44" fillId="8" borderId="41" xfId="0" applyNumberFormat="1" applyFont="1" applyFill="1" applyBorder="1" applyAlignment="1">
      <alignment horizontal="center" vertical="center"/>
    </xf>
    <xf numFmtId="2" fontId="44" fillId="8" borderId="42" xfId="0" applyNumberFormat="1" applyFont="1" applyFill="1" applyBorder="1" applyAlignment="1">
      <alignment horizontal="center" vertical="center"/>
    </xf>
    <xf numFmtId="0" fontId="20" fillId="8" borderId="106" xfId="0" applyFont="1" applyFill="1" applyBorder="1" applyAlignment="1">
      <alignment horizontal="center" vertical="center"/>
    </xf>
    <xf numFmtId="0" fontId="20" fillId="2" borderId="62" xfId="0" applyFont="1" applyFill="1" applyBorder="1" applyAlignment="1">
      <alignment vertical="center"/>
    </xf>
    <xf numFmtId="0" fontId="18" fillId="8" borderId="34" xfId="0" applyFont="1" applyFill="1" applyBorder="1"/>
    <xf numFmtId="167" fontId="18" fillId="7" borderId="53" xfId="0" applyNumberFormat="1" applyFont="1" applyFill="1" applyBorder="1" applyAlignment="1">
      <alignment horizontal="center" vertical="center"/>
    </xf>
    <xf numFmtId="0" fontId="21" fillId="0" borderId="31" xfId="0" applyFont="1" applyBorder="1" applyAlignment="1">
      <alignment vertical="center"/>
    </xf>
    <xf numFmtId="0" fontId="18" fillId="8" borderId="106" xfId="0" applyFont="1" applyFill="1" applyBorder="1" applyAlignment="1">
      <alignment horizontal="center" vertical="center"/>
    </xf>
    <xf numFmtId="167" fontId="18" fillId="8" borderId="106" xfId="0" applyNumberFormat="1" applyFont="1" applyFill="1" applyBorder="1" applyAlignment="1">
      <alignment horizontal="center" vertical="center"/>
    </xf>
    <xf numFmtId="167" fontId="98" fillId="8" borderId="106" xfId="0" applyNumberFormat="1" applyFont="1" applyFill="1" applyBorder="1" applyAlignment="1">
      <alignment horizontal="center" vertical="center"/>
    </xf>
    <xf numFmtId="167" fontId="18" fillId="7" borderId="106" xfId="0" applyNumberFormat="1" applyFont="1" applyFill="1" applyBorder="1" applyAlignment="1">
      <alignment horizontal="center" vertical="center"/>
    </xf>
    <xf numFmtId="0" fontId="21" fillId="0" borderId="31" xfId="0" applyFont="1" applyBorder="1"/>
    <xf numFmtId="167" fontId="20" fillId="8" borderId="106" xfId="0" quotePrefix="1" applyNumberFormat="1" applyFont="1" applyFill="1" applyBorder="1" applyAlignment="1">
      <alignment horizontal="center" vertical="center"/>
    </xf>
    <xf numFmtId="2" fontId="20" fillId="7" borderId="106" xfId="0" applyNumberFormat="1" applyFont="1" applyFill="1" applyBorder="1" applyAlignment="1">
      <alignment horizontal="center" vertical="center"/>
    </xf>
    <xf numFmtId="0" fontId="4" fillId="0" borderId="106" xfId="0" applyFont="1" applyBorder="1" applyAlignment="1">
      <alignment horizontal="center" vertical="center"/>
    </xf>
    <xf numFmtId="1" fontId="23" fillId="8" borderId="106" xfId="0" applyNumberFormat="1" applyFont="1" applyFill="1" applyBorder="1" applyAlignment="1">
      <alignment horizontal="center" vertical="center"/>
    </xf>
    <xf numFmtId="1" fontId="4" fillId="7" borderId="106" xfId="0" applyNumberFormat="1" applyFont="1" applyFill="1" applyBorder="1" applyAlignment="1">
      <alignment horizontal="center" vertical="center"/>
    </xf>
    <xf numFmtId="0" fontId="18" fillId="0" borderId="72" xfId="0" applyFont="1" applyBorder="1" applyAlignment="1">
      <alignment vertical="center"/>
    </xf>
    <xf numFmtId="0" fontId="40" fillId="0" borderId="63" xfId="0" applyFont="1" applyBorder="1" applyAlignment="1">
      <alignment vertical="center"/>
    </xf>
    <xf numFmtId="0" fontId="40" fillId="0" borderId="41" xfId="0" applyFont="1" applyBorder="1" applyAlignment="1">
      <alignment vertical="center"/>
    </xf>
    <xf numFmtId="0" fontId="40" fillId="8" borderId="41" xfId="0" applyFont="1" applyFill="1" applyBorder="1" applyAlignment="1">
      <alignment vertical="center"/>
    </xf>
    <xf numFmtId="0" fontId="40" fillId="0" borderId="42" xfId="0" applyFont="1" applyBorder="1" applyAlignment="1">
      <alignment vertical="center"/>
    </xf>
    <xf numFmtId="0" fontId="20" fillId="7" borderId="106" xfId="0" applyFont="1" applyFill="1" applyBorder="1" applyAlignment="1">
      <alignment horizontal="center" vertical="center"/>
    </xf>
    <xf numFmtId="0" fontId="4" fillId="2" borderId="31" xfId="0" applyFont="1" applyFill="1" applyBorder="1" applyAlignment="1">
      <alignment vertical="center"/>
    </xf>
    <xf numFmtId="1" fontId="4" fillId="0" borderId="106" xfId="0" applyNumberFormat="1" applyFont="1" applyBorder="1" applyAlignment="1">
      <alignment horizontal="center" vertical="center"/>
    </xf>
    <xf numFmtId="0" fontId="18" fillId="0" borderId="31" xfId="0" applyFont="1" applyBorder="1"/>
    <xf numFmtId="0" fontId="18" fillId="0" borderId="106" xfId="0" applyFont="1" applyBorder="1" applyAlignment="1">
      <alignment horizontal="center" vertical="center"/>
    </xf>
    <xf numFmtId="167" fontId="18" fillId="0" borderId="106" xfId="0" applyNumberFormat="1" applyFont="1" applyBorder="1" applyAlignment="1">
      <alignment horizontal="center" vertical="center"/>
    </xf>
    <xf numFmtId="0" fontId="19" fillId="0" borderId="31" xfId="0" applyFont="1" applyBorder="1"/>
    <xf numFmtId="167" fontId="20" fillId="7" borderId="106" xfId="0" quotePrefix="1" applyNumberFormat="1" applyFont="1" applyFill="1" applyBorder="1" applyAlignment="1">
      <alignment horizontal="center" vertical="center"/>
    </xf>
    <xf numFmtId="0" fontId="18" fillId="0" borderId="106" xfId="0" applyFont="1" applyBorder="1" applyAlignment="1">
      <alignment vertical="center"/>
    </xf>
    <xf numFmtId="1" fontId="18" fillId="8" borderId="106" xfId="0" applyNumberFormat="1" applyFont="1" applyFill="1" applyBorder="1" applyAlignment="1">
      <alignment horizontal="center" vertical="center"/>
    </xf>
    <xf numFmtId="0" fontId="32" fillId="8" borderId="70" xfId="0" applyFont="1" applyFill="1" applyBorder="1" applyAlignment="1">
      <alignment vertical="center"/>
    </xf>
    <xf numFmtId="0" fontId="32" fillId="8" borderId="110" xfId="0" applyFont="1" applyFill="1" applyBorder="1" applyAlignment="1">
      <alignment vertical="center"/>
    </xf>
    <xf numFmtId="0" fontId="32" fillId="8" borderId="108" xfId="0" applyFont="1" applyFill="1" applyBorder="1" applyAlignment="1">
      <alignment horizontal="center" vertical="center"/>
    </xf>
    <xf numFmtId="1" fontId="32" fillId="8" borderId="108" xfId="0" applyNumberFormat="1" applyFont="1" applyFill="1" applyBorder="1" applyAlignment="1">
      <alignment vertical="center"/>
    </xf>
    <xf numFmtId="164" fontId="20" fillId="0" borderId="52" xfId="0" quotePrefix="1" applyNumberFormat="1" applyFont="1" applyBorder="1" applyAlignment="1">
      <alignment horizontal="left" vertical="center"/>
    </xf>
    <xf numFmtId="164" fontId="20" fillId="0" borderId="30" xfId="0" quotePrefix="1" applyNumberFormat="1" applyFont="1" applyBorder="1" applyAlignment="1">
      <alignment horizontal="left" vertical="center"/>
    </xf>
    <xf numFmtId="164" fontId="20" fillId="0" borderId="44" xfId="0" quotePrefix="1" applyNumberFormat="1" applyFont="1" applyBorder="1" applyAlignment="1">
      <alignment horizontal="left" vertical="center"/>
    </xf>
    <xf numFmtId="164" fontId="20" fillId="0" borderId="41" xfId="0" quotePrefix="1" applyNumberFormat="1" applyFont="1" applyBorder="1" applyAlignment="1">
      <alignment horizontal="left" vertical="center"/>
    </xf>
    <xf numFmtId="0" fontId="32" fillId="8" borderId="41" xfId="0" applyFont="1" applyFill="1" applyBorder="1" applyAlignment="1">
      <alignment horizontal="center" vertical="center"/>
    </xf>
    <xf numFmtId="164" fontId="20" fillId="0" borderId="106" xfId="0" quotePrefix="1" applyNumberFormat="1" applyFont="1" applyBorder="1" applyAlignment="1">
      <alignment horizontal="left" vertical="center"/>
    </xf>
    <xf numFmtId="0" fontId="32" fillId="8" borderId="106" xfId="0" applyFont="1" applyFill="1" applyBorder="1" applyAlignment="1">
      <alignment horizontal="center" vertical="center"/>
    </xf>
    <xf numFmtId="164" fontId="20" fillId="0" borderId="51" xfId="0" quotePrefix="1" applyNumberFormat="1" applyFont="1" applyBorder="1" applyAlignment="1">
      <alignment horizontal="left" vertical="center"/>
    </xf>
    <xf numFmtId="164" fontId="20" fillId="0" borderId="23" xfId="0" quotePrefix="1" applyNumberFormat="1" applyFont="1" applyBorder="1" applyAlignment="1">
      <alignment horizontal="left" vertical="center"/>
    </xf>
    <xf numFmtId="164" fontId="20" fillId="0" borderId="70" xfId="0" quotePrefix="1" applyNumberFormat="1" applyFont="1" applyBorder="1" applyAlignment="1">
      <alignment horizontal="left" vertical="center"/>
    </xf>
    <xf numFmtId="164" fontId="20" fillId="0" borderId="108" xfId="0" quotePrefix="1" applyNumberFormat="1" applyFont="1" applyBorder="1" applyAlignment="1">
      <alignment horizontal="left" vertical="center"/>
    </xf>
    <xf numFmtId="0" fontId="20" fillId="0" borderId="111" xfId="0" applyFont="1" applyBorder="1" applyAlignment="1">
      <alignment horizontal="center" vertical="center"/>
    </xf>
    <xf numFmtId="164" fontId="20" fillId="0" borderId="25" xfId="0" quotePrefix="1" applyNumberFormat="1" applyFont="1" applyBorder="1" applyAlignment="1">
      <alignment horizontal="left" vertical="center"/>
    </xf>
    <xf numFmtId="164" fontId="20" fillId="0" borderId="5" xfId="0" quotePrefix="1" applyNumberFormat="1" applyFont="1" applyBorder="1" applyAlignment="1">
      <alignment horizontal="left" vertical="center"/>
    </xf>
    <xf numFmtId="0" fontId="20" fillId="0" borderId="67" xfId="0" applyFont="1" applyBorder="1" applyAlignment="1">
      <alignment horizontal="center" vertical="center"/>
    </xf>
    <xf numFmtId="1" fontId="20" fillId="0" borderId="5" xfId="0" applyNumberFormat="1" applyFont="1" applyBorder="1" applyAlignment="1">
      <alignment horizontal="center" vertical="center"/>
    </xf>
    <xf numFmtId="1" fontId="20" fillId="8" borderId="5" xfId="0" applyNumberFormat="1" applyFont="1" applyFill="1" applyBorder="1" applyAlignment="1">
      <alignment horizontal="center" vertical="center"/>
    </xf>
    <xf numFmtId="1" fontId="20" fillId="7" borderId="5" xfId="0" applyNumberFormat="1" applyFont="1" applyFill="1" applyBorder="1" applyAlignment="1">
      <alignment horizontal="center" vertical="center"/>
    </xf>
    <xf numFmtId="164" fontId="37" fillId="8" borderId="52" xfId="0" quotePrefix="1" applyNumberFormat="1" applyFont="1" applyFill="1" applyBorder="1" applyAlignment="1">
      <alignment horizontal="left" vertical="center"/>
    </xf>
    <xf numFmtId="164" fontId="20" fillId="8" borderId="7" xfId="0" quotePrefix="1" applyNumberFormat="1" applyFont="1" applyFill="1" applyBorder="1" applyAlignment="1">
      <alignment horizontal="left" vertical="center"/>
    </xf>
    <xf numFmtId="0" fontId="20" fillId="8" borderId="48" xfId="0" applyFont="1" applyFill="1" applyBorder="1" applyAlignment="1">
      <alignment horizontal="center" vertical="center"/>
    </xf>
    <xf numFmtId="164" fontId="20" fillId="0" borderId="57" xfId="0" quotePrefix="1" applyNumberFormat="1" applyFont="1" applyBorder="1" applyAlignment="1">
      <alignment horizontal="left" vertical="center"/>
    </xf>
    <xf numFmtId="164" fontId="20" fillId="0" borderId="14" xfId="0" quotePrefix="1" applyNumberFormat="1" applyFont="1" applyBorder="1" applyAlignment="1">
      <alignment horizontal="left" vertical="center"/>
    </xf>
    <xf numFmtId="1" fontId="20" fillId="8" borderId="14" xfId="0" applyNumberFormat="1" applyFont="1" applyFill="1" applyBorder="1" applyAlignment="1">
      <alignment horizontal="center" vertical="center"/>
    </xf>
    <xf numFmtId="1" fontId="20" fillId="7" borderId="14" xfId="0" applyNumberFormat="1" applyFont="1" applyFill="1" applyBorder="1" applyAlignment="1">
      <alignment horizontal="center" vertical="center"/>
    </xf>
    <xf numFmtId="164" fontId="18" fillId="8" borderId="76" xfId="0" applyNumberFormat="1" applyFont="1" applyFill="1" applyBorder="1" applyAlignment="1">
      <alignment horizontal="right" vertical="center"/>
    </xf>
    <xf numFmtId="1" fontId="21" fillId="7" borderId="30" xfId="0" applyNumberFormat="1" applyFont="1" applyFill="1" applyBorder="1" applyAlignment="1">
      <alignment horizontal="center" vertical="center"/>
    </xf>
    <xf numFmtId="2" fontId="18" fillId="7" borderId="5" xfId="0" applyNumberFormat="1" applyFont="1" applyFill="1" applyBorder="1" applyAlignment="1">
      <alignment horizontal="center" vertical="center"/>
    </xf>
    <xf numFmtId="2" fontId="18" fillId="7" borderId="11" xfId="0" applyNumberFormat="1" applyFont="1" applyFill="1" applyBorder="1" applyAlignment="1">
      <alignment horizontal="center" vertical="center"/>
    </xf>
    <xf numFmtId="164" fontId="18" fillId="8" borderId="74" xfId="0" applyNumberFormat="1" applyFont="1" applyFill="1" applyBorder="1" applyAlignment="1">
      <alignment horizontal="right" vertical="center"/>
    </xf>
    <xf numFmtId="164" fontId="19" fillId="8" borderId="39" xfId="0" applyNumberFormat="1" applyFont="1" applyFill="1" applyBorder="1" applyAlignment="1">
      <alignment horizontal="right" vertical="center"/>
    </xf>
    <xf numFmtId="0" fontId="19" fillId="8" borderId="82" xfId="0" applyFont="1" applyFill="1" applyBorder="1" applyAlignment="1">
      <alignment horizontal="center" vertical="center"/>
    </xf>
    <xf numFmtId="1" fontId="19" fillId="8" borderId="108" xfId="0" applyNumberFormat="1" applyFont="1" applyFill="1" applyBorder="1" applyAlignment="1">
      <alignment horizontal="center" vertical="center"/>
    </xf>
    <xf numFmtId="164" fontId="19" fillId="8" borderId="74" xfId="0" applyNumberFormat="1" applyFont="1" applyFill="1" applyBorder="1" applyAlignment="1">
      <alignment horizontal="right" vertical="center"/>
    </xf>
    <xf numFmtId="164" fontId="19" fillId="8" borderId="74" xfId="0" applyNumberFormat="1" applyFont="1" applyFill="1" applyBorder="1" applyAlignment="1">
      <alignment horizontal="center" vertical="center"/>
    </xf>
    <xf numFmtId="1" fontId="19" fillId="8" borderId="46" xfId="0" applyNumberFormat="1" applyFont="1" applyFill="1" applyBorder="1" applyAlignment="1">
      <alignment horizontal="center" vertical="center"/>
    </xf>
    <xf numFmtId="167" fontId="19" fillId="8" borderId="46" xfId="0" applyNumberFormat="1" applyFont="1" applyFill="1" applyBorder="1" applyAlignment="1">
      <alignment horizontal="center" vertical="center"/>
    </xf>
    <xf numFmtId="167" fontId="19" fillId="7" borderId="46" xfId="0" applyNumberFormat="1" applyFont="1" applyFill="1" applyBorder="1" applyAlignment="1">
      <alignment horizontal="center" vertical="center"/>
    </xf>
    <xf numFmtId="2" fontId="18" fillId="8" borderId="31" xfId="0" applyNumberFormat="1" applyFont="1" applyFill="1" applyBorder="1" applyAlignment="1">
      <alignment horizontal="center" vertical="center"/>
    </xf>
    <xf numFmtId="2" fontId="18" fillId="7" borderId="29" xfId="0" applyNumberFormat="1" applyFont="1" applyFill="1" applyBorder="1" applyAlignment="1">
      <alignment horizontal="center" vertical="center"/>
    </xf>
    <xf numFmtId="2" fontId="18" fillId="7" borderId="37" xfId="0" applyNumberFormat="1" applyFont="1" applyFill="1" applyBorder="1" applyAlignment="1">
      <alignment horizontal="center" vertical="center"/>
    </xf>
    <xf numFmtId="1" fontId="19" fillId="7" borderId="29" xfId="0" applyNumberFormat="1" applyFont="1" applyFill="1" applyBorder="1" applyAlignment="1">
      <alignment horizontal="center" vertical="center"/>
    </xf>
    <xf numFmtId="167" fontId="19" fillId="7" borderId="37" xfId="0" applyNumberFormat="1" applyFont="1" applyFill="1" applyBorder="1" applyAlignment="1">
      <alignment horizontal="center" vertical="center"/>
    </xf>
    <xf numFmtId="0" fontId="18" fillId="0" borderId="38" xfId="0" applyFont="1" applyBorder="1" applyAlignment="1">
      <alignment vertical="center"/>
    </xf>
    <xf numFmtId="0" fontId="18" fillId="0" borderId="64" xfId="0" applyFont="1" applyBorder="1" applyAlignment="1">
      <alignment vertical="center"/>
    </xf>
    <xf numFmtId="0" fontId="18" fillId="0" borderId="40" xfId="0" applyFont="1" applyBorder="1" applyAlignment="1">
      <alignment horizontal="center" vertical="center"/>
    </xf>
    <xf numFmtId="1" fontId="18" fillId="0" borderId="74" xfId="0" applyNumberFormat="1" applyFont="1" applyBorder="1" applyAlignment="1">
      <alignment horizontal="center" vertical="center"/>
    </xf>
    <xf numFmtId="1" fontId="18" fillId="7" borderId="64" xfId="0" applyNumberFormat="1" applyFont="1" applyFill="1" applyBorder="1" applyAlignment="1">
      <alignment horizontal="center" vertical="center"/>
    </xf>
    <xf numFmtId="164" fontId="20" fillId="0" borderId="22" xfId="0" quotePrefix="1" applyNumberFormat="1" applyFont="1" applyBorder="1" applyAlignment="1">
      <alignment horizontal="left" vertical="center"/>
    </xf>
    <xf numFmtId="172" fontId="20" fillId="0" borderId="48" xfId="0" quotePrefix="1" applyNumberFormat="1" applyFont="1" applyBorder="1" applyAlignment="1">
      <alignment horizontal="center" vertical="center"/>
    </xf>
    <xf numFmtId="1" fontId="20" fillId="0" borderId="34" xfId="0" applyNumberFormat="1" applyFont="1" applyBorder="1" applyAlignment="1">
      <alignment vertical="center"/>
    </xf>
    <xf numFmtId="1" fontId="20" fillId="7" borderId="8" xfId="0" applyNumberFormat="1" applyFont="1" applyFill="1" applyBorder="1" applyAlignment="1">
      <alignment vertical="center"/>
    </xf>
    <xf numFmtId="164" fontId="20" fillId="0" borderId="18" xfId="0" quotePrefix="1" applyNumberFormat="1" applyFont="1" applyBorder="1" applyAlignment="1">
      <alignment horizontal="left" vertical="center"/>
    </xf>
    <xf numFmtId="164" fontId="20" fillId="0" borderId="84" xfId="0" quotePrefix="1" applyNumberFormat="1" applyFont="1" applyBorder="1" applyAlignment="1">
      <alignment horizontal="left" vertical="center"/>
    </xf>
    <xf numFmtId="172" fontId="20" fillId="0" borderId="66" xfId="0" quotePrefix="1" applyNumberFormat="1" applyFont="1" applyBorder="1" applyAlignment="1">
      <alignment horizontal="center" vertical="center"/>
    </xf>
    <xf numFmtId="1" fontId="20" fillId="0" borderId="63" xfId="0" applyNumberFormat="1" applyFont="1" applyBorder="1" applyAlignment="1">
      <alignment vertical="center"/>
    </xf>
    <xf numFmtId="1" fontId="20" fillId="7" borderId="3" xfId="0" applyNumberFormat="1" applyFont="1" applyFill="1" applyBorder="1" applyAlignment="1">
      <alignment vertical="center"/>
    </xf>
    <xf numFmtId="164" fontId="20" fillId="0" borderId="20" xfId="0" quotePrefix="1" applyNumberFormat="1" applyFont="1" applyBorder="1" applyAlignment="1">
      <alignment horizontal="left" vertical="center"/>
    </xf>
    <xf numFmtId="164" fontId="20" fillId="0" borderId="59" xfId="0" quotePrefix="1" applyNumberFormat="1" applyFont="1" applyBorder="1" applyAlignment="1">
      <alignment horizontal="left" vertical="center"/>
    </xf>
    <xf numFmtId="172" fontId="20" fillId="0" borderId="68" xfId="0" quotePrefix="1" applyNumberFormat="1" applyFont="1" applyBorder="1" applyAlignment="1">
      <alignment horizontal="center" vertical="center"/>
    </xf>
    <xf numFmtId="1" fontId="20" fillId="0" borderId="32" xfId="0" applyNumberFormat="1" applyFont="1" applyBorder="1" applyAlignment="1">
      <alignment vertical="center"/>
    </xf>
    <xf numFmtId="1" fontId="20" fillId="7" borderId="59" xfId="0" applyNumberFormat="1" applyFont="1" applyFill="1" applyBorder="1" applyAlignment="1">
      <alignment vertical="center"/>
    </xf>
    <xf numFmtId="172" fontId="20" fillId="0" borderId="111" xfId="0" quotePrefix="1" applyNumberFormat="1" applyFont="1" applyBorder="1" applyAlignment="1">
      <alignment horizontal="center" vertical="center"/>
    </xf>
    <xf numFmtId="172" fontId="20" fillId="0" borderId="83" xfId="0" quotePrefix="1" applyNumberFormat="1" applyFont="1" applyBorder="1" applyAlignment="1">
      <alignment horizontal="center" vertical="center"/>
    </xf>
    <xf numFmtId="164" fontId="20" fillId="0" borderId="13" xfId="0" quotePrefix="1" applyNumberFormat="1" applyFont="1" applyBorder="1" applyAlignment="1">
      <alignment horizontal="left" vertical="center"/>
    </xf>
    <xf numFmtId="164" fontId="20" fillId="0" borderId="4" xfId="0" quotePrefix="1" applyNumberFormat="1" applyFont="1" applyBorder="1" applyAlignment="1">
      <alignment horizontal="left" vertical="center"/>
    </xf>
    <xf numFmtId="172" fontId="20" fillId="0" borderId="67" xfId="0" quotePrefix="1" applyNumberFormat="1" applyFont="1" applyBorder="1" applyAlignment="1">
      <alignment horizontal="center" vertical="center"/>
    </xf>
    <xf numFmtId="0" fontId="20" fillId="0" borderId="13" xfId="0" applyFont="1" applyBorder="1" applyAlignment="1">
      <alignment horizontal="center" vertical="center"/>
    </xf>
    <xf numFmtId="1" fontId="20" fillId="0" borderId="1" xfId="0" applyNumberFormat="1" applyFont="1" applyBorder="1" applyAlignment="1">
      <alignment vertical="center"/>
    </xf>
    <xf numFmtId="1" fontId="20" fillId="7" borderId="4" xfId="0" applyNumberFormat="1" applyFont="1" applyFill="1" applyBorder="1" applyAlignment="1">
      <alignment vertical="center"/>
    </xf>
    <xf numFmtId="0" fontId="19" fillId="8" borderId="16" xfId="0" applyFont="1" applyFill="1" applyBorder="1" applyAlignment="1">
      <alignment horizontal="center" vertical="center"/>
    </xf>
    <xf numFmtId="1" fontId="19" fillId="8" borderId="34" xfId="0" applyNumberFormat="1" applyFont="1" applyFill="1" applyBorder="1" applyAlignment="1">
      <alignment horizontal="center" vertical="center"/>
    </xf>
    <xf numFmtId="1" fontId="19" fillId="8" borderId="53" xfId="0" applyNumberFormat="1" applyFont="1" applyFill="1" applyBorder="1" applyAlignment="1">
      <alignment horizontal="center" vertical="center"/>
    </xf>
    <xf numFmtId="1" fontId="19" fillId="7" borderId="8" xfId="0" applyNumberFormat="1" applyFont="1" applyFill="1" applyBorder="1" applyAlignment="1">
      <alignment horizontal="center" vertical="center"/>
    </xf>
    <xf numFmtId="1" fontId="19" fillId="7" borderId="48" xfId="0" applyNumberFormat="1" applyFont="1" applyFill="1" applyBorder="1" applyAlignment="1">
      <alignment horizontal="center" vertical="center"/>
    </xf>
    <xf numFmtId="164" fontId="37" fillId="0" borderId="18" xfId="0" quotePrefix="1" applyNumberFormat="1" applyFont="1" applyBorder="1" applyAlignment="1">
      <alignment horizontal="left" vertical="center"/>
    </xf>
    <xf numFmtId="164" fontId="37" fillId="0" borderId="3" xfId="0" quotePrefix="1" applyNumberFormat="1" applyFont="1" applyBorder="1" applyAlignment="1">
      <alignment horizontal="left" vertical="center"/>
    </xf>
    <xf numFmtId="172" fontId="37" fillId="0" borderId="66" xfId="0" quotePrefix="1" applyNumberFormat="1" applyFont="1" applyBorder="1" applyAlignment="1">
      <alignment horizontal="center" vertical="center"/>
    </xf>
    <xf numFmtId="0" fontId="37" fillId="0" borderId="18" xfId="0" applyFont="1" applyBorder="1" applyAlignment="1">
      <alignment horizontal="center" vertical="center"/>
    </xf>
    <xf numFmtId="1" fontId="21" fillId="0" borderId="63" xfId="0" applyNumberFormat="1" applyFont="1" applyBorder="1" applyAlignment="1">
      <alignment vertical="center"/>
    </xf>
    <xf numFmtId="1" fontId="21" fillId="7" borderId="3" xfId="0" applyNumberFormat="1" applyFont="1" applyFill="1" applyBorder="1" applyAlignment="1">
      <alignment vertical="center"/>
    </xf>
    <xf numFmtId="172" fontId="37" fillId="0" borderId="107" xfId="0" quotePrefix="1" applyNumberFormat="1" applyFont="1" applyBorder="1" applyAlignment="1">
      <alignment horizontal="center" vertical="center"/>
    </xf>
    <xf numFmtId="0" fontId="79" fillId="0" borderId="0" xfId="186" applyFont="1"/>
    <xf numFmtId="0" fontId="79" fillId="0" borderId="0" xfId="186" applyFont="1" applyAlignment="1">
      <alignment horizontal="left" vertical="top"/>
    </xf>
    <xf numFmtId="0" fontId="18" fillId="0" borderId="74" xfId="0" applyFont="1" applyBorder="1" applyAlignment="1">
      <alignment horizontal="center" vertical="center"/>
    </xf>
    <xf numFmtId="0" fontId="18" fillId="0" borderId="109" xfId="0" applyFont="1" applyBorder="1" applyAlignment="1">
      <alignment horizontal="center" vertical="center"/>
    </xf>
    <xf numFmtId="0" fontId="18" fillId="0" borderId="72" xfId="0" applyFont="1" applyBorder="1" applyAlignment="1">
      <alignment horizontal="center" vertical="center"/>
    </xf>
    <xf numFmtId="0" fontId="18" fillId="7" borderId="62" xfId="0" applyFont="1" applyFill="1" applyBorder="1" applyAlignment="1">
      <alignment horizontal="center" vertical="center"/>
    </xf>
    <xf numFmtId="0" fontId="18" fillId="7" borderId="72" xfId="0" applyFont="1" applyFill="1" applyBorder="1" applyAlignment="1">
      <alignment horizontal="center" vertical="center"/>
    </xf>
    <xf numFmtId="0" fontId="18" fillId="8" borderId="62" xfId="0" applyFont="1" applyFill="1" applyBorder="1" applyAlignment="1">
      <alignment horizontal="center" vertical="center"/>
    </xf>
    <xf numFmtId="0" fontId="18" fillId="8" borderId="72" xfId="0" applyFont="1" applyFill="1" applyBorder="1" applyAlignment="1">
      <alignment horizontal="center" vertical="center"/>
    </xf>
    <xf numFmtId="0" fontId="18" fillId="5" borderId="62" xfId="0" applyFont="1" applyFill="1" applyBorder="1" applyAlignment="1">
      <alignment horizontal="center" vertical="center"/>
    </xf>
    <xf numFmtId="0" fontId="18" fillId="5" borderId="72" xfId="0" applyFont="1" applyFill="1" applyBorder="1" applyAlignment="1">
      <alignment horizontal="center" vertical="center"/>
    </xf>
    <xf numFmtId="0" fontId="18" fillId="0" borderId="62" xfId="0" applyFont="1" applyBorder="1" applyAlignment="1">
      <alignment horizontal="center" vertical="center"/>
    </xf>
    <xf numFmtId="0" fontId="18" fillId="0" borderId="29" xfId="0" applyFont="1" applyBorder="1" applyAlignment="1">
      <alignment horizontal="center" vertical="center"/>
    </xf>
    <xf numFmtId="0" fontId="18" fillId="5" borderId="10" xfId="0" applyFont="1" applyFill="1" applyBorder="1" applyAlignment="1">
      <alignment horizontal="center" vertical="center"/>
    </xf>
    <xf numFmtId="0" fontId="18" fillId="6" borderId="10" xfId="0" applyFont="1" applyFill="1" applyBorder="1" applyAlignment="1">
      <alignment horizontal="center" vertical="center"/>
    </xf>
    <xf numFmtId="1" fontId="79" fillId="0" borderId="0" xfId="186" applyNumberFormat="1" applyFont="1"/>
    <xf numFmtId="1" fontId="54" fillId="0" borderId="0" xfId="0" applyNumberFormat="1" applyFont="1"/>
    <xf numFmtId="0" fontId="79" fillId="0" borderId="0" xfId="186" applyFont="1" applyAlignment="1">
      <alignment horizontal="left" vertical="center"/>
    </xf>
    <xf numFmtId="17" fontId="30" fillId="34" borderId="13" xfId="186" applyNumberFormat="1" applyFont="1" applyFill="1" applyBorder="1" applyAlignment="1">
      <alignment horizontal="left" vertical="center"/>
    </xf>
    <xf numFmtId="17" fontId="30" fillId="34" borderId="55" xfId="186" applyNumberFormat="1" applyFont="1" applyFill="1" applyBorder="1" applyAlignment="1">
      <alignment horizontal="left" vertical="center"/>
    </xf>
    <xf numFmtId="1" fontId="78" fillId="34" borderId="4" xfId="186" applyNumberFormat="1" applyFont="1" applyFill="1" applyBorder="1" applyAlignment="1">
      <alignment horizontal="center" vertical="center"/>
    </xf>
    <xf numFmtId="17" fontId="18" fillId="42" borderId="43" xfId="186" applyNumberFormat="1" applyFont="1" applyFill="1" applyBorder="1" applyAlignment="1">
      <alignment horizontal="left" vertical="center"/>
    </xf>
    <xf numFmtId="17" fontId="18" fillId="42" borderId="39" xfId="186" applyNumberFormat="1" applyFont="1" applyFill="1" applyBorder="1" applyAlignment="1">
      <alignment horizontal="left" vertical="center"/>
    </xf>
    <xf numFmtId="17" fontId="18" fillId="42" borderId="13" xfId="186" applyNumberFormat="1" applyFont="1" applyFill="1" applyBorder="1" applyAlignment="1">
      <alignment horizontal="left" vertical="center"/>
    </xf>
    <xf numFmtId="17" fontId="18" fillId="42" borderId="55" xfId="186" applyNumberFormat="1" applyFont="1" applyFill="1" applyBorder="1" applyAlignment="1">
      <alignment horizontal="left" vertical="center"/>
    </xf>
    <xf numFmtId="0" fontId="78" fillId="0" borderId="31" xfId="186" applyFont="1" applyBorder="1" applyAlignment="1">
      <alignment horizontal="left" vertical="center"/>
    </xf>
    <xf numFmtId="0" fontId="78" fillId="0" borderId="106" xfId="186" applyFont="1" applyBorder="1" applyAlignment="1">
      <alignment horizontal="left" vertical="center"/>
    </xf>
    <xf numFmtId="0" fontId="18" fillId="0" borderId="108" xfId="0" applyFont="1" applyBorder="1" applyAlignment="1">
      <alignment horizontal="center" vertical="center"/>
    </xf>
    <xf numFmtId="0" fontId="18" fillId="5" borderId="108" xfId="0" applyFont="1" applyFill="1" applyBorder="1" applyAlignment="1">
      <alignment horizontal="center" vertical="center"/>
    </xf>
    <xf numFmtId="0" fontId="18" fillId="6" borderId="108" xfId="0" applyFont="1" applyFill="1" applyBorder="1" applyAlignment="1">
      <alignment horizontal="center" vertical="center"/>
    </xf>
    <xf numFmtId="0" fontId="78" fillId="42" borderId="84" xfId="186" applyFont="1" applyFill="1" applyBorder="1" applyAlignment="1">
      <alignment horizontal="center" vertical="center"/>
    </xf>
    <xf numFmtId="0" fontId="78" fillId="42" borderId="79" xfId="186" applyFont="1" applyFill="1" applyBorder="1" applyAlignment="1">
      <alignment horizontal="center" vertical="center"/>
    </xf>
    <xf numFmtId="0" fontId="78" fillId="42" borderId="83" xfId="186" applyFont="1" applyFill="1" applyBorder="1" applyAlignment="1">
      <alignment horizontal="center" vertical="center"/>
    </xf>
    <xf numFmtId="0" fontId="78" fillId="42" borderId="82" xfId="186" applyFont="1" applyFill="1" applyBorder="1" applyAlignment="1">
      <alignment horizontal="center" vertical="center"/>
    </xf>
    <xf numFmtId="0" fontId="78" fillId="42" borderId="39" xfId="186" applyFont="1" applyFill="1" applyBorder="1" applyAlignment="1">
      <alignment horizontal="center" vertical="center"/>
    </xf>
    <xf numFmtId="0" fontId="79" fillId="42" borderId="39" xfId="186" applyFont="1" applyFill="1" applyBorder="1" applyAlignment="1">
      <alignment horizontal="left" vertical="top"/>
    </xf>
    <xf numFmtId="0" fontId="79" fillId="42" borderId="56" xfId="186" applyFont="1" applyFill="1" applyBorder="1" applyAlignment="1">
      <alignment horizontal="left" vertical="top"/>
    </xf>
    <xf numFmtId="0" fontId="4" fillId="0" borderId="31" xfId="0" applyFont="1" applyBorder="1" applyAlignment="1">
      <alignment horizontal="left" vertical="center"/>
    </xf>
    <xf numFmtId="1" fontId="20" fillId="8" borderId="7" xfId="0" applyNumberFormat="1" applyFont="1" applyFill="1" applyBorder="1" applyAlignment="1">
      <alignment horizontal="center" vertical="center"/>
    </xf>
    <xf numFmtId="0" fontId="3" fillId="0" borderId="52" xfId="0" applyFont="1" applyBorder="1"/>
    <xf numFmtId="0" fontId="3" fillId="0" borderId="50" xfId="0" applyFont="1" applyBorder="1"/>
    <xf numFmtId="0" fontId="20" fillId="7" borderId="42" xfId="0" applyFont="1" applyFill="1" applyBorder="1" applyAlignment="1">
      <alignment horizontal="center" vertical="center"/>
    </xf>
    <xf numFmtId="2" fontId="20" fillId="0" borderId="72" xfId="0" applyNumberFormat="1" applyFont="1" applyBorder="1" applyAlignment="1">
      <alignment horizontal="center" vertical="center"/>
    </xf>
    <xf numFmtId="0" fontId="42" fillId="0" borderId="0" xfId="0" applyFont="1" applyAlignment="1">
      <alignment vertical="center"/>
    </xf>
    <xf numFmtId="0" fontId="4" fillId="0" borderId="70" xfId="0" applyFont="1" applyBorder="1" applyAlignment="1">
      <alignment vertical="center"/>
    </xf>
    <xf numFmtId="0" fontId="4" fillId="0" borderId="112" xfId="0" applyFont="1" applyBorder="1" applyAlignment="1">
      <alignment vertical="center"/>
    </xf>
    <xf numFmtId="0" fontId="19" fillId="0" borderId="63" xfId="0" applyFont="1" applyBorder="1" applyAlignment="1">
      <alignment vertical="center"/>
    </xf>
    <xf numFmtId="0" fontId="4" fillId="0" borderId="63" xfId="0" applyFont="1" applyBorder="1" applyAlignment="1">
      <alignment vertical="center"/>
    </xf>
    <xf numFmtId="0" fontId="29" fillId="0" borderId="44" xfId="0" applyFont="1" applyBorder="1" applyAlignment="1">
      <alignment vertical="center"/>
    </xf>
    <xf numFmtId="0" fontId="20" fillId="0" borderId="62" xfId="0" applyFont="1" applyBorder="1" applyAlignment="1">
      <alignment horizontal="right" vertical="center"/>
    </xf>
    <xf numFmtId="1" fontId="18" fillId="7" borderId="42" xfId="0" applyNumberFormat="1" applyFont="1" applyFill="1" applyBorder="1" applyAlignment="1">
      <alignment horizontal="center" vertical="center"/>
    </xf>
    <xf numFmtId="0" fontId="18" fillId="0" borderId="1" xfId="0" applyFont="1" applyBorder="1" applyAlignment="1">
      <alignment horizontal="right" vertical="center"/>
    </xf>
    <xf numFmtId="0" fontId="19" fillId="0" borderId="31" xfId="0" applyFont="1" applyBorder="1" applyAlignment="1">
      <alignment vertical="center"/>
    </xf>
    <xf numFmtId="167" fontId="20" fillId="7" borderId="106" xfId="0" applyNumberFormat="1" applyFont="1" applyFill="1" applyBorder="1" applyAlignment="1">
      <alignment horizontal="center" vertical="center"/>
    </xf>
    <xf numFmtId="0" fontId="19" fillId="0" borderId="62" xfId="0" applyFont="1" applyBorder="1" applyAlignment="1">
      <alignment vertical="center"/>
    </xf>
    <xf numFmtId="0" fontId="19" fillId="0" borderId="111" xfId="0" applyFont="1" applyBorder="1" applyAlignment="1">
      <alignment horizontal="center" vertical="center"/>
    </xf>
    <xf numFmtId="0" fontId="4" fillId="0" borderId="1" xfId="0" applyFont="1" applyBorder="1" applyAlignment="1">
      <alignment vertical="center"/>
    </xf>
    <xf numFmtId="167" fontId="4" fillId="7" borderId="73" xfId="0" applyNumberFormat="1" applyFont="1" applyFill="1" applyBorder="1" applyAlignment="1">
      <alignment horizontal="center" vertical="center"/>
    </xf>
    <xf numFmtId="0" fontId="19" fillId="0" borderId="34" xfId="0" applyFont="1" applyBorder="1" applyAlignment="1">
      <alignment vertical="center"/>
    </xf>
    <xf numFmtId="0" fontId="4" fillId="0" borderId="107" xfId="0" applyFont="1" applyBorder="1" applyAlignment="1">
      <alignment horizontal="center" vertical="center"/>
    </xf>
    <xf numFmtId="0" fontId="5" fillId="0" borderId="44" xfId="0" applyFont="1" applyBorder="1" applyAlignment="1">
      <alignment vertical="center"/>
    </xf>
    <xf numFmtId="167" fontId="20" fillId="7" borderId="108" xfId="0" applyNumberFormat="1" applyFont="1" applyFill="1" applyBorder="1" applyAlignment="1">
      <alignment horizontal="center" vertical="center"/>
    </xf>
    <xf numFmtId="0" fontId="20" fillId="0" borderId="34" xfId="0" applyFont="1" applyBorder="1" applyAlignment="1">
      <alignment vertical="center"/>
    </xf>
    <xf numFmtId="2" fontId="20" fillId="7" borderId="22" xfId="0" applyNumberFormat="1" applyFont="1" applyFill="1" applyBorder="1" applyAlignment="1">
      <alignment horizontal="center" vertical="center"/>
    </xf>
    <xf numFmtId="2" fontId="20" fillId="0" borderId="31" xfId="0" applyNumberFormat="1" applyFont="1" applyBorder="1" applyAlignment="1">
      <alignment horizontal="left" vertical="center"/>
    </xf>
    <xf numFmtId="169" fontId="20" fillId="7" borderId="106" xfId="0" applyNumberFormat="1" applyFont="1" applyFill="1" applyBorder="1" applyAlignment="1">
      <alignment horizontal="center" vertical="center"/>
    </xf>
    <xf numFmtId="0" fontId="20" fillId="7" borderId="17" xfId="0" applyFont="1" applyFill="1" applyBorder="1" applyAlignment="1">
      <alignment horizontal="center" vertical="center"/>
    </xf>
    <xf numFmtId="0" fontId="20" fillId="8" borderId="31" xfId="0" applyFont="1" applyFill="1" applyBorder="1" applyAlignment="1">
      <alignment vertical="center"/>
    </xf>
    <xf numFmtId="167" fontId="20" fillId="8" borderId="9" xfId="0" applyNumberFormat="1" applyFont="1" applyFill="1" applyBorder="1" applyAlignment="1">
      <alignment vertical="center"/>
    </xf>
    <xf numFmtId="0" fontId="20" fillId="7" borderId="33" xfId="0" applyFont="1" applyFill="1" applyBorder="1" applyAlignment="1">
      <alignment horizontal="center" vertical="center"/>
    </xf>
    <xf numFmtId="2" fontId="18" fillId="8" borderId="32" xfId="0" quotePrefix="1" applyNumberFormat="1" applyFont="1" applyFill="1" applyBorder="1" applyAlignment="1">
      <alignment horizontal="center" vertical="center"/>
    </xf>
    <xf numFmtId="2" fontId="18" fillId="8" borderId="112" xfId="0" quotePrefix="1" applyNumberFormat="1" applyFont="1" applyFill="1" applyBorder="1" applyAlignment="1">
      <alignment horizontal="center" vertical="center"/>
    </xf>
    <xf numFmtId="2" fontId="18" fillId="7" borderId="51" xfId="0" quotePrefix="1" applyNumberFormat="1" applyFont="1" applyFill="1" applyBorder="1" applyAlignment="1">
      <alignment horizontal="center" vertical="center"/>
    </xf>
    <xf numFmtId="2" fontId="18" fillId="7" borderId="60" xfId="0" quotePrefix="1" applyNumberFormat="1" applyFont="1" applyFill="1" applyBorder="1" applyAlignment="1">
      <alignment horizontal="center" vertical="center"/>
    </xf>
    <xf numFmtId="2" fontId="7" fillId="8" borderId="33" xfId="0" applyNumberFormat="1" applyFont="1" applyFill="1" applyBorder="1" applyAlignment="1">
      <alignment horizontal="center" vertical="center"/>
    </xf>
    <xf numFmtId="2" fontId="7" fillId="8" borderId="32" xfId="0" applyNumberFormat="1" applyFont="1" applyFill="1" applyBorder="1" applyAlignment="1">
      <alignment horizontal="center" vertical="center"/>
    </xf>
    <xf numFmtId="2" fontId="7" fillId="8" borderId="29" xfId="0" applyNumberFormat="1" applyFont="1" applyFill="1" applyBorder="1"/>
    <xf numFmtId="2" fontId="7" fillId="8" borderId="17" xfId="0" applyNumberFormat="1" applyFont="1" applyFill="1" applyBorder="1"/>
    <xf numFmtId="2" fontId="7" fillId="7" borderId="69" xfId="0" applyNumberFormat="1" applyFont="1" applyFill="1" applyBorder="1" applyAlignment="1">
      <alignment horizontal="center" vertical="center"/>
    </xf>
    <xf numFmtId="2" fontId="7" fillId="7" borderId="28" xfId="0" applyNumberFormat="1" applyFont="1" applyFill="1" applyBorder="1" applyAlignment="1">
      <alignment horizontal="center" vertical="center"/>
    </xf>
    <xf numFmtId="0" fontId="32" fillId="8" borderId="63" xfId="0" applyFont="1" applyFill="1" applyBorder="1" applyAlignment="1">
      <alignment vertical="center"/>
    </xf>
    <xf numFmtId="0" fontId="105" fillId="8" borderId="42" xfId="0" applyFont="1" applyFill="1" applyBorder="1" applyAlignment="1">
      <alignment vertical="center"/>
    </xf>
    <xf numFmtId="0" fontId="105" fillId="8" borderId="63" xfId="0" applyFont="1" applyFill="1" applyBorder="1" applyAlignment="1">
      <alignment vertical="center"/>
    </xf>
    <xf numFmtId="0" fontId="105" fillId="7" borderId="63" xfId="0" applyFont="1" applyFill="1" applyBorder="1" applyAlignment="1">
      <alignment vertical="center"/>
    </xf>
    <xf numFmtId="0" fontId="105" fillId="7" borderId="42" xfId="0" applyFont="1" applyFill="1" applyBorder="1" applyAlignment="1">
      <alignment vertical="center"/>
    </xf>
    <xf numFmtId="0" fontId="112" fillId="8" borderId="32" xfId="0" applyFont="1" applyFill="1" applyBorder="1" applyAlignment="1">
      <alignment horizontal="right" wrapText="1" indent="1"/>
    </xf>
    <xf numFmtId="1" fontId="19" fillId="8" borderId="33" xfId="0" applyNumberFormat="1" applyFont="1" applyFill="1" applyBorder="1" applyAlignment="1">
      <alignment horizontal="center" vertical="center"/>
    </xf>
    <xf numFmtId="1" fontId="19" fillId="7" borderId="33" xfId="0" applyNumberFormat="1" applyFont="1" applyFill="1" applyBorder="1" applyAlignment="1">
      <alignment horizontal="center" vertical="center"/>
    </xf>
    <xf numFmtId="0" fontId="86" fillId="0" borderId="108" xfId="0" applyFont="1" applyBorder="1" applyAlignment="1">
      <alignment horizontal="left"/>
    </xf>
    <xf numFmtId="0" fontId="45" fillId="0" borderId="108" xfId="0" applyFont="1" applyBorder="1" applyAlignment="1">
      <alignment horizontal="center" vertical="center"/>
    </xf>
    <xf numFmtId="0" fontId="86" fillId="0" borderId="66" xfId="0" applyFont="1" applyBorder="1" applyAlignment="1">
      <alignment horizontal="center" vertical="center"/>
    </xf>
    <xf numFmtId="0" fontId="45" fillId="7" borderId="106" xfId="0" applyFont="1" applyFill="1" applyBorder="1" applyAlignment="1">
      <alignment horizontal="center" vertical="center"/>
    </xf>
    <xf numFmtId="0" fontId="86" fillId="0" borderId="107" xfId="0" applyFont="1" applyBorder="1" applyAlignment="1">
      <alignment horizontal="center" vertical="center"/>
    </xf>
    <xf numFmtId="0" fontId="86" fillId="0" borderId="106" xfId="0" applyFont="1" applyBorder="1" applyAlignment="1">
      <alignment horizontal="center" vertical="center"/>
    </xf>
    <xf numFmtId="1" fontId="86" fillId="0" borderId="106" xfId="0" applyNumberFormat="1" applyFont="1" applyBorder="1" applyAlignment="1">
      <alignment horizontal="center" vertical="center"/>
    </xf>
    <xf numFmtId="0" fontId="86" fillId="0" borderId="68" xfId="0" applyFont="1" applyBorder="1" applyAlignment="1">
      <alignment horizontal="center" vertical="center"/>
    </xf>
    <xf numFmtId="0" fontId="86" fillId="0" borderId="23" xfId="0" applyFont="1" applyBorder="1" applyAlignment="1">
      <alignment horizontal="center" vertical="center"/>
    </xf>
    <xf numFmtId="1" fontId="18" fillId="7" borderId="33" xfId="0" applyNumberFormat="1" applyFont="1" applyFill="1" applyBorder="1" applyAlignment="1">
      <alignment horizontal="center" vertical="center"/>
    </xf>
    <xf numFmtId="0" fontId="21" fillId="0" borderId="106" xfId="0" applyFont="1" applyBorder="1" applyAlignment="1">
      <alignment horizontal="center" vertical="center"/>
    </xf>
    <xf numFmtId="0" fontId="21" fillId="7" borderId="106" xfId="0" applyFont="1" applyFill="1" applyBorder="1" applyAlignment="1">
      <alignment horizontal="center" vertical="center"/>
    </xf>
    <xf numFmtId="0" fontId="18" fillId="7" borderId="106" xfId="0" applyFont="1" applyFill="1" applyBorder="1" applyAlignment="1">
      <alignment horizontal="center" vertical="center"/>
    </xf>
    <xf numFmtId="0" fontId="21" fillId="8" borderId="106" xfId="0" applyFont="1" applyFill="1" applyBorder="1" applyAlignment="1">
      <alignment horizontal="center" vertical="center"/>
    </xf>
    <xf numFmtId="0" fontId="21" fillId="8" borderId="82" xfId="0" applyFont="1" applyFill="1" applyBorder="1" applyAlignment="1">
      <alignment horizontal="center" vertical="center"/>
    </xf>
    <xf numFmtId="0" fontId="18" fillId="8" borderId="54" xfId="0" applyFont="1" applyFill="1" applyBorder="1" applyAlignment="1">
      <alignment horizontal="center" vertical="center"/>
    </xf>
    <xf numFmtId="1" fontId="15" fillId="7" borderId="10" xfId="0" applyNumberFormat="1" applyFont="1" applyFill="1" applyBorder="1" applyAlignment="1">
      <alignment horizontal="center" vertical="center"/>
    </xf>
    <xf numFmtId="167" fontId="19" fillId="8" borderId="106" xfId="0" applyNumberFormat="1" applyFont="1" applyFill="1" applyBorder="1" applyAlignment="1">
      <alignment horizontal="center" vertical="center"/>
    </xf>
    <xf numFmtId="167" fontId="19" fillId="0" borderId="106" xfId="0" applyNumberFormat="1" applyFont="1" applyBorder="1" applyAlignment="1">
      <alignment horizontal="center" vertical="center"/>
    </xf>
    <xf numFmtId="167" fontId="19" fillId="7" borderId="106" xfId="0" applyNumberFormat="1" applyFont="1" applyFill="1" applyBorder="1" applyAlignment="1">
      <alignment horizontal="center" vertical="center"/>
    </xf>
    <xf numFmtId="167" fontId="21" fillId="7" borderId="42" xfId="0" applyNumberFormat="1" applyFont="1" applyFill="1" applyBorder="1" applyAlignment="1">
      <alignment horizontal="center" vertical="center"/>
    </xf>
    <xf numFmtId="0" fontId="19" fillId="8" borderId="106" xfId="0" applyFont="1" applyFill="1" applyBorder="1" applyAlignment="1">
      <alignment horizontal="center" vertical="center"/>
    </xf>
    <xf numFmtId="0" fontId="18" fillId="8" borderId="44" xfId="0" applyFont="1" applyFill="1" applyBorder="1" applyAlignment="1">
      <alignment horizontal="left" indent="1"/>
    </xf>
    <xf numFmtId="1" fontId="20" fillId="8" borderId="110" xfId="0" applyNumberFormat="1" applyFont="1" applyFill="1" applyBorder="1" applyAlignment="1">
      <alignment horizontal="center" vertical="center"/>
    </xf>
    <xf numFmtId="1" fontId="20" fillId="8" borderId="112" xfId="0" applyNumberFormat="1" applyFont="1" applyFill="1" applyBorder="1" applyAlignment="1">
      <alignment horizontal="center" vertical="center"/>
    </xf>
    <xf numFmtId="1" fontId="18" fillId="7" borderId="82" xfId="0" applyNumberFormat="1" applyFont="1" applyFill="1" applyBorder="1" applyAlignment="1">
      <alignment horizontal="center" vertical="center"/>
    </xf>
    <xf numFmtId="167" fontId="20" fillId="0" borderId="108" xfId="0" applyNumberFormat="1" applyFont="1" applyBorder="1" applyAlignment="1">
      <alignment horizontal="center" vertical="center"/>
    </xf>
    <xf numFmtId="167" fontId="7" fillId="45" borderId="29" xfId="0" applyNumberFormat="1" applyFont="1" applyFill="1" applyBorder="1" applyAlignment="1">
      <alignment horizontal="center" vertical="center"/>
    </xf>
    <xf numFmtId="169" fontId="7" fillId="45" borderId="29" xfId="0" applyNumberFormat="1" applyFont="1" applyFill="1" applyBorder="1" applyAlignment="1">
      <alignment horizontal="center" vertical="center"/>
    </xf>
    <xf numFmtId="2" fontId="7" fillId="45" borderId="29" xfId="0" applyNumberFormat="1" applyFont="1" applyFill="1" applyBorder="1" applyAlignment="1">
      <alignment horizontal="center" vertical="center"/>
    </xf>
    <xf numFmtId="170" fontId="7" fillId="45" borderId="29" xfId="0" applyNumberFormat="1" applyFont="1" applyFill="1" applyBorder="1" applyAlignment="1">
      <alignment horizontal="center" vertical="center"/>
    </xf>
    <xf numFmtId="1" fontId="7" fillId="45" borderId="29" xfId="0" applyNumberFormat="1" applyFont="1" applyFill="1" applyBorder="1" applyAlignment="1">
      <alignment horizontal="center" vertical="center"/>
    </xf>
    <xf numFmtId="0" fontId="76" fillId="8" borderId="8" xfId="0" applyFont="1" applyFill="1" applyBorder="1" applyAlignment="1">
      <alignment horizontal="center" vertical="center"/>
    </xf>
    <xf numFmtId="0" fontId="76" fillId="8" borderId="29" xfId="0" applyFont="1" applyFill="1" applyBorder="1" applyAlignment="1">
      <alignment horizontal="center" vertical="center"/>
    </xf>
    <xf numFmtId="0" fontId="76" fillId="8" borderId="59" xfId="0" applyFont="1" applyFill="1" applyBorder="1" applyAlignment="1">
      <alignment horizontal="center" vertical="center"/>
    </xf>
    <xf numFmtId="0" fontId="46" fillId="8" borderId="63" xfId="0" applyFont="1" applyFill="1" applyBorder="1" applyAlignment="1">
      <alignment vertical="center"/>
    </xf>
    <xf numFmtId="0" fontId="46" fillId="8" borderId="41" xfId="0" applyFont="1" applyFill="1" applyBorder="1" applyAlignment="1">
      <alignment vertical="center"/>
    </xf>
    <xf numFmtId="0" fontId="46" fillId="8" borderId="41" xfId="0" applyFont="1" applyFill="1" applyBorder="1" applyAlignment="1">
      <alignment horizontal="center" vertical="center"/>
    </xf>
    <xf numFmtId="0" fontId="46" fillId="8" borderId="42" xfId="0" applyFont="1" applyFill="1" applyBorder="1" applyAlignment="1">
      <alignment vertical="center"/>
    </xf>
    <xf numFmtId="0" fontId="12" fillId="0" borderId="31" xfId="0" applyFont="1" applyBorder="1" applyAlignment="1">
      <alignment horizontal="right" vertical="center"/>
    </xf>
    <xf numFmtId="0" fontId="12" fillId="0" borderId="106" xfId="0" applyFont="1" applyBorder="1" applyAlignment="1">
      <alignment horizontal="center" vertical="center"/>
    </xf>
    <xf numFmtId="167" fontId="12" fillId="0" borderId="106" xfId="0" applyNumberFormat="1" applyFont="1" applyBorder="1" applyAlignment="1">
      <alignment horizontal="center" vertical="center"/>
    </xf>
    <xf numFmtId="167" fontId="12" fillId="7" borderId="106" xfId="0" applyNumberFormat="1" applyFont="1" applyFill="1" applyBorder="1" applyAlignment="1">
      <alignment horizontal="center" vertical="center"/>
    </xf>
    <xf numFmtId="167" fontId="12" fillId="7" borderId="17" xfId="0" applyNumberFormat="1" applyFont="1" applyFill="1" applyBorder="1" applyAlignment="1">
      <alignment horizontal="center" vertical="center"/>
    </xf>
    <xf numFmtId="2" fontId="12" fillId="7" borderId="17" xfId="0" applyNumberFormat="1" applyFont="1" applyFill="1" applyBorder="1" applyAlignment="1">
      <alignment horizontal="center" vertical="center"/>
    </xf>
    <xf numFmtId="0" fontId="12" fillId="7" borderId="17" xfId="0" applyFont="1" applyFill="1" applyBorder="1" applyAlignment="1">
      <alignment horizontal="center" vertical="center"/>
    </xf>
    <xf numFmtId="167" fontId="12" fillId="8" borderId="106" xfId="0" applyNumberFormat="1" applyFont="1" applyFill="1" applyBorder="1" applyAlignment="1">
      <alignment horizontal="center" vertical="center"/>
    </xf>
    <xf numFmtId="0" fontId="12" fillId="0" borderId="32" xfId="0" applyFont="1" applyBorder="1" applyAlignment="1">
      <alignment horizontal="right" vertical="center"/>
    </xf>
    <xf numFmtId="0" fontId="12" fillId="0" borderId="23" xfId="0" applyFont="1" applyBorder="1" applyAlignment="1">
      <alignment horizontal="center" vertical="center"/>
    </xf>
    <xf numFmtId="170" fontId="12" fillId="8" borderId="23" xfId="0" applyNumberFormat="1" applyFont="1" applyFill="1" applyBorder="1" applyAlignment="1">
      <alignment horizontal="center" vertical="center"/>
    </xf>
    <xf numFmtId="169" fontId="12" fillId="8" borderId="23" xfId="0" applyNumberFormat="1" applyFont="1" applyFill="1" applyBorder="1" applyAlignment="1">
      <alignment horizontal="center" vertical="center"/>
    </xf>
    <xf numFmtId="170" fontId="12" fillId="7" borderId="23" xfId="0" applyNumberFormat="1" applyFont="1" applyFill="1" applyBorder="1" applyAlignment="1">
      <alignment horizontal="center" vertical="center"/>
    </xf>
    <xf numFmtId="0" fontId="14" fillId="0" borderId="108" xfId="0" applyFont="1" applyBorder="1" applyAlignment="1">
      <alignment horizontal="center" vertical="center"/>
    </xf>
    <xf numFmtId="1" fontId="18" fillId="0" borderId="108" xfId="0" applyNumberFormat="1" applyFont="1" applyBorder="1" applyAlignment="1">
      <alignment horizontal="center" vertical="center"/>
    </xf>
    <xf numFmtId="0" fontId="14" fillId="7" borderId="108" xfId="0" applyFont="1" applyFill="1" applyBorder="1" applyAlignment="1">
      <alignment horizontal="center" vertical="center"/>
    </xf>
    <xf numFmtId="0" fontId="12" fillId="7" borderId="106" xfId="0" applyFont="1" applyFill="1" applyBorder="1" applyAlignment="1">
      <alignment horizontal="center" vertical="center"/>
    </xf>
    <xf numFmtId="1" fontId="12" fillId="7" borderId="17" xfId="0" applyNumberFormat="1" applyFont="1" applyFill="1" applyBorder="1" applyAlignment="1">
      <alignment horizontal="center" vertical="center"/>
    </xf>
    <xf numFmtId="167" fontId="12" fillId="0" borderId="23" xfId="0" applyNumberFormat="1" applyFont="1" applyBorder="1" applyAlignment="1">
      <alignment horizontal="center" vertical="center"/>
    </xf>
    <xf numFmtId="167" fontId="12" fillId="7" borderId="23" xfId="0" applyNumberFormat="1" applyFont="1" applyFill="1" applyBorder="1" applyAlignment="1">
      <alignment horizontal="center" vertical="center"/>
    </xf>
    <xf numFmtId="167" fontId="12" fillId="7" borderId="33" xfId="0" applyNumberFormat="1" applyFont="1" applyFill="1" applyBorder="1" applyAlignment="1">
      <alignment horizontal="center" vertical="center"/>
    </xf>
    <xf numFmtId="9" fontId="5" fillId="8" borderId="41" xfId="22" applyFont="1" applyFill="1" applyBorder="1" applyAlignment="1">
      <alignment vertical="center"/>
    </xf>
    <xf numFmtId="9" fontId="5" fillId="8" borderId="42" xfId="22" applyFont="1" applyFill="1" applyBorder="1" applyAlignment="1">
      <alignment vertical="center"/>
    </xf>
    <xf numFmtId="167" fontId="12" fillId="8" borderId="17" xfId="0" applyNumberFormat="1" applyFont="1" applyFill="1" applyBorder="1" applyAlignment="1">
      <alignment horizontal="center" vertical="center"/>
    </xf>
    <xf numFmtId="0" fontId="14" fillId="0" borderId="32" xfId="0" applyFont="1" applyBorder="1" applyAlignment="1">
      <alignment horizontal="right" vertical="center"/>
    </xf>
    <xf numFmtId="0" fontId="14" fillId="0" borderId="23" xfId="0" applyFont="1" applyBorder="1" applyAlignment="1">
      <alignment horizontal="center" vertical="center"/>
    </xf>
    <xf numFmtId="0" fontId="12" fillId="0" borderId="30" xfId="0" applyFont="1" applyBorder="1" applyAlignment="1">
      <alignment horizontal="right"/>
    </xf>
    <xf numFmtId="0" fontId="12" fillId="0" borderId="30" xfId="0" applyFont="1" applyBorder="1" applyAlignment="1">
      <alignment horizontal="center" vertical="center"/>
    </xf>
    <xf numFmtId="0" fontId="12" fillId="8" borderId="30" xfId="0" applyFont="1" applyFill="1" applyBorder="1" applyAlignment="1">
      <alignment horizontal="center" vertical="center"/>
    </xf>
    <xf numFmtId="0" fontId="12" fillId="7" borderId="30" xfId="0" applyFont="1" applyFill="1" applyBorder="1" applyAlignment="1">
      <alignment horizontal="center" vertical="center"/>
    </xf>
    <xf numFmtId="2" fontId="12" fillId="7" borderId="30" xfId="0" applyNumberFormat="1" applyFont="1" applyFill="1" applyBorder="1" applyAlignment="1">
      <alignment horizontal="center" vertical="center"/>
    </xf>
    <xf numFmtId="0" fontId="12" fillId="0" borderId="31" xfId="0" applyFont="1" applyBorder="1" applyAlignment="1">
      <alignment horizontal="right"/>
    </xf>
    <xf numFmtId="2" fontId="12" fillId="8" borderId="106" xfId="0" applyNumberFormat="1" applyFont="1" applyFill="1" applyBorder="1" applyAlignment="1">
      <alignment horizontal="center" vertical="center"/>
    </xf>
    <xf numFmtId="0" fontId="12" fillId="8" borderId="106" xfId="0" applyFont="1" applyFill="1" applyBorder="1" applyAlignment="1">
      <alignment horizontal="center" vertical="center"/>
    </xf>
    <xf numFmtId="0" fontId="12" fillId="0" borderId="32" xfId="0" applyFont="1" applyBorder="1" applyAlignment="1">
      <alignment horizontal="right"/>
    </xf>
    <xf numFmtId="167" fontId="12" fillId="8" borderId="23" xfId="0" applyNumberFormat="1" applyFont="1" applyFill="1" applyBorder="1" applyAlignment="1">
      <alignment horizontal="center" vertical="center"/>
    </xf>
    <xf numFmtId="0" fontId="12" fillId="8" borderId="23" xfId="0" applyFont="1" applyFill="1" applyBorder="1" applyAlignment="1">
      <alignment horizontal="center" vertical="center"/>
    </xf>
    <xf numFmtId="0" fontId="149" fillId="8" borderId="63" xfId="0" applyFont="1" applyFill="1" applyBorder="1" applyAlignment="1">
      <alignment horizontal="left" vertical="center"/>
    </xf>
    <xf numFmtId="0" fontId="20" fillId="0" borderId="34" xfId="0" applyFont="1" applyBorder="1" applyAlignment="1">
      <alignment horizontal="right" vertical="center"/>
    </xf>
    <xf numFmtId="1" fontId="20" fillId="50" borderId="30" xfId="0" applyNumberFormat="1" applyFont="1" applyFill="1" applyBorder="1" applyAlignment="1">
      <alignment horizontal="center" vertical="center"/>
    </xf>
    <xf numFmtId="1" fontId="20" fillId="50" borderId="5" xfId="0" applyNumberFormat="1" applyFont="1" applyFill="1" applyBorder="1" applyAlignment="1">
      <alignment horizontal="center" vertical="center"/>
    </xf>
    <xf numFmtId="0" fontId="21" fillId="8" borderId="34" xfId="0" applyFont="1" applyFill="1" applyBorder="1" applyAlignment="1">
      <alignment horizontal="left" vertical="center"/>
    </xf>
    <xf numFmtId="1" fontId="18" fillId="48" borderId="30" xfId="0" applyNumberFormat="1" applyFont="1" applyFill="1" applyBorder="1" applyAlignment="1">
      <alignment horizontal="center" vertical="center"/>
    </xf>
    <xf numFmtId="0" fontId="21" fillId="8" borderId="1" xfId="0" applyFont="1" applyFill="1" applyBorder="1" applyAlignment="1">
      <alignment horizontal="left" vertical="center"/>
    </xf>
    <xf numFmtId="1" fontId="20" fillId="50" borderId="11" xfId="0" applyNumberFormat="1" applyFont="1" applyFill="1" applyBorder="1" applyAlignment="1">
      <alignment horizontal="center" vertical="center"/>
    </xf>
    <xf numFmtId="0" fontId="8" fillId="0" borderId="62" xfId="0" applyFont="1" applyBorder="1" applyAlignment="1">
      <alignment horizontal="right" vertical="center"/>
    </xf>
    <xf numFmtId="0" fontId="8" fillId="8" borderId="76" xfId="0" applyFont="1" applyFill="1" applyBorder="1" applyAlignment="1">
      <alignment horizontal="left" vertical="center"/>
    </xf>
    <xf numFmtId="0" fontId="20" fillId="8" borderId="79" xfId="0" applyFont="1" applyFill="1" applyBorder="1" applyAlignment="1">
      <alignment horizontal="center" vertical="center"/>
    </xf>
    <xf numFmtId="1" fontId="20" fillId="8" borderId="79" xfId="0" applyNumberFormat="1" applyFont="1" applyFill="1" applyBorder="1" applyAlignment="1">
      <alignment horizontal="center" vertical="center"/>
    </xf>
    <xf numFmtId="1" fontId="20" fillId="50" borderId="79" xfId="0" applyNumberFormat="1" applyFont="1" applyFill="1" applyBorder="1" applyAlignment="1">
      <alignment horizontal="center" vertical="center"/>
    </xf>
    <xf numFmtId="1" fontId="20" fillId="50" borderId="82" xfId="0" applyNumberFormat="1" applyFont="1" applyFill="1" applyBorder="1" applyAlignment="1">
      <alignment horizontal="center" vertical="center"/>
    </xf>
    <xf numFmtId="1" fontId="18" fillId="0" borderId="112" xfId="0" applyNumberFormat="1" applyFont="1" applyBorder="1" applyAlignment="1">
      <alignment horizontal="center" vertical="center"/>
    </xf>
    <xf numFmtId="1" fontId="8" fillId="8" borderId="56" xfId="0" applyNumberFormat="1" applyFont="1" applyFill="1" applyBorder="1" applyAlignment="1">
      <alignment horizontal="center" vertical="center"/>
    </xf>
    <xf numFmtId="1" fontId="19" fillId="50" borderId="41" xfId="0" applyNumberFormat="1" applyFont="1" applyFill="1" applyBorder="1" applyAlignment="1">
      <alignment horizontal="center" vertical="center"/>
    </xf>
    <xf numFmtId="1" fontId="19" fillId="50" borderId="42" xfId="0" applyNumberFormat="1" applyFont="1" applyFill="1" applyBorder="1" applyAlignment="1">
      <alignment horizontal="center" vertical="center"/>
    </xf>
    <xf numFmtId="0" fontId="4" fillId="8" borderId="106" xfId="0" applyFont="1" applyFill="1" applyBorder="1" applyAlignment="1">
      <alignment horizontal="center" vertical="center"/>
    </xf>
    <xf numFmtId="1" fontId="4" fillId="50" borderId="17" xfId="0" applyNumberFormat="1" applyFont="1" applyFill="1" applyBorder="1" applyAlignment="1">
      <alignment horizontal="center" vertical="center"/>
    </xf>
    <xf numFmtId="0" fontId="29" fillId="8" borderId="70" xfId="0" applyFont="1" applyFill="1" applyBorder="1" applyAlignment="1">
      <alignment vertical="center"/>
    </xf>
    <xf numFmtId="0" fontId="29" fillId="8" borderId="110" xfId="0" applyFont="1" applyFill="1" applyBorder="1" applyAlignment="1">
      <alignment vertical="center"/>
    </xf>
    <xf numFmtId="0" fontId="29" fillId="8" borderId="112" xfId="0" applyFont="1" applyFill="1" applyBorder="1" applyAlignment="1">
      <alignment vertical="center"/>
    </xf>
    <xf numFmtId="167" fontId="20" fillId="8" borderId="76" xfId="0" applyNumberFormat="1" applyFont="1" applyFill="1" applyBorder="1" applyAlignment="1">
      <alignment vertical="center"/>
    </xf>
    <xf numFmtId="1" fontId="20" fillId="6" borderId="46" xfId="0" applyNumberFormat="1" applyFont="1" applyFill="1" applyBorder="1" applyAlignment="1">
      <alignment horizontal="center" vertical="center"/>
    </xf>
    <xf numFmtId="0" fontId="21" fillId="0" borderId="55" xfId="0" applyFont="1" applyBorder="1" applyAlignment="1">
      <alignment horizontal="center" vertical="center"/>
    </xf>
    <xf numFmtId="1" fontId="21" fillId="0" borderId="74" xfId="0" applyNumberFormat="1" applyFont="1" applyBorder="1" applyAlignment="1">
      <alignment horizontal="center" vertical="center"/>
    </xf>
    <xf numFmtId="0" fontId="21" fillId="0" borderId="76" xfId="0" applyFont="1" applyBorder="1" applyAlignment="1">
      <alignment horizontal="left" vertical="center"/>
    </xf>
    <xf numFmtId="0" fontId="21" fillId="0" borderId="31" xfId="0" applyFont="1" applyBorder="1" applyAlignment="1">
      <alignment horizontal="left" vertical="center"/>
    </xf>
    <xf numFmtId="1" fontId="18" fillId="7" borderId="41" xfId="0" applyNumberFormat="1" applyFont="1" applyFill="1" applyBorder="1" applyAlignment="1">
      <alignment horizontal="center" vertical="center"/>
    </xf>
    <xf numFmtId="1" fontId="18" fillId="7" borderId="30" xfId="0" applyNumberFormat="1" applyFont="1" applyFill="1" applyBorder="1" applyAlignment="1">
      <alignment horizontal="center" vertical="center"/>
    </xf>
    <xf numFmtId="171" fontId="12" fillId="0" borderId="0" xfId="22" applyNumberFormat="1" applyFont="1"/>
    <xf numFmtId="0" fontId="26" fillId="0" borderId="0" xfId="0" applyFont="1"/>
    <xf numFmtId="0" fontId="170" fillId="0" borderId="0" xfId="0" applyFont="1"/>
    <xf numFmtId="0" fontId="37" fillId="8" borderId="0" xfId="0" applyFont="1" applyFill="1"/>
    <xf numFmtId="0" fontId="29" fillId="0" borderId="0" xfId="0" applyFont="1"/>
    <xf numFmtId="0" fontId="20" fillId="0" borderId="0" xfId="0" applyFont="1" applyAlignment="1">
      <alignment vertical="center"/>
    </xf>
    <xf numFmtId="0" fontId="20" fillId="0" borderId="0" xfId="0" applyFont="1" applyAlignment="1">
      <alignment horizontal="center"/>
    </xf>
    <xf numFmtId="0" fontId="21" fillId="5" borderId="106" xfId="0" applyFont="1" applyFill="1" applyBorder="1" applyAlignment="1">
      <alignment horizontal="center" vertical="center"/>
    </xf>
    <xf numFmtId="0" fontId="21" fillId="6" borderId="106" xfId="0" applyFont="1" applyFill="1" applyBorder="1" applyAlignment="1">
      <alignment horizontal="center" vertical="center"/>
    </xf>
    <xf numFmtId="0" fontId="21" fillId="8" borderId="76" xfId="0" applyFont="1" applyFill="1" applyBorder="1" applyAlignment="1">
      <alignment horizontal="left" vertical="center"/>
    </xf>
    <xf numFmtId="0" fontId="21" fillId="8" borderId="83" xfId="0" applyFont="1" applyFill="1" applyBorder="1" applyAlignment="1">
      <alignment horizontal="center" vertical="center"/>
    </xf>
    <xf numFmtId="1" fontId="21" fillId="8" borderId="62" xfId="0" applyNumberFormat="1" applyFont="1" applyFill="1" applyBorder="1" applyAlignment="1">
      <alignment horizontal="center" vertical="center"/>
    </xf>
    <xf numFmtId="1" fontId="21" fillId="8" borderId="45" xfId="0" applyNumberFormat="1" applyFont="1" applyFill="1" applyBorder="1" applyAlignment="1">
      <alignment horizontal="center" vertical="center"/>
    </xf>
    <xf numFmtId="1" fontId="21" fillId="8" borderId="72" xfId="0" applyNumberFormat="1" applyFont="1" applyFill="1" applyBorder="1" applyAlignment="1">
      <alignment horizontal="center" vertical="center"/>
    </xf>
    <xf numFmtId="0" fontId="21" fillId="8" borderId="44" xfId="0" applyFont="1" applyFill="1" applyBorder="1" applyAlignment="1">
      <alignment vertical="center"/>
    </xf>
    <xf numFmtId="0" fontId="21" fillId="8" borderId="41" xfId="0" applyFont="1" applyFill="1" applyBorder="1" applyAlignment="1">
      <alignment vertical="center"/>
    </xf>
    <xf numFmtId="0" fontId="20" fillId="5" borderId="106" xfId="0" applyFont="1" applyFill="1" applyBorder="1" applyAlignment="1">
      <alignment horizontal="center" vertical="center"/>
    </xf>
    <xf numFmtId="0" fontId="20" fillId="6" borderId="106" xfId="0" applyFont="1" applyFill="1" applyBorder="1" applyAlignment="1">
      <alignment horizontal="center" vertical="center"/>
    </xf>
    <xf numFmtId="0" fontId="21" fillId="0" borderId="1" xfId="0" applyFont="1" applyBorder="1" applyAlignment="1">
      <alignment horizontal="right" vertical="center"/>
    </xf>
    <xf numFmtId="0" fontId="21" fillId="0" borderId="67" xfId="0" applyFont="1" applyBorder="1" applyAlignment="1">
      <alignment horizontal="center" vertical="center"/>
    </xf>
    <xf numFmtId="0" fontId="21" fillId="8" borderId="23" xfId="0" applyFont="1" applyFill="1" applyBorder="1" applyAlignment="1">
      <alignment horizontal="center" vertical="center"/>
    </xf>
    <xf numFmtId="0" fontId="21" fillId="7" borderId="23" xfId="0" applyFont="1" applyFill="1" applyBorder="1" applyAlignment="1">
      <alignment horizontal="center" vertical="center"/>
    </xf>
    <xf numFmtId="0" fontId="21" fillId="5" borderId="23" xfId="0" applyFont="1" applyFill="1" applyBorder="1" applyAlignment="1">
      <alignment horizontal="center" vertical="center"/>
    </xf>
    <xf numFmtId="0" fontId="21" fillId="6" borderId="23" xfId="0" applyFont="1" applyFill="1" applyBorder="1" applyAlignment="1">
      <alignment horizontal="center" vertical="center"/>
    </xf>
    <xf numFmtId="0" fontId="20" fillId="0" borderId="63" xfId="0" applyFont="1" applyBorder="1" applyAlignment="1">
      <alignment horizontal="left" vertical="center" wrapText="1" indent="1"/>
    </xf>
    <xf numFmtId="0" fontId="20" fillId="0" borderId="63" xfId="0" quotePrefix="1" applyFont="1" applyBorder="1" applyAlignment="1">
      <alignment horizontal="center" vertical="center"/>
    </xf>
    <xf numFmtId="0" fontId="20" fillId="7" borderId="41" xfId="0" quotePrefix="1" applyFont="1" applyFill="1" applyBorder="1" applyAlignment="1">
      <alignment horizontal="center" vertical="center"/>
    </xf>
    <xf numFmtId="0" fontId="20" fillId="7" borderId="41" xfId="0" applyFont="1" applyFill="1" applyBorder="1" applyAlignment="1">
      <alignment horizontal="center" vertical="center"/>
    </xf>
    <xf numFmtId="0" fontId="20" fillId="5" borderId="41" xfId="0" quotePrefix="1" applyFont="1" applyFill="1" applyBorder="1" applyAlignment="1">
      <alignment horizontal="center" vertical="center"/>
    </xf>
    <xf numFmtId="0" fontId="20" fillId="5" borderId="41" xfId="0" applyFont="1" applyFill="1" applyBorder="1" applyAlignment="1">
      <alignment horizontal="center" vertical="center"/>
    </xf>
    <xf numFmtId="0" fontId="20" fillId="6" borderId="41" xfId="0" quotePrefix="1" applyFont="1" applyFill="1" applyBorder="1" applyAlignment="1">
      <alignment horizontal="center" vertical="center"/>
    </xf>
    <xf numFmtId="0" fontId="20" fillId="6" borderId="41" xfId="0" applyFont="1" applyFill="1" applyBorder="1" applyAlignment="1">
      <alignment horizontal="center" vertical="center"/>
    </xf>
    <xf numFmtId="0" fontId="20" fillId="0" borderId="32" xfId="0" applyFont="1" applyBorder="1" applyAlignment="1">
      <alignment horizontal="center" vertical="center"/>
    </xf>
    <xf numFmtId="0" fontId="20" fillId="7" borderId="23" xfId="0" applyFont="1" applyFill="1" applyBorder="1" applyAlignment="1">
      <alignment horizontal="center" vertical="center"/>
    </xf>
    <xf numFmtId="0" fontId="20" fillId="5" borderId="23" xfId="0" applyFont="1" applyFill="1" applyBorder="1" applyAlignment="1">
      <alignment horizontal="center" vertical="center"/>
    </xf>
    <xf numFmtId="0" fontId="21" fillId="0" borderId="63" xfId="0" applyFont="1" applyBorder="1" applyAlignment="1">
      <alignment vertical="center"/>
    </xf>
    <xf numFmtId="0" fontId="21" fillId="0" borderId="31" xfId="0" applyFont="1" applyBorder="1" applyAlignment="1">
      <alignment horizontal="left" vertical="center" wrapText="1"/>
    </xf>
    <xf numFmtId="1" fontId="20" fillId="0" borderId="32" xfId="0" applyNumberFormat="1" applyFont="1" applyBorder="1" applyAlignment="1">
      <alignment horizontal="center" vertical="center"/>
    </xf>
    <xf numFmtId="1" fontId="21" fillId="0" borderId="31" xfId="0" applyNumberFormat="1" applyFont="1" applyBorder="1" applyAlignment="1">
      <alignment horizontal="center" vertical="center"/>
    </xf>
    <xf numFmtId="1" fontId="21" fillId="0" borderId="106" xfId="0" applyNumberFormat="1" applyFont="1" applyBorder="1" applyAlignment="1">
      <alignment horizontal="center" vertical="center"/>
    </xf>
    <xf numFmtId="1" fontId="21" fillId="7" borderId="106" xfId="0" applyNumberFormat="1" applyFont="1" applyFill="1" applyBorder="1" applyAlignment="1">
      <alignment horizontal="center" vertical="center"/>
    </xf>
    <xf numFmtId="1" fontId="21" fillId="5" borderId="106" xfId="0" applyNumberFormat="1" applyFont="1" applyFill="1" applyBorder="1" applyAlignment="1">
      <alignment horizontal="center" vertical="center"/>
    </xf>
    <xf numFmtId="1" fontId="21" fillId="8" borderId="106" xfId="0" applyNumberFormat="1" applyFont="1" applyFill="1" applyBorder="1" applyAlignment="1">
      <alignment horizontal="center" vertical="center"/>
    </xf>
    <xf numFmtId="0" fontId="21" fillId="0" borderId="1" xfId="0" applyFont="1" applyBorder="1" applyAlignment="1">
      <alignment horizontal="left" vertical="center" indent="1"/>
    </xf>
    <xf numFmtId="1" fontId="21" fillId="0" borderId="23" xfId="0" applyNumberFormat="1" applyFont="1" applyBorder="1" applyAlignment="1">
      <alignment horizontal="center" vertical="center"/>
    </xf>
    <xf numFmtId="1" fontId="21" fillId="0" borderId="46" xfId="0" applyNumberFormat="1" applyFont="1" applyBorder="1" applyAlignment="1">
      <alignment horizontal="center" vertical="center"/>
    </xf>
    <xf numFmtId="1" fontId="21" fillId="8" borderId="46" xfId="0" applyNumberFormat="1" applyFont="1" applyFill="1" applyBorder="1" applyAlignment="1">
      <alignment horizontal="center" vertical="center"/>
    </xf>
    <xf numFmtId="1" fontId="21" fillId="7" borderId="46" xfId="0" applyNumberFormat="1" applyFont="1" applyFill="1" applyBorder="1" applyAlignment="1">
      <alignment horizontal="center" vertical="center"/>
    </xf>
    <xf numFmtId="1" fontId="21" fillId="5" borderId="46" xfId="0" applyNumberFormat="1" applyFont="1" applyFill="1" applyBorder="1" applyAlignment="1">
      <alignment horizontal="center" vertical="center"/>
    </xf>
    <xf numFmtId="1" fontId="20" fillId="5" borderId="46" xfId="0" applyNumberFormat="1" applyFont="1" applyFill="1" applyBorder="1" applyAlignment="1">
      <alignment horizontal="center" vertical="center"/>
    </xf>
    <xf numFmtId="1" fontId="21" fillId="7" borderId="71" xfId="0" applyNumberFormat="1" applyFont="1" applyFill="1" applyBorder="1" applyAlignment="1">
      <alignment horizontal="center" vertical="center"/>
    </xf>
    <xf numFmtId="167" fontId="21" fillId="8" borderId="42" xfId="0" applyNumberFormat="1" applyFont="1" applyFill="1" applyBorder="1" applyAlignment="1">
      <alignment horizontal="center" vertical="center"/>
    </xf>
    <xf numFmtId="0" fontId="20" fillId="8" borderId="106" xfId="0" applyFont="1" applyFill="1" applyBorder="1" applyAlignment="1">
      <alignment vertical="center"/>
    </xf>
    <xf numFmtId="0" fontId="20" fillId="0" borderId="62" xfId="0" applyFont="1" applyBorder="1" applyAlignment="1">
      <alignment horizontal="left" vertical="center" wrapText="1" indent="1"/>
    </xf>
    <xf numFmtId="0" fontId="21" fillId="0" borderId="1" xfId="0" applyFont="1" applyBorder="1" applyAlignment="1">
      <alignment horizontal="left" vertical="center" wrapText="1"/>
    </xf>
    <xf numFmtId="0" fontId="21" fillId="0" borderId="34" xfId="0" applyFont="1" applyBorder="1" applyAlignment="1">
      <alignment horizontal="left" vertical="center" wrapText="1" indent="1"/>
    </xf>
    <xf numFmtId="0" fontId="21" fillId="0" borderId="62" xfId="0" applyFont="1" applyBorder="1" applyAlignment="1">
      <alignment horizontal="left" vertical="center" wrapText="1" indent="1"/>
    </xf>
    <xf numFmtId="0" fontId="21" fillId="0" borderId="111" xfId="0" applyFont="1" applyBorder="1" applyAlignment="1">
      <alignment horizontal="center" vertical="center"/>
    </xf>
    <xf numFmtId="1" fontId="26" fillId="8" borderId="106" xfId="0" applyNumberFormat="1" applyFont="1" applyFill="1" applyBorder="1" applyAlignment="1">
      <alignment horizontal="center" vertical="center"/>
    </xf>
    <xf numFmtId="0" fontId="21" fillId="0" borderId="76" xfId="0" applyFont="1" applyBorder="1" applyAlignment="1">
      <alignment horizontal="left" vertical="center" wrapText="1"/>
    </xf>
    <xf numFmtId="0" fontId="21" fillId="0" borderId="83" xfId="0" applyFont="1" applyBorder="1" applyAlignment="1">
      <alignment horizontal="center" vertical="center"/>
    </xf>
    <xf numFmtId="0" fontId="21" fillId="0" borderId="9" xfId="0" applyFont="1" applyBorder="1" applyAlignment="1">
      <alignment horizontal="left" vertical="center" wrapText="1"/>
    </xf>
    <xf numFmtId="0" fontId="21" fillId="0" borderId="15" xfId="0" applyFont="1" applyBorder="1" applyAlignment="1">
      <alignment horizontal="center" vertical="center"/>
    </xf>
    <xf numFmtId="0" fontId="21" fillId="8" borderId="44" xfId="0" applyFont="1" applyFill="1" applyBorder="1" applyAlignment="1">
      <alignment vertical="center" wrapText="1"/>
    </xf>
    <xf numFmtId="0" fontId="21" fillId="8" borderId="24" xfId="0" applyFont="1" applyFill="1" applyBorder="1" applyAlignment="1">
      <alignment vertical="center" wrapText="1"/>
    </xf>
    <xf numFmtId="0" fontId="21" fillId="8" borderId="63" xfId="0" applyFont="1" applyFill="1" applyBorder="1" applyAlignment="1">
      <alignment vertical="center" wrapText="1"/>
    </xf>
    <xf numFmtId="0" fontId="21" fillId="8" borderId="41" xfId="0" applyFont="1" applyFill="1" applyBorder="1" applyAlignment="1">
      <alignment vertical="center" wrapText="1"/>
    </xf>
    <xf numFmtId="0" fontId="21" fillId="8" borderId="42" xfId="0" applyFont="1" applyFill="1" applyBorder="1" applyAlignment="1">
      <alignment vertical="center" wrapText="1"/>
    </xf>
    <xf numFmtId="0" fontId="21" fillId="8" borderId="30" xfId="0" applyFont="1" applyFill="1" applyBorder="1" applyAlignment="1">
      <alignment vertical="center" wrapText="1"/>
    </xf>
    <xf numFmtId="0" fontId="21" fillId="8" borderId="53" xfId="0" applyFont="1" applyFill="1" applyBorder="1" applyAlignment="1">
      <alignment vertical="center" wrapText="1"/>
    </xf>
    <xf numFmtId="167" fontId="20" fillId="5" borderId="106" xfId="0" applyNumberFormat="1" applyFont="1" applyFill="1" applyBorder="1" applyAlignment="1">
      <alignment horizontal="center" vertical="center"/>
    </xf>
    <xf numFmtId="167" fontId="20" fillId="6" borderId="106" xfId="0" applyNumberFormat="1" applyFont="1" applyFill="1" applyBorder="1" applyAlignment="1">
      <alignment horizontal="center" vertical="center"/>
    </xf>
    <xf numFmtId="0" fontId="29" fillId="8" borderId="31" xfId="0" applyFont="1" applyFill="1" applyBorder="1" applyAlignment="1">
      <alignment vertical="center"/>
    </xf>
    <xf numFmtId="0" fontId="29" fillId="8" borderId="106" xfId="0" applyFont="1" applyFill="1" applyBorder="1" applyAlignment="1">
      <alignment vertical="center"/>
    </xf>
    <xf numFmtId="0" fontId="29" fillId="8" borderId="17" xfId="0" applyFont="1" applyFill="1" applyBorder="1" applyAlignment="1">
      <alignment vertical="center"/>
    </xf>
    <xf numFmtId="0" fontId="21" fillId="8" borderId="107" xfId="0" applyFont="1" applyFill="1" applyBorder="1" applyAlignment="1">
      <alignment horizontal="center" vertical="center"/>
    </xf>
    <xf numFmtId="1" fontId="21" fillId="53" borderId="106" xfId="0" applyNumberFormat="1" applyFont="1" applyFill="1" applyBorder="1" applyAlignment="1">
      <alignment horizontal="center" vertical="center"/>
    </xf>
    <xf numFmtId="0" fontId="21" fillId="0" borderId="107" xfId="0" applyFont="1" applyBorder="1" applyAlignment="1">
      <alignment horizontal="center" vertical="center"/>
    </xf>
    <xf numFmtId="0" fontId="21" fillId="8" borderId="31" xfId="0" applyFont="1" applyFill="1" applyBorder="1" applyAlignment="1">
      <alignment horizontal="right" vertical="center"/>
    </xf>
    <xf numFmtId="2" fontId="21" fillId="0" borderId="31" xfId="0" applyNumberFormat="1" applyFont="1" applyBorder="1" applyAlignment="1">
      <alignment horizontal="center" vertical="center"/>
    </xf>
    <xf numFmtId="2" fontId="21" fillId="0" borderId="106" xfId="0" applyNumberFormat="1" applyFont="1" applyBorder="1" applyAlignment="1">
      <alignment horizontal="center" vertical="center"/>
    </xf>
    <xf numFmtId="2" fontId="21" fillId="7" borderId="106" xfId="0" applyNumberFormat="1" applyFont="1" applyFill="1" applyBorder="1" applyAlignment="1">
      <alignment horizontal="center" vertical="center"/>
    </xf>
    <xf numFmtId="2" fontId="21" fillId="7" borderId="17" xfId="0" applyNumberFormat="1" applyFont="1" applyFill="1" applyBorder="1" applyAlignment="1">
      <alignment horizontal="center" vertical="center"/>
    </xf>
    <xf numFmtId="167" fontId="21" fillId="0" borderId="106" xfId="0" applyNumberFormat="1" applyFont="1" applyBorder="1" applyAlignment="1">
      <alignment horizontal="center" vertical="center"/>
    </xf>
    <xf numFmtId="167" fontId="21" fillId="5" borderId="106" xfId="0" applyNumberFormat="1" applyFont="1" applyFill="1" applyBorder="1" applyAlignment="1">
      <alignment horizontal="center" vertical="center"/>
    </xf>
    <xf numFmtId="167" fontId="21" fillId="7" borderId="106" xfId="0" applyNumberFormat="1" applyFont="1" applyFill="1" applyBorder="1" applyAlignment="1">
      <alignment horizontal="center" vertical="center"/>
    </xf>
    <xf numFmtId="167" fontId="21" fillId="6" borderId="106" xfId="0" applyNumberFormat="1" applyFont="1" applyFill="1" applyBorder="1" applyAlignment="1">
      <alignment horizontal="center" vertical="center"/>
    </xf>
    <xf numFmtId="167" fontId="21" fillId="7" borderId="17" xfId="0" applyNumberFormat="1" applyFont="1" applyFill="1" applyBorder="1" applyAlignment="1">
      <alignment horizontal="center" vertical="center"/>
    </xf>
    <xf numFmtId="2" fontId="20" fillId="5" borderId="106" xfId="0" applyNumberFormat="1" applyFont="1" applyFill="1" applyBorder="1" applyAlignment="1">
      <alignment horizontal="center" vertical="center"/>
    </xf>
    <xf numFmtId="2" fontId="20" fillId="6" borderId="106" xfId="0" applyNumberFormat="1" applyFont="1" applyFill="1" applyBorder="1" applyAlignment="1">
      <alignment horizontal="center" vertical="center"/>
    </xf>
    <xf numFmtId="0" fontId="20" fillId="0" borderId="31" xfId="0" applyFont="1" applyBorder="1" applyAlignment="1">
      <alignment horizontal="left" vertical="center"/>
    </xf>
    <xf numFmtId="0" fontId="21" fillId="0" borderId="62" xfId="0" applyFont="1" applyBorder="1" applyAlignment="1">
      <alignment horizontal="left" vertical="center"/>
    </xf>
    <xf numFmtId="169" fontId="20" fillId="5" borderId="106" xfId="0" applyNumberFormat="1" applyFont="1" applyFill="1" applyBorder="1" applyAlignment="1">
      <alignment horizontal="center" vertical="center"/>
    </xf>
    <xf numFmtId="169" fontId="20" fillId="6" borderId="106" xfId="0" applyNumberFormat="1" applyFont="1" applyFill="1" applyBorder="1" applyAlignment="1">
      <alignment horizontal="center" vertical="center"/>
    </xf>
    <xf numFmtId="2" fontId="21" fillId="5" borderId="106" xfId="0" applyNumberFormat="1" applyFont="1" applyFill="1" applyBorder="1" applyAlignment="1">
      <alignment horizontal="center" vertical="center"/>
    </xf>
    <xf numFmtId="0" fontId="21" fillId="8" borderId="31" xfId="0" applyFont="1" applyFill="1" applyBorder="1" applyAlignment="1">
      <alignment vertical="center"/>
    </xf>
    <xf numFmtId="0" fontId="21" fillId="8" borderId="31" xfId="0" applyFont="1" applyFill="1" applyBorder="1" applyAlignment="1">
      <alignment horizontal="center" vertical="center"/>
    </xf>
    <xf numFmtId="0" fontId="21" fillId="8" borderId="62" xfId="0" applyFont="1" applyFill="1" applyBorder="1" applyAlignment="1">
      <alignment vertical="center"/>
    </xf>
    <xf numFmtId="1" fontId="21" fillId="8" borderId="108" xfId="0" applyNumberFormat="1" applyFont="1" applyFill="1" applyBorder="1" applyAlignment="1">
      <alignment horizontal="center" vertical="center"/>
    </xf>
    <xf numFmtId="1" fontId="21" fillId="7" borderId="108" xfId="0" applyNumberFormat="1" applyFont="1" applyFill="1" applyBorder="1" applyAlignment="1">
      <alignment horizontal="center" vertical="center"/>
    </xf>
    <xf numFmtId="169" fontId="20" fillId="7" borderId="41" xfId="0" applyNumberFormat="1" applyFont="1" applyFill="1" applyBorder="1" applyAlignment="1">
      <alignment horizontal="center" vertical="center"/>
    </xf>
    <xf numFmtId="169" fontId="20" fillId="7" borderId="42" xfId="0" applyNumberFormat="1" applyFont="1" applyFill="1" applyBorder="1" applyAlignment="1">
      <alignment horizontal="center" vertical="center"/>
    </xf>
    <xf numFmtId="0" fontId="20" fillId="5" borderId="106" xfId="0" applyFont="1" applyFill="1" applyBorder="1" applyAlignment="1">
      <alignment vertical="center"/>
    </xf>
    <xf numFmtId="0" fontId="20" fillId="7" borderId="106" xfId="0" applyFont="1" applyFill="1" applyBorder="1" applyAlignment="1">
      <alignment vertical="center"/>
    </xf>
    <xf numFmtId="0" fontId="20" fillId="6" borderId="106" xfId="0" applyFont="1" applyFill="1" applyBorder="1" applyAlignment="1">
      <alignment vertical="center"/>
    </xf>
    <xf numFmtId="0" fontId="20" fillId="8" borderId="35" xfId="0" applyFont="1" applyFill="1" applyBorder="1" applyAlignment="1">
      <alignment vertical="center"/>
    </xf>
    <xf numFmtId="0" fontId="20" fillId="8" borderId="34" xfId="0" applyFont="1" applyFill="1" applyBorder="1" applyAlignment="1">
      <alignment vertical="center"/>
    </xf>
    <xf numFmtId="0" fontId="20" fillId="8" borderId="30" xfId="0" applyFont="1" applyFill="1" applyBorder="1" applyAlignment="1">
      <alignment vertical="center"/>
    </xf>
    <xf numFmtId="0" fontId="20" fillId="8" borderId="53" xfId="0" applyFont="1" applyFill="1" applyBorder="1" applyAlignment="1">
      <alignment vertical="center"/>
    </xf>
    <xf numFmtId="0" fontId="20" fillId="8" borderId="17" xfId="0" applyFont="1" applyFill="1" applyBorder="1" applyAlignment="1">
      <alignment vertical="center"/>
    </xf>
    <xf numFmtId="0" fontId="21" fillId="0" borderId="63" xfId="0" applyFont="1" applyBorder="1" applyAlignment="1">
      <alignment horizontal="right" vertical="center" indent="1"/>
    </xf>
    <xf numFmtId="2" fontId="21" fillId="8" borderId="106" xfId="0" applyNumberFormat="1" applyFont="1" applyFill="1" applyBorder="1" applyAlignment="1">
      <alignment horizontal="center" vertical="center"/>
    </xf>
    <xf numFmtId="2" fontId="21" fillId="6" borderId="106" xfId="0" applyNumberFormat="1" applyFont="1" applyFill="1" applyBorder="1" applyAlignment="1">
      <alignment horizontal="center" vertical="center"/>
    </xf>
    <xf numFmtId="0" fontId="21" fillId="0" borderId="31" xfId="0" applyFont="1" applyBorder="1" applyAlignment="1">
      <alignment horizontal="right" vertical="center" indent="1"/>
    </xf>
    <xf numFmtId="0" fontId="21" fillId="0" borderId="9" xfId="0" applyFont="1" applyBorder="1" applyAlignment="1">
      <alignment horizontal="right" vertical="center" indent="1"/>
    </xf>
    <xf numFmtId="2" fontId="21" fillId="7" borderId="33" xfId="0" applyNumberFormat="1" applyFont="1" applyFill="1" applyBorder="1" applyAlignment="1">
      <alignment horizontal="center" vertical="center"/>
    </xf>
    <xf numFmtId="2" fontId="21" fillId="5" borderId="23" xfId="0" applyNumberFormat="1" applyFont="1" applyFill="1" applyBorder="1" applyAlignment="1">
      <alignment horizontal="center" vertical="center"/>
    </xf>
    <xf numFmtId="2" fontId="21" fillId="6" borderId="23" xfId="0" applyNumberFormat="1" applyFont="1" applyFill="1" applyBorder="1" applyAlignment="1">
      <alignment horizontal="center" vertical="center"/>
    </xf>
    <xf numFmtId="0" fontId="21" fillId="0" borderId="10" xfId="0" applyFont="1" applyBorder="1" applyAlignment="1">
      <alignment horizontal="left" vertical="center"/>
    </xf>
    <xf numFmtId="0" fontId="12" fillId="0" borderId="10" xfId="0" applyFont="1" applyBorder="1" applyAlignment="1">
      <alignment horizontal="center"/>
    </xf>
    <xf numFmtId="0" fontId="12" fillId="0" borderId="10" xfId="0" applyFont="1" applyBorder="1" applyAlignment="1">
      <alignment horizontal="left"/>
    </xf>
    <xf numFmtId="1" fontId="12" fillId="0" borderId="10" xfId="0" applyNumberFormat="1" applyFont="1" applyBorder="1" applyAlignment="1">
      <alignment horizontal="center"/>
    </xf>
    <xf numFmtId="0" fontId="12" fillId="0" borderId="10" xfId="0" applyFont="1" applyBorder="1" applyAlignment="1">
      <alignment horizontal="left" vertical="center"/>
    </xf>
    <xf numFmtId="0" fontId="20" fillId="0" borderId="63" xfId="0" applyFont="1" applyBorder="1" applyAlignment="1">
      <alignment horizontal="center" vertical="center" wrapText="1"/>
    </xf>
    <xf numFmtId="0" fontId="20" fillId="8" borderId="44" xfId="0" applyFont="1" applyFill="1" applyBorder="1" applyAlignment="1">
      <alignment horizontal="center" vertical="center" wrapText="1"/>
    </xf>
    <xf numFmtId="0" fontId="20" fillId="8" borderId="42" xfId="0" applyFont="1" applyFill="1" applyBorder="1" applyAlignment="1">
      <alignment horizontal="left" vertical="center" wrapText="1"/>
    </xf>
    <xf numFmtId="0" fontId="20" fillId="7" borderId="24" xfId="0" applyFont="1" applyFill="1" applyBorder="1" applyAlignment="1">
      <alignment horizontal="center" vertical="center" wrapText="1"/>
    </xf>
    <xf numFmtId="0" fontId="20" fillId="7" borderId="42" xfId="0" applyFont="1" applyFill="1" applyBorder="1" applyAlignment="1">
      <alignment horizontal="left" vertical="center" wrapText="1"/>
    </xf>
    <xf numFmtId="0" fontId="20" fillId="5" borderId="63" xfId="0" applyFont="1" applyFill="1" applyBorder="1" applyAlignment="1">
      <alignment horizontal="center" vertical="center" wrapText="1"/>
    </xf>
    <xf numFmtId="0" fontId="20" fillId="5" borderId="18" xfId="0" applyFont="1" applyFill="1" applyBorder="1" applyAlignment="1">
      <alignment horizontal="left" vertical="center" wrapText="1"/>
    </xf>
    <xf numFmtId="0" fontId="20" fillId="7" borderId="44" xfId="0" applyFont="1" applyFill="1" applyBorder="1" applyAlignment="1">
      <alignment horizontal="center" vertical="center" wrapText="1"/>
    </xf>
    <xf numFmtId="0" fontId="20" fillId="5" borderId="34" xfId="0" applyFont="1" applyFill="1" applyBorder="1" applyAlignment="1">
      <alignment horizontal="center" vertical="center" wrapText="1"/>
    </xf>
    <xf numFmtId="0" fontId="20" fillId="5" borderId="13" xfId="0" applyFont="1" applyFill="1" applyBorder="1" applyAlignment="1">
      <alignment horizontal="left" vertical="center" wrapText="1"/>
    </xf>
    <xf numFmtId="0" fontId="20" fillId="6" borderId="44" xfId="0" applyFont="1" applyFill="1" applyBorder="1" applyAlignment="1">
      <alignment horizontal="center" vertical="center" wrapText="1"/>
    </xf>
    <xf numFmtId="0" fontId="20" fillId="6" borderId="42" xfId="0" applyFont="1" applyFill="1" applyBorder="1" applyAlignment="1">
      <alignment horizontal="left" vertical="center" wrapText="1"/>
    </xf>
    <xf numFmtId="0" fontId="20" fillId="0" borderId="62" xfId="0" applyFont="1" applyBorder="1" applyAlignment="1">
      <alignment horizontal="center" vertical="center" wrapText="1"/>
    </xf>
    <xf numFmtId="0" fontId="20" fillId="8" borderId="70" xfId="0" quotePrefix="1" applyFont="1" applyFill="1" applyBorder="1" applyAlignment="1">
      <alignment horizontal="center" vertical="center"/>
    </xf>
    <xf numFmtId="0" fontId="20" fillId="8" borderId="72" xfId="0" quotePrefix="1" applyFont="1" applyFill="1" applyBorder="1" applyAlignment="1">
      <alignment horizontal="left" vertical="center" wrapText="1"/>
    </xf>
    <xf numFmtId="0" fontId="20" fillId="7" borderId="6" xfId="0" quotePrefix="1" applyFont="1" applyFill="1" applyBorder="1" applyAlignment="1">
      <alignment horizontal="center" vertical="center"/>
    </xf>
    <xf numFmtId="0" fontId="20" fillId="7" borderId="17" xfId="0" quotePrefix="1" applyFont="1" applyFill="1" applyBorder="1" applyAlignment="1">
      <alignment horizontal="left" vertical="center" wrapText="1"/>
    </xf>
    <xf numFmtId="0" fontId="20" fillId="5" borderId="31" xfId="0" applyFont="1" applyFill="1" applyBorder="1" applyAlignment="1">
      <alignment horizontal="center" vertical="center" wrapText="1"/>
    </xf>
    <xf numFmtId="0" fontId="20" fillId="5" borderId="12" xfId="0" applyFont="1" applyFill="1" applyBorder="1" applyAlignment="1">
      <alignment horizontal="left" vertical="center" wrapText="1"/>
    </xf>
    <xf numFmtId="0" fontId="20" fillId="7" borderId="47" xfId="0" quotePrefix="1" applyFont="1" applyFill="1" applyBorder="1" applyAlignment="1">
      <alignment horizontal="center" vertical="center"/>
    </xf>
    <xf numFmtId="0" fontId="20" fillId="5" borderId="34" xfId="0" applyFont="1" applyFill="1" applyBorder="1" applyAlignment="1">
      <alignment horizontal="left" vertical="center" wrapText="1"/>
    </xf>
    <xf numFmtId="0" fontId="20" fillId="6" borderId="47" xfId="0" quotePrefix="1" applyFont="1" applyFill="1" applyBorder="1" applyAlignment="1">
      <alignment horizontal="center" vertical="center"/>
    </xf>
    <xf numFmtId="0" fontId="20" fillId="6" borderId="17" xfId="0" quotePrefix="1" applyFont="1" applyFill="1" applyBorder="1" applyAlignment="1">
      <alignment horizontal="left" vertical="center" wrapText="1"/>
    </xf>
    <xf numFmtId="0" fontId="20" fillId="0" borderId="1" xfId="0" applyFont="1" applyBorder="1" applyAlignment="1">
      <alignment horizontal="center" vertical="center" wrapText="1"/>
    </xf>
    <xf numFmtId="0" fontId="20" fillId="8" borderId="25" xfId="0" quotePrefix="1" applyFont="1" applyFill="1" applyBorder="1" applyAlignment="1">
      <alignment horizontal="center" vertical="center"/>
    </xf>
    <xf numFmtId="0" fontId="20" fillId="8" borderId="11" xfId="0" quotePrefix="1" applyFont="1" applyFill="1" applyBorder="1" applyAlignment="1">
      <alignment horizontal="left" vertical="center" wrapText="1"/>
    </xf>
    <xf numFmtId="0" fontId="20" fillId="7" borderId="49" xfId="0" quotePrefix="1" applyFont="1" applyFill="1" applyBorder="1" applyAlignment="1">
      <alignment horizontal="center" vertical="center"/>
    </xf>
    <xf numFmtId="0" fontId="20" fillId="7" borderId="33" xfId="0" quotePrefix="1" applyFont="1" applyFill="1" applyBorder="1" applyAlignment="1">
      <alignment horizontal="left" vertical="center" wrapText="1"/>
    </xf>
    <xf numFmtId="0" fontId="20" fillId="5" borderId="62" xfId="0" applyFont="1" applyFill="1" applyBorder="1" applyAlignment="1">
      <alignment horizontal="center" vertical="center" wrapText="1"/>
    </xf>
    <xf numFmtId="0" fontId="20" fillId="5" borderId="60" xfId="0" applyFont="1" applyFill="1" applyBorder="1" applyAlignment="1">
      <alignment horizontal="left" vertical="center" wrapText="1"/>
    </xf>
    <xf numFmtId="0" fontId="20" fillId="7" borderId="70" xfId="0" quotePrefix="1" applyFont="1" applyFill="1" applyBorder="1" applyAlignment="1">
      <alignment horizontal="center" vertical="center"/>
    </xf>
    <xf numFmtId="0" fontId="20" fillId="7" borderId="72" xfId="0" quotePrefix="1" applyFont="1" applyFill="1" applyBorder="1" applyAlignment="1">
      <alignment horizontal="left" vertical="center" wrapText="1"/>
    </xf>
    <xf numFmtId="0" fontId="20" fillId="0" borderId="72" xfId="0" quotePrefix="1" applyFont="1" applyBorder="1" applyAlignment="1">
      <alignment horizontal="left" vertical="center" wrapText="1"/>
    </xf>
    <xf numFmtId="0" fontId="20" fillId="5" borderId="32" xfId="0" applyFont="1" applyFill="1" applyBorder="1" applyAlignment="1">
      <alignment horizontal="center" vertical="center" wrapText="1"/>
    </xf>
    <xf numFmtId="0" fontId="20" fillId="5" borderId="32" xfId="0" applyFont="1" applyFill="1" applyBorder="1" applyAlignment="1">
      <alignment horizontal="left" vertical="center" wrapText="1"/>
    </xf>
    <xf numFmtId="0" fontId="20" fillId="6" borderId="51" xfId="0" quotePrefix="1" applyFont="1" applyFill="1" applyBorder="1" applyAlignment="1">
      <alignment horizontal="center" vertical="center"/>
    </xf>
    <xf numFmtId="0" fontId="20" fillId="6" borderId="33" xfId="0" quotePrefix="1" applyFont="1" applyFill="1" applyBorder="1" applyAlignment="1">
      <alignment horizontal="left" vertical="center" wrapText="1"/>
    </xf>
    <xf numFmtId="1" fontId="7" fillId="7" borderId="10" xfId="0" applyNumberFormat="1" applyFont="1" applyFill="1" applyBorder="1" applyAlignment="1">
      <alignment horizontal="center"/>
    </xf>
    <xf numFmtId="1" fontId="7" fillId="8" borderId="10" xfId="0" applyNumberFormat="1" applyFont="1" applyFill="1" applyBorder="1" applyAlignment="1">
      <alignment horizontal="center"/>
    </xf>
    <xf numFmtId="1" fontId="7" fillId="8" borderId="10" xfId="0" applyNumberFormat="1" applyFont="1" applyFill="1" applyBorder="1" applyAlignment="1">
      <alignment horizontal="center" vertical="center"/>
    </xf>
    <xf numFmtId="0" fontId="29" fillId="8" borderId="10" xfId="0" applyFont="1" applyFill="1" applyBorder="1" applyAlignment="1">
      <alignment vertical="center"/>
    </xf>
    <xf numFmtId="0" fontId="21" fillId="0" borderId="10" xfId="0" applyFont="1" applyBorder="1" applyAlignment="1">
      <alignment horizontal="right" vertical="center"/>
    </xf>
    <xf numFmtId="0" fontId="29" fillId="8" borderId="10" xfId="0" applyFont="1" applyFill="1" applyBorder="1" applyAlignment="1">
      <alignment horizontal="center"/>
    </xf>
    <xf numFmtId="0" fontId="29" fillId="8" borderId="10" xfId="0" applyFont="1" applyFill="1" applyBorder="1" applyAlignment="1">
      <alignment horizontal="center" vertical="center"/>
    </xf>
    <xf numFmtId="0" fontId="21" fillId="8" borderId="10" xfId="0" applyFont="1" applyFill="1" applyBorder="1" applyAlignment="1">
      <alignment horizontal="right" vertical="center"/>
    </xf>
    <xf numFmtId="0" fontId="21" fillId="8" borderId="10" xfId="0" applyFont="1" applyFill="1" applyBorder="1"/>
    <xf numFmtId="167" fontId="21" fillId="7" borderId="10" xfId="0" applyNumberFormat="1" applyFont="1" applyFill="1" applyBorder="1" applyAlignment="1">
      <alignment horizontal="center" vertical="center"/>
    </xf>
    <xf numFmtId="0" fontId="21" fillId="8" borderId="10" xfId="0" applyFont="1" applyFill="1" applyBorder="1" applyAlignment="1">
      <alignment vertical="center" wrapText="1"/>
    </xf>
    <xf numFmtId="0" fontId="29" fillId="8" borderId="10" xfId="0" applyFont="1" applyFill="1" applyBorder="1"/>
    <xf numFmtId="167" fontId="21" fillId="0" borderId="10" xfId="0" applyNumberFormat="1" applyFont="1" applyBorder="1" applyAlignment="1">
      <alignment horizontal="center" vertical="center"/>
    </xf>
    <xf numFmtId="0" fontId="29" fillId="8" borderId="45" xfId="0" applyFont="1" applyFill="1" applyBorder="1" applyAlignment="1">
      <alignment horizontal="left" vertical="center" wrapText="1"/>
    </xf>
    <xf numFmtId="0" fontId="29" fillId="8" borderId="45" xfId="0" applyFont="1" applyFill="1" applyBorder="1" applyAlignment="1">
      <alignment vertical="center"/>
    </xf>
    <xf numFmtId="0" fontId="20" fillId="0" borderId="63" xfId="0" quotePrefix="1" applyFont="1" applyBorder="1" applyAlignment="1">
      <alignment horizontal="left" vertical="center" wrapText="1"/>
    </xf>
    <xf numFmtId="0" fontId="20" fillId="0" borderId="41" xfId="0" applyFont="1" applyBorder="1" applyAlignment="1">
      <alignment horizontal="left" vertical="center"/>
    </xf>
    <xf numFmtId="0" fontId="20" fillId="0" borderId="31" xfId="0" quotePrefix="1" applyFont="1" applyBorder="1" applyAlignment="1">
      <alignment horizontal="left" vertical="center" wrapText="1"/>
    </xf>
    <xf numFmtId="0" fontId="20" fillId="0" borderId="10" xfId="0" applyFont="1" applyBorder="1" applyAlignment="1">
      <alignment horizontal="left" vertical="center"/>
    </xf>
    <xf numFmtId="0" fontId="20" fillId="0" borderId="32" xfId="0" quotePrefix="1" applyFont="1" applyBorder="1" applyAlignment="1">
      <alignment horizontal="left" vertical="center" wrapText="1"/>
    </xf>
    <xf numFmtId="0" fontId="20" fillId="0" borderId="23" xfId="0" applyFont="1" applyBorder="1" applyAlignment="1">
      <alignment horizontal="left" vertical="center"/>
    </xf>
    <xf numFmtId="1" fontId="20" fillId="0" borderId="23" xfId="0" applyNumberFormat="1" applyFont="1" applyBorder="1" applyAlignment="1">
      <alignment vertical="center"/>
    </xf>
    <xf numFmtId="1" fontId="20" fillId="5" borderId="23" xfId="0" applyNumberFormat="1" applyFont="1" applyFill="1" applyBorder="1" applyAlignment="1">
      <alignment vertical="center"/>
    </xf>
    <xf numFmtId="1" fontId="20" fillId="0" borderId="41" xfId="0" applyNumberFormat="1" applyFont="1" applyBorder="1" applyAlignment="1">
      <alignment vertical="center"/>
    </xf>
    <xf numFmtId="1" fontId="20" fillId="5" borderId="41" xfId="0" applyNumberFormat="1" applyFont="1" applyFill="1" applyBorder="1" applyAlignment="1">
      <alignment vertical="center"/>
    </xf>
    <xf numFmtId="0" fontId="20" fillId="0" borderId="34" xfId="0" quotePrefix="1" applyFont="1" applyBorder="1" applyAlignment="1">
      <alignment horizontal="left" vertical="center" wrapText="1"/>
    </xf>
    <xf numFmtId="0" fontId="20" fillId="0" borderId="30" xfId="0" applyFont="1" applyBorder="1" applyAlignment="1">
      <alignment horizontal="left" vertical="center"/>
    </xf>
    <xf numFmtId="1" fontId="20" fillId="0" borderId="30" xfId="0" applyNumberFormat="1" applyFont="1" applyBorder="1" applyAlignment="1">
      <alignment vertical="center"/>
    </xf>
    <xf numFmtId="1" fontId="20" fillId="7" borderId="30" xfId="0" applyNumberFormat="1" applyFont="1" applyFill="1" applyBorder="1" applyAlignment="1">
      <alignment vertical="center"/>
    </xf>
    <xf numFmtId="1" fontId="20" fillId="5" borderId="30" xfId="0" applyNumberFormat="1" applyFont="1" applyFill="1" applyBorder="1" applyAlignment="1">
      <alignment vertical="center"/>
    </xf>
    <xf numFmtId="0" fontId="20" fillId="0" borderId="74" xfId="0" quotePrefix="1" applyFont="1" applyBorder="1" applyAlignment="1">
      <alignment horizontal="left" vertical="center" wrapText="1"/>
    </xf>
    <xf numFmtId="0" fontId="20" fillId="0" borderId="46" xfId="0" applyFont="1" applyBorder="1" applyAlignment="1">
      <alignment horizontal="left" vertical="center"/>
    </xf>
    <xf numFmtId="1" fontId="20" fillId="0" borderId="46" xfId="0" applyNumberFormat="1" applyFont="1" applyBorder="1" applyAlignment="1">
      <alignment vertical="center"/>
    </xf>
    <xf numFmtId="1" fontId="20" fillId="0" borderId="46" xfId="0" applyNumberFormat="1" applyFont="1" applyBorder="1" applyAlignment="1">
      <alignment horizontal="center" vertical="center"/>
    </xf>
    <xf numFmtId="1" fontId="20" fillId="7" borderId="46" xfId="0" applyNumberFormat="1" applyFont="1" applyFill="1" applyBorder="1" applyAlignment="1">
      <alignment vertical="center"/>
    </xf>
    <xf numFmtId="1" fontId="20" fillId="5" borderId="46" xfId="0" applyNumberFormat="1" applyFont="1" applyFill="1" applyBorder="1" applyAlignment="1">
      <alignment vertical="center"/>
    </xf>
    <xf numFmtId="1" fontId="20" fillId="7" borderId="46" xfId="0" applyNumberFormat="1" applyFont="1" applyFill="1" applyBorder="1" applyAlignment="1">
      <alignment horizontal="center" vertical="center"/>
    </xf>
    <xf numFmtId="0" fontId="20" fillId="8" borderId="41" xfId="0" applyFont="1" applyFill="1" applyBorder="1" applyAlignment="1">
      <alignment horizontal="left" vertical="center"/>
    </xf>
    <xf numFmtId="0" fontId="20" fillId="8" borderId="10" xfId="0" applyFont="1" applyFill="1" applyBorder="1" applyAlignment="1">
      <alignment horizontal="left" vertical="center"/>
    </xf>
    <xf numFmtId="0" fontId="20" fillId="8" borderId="31" xfId="0" quotePrefix="1" applyFont="1" applyFill="1" applyBorder="1" applyAlignment="1">
      <alignment horizontal="left" vertical="center" wrapText="1"/>
    </xf>
    <xf numFmtId="0" fontId="20" fillId="8" borderId="32" xfId="0" quotePrefix="1" applyFont="1" applyFill="1" applyBorder="1" applyAlignment="1">
      <alignment horizontal="left" vertical="center" wrapText="1"/>
    </xf>
    <xf numFmtId="0" fontId="20" fillId="8" borderId="23" xfId="0" applyFont="1" applyFill="1" applyBorder="1" applyAlignment="1">
      <alignment horizontal="left" vertical="center"/>
    </xf>
    <xf numFmtId="164" fontId="20" fillId="8" borderId="63" xfId="0" quotePrefix="1" applyNumberFormat="1" applyFont="1" applyFill="1" applyBorder="1" applyAlignment="1">
      <alignment horizontal="left" vertical="center" wrapText="1"/>
    </xf>
    <xf numFmtId="164" fontId="20" fillId="8" borderId="34" xfId="0" quotePrefix="1" applyNumberFormat="1" applyFont="1" applyFill="1" applyBorder="1" applyAlignment="1">
      <alignment horizontal="left" vertical="center" wrapText="1"/>
    </xf>
    <xf numFmtId="0" fontId="20" fillId="8" borderId="30" xfId="0" applyFont="1" applyFill="1" applyBorder="1" applyAlignment="1">
      <alignment horizontal="left" vertical="center"/>
    </xf>
    <xf numFmtId="164" fontId="20" fillId="8" borderId="31" xfId="0" quotePrefix="1" applyNumberFormat="1" applyFont="1" applyFill="1" applyBorder="1" applyAlignment="1">
      <alignment horizontal="left" vertical="center" wrapText="1"/>
    </xf>
    <xf numFmtId="164" fontId="20" fillId="8" borderId="32" xfId="0" quotePrefix="1" applyNumberFormat="1" applyFont="1" applyFill="1" applyBorder="1" applyAlignment="1">
      <alignment horizontal="left" vertical="center" wrapText="1"/>
    </xf>
    <xf numFmtId="0" fontId="20" fillId="8" borderId="106" xfId="0" applyFont="1" applyFill="1" applyBorder="1" applyAlignment="1">
      <alignment horizontal="left" vertical="center"/>
    </xf>
    <xf numFmtId="0" fontId="20" fillId="0" borderId="106" xfId="0" applyFont="1" applyBorder="1" applyAlignment="1">
      <alignment horizontal="left" vertical="center"/>
    </xf>
    <xf numFmtId="0" fontId="20" fillId="8" borderId="105" xfId="0" applyFont="1" applyFill="1" applyBorder="1" applyAlignment="1">
      <alignment horizontal="left" vertical="center"/>
    </xf>
    <xf numFmtId="0" fontId="20" fillId="0" borderId="105" xfId="0" applyFont="1" applyBorder="1" applyAlignment="1">
      <alignment horizontal="left" vertical="center"/>
    </xf>
    <xf numFmtId="164" fontId="20" fillId="8" borderId="30" xfId="0" quotePrefix="1" applyNumberFormat="1" applyFont="1" applyFill="1" applyBorder="1" applyAlignment="1">
      <alignment horizontal="left" vertical="center" wrapText="1"/>
    </xf>
    <xf numFmtId="164" fontId="20" fillId="8" borderId="10" xfId="0" quotePrefix="1" applyNumberFormat="1" applyFont="1" applyFill="1" applyBorder="1" applyAlignment="1">
      <alignment horizontal="left" vertical="center" wrapText="1"/>
    </xf>
    <xf numFmtId="164" fontId="21" fillId="8" borderId="10" xfId="0" applyNumberFormat="1" applyFont="1" applyFill="1" applyBorder="1" applyAlignment="1">
      <alignment horizontal="left" vertical="center"/>
    </xf>
    <xf numFmtId="0" fontId="21" fillId="8" borderId="107" xfId="0" applyFont="1" applyFill="1" applyBorder="1" applyAlignment="1">
      <alignment vertical="center"/>
    </xf>
    <xf numFmtId="164" fontId="21" fillId="8" borderId="10" xfId="0" quotePrefix="1" applyNumberFormat="1" applyFont="1" applyFill="1" applyBorder="1" applyAlignment="1">
      <alignment horizontal="left" vertical="center"/>
    </xf>
    <xf numFmtId="164" fontId="20" fillId="0" borderId="10" xfId="0" quotePrefix="1" applyNumberFormat="1" applyFont="1" applyBorder="1" applyAlignment="1">
      <alignment horizontal="right" vertical="center"/>
    </xf>
    <xf numFmtId="164" fontId="21" fillId="0" borderId="10" xfId="0" quotePrefix="1" applyNumberFormat="1" applyFont="1" applyBorder="1" applyAlignment="1">
      <alignment horizontal="left" vertical="center"/>
    </xf>
    <xf numFmtId="0" fontId="45" fillId="8" borderId="10" xfId="0" applyFont="1" applyFill="1" applyBorder="1" applyAlignment="1">
      <alignment horizontal="left"/>
    </xf>
    <xf numFmtId="0" fontId="29" fillId="8" borderId="10" xfId="0" applyFont="1" applyFill="1" applyBorder="1" applyAlignment="1">
      <alignment horizontal="left" vertical="center" wrapText="1"/>
    </xf>
    <xf numFmtId="0" fontId="29" fillId="7" borderId="10" xfId="0" applyFont="1" applyFill="1" applyBorder="1" applyAlignment="1">
      <alignment vertical="center"/>
    </xf>
    <xf numFmtId="0" fontId="29" fillId="5" borderId="10" xfId="0" applyFont="1" applyFill="1" applyBorder="1" applyAlignment="1">
      <alignment vertical="center"/>
    </xf>
    <xf numFmtId="164" fontId="20" fillId="8" borderId="10" xfId="0" quotePrefix="1" applyNumberFormat="1" applyFont="1" applyFill="1" applyBorder="1" applyAlignment="1">
      <alignment horizontal="left" vertical="center"/>
    </xf>
    <xf numFmtId="164" fontId="20" fillId="8" borderId="108" xfId="0" quotePrefix="1" applyNumberFormat="1" applyFont="1" applyFill="1" applyBorder="1" applyAlignment="1">
      <alignment horizontal="left" vertical="center"/>
    </xf>
    <xf numFmtId="0" fontId="20" fillId="8" borderId="108" xfId="0" applyFont="1" applyFill="1" applyBorder="1" applyAlignment="1">
      <alignment horizontal="left" vertical="center"/>
    </xf>
    <xf numFmtId="164" fontId="20" fillId="8" borderId="46" xfId="0" quotePrefix="1" applyNumberFormat="1" applyFont="1" applyFill="1" applyBorder="1" applyAlignment="1">
      <alignment horizontal="left" vertical="center"/>
    </xf>
    <xf numFmtId="0" fontId="20" fillId="8" borderId="46" xfId="0" applyFont="1" applyFill="1" applyBorder="1" applyAlignment="1">
      <alignment horizontal="left" vertical="center"/>
    </xf>
    <xf numFmtId="164" fontId="20" fillId="8" borderId="30" xfId="0" quotePrefix="1" applyNumberFormat="1" applyFont="1" applyFill="1" applyBorder="1" applyAlignment="1">
      <alignment horizontal="left" vertical="center"/>
    </xf>
    <xf numFmtId="164" fontId="20" fillId="8" borderId="1" xfId="0" quotePrefix="1" applyNumberFormat="1" applyFont="1" applyFill="1" applyBorder="1" applyAlignment="1">
      <alignment horizontal="left" vertical="center"/>
    </xf>
    <xf numFmtId="0" fontId="20" fillId="8" borderId="5" xfId="0" applyFont="1" applyFill="1" applyBorder="1" applyAlignment="1">
      <alignment horizontal="left" vertical="center"/>
    </xf>
    <xf numFmtId="164" fontId="20" fillId="0" borderId="10" xfId="0" quotePrefix="1" applyNumberFormat="1" applyFont="1" applyBorder="1" applyAlignment="1">
      <alignment horizontal="left" vertical="center"/>
    </xf>
    <xf numFmtId="1" fontId="21" fillId="8" borderId="10" xfId="0" applyNumberFormat="1" applyFont="1" applyFill="1" applyBorder="1" applyAlignment="1">
      <alignment horizontal="center"/>
    </xf>
    <xf numFmtId="0" fontId="20" fillId="0" borderId="108" xfId="0" applyFont="1" applyBorder="1" applyAlignment="1">
      <alignment horizontal="left" vertical="center"/>
    </xf>
    <xf numFmtId="0" fontId="20" fillId="0" borderId="42" xfId="0" applyFont="1" applyBorder="1" applyAlignment="1">
      <alignment horizontal="left" vertical="center"/>
    </xf>
    <xf numFmtId="0" fontId="20" fillId="0" borderId="17" xfId="0" applyFont="1" applyBorder="1" applyAlignment="1">
      <alignment horizontal="left" vertical="center"/>
    </xf>
    <xf numFmtId="0" fontId="20" fillId="0" borderId="33" xfId="0" applyFont="1" applyBorder="1" applyAlignment="1">
      <alignment horizontal="left" vertical="center"/>
    </xf>
    <xf numFmtId="164" fontId="20" fillId="8" borderId="106" xfId="0" quotePrefix="1" applyNumberFormat="1" applyFont="1" applyFill="1" applyBorder="1" applyAlignment="1">
      <alignment horizontal="left" vertical="center"/>
    </xf>
    <xf numFmtId="164" fontId="20" fillId="8" borderId="47" xfId="0" quotePrefix="1" applyNumberFormat="1" applyFont="1" applyFill="1" applyBorder="1" applyAlignment="1">
      <alignment horizontal="left" vertical="center"/>
    </xf>
    <xf numFmtId="164" fontId="20" fillId="8" borderId="105" xfId="0" quotePrefix="1" applyNumberFormat="1" applyFont="1" applyFill="1" applyBorder="1" applyAlignment="1">
      <alignment horizontal="left" vertical="center"/>
    </xf>
    <xf numFmtId="164" fontId="20" fillId="8" borderId="107" xfId="0" quotePrefix="1" applyNumberFormat="1" applyFont="1" applyFill="1" applyBorder="1" applyAlignment="1">
      <alignment horizontal="left" vertical="center"/>
    </xf>
    <xf numFmtId="1" fontId="20" fillId="8" borderId="10" xfId="0" applyNumberFormat="1" applyFont="1" applyFill="1" applyBorder="1" applyAlignment="1">
      <alignment horizontal="center"/>
    </xf>
    <xf numFmtId="164" fontId="20" fillId="8" borderId="31" xfId="0" quotePrefix="1" applyNumberFormat="1" applyFont="1" applyFill="1" applyBorder="1" applyAlignment="1">
      <alignment horizontal="right" vertical="center"/>
    </xf>
    <xf numFmtId="0" fontId="29" fillId="8" borderId="31" xfId="0" applyFont="1" applyFill="1" applyBorder="1" applyAlignment="1">
      <alignment horizontal="left" vertical="center"/>
    </xf>
    <xf numFmtId="0" fontId="29" fillId="6" borderId="10" xfId="0" applyFont="1" applyFill="1" applyBorder="1" applyAlignment="1">
      <alignment vertical="center"/>
    </xf>
    <xf numFmtId="0" fontId="20" fillId="8" borderId="31" xfId="0" applyFont="1" applyFill="1" applyBorder="1" applyAlignment="1">
      <alignment horizontal="right" vertical="center" indent="1"/>
    </xf>
    <xf numFmtId="0" fontId="20" fillId="8" borderId="10" xfId="0" applyFont="1" applyFill="1" applyBorder="1" applyAlignment="1">
      <alignment vertical="center"/>
    </xf>
    <xf numFmtId="0" fontId="48" fillId="8" borderId="10" xfId="0" applyFont="1" applyFill="1" applyBorder="1"/>
    <xf numFmtId="0" fontId="36" fillId="0" borderId="0" xfId="0" applyFont="1"/>
    <xf numFmtId="0" fontId="171" fillId="0" borderId="0" xfId="0" applyFont="1" applyAlignment="1">
      <alignment wrapText="1"/>
    </xf>
    <xf numFmtId="1" fontId="7" fillId="5" borderId="31" xfId="0" applyNumberFormat="1" applyFont="1" applyFill="1" applyBorder="1" applyAlignment="1">
      <alignment horizontal="center"/>
    </xf>
    <xf numFmtId="1" fontId="7" fillId="5" borderId="17" xfId="0" applyNumberFormat="1" applyFont="1" applyFill="1" applyBorder="1" applyAlignment="1">
      <alignment horizontal="center"/>
    </xf>
    <xf numFmtId="1" fontId="7" fillId="6" borderId="31" xfId="0" applyNumberFormat="1" applyFont="1" applyFill="1" applyBorder="1" applyAlignment="1">
      <alignment horizontal="center"/>
    </xf>
    <xf numFmtId="1" fontId="7" fillId="6" borderId="17" xfId="0" applyNumberFormat="1" applyFont="1" applyFill="1" applyBorder="1" applyAlignment="1">
      <alignment horizontal="center"/>
    </xf>
    <xf numFmtId="0" fontId="7" fillId="7" borderId="10" xfId="0" applyFont="1" applyFill="1" applyBorder="1"/>
    <xf numFmtId="0" fontId="7" fillId="5" borderId="31" xfId="0" applyFont="1" applyFill="1" applyBorder="1"/>
    <xf numFmtId="0" fontId="7" fillId="5" borderId="17" xfId="0" applyFont="1" applyFill="1" applyBorder="1"/>
    <xf numFmtId="0" fontId="7" fillId="6" borderId="31" xfId="0" applyFont="1" applyFill="1" applyBorder="1"/>
    <xf numFmtId="0" fontId="7" fillId="6" borderId="17" xfId="0" applyFont="1" applyFill="1" applyBorder="1"/>
    <xf numFmtId="167" fontId="7" fillId="0" borderId="10" xfId="0" applyNumberFormat="1" applyFont="1" applyBorder="1" applyAlignment="1">
      <alignment horizontal="center"/>
    </xf>
    <xf numFmtId="167" fontId="7" fillId="7" borderId="10" xfId="0" applyNumberFormat="1" applyFont="1" applyFill="1" applyBorder="1" applyAlignment="1">
      <alignment horizontal="center"/>
    </xf>
    <xf numFmtId="167" fontId="7" fillId="5" borderId="31" xfId="0" applyNumberFormat="1" applyFont="1" applyFill="1" applyBorder="1" applyAlignment="1">
      <alignment horizontal="center"/>
    </xf>
    <xf numFmtId="167" fontId="7" fillId="5" borderId="17" xfId="0" applyNumberFormat="1" applyFont="1" applyFill="1" applyBorder="1" applyAlignment="1">
      <alignment horizontal="center"/>
    </xf>
    <xf numFmtId="167" fontId="7" fillId="6" borderId="31" xfId="0" applyNumberFormat="1" applyFont="1" applyFill="1" applyBorder="1" applyAlignment="1">
      <alignment horizontal="center"/>
    </xf>
    <xf numFmtId="167" fontId="7" fillId="6" borderId="17" xfId="0" applyNumberFormat="1" applyFont="1" applyFill="1" applyBorder="1" applyAlignment="1">
      <alignment horizontal="center"/>
    </xf>
    <xf numFmtId="1" fontId="7" fillId="0" borderId="45" xfId="0" applyNumberFormat="1" applyFont="1" applyBorder="1" applyAlignment="1">
      <alignment horizontal="center"/>
    </xf>
    <xf numFmtId="1" fontId="7" fillId="5" borderId="62" xfId="0" applyNumberFormat="1" applyFont="1" applyFill="1" applyBorder="1" applyAlignment="1">
      <alignment horizontal="center"/>
    </xf>
    <xf numFmtId="0" fontId="4" fillId="0" borderId="32" xfId="0" applyFont="1" applyBorder="1"/>
    <xf numFmtId="0" fontId="4" fillId="0" borderId="23" xfId="0" applyFont="1" applyBorder="1" applyAlignment="1">
      <alignment horizontal="center"/>
    </xf>
    <xf numFmtId="1" fontId="4" fillId="0" borderId="1" xfId="0" applyNumberFormat="1" applyFont="1" applyBorder="1" applyAlignment="1">
      <alignment horizontal="center"/>
    </xf>
    <xf numFmtId="1" fontId="4" fillId="0" borderId="5" xfId="0" applyNumberFormat="1" applyFont="1" applyBorder="1" applyAlignment="1">
      <alignment horizontal="center"/>
    </xf>
    <xf numFmtId="1" fontId="4" fillId="7" borderId="1" xfId="0" applyNumberFormat="1" applyFont="1" applyFill="1" applyBorder="1" applyAlignment="1">
      <alignment horizontal="center"/>
    </xf>
    <xf numFmtId="1" fontId="4" fillId="7" borderId="5" xfId="0" applyNumberFormat="1" applyFont="1" applyFill="1" applyBorder="1" applyAlignment="1">
      <alignment horizontal="center"/>
    </xf>
    <xf numFmtId="1" fontId="4" fillId="5" borderId="1" xfId="0" applyNumberFormat="1" applyFont="1" applyFill="1" applyBorder="1" applyAlignment="1">
      <alignment horizontal="center"/>
    </xf>
    <xf numFmtId="1" fontId="4" fillId="5" borderId="11" xfId="0" applyNumberFormat="1" applyFont="1" applyFill="1" applyBorder="1" applyAlignment="1">
      <alignment horizontal="center"/>
    </xf>
    <xf numFmtId="1" fontId="4" fillId="6" borderId="1" xfId="0" applyNumberFormat="1" applyFont="1" applyFill="1" applyBorder="1" applyAlignment="1">
      <alignment horizontal="center"/>
    </xf>
    <xf numFmtId="1" fontId="4" fillId="6" borderId="11" xfId="0" applyNumberFormat="1" applyFont="1" applyFill="1" applyBorder="1" applyAlignment="1">
      <alignment horizontal="center"/>
    </xf>
    <xf numFmtId="1" fontId="36" fillId="0" borderId="0" xfId="0" applyNumberFormat="1" applyFont="1"/>
    <xf numFmtId="0" fontId="36" fillId="47" borderId="0" xfId="0" applyFont="1" applyFill="1"/>
    <xf numFmtId="0" fontId="12" fillId="0" borderId="0" xfId="0" applyFont="1" applyAlignment="1">
      <alignment horizontal="left" wrapText="1"/>
    </xf>
    <xf numFmtId="2" fontId="12" fillId="0" borderId="0" xfId="0" applyNumberFormat="1" applyFont="1"/>
    <xf numFmtId="0" fontId="26" fillId="0" borderId="41" xfId="0" applyFont="1" applyBorder="1"/>
    <xf numFmtId="0" fontId="26" fillId="0" borderId="41" xfId="0" applyFont="1" applyBorder="1" applyAlignment="1">
      <alignment horizontal="center" vertical="center"/>
    </xf>
    <xf numFmtId="0" fontId="26" fillId="0" borderId="66" xfId="0" applyFont="1" applyBorder="1" applyAlignment="1">
      <alignment horizontal="center" vertical="center"/>
    </xf>
    <xf numFmtId="0" fontId="26" fillId="0" borderId="23" xfId="0" applyFont="1" applyBorder="1"/>
    <xf numFmtId="0" fontId="26" fillId="0" borderId="23" xfId="0" applyFont="1" applyBorder="1" applyAlignment="1">
      <alignment horizontal="center" vertical="center"/>
    </xf>
    <xf numFmtId="0" fontId="26" fillId="0" borderId="68" xfId="0" applyFont="1" applyBorder="1" applyAlignment="1">
      <alignment horizontal="center" vertical="center"/>
    </xf>
    <xf numFmtId="0" fontId="26" fillId="0" borderId="63" xfId="0" applyFont="1" applyBorder="1" applyAlignment="1">
      <alignment horizontal="left" indent="1"/>
    </xf>
    <xf numFmtId="167" fontId="26" fillId="0" borderId="41" xfId="0" applyNumberFormat="1" applyFont="1" applyBorder="1" applyAlignment="1">
      <alignment horizontal="center" vertical="center"/>
    </xf>
    <xf numFmtId="167" fontId="12" fillId="0" borderId="63" xfId="0" applyNumberFormat="1" applyFont="1" applyBorder="1" applyAlignment="1">
      <alignment horizontal="center" vertical="center"/>
    </xf>
    <xf numFmtId="167" fontId="12" fillId="0" borderId="42" xfId="0" applyNumberFormat="1" applyFont="1" applyBorder="1" applyAlignment="1">
      <alignment horizontal="center" vertical="center"/>
    </xf>
    <xf numFmtId="167" fontId="12" fillId="7" borderId="63" xfId="0" applyNumberFormat="1" applyFont="1" applyFill="1" applyBorder="1" applyAlignment="1">
      <alignment horizontal="center" vertical="center"/>
    </xf>
    <xf numFmtId="167" fontId="12" fillId="7" borderId="42" xfId="0" applyNumberFormat="1" applyFont="1" applyFill="1" applyBorder="1" applyAlignment="1">
      <alignment horizontal="center" vertical="center"/>
    </xf>
    <xf numFmtId="167" fontId="12" fillId="5" borderId="63" xfId="0" applyNumberFormat="1" applyFont="1" applyFill="1" applyBorder="1" applyAlignment="1">
      <alignment horizontal="center" vertical="center"/>
    </xf>
    <xf numFmtId="167" fontId="12" fillId="5" borderId="42" xfId="0" applyNumberFormat="1" applyFont="1" applyFill="1" applyBorder="1" applyAlignment="1">
      <alignment horizontal="center" vertical="center"/>
    </xf>
    <xf numFmtId="167" fontId="12" fillId="5" borderId="18" xfId="0" applyNumberFormat="1" applyFont="1" applyFill="1" applyBorder="1" applyAlignment="1">
      <alignment horizontal="center" vertical="center"/>
    </xf>
    <xf numFmtId="167" fontId="12" fillId="6" borderId="63" xfId="0" applyNumberFormat="1" applyFont="1" applyFill="1" applyBorder="1" applyAlignment="1">
      <alignment horizontal="center" vertical="center"/>
    </xf>
    <xf numFmtId="167" fontId="12" fillId="6" borderId="18" xfId="0" applyNumberFormat="1" applyFont="1" applyFill="1" applyBorder="1" applyAlignment="1">
      <alignment horizontal="center" vertical="center"/>
    </xf>
    <xf numFmtId="0" fontId="26" fillId="8" borderId="31" xfId="0" applyFont="1" applyFill="1" applyBorder="1" applyAlignment="1">
      <alignment horizontal="left" indent="1"/>
    </xf>
    <xf numFmtId="0" fontId="26" fillId="8" borderId="106" xfId="0" applyFont="1" applyFill="1" applyBorder="1" applyAlignment="1">
      <alignment horizontal="center" vertical="center"/>
    </xf>
    <xf numFmtId="0" fontId="26" fillId="8" borderId="107" xfId="0" applyFont="1" applyFill="1" applyBorder="1" applyAlignment="1">
      <alignment horizontal="center" vertical="center"/>
    </xf>
    <xf numFmtId="167" fontId="12" fillId="8" borderId="31" xfId="0" applyNumberFormat="1" applyFont="1" applyFill="1" applyBorder="1" applyAlignment="1">
      <alignment horizontal="center" vertical="center"/>
    </xf>
    <xf numFmtId="167" fontId="12" fillId="7" borderId="31" xfId="0" applyNumberFormat="1" applyFont="1" applyFill="1" applyBorder="1" applyAlignment="1">
      <alignment horizontal="center" vertical="center"/>
    </xf>
    <xf numFmtId="167" fontId="12" fillId="8" borderId="12" xfId="0" applyNumberFormat="1" applyFont="1" applyFill="1" applyBorder="1" applyAlignment="1">
      <alignment horizontal="center" vertical="center"/>
    </xf>
    <xf numFmtId="0" fontId="26" fillId="0" borderId="31" xfId="0" applyFont="1" applyBorder="1" applyAlignment="1">
      <alignment horizontal="right" indent="1"/>
    </xf>
    <xf numFmtId="0" fontId="26" fillId="0" borderId="106" xfId="0" applyFont="1" applyBorder="1" applyAlignment="1">
      <alignment horizontal="center" vertical="center"/>
    </xf>
    <xf numFmtId="167" fontId="26" fillId="0" borderId="106" xfId="0" applyNumberFormat="1" applyFont="1" applyBorder="1" applyAlignment="1">
      <alignment horizontal="center" vertical="center"/>
    </xf>
    <xf numFmtId="167" fontId="26" fillId="0" borderId="107" xfId="0" applyNumberFormat="1" applyFont="1" applyBorder="1" applyAlignment="1">
      <alignment horizontal="center" vertical="center"/>
    </xf>
    <xf numFmtId="167" fontId="12" fillId="0" borderId="31" xfId="0" applyNumberFormat="1" applyFont="1" applyBorder="1" applyAlignment="1">
      <alignment horizontal="center" vertical="center"/>
    </xf>
    <xf numFmtId="167" fontId="12" fillId="0" borderId="17" xfId="0" applyNumberFormat="1" applyFont="1" applyBorder="1" applyAlignment="1">
      <alignment horizontal="center" vertical="center"/>
    </xf>
    <xf numFmtId="167" fontId="12" fillId="5" borderId="31" xfId="0" applyNumberFormat="1" applyFont="1" applyFill="1" applyBorder="1" applyAlignment="1">
      <alignment horizontal="center" vertical="center"/>
    </xf>
    <xf numFmtId="167" fontId="12" fillId="5" borderId="17" xfId="0" applyNumberFormat="1" applyFont="1" applyFill="1" applyBorder="1" applyAlignment="1">
      <alignment horizontal="center" vertical="center"/>
    </xf>
    <xf numFmtId="167" fontId="12" fillId="5" borderId="12" xfId="0" applyNumberFormat="1" applyFont="1" applyFill="1" applyBorder="1" applyAlignment="1">
      <alignment horizontal="center" vertical="center"/>
    </xf>
    <xf numFmtId="167" fontId="12" fillId="6" borderId="31" xfId="0" applyNumberFormat="1" applyFont="1" applyFill="1" applyBorder="1" applyAlignment="1">
      <alignment horizontal="center" vertical="center"/>
    </xf>
    <xf numFmtId="167" fontId="12" fillId="6" borderId="12" xfId="0" applyNumberFormat="1" applyFont="1" applyFill="1" applyBorder="1" applyAlignment="1">
      <alignment horizontal="center" vertical="center"/>
    </xf>
    <xf numFmtId="0" fontId="26" fillId="0" borderId="31" xfId="0" applyFont="1" applyBorder="1" applyAlignment="1">
      <alignment horizontal="left" indent="1"/>
    </xf>
    <xf numFmtId="2" fontId="26" fillId="0" borderId="107" xfId="0" applyNumberFormat="1" applyFont="1" applyBorder="1" applyAlignment="1">
      <alignment horizontal="center" vertical="center"/>
    </xf>
    <xf numFmtId="2" fontId="12" fillId="0" borderId="31" xfId="0" applyNumberFormat="1" applyFont="1" applyBorder="1" applyAlignment="1">
      <alignment horizontal="center" vertical="center"/>
    </xf>
    <xf numFmtId="2" fontId="12" fillId="7" borderId="31" xfId="0" applyNumberFormat="1" applyFont="1" applyFill="1" applyBorder="1" applyAlignment="1">
      <alignment horizontal="center" vertical="center"/>
    </xf>
    <xf numFmtId="2" fontId="12" fillId="5" borderId="31" xfId="0" applyNumberFormat="1" applyFont="1" applyFill="1" applyBorder="1" applyAlignment="1">
      <alignment horizontal="center" vertical="center"/>
    </xf>
    <xf numFmtId="167" fontId="12" fillId="5" borderId="20" xfId="0" applyNumberFormat="1" applyFont="1" applyFill="1" applyBorder="1" applyAlignment="1">
      <alignment horizontal="center" vertical="center"/>
    </xf>
    <xf numFmtId="2" fontId="12" fillId="5" borderId="12" xfId="0" applyNumberFormat="1" applyFont="1" applyFill="1" applyBorder="1" applyAlignment="1">
      <alignment horizontal="center" vertical="center"/>
    </xf>
    <xf numFmtId="2" fontId="12" fillId="6" borderId="31" xfId="0" applyNumberFormat="1" applyFont="1" applyFill="1" applyBorder="1" applyAlignment="1">
      <alignment horizontal="center" vertical="center"/>
    </xf>
    <xf numFmtId="2" fontId="12" fillId="6" borderId="12" xfId="0" applyNumberFormat="1" applyFont="1" applyFill="1" applyBorder="1" applyAlignment="1">
      <alignment horizontal="center" vertical="center"/>
    </xf>
    <xf numFmtId="0" fontId="26" fillId="0" borderId="31" xfId="0" applyFont="1" applyBorder="1"/>
    <xf numFmtId="0" fontId="12" fillId="7" borderId="0" xfId="0" applyFont="1" applyFill="1"/>
    <xf numFmtId="0" fontId="12" fillId="0" borderId="54" xfId="0" applyFont="1" applyBorder="1"/>
    <xf numFmtId="0" fontId="26" fillId="0" borderId="31" xfId="0" applyFont="1" applyBorder="1" applyAlignment="1">
      <alignment horizontal="right"/>
    </xf>
    <xf numFmtId="167" fontId="26" fillId="8" borderId="106" xfId="0" applyNumberFormat="1" applyFont="1" applyFill="1" applyBorder="1" applyAlignment="1">
      <alignment horizontal="center" vertical="center"/>
    </xf>
    <xf numFmtId="1" fontId="26" fillId="8" borderId="107" xfId="0" applyNumberFormat="1" applyFont="1" applyFill="1" applyBorder="1" applyAlignment="1">
      <alignment horizontal="center" vertical="center"/>
    </xf>
    <xf numFmtId="167" fontId="26" fillId="8" borderId="107" xfId="0" applyNumberFormat="1" applyFont="1" applyFill="1" applyBorder="1" applyAlignment="1">
      <alignment horizontal="center" vertical="center"/>
    </xf>
    <xf numFmtId="0" fontId="26" fillId="0" borderId="32" xfId="0" applyFont="1" applyBorder="1" applyAlignment="1">
      <alignment horizontal="right"/>
    </xf>
    <xf numFmtId="167" fontId="26" fillId="0" borderId="23" xfId="0" applyNumberFormat="1" applyFont="1" applyBorder="1" applyAlignment="1">
      <alignment horizontal="center" vertical="center"/>
    </xf>
    <xf numFmtId="167" fontId="26" fillId="0" borderId="68" xfId="0" applyNumberFormat="1" applyFont="1" applyBorder="1" applyAlignment="1">
      <alignment horizontal="center" vertical="center"/>
    </xf>
    <xf numFmtId="167" fontId="12" fillId="0" borderId="32" xfId="0" applyNumberFormat="1" applyFont="1" applyBorder="1" applyAlignment="1">
      <alignment horizontal="center" vertical="center"/>
    </xf>
    <xf numFmtId="167" fontId="12" fillId="0" borderId="33" xfId="0" applyNumberFormat="1" applyFont="1" applyBorder="1" applyAlignment="1">
      <alignment horizontal="center" vertical="center"/>
    </xf>
    <xf numFmtId="167" fontId="12" fillId="7" borderId="32" xfId="0" applyNumberFormat="1" applyFont="1" applyFill="1" applyBorder="1" applyAlignment="1">
      <alignment horizontal="center" vertical="center"/>
    </xf>
    <xf numFmtId="167" fontId="12" fillId="5" borderId="32" xfId="0" applyNumberFormat="1" applyFont="1" applyFill="1" applyBorder="1" applyAlignment="1">
      <alignment horizontal="center" vertical="center"/>
    </xf>
    <xf numFmtId="167" fontId="12" fillId="5" borderId="33" xfId="0" applyNumberFormat="1" applyFont="1" applyFill="1" applyBorder="1" applyAlignment="1">
      <alignment horizontal="center" vertical="center"/>
    </xf>
    <xf numFmtId="167" fontId="12" fillId="6" borderId="32" xfId="0" applyNumberFormat="1" applyFont="1" applyFill="1" applyBorder="1" applyAlignment="1">
      <alignment horizontal="center" vertical="center"/>
    </xf>
    <xf numFmtId="167" fontId="12" fillId="6" borderId="20" xfId="0" applyNumberFormat="1" applyFont="1" applyFill="1" applyBorder="1" applyAlignment="1">
      <alignment horizontal="center" vertical="center"/>
    </xf>
    <xf numFmtId="0" fontId="26" fillId="0" borderId="63" xfId="0" applyFont="1" applyBorder="1"/>
    <xf numFmtId="2" fontId="26" fillId="0" borderId="41" xfId="0" applyNumberFormat="1" applyFont="1" applyBorder="1" applyAlignment="1">
      <alignment horizontal="center" vertical="center"/>
    </xf>
    <xf numFmtId="2" fontId="26" fillId="0" borderId="66" xfId="0" applyNumberFormat="1" applyFont="1" applyBorder="1" applyAlignment="1">
      <alignment horizontal="center" vertical="center"/>
    </xf>
    <xf numFmtId="2" fontId="12" fillId="0" borderId="63" xfId="0" applyNumberFormat="1" applyFont="1" applyBorder="1" applyAlignment="1">
      <alignment horizontal="center" vertical="center"/>
    </xf>
    <xf numFmtId="2" fontId="12" fillId="0" borderId="42" xfId="0" applyNumberFormat="1" applyFont="1" applyBorder="1" applyAlignment="1">
      <alignment horizontal="center" vertical="center"/>
    </xf>
    <xf numFmtId="2" fontId="12" fillId="7" borderId="63" xfId="0" applyNumberFormat="1" applyFont="1" applyFill="1" applyBorder="1" applyAlignment="1">
      <alignment horizontal="center" vertical="center"/>
    </xf>
    <xf numFmtId="2" fontId="12" fillId="7" borderId="42" xfId="0" applyNumberFormat="1" applyFont="1" applyFill="1" applyBorder="1" applyAlignment="1">
      <alignment horizontal="center" vertical="center"/>
    </xf>
    <xf numFmtId="2" fontId="12" fillId="5" borderId="63" xfId="0" applyNumberFormat="1" applyFont="1" applyFill="1" applyBorder="1" applyAlignment="1">
      <alignment horizontal="center" vertical="center"/>
    </xf>
    <xf numFmtId="2" fontId="12" fillId="5" borderId="42" xfId="0" applyNumberFormat="1" applyFont="1" applyFill="1" applyBorder="1" applyAlignment="1">
      <alignment horizontal="center" vertical="center"/>
    </xf>
    <xf numFmtId="2" fontId="12" fillId="6" borderId="63" xfId="0" applyNumberFormat="1" applyFont="1" applyFill="1" applyBorder="1" applyAlignment="1">
      <alignment horizontal="center" vertical="center"/>
    </xf>
    <xf numFmtId="2" fontId="12" fillId="6" borderId="18" xfId="0" applyNumberFormat="1" applyFont="1" applyFill="1" applyBorder="1" applyAlignment="1">
      <alignment horizontal="center" vertical="center"/>
    </xf>
    <xf numFmtId="2" fontId="12" fillId="5" borderId="18" xfId="0" applyNumberFormat="1" applyFont="1" applyFill="1" applyBorder="1" applyAlignment="1">
      <alignment horizontal="center" vertical="center"/>
    </xf>
    <xf numFmtId="1" fontId="26" fillId="0" borderId="106" xfId="0" applyNumberFormat="1" applyFont="1" applyBorder="1" applyAlignment="1">
      <alignment horizontal="center" vertical="center"/>
    </xf>
    <xf numFmtId="1" fontId="12" fillId="0" borderId="17" xfId="0" applyNumberFormat="1" applyFont="1" applyBorder="1" applyAlignment="1">
      <alignment horizontal="center" vertical="center"/>
    </xf>
    <xf numFmtId="1" fontId="12" fillId="7" borderId="31" xfId="0" applyNumberFormat="1" applyFont="1" applyFill="1" applyBorder="1" applyAlignment="1">
      <alignment horizontal="center" vertical="center"/>
    </xf>
    <xf numFmtId="1" fontId="12" fillId="5" borderId="31" xfId="0" applyNumberFormat="1" applyFont="1" applyFill="1" applyBorder="1" applyAlignment="1">
      <alignment horizontal="center" vertical="center"/>
    </xf>
    <xf numFmtId="1" fontId="12" fillId="5" borderId="17" xfId="0" applyNumberFormat="1" applyFont="1" applyFill="1" applyBorder="1" applyAlignment="1">
      <alignment horizontal="center" vertical="center"/>
    </xf>
    <xf numFmtId="1" fontId="12" fillId="6" borderId="31" xfId="0" applyNumberFormat="1" applyFont="1" applyFill="1" applyBorder="1" applyAlignment="1">
      <alignment horizontal="center" vertical="center"/>
    </xf>
    <xf numFmtId="1" fontId="12" fillId="6" borderId="12" xfId="0" applyNumberFormat="1" applyFont="1" applyFill="1" applyBorder="1" applyAlignment="1">
      <alignment horizontal="center" vertical="center"/>
    </xf>
    <xf numFmtId="1" fontId="12" fillId="5" borderId="12" xfId="0" applyNumberFormat="1" applyFont="1" applyFill="1" applyBorder="1" applyAlignment="1">
      <alignment horizontal="center" vertical="center"/>
    </xf>
    <xf numFmtId="2" fontId="12" fillId="5" borderId="17" xfId="0" applyNumberFormat="1" applyFont="1" applyFill="1" applyBorder="1" applyAlignment="1">
      <alignment horizontal="center" vertical="center"/>
    </xf>
    <xf numFmtId="0" fontId="26" fillId="0" borderId="62" xfId="0" applyFont="1" applyBorder="1"/>
    <xf numFmtId="0" fontId="26" fillId="0" borderId="45" xfId="0" applyFont="1" applyBorder="1" applyAlignment="1">
      <alignment horizontal="center" vertical="center"/>
    </xf>
    <xf numFmtId="167" fontId="26" fillId="0" borderId="45" xfId="0" applyNumberFormat="1" applyFont="1" applyBorder="1" applyAlignment="1">
      <alignment horizontal="center" vertical="center"/>
    </xf>
    <xf numFmtId="167" fontId="26" fillId="8" borderId="65" xfId="0" applyNumberFormat="1" applyFont="1" applyFill="1" applyBorder="1" applyAlignment="1">
      <alignment horizontal="center" vertical="center"/>
    </xf>
    <xf numFmtId="0" fontId="26" fillId="0" borderId="32" xfId="0" applyFont="1" applyBorder="1"/>
    <xf numFmtId="167" fontId="26" fillId="8" borderId="68" xfId="0" applyNumberFormat="1" applyFont="1" applyFill="1" applyBorder="1" applyAlignment="1">
      <alignment horizontal="center" vertical="center"/>
    </xf>
    <xf numFmtId="0" fontId="26" fillId="0" borderId="30" xfId="0" applyFont="1" applyBorder="1"/>
    <xf numFmtId="0" fontId="26" fillId="0" borderId="30" xfId="0" applyFont="1" applyBorder="1" applyAlignment="1">
      <alignment horizontal="center" vertical="center"/>
    </xf>
    <xf numFmtId="1" fontId="26" fillId="0" borderId="30" xfId="0" applyNumberFormat="1" applyFont="1" applyBorder="1" applyAlignment="1">
      <alignment horizontal="center" vertical="center"/>
    </xf>
    <xf numFmtId="1" fontId="26" fillId="0" borderId="53" xfId="0" applyNumberFormat="1" applyFont="1" applyBorder="1" applyAlignment="1">
      <alignment horizontal="center" vertical="center"/>
    </xf>
    <xf numFmtId="1" fontId="12" fillId="0" borderId="53" xfId="0" applyNumberFormat="1" applyFont="1" applyBorder="1" applyAlignment="1">
      <alignment horizontal="center" vertical="center"/>
    </xf>
    <xf numFmtId="1" fontId="12" fillId="7" borderId="53" xfId="0" applyNumberFormat="1" applyFont="1" applyFill="1" applyBorder="1" applyAlignment="1">
      <alignment horizontal="center" vertical="center"/>
    </xf>
    <xf numFmtId="1" fontId="12" fillId="5" borderId="34" xfId="0" applyNumberFormat="1" applyFont="1" applyFill="1" applyBorder="1" applyAlignment="1">
      <alignment horizontal="center" vertical="center"/>
    </xf>
    <xf numFmtId="1" fontId="12" fillId="5" borderId="53" xfId="0" applyNumberFormat="1" applyFont="1" applyFill="1" applyBorder="1" applyAlignment="1">
      <alignment horizontal="center" vertical="center"/>
    </xf>
    <xf numFmtId="1" fontId="12" fillId="7" borderId="34" xfId="0" applyNumberFormat="1" applyFont="1" applyFill="1" applyBorder="1" applyAlignment="1">
      <alignment horizontal="center" vertical="center"/>
    </xf>
    <xf numFmtId="1" fontId="12" fillId="6" borderId="34" xfId="0" applyNumberFormat="1" applyFont="1" applyFill="1" applyBorder="1" applyAlignment="1">
      <alignment horizontal="center" vertical="center"/>
    </xf>
    <xf numFmtId="1" fontId="12" fillId="6" borderId="22" xfId="0" applyNumberFormat="1" applyFont="1" applyFill="1" applyBorder="1" applyAlignment="1">
      <alignment horizontal="center" vertical="center"/>
    </xf>
    <xf numFmtId="1" fontId="12" fillId="5" borderId="22" xfId="0" applyNumberFormat="1" applyFont="1" applyFill="1" applyBorder="1" applyAlignment="1">
      <alignment horizontal="center" vertical="center"/>
    </xf>
    <xf numFmtId="0" fontId="26" fillId="0" borderId="10" xfId="0" applyFont="1" applyBorder="1"/>
    <xf numFmtId="1" fontId="26" fillId="0" borderId="10" xfId="0" applyNumberFormat="1" applyFont="1" applyBorder="1" applyAlignment="1">
      <alignment horizontal="center" vertical="center"/>
    </xf>
    <xf numFmtId="1" fontId="26" fillId="0" borderId="17" xfId="0" applyNumberFormat="1" applyFont="1" applyBorder="1" applyAlignment="1">
      <alignment horizontal="center" vertical="center"/>
    </xf>
    <xf numFmtId="169" fontId="26" fillId="0" borderId="10" xfId="0" applyNumberFormat="1" applyFont="1" applyBorder="1" applyAlignment="1">
      <alignment horizontal="center" vertical="center"/>
    </xf>
    <xf numFmtId="169" fontId="26" fillId="0" borderId="17" xfId="0" applyNumberFormat="1" applyFont="1" applyBorder="1" applyAlignment="1">
      <alignment horizontal="center" vertical="center"/>
    </xf>
    <xf numFmtId="169" fontId="12" fillId="0" borderId="17" xfId="0" applyNumberFormat="1" applyFont="1" applyBorder="1" applyAlignment="1">
      <alignment horizontal="center" vertical="center"/>
    </xf>
    <xf numFmtId="169" fontId="12" fillId="7" borderId="17" xfId="0" applyNumberFormat="1" applyFont="1" applyFill="1" applyBorder="1" applyAlignment="1">
      <alignment horizontal="center" vertical="center"/>
    </xf>
    <xf numFmtId="169" fontId="12" fillId="5" borderId="31" xfId="0" applyNumberFormat="1" applyFont="1" applyFill="1" applyBorder="1" applyAlignment="1">
      <alignment horizontal="center" vertical="center"/>
    </xf>
    <xf numFmtId="169" fontId="12" fillId="5" borderId="17" xfId="0" applyNumberFormat="1" applyFont="1" applyFill="1" applyBorder="1" applyAlignment="1">
      <alignment horizontal="center" vertical="center"/>
    </xf>
    <xf numFmtId="169" fontId="12" fillId="7" borderId="31" xfId="0" applyNumberFormat="1" applyFont="1" applyFill="1" applyBorder="1" applyAlignment="1">
      <alignment horizontal="center" vertical="center"/>
    </xf>
    <xf numFmtId="169" fontId="12" fillId="6" borderId="31" xfId="0" applyNumberFormat="1" applyFont="1" applyFill="1" applyBorder="1" applyAlignment="1">
      <alignment horizontal="center" vertical="center"/>
    </xf>
    <xf numFmtId="169" fontId="12" fillId="6" borderId="12" xfId="0" applyNumberFormat="1" applyFont="1" applyFill="1" applyBorder="1" applyAlignment="1">
      <alignment horizontal="center" vertical="center"/>
    </xf>
    <xf numFmtId="169" fontId="12" fillId="5" borderId="12" xfId="0" applyNumberFormat="1" applyFont="1" applyFill="1" applyBorder="1" applyAlignment="1">
      <alignment horizontal="center" vertical="center"/>
    </xf>
    <xf numFmtId="0" fontId="26" fillId="0" borderId="45" xfId="0" applyFont="1" applyBorder="1"/>
    <xf numFmtId="2" fontId="26" fillId="0" borderId="45" xfId="0" applyNumberFormat="1" applyFont="1" applyBorder="1" applyAlignment="1">
      <alignment horizontal="center" vertical="center"/>
    </xf>
    <xf numFmtId="2" fontId="26" fillId="0" borderId="17" xfId="0" applyNumberFormat="1" applyFont="1" applyBorder="1" applyAlignment="1">
      <alignment horizontal="center" vertical="center"/>
    </xf>
    <xf numFmtId="2" fontId="12" fillId="0" borderId="17" xfId="0" applyNumberFormat="1" applyFont="1" applyBorder="1" applyAlignment="1">
      <alignment horizontal="center" vertical="center"/>
    </xf>
    <xf numFmtId="1" fontId="26" fillId="0" borderId="23" xfId="0" applyNumberFormat="1" applyFont="1" applyBorder="1" applyAlignment="1">
      <alignment horizontal="center" vertical="center"/>
    </xf>
    <xf numFmtId="1" fontId="26" fillId="0" borderId="33" xfId="0" applyNumberFormat="1" applyFont="1" applyBorder="1" applyAlignment="1">
      <alignment horizontal="center" vertical="center"/>
    </xf>
    <xf numFmtId="1" fontId="12" fillId="0" borderId="33" xfId="0" applyNumberFormat="1" applyFont="1" applyBorder="1" applyAlignment="1">
      <alignment horizontal="center" vertical="center"/>
    </xf>
    <xf numFmtId="1" fontId="12" fillId="7" borderId="33" xfId="0" applyNumberFormat="1" applyFont="1" applyFill="1" applyBorder="1" applyAlignment="1">
      <alignment horizontal="center" vertical="center"/>
    </xf>
    <xf numFmtId="1" fontId="12" fillId="5" borderId="32" xfId="0" applyNumberFormat="1" applyFont="1" applyFill="1" applyBorder="1" applyAlignment="1">
      <alignment horizontal="center" vertical="center"/>
    </xf>
    <xf numFmtId="1" fontId="12" fillId="5" borderId="33" xfId="0" applyNumberFormat="1" applyFont="1" applyFill="1" applyBorder="1" applyAlignment="1">
      <alignment horizontal="center" vertical="center"/>
    </xf>
    <xf numFmtId="1" fontId="12" fillId="7" borderId="32" xfId="0" applyNumberFormat="1" applyFont="1" applyFill="1" applyBorder="1" applyAlignment="1">
      <alignment horizontal="center" vertical="center"/>
    </xf>
    <xf numFmtId="1" fontId="12" fillId="6" borderId="32" xfId="0" applyNumberFormat="1" applyFont="1" applyFill="1" applyBorder="1" applyAlignment="1">
      <alignment horizontal="center" vertical="center"/>
    </xf>
    <xf numFmtId="1" fontId="12" fillId="6" borderId="20" xfId="0" applyNumberFormat="1" applyFont="1" applyFill="1" applyBorder="1" applyAlignment="1">
      <alignment horizontal="center" vertical="center"/>
    </xf>
    <xf numFmtId="0" fontId="12" fillId="0" borderId="1" xfId="0" applyFont="1" applyBorder="1" applyAlignment="1">
      <alignment horizontal="center" vertical="center"/>
    </xf>
    <xf numFmtId="0" fontId="26" fillId="0" borderId="5" xfId="0" applyFont="1" applyBorder="1"/>
    <xf numFmtId="0" fontId="26" fillId="0" borderId="5" xfId="0" applyFont="1" applyBorder="1" applyAlignment="1">
      <alignment horizontal="center" vertical="center"/>
    </xf>
    <xf numFmtId="1" fontId="26" fillId="0" borderId="5" xfId="0" applyNumberFormat="1" applyFont="1" applyBorder="1" applyAlignment="1">
      <alignment horizontal="center" vertical="center"/>
    </xf>
    <xf numFmtId="1" fontId="12" fillId="0" borderId="11" xfId="0" applyNumberFormat="1" applyFont="1" applyBorder="1" applyAlignment="1">
      <alignment horizontal="center" vertical="center"/>
    </xf>
    <xf numFmtId="1" fontId="12" fillId="7" borderId="11" xfId="0" applyNumberFormat="1" applyFont="1" applyFill="1" applyBorder="1" applyAlignment="1">
      <alignment horizontal="center" vertical="center"/>
    </xf>
    <xf numFmtId="1" fontId="12" fillId="5" borderId="1" xfId="0" applyNumberFormat="1" applyFont="1" applyFill="1" applyBorder="1" applyAlignment="1">
      <alignment horizontal="center" vertical="center"/>
    </xf>
    <xf numFmtId="1" fontId="12" fillId="5" borderId="11" xfId="0" applyNumberFormat="1" applyFont="1" applyFill="1" applyBorder="1" applyAlignment="1">
      <alignment horizontal="center" vertical="center"/>
    </xf>
    <xf numFmtId="1" fontId="12" fillId="7" borderId="1" xfId="0" applyNumberFormat="1" applyFont="1" applyFill="1" applyBorder="1" applyAlignment="1">
      <alignment horizontal="center" vertical="center"/>
    </xf>
    <xf numFmtId="1" fontId="12" fillId="6" borderId="1" xfId="0" applyNumberFormat="1" applyFont="1" applyFill="1" applyBorder="1" applyAlignment="1">
      <alignment horizontal="center" vertical="center"/>
    </xf>
    <xf numFmtId="1" fontId="12" fillId="6" borderId="13" xfId="0" applyNumberFormat="1" applyFont="1" applyFill="1" applyBorder="1" applyAlignment="1">
      <alignment horizontal="center" vertical="center"/>
    </xf>
    <xf numFmtId="1" fontId="26" fillId="0" borderId="41" xfId="0" applyNumberFormat="1" applyFont="1" applyBorder="1" applyAlignment="1">
      <alignment horizontal="center" vertical="center"/>
    </xf>
    <xf numFmtId="1" fontId="26" fillId="0" borderId="42" xfId="0" applyNumberFormat="1" applyFont="1" applyBorder="1" applyAlignment="1">
      <alignment horizontal="center" vertical="center"/>
    </xf>
    <xf numFmtId="1" fontId="12" fillId="0" borderId="42" xfId="0" applyNumberFormat="1" applyFont="1" applyBorder="1" applyAlignment="1">
      <alignment horizontal="center" vertical="center"/>
    </xf>
    <xf numFmtId="1" fontId="12" fillId="7" borderId="42" xfId="0" applyNumberFormat="1" applyFont="1" applyFill="1" applyBorder="1" applyAlignment="1">
      <alignment horizontal="center" vertical="center"/>
    </xf>
    <xf numFmtId="1" fontId="12" fillId="5" borderId="63" xfId="0" applyNumberFormat="1" applyFont="1" applyFill="1" applyBorder="1" applyAlignment="1">
      <alignment horizontal="center" vertical="center"/>
    </xf>
    <xf numFmtId="1" fontId="12" fillId="5" borderId="42" xfId="0" applyNumberFormat="1" applyFont="1" applyFill="1" applyBorder="1" applyAlignment="1">
      <alignment horizontal="center" vertical="center"/>
    </xf>
    <xf numFmtId="1" fontId="12" fillId="7" borderId="63" xfId="0" applyNumberFormat="1" applyFont="1" applyFill="1" applyBorder="1" applyAlignment="1">
      <alignment horizontal="center" vertical="center"/>
    </xf>
    <xf numFmtId="1" fontId="12" fillId="6" borderId="63" xfId="0" applyNumberFormat="1" applyFont="1" applyFill="1" applyBorder="1" applyAlignment="1">
      <alignment horizontal="center" vertical="center"/>
    </xf>
    <xf numFmtId="1" fontId="12" fillId="6" borderId="18" xfId="0" applyNumberFormat="1" applyFont="1" applyFill="1" applyBorder="1" applyAlignment="1">
      <alignment horizontal="center" vertical="center"/>
    </xf>
    <xf numFmtId="167" fontId="26" fillId="0" borderId="10" xfId="0" applyNumberFormat="1" applyFont="1" applyBorder="1" applyAlignment="1">
      <alignment horizontal="center" vertical="center"/>
    </xf>
    <xf numFmtId="167" fontId="26" fillId="0" borderId="17" xfId="0" applyNumberFormat="1" applyFont="1" applyBorder="1" applyAlignment="1">
      <alignment horizontal="center" vertical="center"/>
    </xf>
    <xf numFmtId="2" fontId="26" fillId="0" borderId="10" xfId="0" applyNumberFormat="1" applyFont="1" applyBorder="1" applyAlignment="1">
      <alignment horizontal="center" vertical="center"/>
    </xf>
    <xf numFmtId="2" fontId="12" fillId="0" borderId="33" xfId="0" applyNumberFormat="1" applyFont="1" applyBorder="1" applyAlignment="1">
      <alignment horizontal="center" vertical="center"/>
    </xf>
    <xf numFmtId="0" fontId="26" fillId="8" borderId="41" xfId="0" applyFont="1" applyFill="1" applyBorder="1"/>
    <xf numFmtId="0" fontId="26" fillId="8" borderId="41" xfId="0" applyFont="1" applyFill="1" applyBorder="1" applyAlignment="1">
      <alignment horizontal="center" vertical="center"/>
    </xf>
    <xf numFmtId="0" fontId="26" fillId="8" borderId="66" xfId="0" applyFont="1" applyFill="1" applyBorder="1" applyAlignment="1">
      <alignment horizontal="center" vertical="center"/>
    </xf>
    <xf numFmtId="167" fontId="12" fillId="8" borderId="63" xfId="0" applyNumberFormat="1" applyFont="1" applyFill="1" applyBorder="1" applyAlignment="1">
      <alignment horizontal="center" vertical="center"/>
    </xf>
    <xf numFmtId="167" fontId="12" fillId="8" borderId="42" xfId="0" applyNumberFormat="1" applyFont="1" applyFill="1" applyBorder="1" applyAlignment="1">
      <alignment horizontal="center" vertical="center"/>
    </xf>
    <xf numFmtId="167" fontId="12" fillId="8" borderId="3" xfId="0" applyNumberFormat="1" applyFont="1" applyFill="1" applyBorder="1" applyAlignment="1">
      <alignment horizontal="center" vertical="center"/>
    </xf>
    <xf numFmtId="0" fontId="26" fillId="0" borderId="10" xfId="0" applyFont="1" applyBorder="1" applyAlignment="1">
      <alignment horizontal="right"/>
    </xf>
    <xf numFmtId="167" fontId="26" fillId="0" borderId="37" xfId="0" applyNumberFormat="1" applyFont="1" applyBorder="1" applyAlignment="1">
      <alignment horizontal="center" vertical="center"/>
    </xf>
    <xf numFmtId="0" fontId="26" fillId="8" borderId="10" xfId="0" applyFont="1" applyFill="1" applyBorder="1"/>
    <xf numFmtId="167" fontId="26" fillId="8" borderId="10" xfId="0" applyNumberFormat="1" applyFont="1" applyFill="1" applyBorder="1" applyAlignment="1">
      <alignment horizontal="center" vertical="center"/>
    </xf>
    <xf numFmtId="167" fontId="26" fillId="8" borderId="37" xfId="0" applyNumberFormat="1" applyFont="1" applyFill="1" applyBorder="1" applyAlignment="1">
      <alignment horizontal="center" vertical="center"/>
    </xf>
    <xf numFmtId="0" fontId="26" fillId="0" borderId="37" xfId="0" applyFont="1" applyBorder="1" applyAlignment="1">
      <alignment horizontal="center" vertical="center"/>
    </xf>
    <xf numFmtId="2" fontId="26" fillId="0" borderId="63" xfId="0" applyNumberFormat="1" applyFont="1" applyBorder="1" applyAlignment="1">
      <alignment horizontal="center" vertical="center"/>
    </xf>
    <xf numFmtId="2" fontId="26" fillId="0" borderId="23" xfId="0" applyNumberFormat="1" applyFont="1" applyBorder="1" applyAlignment="1">
      <alignment horizontal="center" vertical="center"/>
    </xf>
    <xf numFmtId="2" fontId="12" fillId="7" borderId="33" xfId="0" applyNumberFormat="1" applyFont="1" applyFill="1" applyBorder="1" applyAlignment="1">
      <alignment horizontal="center" vertical="center"/>
    </xf>
    <xf numFmtId="2" fontId="12" fillId="5" borderId="33" xfId="0" applyNumberFormat="1" applyFont="1" applyFill="1" applyBorder="1" applyAlignment="1">
      <alignment horizontal="center" vertical="center"/>
    </xf>
    <xf numFmtId="2" fontId="12" fillId="6" borderId="20" xfId="0" applyNumberFormat="1" applyFont="1" applyFill="1" applyBorder="1" applyAlignment="1">
      <alignment horizontal="center" vertical="center"/>
    </xf>
    <xf numFmtId="0" fontId="26" fillId="0" borderId="14" xfId="0" applyFont="1" applyBorder="1" applyAlignment="1">
      <alignment horizontal="center" vertical="center"/>
    </xf>
    <xf numFmtId="1" fontId="26" fillId="0" borderId="14" xfId="0" applyNumberFormat="1" applyFont="1" applyBorder="1" applyAlignment="1">
      <alignment horizontal="center" vertical="center"/>
    </xf>
    <xf numFmtId="1" fontId="26" fillId="0" borderId="9" xfId="0" applyNumberFormat="1" applyFont="1" applyBorder="1" applyAlignment="1">
      <alignment horizontal="center" vertical="center"/>
    </xf>
    <xf numFmtId="1" fontId="12" fillId="0" borderId="9" xfId="0" applyNumberFormat="1" applyFont="1" applyBorder="1" applyAlignment="1">
      <alignment horizontal="center" vertical="center"/>
    </xf>
    <xf numFmtId="1" fontId="12" fillId="0" borderId="73" xfId="0" applyNumberFormat="1" applyFont="1" applyBorder="1" applyAlignment="1">
      <alignment horizontal="center" vertical="center"/>
    </xf>
    <xf numFmtId="1" fontId="12" fillId="7" borderId="9" xfId="0" applyNumberFormat="1" applyFont="1" applyFill="1" applyBorder="1" applyAlignment="1">
      <alignment horizontal="center" vertical="center"/>
    </xf>
    <xf numFmtId="1" fontId="12" fillId="7" borderId="73" xfId="0" applyNumberFormat="1" applyFont="1" applyFill="1" applyBorder="1" applyAlignment="1">
      <alignment horizontal="center" vertical="center"/>
    </xf>
    <xf numFmtId="1" fontId="12" fillId="5" borderId="9" xfId="0" applyNumberFormat="1" applyFont="1" applyFill="1" applyBorder="1" applyAlignment="1">
      <alignment horizontal="center" vertical="center"/>
    </xf>
    <xf numFmtId="1" fontId="12" fillId="5" borderId="73" xfId="0" applyNumberFormat="1" applyFont="1" applyFill="1" applyBorder="1" applyAlignment="1">
      <alignment horizontal="center" vertical="center"/>
    </xf>
    <xf numFmtId="1" fontId="12" fillId="6" borderId="9" xfId="0" applyNumberFormat="1" applyFont="1" applyFill="1" applyBorder="1" applyAlignment="1">
      <alignment horizontal="center" vertical="center"/>
    </xf>
    <xf numFmtId="0" fontId="26" fillId="0" borderId="106" xfId="0" applyFont="1" applyBorder="1"/>
    <xf numFmtId="169" fontId="26" fillId="0" borderId="106" xfId="0" applyNumberFormat="1" applyFont="1" applyBorder="1" applyAlignment="1">
      <alignment horizontal="center" vertical="center"/>
    </xf>
    <xf numFmtId="0" fontId="26" fillId="0" borderId="108" xfId="0" applyFont="1" applyBorder="1"/>
    <xf numFmtId="1" fontId="26" fillId="0" borderId="108" xfId="0" applyNumberFormat="1" applyFont="1" applyBorder="1" applyAlignment="1">
      <alignment horizontal="center" vertical="center"/>
    </xf>
    <xf numFmtId="1" fontId="20" fillId="0" borderId="29" xfId="0" applyNumberFormat="1" applyFont="1" applyBorder="1" applyAlignment="1">
      <alignment horizontal="center" vertical="center"/>
    </xf>
    <xf numFmtId="0" fontId="21" fillId="0" borderId="84" xfId="0" applyFont="1" applyBorder="1" applyAlignment="1">
      <alignment horizontal="center" vertical="center"/>
    </xf>
    <xf numFmtId="167" fontId="21" fillId="7" borderId="35" xfId="0" applyNumberFormat="1" applyFont="1" applyFill="1" applyBorder="1" applyAlignment="1">
      <alignment horizontal="center" vertical="center"/>
    </xf>
    <xf numFmtId="167" fontId="21" fillId="7" borderId="71" xfId="0" applyNumberFormat="1" applyFont="1" applyFill="1" applyBorder="1" applyAlignment="1">
      <alignment horizontal="center" vertical="center"/>
    </xf>
    <xf numFmtId="167" fontId="21" fillId="5" borderId="35" xfId="0" applyNumberFormat="1" applyFont="1" applyFill="1" applyBorder="1" applyAlignment="1">
      <alignment horizontal="center" vertical="center"/>
    </xf>
    <xf numFmtId="167" fontId="21" fillId="5" borderId="71" xfId="0" applyNumberFormat="1" applyFont="1" applyFill="1" applyBorder="1" applyAlignment="1">
      <alignment horizontal="center" vertical="center"/>
    </xf>
    <xf numFmtId="167" fontId="20" fillId="6" borderId="35" xfId="0" applyNumberFormat="1" applyFont="1" applyFill="1" applyBorder="1" applyAlignment="1">
      <alignment horizontal="center" vertical="center"/>
    </xf>
    <xf numFmtId="167" fontId="21" fillId="6" borderId="71" xfId="0" applyNumberFormat="1" applyFont="1" applyFill="1" applyBorder="1" applyAlignment="1">
      <alignment horizontal="center" vertical="center"/>
    </xf>
    <xf numFmtId="1" fontId="20" fillId="0" borderId="71" xfId="0" applyNumberFormat="1" applyFont="1" applyBorder="1" applyAlignment="1">
      <alignment horizontal="center" vertical="center"/>
    </xf>
    <xf numFmtId="0" fontId="21" fillId="0" borderId="76" xfId="0" applyFont="1" applyBorder="1" applyAlignment="1">
      <alignment horizontal="center" vertical="center"/>
    </xf>
    <xf numFmtId="0" fontId="21" fillId="0" borderId="54" xfId="0" applyFont="1" applyBorder="1" applyAlignment="1">
      <alignment horizontal="center" vertical="center"/>
    </xf>
    <xf numFmtId="0" fontId="21" fillId="0" borderId="0" xfId="0" applyFont="1" applyAlignment="1">
      <alignment horizontal="center" vertical="center"/>
    </xf>
    <xf numFmtId="0" fontId="21" fillId="7" borderId="76" xfId="0" applyFont="1" applyFill="1" applyBorder="1" applyAlignment="1">
      <alignment horizontal="center" vertical="center"/>
    </xf>
    <xf numFmtId="0" fontId="21" fillId="7" borderId="54" xfId="0" applyFont="1" applyFill="1" applyBorder="1" applyAlignment="1">
      <alignment horizontal="center" vertical="center"/>
    </xf>
    <xf numFmtId="0" fontId="21" fillId="5" borderId="84" xfId="0" applyFont="1" applyFill="1" applyBorder="1" applyAlignment="1">
      <alignment horizontal="center" vertical="center"/>
    </xf>
    <xf numFmtId="0" fontId="21" fillId="5" borderId="0" xfId="0" applyFont="1" applyFill="1" applyAlignment="1">
      <alignment horizontal="center" vertical="center"/>
    </xf>
    <xf numFmtId="0" fontId="18" fillId="8" borderId="52" xfId="0" applyFont="1" applyFill="1" applyBorder="1"/>
    <xf numFmtId="0" fontId="18" fillId="8" borderId="22" xfId="0" applyFont="1" applyFill="1" applyBorder="1"/>
    <xf numFmtId="167" fontId="21" fillId="5" borderId="17" xfId="0" applyNumberFormat="1" applyFont="1" applyFill="1" applyBorder="1" applyAlignment="1">
      <alignment horizontal="center" vertical="center"/>
    </xf>
    <xf numFmtId="0" fontId="20" fillId="0" borderId="31" xfId="0" applyFont="1" applyBorder="1"/>
    <xf numFmtId="0" fontId="20" fillId="0" borderId="32" xfId="0" applyFont="1" applyBorder="1" applyAlignment="1">
      <alignment horizontal="left" indent="1"/>
    </xf>
    <xf numFmtId="0" fontId="7" fillId="0" borderId="106" xfId="0" applyFont="1" applyBorder="1" applyAlignment="1">
      <alignment horizontal="center" vertical="center"/>
    </xf>
    <xf numFmtId="1" fontId="20" fillId="45" borderId="71"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 fontId="20" fillId="7" borderId="35" xfId="0" quotePrefix="1" applyNumberFormat="1" applyFont="1" applyFill="1" applyBorder="1" applyAlignment="1">
      <alignment horizontal="center" vertical="center"/>
    </xf>
    <xf numFmtId="0" fontId="7" fillId="8" borderId="6" xfId="0" applyFont="1" applyFill="1" applyBorder="1" applyAlignment="1">
      <alignment horizontal="center" vertical="center"/>
    </xf>
    <xf numFmtId="0" fontId="20" fillId="8" borderId="6" xfId="0" applyFont="1" applyFill="1" applyBorder="1" applyAlignment="1">
      <alignment vertical="center"/>
    </xf>
    <xf numFmtId="0" fontId="20" fillId="8" borderId="19" xfId="0" applyFont="1" applyFill="1" applyBorder="1" applyAlignment="1">
      <alignment vertical="center"/>
    </xf>
    <xf numFmtId="1" fontId="7" fillId="45" borderId="1" xfId="0" applyNumberFormat="1" applyFont="1" applyFill="1" applyBorder="1" applyAlignment="1">
      <alignment horizontal="center" vertical="center"/>
    </xf>
    <xf numFmtId="167" fontId="7" fillId="45" borderId="21" xfId="0" applyNumberFormat="1" applyFont="1" applyFill="1" applyBorder="1" applyAlignment="1">
      <alignment horizontal="center" vertical="center"/>
    </xf>
    <xf numFmtId="1" fontId="19" fillId="45" borderId="1" xfId="0" applyNumberFormat="1" applyFont="1" applyFill="1" applyBorder="1" applyAlignment="1">
      <alignment horizontal="center" vertical="center"/>
    </xf>
    <xf numFmtId="167" fontId="19" fillId="45" borderId="21" xfId="0" applyNumberFormat="1" applyFont="1" applyFill="1" applyBorder="1" applyAlignment="1">
      <alignment horizontal="center" vertical="center"/>
    </xf>
    <xf numFmtId="1" fontId="7" fillId="45" borderId="11" xfId="0" applyNumberFormat="1" applyFont="1" applyFill="1" applyBorder="1" applyAlignment="1">
      <alignment horizontal="center" vertical="center"/>
    </xf>
    <xf numFmtId="1" fontId="19" fillId="45" borderId="11" xfId="0" applyNumberFormat="1" applyFont="1" applyFill="1" applyBorder="1" applyAlignment="1">
      <alignment horizontal="center" vertical="center"/>
    </xf>
    <xf numFmtId="169" fontId="7" fillId="45" borderId="11" xfId="0" applyNumberFormat="1" applyFont="1" applyFill="1" applyBorder="1" applyAlignment="1">
      <alignment horizontal="center" vertical="center"/>
    </xf>
    <xf numFmtId="169" fontId="19" fillId="45" borderId="11" xfId="0" applyNumberFormat="1" applyFont="1" applyFill="1" applyBorder="1" applyAlignment="1">
      <alignment horizontal="center" vertical="center"/>
    </xf>
    <xf numFmtId="1" fontId="7" fillId="45" borderId="21" xfId="0" applyNumberFormat="1" applyFont="1" applyFill="1" applyBorder="1" applyAlignment="1">
      <alignment horizontal="center" vertical="center"/>
    </xf>
    <xf numFmtId="0" fontId="19" fillId="45" borderId="1" xfId="0" applyFont="1" applyFill="1" applyBorder="1" applyAlignment="1">
      <alignment horizontal="center" vertical="center"/>
    </xf>
    <xf numFmtId="1" fontId="19" fillId="45" borderId="21" xfId="0" applyNumberFormat="1" applyFont="1" applyFill="1" applyBorder="1" applyAlignment="1">
      <alignment horizontal="center" vertical="center"/>
    </xf>
    <xf numFmtId="1" fontId="7" fillId="45" borderId="76" xfId="0" applyNumberFormat="1" applyFont="1" applyFill="1" applyBorder="1" applyAlignment="1">
      <alignment horizontal="center" vertical="center"/>
    </xf>
    <xf numFmtId="1" fontId="7" fillId="45" borderId="56" xfId="0" applyNumberFormat="1" applyFont="1" applyFill="1" applyBorder="1" applyAlignment="1">
      <alignment horizontal="center" vertical="center"/>
    </xf>
    <xf numFmtId="1" fontId="19" fillId="45" borderId="76" xfId="0" applyNumberFormat="1" applyFont="1" applyFill="1" applyBorder="1" applyAlignment="1">
      <alignment horizontal="center" vertical="center"/>
    </xf>
    <xf numFmtId="1" fontId="19" fillId="45" borderId="56" xfId="0" applyNumberFormat="1" applyFont="1" applyFill="1" applyBorder="1" applyAlignment="1">
      <alignment horizontal="center" vertical="center"/>
    </xf>
    <xf numFmtId="0" fontId="0" fillId="8" borderId="41" xfId="0" applyFill="1" applyBorder="1"/>
    <xf numFmtId="0" fontId="0" fillId="8" borderId="42" xfId="0" applyFill="1" applyBorder="1"/>
    <xf numFmtId="169" fontId="0" fillId="0" borderId="0" xfId="0" applyNumberFormat="1"/>
    <xf numFmtId="0" fontId="14" fillId="8" borderId="43" xfId="0" applyFont="1" applyFill="1" applyBorder="1" applyAlignment="1">
      <alignment horizontal="left" vertical="center"/>
    </xf>
    <xf numFmtId="0" fontId="27" fillId="8" borderId="30" xfId="0" applyFont="1" applyFill="1" applyBorder="1" applyAlignment="1">
      <alignment horizontal="left" vertical="center"/>
    </xf>
    <xf numFmtId="167" fontId="27" fillId="0" borderId="30" xfId="0" applyNumberFormat="1" applyFont="1" applyBorder="1" applyAlignment="1">
      <alignment horizontal="center" vertical="center"/>
    </xf>
    <xf numFmtId="1" fontId="27" fillId="0" borderId="30" xfId="0" applyNumberFormat="1" applyFont="1" applyBorder="1" applyAlignment="1">
      <alignment horizontal="center" vertical="center"/>
    </xf>
    <xf numFmtId="1" fontId="27" fillId="5" borderId="30" xfId="0" applyNumberFormat="1" applyFont="1" applyFill="1" applyBorder="1" applyAlignment="1">
      <alignment horizontal="center" vertical="center"/>
    </xf>
    <xf numFmtId="167" fontId="27" fillId="7" borderId="8" xfId="0" applyNumberFormat="1" applyFont="1" applyFill="1" applyBorder="1" applyAlignment="1">
      <alignment horizontal="center" vertical="center"/>
    </xf>
    <xf numFmtId="1" fontId="27" fillId="5" borderId="34" xfId="0" applyNumberFormat="1" applyFont="1" applyFill="1" applyBorder="1" applyAlignment="1">
      <alignment horizontal="center" vertical="center"/>
    </xf>
    <xf numFmtId="167" fontId="27" fillId="6" borderId="30" xfId="0" applyNumberFormat="1" applyFont="1" applyFill="1" applyBorder="1" applyAlignment="1">
      <alignment horizontal="center" vertical="center"/>
    </xf>
    <xf numFmtId="167" fontId="14" fillId="0" borderId="41" xfId="0" applyNumberFormat="1" applyFont="1" applyBorder="1" applyAlignment="1">
      <alignment horizontal="center" vertical="center"/>
    </xf>
    <xf numFmtId="1" fontId="14" fillId="0" borderId="41" xfId="0" applyNumberFormat="1" applyFont="1" applyBorder="1" applyAlignment="1">
      <alignment horizontal="center" vertical="center"/>
    </xf>
    <xf numFmtId="167" fontId="14" fillId="7" borderId="41" xfId="0" applyNumberFormat="1" applyFont="1" applyFill="1" applyBorder="1" applyAlignment="1">
      <alignment horizontal="center" vertical="center"/>
    </xf>
    <xf numFmtId="1" fontId="14" fillId="5" borderId="41" xfId="0" applyNumberFormat="1" applyFont="1" applyFill="1" applyBorder="1" applyAlignment="1">
      <alignment horizontal="center" vertical="center"/>
    </xf>
    <xf numFmtId="167" fontId="27" fillId="6" borderId="41" xfId="0" applyNumberFormat="1" applyFont="1" applyFill="1" applyBorder="1" applyAlignment="1">
      <alignment horizontal="center" vertical="center"/>
    </xf>
    <xf numFmtId="0" fontId="27" fillId="8" borderId="41" xfId="0" applyFont="1" applyFill="1" applyBorder="1" applyAlignment="1">
      <alignment vertical="center"/>
    </xf>
    <xf numFmtId="0" fontId="51" fillId="0" borderId="107" xfId="0" applyFont="1" applyBorder="1"/>
    <xf numFmtId="0" fontId="20" fillId="0" borderId="106" xfId="0" applyFont="1" applyBorder="1" applyAlignment="1">
      <alignment horizontal="left" vertical="center" indent="1"/>
    </xf>
    <xf numFmtId="168" fontId="20" fillId="0" borderId="106" xfId="0" applyNumberFormat="1" applyFont="1" applyBorder="1" applyAlignment="1">
      <alignment horizontal="left" indent="1"/>
    </xf>
    <xf numFmtId="168" fontId="20" fillId="0" borderId="106" xfId="0" applyNumberFormat="1" applyFont="1" applyBorder="1" applyAlignment="1">
      <alignment horizontal="left" vertical="center" indent="1"/>
    </xf>
    <xf numFmtId="168" fontId="20" fillId="8" borderId="106" xfId="0" applyNumberFormat="1" applyFont="1" applyFill="1" applyBorder="1" applyAlignment="1">
      <alignment horizontal="left" indent="1"/>
    </xf>
    <xf numFmtId="171" fontId="20" fillId="7" borderId="106" xfId="0" applyNumberFormat="1" applyFont="1" applyFill="1" applyBorder="1" applyAlignment="1">
      <alignment horizontal="center" vertical="center"/>
    </xf>
    <xf numFmtId="0" fontId="20" fillId="8" borderId="10" xfId="0" quotePrefix="1" applyFont="1" applyFill="1" applyBorder="1" applyAlignment="1">
      <alignment horizontal="center" vertical="center"/>
    </xf>
    <xf numFmtId="1" fontId="20" fillId="7" borderId="74" xfId="0" quotePrefix="1" applyNumberFormat="1" applyFont="1" applyFill="1" applyBorder="1" applyAlignment="1">
      <alignment horizontal="center" vertical="center"/>
    </xf>
    <xf numFmtId="1" fontId="20" fillId="5" borderId="34" xfId="0" quotePrefix="1" applyNumberFormat="1" applyFont="1" applyFill="1" applyBorder="1" applyAlignment="1">
      <alignment horizontal="center" vertical="center"/>
    </xf>
    <xf numFmtId="1" fontId="20" fillId="7" borderId="63" xfId="0" quotePrefix="1" applyNumberFormat="1" applyFont="1" applyFill="1" applyBorder="1" applyAlignment="1">
      <alignment horizontal="center" vertical="center"/>
    </xf>
    <xf numFmtId="1" fontId="20" fillId="5" borderId="63" xfId="0" quotePrefix="1" applyNumberFormat="1" applyFont="1" applyFill="1" applyBorder="1" applyAlignment="1">
      <alignment horizontal="center" vertical="center"/>
    </xf>
    <xf numFmtId="2" fontId="20" fillId="8" borderId="46" xfId="0" applyNumberFormat="1" applyFont="1" applyFill="1" applyBorder="1" applyAlignment="1">
      <alignment horizontal="center" vertical="center"/>
    </xf>
    <xf numFmtId="2" fontId="20" fillId="7" borderId="46" xfId="0" applyNumberFormat="1" applyFont="1" applyFill="1" applyBorder="1" applyAlignment="1">
      <alignment horizontal="center" vertical="center"/>
    </xf>
    <xf numFmtId="1" fontId="20" fillId="5" borderId="74" xfId="0" quotePrefix="1" applyNumberFormat="1" applyFont="1" applyFill="1" applyBorder="1" applyAlignment="1">
      <alignment horizontal="center" vertical="center"/>
    </xf>
    <xf numFmtId="2" fontId="20" fillId="5" borderId="71" xfId="0" applyNumberFormat="1" applyFont="1" applyFill="1" applyBorder="1" applyAlignment="1">
      <alignment horizontal="center" vertical="center"/>
    </xf>
    <xf numFmtId="2" fontId="20" fillId="7" borderId="66" xfId="0" applyNumberFormat="1" applyFont="1" applyFill="1" applyBorder="1" applyAlignment="1">
      <alignment horizontal="center" vertical="center"/>
    </xf>
    <xf numFmtId="2" fontId="20" fillId="7" borderId="48" xfId="0" applyNumberFormat="1" applyFont="1" applyFill="1" applyBorder="1" applyAlignment="1">
      <alignment horizontal="center" vertical="center"/>
    </xf>
    <xf numFmtId="2" fontId="20" fillId="7" borderId="15" xfId="0" applyNumberFormat="1" applyFont="1" applyFill="1" applyBorder="1" applyAlignment="1">
      <alignment horizontal="center" vertical="center"/>
    </xf>
    <xf numFmtId="2" fontId="20" fillId="5" borderId="73" xfId="0" applyNumberFormat="1" applyFont="1" applyFill="1" applyBorder="1" applyAlignment="1">
      <alignment horizontal="center" vertical="center"/>
    </xf>
    <xf numFmtId="0" fontId="20" fillId="0" borderId="74" xfId="0" applyFont="1" applyBorder="1" applyAlignment="1">
      <alignment horizontal="left" vertical="center" indent="1"/>
    </xf>
    <xf numFmtId="167" fontId="45" fillId="47" borderId="10" xfId="0" applyNumberFormat="1" applyFont="1" applyFill="1" applyBorder="1" applyAlignment="1">
      <alignment horizontal="center" vertical="center"/>
    </xf>
    <xf numFmtId="0" fontId="21" fillId="8" borderId="46" xfId="0" applyFont="1" applyFill="1" applyBorder="1" applyAlignment="1">
      <alignment horizontal="center" vertical="center"/>
    </xf>
    <xf numFmtId="0" fontId="20" fillId="7" borderId="106" xfId="22" applyNumberFormat="1" applyFont="1" applyFill="1" applyBorder="1" applyAlignment="1">
      <alignment horizontal="center" vertical="center"/>
    </xf>
    <xf numFmtId="0" fontId="20" fillId="8" borderId="106" xfId="22" applyNumberFormat="1" applyFont="1" applyFill="1" applyBorder="1" applyAlignment="1">
      <alignment horizontal="center" vertical="center"/>
    </xf>
    <xf numFmtId="164" fontId="20" fillId="8" borderId="62" xfId="0" quotePrefix="1" applyNumberFormat="1" applyFont="1" applyFill="1" applyBorder="1" applyAlignment="1">
      <alignment horizontal="left" vertical="center"/>
    </xf>
    <xf numFmtId="0" fontId="20" fillId="8" borderId="111" xfId="0" applyFont="1" applyFill="1" applyBorder="1" applyAlignment="1">
      <alignment horizontal="left" vertical="center"/>
    </xf>
    <xf numFmtId="1" fontId="20" fillId="0" borderId="109" xfId="0" applyNumberFormat="1" applyFont="1" applyBorder="1" applyAlignment="1">
      <alignment vertical="center"/>
    </xf>
    <xf numFmtId="1" fontId="20" fillId="7" borderId="108" xfId="0" applyNumberFormat="1" applyFont="1" applyFill="1" applyBorder="1" applyAlignment="1">
      <alignment vertical="center"/>
    </xf>
    <xf numFmtId="164" fontId="20" fillId="0" borderId="40" xfId="0" quotePrefix="1" applyNumberFormat="1" applyFont="1" applyBorder="1" applyAlignment="1">
      <alignment horizontal="left" vertical="center"/>
    </xf>
    <xf numFmtId="164" fontId="20" fillId="0" borderId="38" xfId="0" quotePrefix="1" applyNumberFormat="1" applyFont="1" applyBorder="1" applyAlignment="1">
      <alignment horizontal="left" vertical="center"/>
    </xf>
    <xf numFmtId="172" fontId="20" fillId="0" borderId="64" xfId="0" quotePrefix="1" applyNumberFormat="1" applyFont="1" applyBorder="1" applyAlignment="1">
      <alignment horizontal="center" vertical="center"/>
    </xf>
    <xf numFmtId="0" fontId="20" fillId="0" borderId="40" xfId="0" applyFont="1" applyBorder="1" applyAlignment="1">
      <alignment horizontal="center" vertical="center"/>
    </xf>
    <xf numFmtId="1" fontId="20" fillId="0" borderId="74" xfId="0" applyNumberFormat="1" applyFont="1" applyBorder="1" applyAlignment="1">
      <alignment vertical="center"/>
    </xf>
    <xf numFmtId="1" fontId="20" fillId="7" borderId="38" xfId="0" applyNumberFormat="1" applyFont="1" applyFill="1" applyBorder="1" applyAlignment="1">
      <alignment vertical="center"/>
    </xf>
    <xf numFmtId="164" fontId="37" fillId="0" borderId="8" xfId="0" quotePrefix="1" applyNumberFormat="1" applyFont="1" applyBorder="1" applyAlignment="1">
      <alignment horizontal="left" vertical="center"/>
    </xf>
    <xf numFmtId="172" fontId="37" fillId="0" borderId="48" xfId="0" quotePrefix="1" applyNumberFormat="1" applyFont="1" applyBorder="1" applyAlignment="1">
      <alignment horizontal="center" vertical="center"/>
    </xf>
    <xf numFmtId="1" fontId="21" fillId="0" borderId="34" xfId="0" applyNumberFormat="1" applyFont="1" applyBorder="1" applyAlignment="1">
      <alignment vertical="center"/>
    </xf>
    <xf numFmtId="1" fontId="21" fillId="7" borderId="8" xfId="0" applyNumberFormat="1" applyFont="1" applyFill="1" applyBorder="1" applyAlignment="1">
      <alignment vertical="center"/>
    </xf>
    <xf numFmtId="1" fontId="21" fillId="5" borderId="106" xfId="0" applyNumberFormat="1" applyFont="1" applyFill="1" applyBorder="1" applyAlignment="1">
      <alignment vertical="center"/>
    </xf>
    <xf numFmtId="1" fontId="21" fillId="44" borderId="106" xfId="0" applyNumberFormat="1" applyFont="1" applyFill="1" applyBorder="1" applyAlignment="1">
      <alignment vertical="center"/>
    </xf>
    <xf numFmtId="0" fontId="20" fillId="0" borderId="64" xfId="0" applyFont="1" applyBorder="1" applyAlignment="1">
      <alignment horizontal="left" vertical="center"/>
    </xf>
    <xf numFmtId="0" fontId="20" fillId="8" borderId="45" xfId="0" applyFont="1" applyFill="1" applyBorder="1" applyAlignment="1">
      <alignment horizontal="left" vertical="center"/>
    </xf>
    <xf numFmtId="1" fontId="20" fillId="7" borderId="45" xfId="0" applyNumberFormat="1" applyFont="1" applyFill="1" applyBorder="1" applyAlignment="1">
      <alignment vertical="center"/>
    </xf>
    <xf numFmtId="0" fontId="40" fillId="0" borderId="24" xfId="0" applyFont="1" applyBorder="1" applyAlignment="1">
      <alignment horizontal="left" vertical="top"/>
    </xf>
    <xf numFmtId="1" fontId="21" fillId="8" borderId="41" xfId="0" applyNumberFormat="1" applyFont="1" applyFill="1" applyBorder="1" applyAlignment="1">
      <alignment horizontal="center" vertical="center" wrapText="1"/>
    </xf>
    <xf numFmtId="1" fontId="54" fillId="0" borderId="0" xfId="0" applyNumberFormat="1" applyFont="1" applyAlignment="1">
      <alignment horizontal="center" vertical="center"/>
    </xf>
    <xf numFmtId="1" fontId="7" fillId="55" borderId="10" xfId="0" applyNumberFormat="1" applyFont="1" applyFill="1" applyBorder="1" applyAlignment="1">
      <alignment horizontal="center" vertical="center"/>
    </xf>
    <xf numFmtId="0" fontId="7" fillId="55" borderId="10" xfId="0" applyFont="1" applyFill="1" applyBorder="1" applyAlignment="1">
      <alignment horizontal="center" vertical="center"/>
    </xf>
    <xf numFmtId="169" fontId="20" fillId="0" borderId="23" xfId="0" applyNumberFormat="1" applyFont="1" applyBorder="1" applyAlignment="1">
      <alignment horizontal="center" vertical="center"/>
    </xf>
    <xf numFmtId="167" fontId="12" fillId="5" borderId="106" xfId="0" applyNumberFormat="1" applyFont="1" applyFill="1" applyBorder="1" applyAlignment="1">
      <alignment horizontal="center" vertical="center"/>
    </xf>
    <xf numFmtId="164" fontId="20" fillId="0" borderId="106" xfId="0" quotePrefix="1" applyNumberFormat="1" applyFont="1" applyBorder="1" applyAlignment="1">
      <alignment horizontal="right" vertical="center"/>
    </xf>
    <xf numFmtId="1" fontId="20" fillId="5" borderId="34" xfId="0" applyNumberFormat="1" applyFont="1" applyFill="1" applyBorder="1" applyAlignment="1">
      <alignment vertical="center"/>
    </xf>
    <xf numFmtId="1" fontId="20" fillId="7" borderId="34" xfId="0" applyNumberFormat="1" applyFont="1" applyFill="1" applyBorder="1" applyAlignment="1">
      <alignment vertical="center"/>
    </xf>
    <xf numFmtId="164" fontId="20" fillId="0" borderId="63" xfId="0" quotePrefix="1" applyNumberFormat="1" applyFont="1" applyBorder="1" applyAlignment="1">
      <alignment horizontal="left" vertical="center"/>
    </xf>
    <xf numFmtId="172" fontId="20" fillId="0" borderId="41" xfId="0" quotePrefix="1" applyNumberFormat="1" applyFont="1" applyBorder="1" applyAlignment="1">
      <alignment horizontal="center" vertical="center"/>
    </xf>
    <xf numFmtId="164" fontId="20" fillId="0" borderId="32" xfId="0" quotePrefix="1" applyNumberFormat="1" applyFont="1" applyBorder="1" applyAlignment="1">
      <alignment horizontal="left" vertical="center"/>
    </xf>
    <xf numFmtId="172" fontId="20" fillId="0" borderId="23" xfId="0" quotePrefix="1" applyNumberFormat="1" applyFont="1" applyBorder="1" applyAlignment="1">
      <alignment horizontal="center" vertical="center"/>
    </xf>
    <xf numFmtId="169" fontId="12" fillId="0" borderId="0" xfId="0" applyNumberFormat="1" applyFont="1"/>
    <xf numFmtId="0" fontId="15" fillId="0" borderId="106" xfId="0" applyFont="1" applyBorder="1" applyAlignment="1">
      <alignment horizontal="center" vertical="center"/>
    </xf>
    <xf numFmtId="1" fontId="7" fillId="8" borderId="106" xfId="0" applyNumberFormat="1" applyFont="1" applyFill="1" applyBorder="1"/>
    <xf numFmtId="1" fontId="4" fillId="8" borderId="106" xfId="0" applyNumberFormat="1" applyFont="1" applyFill="1" applyBorder="1" applyAlignment="1">
      <alignment horizontal="left"/>
    </xf>
    <xf numFmtId="1" fontId="7" fillId="55" borderId="106" xfId="0" applyNumberFormat="1" applyFont="1" applyFill="1" applyBorder="1" applyAlignment="1">
      <alignment horizontal="center" vertical="center"/>
    </xf>
    <xf numFmtId="0" fontId="4" fillId="8" borderId="106" xfId="0" applyFont="1" applyFill="1" applyBorder="1" applyAlignment="1">
      <alignment horizontal="left"/>
    </xf>
    <xf numFmtId="0" fontId="7" fillId="55" borderId="106" xfId="0" applyFont="1" applyFill="1" applyBorder="1" applyAlignment="1">
      <alignment horizontal="center" vertical="center"/>
    </xf>
    <xf numFmtId="1" fontId="7" fillId="8" borderId="106" xfId="0" applyNumberFormat="1" applyFont="1" applyFill="1" applyBorder="1" applyAlignment="1">
      <alignment horizontal="left"/>
    </xf>
    <xf numFmtId="0" fontId="148" fillId="5" borderId="10" xfId="0" applyFont="1" applyFill="1" applyBorder="1" applyAlignment="1">
      <alignment horizontal="center" vertical="center"/>
    </xf>
    <xf numFmtId="0" fontId="45" fillId="0" borderId="106" xfId="0" applyFont="1" applyBorder="1" applyAlignment="1">
      <alignment horizontal="center" vertical="center"/>
    </xf>
    <xf numFmtId="0" fontId="45" fillId="5" borderId="106" xfId="0" applyFont="1" applyFill="1" applyBorder="1" applyAlignment="1">
      <alignment horizontal="center" vertical="center"/>
    </xf>
    <xf numFmtId="0" fontId="45" fillId="6" borderId="106" xfId="0" applyFont="1" applyFill="1" applyBorder="1" applyAlignment="1">
      <alignment horizontal="center" vertical="center"/>
    </xf>
    <xf numFmtId="1" fontId="20" fillId="0" borderId="36" xfId="0" applyNumberFormat="1" applyFont="1" applyBorder="1" applyAlignment="1">
      <alignment vertical="center"/>
    </xf>
    <xf numFmtId="0" fontId="20" fillId="8" borderId="65" xfId="0" applyFont="1" applyFill="1" applyBorder="1" applyAlignment="1">
      <alignment horizontal="left" vertical="center"/>
    </xf>
    <xf numFmtId="0" fontId="19" fillId="0" borderId="65" xfId="0" applyFont="1" applyBorder="1" applyAlignment="1">
      <alignment horizontal="center" vertical="center"/>
    </xf>
    <xf numFmtId="1" fontId="20" fillId="0" borderId="75" xfId="0" applyNumberFormat="1" applyFont="1" applyBorder="1" applyAlignment="1">
      <alignment vertical="center"/>
    </xf>
    <xf numFmtId="0" fontId="22" fillId="8" borderId="106" xfId="0" applyFont="1" applyFill="1" applyBorder="1" applyAlignment="1">
      <alignment horizontal="center" vertical="center" wrapText="1"/>
    </xf>
    <xf numFmtId="1" fontId="19" fillId="0" borderId="30" xfId="186" applyNumberFormat="1" applyFont="1" applyBorder="1" applyAlignment="1">
      <alignment horizontal="center" vertical="center"/>
    </xf>
    <xf numFmtId="1" fontId="18" fillId="45" borderId="10" xfId="186" applyNumberFormat="1" applyFont="1" applyFill="1" applyBorder="1" applyAlignment="1">
      <alignment horizontal="center" vertical="top"/>
    </xf>
    <xf numFmtId="1" fontId="18" fillId="9" borderId="50" xfId="186" applyNumberFormat="1" applyFont="1" applyFill="1" applyBorder="1" applyAlignment="1">
      <alignment horizontal="center" vertical="center"/>
    </xf>
    <xf numFmtId="1" fontId="19" fillId="8" borderId="30" xfId="186" applyNumberFormat="1" applyFont="1" applyFill="1" applyBorder="1" applyAlignment="1">
      <alignment horizontal="center" vertical="center"/>
    </xf>
    <xf numFmtId="0" fontId="174" fillId="8" borderId="0" xfId="186" applyFont="1" applyFill="1" applyAlignment="1">
      <alignment horizontal="center" vertical="center"/>
    </xf>
    <xf numFmtId="0" fontId="19" fillId="0" borderId="35" xfId="186" applyFont="1" applyBorder="1" applyAlignment="1">
      <alignment horizontal="left" vertical="top"/>
    </xf>
    <xf numFmtId="1" fontId="19" fillId="7" borderId="106" xfId="186" applyNumberFormat="1" applyFont="1" applyFill="1" applyBorder="1" applyAlignment="1">
      <alignment horizontal="center" vertical="top"/>
    </xf>
    <xf numFmtId="1" fontId="19" fillId="5" borderId="106" xfId="186" applyNumberFormat="1" applyFont="1" applyFill="1" applyBorder="1" applyAlignment="1">
      <alignment horizontal="center" vertical="top"/>
    </xf>
    <xf numFmtId="1" fontId="19" fillId="8" borderId="106" xfId="186" applyNumberFormat="1" applyFont="1" applyFill="1" applyBorder="1" applyAlignment="1">
      <alignment horizontal="center" vertical="top"/>
    </xf>
    <xf numFmtId="1" fontId="19" fillId="8" borderId="10" xfId="186" applyNumberFormat="1" applyFont="1" applyFill="1" applyBorder="1" applyAlignment="1">
      <alignment horizontal="center" vertical="top"/>
    </xf>
    <xf numFmtId="1" fontId="18" fillId="7" borderId="30" xfId="186" applyNumberFormat="1" applyFont="1" applyFill="1" applyBorder="1" applyAlignment="1">
      <alignment horizontal="center" vertical="center"/>
    </xf>
    <xf numFmtId="1" fontId="19" fillId="5" borderId="8" xfId="186" applyNumberFormat="1" applyFont="1" applyFill="1" applyBorder="1" applyAlignment="1">
      <alignment horizontal="center" vertical="center"/>
    </xf>
    <xf numFmtId="1" fontId="19" fillId="0" borderId="8" xfId="186" applyNumberFormat="1" applyFont="1" applyBorder="1" applyAlignment="1">
      <alignment horizontal="center" vertical="center"/>
    </xf>
    <xf numFmtId="1" fontId="18" fillId="7" borderId="53" xfId="186" applyNumberFormat="1" applyFont="1" applyFill="1" applyBorder="1" applyAlignment="1">
      <alignment horizontal="center" vertical="center"/>
    </xf>
    <xf numFmtId="0" fontId="18" fillId="8" borderId="2" xfId="186" applyFont="1" applyFill="1" applyBorder="1" applyAlignment="1">
      <alignment horizontal="center" vertical="center"/>
    </xf>
    <xf numFmtId="0" fontId="18" fillId="32" borderId="14" xfId="186" applyFont="1" applyFill="1" applyBorder="1" applyAlignment="1">
      <alignment horizontal="center" vertical="center"/>
    </xf>
    <xf numFmtId="0" fontId="18" fillId="7" borderId="73" xfId="186" applyFont="1" applyFill="1" applyBorder="1" applyAlignment="1">
      <alignment horizontal="center" vertical="center"/>
    </xf>
    <xf numFmtId="0" fontId="18" fillId="7" borderId="14" xfId="186" applyFont="1" applyFill="1" applyBorder="1" applyAlignment="1">
      <alignment horizontal="center" vertical="center"/>
    </xf>
    <xf numFmtId="0" fontId="18" fillId="7" borderId="9" xfId="186" applyFont="1" applyFill="1" applyBorder="1" applyAlignment="1">
      <alignment horizontal="center" vertical="center"/>
    </xf>
    <xf numFmtId="17" fontId="18" fillId="0" borderId="51" xfId="186" applyNumberFormat="1" applyFont="1" applyBorder="1" applyAlignment="1">
      <alignment horizontal="left" vertical="center"/>
    </xf>
    <xf numFmtId="1" fontId="19" fillId="8" borderId="0" xfId="186" applyNumberFormat="1" applyFont="1" applyFill="1" applyAlignment="1">
      <alignment horizontal="left" vertical="top"/>
    </xf>
    <xf numFmtId="0" fontId="19" fillId="8" borderId="0" xfId="186" applyFont="1" applyFill="1" applyAlignment="1">
      <alignment horizontal="left" vertical="center"/>
    </xf>
    <xf numFmtId="0" fontId="19" fillId="8" borderId="0" xfId="186" applyFont="1" applyFill="1" applyAlignment="1">
      <alignment horizontal="left" vertical="top"/>
    </xf>
    <xf numFmtId="1" fontId="20" fillId="7" borderId="115" xfId="0" applyNumberFormat="1" applyFont="1" applyFill="1" applyBorder="1" applyAlignment="1">
      <alignment horizontal="center" vertical="center"/>
    </xf>
    <xf numFmtId="1" fontId="20" fillId="0" borderId="114" xfId="0" applyNumberFormat="1" applyFont="1" applyBorder="1" applyAlignment="1">
      <alignment horizontal="center" vertical="center"/>
    </xf>
    <xf numFmtId="1" fontId="19" fillId="53" borderId="106" xfId="186" applyNumberFormat="1" applyFont="1" applyFill="1" applyBorder="1" applyAlignment="1">
      <alignment horizontal="center" vertical="top"/>
    </xf>
    <xf numFmtId="1" fontId="174" fillId="8" borderId="0" xfId="186" applyNumberFormat="1" applyFont="1" applyFill="1" applyAlignment="1">
      <alignment horizontal="center" vertical="center"/>
    </xf>
    <xf numFmtId="1" fontId="18" fillId="7" borderId="10" xfId="186" applyNumberFormat="1" applyFont="1" applyFill="1" applyBorder="1" applyAlignment="1">
      <alignment horizontal="center" vertical="top"/>
    </xf>
    <xf numFmtId="1" fontId="18" fillId="5" borderId="10" xfId="186" applyNumberFormat="1" applyFont="1" applyFill="1" applyBorder="1" applyAlignment="1">
      <alignment horizontal="center" vertical="top"/>
    </xf>
    <xf numFmtId="0" fontId="18" fillId="8" borderId="57" xfId="186" applyFont="1" applyFill="1" applyBorder="1" applyAlignment="1">
      <alignment horizontal="left" vertical="top"/>
    </xf>
    <xf numFmtId="1" fontId="18" fillId="45" borderId="1" xfId="186" applyNumberFormat="1" applyFont="1" applyFill="1" applyBorder="1" applyAlignment="1">
      <alignment horizontal="center" vertical="center"/>
    </xf>
    <xf numFmtId="0" fontId="18" fillId="45" borderId="25" xfId="186" applyFont="1" applyFill="1" applyBorder="1" applyAlignment="1">
      <alignment horizontal="left" vertical="center"/>
    </xf>
    <xf numFmtId="0" fontId="112" fillId="8" borderId="0" xfId="0" applyFont="1" applyFill="1"/>
    <xf numFmtId="1" fontId="112" fillId="0" borderId="0" xfId="0" applyNumberFormat="1" applyFont="1"/>
    <xf numFmtId="0" fontId="18" fillId="32" borderId="28" xfId="186" applyFont="1" applyFill="1" applyBorder="1" applyAlignment="1">
      <alignment horizontal="center" vertical="center"/>
    </xf>
    <xf numFmtId="0" fontId="20" fillId="0" borderId="114" xfId="0" applyFont="1" applyBorder="1" applyAlignment="1">
      <alignment horizontal="left" vertical="center"/>
    </xf>
    <xf numFmtId="1" fontId="19" fillId="0" borderId="34" xfId="186" applyNumberFormat="1" applyFont="1" applyBorder="1" applyAlignment="1">
      <alignment horizontal="center" vertical="center"/>
    </xf>
    <xf numFmtId="0" fontId="18" fillId="32" borderId="69" xfId="186" applyFont="1" applyFill="1" applyBorder="1" applyAlignment="1">
      <alignment horizontal="center" vertical="center"/>
    </xf>
    <xf numFmtId="0" fontId="20" fillId="0" borderId="62" xfId="0" quotePrefix="1" applyFont="1" applyBorder="1" applyAlignment="1">
      <alignment horizontal="left" vertical="center" wrapText="1"/>
    </xf>
    <xf numFmtId="1" fontId="18" fillId="53" borderId="10" xfId="186" applyNumberFormat="1" applyFont="1" applyFill="1" applyBorder="1" applyAlignment="1">
      <alignment horizontal="center" vertical="top"/>
    </xf>
    <xf numFmtId="1" fontId="18" fillId="8" borderId="0" xfId="186" applyNumberFormat="1" applyFont="1" applyFill="1" applyAlignment="1">
      <alignment horizontal="center" vertical="center"/>
    </xf>
    <xf numFmtId="1" fontId="19" fillId="0" borderId="7" xfId="186" applyNumberFormat="1" applyFont="1" applyBorder="1" applyAlignment="1">
      <alignment horizontal="center" vertical="center"/>
    </xf>
    <xf numFmtId="1" fontId="19" fillId="3" borderId="30" xfId="186" applyNumberFormat="1" applyFont="1" applyFill="1" applyBorder="1" applyAlignment="1">
      <alignment horizontal="center" vertical="center"/>
    </xf>
    <xf numFmtId="1" fontId="19" fillId="5" borderId="30" xfId="186" applyNumberFormat="1" applyFont="1" applyFill="1" applyBorder="1" applyAlignment="1">
      <alignment horizontal="center" vertical="center"/>
    </xf>
    <xf numFmtId="0" fontId="18" fillId="8" borderId="35" xfId="186" applyFont="1" applyFill="1" applyBorder="1" applyAlignment="1">
      <alignment horizontal="center" vertical="center"/>
    </xf>
    <xf numFmtId="0" fontId="18" fillId="9" borderId="16" xfId="186" applyFont="1" applyFill="1" applyBorder="1" applyAlignment="1">
      <alignment horizontal="center" vertical="center"/>
    </xf>
    <xf numFmtId="0" fontId="18" fillId="32" borderId="16" xfId="186" applyFont="1" applyFill="1" applyBorder="1" applyAlignment="1">
      <alignment horizontal="center" vertical="center"/>
    </xf>
    <xf numFmtId="0" fontId="18" fillId="5" borderId="15" xfId="186" applyFont="1" applyFill="1" applyBorder="1" applyAlignment="1">
      <alignment horizontal="center" vertical="center"/>
    </xf>
    <xf numFmtId="0" fontId="18" fillId="32" borderId="73" xfId="186" applyFont="1" applyFill="1" applyBorder="1" applyAlignment="1">
      <alignment horizontal="center" vertical="center"/>
    </xf>
    <xf numFmtId="0" fontId="18" fillId="7" borderId="28" xfId="186" applyFont="1" applyFill="1" applyBorder="1" applyAlignment="1">
      <alignment horizontal="center" vertical="center"/>
    </xf>
    <xf numFmtId="0" fontId="18" fillId="7" borderId="16" xfId="186" applyFont="1" applyFill="1" applyBorder="1" applyAlignment="1">
      <alignment horizontal="center" vertical="center"/>
    </xf>
    <xf numFmtId="0" fontId="18" fillId="3" borderId="15" xfId="186" applyFont="1" applyFill="1" applyBorder="1" applyAlignment="1">
      <alignment horizontal="center" vertical="center"/>
    </xf>
    <xf numFmtId="0" fontId="18" fillId="7" borderId="15" xfId="186" applyFont="1" applyFill="1" applyBorder="1" applyAlignment="1">
      <alignment horizontal="center" vertical="center"/>
    </xf>
    <xf numFmtId="0" fontId="18" fillId="9" borderId="13" xfId="186" applyFont="1" applyFill="1" applyBorder="1" applyAlignment="1">
      <alignment horizontal="center" vertical="center"/>
    </xf>
    <xf numFmtId="17" fontId="18" fillId="0" borderId="44" xfId="186" applyNumberFormat="1" applyFont="1" applyBorder="1" applyAlignment="1">
      <alignment horizontal="left" vertical="center"/>
    </xf>
    <xf numFmtId="0" fontId="19" fillId="0" borderId="0" xfId="186" applyFont="1" applyAlignment="1">
      <alignment horizontal="left" vertical="top"/>
    </xf>
    <xf numFmtId="1" fontId="112" fillId="8" borderId="17" xfId="0" applyNumberFormat="1" applyFont="1" applyFill="1" applyBorder="1" applyAlignment="1">
      <alignment horizontal="center"/>
    </xf>
    <xf numFmtId="1" fontId="112" fillId="8" borderId="33" xfId="0" applyNumberFormat="1" applyFont="1" applyFill="1" applyBorder="1" applyAlignment="1">
      <alignment horizontal="center"/>
    </xf>
    <xf numFmtId="167" fontId="14" fillId="6" borderId="41" xfId="0" applyNumberFormat="1" applyFont="1" applyFill="1" applyBorder="1" applyAlignment="1">
      <alignment horizontal="center" vertical="center"/>
    </xf>
    <xf numFmtId="168" fontId="20" fillId="0" borderId="106" xfId="1" applyFont="1" applyBorder="1" applyAlignment="1">
      <alignment vertical="center"/>
    </xf>
    <xf numFmtId="169" fontId="12" fillId="6" borderId="10" xfId="0" applyNumberFormat="1" applyFont="1" applyFill="1" applyBorder="1" applyAlignment="1">
      <alignment horizontal="center" vertical="center"/>
    </xf>
    <xf numFmtId="1" fontId="20" fillId="6" borderId="10" xfId="0" applyNumberFormat="1" applyFont="1" applyFill="1" applyBorder="1" applyAlignment="1">
      <alignment vertical="center"/>
    </xf>
    <xf numFmtId="1" fontId="20" fillId="6" borderId="106" xfId="0" applyNumberFormat="1" applyFont="1" applyFill="1" applyBorder="1" applyAlignment="1">
      <alignment vertical="center"/>
    </xf>
    <xf numFmtId="1" fontId="20" fillId="6" borderId="105" xfId="0" applyNumberFormat="1" applyFont="1" applyFill="1" applyBorder="1" applyAlignment="1">
      <alignment vertical="center"/>
    </xf>
    <xf numFmtId="1" fontId="21" fillId="6" borderId="10" xfId="0" applyNumberFormat="1" applyFont="1" applyFill="1" applyBorder="1" applyAlignment="1">
      <alignment vertical="center"/>
    </xf>
    <xf numFmtId="1" fontId="21" fillId="6" borderId="106" xfId="0" applyNumberFormat="1" applyFont="1" applyFill="1" applyBorder="1" applyAlignment="1">
      <alignment vertical="center"/>
    </xf>
    <xf numFmtId="1" fontId="20" fillId="7" borderId="116" xfId="0" applyNumberFormat="1" applyFont="1" applyFill="1" applyBorder="1" applyAlignment="1">
      <alignment horizontal="center" vertical="center"/>
    </xf>
    <xf numFmtId="1" fontId="21" fillId="7" borderId="116" xfId="0" applyNumberFormat="1" applyFont="1" applyFill="1" applyBorder="1" applyAlignment="1">
      <alignment horizontal="center" vertical="center"/>
    </xf>
    <xf numFmtId="1" fontId="20" fillId="5" borderId="116" xfId="0" applyNumberFormat="1" applyFont="1" applyFill="1" applyBorder="1" applyAlignment="1">
      <alignment horizontal="center" vertical="center"/>
    </xf>
    <xf numFmtId="1" fontId="20" fillId="6" borderId="116" xfId="0" applyNumberFormat="1" applyFont="1" applyFill="1" applyBorder="1" applyAlignment="1">
      <alignment horizontal="center" vertical="center"/>
    </xf>
    <xf numFmtId="1" fontId="20" fillId="8" borderId="116" xfId="0" applyNumberFormat="1" applyFont="1" applyFill="1" applyBorder="1" applyAlignment="1">
      <alignment horizontal="center" vertical="center"/>
    </xf>
    <xf numFmtId="0" fontId="20" fillId="8" borderId="6" xfId="0" applyFont="1" applyFill="1" applyBorder="1" applyAlignment="1">
      <alignment horizontal="center" vertical="center"/>
    </xf>
    <xf numFmtId="167" fontId="20" fillId="45" borderId="21" xfId="0" applyNumberFormat="1" applyFont="1" applyFill="1" applyBorder="1" applyAlignment="1">
      <alignment horizontal="center" vertical="center"/>
    </xf>
    <xf numFmtId="1" fontId="20" fillId="45" borderId="11" xfId="0" applyNumberFormat="1" applyFont="1" applyFill="1" applyBorder="1" applyAlignment="1">
      <alignment horizontal="center" vertical="center"/>
    </xf>
    <xf numFmtId="169" fontId="20" fillId="45" borderId="11" xfId="0" applyNumberFormat="1" applyFont="1" applyFill="1" applyBorder="1" applyAlignment="1">
      <alignment horizontal="center" vertical="center"/>
    </xf>
    <xf numFmtId="1" fontId="20" fillId="45" borderId="21" xfId="0" applyNumberFormat="1" applyFont="1" applyFill="1" applyBorder="1" applyAlignment="1">
      <alignment horizontal="center" vertical="center"/>
    </xf>
    <xf numFmtId="1" fontId="20" fillId="45" borderId="56" xfId="0" applyNumberFormat="1" applyFont="1" applyFill="1" applyBorder="1" applyAlignment="1">
      <alignment horizontal="center" vertical="center"/>
    </xf>
    <xf numFmtId="0" fontId="0" fillId="8" borderId="79" xfId="0" applyFill="1" applyBorder="1" applyAlignment="1">
      <alignment horizontal="center" vertical="center"/>
    </xf>
    <xf numFmtId="0" fontId="0" fillId="8" borderId="84" xfId="0" applyFill="1" applyBorder="1" applyAlignment="1">
      <alignment horizontal="center" vertical="center"/>
    </xf>
    <xf numFmtId="167" fontId="20" fillId="45" borderId="42" xfId="0" applyNumberFormat="1" applyFont="1" applyFill="1" applyBorder="1" applyAlignment="1">
      <alignment horizontal="center" vertical="center"/>
    </xf>
    <xf numFmtId="167" fontId="20" fillId="8" borderId="107" xfId="0" applyNumberFormat="1" applyFont="1" applyFill="1" applyBorder="1" applyAlignment="1">
      <alignment horizontal="center" vertical="center"/>
    </xf>
    <xf numFmtId="169" fontId="20" fillId="45" borderId="17" xfId="0" applyNumberFormat="1" applyFont="1" applyFill="1" applyBorder="1" applyAlignment="1">
      <alignment horizontal="center" vertical="center"/>
    </xf>
    <xf numFmtId="0" fontId="45" fillId="8" borderId="53" xfId="0" applyFont="1" applyFill="1" applyBorder="1" applyAlignment="1">
      <alignment horizontal="center" vertical="center"/>
    </xf>
    <xf numFmtId="0" fontId="45" fillId="8" borderId="106" xfId="0" applyFont="1" applyFill="1" applyBorder="1" applyAlignment="1">
      <alignment horizontal="center" vertical="center"/>
    </xf>
    <xf numFmtId="1" fontId="45" fillId="8" borderId="17" xfId="0" applyNumberFormat="1" applyFont="1" applyFill="1" applyBorder="1" applyAlignment="1">
      <alignment horizontal="center" vertical="center"/>
    </xf>
    <xf numFmtId="1" fontId="45" fillId="8" borderId="33" xfId="0" applyNumberFormat="1" applyFont="1" applyFill="1" applyBorder="1" applyAlignment="1">
      <alignment horizontal="center" vertical="center"/>
    </xf>
    <xf numFmtId="0" fontId="45" fillId="8" borderId="17" xfId="0" applyFont="1" applyFill="1" applyBorder="1" applyAlignment="1">
      <alignment horizontal="center" vertical="center"/>
    </xf>
    <xf numFmtId="2" fontId="21" fillId="0" borderId="17" xfId="0" applyNumberFormat="1" applyFont="1" applyBorder="1" applyAlignment="1">
      <alignment horizontal="center" vertical="center"/>
    </xf>
    <xf numFmtId="167" fontId="21" fillId="8" borderId="68" xfId="0" applyNumberFormat="1" applyFont="1" applyFill="1" applyBorder="1" applyAlignment="1">
      <alignment horizontal="center" vertical="center"/>
    </xf>
    <xf numFmtId="167" fontId="21" fillId="8" borderId="32" xfId="0" applyNumberFormat="1" applyFont="1" applyFill="1" applyBorder="1" applyAlignment="1">
      <alignment horizontal="center" vertical="center"/>
    </xf>
    <xf numFmtId="167" fontId="21" fillId="8" borderId="33" xfId="0" applyNumberFormat="1" applyFont="1" applyFill="1" applyBorder="1" applyAlignment="1">
      <alignment horizontal="center" vertical="center"/>
    </xf>
    <xf numFmtId="167" fontId="21" fillId="7" borderId="32" xfId="0" applyNumberFormat="1" applyFont="1" applyFill="1" applyBorder="1" applyAlignment="1">
      <alignment horizontal="center" vertical="center"/>
    </xf>
    <xf numFmtId="167" fontId="21" fillId="5" borderId="32" xfId="0" applyNumberFormat="1" applyFont="1" applyFill="1" applyBorder="1" applyAlignment="1">
      <alignment horizontal="center" vertical="center"/>
    </xf>
    <xf numFmtId="167" fontId="21" fillId="5" borderId="33" xfId="0" applyNumberFormat="1" applyFont="1" applyFill="1" applyBorder="1" applyAlignment="1">
      <alignment horizontal="center" vertical="center"/>
    </xf>
    <xf numFmtId="167" fontId="21" fillId="7" borderId="33" xfId="0" applyNumberFormat="1" applyFont="1" applyFill="1" applyBorder="1" applyAlignment="1">
      <alignment horizontal="center" vertical="center"/>
    </xf>
    <xf numFmtId="0" fontId="26" fillId="6" borderId="25" xfId="0" applyFont="1" applyFill="1" applyBorder="1" applyAlignment="1">
      <alignment horizontal="center" vertical="center"/>
    </xf>
    <xf numFmtId="0" fontId="26" fillId="6" borderId="13" xfId="0" applyFont="1" applyFill="1" applyBorder="1" applyAlignment="1">
      <alignment horizontal="center" vertical="center"/>
    </xf>
    <xf numFmtId="1" fontId="12" fillId="6" borderId="47" xfId="0" applyNumberFormat="1" applyFont="1" applyFill="1" applyBorder="1" applyAlignment="1">
      <alignment horizontal="center"/>
    </xf>
    <xf numFmtId="1" fontId="12" fillId="6" borderId="12" xfId="0" applyNumberFormat="1" applyFont="1" applyFill="1" applyBorder="1" applyAlignment="1">
      <alignment horizontal="center"/>
    </xf>
    <xf numFmtId="1" fontId="21" fillId="6" borderId="25" xfId="0" applyNumberFormat="1" applyFont="1" applyFill="1" applyBorder="1" applyAlignment="1">
      <alignment horizontal="center"/>
    </xf>
    <xf numFmtId="1" fontId="21" fillId="6" borderId="13" xfId="0" applyNumberFormat="1" applyFont="1" applyFill="1" applyBorder="1" applyAlignment="1">
      <alignment horizontal="center"/>
    </xf>
    <xf numFmtId="1" fontId="26" fillId="6" borderId="25" xfId="0" applyNumberFormat="1" applyFont="1" applyFill="1" applyBorder="1" applyAlignment="1">
      <alignment horizontal="center"/>
    </xf>
    <xf numFmtId="1" fontId="26" fillId="6" borderId="13" xfId="0" applyNumberFormat="1" applyFont="1" applyFill="1" applyBorder="1" applyAlignment="1">
      <alignment horizontal="center"/>
    </xf>
    <xf numFmtId="1" fontId="21" fillId="6" borderId="51" xfId="0" applyNumberFormat="1" applyFont="1" applyFill="1" applyBorder="1" applyAlignment="1">
      <alignment horizontal="center"/>
    </xf>
    <xf numFmtId="1" fontId="21" fillId="6" borderId="20" xfId="0" applyNumberFormat="1" applyFont="1" applyFill="1" applyBorder="1" applyAlignment="1">
      <alignment horizontal="center"/>
    </xf>
    <xf numFmtId="0" fontId="26" fillId="5" borderId="25" xfId="0" applyFont="1" applyFill="1" applyBorder="1" applyAlignment="1">
      <alignment horizontal="center" vertical="center"/>
    </xf>
    <xf numFmtId="0" fontId="26" fillId="5" borderId="13" xfId="0" applyFont="1" applyFill="1" applyBorder="1" applyAlignment="1">
      <alignment horizontal="center" vertical="center"/>
    </xf>
    <xf numFmtId="1" fontId="12" fillId="5" borderId="47" xfId="0" applyNumberFormat="1" applyFont="1" applyFill="1" applyBorder="1" applyAlignment="1">
      <alignment horizontal="center"/>
    </xf>
    <xf numFmtId="1" fontId="21" fillId="5" borderId="25" xfId="0" applyNumberFormat="1" applyFont="1" applyFill="1" applyBorder="1" applyAlignment="1">
      <alignment horizontal="center"/>
    </xf>
    <xf numFmtId="1" fontId="21" fillId="5" borderId="13" xfId="0" applyNumberFormat="1" applyFont="1" applyFill="1" applyBorder="1" applyAlignment="1">
      <alignment horizontal="center"/>
    </xf>
    <xf numFmtId="1" fontId="26" fillId="5" borderId="25" xfId="0" applyNumberFormat="1" applyFont="1" applyFill="1" applyBorder="1" applyAlignment="1">
      <alignment horizontal="center"/>
    </xf>
    <xf numFmtId="1" fontId="26" fillId="5" borderId="13" xfId="0" applyNumberFormat="1" applyFont="1" applyFill="1" applyBorder="1" applyAlignment="1">
      <alignment horizontal="center"/>
    </xf>
    <xf numFmtId="1" fontId="21" fillId="5" borderId="51" xfId="0" applyNumberFormat="1" applyFont="1" applyFill="1" applyBorder="1" applyAlignment="1">
      <alignment horizontal="center"/>
    </xf>
    <xf numFmtId="1" fontId="21" fillId="5" borderId="20" xfId="0" applyNumberFormat="1" applyFont="1" applyFill="1" applyBorder="1" applyAlignment="1">
      <alignment horizontal="center"/>
    </xf>
    <xf numFmtId="1" fontId="12" fillId="5" borderId="12" xfId="0" applyNumberFormat="1" applyFont="1" applyFill="1" applyBorder="1" applyAlignment="1">
      <alignment horizontal="center"/>
    </xf>
    <xf numFmtId="1" fontId="26" fillId="5" borderId="10" xfId="0" applyNumberFormat="1" applyFont="1" applyFill="1" applyBorder="1" applyAlignment="1">
      <alignment horizontal="center"/>
    </xf>
    <xf numFmtId="1" fontId="21" fillId="5" borderId="16" xfId="0" applyNumberFormat="1" applyFont="1" applyFill="1" applyBorder="1" applyAlignment="1">
      <alignment horizontal="center"/>
    </xf>
    <xf numFmtId="169" fontId="0" fillId="0" borderId="0" xfId="0" applyNumberFormat="1" applyAlignment="1">
      <alignment horizontal="center"/>
    </xf>
    <xf numFmtId="0" fontId="20" fillId="0" borderId="116" xfId="0" applyFont="1" applyBorder="1" applyAlignment="1">
      <alignment horizontal="center" vertical="center"/>
    </xf>
    <xf numFmtId="1" fontId="20" fillId="0" borderId="116" xfId="0" applyNumberFormat="1" applyFont="1" applyBorder="1" applyAlignment="1">
      <alignment horizontal="center" vertical="center"/>
    </xf>
    <xf numFmtId="2" fontId="20" fillId="0" borderId="116" xfId="0" applyNumberFormat="1" applyFont="1" applyBorder="1" applyAlignment="1">
      <alignment horizontal="center" vertical="center"/>
    </xf>
    <xf numFmtId="167" fontId="20" fillId="7" borderId="116" xfId="0" applyNumberFormat="1" applyFont="1" applyFill="1" applyBorder="1" applyAlignment="1">
      <alignment vertical="center"/>
    </xf>
    <xf numFmtId="1" fontId="20" fillId="5" borderId="116" xfId="0" applyNumberFormat="1" applyFont="1" applyFill="1" applyBorder="1" applyAlignment="1">
      <alignment vertical="center"/>
    </xf>
    <xf numFmtId="167" fontId="20" fillId="7" borderId="116" xfId="0" applyNumberFormat="1" applyFont="1" applyFill="1" applyBorder="1" applyAlignment="1">
      <alignment horizontal="center" vertical="center"/>
    </xf>
    <xf numFmtId="1" fontId="19" fillId="5" borderId="116" xfId="0" applyNumberFormat="1" applyFont="1" applyFill="1" applyBorder="1" applyAlignment="1">
      <alignment horizontal="center" vertical="center"/>
    </xf>
    <xf numFmtId="1" fontId="19" fillId="6" borderId="116" xfId="0" applyNumberFormat="1" applyFont="1" applyFill="1" applyBorder="1" applyAlignment="1">
      <alignment horizontal="center" vertical="center"/>
    </xf>
    <xf numFmtId="167" fontId="18" fillId="7" borderId="116" xfId="0" applyNumberFormat="1" applyFont="1" applyFill="1" applyBorder="1" applyAlignment="1">
      <alignment vertical="center"/>
    </xf>
    <xf numFmtId="1" fontId="18" fillId="5" borderId="116" xfId="0" applyNumberFormat="1" applyFont="1" applyFill="1" applyBorder="1" applyAlignment="1">
      <alignment vertical="center"/>
    </xf>
    <xf numFmtId="0" fontId="19" fillId="8" borderId="116" xfId="0" applyFont="1" applyFill="1" applyBorder="1" applyAlignment="1">
      <alignment vertical="center"/>
    </xf>
    <xf numFmtId="1" fontId="20" fillId="7" borderId="116" xfId="0" applyNumberFormat="1" applyFont="1" applyFill="1" applyBorder="1" applyAlignment="1">
      <alignment vertical="center"/>
    </xf>
    <xf numFmtId="1" fontId="20" fillId="7" borderId="117" xfId="0" applyNumberFormat="1" applyFont="1" applyFill="1" applyBorder="1" applyAlignment="1">
      <alignment vertical="center"/>
    </xf>
    <xf numFmtId="1" fontId="20" fillId="5" borderId="117" xfId="0" applyNumberFormat="1" applyFont="1" applyFill="1" applyBorder="1" applyAlignment="1">
      <alignment vertical="center"/>
    </xf>
    <xf numFmtId="1" fontId="20" fillId="5" borderId="117" xfId="0" applyNumberFormat="1" applyFont="1" applyFill="1" applyBorder="1" applyAlignment="1">
      <alignment horizontal="center" vertical="center"/>
    </xf>
    <xf numFmtId="1" fontId="20" fillId="7" borderId="117" xfId="0" applyNumberFormat="1" applyFont="1" applyFill="1" applyBorder="1" applyAlignment="1">
      <alignment horizontal="center" vertical="center"/>
    </xf>
    <xf numFmtId="1" fontId="19" fillId="5" borderId="117" xfId="0" applyNumberFormat="1" applyFont="1" applyFill="1" applyBorder="1" applyAlignment="1">
      <alignment horizontal="center" vertical="center"/>
    </xf>
    <xf numFmtId="1" fontId="19" fillId="6" borderId="117" xfId="0" applyNumberFormat="1" applyFont="1" applyFill="1" applyBorder="1" applyAlignment="1">
      <alignment horizontal="center" vertical="center"/>
    </xf>
    <xf numFmtId="164" fontId="20" fillId="8" borderId="34" xfId="0" quotePrefix="1" applyNumberFormat="1" applyFont="1" applyFill="1" applyBorder="1" applyAlignment="1">
      <alignment horizontal="left" vertical="center"/>
    </xf>
    <xf numFmtId="0" fontId="20" fillId="8" borderId="48" xfId="0" applyFont="1" applyFill="1" applyBorder="1" applyAlignment="1">
      <alignment horizontal="left" vertical="center"/>
    </xf>
    <xf numFmtId="1" fontId="20" fillId="0" borderId="8" xfId="0" applyNumberFormat="1" applyFont="1" applyBorder="1" applyAlignment="1">
      <alignment vertical="center"/>
    </xf>
    <xf numFmtId="1" fontId="19" fillId="5" borderId="30" xfId="0" applyNumberFormat="1" applyFont="1" applyFill="1" applyBorder="1" applyAlignment="1">
      <alignment horizontal="center" vertical="center"/>
    </xf>
    <xf numFmtId="1" fontId="19" fillId="6" borderId="30" xfId="0" applyNumberFormat="1" applyFont="1" applyFill="1" applyBorder="1" applyAlignment="1">
      <alignment horizontal="center" vertical="center"/>
    </xf>
    <xf numFmtId="0" fontId="20" fillId="8" borderId="116" xfId="0" applyFont="1" applyFill="1" applyBorder="1" applyAlignment="1">
      <alignment horizontal="left" vertical="center"/>
    </xf>
    <xf numFmtId="1" fontId="20" fillId="0" borderId="116" xfId="0" applyNumberFormat="1" applyFont="1" applyBorder="1" applyAlignment="1">
      <alignment vertical="center"/>
    </xf>
    <xf numFmtId="1" fontId="19" fillId="5" borderId="41" xfId="0" applyNumberFormat="1" applyFont="1" applyFill="1" applyBorder="1" applyAlignment="1">
      <alignment horizontal="center" vertical="center"/>
    </xf>
    <xf numFmtId="1" fontId="19" fillId="6" borderId="41" xfId="0" applyNumberFormat="1" applyFont="1" applyFill="1" applyBorder="1" applyAlignment="1">
      <alignment horizontal="center" vertical="center"/>
    </xf>
    <xf numFmtId="1" fontId="19" fillId="5" borderId="23" xfId="0" applyNumberFormat="1" applyFont="1" applyFill="1" applyBorder="1" applyAlignment="1">
      <alignment horizontal="center" vertical="center"/>
    </xf>
    <xf numFmtId="1" fontId="19" fillId="6" borderId="23" xfId="0" applyNumberFormat="1" applyFont="1" applyFill="1" applyBorder="1" applyAlignment="1">
      <alignment horizontal="center" vertical="center"/>
    </xf>
    <xf numFmtId="0" fontId="19" fillId="0" borderId="83" xfId="0" applyFont="1" applyBorder="1" applyAlignment="1">
      <alignment horizontal="center" vertical="center"/>
    </xf>
    <xf numFmtId="1" fontId="20" fillId="5" borderId="118" xfId="0" applyNumberFormat="1" applyFont="1" applyFill="1" applyBorder="1" applyAlignment="1">
      <alignment vertical="center"/>
    </xf>
    <xf numFmtId="1" fontId="20" fillId="6" borderId="118" xfId="0" applyNumberFormat="1" applyFont="1" applyFill="1" applyBorder="1" applyAlignment="1">
      <alignment vertical="center"/>
    </xf>
    <xf numFmtId="1" fontId="20" fillId="44" borderId="118" xfId="0" applyNumberFormat="1" applyFont="1" applyFill="1" applyBorder="1" applyAlignment="1">
      <alignment vertical="center"/>
    </xf>
    <xf numFmtId="0" fontId="20" fillId="0" borderId="43" xfId="0" applyFont="1" applyBorder="1" applyAlignment="1">
      <alignment horizontal="center" vertical="center"/>
    </xf>
    <xf numFmtId="1" fontId="20" fillId="0" borderId="76" xfId="0" applyNumberFormat="1" applyFont="1" applyBorder="1" applyAlignment="1">
      <alignment vertical="center"/>
    </xf>
    <xf numFmtId="1" fontId="20" fillId="0" borderId="82" xfId="0" applyNumberFormat="1" applyFont="1" applyBorder="1" applyAlignment="1">
      <alignment horizontal="center" vertical="center"/>
    </xf>
    <xf numFmtId="1" fontId="20" fillId="7" borderId="84" xfId="0" applyNumberFormat="1" applyFont="1" applyFill="1" applyBorder="1" applyAlignment="1">
      <alignment vertical="center"/>
    </xf>
    <xf numFmtId="0" fontId="20" fillId="0" borderId="119" xfId="0" applyFont="1" applyBorder="1" applyAlignment="1">
      <alignment horizontal="center" vertical="center"/>
    </xf>
    <xf numFmtId="1" fontId="19" fillId="8" borderId="119" xfId="0" applyNumberFormat="1" applyFont="1" applyFill="1" applyBorder="1" applyAlignment="1">
      <alignment horizontal="center" vertical="center"/>
    </xf>
    <xf numFmtId="0" fontId="26" fillId="0" borderId="28" xfId="0" applyFont="1" applyBorder="1" applyAlignment="1">
      <alignment horizontal="center" vertical="center"/>
    </xf>
    <xf numFmtId="169" fontId="20" fillId="0" borderId="0" xfId="0" applyNumberFormat="1" applyFont="1"/>
    <xf numFmtId="1" fontId="19" fillId="5" borderId="119" xfId="0" applyNumberFormat="1" applyFont="1" applyFill="1" applyBorder="1" applyAlignment="1">
      <alignment horizontal="center" vertical="center"/>
    </xf>
    <xf numFmtId="0" fontId="18" fillId="0" borderId="48" xfId="0" applyFont="1" applyBorder="1" applyAlignment="1">
      <alignment horizontal="center" vertical="center"/>
    </xf>
    <xf numFmtId="0" fontId="18" fillId="0" borderId="107" xfId="0" applyFont="1" applyBorder="1" applyAlignment="1">
      <alignment horizontal="center" vertical="center"/>
    </xf>
    <xf numFmtId="0" fontId="18" fillId="8" borderId="107" xfId="0" applyFont="1" applyFill="1" applyBorder="1" applyAlignment="1">
      <alignment horizontal="center" vertical="center"/>
    </xf>
    <xf numFmtId="0" fontId="113" fillId="8" borderId="107" xfId="0" applyFont="1" applyFill="1" applyBorder="1"/>
    <xf numFmtId="0" fontId="19" fillId="0" borderId="121" xfId="0" applyFont="1" applyBorder="1" applyAlignment="1">
      <alignment horizontal="center" vertical="center"/>
    </xf>
    <xf numFmtId="0" fontId="19" fillId="0" borderId="31" xfId="0" applyFont="1" applyBorder="1" applyAlignment="1">
      <alignment horizontal="center" vertical="center"/>
    </xf>
    <xf numFmtId="0" fontId="19" fillId="0" borderId="119" xfId="0" applyFont="1" applyBorder="1" applyAlignment="1">
      <alignment horizontal="center" vertical="center"/>
    </xf>
    <xf numFmtId="0" fontId="19" fillId="7" borderId="119" xfId="0" applyFont="1" applyFill="1" applyBorder="1" applyAlignment="1">
      <alignment horizontal="center" vertical="center"/>
    </xf>
    <xf numFmtId="0" fontId="19" fillId="5" borderId="119" xfId="0" applyFont="1" applyFill="1" applyBorder="1" applyAlignment="1">
      <alignment horizontal="center" vertical="center"/>
    </xf>
    <xf numFmtId="0" fontId="19" fillId="50" borderId="119" xfId="0" applyFont="1" applyFill="1" applyBorder="1" applyAlignment="1">
      <alignment horizontal="center" vertical="center"/>
    </xf>
    <xf numFmtId="0" fontId="19" fillId="6" borderId="119" xfId="0" applyFont="1" applyFill="1" applyBorder="1" applyAlignment="1">
      <alignment horizontal="center" vertical="center"/>
    </xf>
    <xf numFmtId="2" fontId="19" fillId="7" borderId="119" xfId="0" applyNumberFormat="1" applyFont="1" applyFill="1" applyBorder="1" applyAlignment="1">
      <alignment horizontal="center" vertical="center"/>
    </xf>
    <xf numFmtId="2" fontId="19" fillId="5" borderId="119" xfId="0" applyNumberFormat="1" applyFont="1" applyFill="1" applyBorder="1" applyAlignment="1">
      <alignment horizontal="center" vertical="center"/>
    </xf>
    <xf numFmtId="2" fontId="19" fillId="6" borderId="119" xfId="0" applyNumberFormat="1" applyFont="1" applyFill="1" applyBorder="1" applyAlignment="1">
      <alignment horizontal="center" vertical="center"/>
    </xf>
    <xf numFmtId="2" fontId="19" fillId="7" borderId="17" xfId="0" applyNumberFormat="1" applyFont="1" applyFill="1" applyBorder="1" applyAlignment="1">
      <alignment horizontal="center" vertical="center"/>
    </xf>
    <xf numFmtId="1" fontId="20" fillId="8" borderId="119" xfId="0" applyNumberFormat="1" applyFont="1" applyFill="1" applyBorder="1" applyAlignment="1">
      <alignment horizontal="center" vertical="center"/>
    </xf>
    <xf numFmtId="1" fontId="19" fillId="8" borderId="119" xfId="0" applyNumberFormat="1" applyFont="1" applyFill="1" applyBorder="1" applyAlignment="1">
      <alignment horizontal="center"/>
    </xf>
    <xf numFmtId="1" fontId="19" fillId="7" borderId="119" xfId="0" applyNumberFormat="1" applyFont="1" applyFill="1" applyBorder="1" applyAlignment="1">
      <alignment horizontal="center"/>
    </xf>
    <xf numFmtId="1" fontId="19" fillId="5" borderId="119" xfId="0" applyNumberFormat="1" applyFont="1" applyFill="1" applyBorder="1" applyAlignment="1">
      <alignment horizontal="center"/>
    </xf>
    <xf numFmtId="1" fontId="19" fillId="6" borderId="119" xfId="0" applyNumberFormat="1" applyFont="1" applyFill="1" applyBorder="1" applyAlignment="1">
      <alignment horizontal="center"/>
    </xf>
    <xf numFmtId="164" fontId="20" fillId="0" borderId="119" xfId="0" quotePrefix="1" applyNumberFormat="1" applyFont="1" applyBorder="1" applyAlignment="1">
      <alignment horizontal="right" vertical="center"/>
    </xf>
    <xf numFmtId="1" fontId="20" fillId="7" borderId="119" xfId="0" applyNumberFormat="1" applyFont="1" applyFill="1" applyBorder="1" applyAlignment="1">
      <alignment horizontal="center" vertical="center"/>
    </xf>
    <xf numFmtId="1" fontId="20" fillId="5" borderId="119" xfId="0" applyNumberFormat="1" applyFont="1" applyFill="1" applyBorder="1" applyAlignment="1">
      <alignment horizontal="center" vertical="center"/>
    </xf>
    <xf numFmtId="0" fontId="20" fillId="8" borderId="119" xfId="0" applyFont="1" applyFill="1" applyBorder="1" applyAlignment="1">
      <alignment horizontal="left" vertical="center"/>
    </xf>
    <xf numFmtId="0" fontId="20" fillId="0" borderId="119" xfId="0" applyFont="1" applyBorder="1" applyAlignment="1">
      <alignment horizontal="left" vertical="center"/>
    </xf>
    <xf numFmtId="1" fontId="20" fillId="0" borderId="119" xfId="0" applyNumberFormat="1" applyFont="1" applyBorder="1" applyAlignment="1">
      <alignment horizontal="center" vertical="center"/>
    </xf>
    <xf numFmtId="169" fontId="12" fillId="8" borderId="106" xfId="0" applyNumberFormat="1" applyFont="1" applyFill="1" applyBorder="1" applyAlignment="1">
      <alignment horizontal="center" vertical="center"/>
    </xf>
    <xf numFmtId="2" fontId="45" fillId="0" borderId="0" xfId="0" applyNumberFormat="1" applyFont="1"/>
    <xf numFmtId="0" fontId="177" fillId="0" borderId="0" xfId="0" applyFont="1"/>
    <xf numFmtId="167" fontId="177" fillId="0" borderId="0" xfId="0" applyNumberFormat="1" applyFont="1" applyAlignment="1">
      <alignment horizontal="center" vertical="center"/>
    </xf>
    <xf numFmtId="1" fontId="177" fillId="0" borderId="0" xfId="0" applyNumberFormat="1" applyFont="1" applyAlignment="1">
      <alignment horizontal="center" vertical="center"/>
    </xf>
    <xf numFmtId="0" fontId="177" fillId="0" borderId="0" xfId="0" applyFont="1" applyAlignment="1">
      <alignment horizontal="center" vertical="center"/>
    </xf>
    <xf numFmtId="0" fontId="177" fillId="8" borderId="0" xfId="0" applyFont="1" applyFill="1" applyAlignment="1">
      <alignment horizontal="center" vertical="center"/>
    </xf>
    <xf numFmtId="1" fontId="7" fillId="45" borderId="121" xfId="0" applyNumberFormat="1" applyFont="1" applyFill="1" applyBorder="1" applyAlignment="1">
      <alignment horizontal="center" vertical="center"/>
    </xf>
    <xf numFmtId="1" fontId="4" fillId="45" borderId="121" xfId="0" applyNumberFormat="1" applyFont="1" applyFill="1" applyBorder="1" applyAlignment="1">
      <alignment horizontal="center" vertical="center"/>
    </xf>
    <xf numFmtId="0" fontId="76" fillId="45" borderId="121" xfId="0" applyFont="1" applyFill="1" applyBorder="1" applyAlignment="1">
      <alignment horizontal="center" vertical="center"/>
    </xf>
    <xf numFmtId="167" fontId="7" fillId="45" borderId="121" xfId="0" applyNumberFormat="1" applyFont="1" applyFill="1" applyBorder="1" applyAlignment="1">
      <alignment horizontal="center" vertical="center"/>
    </xf>
    <xf numFmtId="167" fontId="4" fillId="45" borderId="121" xfId="0" applyNumberFormat="1" applyFont="1" applyFill="1" applyBorder="1" applyAlignment="1">
      <alignment horizontal="center" vertical="center"/>
    </xf>
    <xf numFmtId="167" fontId="7" fillId="45" borderId="109" xfId="0" applyNumberFormat="1" applyFont="1" applyFill="1" applyBorder="1" applyAlignment="1">
      <alignment horizontal="center" vertical="center"/>
    </xf>
    <xf numFmtId="167" fontId="7" fillId="45" borderId="59" xfId="0" applyNumberFormat="1" applyFont="1" applyFill="1" applyBorder="1" applyAlignment="1">
      <alignment horizontal="center" vertical="center"/>
    </xf>
    <xf numFmtId="0" fontId="76" fillId="0" borderId="62" xfId="0" applyFont="1" applyBorder="1" applyAlignment="1">
      <alignment horizontal="left" vertical="center"/>
    </xf>
    <xf numFmtId="0" fontId="76" fillId="0" borderId="117" xfId="0" applyFont="1" applyBorder="1" applyAlignment="1">
      <alignment horizontal="left" vertical="center"/>
    </xf>
    <xf numFmtId="1" fontId="20" fillId="0" borderId="115" xfId="0" applyNumberFormat="1" applyFont="1" applyBorder="1" applyAlignment="1">
      <alignment horizontal="center" vertical="center"/>
    </xf>
    <xf numFmtId="1" fontId="20" fillId="5" borderId="115" xfId="0" applyNumberFormat="1" applyFont="1" applyFill="1" applyBorder="1" applyAlignment="1">
      <alignment horizontal="center" vertical="center"/>
    </xf>
    <xf numFmtId="1" fontId="20" fillId="6" borderId="117" xfId="0" applyNumberFormat="1" applyFont="1" applyFill="1" applyBorder="1" applyAlignment="1">
      <alignment horizontal="center" vertical="center"/>
    </xf>
    <xf numFmtId="1" fontId="20" fillId="6" borderId="79" xfId="0" applyNumberFormat="1" applyFont="1" applyFill="1" applyBorder="1" applyAlignment="1">
      <alignment horizontal="center" vertical="center"/>
    </xf>
    <xf numFmtId="1" fontId="20" fillId="45" borderId="117" xfId="0" applyNumberFormat="1" applyFont="1" applyFill="1" applyBorder="1" applyAlignment="1">
      <alignment horizontal="center" vertical="center"/>
    </xf>
    <xf numFmtId="1" fontId="20" fillId="45" borderId="42" xfId="0" applyNumberFormat="1" applyFont="1" applyFill="1" applyBorder="1" applyAlignment="1">
      <alignment horizontal="center" vertical="center"/>
    </xf>
    <xf numFmtId="0" fontId="76" fillId="0" borderId="119" xfId="0" applyFont="1" applyBorder="1" applyAlignment="1">
      <alignment horizontal="left" vertical="center"/>
    </xf>
    <xf numFmtId="1" fontId="20" fillId="6" borderId="119" xfId="0" applyNumberFormat="1" applyFont="1" applyFill="1" applyBorder="1" applyAlignment="1">
      <alignment horizontal="center" vertical="center"/>
    </xf>
    <xf numFmtId="1" fontId="20" fillId="45" borderId="119" xfId="0" applyNumberFormat="1" applyFont="1" applyFill="1" applyBorder="1" applyAlignment="1">
      <alignment horizontal="center" vertical="center"/>
    </xf>
    <xf numFmtId="0" fontId="86" fillId="0" borderId="119" xfId="0" applyFont="1" applyBorder="1" applyAlignment="1">
      <alignment horizontal="left" vertical="center"/>
    </xf>
    <xf numFmtId="1" fontId="21" fillId="5" borderId="119" xfId="0" applyNumberFormat="1" applyFont="1" applyFill="1" applyBorder="1" applyAlignment="1">
      <alignment horizontal="center" vertical="center"/>
    </xf>
    <xf numFmtId="1" fontId="21" fillId="6" borderId="119" xfId="0" applyNumberFormat="1" applyFont="1" applyFill="1" applyBorder="1" applyAlignment="1">
      <alignment horizontal="center" vertical="center"/>
    </xf>
    <xf numFmtId="1" fontId="21" fillId="7" borderId="119" xfId="0" applyNumberFormat="1" applyFont="1" applyFill="1" applyBorder="1" applyAlignment="1">
      <alignment horizontal="center" vertical="center"/>
    </xf>
    <xf numFmtId="1" fontId="21" fillId="45" borderId="119" xfId="0" applyNumberFormat="1" applyFont="1" applyFill="1" applyBorder="1" applyAlignment="1">
      <alignment horizontal="center" vertical="center"/>
    </xf>
    <xf numFmtId="0" fontId="76" fillId="8" borderId="119" xfId="0" applyFont="1" applyFill="1" applyBorder="1" applyAlignment="1">
      <alignment horizontal="left" vertical="center"/>
    </xf>
    <xf numFmtId="0" fontId="45" fillId="8" borderId="107" xfId="0" applyFont="1" applyFill="1" applyBorder="1" applyAlignment="1">
      <alignment horizontal="center" vertical="center"/>
    </xf>
    <xf numFmtId="0" fontId="45" fillId="8" borderId="119" xfId="0" applyFont="1" applyFill="1" applyBorder="1" applyAlignment="1">
      <alignment horizontal="center" vertical="center"/>
    </xf>
    <xf numFmtId="0" fontId="45" fillId="45" borderId="119" xfId="0" applyFont="1" applyFill="1" applyBorder="1" applyAlignment="1">
      <alignment horizontal="center" vertical="center"/>
    </xf>
    <xf numFmtId="0" fontId="45" fillId="45" borderId="17" xfId="0" applyFont="1" applyFill="1" applyBorder="1" applyAlignment="1">
      <alignment horizontal="center" vertical="center"/>
    </xf>
    <xf numFmtId="167" fontId="20" fillId="0" borderId="107" xfId="0" applyNumberFormat="1" applyFont="1" applyBorder="1" applyAlignment="1">
      <alignment horizontal="center" vertical="center"/>
    </xf>
    <xf numFmtId="167" fontId="20" fillId="5" borderId="119" xfId="0" applyNumberFormat="1" applyFont="1" applyFill="1" applyBorder="1" applyAlignment="1">
      <alignment horizontal="center" vertical="center"/>
    </xf>
    <xf numFmtId="167" fontId="20" fillId="6" borderId="119" xfId="0" applyNumberFormat="1" applyFont="1" applyFill="1" applyBorder="1" applyAlignment="1">
      <alignment horizontal="center" vertical="center"/>
    </xf>
    <xf numFmtId="167" fontId="20" fillId="45" borderId="119" xfId="0" applyNumberFormat="1" applyFont="1" applyFill="1" applyBorder="1" applyAlignment="1">
      <alignment horizontal="center" vertical="center"/>
    </xf>
    <xf numFmtId="167" fontId="20" fillId="7" borderId="119" xfId="0" applyNumberFormat="1" applyFont="1" applyFill="1" applyBorder="1" applyAlignment="1">
      <alignment horizontal="center" vertical="center"/>
    </xf>
    <xf numFmtId="167" fontId="21" fillId="0" borderId="107" xfId="0" applyNumberFormat="1" applyFont="1" applyBorder="1" applyAlignment="1">
      <alignment horizontal="center" vertical="center"/>
    </xf>
    <xf numFmtId="167" fontId="21" fillId="5" borderId="119" xfId="0" applyNumberFormat="1" applyFont="1" applyFill="1" applyBorder="1" applyAlignment="1">
      <alignment horizontal="center" vertical="center"/>
    </xf>
    <xf numFmtId="167" fontId="21" fillId="6" borderId="119" xfId="0" applyNumberFormat="1" applyFont="1" applyFill="1" applyBorder="1" applyAlignment="1">
      <alignment horizontal="center" vertical="center"/>
    </xf>
    <xf numFmtId="167" fontId="21" fillId="7" borderId="119" xfId="0" applyNumberFormat="1" applyFont="1" applyFill="1" applyBorder="1" applyAlignment="1">
      <alignment horizontal="center" vertical="center"/>
    </xf>
    <xf numFmtId="167" fontId="21" fillId="45" borderId="119" xfId="0" applyNumberFormat="1" applyFont="1" applyFill="1" applyBorder="1" applyAlignment="1">
      <alignment horizontal="center" vertical="center"/>
    </xf>
    <xf numFmtId="167" fontId="21" fillId="45" borderId="17" xfId="0" applyNumberFormat="1" applyFont="1" applyFill="1" applyBorder="1" applyAlignment="1">
      <alignment horizontal="center" vertical="center"/>
    </xf>
    <xf numFmtId="167" fontId="20" fillId="0" borderId="111" xfId="0" applyNumberFormat="1" applyFont="1" applyBorder="1" applyAlignment="1">
      <alignment horizontal="center" vertical="center"/>
    </xf>
    <xf numFmtId="167" fontId="20" fillId="5" borderId="117" xfId="0" applyNumberFormat="1" applyFont="1" applyFill="1" applyBorder="1" applyAlignment="1">
      <alignment horizontal="center" vertical="center"/>
    </xf>
    <xf numFmtId="167" fontId="20" fillId="6" borderId="117" xfId="0" applyNumberFormat="1" applyFont="1" applyFill="1" applyBorder="1" applyAlignment="1">
      <alignment horizontal="center" vertical="center"/>
    </xf>
    <xf numFmtId="167" fontId="20" fillId="45" borderId="117" xfId="0" applyNumberFormat="1" applyFont="1" applyFill="1" applyBorder="1" applyAlignment="1">
      <alignment horizontal="center" vertical="center"/>
    </xf>
    <xf numFmtId="167" fontId="20" fillId="45" borderId="115" xfId="0" applyNumberFormat="1" applyFont="1" applyFill="1" applyBorder="1" applyAlignment="1">
      <alignment horizontal="center" vertical="center"/>
    </xf>
    <xf numFmtId="167" fontId="21" fillId="0" borderId="111" xfId="0" applyNumberFormat="1" applyFont="1" applyBorder="1" applyAlignment="1">
      <alignment horizontal="center" vertical="center"/>
    </xf>
    <xf numFmtId="167" fontId="21" fillId="5" borderId="23" xfId="0" applyNumberFormat="1" applyFont="1" applyFill="1" applyBorder="1" applyAlignment="1">
      <alignment horizontal="center" vertical="center"/>
    </xf>
    <xf numFmtId="167" fontId="21" fillId="6" borderId="23" xfId="0" applyNumberFormat="1" applyFont="1" applyFill="1" applyBorder="1" applyAlignment="1">
      <alignment horizontal="center" vertical="center"/>
    </xf>
    <xf numFmtId="167" fontId="21" fillId="7" borderId="23" xfId="0" applyNumberFormat="1" applyFont="1" applyFill="1" applyBorder="1" applyAlignment="1">
      <alignment horizontal="center" vertical="center"/>
    </xf>
    <xf numFmtId="167" fontId="20" fillId="45" borderId="33" xfId="0" applyNumberFormat="1" applyFont="1" applyFill="1" applyBorder="1" applyAlignment="1">
      <alignment horizontal="center" vertical="center"/>
    </xf>
    <xf numFmtId="0" fontId="178" fillId="8" borderId="106" xfId="0" applyFont="1" applyFill="1" applyBorder="1" applyAlignment="1">
      <alignment horizontal="center" vertical="center"/>
    </xf>
    <xf numFmtId="0" fontId="179" fillId="8" borderId="106" xfId="0" applyFont="1" applyFill="1" applyBorder="1" applyAlignment="1">
      <alignment horizontal="center"/>
    </xf>
    <xf numFmtId="0" fontId="178" fillId="8" borderId="106" xfId="0" applyFont="1" applyFill="1" applyBorder="1" applyAlignment="1">
      <alignment horizontal="center"/>
    </xf>
    <xf numFmtId="0" fontId="180" fillId="8" borderId="106" xfId="0" applyFont="1" applyFill="1" applyBorder="1" applyAlignment="1">
      <alignment horizontal="center"/>
    </xf>
    <xf numFmtId="0" fontId="181" fillId="8" borderId="106" xfId="0" applyFont="1" applyFill="1" applyBorder="1" applyAlignment="1">
      <alignment horizontal="center"/>
    </xf>
    <xf numFmtId="1" fontId="4" fillId="0" borderId="55" xfId="0" applyNumberFormat="1" applyFont="1" applyBorder="1" applyAlignment="1">
      <alignment horizontal="center" vertical="center"/>
    </xf>
    <xf numFmtId="1" fontId="4" fillId="0" borderId="1" xfId="0" applyNumberFormat="1" applyFont="1" applyBorder="1" applyAlignment="1">
      <alignment horizontal="center" vertical="center"/>
    </xf>
    <xf numFmtId="1" fontId="4" fillId="7" borderId="5" xfId="0" applyNumberFormat="1" applyFont="1" applyFill="1" applyBorder="1" applyAlignment="1">
      <alignment horizontal="center" vertical="center"/>
    </xf>
    <xf numFmtId="1" fontId="4" fillId="7" borderId="11" xfId="0" applyNumberFormat="1" applyFont="1" applyFill="1" applyBorder="1" applyAlignment="1">
      <alignment horizontal="center" vertical="center"/>
    </xf>
    <xf numFmtId="1" fontId="4" fillId="5" borderId="1" xfId="0" applyNumberFormat="1" applyFont="1" applyFill="1" applyBorder="1" applyAlignment="1">
      <alignment horizontal="center" vertical="center"/>
    </xf>
    <xf numFmtId="1" fontId="4" fillId="5" borderId="11" xfId="0" applyNumberFormat="1" applyFont="1" applyFill="1" applyBorder="1" applyAlignment="1">
      <alignment horizontal="center" vertical="center"/>
    </xf>
    <xf numFmtId="1" fontId="4" fillId="7" borderId="1" xfId="0" applyNumberFormat="1" applyFont="1" applyFill="1" applyBorder="1" applyAlignment="1">
      <alignment horizontal="center" vertical="center"/>
    </xf>
    <xf numFmtId="1" fontId="4" fillId="5" borderId="5" xfId="0" applyNumberFormat="1" applyFont="1" applyFill="1" applyBorder="1" applyAlignment="1">
      <alignment horizontal="center" vertical="center"/>
    </xf>
    <xf numFmtId="1" fontId="4" fillId="5" borderId="67" xfId="0" applyNumberFormat="1" applyFont="1" applyFill="1" applyBorder="1" applyAlignment="1">
      <alignment horizontal="center" vertical="center"/>
    </xf>
    <xf numFmtId="1" fontId="4" fillId="6" borderId="5" xfId="0" applyNumberFormat="1" applyFont="1" applyFill="1" applyBorder="1" applyAlignment="1">
      <alignment horizontal="center" vertical="center"/>
    </xf>
    <xf numFmtId="1" fontId="4" fillId="6" borderId="11" xfId="0" applyNumberFormat="1" applyFont="1" applyFill="1" applyBorder="1" applyAlignment="1">
      <alignment horizontal="center" vertical="center"/>
    </xf>
    <xf numFmtId="167" fontId="177" fillId="8" borderId="0" xfId="0" applyNumberFormat="1" applyFont="1" applyFill="1" applyAlignment="1">
      <alignment horizontal="center" vertical="center"/>
    </xf>
    <xf numFmtId="1" fontId="177" fillId="8" borderId="0" xfId="0" applyNumberFormat="1" applyFont="1" applyFill="1" applyAlignment="1">
      <alignment horizontal="center" vertical="center"/>
    </xf>
    <xf numFmtId="2" fontId="177" fillId="8" borderId="0" xfId="0" applyNumberFormat="1" applyFont="1" applyFill="1" applyAlignment="1">
      <alignment horizontal="center" vertical="center"/>
    </xf>
    <xf numFmtId="2" fontId="83" fillId="0" borderId="0" xfId="0" applyNumberFormat="1" applyFont="1" applyAlignment="1">
      <alignment horizontal="center" vertical="center"/>
    </xf>
    <xf numFmtId="177" fontId="0" fillId="0" borderId="0" xfId="0" applyNumberFormat="1"/>
    <xf numFmtId="0" fontId="0" fillId="5" borderId="0" xfId="0" applyFill="1"/>
    <xf numFmtId="0" fontId="182" fillId="0" borderId="10" xfId="0" applyFont="1" applyBorder="1" applyAlignment="1">
      <alignment horizontal="center" vertical="center"/>
    </xf>
    <xf numFmtId="0" fontId="182" fillId="6" borderId="10" xfId="0" applyFont="1" applyFill="1" applyBorder="1" applyAlignment="1">
      <alignment horizontal="center" vertical="center"/>
    </xf>
    <xf numFmtId="0" fontId="183" fillId="0" borderId="10" xfId="0" applyFont="1" applyBorder="1"/>
    <xf numFmtId="0" fontId="183" fillId="8" borderId="10" xfId="0" applyFont="1" applyFill="1" applyBorder="1"/>
    <xf numFmtId="1" fontId="183" fillId="0" borderId="10" xfId="0" applyNumberFormat="1" applyFont="1" applyBorder="1" applyAlignment="1">
      <alignment horizontal="center"/>
    </xf>
    <xf numFmtId="1" fontId="183" fillId="7" borderId="10" xfId="0" applyNumberFormat="1" applyFont="1" applyFill="1" applyBorder="1" applyAlignment="1">
      <alignment horizontal="center"/>
    </xf>
    <xf numFmtId="1" fontId="183" fillId="5" borderId="10" xfId="0" applyNumberFormat="1" applyFont="1" applyFill="1" applyBorder="1" applyAlignment="1">
      <alignment horizontal="center"/>
    </xf>
    <xf numFmtId="0" fontId="183" fillId="0" borderId="0" xfId="0" applyFont="1"/>
    <xf numFmtId="1" fontId="183" fillId="8" borderId="106" xfId="0" applyNumberFormat="1" applyFont="1" applyFill="1" applyBorder="1" applyAlignment="1">
      <alignment horizontal="center"/>
    </xf>
    <xf numFmtId="1" fontId="183" fillId="6" borderId="106" xfId="0" applyNumberFormat="1" applyFont="1" applyFill="1" applyBorder="1" applyAlignment="1">
      <alignment horizontal="center"/>
    </xf>
    <xf numFmtId="1" fontId="183" fillId="6" borderId="10" xfId="0" applyNumberFormat="1" applyFont="1" applyFill="1" applyBorder="1" applyAlignment="1">
      <alignment horizontal="center"/>
    </xf>
    <xf numFmtId="0" fontId="183" fillId="0" borderId="106" xfId="0" applyFont="1" applyBorder="1"/>
    <xf numFmtId="0" fontId="183" fillId="8" borderId="106" xfId="0" applyFont="1" applyFill="1" applyBorder="1"/>
    <xf numFmtId="1" fontId="183" fillId="0" borderId="106" xfId="0" applyNumberFormat="1" applyFont="1" applyBorder="1" applyAlignment="1">
      <alignment horizontal="center"/>
    </xf>
    <xf numFmtId="1" fontId="183" fillId="5" borderId="106" xfId="0" applyNumberFormat="1" applyFont="1" applyFill="1" applyBorder="1" applyAlignment="1">
      <alignment horizontal="center"/>
    </xf>
    <xf numFmtId="1" fontId="183" fillId="7" borderId="106" xfId="0" applyNumberFormat="1" applyFont="1" applyFill="1" applyBorder="1" applyAlignment="1">
      <alignment horizontal="center"/>
    </xf>
    <xf numFmtId="1" fontId="183" fillId="0" borderId="0" xfId="0" applyNumberFormat="1" applyFont="1"/>
    <xf numFmtId="0" fontId="182" fillId="43" borderId="10" xfId="0" applyFont="1" applyFill="1" applyBorder="1"/>
    <xf numFmtId="1" fontId="182" fillId="43" borderId="10" xfId="0" applyNumberFormat="1" applyFont="1" applyFill="1" applyBorder="1" applyAlignment="1">
      <alignment horizontal="center"/>
    </xf>
    <xf numFmtId="1" fontId="182" fillId="7" borderId="10" xfId="0" applyNumberFormat="1" applyFont="1" applyFill="1" applyBorder="1" applyAlignment="1">
      <alignment horizontal="center"/>
    </xf>
    <xf numFmtId="1" fontId="182" fillId="5" borderId="10" xfId="0" applyNumberFormat="1" applyFont="1" applyFill="1" applyBorder="1" applyAlignment="1">
      <alignment horizontal="center"/>
    </xf>
    <xf numFmtId="1" fontId="182" fillId="6" borderId="10" xfId="0" applyNumberFormat="1" applyFont="1" applyFill="1" applyBorder="1" applyAlignment="1">
      <alignment horizontal="center"/>
    </xf>
    <xf numFmtId="1" fontId="183" fillId="8" borderId="10" xfId="0" applyNumberFormat="1" applyFont="1" applyFill="1" applyBorder="1" applyAlignment="1">
      <alignment horizontal="center"/>
    </xf>
    <xf numFmtId="0" fontId="183" fillId="0" borderId="105" xfId="0" applyFont="1" applyBorder="1"/>
    <xf numFmtId="1" fontId="183" fillId="8" borderId="105" xfId="0" applyNumberFormat="1" applyFont="1" applyFill="1" applyBorder="1" applyAlignment="1">
      <alignment horizontal="center"/>
    </xf>
    <xf numFmtId="1" fontId="183" fillId="7" borderId="105" xfId="0" applyNumberFormat="1" applyFont="1" applyFill="1" applyBorder="1" applyAlignment="1">
      <alignment horizontal="center"/>
    </xf>
    <xf numFmtId="1" fontId="183" fillId="5" borderId="105" xfId="0" applyNumberFormat="1" applyFont="1" applyFill="1" applyBorder="1" applyAlignment="1">
      <alignment horizontal="center"/>
    </xf>
    <xf numFmtId="0" fontId="183" fillId="0" borderId="118" xfId="0" applyFont="1" applyBorder="1"/>
    <xf numFmtId="1" fontId="183" fillId="8" borderId="118" xfId="0" applyNumberFormat="1" applyFont="1" applyFill="1" applyBorder="1" applyAlignment="1">
      <alignment horizontal="center"/>
    </xf>
    <xf numFmtId="1" fontId="183" fillId="7" borderId="118" xfId="0" applyNumberFormat="1" applyFont="1" applyFill="1" applyBorder="1" applyAlignment="1">
      <alignment horizontal="center"/>
    </xf>
    <xf numFmtId="1" fontId="183" fillId="5" borderId="118" xfId="0" applyNumberFormat="1" applyFont="1" applyFill="1" applyBorder="1" applyAlignment="1">
      <alignment horizontal="center"/>
    </xf>
    <xf numFmtId="1" fontId="183" fillId="6" borderId="118" xfId="0" applyNumberFormat="1" applyFont="1" applyFill="1" applyBorder="1" applyAlignment="1">
      <alignment horizontal="center"/>
    </xf>
    <xf numFmtId="0" fontId="183" fillId="8" borderId="10" xfId="0" applyFont="1" applyFill="1" applyBorder="1" applyAlignment="1">
      <alignment horizontal="center"/>
    </xf>
    <xf numFmtId="0" fontId="183" fillId="7" borderId="10" xfId="0" applyFont="1" applyFill="1" applyBorder="1" applyAlignment="1">
      <alignment horizontal="center"/>
    </xf>
    <xf numFmtId="0" fontId="183" fillId="5" borderId="10" xfId="0" applyFont="1" applyFill="1" applyBorder="1" applyAlignment="1">
      <alignment horizontal="center"/>
    </xf>
    <xf numFmtId="0" fontId="184" fillId="0" borderId="10" xfId="0" applyFont="1" applyBorder="1"/>
    <xf numFmtId="0" fontId="185" fillId="0" borderId="10" xfId="0" applyFont="1" applyBorder="1"/>
    <xf numFmtId="1" fontId="184" fillId="8" borderId="10" xfId="0" applyNumberFormat="1" applyFont="1" applyFill="1" applyBorder="1" applyAlignment="1">
      <alignment horizontal="center"/>
    </xf>
    <xf numFmtId="0" fontId="184" fillId="0" borderId="10" xfId="0" applyFont="1" applyBorder="1" applyAlignment="1">
      <alignment horizontal="center"/>
    </xf>
    <xf numFmtId="0" fontId="184" fillId="7" borderId="10" xfId="0" applyFont="1" applyFill="1" applyBorder="1" applyAlignment="1">
      <alignment horizontal="center"/>
    </xf>
    <xf numFmtId="0" fontId="184" fillId="5" borderId="10" xfId="0" applyFont="1" applyFill="1" applyBorder="1" applyAlignment="1">
      <alignment horizontal="center"/>
    </xf>
    <xf numFmtId="1" fontId="184" fillId="0" borderId="10" xfId="0" applyNumberFormat="1" applyFont="1" applyBorder="1" applyAlignment="1">
      <alignment horizontal="center"/>
    </xf>
    <xf numFmtId="0" fontId="184" fillId="0" borderId="0" xfId="0" applyFont="1"/>
    <xf numFmtId="1" fontId="184" fillId="8" borderId="29" xfId="0" applyNumberFormat="1" applyFont="1" applyFill="1" applyBorder="1" applyAlignment="1">
      <alignment horizontal="center"/>
    </xf>
    <xf numFmtId="0" fontId="185" fillId="0" borderId="0" xfId="0" applyFont="1"/>
    <xf numFmtId="0" fontId="183" fillId="0" borderId="10" xfId="0" applyFont="1" applyBorder="1" applyAlignment="1">
      <alignment horizontal="center"/>
    </xf>
    <xf numFmtId="1" fontId="183" fillId="8" borderId="29" xfId="0" applyNumberFormat="1" applyFont="1" applyFill="1" applyBorder="1" applyAlignment="1">
      <alignment horizontal="center"/>
    </xf>
    <xf numFmtId="0" fontId="182" fillId="0" borderId="10" xfId="0" applyFont="1" applyBorder="1"/>
    <xf numFmtId="1" fontId="182" fillId="4" borderId="10" xfId="0" applyNumberFormat="1" applyFont="1" applyFill="1" applyBorder="1" applyAlignment="1">
      <alignment horizontal="center"/>
    </xf>
    <xf numFmtId="0" fontId="183" fillId="0" borderId="10" xfId="0" applyFont="1" applyBorder="1" applyAlignment="1">
      <alignment horizontal="center" vertical="center"/>
    </xf>
    <xf numFmtId="9" fontId="182" fillId="8" borderId="10" xfId="22" applyFont="1" applyFill="1" applyBorder="1" applyAlignment="1">
      <alignment horizontal="center"/>
    </xf>
    <xf numFmtId="9" fontId="182" fillId="7" borderId="10" xfId="22" applyFont="1" applyFill="1" applyBorder="1" applyAlignment="1">
      <alignment horizontal="center"/>
    </xf>
    <xf numFmtId="9" fontId="182" fillId="6" borderId="10" xfId="22" applyFont="1" applyFill="1" applyBorder="1" applyAlignment="1">
      <alignment horizontal="center"/>
    </xf>
    <xf numFmtId="0" fontId="183" fillId="8" borderId="0" xfId="0" applyFont="1" applyFill="1"/>
    <xf numFmtId="0" fontId="183" fillId="7" borderId="0" xfId="0" applyFont="1" applyFill="1"/>
    <xf numFmtId="0" fontId="183" fillId="5" borderId="0" xfId="0" applyFont="1" applyFill="1"/>
    <xf numFmtId="0" fontId="183" fillId="6" borderId="0" xfId="0" applyFont="1" applyFill="1"/>
    <xf numFmtId="0" fontId="182" fillId="8" borderId="10" xfId="0" applyFont="1" applyFill="1" applyBorder="1" applyAlignment="1">
      <alignment horizontal="center" vertical="center"/>
    </xf>
    <xf numFmtId="0" fontId="183" fillId="0" borderId="0" xfId="0" applyFont="1" applyAlignment="1">
      <alignment horizontal="center" vertical="center"/>
    </xf>
    <xf numFmtId="1" fontId="183" fillId="7" borderId="0" xfId="0" applyNumberFormat="1" applyFont="1" applyFill="1"/>
    <xf numFmtId="1" fontId="183" fillId="5" borderId="0" xfId="0" applyNumberFormat="1" applyFont="1" applyFill="1"/>
    <xf numFmtId="1" fontId="183" fillId="8" borderId="0" xfId="0" applyNumberFormat="1" applyFont="1" applyFill="1"/>
    <xf numFmtId="1" fontId="183" fillId="6" borderId="0" xfId="0" applyNumberFormat="1" applyFont="1" applyFill="1"/>
    <xf numFmtId="0" fontId="183" fillId="0" borderId="41" xfId="0" applyFont="1" applyBorder="1"/>
    <xf numFmtId="0" fontId="183" fillId="0" borderId="46" xfId="0" applyFont="1" applyBorder="1"/>
    <xf numFmtId="0" fontId="183" fillId="0" borderId="23" xfId="0" applyFont="1" applyBorder="1"/>
    <xf numFmtId="0" fontId="183" fillId="0" borderId="30" xfId="0" applyFont="1" applyBorder="1"/>
    <xf numFmtId="0" fontId="183" fillId="0" borderId="40" xfId="0" applyFont="1" applyBorder="1" applyAlignment="1">
      <alignment horizontal="center" vertical="center"/>
    </xf>
    <xf numFmtId="0" fontId="182" fillId="8" borderId="106" xfId="0" applyFont="1" applyFill="1" applyBorder="1" applyAlignment="1">
      <alignment horizontal="center" vertical="center"/>
    </xf>
    <xf numFmtId="0" fontId="182" fillId="6" borderId="29" xfId="0" applyFont="1" applyFill="1" applyBorder="1" applyAlignment="1">
      <alignment horizontal="center" vertical="center"/>
    </xf>
    <xf numFmtId="0" fontId="183" fillId="0" borderId="59" xfId="0" applyFont="1" applyBorder="1" applyAlignment="1">
      <alignment horizontal="right" vertical="center"/>
    </xf>
    <xf numFmtId="1" fontId="183" fillId="0" borderId="23" xfId="0" applyNumberFormat="1" applyFont="1" applyBorder="1" applyAlignment="1">
      <alignment horizontal="center" vertical="center"/>
    </xf>
    <xf numFmtId="9" fontId="183" fillId="7" borderId="23" xfId="22" applyFont="1" applyFill="1" applyBorder="1" applyAlignment="1">
      <alignment horizontal="center" vertical="center"/>
    </xf>
    <xf numFmtId="9" fontId="183" fillId="5" borderId="23" xfId="22" applyFont="1" applyFill="1" applyBorder="1" applyAlignment="1">
      <alignment horizontal="center" vertical="center"/>
    </xf>
    <xf numFmtId="9" fontId="183" fillId="6" borderId="23" xfId="22" applyFont="1" applyFill="1" applyBorder="1" applyAlignment="1">
      <alignment horizontal="center" vertical="center"/>
    </xf>
    <xf numFmtId="0" fontId="183" fillId="0" borderId="38" xfId="0" applyFont="1" applyBorder="1" applyAlignment="1">
      <alignment horizontal="right" vertical="center"/>
    </xf>
    <xf numFmtId="1" fontId="183" fillId="0" borderId="46" xfId="0" applyNumberFormat="1" applyFont="1" applyBorder="1" applyAlignment="1">
      <alignment horizontal="center" vertical="center"/>
    </xf>
    <xf numFmtId="1" fontId="183" fillId="7" borderId="46" xfId="0" applyNumberFormat="1" applyFont="1" applyFill="1" applyBorder="1" applyAlignment="1">
      <alignment horizontal="center" vertical="center"/>
    </xf>
    <xf numFmtId="1" fontId="183" fillId="5" borderId="46" xfId="0" applyNumberFormat="1" applyFont="1" applyFill="1" applyBorder="1" applyAlignment="1">
      <alignment horizontal="center" vertical="center"/>
    </xf>
    <xf numFmtId="1" fontId="183" fillId="6" borderId="46" xfId="0" applyNumberFormat="1" applyFont="1" applyFill="1" applyBorder="1" applyAlignment="1">
      <alignment horizontal="center" vertical="center"/>
    </xf>
    <xf numFmtId="0" fontId="183" fillId="0" borderId="3" xfId="0" applyFont="1" applyBorder="1" applyAlignment="1">
      <alignment horizontal="left" vertical="center"/>
    </xf>
    <xf numFmtId="1" fontId="183" fillId="0" borderId="41" xfId="0" applyNumberFormat="1" applyFont="1" applyBorder="1" applyAlignment="1">
      <alignment horizontal="center" vertical="center"/>
    </xf>
    <xf numFmtId="0" fontId="183" fillId="0" borderId="41" xfId="0" applyFont="1" applyBorder="1" applyAlignment="1">
      <alignment horizontal="center" vertical="center"/>
    </xf>
    <xf numFmtId="0" fontId="183" fillId="0" borderId="59" xfId="0" applyFont="1" applyBorder="1" applyAlignment="1">
      <alignment horizontal="left" vertical="center"/>
    </xf>
    <xf numFmtId="9" fontId="183" fillId="0" borderId="23" xfId="22" applyFont="1" applyBorder="1" applyAlignment="1">
      <alignment horizontal="center" vertical="center"/>
    </xf>
    <xf numFmtId="1" fontId="183" fillId="0" borderId="30" xfId="0" applyNumberFormat="1" applyFont="1" applyBorder="1" applyAlignment="1">
      <alignment horizontal="center" vertical="center"/>
    </xf>
    <xf numFmtId="1" fontId="183" fillId="7" borderId="41" xfId="0" applyNumberFormat="1" applyFont="1" applyFill="1" applyBorder="1" applyAlignment="1">
      <alignment horizontal="center"/>
    </xf>
    <xf numFmtId="1" fontId="183" fillId="5" borderId="41" xfId="0" applyNumberFormat="1" applyFont="1" applyFill="1" applyBorder="1" applyAlignment="1">
      <alignment horizontal="center"/>
    </xf>
    <xf numFmtId="1" fontId="183" fillId="6" borderId="41" xfId="0" applyNumberFormat="1" applyFont="1" applyFill="1" applyBorder="1" applyAlignment="1">
      <alignment horizontal="center"/>
    </xf>
    <xf numFmtId="1" fontId="183" fillId="7" borderId="42" xfId="0" applyNumberFormat="1" applyFont="1" applyFill="1" applyBorder="1" applyAlignment="1">
      <alignment horizontal="center"/>
    </xf>
    <xf numFmtId="0" fontId="183" fillId="0" borderId="121" xfId="0" applyFont="1" applyBorder="1" applyAlignment="1">
      <alignment horizontal="left" vertical="center"/>
    </xf>
    <xf numFmtId="0" fontId="183" fillId="0" borderId="119" xfId="0" applyFont="1" applyBorder="1"/>
    <xf numFmtId="1" fontId="183" fillId="0" borderId="119" xfId="0" applyNumberFormat="1" applyFont="1" applyBorder="1" applyAlignment="1">
      <alignment horizontal="center" vertical="center"/>
    </xf>
    <xf numFmtId="1" fontId="183" fillId="7" borderId="119" xfId="0" applyNumberFormat="1" applyFont="1" applyFill="1" applyBorder="1" applyAlignment="1">
      <alignment horizontal="center"/>
    </xf>
    <xf numFmtId="1" fontId="183" fillId="5" borderId="119" xfId="0" applyNumberFormat="1" applyFont="1" applyFill="1" applyBorder="1" applyAlignment="1">
      <alignment horizontal="center"/>
    </xf>
    <xf numFmtId="1" fontId="183" fillId="6" borderId="119" xfId="0" applyNumberFormat="1" applyFont="1" applyFill="1" applyBorder="1" applyAlignment="1">
      <alignment horizontal="center"/>
    </xf>
    <xf numFmtId="1" fontId="183" fillId="7" borderId="17" xfId="0" applyNumberFormat="1" applyFont="1" applyFill="1" applyBorder="1" applyAlignment="1">
      <alignment horizontal="center"/>
    </xf>
    <xf numFmtId="9" fontId="183" fillId="0" borderId="119" xfId="22" applyFont="1" applyBorder="1" applyAlignment="1">
      <alignment horizontal="center" vertical="center"/>
    </xf>
    <xf numFmtId="9" fontId="183" fillId="7" borderId="119" xfId="22" applyFont="1" applyFill="1" applyBorder="1" applyAlignment="1">
      <alignment horizontal="center" vertical="center"/>
    </xf>
    <xf numFmtId="9" fontId="183" fillId="5" borderId="119" xfId="22" applyFont="1" applyFill="1" applyBorder="1" applyAlignment="1">
      <alignment horizontal="center" vertical="center"/>
    </xf>
    <xf numFmtId="9" fontId="183" fillId="6" borderId="119" xfId="22" applyFont="1" applyFill="1" applyBorder="1" applyAlignment="1">
      <alignment horizontal="center" vertical="center"/>
    </xf>
    <xf numFmtId="9" fontId="183" fillId="7" borderId="17" xfId="22" applyFont="1" applyFill="1" applyBorder="1" applyAlignment="1">
      <alignment horizontal="center" vertical="center"/>
    </xf>
    <xf numFmtId="0" fontId="183" fillId="8" borderId="121" xfId="0" applyFont="1" applyFill="1" applyBorder="1" applyAlignment="1">
      <alignment horizontal="right" vertical="center"/>
    </xf>
    <xf numFmtId="0" fontId="183" fillId="8" borderId="119" xfId="0" applyFont="1" applyFill="1" applyBorder="1"/>
    <xf numFmtId="1" fontId="183" fillId="8" borderId="119" xfId="0" applyNumberFormat="1" applyFont="1" applyFill="1" applyBorder="1" applyAlignment="1">
      <alignment horizontal="center" vertical="center"/>
    </xf>
    <xf numFmtId="0" fontId="183" fillId="0" borderId="121" xfId="0" applyFont="1" applyBorder="1" applyAlignment="1">
      <alignment horizontal="right" vertical="center"/>
    </xf>
    <xf numFmtId="1" fontId="183" fillId="7" borderId="23" xfId="0" applyNumberFormat="1" applyFont="1" applyFill="1" applyBorder="1" applyAlignment="1">
      <alignment horizontal="center"/>
    </xf>
    <xf numFmtId="1" fontId="183" fillId="5" borderId="23" xfId="0" applyNumberFormat="1" applyFont="1" applyFill="1" applyBorder="1" applyAlignment="1">
      <alignment horizontal="center"/>
    </xf>
    <xf numFmtId="1" fontId="183" fillId="6" borderId="23" xfId="0" applyNumberFormat="1" applyFont="1" applyFill="1" applyBorder="1" applyAlignment="1">
      <alignment horizontal="center"/>
    </xf>
    <xf numFmtId="1" fontId="183" fillId="7" borderId="33" xfId="0" applyNumberFormat="1" applyFont="1" applyFill="1" applyBorder="1" applyAlignment="1">
      <alignment horizontal="center"/>
    </xf>
    <xf numFmtId="0" fontId="14" fillId="0" borderId="0" xfId="0" applyFont="1"/>
    <xf numFmtId="0" fontId="14" fillId="56" borderId="10" xfId="0" applyFont="1" applyFill="1" applyBorder="1" applyAlignment="1">
      <alignment horizontal="center" vertical="center"/>
    </xf>
    <xf numFmtId="1" fontId="14" fillId="56" borderId="10" xfId="0" applyNumberFormat="1" applyFont="1" applyFill="1" applyBorder="1" applyAlignment="1">
      <alignment horizontal="center" vertical="center"/>
    </xf>
    <xf numFmtId="9" fontId="183" fillId="7" borderId="33" xfId="22" applyFont="1" applyFill="1" applyBorder="1" applyAlignment="1">
      <alignment horizontal="center" vertical="center"/>
    </xf>
    <xf numFmtId="0" fontId="55" fillId="0" borderId="25" xfId="0" applyFont="1" applyBorder="1"/>
    <xf numFmtId="1" fontId="185" fillId="8" borderId="119" xfId="0" applyNumberFormat="1" applyFont="1" applyFill="1" applyBorder="1" applyAlignment="1">
      <alignment horizontal="center" vertical="center"/>
    </xf>
    <xf numFmtId="0" fontId="185" fillId="0" borderId="25" xfId="0" applyFont="1" applyBorder="1"/>
    <xf numFmtId="1" fontId="185" fillId="0" borderId="5" xfId="0" applyNumberFormat="1" applyFont="1" applyBorder="1" applyAlignment="1">
      <alignment horizontal="center" vertical="center"/>
    </xf>
    <xf numFmtId="1" fontId="185" fillId="7" borderId="5" xfId="0" applyNumberFormat="1" applyFont="1" applyFill="1" applyBorder="1" applyAlignment="1">
      <alignment horizontal="center"/>
    </xf>
    <xf numFmtId="1" fontId="185" fillId="5" borderId="5" xfId="0" applyNumberFormat="1" applyFont="1" applyFill="1" applyBorder="1" applyAlignment="1">
      <alignment horizontal="center"/>
    </xf>
    <xf numFmtId="1" fontId="185" fillId="6" borderId="5" xfId="0" applyNumberFormat="1" applyFont="1" applyFill="1" applyBorder="1" applyAlignment="1">
      <alignment horizontal="center"/>
    </xf>
    <xf numFmtId="1" fontId="185" fillId="7" borderId="11" xfId="0" applyNumberFormat="1" applyFont="1" applyFill="1" applyBorder="1" applyAlignment="1">
      <alignment horizontal="center"/>
    </xf>
    <xf numFmtId="1" fontId="183" fillId="0" borderId="119" xfId="0" applyNumberFormat="1" applyFont="1" applyBorder="1" applyAlignment="1">
      <alignment horizontal="center"/>
    </xf>
    <xf numFmtId="1" fontId="183" fillId="8" borderId="119" xfId="0" applyNumberFormat="1" applyFont="1" applyFill="1" applyBorder="1" applyAlignment="1">
      <alignment horizontal="center"/>
    </xf>
    <xf numFmtId="0" fontId="183" fillId="0" borderId="122" xfId="0" applyFont="1" applyBorder="1"/>
    <xf numFmtId="1" fontId="183" fillId="0" borderId="122" xfId="0" applyNumberFormat="1" applyFont="1" applyBorder="1" applyAlignment="1">
      <alignment horizontal="center"/>
    </xf>
    <xf numFmtId="1" fontId="183" fillId="7" borderId="122" xfId="0" applyNumberFormat="1" applyFont="1" applyFill="1" applyBorder="1" applyAlignment="1">
      <alignment horizontal="center"/>
    </xf>
    <xf numFmtId="1" fontId="183" fillId="5" borderId="122" xfId="0" applyNumberFormat="1" applyFont="1" applyFill="1" applyBorder="1" applyAlignment="1">
      <alignment horizontal="center"/>
    </xf>
    <xf numFmtId="1" fontId="183" fillId="8" borderId="122" xfId="0" applyNumberFormat="1" applyFont="1" applyFill="1" applyBorder="1" applyAlignment="1">
      <alignment horizontal="center"/>
    </xf>
    <xf numFmtId="1" fontId="183" fillId="6" borderId="122" xfId="0" applyNumberFormat="1" applyFont="1" applyFill="1" applyBorder="1" applyAlignment="1">
      <alignment horizontal="center"/>
    </xf>
    <xf numFmtId="0" fontId="183" fillId="8" borderId="122" xfId="0" applyFont="1" applyFill="1" applyBorder="1"/>
    <xf numFmtId="1" fontId="11" fillId="8" borderId="119" xfId="0" applyNumberFormat="1" applyFont="1" applyFill="1" applyBorder="1" applyAlignment="1">
      <alignment horizontal="center" vertical="center"/>
    </xf>
    <xf numFmtId="1" fontId="11" fillId="7" borderId="119" xfId="0" applyNumberFormat="1" applyFont="1" applyFill="1" applyBorder="1" applyAlignment="1">
      <alignment horizontal="center" vertical="center"/>
    </xf>
    <xf numFmtId="1" fontId="11" fillId="5" borderId="119" xfId="0" applyNumberFormat="1" applyFont="1" applyFill="1" applyBorder="1" applyAlignment="1">
      <alignment horizontal="center" vertical="center"/>
    </xf>
    <xf numFmtId="1" fontId="11" fillId="6" borderId="119" xfId="0" applyNumberFormat="1" applyFont="1" applyFill="1" applyBorder="1" applyAlignment="1">
      <alignment horizontal="center" vertical="center"/>
    </xf>
    <xf numFmtId="0" fontId="0" fillId="8" borderId="37" xfId="0" applyFill="1" applyBorder="1"/>
    <xf numFmtId="1" fontId="183" fillId="0" borderId="0" xfId="0" applyNumberFormat="1" applyFont="1" applyAlignment="1">
      <alignment horizontal="center"/>
    </xf>
    <xf numFmtId="1" fontId="182" fillId="43" borderId="122" xfId="0" applyNumberFormat="1" applyFont="1" applyFill="1" applyBorder="1" applyAlignment="1">
      <alignment horizontal="center"/>
    </xf>
    <xf numFmtId="1" fontId="183" fillId="8" borderId="0" xfId="0" applyNumberFormat="1" applyFont="1" applyFill="1" applyAlignment="1">
      <alignment horizontal="center"/>
    </xf>
    <xf numFmtId="1" fontId="184" fillId="0" borderId="0" xfId="0" applyNumberFormat="1" applyFont="1" applyAlignment="1">
      <alignment horizontal="center"/>
    </xf>
    <xf numFmtId="0" fontId="183" fillId="0" borderId="0" xfId="0" applyFont="1" applyAlignment="1">
      <alignment horizontal="center"/>
    </xf>
    <xf numFmtId="1" fontId="182" fillId="4" borderId="122" xfId="0" applyNumberFormat="1" applyFont="1" applyFill="1" applyBorder="1" applyAlignment="1">
      <alignment horizontal="center"/>
    </xf>
    <xf numFmtId="9" fontId="182" fillId="8" borderId="122" xfId="22" applyFont="1" applyFill="1" applyBorder="1" applyAlignment="1">
      <alignment horizontal="center"/>
    </xf>
    <xf numFmtId="1" fontId="14" fillId="56" borderId="122" xfId="0" applyNumberFormat="1" applyFont="1" applyFill="1" applyBorder="1" applyAlignment="1">
      <alignment horizontal="center" vertical="center"/>
    </xf>
    <xf numFmtId="1" fontId="183" fillId="0" borderId="122" xfId="0" applyNumberFormat="1" applyFont="1" applyBorder="1" applyAlignment="1">
      <alignment horizontal="center" vertical="center"/>
    </xf>
    <xf numFmtId="9" fontId="183" fillId="0" borderId="122" xfId="22" applyFont="1" applyBorder="1" applyAlignment="1">
      <alignment horizontal="center" vertical="center"/>
    </xf>
    <xf numFmtId="1" fontId="183" fillId="8" borderId="122" xfId="0" applyNumberFormat="1" applyFont="1" applyFill="1" applyBorder="1" applyAlignment="1">
      <alignment horizontal="center" vertical="center"/>
    </xf>
    <xf numFmtId="1" fontId="185" fillId="8" borderId="122" xfId="0" applyNumberFormat="1" applyFont="1" applyFill="1" applyBorder="1" applyAlignment="1">
      <alignment horizontal="center" vertical="center"/>
    </xf>
    <xf numFmtId="2" fontId="186" fillId="0" borderId="0" xfId="0" applyNumberFormat="1" applyFont="1" applyAlignment="1">
      <alignment horizontal="center" vertical="center"/>
    </xf>
    <xf numFmtId="1" fontId="5" fillId="8" borderId="10" xfId="0" applyNumberFormat="1" applyFont="1" applyFill="1" applyBorder="1" applyAlignment="1">
      <alignment vertical="center"/>
    </xf>
    <xf numFmtId="164" fontId="20" fillId="8" borderId="125" xfId="0" quotePrefix="1" applyNumberFormat="1" applyFont="1" applyFill="1" applyBorder="1" applyAlignment="1">
      <alignment horizontal="left" vertical="center"/>
    </xf>
    <xf numFmtId="0" fontId="20" fillId="0" borderId="125" xfId="0" applyFont="1" applyBorder="1" applyAlignment="1">
      <alignment horizontal="center" vertical="center"/>
    </xf>
    <xf numFmtId="1" fontId="20" fillId="0" borderId="125" xfId="0" applyNumberFormat="1" applyFont="1" applyBorder="1" applyAlignment="1">
      <alignment horizontal="center" vertical="center"/>
    </xf>
    <xf numFmtId="1" fontId="20" fillId="7" borderId="125" xfId="0" applyNumberFormat="1" applyFont="1" applyFill="1" applyBorder="1" applyAlignment="1">
      <alignment horizontal="center" vertical="center"/>
    </xf>
    <xf numFmtId="0" fontId="21" fillId="8" borderId="8" xfId="0" applyFont="1" applyFill="1" applyBorder="1" applyAlignment="1">
      <alignment vertical="center"/>
    </xf>
    <xf numFmtId="0" fontId="21" fillId="8" borderId="30" xfId="0" applyFont="1" applyFill="1" applyBorder="1" applyAlignment="1">
      <alignment vertical="center"/>
    </xf>
    <xf numFmtId="0" fontId="21" fillId="8" borderId="30" xfId="0" applyFont="1" applyFill="1" applyBorder="1" applyAlignment="1">
      <alignment horizontal="center" vertical="center"/>
    </xf>
    <xf numFmtId="0" fontId="86" fillId="0" borderId="123" xfId="0" applyFont="1" applyBorder="1" applyAlignment="1">
      <alignment horizontal="center" vertical="center"/>
    </xf>
    <xf numFmtId="0" fontId="86" fillId="0" borderId="125" xfId="0" applyFont="1" applyBorder="1" applyAlignment="1">
      <alignment horizontal="center" vertical="center"/>
    </xf>
    <xf numFmtId="1" fontId="86" fillId="0" borderId="125" xfId="0" applyNumberFormat="1" applyFont="1" applyBorder="1" applyAlignment="1">
      <alignment horizontal="center" vertical="center"/>
    </xf>
    <xf numFmtId="0" fontId="86" fillId="7" borderId="125" xfId="0" applyFont="1" applyFill="1" applyBorder="1" applyAlignment="1">
      <alignment horizontal="center" vertical="center"/>
    </xf>
    <xf numFmtId="1" fontId="4" fillId="5" borderId="125" xfId="0" applyNumberFormat="1" applyFont="1" applyFill="1" applyBorder="1" applyAlignment="1">
      <alignment horizontal="center" vertical="center"/>
    </xf>
    <xf numFmtId="1" fontId="4" fillId="7" borderId="125" xfId="0" applyNumberFormat="1" applyFont="1" applyFill="1" applyBorder="1" applyAlignment="1">
      <alignment horizontal="center" vertical="center"/>
    </xf>
    <xf numFmtId="0" fontId="86" fillId="6" borderId="125" xfId="0" applyFont="1" applyFill="1" applyBorder="1" applyAlignment="1">
      <alignment horizontal="center" vertical="center"/>
    </xf>
    <xf numFmtId="1" fontId="20" fillId="0" borderId="117" xfId="0" applyNumberFormat="1" applyFont="1" applyBorder="1" applyAlignment="1">
      <alignment horizontal="center" vertical="center"/>
    </xf>
    <xf numFmtId="1" fontId="20" fillId="0" borderId="126" xfId="0" applyNumberFormat="1" applyFont="1" applyBorder="1" applyAlignment="1">
      <alignment vertical="center"/>
    </xf>
    <xf numFmtId="1" fontId="20" fillId="7" borderId="125" xfId="0" applyNumberFormat="1" applyFont="1" applyFill="1" applyBorder="1" applyAlignment="1">
      <alignment vertical="center"/>
    </xf>
    <xf numFmtId="1" fontId="20" fillId="5" borderId="125" xfId="0" applyNumberFormat="1" applyFont="1" applyFill="1" applyBorder="1" applyAlignment="1">
      <alignment vertical="center"/>
    </xf>
    <xf numFmtId="1" fontId="19" fillId="5" borderId="125" xfId="0" applyNumberFormat="1" applyFont="1" applyFill="1" applyBorder="1" applyAlignment="1">
      <alignment horizontal="center" vertical="center"/>
    </xf>
    <xf numFmtId="1" fontId="19" fillId="6" borderId="125" xfId="0" applyNumberFormat="1" applyFont="1" applyFill="1" applyBorder="1" applyAlignment="1">
      <alignment horizontal="center" vertical="center"/>
    </xf>
    <xf numFmtId="1" fontId="20" fillId="44" borderId="125" xfId="0" applyNumberFormat="1" applyFont="1" applyFill="1" applyBorder="1" applyAlignment="1">
      <alignment vertical="center"/>
    </xf>
    <xf numFmtId="0" fontId="20" fillId="8" borderId="125" xfId="0" applyFont="1" applyFill="1" applyBorder="1" applyAlignment="1">
      <alignment horizontal="left" vertical="center"/>
    </xf>
    <xf numFmtId="0" fontId="20" fillId="0" borderId="125" xfId="0" applyFont="1" applyBorder="1" applyAlignment="1">
      <alignment horizontal="left" vertical="center"/>
    </xf>
    <xf numFmtId="0" fontId="7" fillId="6" borderId="10" xfId="0" applyFont="1" applyFill="1" applyBorder="1" applyAlignment="1">
      <alignment horizontal="center" vertical="center"/>
    </xf>
    <xf numFmtId="0" fontId="142" fillId="6" borderId="10" xfId="0" applyFont="1" applyFill="1" applyBorder="1" applyAlignment="1">
      <alignment horizontal="center" vertical="center"/>
    </xf>
    <xf numFmtId="0" fontId="7" fillId="6" borderId="105" xfId="0" applyFont="1" applyFill="1" applyBorder="1" applyAlignment="1">
      <alignment horizontal="center" vertical="center"/>
    </xf>
    <xf numFmtId="9" fontId="182" fillId="5" borderId="10" xfId="22" applyFont="1" applyFill="1" applyBorder="1" applyAlignment="1">
      <alignment horizontal="center"/>
    </xf>
    <xf numFmtId="167" fontId="20" fillId="8" borderId="0" xfId="0" applyNumberFormat="1" applyFont="1" applyFill="1" applyAlignment="1">
      <alignment horizontal="center" vertical="center"/>
    </xf>
    <xf numFmtId="0" fontId="36" fillId="0" borderId="117" xfId="0" applyFont="1" applyBorder="1" applyAlignment="1">
      <alignment vertical="center"/>
    </xf>
    <xf numFmtId="0" fontId="36" fillId="0" borderId="46" xfId="0" applyFont="1" applyBorder="1" applyAlignment="1">
      <alignment vertical="center"/>
    </xf>
    <xf numFmtId="0" fontId="36" fillId="0" borderId="30" xfId="0" applyFont="1" applyBorder="1" applyAlignment="1">
      <alignment vertical="center"/>
    </xf>
    <xf numFmtId="0" fontId="36" fillId="0" borderId="127" xfId="0" applyFont="1" applyBorder="1"/>
    <xf numFmtId="0" fontId="36" fillId="8" borderId="127" xfId="0" applyFont="1" applyFill="1" applyBorder="1"/>
    <xf numFmtId="0" fontId="20" fillId="8" borderId="123" xfId="0" applyFont="1" applyFill="1" applyBorder="1" applyAlignment="1">
      <alignment horizontal="left" vertical="center"/>
    </xf>
    <xf numFmtId="0" fontId="19" fillId="0" borderId="123" xfId="0" applyFont="1" applyBorder="1" applyAlignment="1">
      <alignment horizontal="center" vertical="center"/>
    </xf>
    <xf numFmtId="0" fontId="19" fillId="8" borderId="127" xfId="0" applyFont="1" applyFill="1" applyBorder="1" applyAlignment="1">
      <alignment vertical="center"/>
    </xf>
    <xf numFmtId="1" fontId="20" fillId="0" borderId="127" xfId="0" applyNumberFormat="1" applyFont="1" applyBorder="1" applyAlignment="1">
      <alignment horizontal="center" vertical="center"/>
    </xf>
    <xf numFmtId="1" fontId="20" fillId="7" borderId="127" xfId="0" applyNumberFormat="1" applyFont="1" applyFill="1" applyBorder="1" applyAlignment="1">
      <alignment horizontal="center" vertical="center"/>
    </xf>
    <xf numFmtId="1" fontId="20" fillId="5" borderId="127" xfId="0" applyNumberFormat="1" applyFont="1" applyFill="1" applyBorder="1" applyAlignment="1">
      <alignment horizontal="center" vertical="center"/>
    </xf>
    <xf numFmtId="1" fontId="19" fillId="5" borderId="127" xfId="0" applyNumberFormat="1" applyFont="1" applyFill="1" applyBorder="1" applyAlignment="1">
      <alignment horizontal="center" vertical="center"/>
    </xf>
    <xf numFmtId="1" fontId="19" fillId="6" borderId="127" xfId="0" applyNumberFormat="1" applyFont="1" applyFill="1" applyBorder="1" applyAlignment="1">
      <alignment horizontal="center" vertical="center"/>
    </xf>
    <xf numFmtId="1" fontId="20" fillId="8" borderId="109" xfId="0" applyNumberFormat="1" applyFont="1" applyFill="1" applyBorder="1" applyAlignment="1">
      <alignment horizontal="center" vertical="center"/>
    </xf>
    <xf numFmtId="1" fontId="20" fillId="8" borderId="117" xfId="0" applyNumberFormat="1" applyFont="1" applyFill="1" applyBorder="1" applyAlignment="1">
      <alignment horizontal="center" vertical="center"/>
    </xf>
    <xf numFmtId="0" fontId="20" fillId="0" borderId="127" xfId="0" applyFont="1" applyBorder="1" applyAlignment="1">
      <alignment horizontal="right" vertical="center" indent="2"/>
    </xf>
    <xf numFmtId="0" fontId="20" fillId="0" borderId="127" xfId="0" applyFont="1" applyBorder="1" applyAlignment="1">
      <alignment horizontal="center"/>
    </xf>
    <xf numFmtId="1" fontId="20" fillId="8" borderId="120" xfId="0" applyNumberFormat="1" applyFont="1" applyFill="1" applyBorder="1" applyAlignment="1">
      <alignment horizontal="center" vertical="center"/>
    </xf>
    <xf numFmtId="0" fontId="36" fillId="0" borderId="128" xfId="0" applyFont="1" applyBorder="1"/>
    <xf numFmtId="0" fontId="20" fillId="8" borderId="128" xfId="0" applyFont="1" applyFill="1" applyBorder="1" applyAlignment="1">
      <alignment horizontal="left" vertical="center"/>
    </xf>
    <xf numFmtId="1" fontId="20" fillId="8" borderId="128" xfId="0" applyNumberFormat="1" applyFont="1" applyFill="1" applyBorder="1" applyAlignment="1">
      <alignment horizontal="center" vertical="center"/>
    </xf>
    <xf numFmtId="167" fontId="21" fillId="7" borderId="15" xfId="0" applyNumberFormat="1" applyFont="1" applyFill="1" applyBorder="1" applyAlignment="1">
      <alignment horizontal="center" vertical="center"/>
    </xf>
    <xf numFmtId="167" fontId="21" fillId="7" borderId="116" xfId="0" applyNumberFormat="1" applyFont="1" applyFill="1" applyBorder="1" applyAlignment="1">
      <alignment horizontal="center" vertical="center"/>
    </xf>
    <xf numFmtId="171" fontId="21" fillId="8" borderId="30" xfId="22" applyNumberFormat="1" applyFont="1" applyFill="1" applyBorder="1" applyAlignment="1">
      <alignment horizontal="center" vertical="center"/>
    </xf>
    <xf numFmtId="1" fontId="7" fillId="6" borderId="10" xfId="0" applyNumberFormat="1" applyFont="1" applyFill="1" applyBorder="1" applyAlignment="1">
      <alignment horizontal="left"/>
    </xf>
    <xf numFmtId="1" fontId="4" fillId="6" borderId="10" xfId="0" applyNumberFormat="1" applyFont="1" applyFill="1" applyBorder="1" applyAlignment="1">
      <alignment horizontal="left"/>
    </xf>
    <xf numFmtId="164" fontId="20" fillId="8" borderId="129" xfId="0" quotePrefix="1" applyNumberFormat="1" applyFont="1" applyFill="1" applyBorder="1" applyAlignment="1">
      <alignment horizontal="left" vertical="center"/>
    </xf>
    <xf numFmtId="0" fontId="19" fillId="8" borderId="130" xfId="0" applyFont="1" applyFill="1" applyBorder="1" applyAlignment="1">
      <alignment vertical="center"/>
    </xf>
    <xf numFmtId="1" fontId="20" fillId="0" borderId="130" xfId="0" applyNumberFormat="1" applyFont="1" applyBorder="1" applyAlignment="1">
      <alignment horizontal="center" vertical="center"/>
    </xf>
    <xf numFmtId="1" fontId="20" fillId="7" borderId="130" xfId="0" applyNumberFormat="1" applyFont="1" applyFill="1" applyBorder="1" applyAlignment="1">
      <alignment horizontal="center" vertical="center"/>
    </xf>
    <xf numFmtId="1" fontId="20" fillId="7" borderId="131" xfId="0" applyNumberFormat="1" applyFont="1" applyFill="1" applyBorder="1" applyAlignment="1">
      <alignment horizontal="center" vertical="center"/>
    </xf>
    <xf numFmtId="1" fontId="20" fillId="5" borderId="130" xfId="0" applyNumberFormat="1" applyFont="1" applyFill="1" applyBorder="1" applyAlignment="1">
      <alignment horizontal="center" vertical="center"/>
    </xf>
    <xf numFmtId="1" fontId="19" fillId="5" borderId="130" xfId="0" applyNumberFormat="1" applyFont="1" applyFill="1" applyBorder="1" applyAlignment="1">
      <alignment horizontal="center" vertical="center"/>
    </xf>
    <xf numFmtId="1" fontId="19" fillId="6" borderId="130"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164" fontId="20" fillId="0" borderId="46" xfId="0" quotePrefix="1" applyNumberFormat="1" applyFont="1" applyBorder="1" applyAlignment="1">
      <alignment horizontal="left" vertical="center"/>
    </xf>
    <xf numFmtId="172" fontId="20" fillId="0" borderId="123" xfId="0" quotePrefix="1" applyNumberFormat="1" applyFont="1" applyBorder="1" applyAlignment="1">
      <alignment horizontal="center" vertical="center"/>
    </xf>
    <xf numFmtId="1" fontId="20" fillId="0" borderId="129" xfId="0" applyNumberFormat="1" applyFont="1" applyBorder="1" applyAlignment="1">
      <alignment vertical="center"/>
    </xf>
    <xf numFmtId="1" fontId="20" fillId="0" borderId="131" xfId="0" applyNumberFormat="1" applyFont="1" applyBorder="1" applyAlignment="1">
      <alignment horizontal="center" vertical="center"/>
    </xf>
    <xf numFmtId="1" fontId="20" fillId="7" borderId="126" xfId="0" applyNumberFormat="1" applyFont="1" applyFill="1" applyBorder="1" applyAlignment="1">
      <alignment vertical="center"/>
    </xf>
    <xf numFmtId="1" fontId="20" fillId="5" borderId="129" xfId="0" applyNumberFormat="1" applyFont="1" applyFill="1" applyBorder="1" applyAlignment="1">
      <alignment vertical="center"/>
    </xf>
    <xf numFmtId="1" fontId="20" fillId="7" borderId="129" xfId="0" applyNumberFormat="1" applyFont="1" applyFill="1" applyBorder="1" applyAlignment="1">
      <alignment vertical="center"/>
    </xf>
    <xf numFmtId="1" fontId="20" fillId="5" borderId="130" xfId="0" applyNumberFormat="1" applyFont="1" applyFill="1" applyBorder="1" applyAlignment="1">
      <alignment vertical="center"/>
    </xf>
    <xf numFmtId="1" fontId="20" fillId="6" borderId="130" xfId="0" applyNumberFormat="1" applyFont="1" applyFill="1" applyBorder="1" applyAlignment="1">
      <alignment vertical="center"/>
    </xf>
    <xf numFmtId="1" fontId="20" fillId="44" borderId="130" xfId="0" applyNumberFormat="1" applyFont="1" applyFill="1" applyBorder="1" applyAlignment="1">
      <alignment vertical="center"/>
    </xf>
    <xf numFmtId="164" fontId="20" fillId="8" borderId="129" xfId="0" quotePrefix="1" applyNumberFormat="1" applyFont="1" applyFill="1" applyBorder="1" applyAlignment="1">
      <alignment horizontal="left" vertical="center" wrapText="1"/>
    </xf>
    <xf numFmtId="0" fontId="20" fillId="8" borderId="130" xfId="0" applyFont="1" applyFill="1" applyBorder="1" applyAlignment="1">
      <alignment horizontal="left" vertical="center"/>
    </xf>
    <xf numFmtId="0" fontId="20" fillId="0" borderId="130" xfId="0" applyFont="1" applyBorder="1" applyAlignment="1">
      <alignment horizontal="center" vertical="center"/>
    </xf>
    <xf numFmtId="0" fontId="20" fillId="8" borderId="133" xfId="0" applyFont="1" applyFill="1" applyBorder="1" applyAlignment="1">
      <alignment horizontal="left" vertical="center"/>
    </xf>
    <xf numFmtId="1" fontId="20" fillId="8" borderId="133" xfId="0" applyNumberFormat="1" applyFont="1" applyFill="1" applyBorder="1" applyAlignment="1">
      <alignment horizontal="center" vertical="center"/>
    </xf>
    <xf numFmtId="1" fontId="20" fillId="7" borderId="133" xfId="0" applyNumberFormat="1" applyFont="1" applyFill="1" applyBorder="1" applyAlignment="1">
      <alignment horizontal="center" vertical="center"/>
    </xf>
    <xf numFmtId="0" fontId="20" fillId="0" borderId="129" xfId="0" applyFont="1" applyBorder="1" applyAlignment="1">
      <alignment horizontal="right" vertical="center"/>
    </xf>
    <xf numFmtId="1" fontId="20" fillId="8" borderId="130" xfId="0" applyNumberFormat="1" applyFont="1" applyFill="1" applyBorder="1" applyAlignment="1">
      <alignment horizontal="center" vertical="center"/>
    </xf>
    <xf numFmtId="167" fontId="4" fillId="7" borderId="57" xfId="0" applyNumberFormat="1" applyFont="1" applyFill="1" applyBorder="1" applyAlignment="1">
      <alignment horizontal="center" vertical="center"/>
    </xf>
    <xf numFmtId="0" fontId="4" fillId="8" borderId="138" xfId="0" applyFont="1" applyFill="1" applyBorder="1" applyAlignment="1">
      <alignment horizontal="left" vertical="center"/>
    </xf>
    <xf numFmtId="0" fontId="4" fillId="0" borderId="139" xfId="0" applyFont="1" applyBorder="1" applyAlignment="1">
      <alignment horizontal="center" vertical="center"/>
    </xf>
    <xf numFmtId="0" fontId="4" fillId="8" borderId="139" xfId="0" applyFont="1" applyFill="1" applyBorder="1" applyAlignment="1">
      <alignment horizontal="center" vertical="center"/>
    </xf>
    <xf numFmtId="1" fontId="4" fillId="8" borderId="139" xfId="0" applyNumberFormat="1" applyFont="1" applyFill="1" applyBorder="1" applyAlignment="1">
      <alignment horizontal="center" vertical="center"/>
    </xf>
    <xf numFmtId="1" fontId="4" fillId="50" borderId="139" xfId="0" applyNumberFormat="1" applyFont="1" applyFill="1" applyBorder="1" applyAlignment="1">
      <alignment horizontal="center" vertical="center"/>
    </xf>
    <xf numFmtId="1" fontId="18" fillId="5" borderId="139" xfId="0" applyNumberFormat="1" applyFont="1" applyFill="1" applyBorder="1" applyAlignment="1">
      <alignment horizontal="center" vertical="center"/>
    </xf>
    <xf numFmtId="1" fontId="20" fillId="8" borderId="140" xfId="0" applyNumberFormat="1" applyFont="1" applyFill="1" applyBorder="1" applyAlignment="1">
      <alignment horizontal="center" vertical="center"/>
    </xf>
    <xf numFmtId="1" fontId="20" fillId="8" borderId="139" xfId="0" applyNumberFormat="1" applyFont="1" applyFill="1" applyBorder="1" applyAlignment="1">
      <alignment horizontal="center" vertical="center"/>
    </xf>
    <xf numFmtId="1" fontId="4" fillId="6" borderId="141" xfId="0" applyNumberFormat="1" applyFont="1" applyFill="1" applyBorder="1" applyAlignment="1">
      <alignment horizontal="center" vertical="center"/>
    </xf>
    <xf numFmtId="1" fontId="4" fillId="8" borderId="141" xfId="0" applyNumberFormat="1" applyFont="1" applyFill="1" applyBorder="1" applyAlignment="1">
      <alignment horizontal="center" vertical="center"/>
    </xf>
    <xf numFmtId="0" fontId="20" fillId="0" borderId="138" xfId="0" applyFont="1" applyBorder="1" applyAlignment="1">
      <alignment horizontal="right" vertical="center"/>
    </xf>
    <xf numFmtId="0" fontId="20" fillId="0" borderId="139" xfId="0" applyFont="1" applyBorder="1" applyAlignment="1">
      <alignment horizontal="center" vertical="center"/>
    </xf>
    <xf numFmtId="1" fontId="20" fillId="50" borderId="139" xfId="0" applyNumberFormat="1" applyFont="1" applyFill="1" applyBorder="1" applyAlignment="1">
      <alignment horizontal="center" vertical="center"/>
    </xf>
    <xf numFmtId="1" fontId="21" fillId="6" borderId="141" xfId="0" applyNumberFormat="1" applyFont="1" applyFill="1" applyBorder="1" applyAlignment="1">
      <alignment horizontal="center" vertical="center"/>
    </xf>
    <xf numFmtId="1" fontId="20" fillId="7" borderId="141" xfId="0" applyNumberFormat="1" applyFont="1" applyFill="1" applyBorder="1" applyAlignment="1">
      <alignment horizontal="center" vertical="center"/>
    </xf>
    <xf numFmtId="1" fontId="21" fillId="7" borderId="141" xfId="0" applyNumberFormat="1" applyFont="1" applyFill="1" applyBorder="1" applyAlignment="1">
      <alignment horizontal="center" vertical="center"/>
    </xf>
    <xf numFmtId="0" fontId="18" fillId="8" borderId="139" xfId="0" applyFont="1" applyFill="1" applyBorder="1" applyAlignment="1">
      <alignment horizontal="center" vertical="center"/>
    </xf>
    <xf numFmtId="0" fontId="20" fillId="8" borderId="139" xfId="0" applyFont="1" applyFill="1" applyBorder="1" applyAlignment="1">
      <alignment horizontal="center" vertical="center"/>
    </xf>
    <xf numFmtId="1" fontId="4" fillId="8" borderId="140" xfId="0" applyNumberFormat="1" applyFont="1" applyFill="1" applyBorder="1" applyAlignment="1">
      <alignment horizontal="center" vertical="center"/>
    </xf>
    <xf numFmtId="1" fontId="19" fillId="8" borderId="140" xfId="0" applyNumberFormat="1" applyFont="1" applyFill="1" applyBorder="1" applyAlignment="1">
      <alignment horizontal="center" vertical="center"/>
    </xf>
    <xf numFmtId="1" fontId="19" fillId="8" borderId="139" xfId="0" applyNumberFormat="1" applyFont="1" applyFill="1" applyBorder="1" applyAlignment="1">
      <alignment horizontal="center" vertical="center"/>
    </xf>
    <xf numFmtId="1" fontId="19" fillId="5" borderId="139" xfId="0" applyNumberFormat="1" applyFont="1" applyFill="1" applyBorder="1" applyAlignment="1">
      <alignment horizontal="center" vertical="center"/>
    </xf>
    <xf numFmtId="1" fontId="4" fillId="7" borderId="141" xfId="0" applyNumberFormat="1" applyFont="1" applyFill="1" applyBorder="1" applyAlignment="1">
      <alignment horizontal="center" vertical="center"/>
    </xf>
    <xf numFmtId="0" fontId="20" fillId="0" borderId="132" xfId="0" applyFont="1" applyBorder="1" applyAlignment="1">
      <alignment horizontal="right" vertical="center"/>
    </xf>
    <xf numFmtId="0" fontId="20" fillId="0" borderId="142" xfId="0" applyFont="1" applyBorder="1" applyAlignment="1">
      <alignment horizontal="center" vertical="center"/>
    </xf>
    <xf numFmtId="1" fontId="20" fillId="8" borderId="142" xfId="0" applyNumberFormat="1" applyFont="1" applyFill="1" applyBorder="1" applyAlignment="1">
      <alignment horizontal="center" vertical="center"/>
    </xf>
    <xf numFmtId="1" fontId="18" fillId="5" borderId="142" xfId="0" applyNumberFormat="1" applyFont="1" applyFill="1" applyBorder="1" applyAlignment="1">
      <alignment horizontal="center" vertical="center"/>
    </xf>
    <xf numFmtId="0" fontId="14" fillId="0" borderId="139" xfId="0" applyFont="1" applyBorder="1" applyAlignment="1">
      <alignment horizontal="left" vertical="center"/>
    </xf>
    <xf numFmtId="167" fontId="14" fillId="0" borderId="139" xfId="0" applyNumberFormat="1" applyFont="1" applyBorder="1" applyAlignment="1">
      <alignment horizontal="center" vertical="center"/>
    </xf>
    <xf numFmtId="167" fontId="14" fillId="7" borderId="139" xfId="0" applyNumberFormat="1" applyFont="1" applyFill="1" applyBorder="1" applyAlignment="1">
      <alignment horizontal="center" vertical="center"/>
    </xf>
    <xf numFmtId="1" fontId="14" fillId="5" borderId="139" xfId="0" applyNumberFormat="1" applyFont="1" applyFill="1" applyBorder="1" applyAlignment="1">
      <alignment horizontal="center" vertical="center"/>
    </xf>
    <xf numFmtId="1" fontId="14" fillId="0" borderId="139" xfId="0" applyNumberFormat="1" applyFont="1" applyBorder="1" applyAlignment="1">
      <alignment horizontal="center" vertical="center"/>
    </xf>
    <xf numFmtId="167" fontId="27" fillId="0" borderId="139" xfId="0" applyNumberFormat="1" applyFont="1" applyBorder="1" applyAlignment="1">
      <alignment horizontal="center" vertical="center"/>
    </xf>
    <xf numFmtId="1" fontId="27" fillId="8" borderId="139" xfId="0" applyNumberFormat="1" applyFont="1" applyFill="1" applyBorder="1" applyAlignment="1">
      <alignment horizontal="center" vertical="center"/>
    </xf>
    <xf numFmtId="1" fontId="27" fillId="0" borderId="139" xfId="0" applyNumberFormat="1" applyFont="1" applyBorder="1" applyAlignment="1">
      <alignment horizontal="center" vertical="center"/>
    </xf>
    <xf numFmtId="1" fontId="27" fillId="5" borderId="139" xfId="0" applyNumberFormat="1" applyFont="1" applyFill="1" applyBorder="1" applyAlignment="1">
      <alignment horizontal="center" vertical="center"/>
    </xf>
    <xf numFmtId="1" fontId="27" fillId="6" borderId="139" xfId="0" applyNumberFormat="1" applyFont="1" applyFill="1" applyBorder="1" applyAlignment="1">
      <alignment horizontal="center" vertical="center"/>
    </xf>
    <xf numFmtId="1" fontId="27" fillId="7" borderId="139" xfId="0" applyNumberFormat="1" applyFont="1" applyFill="1" applyBorder="1" applyAlignment="1">
      <alignment horizontal="center" vertical="center"/>
    </xf>
    <xf numFmtId="1" fontId="27" fillId="5" borderId="138" xfId="0" applyNumberFormat="1" applyFont="1" applyFill="1" applyBorder="1" applyAlignment="1">
      <alignment horizontal="center" vertical="center"/>
    </xf>
    <xf numFmtId="167" fontId="27" fillId="6" borderId="139" xfId="0" applyNumberFormat="1" applyFont="1" applyFill="1" applyBorder="1" applyAlignment="1">
      <alignment horizontal="center" vertical="center"/>
    </xf>
    <xf numFmtId="167" fontId="27" fillId="7" borderId="139" xfId="0" applyNumberFormat="1" applyFont="1" applyFill="1" applyBorder="1" applyAlignment="1">
      <alignment horizontal="center" vertical="center"/>
    </xf>
    <xf numFmtId="0" fontId="84" fillId="0" borderId="0" xfId="0" applyFont="1"/>
    <xf numFmtId="167" fontId="21" fillId="5" borderId="116" xfId="0" applyNumberFormat="1" applyFont="1" applyFill="1" applyBorder="1" applyAlignment="1">
      <alignment horizontal="center" vertical="center"/>
    </xf>
    <xf numFmtId="1" fontId="0" fillId="8" borderId="0" xfId="0" applyNumberFormat="1" applyFill="1" applyAlignment="1">
      <alignment horizontal="center"/>
    </xf>
    <xf numFmtId="177" fontId="0" fillId="0" borderId="0" xfId="22" applyNumberFormat="1" applyFont="1"/>
    <xf numFmtId="2" fontId="20" fillId="6" borderId="20" xfId="0" applyNumberFormat="1" applyFont="1" applyFill="1" applyBorder="1" applyAlignment="1">
      <alignment horizontal="center" vertical="center"/>
    </xf>
    <xf numFmtId="0" fontId="21" fillId="7" borderId="144" xfId="0" applyFont="1" applyFill="1" applyBorder="1" applyAlignment="1">
      <alignment horizontal="center" vertical="center"/>
    </xf>
    <xf numFmtId="167" fontId="24" fillId="52" borderId="31" xfId="0" applyNumberFormat="1" applyFont="1" applyFill="1" applyBorder="1" applyAlignment="1">
      <alignment horizontal="center" vertical="center"/>
    </xf>
    <xf numFmtId="167" fontId="24" fillId="52" borderId="17" xfId="0" applyNumberFormat="1" applyFont="1" applyFill="1" applyBorder="1" applyAlignment="1">
      <alignment horizontal="center" vertical="center"/>
    </xf>
    <xf numFmtId="167" fontId="7" fillId="6" borderId="10" xfId="0" applyNumberFormat="1" applyFont="1" applyFill="1" applyBorder="1" applyAlignment="1">
      <alignment horizontal="center" vertical="center"/>
    </xf>
    <xf numFmtId="0" fontId="83" fillId="0" borderId="139" xfId="0" applyFont="1" applyBorder="1"/>
    <xf numFmtId="0" fontId="20" fillId="0" borderId="139" xfId="0" applyFont="1" applyBorder="1"/>
    <xf numFmtId="0" fontId="84" fillId="0" borderId="25" xfId="0" applyFont="1" applyBorder="1"/>
    <xf numFmtId="0" fontId="84" fillId="0" borderId="55" xfId="0" applyFont="1" applyBorder="1"/>
    <xf numFmtId="0" fontId="0" fillId="0" borderId="138" xfId="0" applyBorder="1" applyAlignment="1">
      <alignment horizontal="right"/>
    </xf>
    <xf numFmtId="0" fontId="0" fillId="0" borderId="140" xfId="0" applyBorder="1" applyAlignment="1">
      <alignment horizontal="right"/>
    </xf>
    <xf numFmtId="0" fontId="100" fillId="0" borderId="106" xfId="0" applyFont="1" applyBorder="1" applyAlignment="1">
      <alignment horizontal="center" vertical="center"/>
    </xf>
    <xf numFmtId="1" fontId="55" fillId="0" borderId="106" xfId="0" applyNumberFormat="1" applyFont="1" applyBorder="1" applyAlignment="1">
      <alignment horizontal="center" vertical="center"/>
    </xf>
    <xf numFmtId="1" fontId="55" fillId="0" borderId="108" xfId="0" applyNumberFormat="1" applyFont="1" applyBorder="1" applyAlignment="1">
      <alignment horizontal="center" vertical="center"/>
    </xf>
    <xf numFmtId="0" fontId="190" fillId="0" borderId="55" xfId="0" applyFont="1" applyBorder="1"/>
    <xf numFmtId="0" fontId="55" fillId="0" borderId="106" xfId="0" applyFont="1" applyBorder="1"/>
    <xf numFmtId="0" fontId="48" fillId="32" borderId="31" xfId="0" applyFont="1" applyFill="1" applyBorder="1"/>
    <xf numFmtId="0" fontId="48" fillId="32" borderId="29" xfId="0" applyFont="1" applyFill="1" applyBorder="1"/>
    <xf numFmtId="1" fontId="17" fillId="32" borderId="106" xfId="0" applyNumberFormat="1" applyFont="1" applyFill="1" applyBorder="1" applyAlignment="1">
      <alignment horizontal="center" vertical="center"/>
    </xf>
    <xf numFmtId="1" fontId="86" fillId="7" borderId="106" xfId="0" applyNumberFormat="1" applyFont="1" applyFill="1" applyBorder="1" applyAlignment="1">
      <alignment horizontal="center" vertical="center"/>
    </xf>
    <xf numFmtId="1" fontId="45" fillId="0" borderId="139" xfId="0" applyNumberFormat="1" applyFont="1" applyBorder="1" applyAlignment="1">
      <alignment horizontal="center" vertical="center"/>
    </xf>
    <xf numFmtId="1" fontId="7" fillId="8" borderId="10" xfId="0" applyNumberFormat="1" applyFont="1" applyFill="1" applyBorder="1" applyAlignment="1">
      <alignment horizontal="left" vertical="center"/>
    </xf>
    <xf numFmtId="1" fontId="7" fillId="8" borderId="106" xfId="0" applyNumberFormat="1" applyFont="1" applyFill="1" applyBorder="1" applyAlignment="1">
      <alignment horizontal="left" vertical="center"/>
    </xf>
    <xf numFmtId="0" fontId="4" fillId="8" borderId="37" xfId="0" applyFont="1" applyFill="1" applyBorder="1" applyAlignment="1">
      <alignment horizontal="left" vertical="center" wrapText="1"/>
    </xf>
    <xf numFmtId="0" fontId="19" fillId="7" borderId="106" xfId="0" applyFont="1" applyFill="1" applyBorder="1" applyAlignment="1">
      <alignment horizontal="center" vertical="center"/>
    </xf>
    <xf numFmtId="1" fontId="20" fillId="7" borderId="139" xfId="0" applyNumberFormat="1" applyFont="1" applyFill="1" applyBorder="1" applyAlignment="1">
      <alignment horizontal="center" vertical="center"/>
    </xf>
    <xf numFmtId="0" fontId="19" fillId="8" borderId="30" xfId="0" applyFont="1" applyFill="1" applyBorder="1" applyAlignment="1">
      <alignment vertical="center"/>
    </xf>
    <xf numFmtId="164" fontId="20" fillId="8" borderId="138" xfId="0" quotePrefix="1" applyNumberFormat="1" applyFont="1" applyFill="1" applyBorder="1" applyAlignment="1">
      <alignment horizontal="left" vertical="center"/>
    </xf>
    <xf numFmtId="0" fontId="20" fillId="8" borderId="143" xfId="0" applyFont="1" applyFill="1" applyBorder="1" applyAlignment="1">
      <alignment horizontal="left" vertical="center"/>
    </xf>
    <xf numFmtId="0" fontId="19" fillId="0" borderId="143" xfId="0" applyFont="1" applyBorder="1" applyAlignment="1">
      <alignment horizontal="center" vertical="center"/>
    </xf>
    <xf numFmtId="0" fontId="18" fillId="8" borderId="139" xfId="0" applyFont="1" applyFill="1" applyBorder="1" applyAlignment="1">
      <alignment vertical="center"/>
    </xf>
    <xf numFmtId="1" fontId="20" fillId="0" borderId="139" xfId="0" applyNumberFormat="1" applyFont="1" applyBorder="1" applyAlignment="1">
      <alignment horizontal="center" vertical="center"/>
    </xf>
    <xf numFmtId="1" fontId="20" fillId="5" borderId="139" xfId="0" applyNumberFormat="1" applyFont="1" applyFill="1" applyBorder="1" applyAlignment="1">
      <alignment horizontal="center" vertical="center"/>
    </xf>
    <xf numFmtId="1" fontId="19" fillId="6" borderId="139" xfId="0" applyNumberFormat="1" applyFont="1" applyFill="1" applyBorder="1" applyAlignment="1">
      <alignment horizontal="center" vertical="center"/>
    </xf>
    <xf numFmtId="1" fontId="18" fillId="8" borderId="139" xfId="0" applyNumberFormat="1" applyFont="1" applyFill="1" applyBorder="1" applyAlignment="1">
      <alignment vertical="center"/>
    </xf>
    <xf numFmtId="164" fontId="20" fillId="8" borderId="132" xfId="0" quotePrefix="1" applyNumberFormat="1" applyFont="1" applyFill="1" applyBorder="1" applyAlignment="1">
      <alignment horizontal="left" vertical="center"/>
    </xf>
    <xf numFmtId="0" fontId="20" fillId="8" borderId="147" xfId="0" applyFont="1" applyFill="1" applyBorder="1" applyAlignment="1">
      <alignment horizontal="left" vertical="center"/>
    </xf>
    <xf numFmtId="0" fontId="18" fillId="8" borderId="142" xfId="0" applyFont="1" applyFill="1" applyBorder="1" applyAlignment="1">
      <alignment vertical="center"/>
    </xf>
    <xf numFmtId="1" fontId="20" fillId="0" borderId="142" xfId="0" applyNumberFormat="1" applyFont="1" applyBorder="1" applyAlignment="1">
      <alignment horizontal="center" vertical="center"/>
    </xf>
    <xf numFmtId="1" fontId="20" fillId="7" borderId="142" xfId="0" applyNumberFormat="1" applyFont="1" applyFill="1" applyBorder="1" applyAlignment="1">
      <alignment horizontal="center" vertical="center"/>
    </xf>
    <xf numFmtId="1" fontId="20" fillId="7" borderId="144" xfId="0" applyNumberFormat="1" applyFont="1" applyFill="1" applyBorder="1" applyAlignment="1">
      <alignment horizontal="center" vertical="center"/>
    </xf>
    <xf numFmtId="1" fontId="20" fillId="5" borderId="142" xfId="0" applyNumberFormat="1" applyFont="1" applyFill="1" applyBorder="1" applyAlignment="1">
      <alignment horizontal="center" vertical="center"/>
    </xf>
    <xf numFmtId="1" fontId="19" fillId="5" borderId="142" xfId="0" applyNumberFormat="1" applyFont="1" applyFill="1" applyBorder="1" applyAlignment="1">
      <alignment horizontal="center" vertical="center"/>
    </xf>
    <xf numFmtId="1" fontId="19" fillId="6" borderId="142" xfId="0" applyNumberFormat="1" applyFont="1" applyFill="1" applyBorder="1" applyAlignment="1">
      <alignment horizontal="center" vertical="center"/>
    </xf>
    <xf numFmtId="1" fontId="47" fillId="0" borderId="0" xfId="0" applyNumberFormat="1" applyFont="1"/>
    <xf numFmtId="1" fontId="27" fillId="5" borderId="141" xfId="0" applyNumberFormat="1" applyFont="1" applyFill="1" applyBorder="1" applyAlignment="1">
      <alignment horizontal="center" vertical="center"/>
    </xf>
    <xf numFmtId="1" fontId="27" fillId="5" borderId="143" xfId="0" applyNumberFormat="1" applyFont="1" applyFill="1" applyBorder="1" applyAlignment="1">
      <alignment horizontal="center" vertical="center"/>
    </xf>
    <xf numFmtId="0" fontId="27" fillId="0" borderId="148" xfId="0" applyFont="1" applyBorder="1" applyAlignment="1">
      <alignment horizontal="left" vertical="center"/>
    </xf>
    <xf numFmtId="167" fontId="27" fillId="0" borderId="145" xfId="0" applyNumberFormat="1" applyFont="1" applyBorder="1" applyAlignment="1">
      <alignment horizontal="center" vertical="center"/>
    </xf>
    <xf numFmtId="1" fontId="27" fillId="0" borderId="141" xfId="0" applyNumberFormat="1" applyFont="1" applyBorder="1" applyAlignment="1">
      <alignment horizontal="center" vertical="center"/>
    </xf>
    <xf numFmtId="0" fontId="14" fillId="0" borderId="148" xfId="0" applyFont="1" applyBorder="1" applyAlignment="1">
      <alignment horizontal="right" vertical="center"/>
    </xf>
    <xf numFmtId="1" fontId="14" fillId="0" borderId="145" xfId="0" applyNumberFormat="1" applyFont="1" applyBorder="1" applyAlignment="1">
      <alignment horizontal="center" vertical="center"/>
    </xf>
    <xf numFmtId="167" fontId="27" fillId="0" borderId="146" xfId="0" applyNumberFormat="1" applyFont="1" applyBorder="1" applyAlignment="1">
      <alignment horizontal="center" vertical="center"/>
    </xf>
    <xf numFmtId="1" fontId="27" fillId="0" borderId="144" xfId="0" applyNumberFormat="1" applyFont="1" applyBorder="1" applyAlignment="1">
      <alignment horizontal="center" vertical="center"/>
    </xf>
    <xf numFmtId="1" fontId="27" fillId="8" borderId="141" xfId="0" applyNumberFormat="1" applyFont="1" applyFill="1" applyBorder="1" applyAlignment="1">
      <alignment horizontal="center" vertical="center"/>
    </xf>
    <xf numFmtId="0" fontId="14" fillId="0" borderId="150" xfId="0" applyFont="1" applyBorder="1" applyAlignment="1">
      <alignment horizontal="right" vertical="center"/>
    </xf>
    <xf numFmtId="1" fontId="14" fillId="0" borderId="151" xfId="0" applyNumberFormat="1" applyFont="1" applyBorder="1" applyAlignment="1">
      <alignment horizontal="center" vertical="center"/>
    </xf>
    <xf numFmtId="0" fontId="27" fillId="8" borderId="148" xfId="0" applyFont="1" applyFill="1" applyBorder="1" applyAlignment="1">
      <alignment horizontal="left" vertical="center"/>
    </xf>
    <xf numFmtId="0" fontId="27" fillId="8" borderId="150" xfId="0" applyFont="1" applyFill="1" applyBorder="1" applyAlignment="1">
      <alignment horizontal="left" vertical="center"/>
    </xf>
    <xf numFmtId="167" fontId="27" fillId="0" borderId="151" xfId="0" applyNumberFormat="1" applyFont="1" applyBorder="1" applyAlignment="1">
      <alignment horizontal="center" vertical="center"/>
    </xf>
    <xf numFmtId="1" fontId="27" fillId="0" borderId="152" xfId="0" applyNumberFormat="1" applyFont="1" applyBorder="1" applyAlignment="1">
      <alignment horizontal="center" vertical="center"/>
    </xf>
    <xf numFmtId="1" fontId="14" fillId="0" borderId="146" xfId="0" applyNumberFormat="1" applyFont="1" applyBorder="1" applyAlignment="1">
      <alignment horizontal="center" vertical="center"/>
    </xf>
    <xf numFmtId="1" fontId="14" fillId="0" borderId="153" xfId="0" applyNumberFormat="1" applyFont="1" applyBorder="1" applyAlignment="1">
      <alignment horizontal="center" vertical="center"/>
    </xf>
    <xf numFmtId="2" fontId="27" fillId="0" borderId="145" xfId="0" applyNumberFormat="1" applyFont="1" applyBorder="1" applyAlignment="1">
      <alignment horizontal="center" vertical="center"/>
    </xf>
    <xf numFmtId="2" fontId="27" fillId="0" borderId="141" xfId="0" applyNumberFormat="1" applyFont="1" applyBorder="1" applyAlignment="1">
      <alignment horizontal="center" vertical="center"/>
    </xf>
    <xf numFmtId="0" fontId="14" fillId="8" borderId="148" xfId="0" applyFont="1" applyFill="1" applyBorder="1" applyAlignment="1">
      <alignment horizontal="right" vertical="center"/>
    </xf>
    <xf numFmtId="1" fontId="14" fillId="8" borderId="138" xfId="0" applyNumberFormat="1" applyFont="1" applyFill="1" applyBorder="1" applyAlignment="1">
      <alignment horizontal="center" vertical="center"/>
    </xf>
    <xf numFmtId="1" fontId="14" fillId="5" borderId="138" xfId="0" applyNumberFormat="1" applyFont="1" applyFill="1" applyBorder="1" applyAlignment="1">
      <alignment horizontal="center" vertical="center"/>
    </xf>
    <xf numFmtId="1" fontId="14" fillId="8" borderId="154" xfId="0" applyNumberFormat="1" applyFont="1" applyFill="1" applyBorder="1" applyAlignment="1">
      <alignment horizontal="center" vertical="center"/>
    </xf>
    <xf numFmtId="1" fontId="14" fillId="8" borderId="139" xfId="0" applyNumberFormat="1" applyFont="1" applyFill="1" applyBorder="1" applyAlignment="1">
      <alignment horizontal="center" vertical="center"/>
    </xf>
    <xf numFmtId="1" fontId="14" fillId="5" borderId="155" xfId="0" applyNumberFormat="1" applyFont="1" applyFill="1" applyBorder="1" applyAlignment="1">
      <alignment horizontal="center" vertical="center"/>
    </xf>
    <xf numFmtId="167" fontId="14" fillId="6" borderId="157" xfId="0" applyNumberFormat="1" applyFont="1" applyFill="1" applyBorder="1" applyAlignment="1">
      <alignment horizontal="center" vertical="center"/>
    </xf>
    <xf numFmtId="167" fontId="27" fillId="6" borderId="157" xfId="0" applyNumberFormat="1" applyFont="1" applyFill="1" applyBorder="1" applyAlignment="1">
      <alignment horizontal="center" vertical="center"/>
    </xf>
    <xf numFmtId="0" fontId="27" fillId="8" borderId="142" xfId="0" applyFont="1" applyFill="1" applyBorder="1" applyAlignment="1">
      <alignment vertical="center"/>
    </xf>
    <xf numFmtId="167" fontId="14" fillId="0" borderId="142" xfId="0" applyNumberFormat="1" applyFont="1" applyBorder="1" applyAlignment="1">
      <alignment horizontal="center" vertical="center"/>
    </xf>
    <xf numFmtId="1" fontId="14" fillId="0" borderId="142" xfId="0" applyNumberFormat="1" applyFont="1" applyBorder="1" applyAlignment="1">
      <alignment horizontal="center" vertical="center"/>
    </xf>
    <xf numFmtId="1" fontId="14" fillId="5" borderId="142" xfId="0" applyNumberFormat="1" applyFont="1" applyFill="1" applyBorder="1" applyAlignment="1">
      <alignment horizontal="center" vertical="center"/>
    </xf>
    <xf numFmtId="0" fontId="27" fillId="8" borderId="139" xfId="0" applyFont="1" applyFill="1" applyBorder="1" applyAlignment="1">
      <alignment horizontal="left" vertical="center"/>
    </xf>
    <xf numFmtId="0" fontId="27" fillId="0" borderId="139" xfId="0" applyFont="1" applyBorder="1" applyAlignment="1">
      <alignment horizontal="left" vertical="center"/>
    </xf>
    <xf numFmtId="0" fontId="14" fillId="0" borderId="139" xfId="0" applyFont="1" applyBorder="1" applyAlignment="1">
      <alignment horizontal="right" vertical="center"/>
    </xf>
    <xf numFmtId="167" fontId="14" fillId="6" borderId="139" xfId="0" applyNumberFormat="1" applyFont="1" applyFill="1" applyBorder="1" applyAlignment="1">
      <alignment horizontal="center" vertical="center"/>
    </xf>
    <xf numFmtId="0" fontId="18" fillId="8" borderId="52" xfId="186" applyFont="1" applyFill="1" applyBorder="1" applyAlignment="1">
      <alignment horizontal="left" vertical="center"/>
    </xf>
    <xf numFmtId="1" fontId="19" fillId="8" borderId="106" xfId="0" applyNumberFormat="1" applyFont="1" applyFill="1" applyBorder="1" applyAlignment="1">
      <alignment horizontal="center"/>
    </xf>
    <xf numFmtId="0" fontId="191" fillId="0" borderId="0" xfId="0" applyFont="1"/>
    <xf numFmtId="0" fontId="78" fillId="4" borderId="8" xfId="186" applyFont="1" applyFill="1" applyBorder="1" applyAlignment="1">
      <alignment horizontal="left" vertical="center"/>
    </xf>
    <xf numFmtId="1" fontId="79" fillId="4" borderId="8" xfId="186" applyNumberFormat="1" applyFont="1" applyFill="1" applyBorder="1" applyAlignment="1">
      <alignment horizontal="center" vertical="center"/>
    </xf>
    <xf numFmtId="1" fontId="78" fillId="4" borderId="8" xfId="186" applyNumberFormat="1" applyFont="1" applyFill="1" applyBorder="1" applyAlignment="1">
      <alignment horizontal="center" vertical="center"/>
    </xf>
    <xf numFmtId="1" fontId="79" fillId="4" borderId="7" xfId="186" applyNumberFormat="1" applyFont="1" applyFill="1" applyBorder="1" applyAlignment="1">
      <alignment horizontal="center" vertical="center"/>
    </xf>
    <xf numFmtId="1" fontId="78" fillId="4" borderId="48" xfId="186" applyNumberFormat="1" applyFont="1" applyFill="1" applyBorder="1" applyAlignment="1">
      <alignment horizontal="center" vertical="center"/>
    </xf>
    <xf numFmtId="1" fontId="78" fillId="4" borderId="30" xfId="186" applyNumberFormat="1" applyFont="1" applyFill="1" applyBorder="1" applyAlignment="1">
      <alignment horizontal="center" vertical="center"/>
    </xf>
    <xf numFmtId="0" fontId="78" fillId="4" borderId="30" xfId="186" applyFont="1" applyFill="1" applyBorder="1" applyAlignment="1">
      <alignment horizontal="left" vertical="center"/>
    </xf>
    <xf numFmtId="0" fontId="78" fillId="33" borderId="13" xfId="186" applyFont="1" applyFill="1" applyBorder="1" applyAlignment="1">
      <alignment horizontal="left" vertical="center"/>
    </xf>
    <xf numFmtId="0" fontId="78" fillId="33" borderId="55" xfId="186" applyFont="1" applyFill="1" applyBorder="1" applyAlignment="1">
      <alignment horizontal="left" vertical="center"/>
    </xf>
    <xf numFmtId="1" fontId="18" fillId="33" borderId="4" xfId="1" applyNumberFormat="1" applyFont="1" applyFill="1" applyBorder="1" applyAlignment="1">
      <alignment horizontal="center" vertical="center"/>
    </xf>
    <xf numFmtId="0" fontId="78" fillId="0" borderId="34" xfId="186" applyFont="1" applyBorder="1" applyAlignment="1">
      <alignment horizontal="left" vertical="center"/>
    </xf>
    <xf numFmtId="0" fontId="78" fillId="0" borderId="30" xfId="186" applyFont="1" applyBorder="1" applyAlignment="1">
      <alignment horizontal="left" vertical="center"/>
    </xf>
    <xf numFmtId="1" fontId="79" fillId="7" borderId="8" xfId="186" applyNumberFormat="1" applyFont="1" applyFill="1" applyBorder="1" applyAlignment="1">
      <alignment horizontal="center" vertical="center"/>
    </xf>
    <xf numFmtId="1" fontId="79" fillId="8" borderId="8" xfId="186" applyNumberFormat="1" applyFont="1" applyFill="1" applyBorder="1" applyAlignment="1">
      <alignment horizontal="center" vertical="center"/>
    </xf>
    <xf numFmtId="1" fontId="79" fillId="5" borderId="7" xfId="186" applyNumberFormat="1" applyFont="1" applyFill="1" applyBorder="1" applyAlignment="1">
      <alignment horizontal="center" vertical="center"/>
    </xf>
    <xf numFmtId="17" fontId="18" fillId="42" borderId="1" xfId="186" applyNumberFormat="1" applyFont="1" applyFill="1" applyBorder="1" applyAlignment="1">
      <alignment horizontal="left" vertical="center"/>
    </xf>
    <xf numFmtId="17" fontId="18" fillId="42" borderId="5" xfId="186" applyNumberFormat="1" applyFont="1" applyFill="1" applyBorder="1" applyAlignment="1">
      <alignment horizontal="left" vertical="center"/>
    </xf>
    <xf numFmtId="164" fontId="20" fillId="0" borderId="43" xfId="0" quotePrefix="1" applyNumberFormat="1" applyFont="1" applyBorder="1" applyAlignment="1">
      <alignment horizontal="left" vertical="center"/>
    </xf>
    <xf numFmtId="1" fontId="20" fillId="5" borderId="155" xfId="0" applyNumberFormat="1" applyFont="1" applyFill="1" applyBorder="1" applyAlignment="1">
      <alignment vertical="center"/>
    </xf>
    <xf numFmtId="1" fontId="20" fillId="5" borderId="152" xfId="0" applyNumberFormat="1" applyFont="1" applyFill="1" applyBorder="1" applyAlignment="1">
      <alignment horizontal="center" vertical="center"/>
    </xf>
    <xf numFmtId="1" fontId="20" fillId="7" borderId="155" xfId="0" applyNumberFormat="1" applyFont="1" applyFill="1" applyBorder="1" applyAlignment="1">
      <alignment vertical="center"/>
    </xf>
    <xf numFmtId="1" fontId="20" fillId="7" borderId="152" xfId="0" applyNumberFormat="1" applyFont="1" applyFill="1" applyBorder="1" applyAlignment="1">
      <alignment horizontal="center" vertical="center"/>
    </xf>
    <xf numFmtId="1" fontId="20" fillId="5" borderId="157" xfId="0" applyNumberFormat="1" applyFont="1" applyFill="1" applyBorder="1" applyAlignment="1">
      <alignment vertical="center"/>
    </xf>
    <xf numFmtId="1" fontId="20" fillId="5" borderId="157" xfId="0" applyNumberFormat="1" applyFont="1" applyFill="1" applyBorder="1" applyAlignment="1">
      <alignment horizontal="center" vertical="center"/>
    </xf>
    <xf numFmtId="1" fontId="20" fillId="44" borderId="157" xfId="0" applyNumberFormat="1" applyFont="1" applyFill="1" applyBorder="1" applyAlignment="1">
      <alignment vertical="center"/>
    </xf>
    <xf numFmtId="1" fontId="20" fillId="44" borderId="157" xfId="0" applyNumberFormat="1" applyFont="1" applyFill="1" applyBorder="1" applyAlignment="1">
      <alignment horizontal="center" vertical="center"/>
    </xf>
    <xf numFmtId="164" fontId="20" fillId="0" borderId="34" xfId="0" quotePrefix="1" applyNumberFormat="1" applyFont="1" applyBorder="1" applyAlignment="1">
      <alignment horizontal="left" vertical="center"/>
    </xf>
    <xf numFmtId="172" fontId="20" fillId="0" borderId="30" xfId="0" quotePrefix="1" applyNumberFormat="1" applyFont="1" applyBorder="1" applyAlignment="1">
      <alignment horizontal="center" vertical="center"/>
    </xf>
    <xf numFmtId="1" fontId="20" fillId="44" borderId="30" xfId="0" applyNumberFormat="1" applyFont="1" applyFill="1" applyBorder="1" applyAlignment="1">
      <alignment vertical="center"/>
    </xf>
    <xf numFmtId="1" fontId="20" fillId="44" borderId="30" xfId="0" applyNumberFormat="1" applyFont="1" applyFill="1" applyBorder="1" applyAlignment="1">
      <alignment horizontal="center" vertical="center"/>
    </xf>
    <xf numFmtId="164" fontId="20" fillId="0" borderId="139" xfId="0" quotePrefix="1" applyNumberFormat="1" applyFont="1" applyBorder="1" applyAlignment="1">
      <alignment horizontal="left" vertical="center"/>
    </xf>
    <xf numFmtId="172" fontId="20" fillId="0" borderId="139" xfId="0" quotePrefix="1" applyNumberFormat="1" applyFont="1" applyBorder="1" applyAlignment="1">
      <alignment horizontal="center" vertical="center"/>
    </xf>
    <xf numFmtId="1" fontId="20" fillId="0" borderId="139" xfId="0" applyNumberFormat="1" applyFont="1" applyBorder="1" applyAlignment="1">
      <alignment vertical="center"/>
    </xf>
    <xf numFmtId="1" fontId="20" fillId="7" borderId="139" xfId="0" applyNumberFormat="1" applyFont="1" applyFill="1" applyBorder="1" applyAlignment="1">
      <alignment vertical="center"/>
    </xf>
    <xf numFmtId="1" fontId="20" fillId="5" borderId="139" xfId="0" applyNumberFormat="1" applyFont="1" applyFill="1" applyBorder="1" applyAlignment="1">
      <alignment vertical="center"/>
    </xf>
    <xf numFmtId="1" fontId="20" fillId="6" borderId="139" xfId="0" applyNumberFormat="1" applyFont="1" applyFill="1" applyBorder="1" applyAlignment="1">
      <alignment vertical="center"/>
    </xf>
    <xf numFmtId="1" fontId="20" fillId="6" borderId="139" xfId="0" applyNumberFormat="1" applyFont="1" applyFill="1" applyBorder="1" applyAlignment="1">
      <alignment horizontal="center" vertical="center"/>
    </xf>
    <xf numFmtId="1" fontId="20" fillId="44" borderId="139" xfId="0" applyNumberFormat="1" applyFont="1" applyFill="1" applyBorder="1" applyAlignment="1">
      <alignment vertical="center"/>
    </xf>
    <xf numFmtId="1" fontId="20" fillId="44" borderId="139" xfId="0" applyNumberFormat="1" applyFont="1" applyFill="1" applyBorder="1" applyAlignment="1">
      <alignment horizontal="center" vertical="center"/>
    </xf>
    <xf numFmtId="1" fontId="20" fillId="6" borderId="41" xfId="0" applyNumberFormat="1" applyFont="1" applyFill="1" applyBorder="1" applyAlignment="1">
      <alignment vertical="center"/>
    </xf>
    <xf numFmtId="1" fontId="20" fillId="44" borderId="41" xfId="0" applyNumberFormat="1" applyFont="1" applyFill="1" applyBorder="1" applyAlignment="1">
      <alignment vertical="center"/>
    </xf>
    <xf numFmtId="1" fontId="20" fillId="44" borderId="41" xfId="0" applyNumberFormat="1" applyFont="1" applyFill="1" applyBorder="1" applyAlignment="1">
      <alignment horizontal="center" vertical="center"/>
    </xf>
    <xf numFmtId="164" fontId="20" fillId="0" borderId="138" xfId="0" quotePrefix="1" applyNumberFormat="1" applyFont="1" applyBorder="1" applyAlignment="1">
      <alignment horizontal="left" vertical="center"/>
    </xf>
    <xf numFmtId="164" fontId="20" fillId="0" borderId="132" xfId="0" quotePrefix="1" applyNumberFormat="1" applyFont="1" applyBorder="1" applyAlignment="1">
      <alignment horizontal="left" vertical="center"/>
    </xf>
    <xf numFmtId="164" fontId="20" fillId="0" borderId="142" xfId="0" quotePrefix="1" applyNumberFormat="1" applyFont="1" applyBorder="1" applyAlignment="1">
      <alignment horizontal="left" vertical="center"/>
    </xf>
    <xf numFmtId="172" fontId="20" fillId="0" borderId="142" xfId="0" quotePrefix="1" applyNumberFormat="1" applyFont="1" applyBorder="1" applyAlignment="1">
      <alignment horizontal="center" vertical="center"/>
    </xf>
    <xf numFmtId="1" fontId="20" fillId="0" borderId="142" xfId="0" applyNumberFormat="1" applyFont="1" applyBorder="1" applyAlignment="1">
      <alignment vertical="center"/>
    </xf>
    <xf numFmtId="1" fontId="20" fillId="7" borderId="142" xfId="0" applyNumberFormat="1" applyFont="1" applyFill="1" applyBorder="1" applyAlignment="1">
      <alignment vertical="center"/>
    </xf>
    <xf numFmtId="1" fontId="20" fillId="5" borderId="142" xfId="0" applyNumberFormat="1" applyFont="1" applyFill="1" applyBorder="1" applyAlignment="1">
      <alignment vertical="center"/>
    </xf>
    <xf numFmtId="1" fontId="20" fillId="6" borderId="142" xfId="0" applyNumberFormat="1" applyFont="1" applyFill="1" applyBorder="1" applyAlignment="1">
      <alignment vertical="center"/>
    </xf>
    <xf numFmtId="1" fontId="20" fillId="6" borderId="142" xfId="0" applyNumberFormat="1" applyFont="1" applyFill="1" applyBorder="1" applyAlignment="1">
      <alignment horizontal="center" vertical="center"/>
    </xf>
    <xf numFmtId="1" fontId="20" fillId="44" borderId="142" xfId="0" applyNumberFormat="1" applyFont="1" applyFill="1" applyBorder="1" applyAlignment="1">
      <alignment vertical="center"/>
    </xf>
    <xf numFmtId="1" fontId="20" fillId="44" borderId="142" xfId="0" applyNumberFormat="1" applyFont="1" applyFill="1" applyBorder="1" applyAlignment="1">
      <alignment horizontal="center" vertical="center"/>
    </xf>
    <xf numFmtId="0" fontId="45" fillId="0" borderId="139" xfId="0" applyFont="1" applyBorder="1"/>
    <xf numFmtId="1" fontId="45" fillId="7" borderId="139" xfId="0" applyNumberFormat="1" applyFont="1" applyFill="1" applyBorder="1" applyAlignment="1">
      <alignment horizontal="center" vertical="center"/>
    </xf>
    <xf numFmtId="1" fontId="45" fillId="5" borderId="139" xfId="0" applyNumberFormat="1" applyFont="1" applyFill="1" applyBorder="1" applyAlignment="1">
      <alignment horizontal="center" vertical="center"/>
    </xf>
    <xf numFmtId="1" fontId="45" fillId="6" borderId="139" xfId="0" applyNumberFormat="1" applyFont="1" applyFill="1" applyBorder="1" applyAlignment="1">
      <alignment horizontal="center" vertical="center"/>
    </xf>
    <xf numFmtId="1" fontId="45" fillId="44" borderId="139" xfId="0" applyNumberFormat="1" applyFont="1" applyFill="1" applyBorder="1" applyAlignment="1">
      <alignment horizontal="center" vertical="center"/>
    </xf>
    <xf numFmtId="167" fontId="45" fillId="0" borderId="139" xfId="0" applyNumberFormat="1" applyFont="1" applyBorder="1"/>
    <xf numFmtId="167" fontId="45" fillId="7" borderId="139" xfId="0" applyNumberFormat="1" applyFont="1" applyFill="1" applyBorder="1"/>
    <xf numFmtId="167" fontId="45" fillId="5" borderId="139" xfId="0" applyNumberFormat="1" applyFont="1" applyFill="1" applyBorder="1"/>
    <xf numFmtId="167" fontId="45" fillId="6" borderId="139" xfId="0" applyNumberFormat="1" applyFont="1" applyFill="1" applyBorder="1"/>
    <xf numFmtId="167" fontId="45" fillId="44" borderId="139" xfId="0" applyNumberFormat="1" applyFont="1" applyFill="1" applyBorder="1"/>
    <xf numFmtId="0" fontId="45" fillId="0" borderId="139" xfId="0" applyFont="1" applyBorder="1" applyAlignment="1">
      <alignment wrapText="1"/>
    </xf>
    <xf numFmtId="0" fontId="45" fillId="7" borderId="139" xfId="0" applyFont="1" applyFill="1" applyBorder="1"/>
    <xf numFmtId="0" fontId="45" fillId="5" borderId="139" xfId="0" applyFont="1" applyFill="1" applyBorder="1"/>
    <xf numFmtId="167" fontId="45" fillId="6" borderId="41" xfId="0" applyNumberFormat="1" applyFont="1" applyFill="1" applyBorder="1"/>
    <xf numFmtId="167" fontId="45" fillId="44" borderId="41" xfId="0" applyNumberFormat="1" applyFont="1" applyFill="1" applyBorder="1"/>
    <xf numFmtId="1" fontId="45" fillId="44" borderId="41" xfId="0" applyNumberFormat="1" applyFont="1" applyFill="1" applyBorder="1" applyAlignment="1">
      <alignment horizontal="center" vertical="center"/>
    </xf>
    <xf numFmtId="0" fontId="45" fillId="0" borderId="138" xfId="0" applyFont="1" applyBorder="1" applyAlignment="1">
      <alignment wrapText="1"/>
    </xf>
    <xf numFmtId="1" fontId="45" fillId="7" borderId="141" xfId="0" applyNumberFormat="1" applyFont="1" applyFill="1" applyBorder="1" applyAlignment="1">
      <alignment horizontal="center" vertical="center"/>
    </xf>
    <xf numFmtId="0" fontId="45" fillId="0" borderId="138" xfId="0" applyFont="1" applyBorder="1"/>
    <xf numFmtId="0" fontId="45" fillId="0" borderId="132" xfId="0" applyFont="1" applyBorder="1"/>
    <xf numFmtId="0" fontId="45" fillId="0" borderId="142" xfId="0" applyFont="1" applyBorder="1"/>
    <xf numFmtId="167" fontId="45" fillId="0" borderId="142" xfId="0" applyNumberFormat="1" applyFont="1" applyBorder="1"/>
    <xf numFmtId="1" fontId="45" fillId="0" borderId="142" xfId="0" applyNumberFormat="1" applyFont="1" applyBorder="1" applyAlignment="1">
      <alignment horizontal="center" vertical="center"/>
    </xf>
    <xf numFmtId="167" fontId="45" fillId="7" borderId="142" xfId="0" applyNumberFormat="1" applyFont="1" applyFill="1" applyBorder="1"/>
    <xf numFmtId="1" fontId="45" fillId="7" borderId="142" xfId="0" applyNumberFormat="1" applyFont="1" applyFill="1" applyBorder="1" applyAlignment="1">
      <alignment horizontal="center" vertical="center"/>
    </xf>
    <xf numFmtId="167" fontId="45" fillId="5" borderId="142" xfId="0" applyNumberFormat="1" applyFont="1" applyFill="1" applyBorder="1"/>
    <xf numFmtId="1" fontId="45" fillId="5" borderId="142" xfId="0" applyNumberFormat="1" applyFont="1" applyFill="1" applyBorder="1" applyAlignment="1">
      <alignment horizontal="center" vertical="center"/>
    </xf>
    <xf numFmtId="167" fontId="45" fillId="6" borderId="142" xfId="0" applyNumberFormat="1" applyFont="1" applyFill="1" applyBorder="1"/>
    <xf numFmtId="1" fontId="45" fillId="6" borderId="142" xfId="0" applyNumberFormat="1" applyFont="1" applyFill="1" applyBorder="1" applyAlignment="1">
      <alignment horizontal="center" vertical="center"/>
    </xf>
    <xf numFmtId="167" fontId="45" fillId="44" borderId="142" xfId="0" applyNumberFormat="1" applyFont="1" applyFill="1" applyBorder="1"/>
    <xf numFmtId="1" fontId="45" fillId="44" borderId="142" xfId="0" applyNumberFormat="1" applyFont="1" applyFill="1" applyBorder="1" applyAlignment="1">
      <alignment horizontal="center" vertical="center"/>
    </xf>
    <xf numFmtId="1" fontId="45" fillId="7" borderId="144" xfId="0" applyNumberFormat="1" applyFont="1" applyFill="1" applyBorder="1" applyAlignment="1">
      <alignment horizontal="center" vertical="center"/>
    </xf>
    <xf numFmtId="1" fontId="45" fillId="8" borderId="139" xfId="0" applyNumberFormat="1" applyFont="1" applyFill="1" applyBorder="1" applyAlignment="1">
      <alignment horizontal="center" vertical="center"/>
    </xf>
    <xf numFmtId="0" fontId="45" fillId="8" borderId="139" xfId="0" applyFont="1" applyFill="1" applyBorder="1"/>
    <xf numFmtId="0" fontId="45" fillId="6" borderId="139" xfId="0" applyFont="1" applyFill="1" applyBorder="1"/>
    <xf numFmtId="0" fontId="45" fillId="44" borderId="139" xfId="0" applyFont="1" applyFill="1" applyBorder="1"/>
    <xf numFmtId="9" fontId="45" fillId="0" borderId="139" xfId="22" applyFont="1" applyBorder="1" applyAlignment="1">
      <alignment horizontal="center" vertical="center"/>
    </xf>
    <xf numFmtId="9" fontId="45" fillId="7" borderId="139" xfId="22" applyFont="1" applyFill="1" applyBorder="1" applyAlignment="1">
      <alignment horizontal="center" vertical="center"/>
    </xf>
    <xf numFmtId="9" fontId="45" fillId="5" borderId="139" xfId="22" applyFont="1" applyFill="1" applyBorder="1" applyAlignment="1">
      <alignment horizontal="center" vertical="center"/>
    </xf>
    <xf numFmtId="9" fontId="45" fillId="6" borderId="139" xfId="22" applyFont="1" applyFill="1" applyBorder="1" applyAlignment="1">
      <alignment horizontal="center" vertical="center"/>
    </xf>
    <xf numFmtId="9" fontId="45" fillId="44" borderId="139" xfId="22" applyFont="1" applyFill="1" applyBorder="1" applyAlignment="1">
      <alignment horizontal="center" vertical="center"/>
    </xf>
    <xf numFmtId="0" fontId="45" fillId="8" borderId="138" xfId="0" applyFont="1" applyFill="1" applyBorder="1"/>
    <xf numFmtId="9" fontId="45" fillId="7" borderId="141" xfId="22" applyFont="1" applyFill="1" applyBorder="1" applyAlignment="1">
      <alignment horizontal="center" vertical="center"/>
    </xf>
    <xf numFmtId="0" fontId="45" fillId="7" borderId="142" xfId="0" applyFont="1" applyFill="1" applyBorder="1"/>
    <xf numFmtId="0" fontId="45" fillId="5" borderId="142" xfId="0" applyFont="1" applyFill="1" applyBorder="1"/>
    <xf numFmtId="0" fontId="20" fillId="0" borderId="139" xfId="0" applyFont="1" applyBorder="1" applyAlignment="1">
      <alignment vertical="center"/>
    </xf>
    <xf numFmtId="0" fontId="20" fillId="7" borderId="139" xfId="0" applyFont="1" applyFill="1" applyBorder="1" applyAlignment="1">
      <alignment horizontal="center" vertical="center"/>
    </xf>
    <xf numFmtId="167" fontId="20" fillId="0" borderId="139" xfId="0" applyNumberFormat="1" applyFont="1" applyBorder="1" applyAlignment="1">
      <alignment horizontal="center" vertical="center"/>
    </xf>
    <xf numFmtId="167" fontId="20" fillId="7" borderId="139" xfId="0" applyNumberFormat="1" applyFont="1" applyFill="1" applyBorder="1" applyAlignment="1">
      <alignment horizontal="center" vertical="center"/>
    </xf>
    <xf numFmtId="167" fontId="20" fillId="5" borderId="139" xfId="0" applyNumberFormat="1" applyFont="1" applyFill="1" applyBorder="1" applyAlignment="1">
      <alignment horizontal="center" vertical="center"/>
    </xf>
    <xf numFmtId="167" fontId="20" fillId="6" borderId="139" xfId="0" applyNumberFormat="1" applyFont="1" applyFill="1" applyBorder="1" applyAlignment="1">
      <alignment horizontal="center" vertical="center"/>
    </xf>
    <xf numFmtId="167" fontId="20" fillId="44" borderId="139" xfId="0" applyNumberFormat="1" applyFont="1" applyFill="1" applyBorder="1" applyAlignment="1">
      <alignment horizontal="center" vertical="center"/>
    </xf>
    <xf numFmtId="167" fontId="20" fillId="8" borderId="139" xfId="0" applyNumberFormat="1" applyFont="1" applyFill="1" applyBorder="1" applyAlignment="1">
      <alignment horizontal="center" vertical="center"/>
    </xf>
    <xf numFmtId="169" fontId="20" fillId="8" borderId="139" xfId="0" applyNumberFormat="1" applyFont="1" applyFill="1" applyBorder="1" applyAlignment="1">
      <alignment horizontal="center" vertical="center"/>
    </xf>
    <xf numFmtId="169" fontId="20" fillId="7" borderId="139" xfId="0" applyNumberFormat="1" applyFont="1" applyFill="1" applyBorder="1" applyAlignment="1">
      <alignment horizontal="center" vertical="center"/>
    </xf>
    <xf numFmtId="169" fontId="20" fillId="5" borderId="139" xfId="0" applyNumberFormat="1" applyFont="1" applyFill="1" applyBorder="1" applyAlignment="1">
      <alignment horizontal="center" vertical="center"/>
    </xf>
    <xf numFmtId="169" fontId="20" fillId="6" borderId="139" xfId="0" applyNumberFormat="1" applyFont="1" applyFill="1" applyBorder="1" applyAlignment="1">
      <alignment horizontal="center" vertical="center"/>
    </xf>
    <xf numFmtId="169" fontId="20" fillId="44" borderId="139" xfId="0" applyNumberFormat="1" applyFont="1" applyFill="1" applyBorder="1" applyAlignment="1">
      <alignment horizontal="center" vertical="center"/>
    </xf>
    <xf numFmtId="2" fontId="20" fillId="8" borderId="139" xfId="0" applyNumberFormat="1" applyFont="1" applyFill="1" applyBorder="1" applyAlignment="1">
      <alignment horizontal="center" vertical="center"/>
    </xf>
    <xf numFmtId="2" fontId="20" fillId="7" borderId="139" xfId="0" applyNumberFormat="1" applyFont="1" applyFill="1" applyBorder="1" applyAlignment="1">
      <alignment horizontal="center" vertical="center"/>
    </xf>
    <xf numFmtId="2" fontId="20" fillId="5" borderId="139" xfId="0" applyNumberFormat="1" applyFont="1" applyFill="1" applyBorder="1" applyAlignment="1">
      <alignment horizontal="center" vertical="center"/>
    </xf>
    <xf numFmtId="2" fontId="20" fillId="6" borderId="139" xfId="0" applyNumberFormat="1" applyFont="1" applyFill="1" applyBorder="1" applyAlignment="1">
      <alignment horizontal="center" vertical="center"/>
    </xf>
    <xf numFmtId="2" fontId="20" fillId="44" borderId="139" xfId="0" applyNumberFormat="1" applyFont="1" applyFill="1" applyBorder="1" applyAlignment="1">
      <alignment horizontal="center" vertical="center"/>
    </xf>
    <xf numFmtId="0" fontId="20" fillId="0" borderId="138" xfId="0" applyFont="1" applyBorder="1" applyAlignment="1">
      <alignment vertical="center"/>
    </xf>
    <xf numFmtId="167" fontId="20" fillId="7" borderId="141" xfId="0" applyNumberFormat="1" applyFont="1" applyFill="1" applyBorder="1" applyAlignment="1">
      <alignment horizontal="center" vertical="center"/>
    </xf>
    <xf numFmtId="169" fontId="20" fillId="7" borderId="141" xfId="0" applyNumberFormat="1" applyFont="1" applyFill="1" applyBorder="1" applyAlignment="1">
      <alignment horizontal="center" vertical="center"/>
    </xf>
    <xf numFmtId="2" fontId="20" fillId="7" borderId="141" xfId="0" applyNumberFormat="1" applyFont="1" applyFill="1" applyBorder="1" applyAlignment="1">
      <alignment horizontal="center" vertical="center"/>
    </xf>
    <xf numFmtId="0" fontId="20" fillId="0" borderId="132" xfId="0" applyFont="1" applyBorder="1" applyAlignment="1">
      <alignment vertical="center"/>
    </xf>
    <xf numFmtId="0" fontId="20" fillId="0" borderId="142" xfId="0" applyFont="1" applyBorder="1" applyAlignment="1">
      <alignment vertical="center"/>
    </xf>
    <xf numFmtId="2" fontId="20" fillId="8" borderId="142" xfId="0" applyNumberFormat="1" applyFont="1" applyFill="1" applyBorder="1" applyAlignment="1">
      <alignment horizontal="center" vertical="center"/>
    </xf>
    <xf numFmtId="167" fontId="20" fillId="7" borderId="142" xfId="0" applyNumberFormat="1" applyFont="1" applyFill="1" applyBorder="1" applyAlignment="1">
      <alignment horizontal="center" vertical="center"/>
    </xf>
    <xf numFmtId="167" fontId="20" fillId="5" borderId="142" xfId="0" applyNumberFormat="1" applyFont="1" applyFill="1" applyBorder="1" applyAlignment="1">
      <alignment horizontal="center" vertical="center"/>
    </xf>
    <xf numFmtId="2" fontId="20" fillId="6" borderId="142" xfId="0" applyNumberFormat="1" applyFont="1" applyFill="1" applyBorder="1" applyAlignment="1">
      <alignment horizontal="center" vertical="center"/>
    </xf>
    <xf numFmtId="167" fontId="20" fillId="8" borderId="142" xfId="0" applyNumberFormat="1" applyFont="1" applyFill="1" applyBorder="1" applyAlignment="1">
      <alignment horizontal="center" vertical="center"/>
    </xf>
    <xf numFmtId="2" fontId="20" fillId="44" borderId="142" xfId="0" applyNumberFormat="1" applyFont="1" applyFill="1" applyBorder="1" applyAlignment="1">
      <alignment horizontal="center" vertical="center"/>
    </xf>
    <xf numFmtId="167" fontId="20" fillId="7" borderId="144" xfId="0" applyNumberFormat="1" applyFont="1" applyFill="1" applyBorder="1" applyAlignment="1">
      <alignment horizontal="center" vertical="center"/>
    </xf>
    <xf numFmtId="167" fontId="20" fillId="6" borderId="143" xfId="0" applyNumberFormat="1" applyFont="1" applyFill="1" applyBorder="1" applyAlignment="1">
      <alignment horizontal="center" vertical="center"/>
    </xf>
    <xf numFmtId="1" fontId="21" fillId="0" borderId="13" xfId="0" applyNumberFormat="1" applyFont="1" applyBorder="1" applyAlignment="1">
      <alignment horizontal="center" vertical="center"/>
    </xf>
    <xf numFmtId="1" fontId="19" fillId="8" borderId="139" xfId="186" applyNumberFormat="1" applyFont="1" applyFill="1" applyBorder="1" applyAlignment="1">
      <alignment horizontal="center" vertical="top"/>
    </xf>
    <xf numFmtId="1" fontId="79" fillId="0" borderId="145" xfId="186" applyNumberFormat="1" applyFont="1" applyBorder="1" applyAlignment="1">
      <alignment horizontal="center" vertical="center"/>
    </xf>
    <xf numFmtId="1" fontId="79" fillId="7" borderId="145" xfId="186" applyNumberFormat="1" applyFont="1" applyFill="1" applyBorder="1" applyAlignment="1">
      <alignment horizontal="center" vertical="center"/>
    </xf>
    <xf numFmtId="1" fontId="79" fillId="8" borderId="145" xfId="186" applyNumberFormat="1" applyFont="1" applyFill="1" applyBorder="1" applyAlignment="1">
      <alignment horizontal="center" vertical="center"/>
    </xf>
    <xf numFmtId="1" fontId="79" fillId="5" borderId="149" xfId="186" applyNumberFormat="1" applyFont="1" applyFill="1" applyBorder="1" applyAlignment="1">
      <alignment horizontal="center" vertical="center"/>
    </xf>
    <xf numFmtId="1" fontId="78" fillId="5" borderId="141" xfId="186" applyNumberFormat="1" applyFont="1" applyFill="1" applyBorder="1" applyAlignment="1">
      <alignment horizontal="center" vertical="center"/>
    </xf>
    <xf numFmtId="1" fontId="79" fillId="0" borderId="149" xfId="186" applyNumberFormat="1" applyFont="1" applyBorder="1" applyAlignment="1">
      <alignment horizontal="center" vertical="center"/>
    </xf>
    <xf numFmtId="1" fontId="78" fillId="7" borderId="141" xfId="186" applyNumberFormat="1" applyFont="1" applyFill="1" applyBorder="1" applyAlignment="1">
      <alignment horizontal="center" vertical="center"/>
    </xf>
    <xf numFmtId="1" fontId="78" fillId="7" borderId="139" xfId="186" applyNumberFormat="1" applyFont="1" applyFill="1" applyBorder="1" applyAlignment="1">
      <alignment horizontal="center" vertical="center"/>
    </xf>
    <xf numFmtId="1" fontId="78" fillId="7" borderId="145" xfId="186" applyNumberFormat="1" applyFont="1" applyFill="1" applyBorder="1" applyAlignment="1">
      <alignment horizontal="center" vertical="center"/>
    </xf>
    <xf numFmtId="0" fontId="20" fillId="8" borderId="138" xfId="0" quotePrefix="1" applyFont="1" applyFill="1" applyBorder="1" applyAlignment="1">
      <alignment horizontal="left" vertical="center" wrapText="1"/>
    </xf>
    <xf numFmtId="0" fontId="20" fillId="0" borderId="139" xfId="0" applyFont="1" applyBorder="1" applyAlignment="1">
      <alignment horizontal="right" vertical="center"/>
    </xf>
    <xf numFmtId="1" fontId="18" fillId="8" borderId="139" xfId="0" applyNumberFormat="1" applyFont="1" applyFill="1" applyBorder="1" applyAlignment="1">
      <alignment horizontal="center" vertical="center"/>
    </xf>
    <xf numFmtId="0" fontId="21" fillId="8" borderId="41" xfId="0" applyFont="1" applyFill="1" applyBorder="1" applyAlignment="1">
      <alignment horizontal="center" vertical="center"/>
    </xf>
    <xf numFmtId="0" fontId="20" fillId="0" borderId="138" xfId="0" applyFont="1" applyBorder="1" applyAlignment="1">
      <alignment horizontal="left" vertical="center" wrapText="1" indent="2"/>
    </xf>
    <xf numFmtId="0" fontId="20" fillId="0" borderId="141" xfId="0" applyFont="1" applyBorder="1" applyAlignment="1">
      <alignment horizontal="center" vertical="center"/>
    </xf>
    <xf numFmtId="1" fontId="21" fillId="8" borderId="138" xfId="0" applyNumberFormat="1" applyFont="1" applyFill="1" applyBorder="1" applyAlignment="1">
      <alignment horizontal="center" vertical="center"/>
    </xf>
    <xf numFmtId="0" fontId="20" fillId="0" borderId="155" xfId="0" applyFont="1" applyBorder="1" applyAlignment="1">
      <alignment horizontal="left" vertical="center" wrapText="1" indent="2"/>
    </xf>
    <xf numFmtId="0" fontId="20" fillId="0" borderId="152" xfId="0" applyFont="1" applyBorder="1" applyAlignment="1">
      <alignment horizontal="center" vertical="center"/>
    </xf>
    <xf numFmtId="1" fontId="21" fillId="8" borderId="132" xfId="0" applyNumberFormat="1" applyFont="1" applyFill="1" applyBorder="1" applyAlignment="1">
      <alignment horizontal="center" vertical="center"/>
    </xf>
    <xf numFmtId="1" fontId="172" fillId="8" borderId="35" xfId="0" applyNumberFormat="1" applyFont="1" applyFill="1" applyBorder="1" applyAlignment="1">
      <alignment vertical="center" wrapText="1"/>
    </xf>
    <xf numFmtId="0" fontId="173" fillId="8" borderId="0" xfId="0" applyFont="1" applyFill="1" applyAlignment="1">
      <alignment horizontal="left" vertical="center" wrapText="1"/>
    </xf>
    <xf numFmtId="0" fontId="20" fillId="0" borderId="143" xfId="0" applyFont="1" applyBorder="1" applyAlignment="1">
      <alignment horizontal="center" vertical="center"/>
    </xf>
    <xf numFmtId="0" fontId="20" fillId="0" borderId="156" xfId="0" applyFont="1" applyBorder="1" applyAlignment="1">
      <alignment horizontal="center" vertical="center"/>
    </xf>
    <xf numFmtId="0" fontId="20" fillId="0" borderId="155" xfId="0" applyFont="1" applyBorder="1" applyAlignment="1">
      <alignment horizontal="right" vertical="center" wrapText="1" indent="2"/>
    </xf>
    <xf numFmtId="0" fontId="20" fillId="0" borderId="138" xfId="0" applyFont="1" applyBorder="1" applyAlignment="1">
      <alignment horizontal="left" vertical="center" wrapText="1" indent="1"/>
    </xf>
    <xf numFmtId="1" fontId="20" fillId="47" borderId="48" xfId="0" applyNumberFormat="1" applyFont="1" applyFill="1" applyBorder="1" applyAlignment="1">
      <alignment horizontal="center" vertical="center"/>
    </xf>
    <xf numFmtId="1" fontId="20" fillId="8" borderId="143" xfId="0" applyNumberFormat="1" applyFont="1" applyFill="1" applyBorder="1" applyAlignment="1">
      <alignment horizontal="center" vertical="center"/>
    </xf>
    <xf numFmtId="1" fontId="20" fillId="8" borderId="147" xfId="0" applyNumberFormat="1" applyFont="1" applyFill="1" applyBorder="1" applyAlignment="1">
      <alignment horizontal="center" vertical="center"/>
    </xf>
    <xf numFmtId="1" fontId="21" fillId="0" borderId="26" xfId="0" applyNumberFormat="1" applyFont="1" applyBorder="1" applyAlignment="1">
      <alignment vertical="center"/>
    </xf>
    <xf numFmtId="1" fontId="20" fillId="0" borderId="52" xfId="0" applyNumberFormat="1" applyFont="1" applyBorder="1" applyAlignment="1">
      <alignment horizontal="center" vertical="center"/>
    </xf>
    <xf numFmtId="1" fontId="20" fillId="8" borderId="154" xfId="0" applyNumberFormat="1" applyFont="1" applyFill="1" applyBorder="1" applyAlignment="1">
      <alignment horizontal="center" vertical="center"/>
    </xf>
    <xf numFmtId="1" fontId="18" fillId="0" borderId="25" xfId="0" applyNumberFormat="1" applyFont="1" applyBorder="1" applyAlignment="1">
      <alignment horizontal="center" vertical="center"/>
    </xf>
    <xf numFmtId="1" fontId="20" fillId="8" borderId="22" xfId="0" applyNumberFormat="1" applyFont="1" applyFill="1" applyBorder="1" applyAlignment="1">
      <alignment horizontal="center" vertical="center"/>
    </xf>
    <xf numFmtId="1" fontId="20" fillId="8" borderId="148" xfId="0" applyNumberFormat="1" applyFont="1" applyFill="1" applyBorder="1" applyAlignment="1">
      <alignment horizontal="center" vertical="center" wrapText="1"/>
    </xf>
    <xf numFmtId="1" fontId="20" fillId="8" borderId="148" xfId="0" applyNumberFormat="1" applyFont="1" applyFill="1" applyBorder="1" applyAlignment="1">
      <alignment horizontal="center" vertical="center"/>
    </xf>
    <xf numFmtId="1" fontId="20" fillId="8" borderId="20" xfId="0" applyNumberFormat="1" applyFont="1" applyFill="1" applyBorder="1" applyAlignment="1">
      <alignment horizontal="center" vertical="center"/>
    </xf>
    <xf numFmtId="1" fontId="20" fillId="8" borderId="40" xfId="0" applyNumberFormat="1" applyFont="1" applyFill="1" applyBorder="1"/>
    <xf numFmtId="1" fontId="20" fillId="8" borderId="18" xfId="0" applyNumberFormat="1" applyFont="1" applyFill="1" applyBorder="1" applyAlignment="1">
      <alignment horizontal="center" vertical="center"/>
    </xf>
    <xf numFmtId="167" fontId="21" fillId="0" borderId="13" xfId="0" applyNumberFormat="1" applyFont="1" applyBorder="1" applyAlignment="1">
      <alignment horizontal="center" vertical="center"/>
    </xf>
    <xf numFmtId="0" fontId="4" fillId="8" borderId="43" xfId="0" applyFont="1" applyFill="1" applyBorder="1" applyAlignment="1">
      <alignment horizontal="center" vertical="center"/>
    </xf>
    <xf numFmtId="167" fontId="18" fillId="0" borderId="13" xfId="0" applyNumberFormat="1" applyFont="1" applyBorder="1" applyAlignment="1">
      <alignment horizontal="center" vertical="center"/>
    </xf>
    <xf numFmtId="0" fontId="18" fillId="8" borderId="76" xfId="0" applyFont="1" applyFill="1" applyBorder="1" applyAlignment="1">
      <alignment vertical="center"/>
    </xf>
    <xf numFmtId="0" fontId="18" fillId="8" borderId="82" xfId="0" applyFont="1" applyFill="1" applyBorder="1" applyAlignment="1">
      <alignment horizontal="center" vertical="center"/>
    </xf>
    <xf numFmtId="2" fontId="18" fillId="8" borderId="79" xfId="0" applyNumberFormat="1" applyFont="1" applyFill="1" applyBorder="1" applyAlignment="1">
      <alignment horizontal="center" vertical="center"/>
    </xf>
    <xf numFmtId="0" fontId="4" fillId="8" borderId="30" xfId="0" applyFont="1" applyFill="1" applyBorder="1" applyAlignment="1">
      <alignment horizontal="center" vertical="center"/>
    </xf>
    <xf numFmtId="0" fontId="21" fillId="8" borderId="139" xfId="0" applyFont="1" applyFill="1" applyBorder="1" applyAlignment="1">
      <alignment vertical="center"/>
    </xf>
    <xf numFmtId="0" fontId="21" fillId="8" borderId="139" xfId="0" applyFont="1" applyFill="1" applyBorder="1" applyAlignment="1">
      <alignment horizontal="center" vertical="center"/>
    </xf>
    <xf numFmtId="9" fontId="21" fillId="8" borderId="139" xfId="22" applyFont="1" applyFill="1" applyBorder="1" applyAlignment="1">
      <alignment horizontal="center" vertical="center"/>
    </xf>
    <xf numFmtId="1" fontId="21" fillId="8" borderId="42" xfId="0" applyNumberFormat="1" applyFont="1" applyFill="1" applyBorder="1" applyAlignment="1">
      <alignment horizontal="center" vertical="center"/>
    </xf>
    <xf numFmtId="0" fontId="21" fillId="8" borderId="138" xfId="0" applyFont="1" applyFill="1" applyBorder="1" applyAlignment="1">
      <alignment vertical="center"/>
    </xf>
    <xf numFmtId="9" fontId="21" fillId="8" borderId="141" xfId="22" applyFont="1" applyFill="1" applyBorder="1" applyAlignment="1">
      <alignment horizontal="center" vertical="center"/>
    </xf>
    <xf numFmtId="1" fontId="19" fillId="8" borderId="141" xfId="0" applyNumberFormat="1" applyFont="1" applyFill="1" applyBorder="1" applyAlignment="1">
      <alignment horizontal="center" vertical="center"/>
    </xf>
    <xf numFmtId="0" fontId="21" fillId="8" borderId="132" xfId="0" applyFont="1" applyFill="1" applyBorder="1" applyAlignment="1">
      <alignment vertical="center"/>
    </xf>
    <xf numFmtId="0" fontId="21" fillId="8" borderId="142" xfId="0" applyFont="1" applyFill="1" applyBorder="1" applyAlignment="1">
      <alignment vertical="center"/>
    </xf>
    <xf numFmtId="0" fontId="21" fillId="8" borderId="142" xfId="0" applyFont="1" applyFill="1" applyBorder="1" applyAlignment="1">
      <alignment horizontal="center" vertical="center"/>
    </xf>
    <xf numFmtId="9" fontId="21" fillId="8" borderId="142" xfId="22" applyFont="1" applyFill="1" applyBorder="1" applyAlignment="1">
      <alignment horizontal="center" vertical="center"/>
    </xf>
    <xf numFmtId="1" fontId="19" fillId="8" borderId="144" xfId="0" applyNumberFormat="1" applyFont="1" applyFill="1" applyBorder="1" applyAlignment="1">
      <alignment horizontal="center" vertical="center"/>
    </xf>
    <xf numFmtId="0" fontId="14" fillId="0" borderId="7" xfId="0" applyFont="1" applyBorder="1" applyAlignment="1">
      <alignment horizontal="left" vertical="center"/>
    </xf>
    <xf numFmtId="0" fontId="98" fillId="0" borderId="35" xfId="0" applyFont="1" applyBorder="1" applyAlignment="1">
      <alignment horizontal="center" vertical="center"/>
    </xf>
    <xf numFmtId="167" fontId="27" fillId="0" borderId="38" xfId="0" applyNumberFormat="1" applyFont="1" applyBorder="1" applyAlignment="1">
      <alignment horizontal="center" vertical="center"/>
    </xf>
    <xf numFmtId="1" fontId="27" fillId="0" borderId="71" xfId="0" applyNumberFormat="1" applyFont="1" applyBorder="1" applyAlignment="1">
      <alignment horizontal="center" vertical="center"/>
    </xf>
    <xf numFmtId="167" fontId="20" fillId="6" borderId="138" xfId="0" applyNumberFormat="1" applyFont="1" applyFill="1" applyBorder="1" applyAlignment="1">
      <alignment horizontal="center" vertical="center"/>
    </xf>
    <xf numFmtId="0" fontId="18" fillId="0" borderId="138" xfId="0" applyFont="1" applyBorder="1" applyAlignment="1">
      <alignment vertical="center"/>
    </xf>
    <xf numFmtId="0" fontId="18" fillId="0" borderId="143" xfId="0" applyFont="1" applyBorder="1" applyAlignment="1">
      <alignment horizontal="center" vertical="center"/>
    </xf>
    <xf numFmtId="167" fontId="21" fillId="8" borderId="138" xfId="0" applyNumberFormat="1" applyFont="1" applyFill="1" applyBorder="1" applyAlignment="1">
      <alignment horizontal="center" vertical="center"/>
    </xf>
    <xf numFmtId="0" fontId="7" fillId="0" borderId="139" xfId="0" applyFont="1" applyBorder="1" applyAlignment="1">
      <alignment horizontal="center" vertical="center"/>
    </xf>
    <xf numFmtId="4" fontId="0" fillId="0" borderId="0" xfId="0" applyNumberFormat="1"/>
    <xf numFmtId="2" fontId="36" fillId="47" borderId="0" xfId="0" applyNumberFormat="1" applyFont="1" applyFill="1"/>
    <xf numFmtId="171" fontId="182" fillId="8" borderId="10" xfId="22" applyNumberFormat="1" applyFont="1" applyFill="1" applyBorder="1" applyAlignment="1">
      <alignment horizontal="center"/>
    </xf>
    <xf numFmtId="0" fontId="183" fillId="0" borderId="139" xfId="0" applyFont="1" applyBorder="1"/>
    <xf numFmtId="1" fontId="183" fillId="8" borderId="139" xfId="0" applyNumberFormat="1" applyFont="1" applyFill="1" applyBorder="1" applyAlignment="1">
      <alignment horizontal="center"/>
    </xf>
    <xf numFmtId="1" fontId="183" fillId="7" borderId="139" xfId="0" applyNumberFormat="1" applyFont="1" applyFill="1" applyBorder="1" applyAlignment="1">
      <alignment horizontal="center"/>
    </xf>
    <xf numFmtId="1" fontId="183" fillId="5" borderId="139" xfId="0" applyNumberFormat="1" applyFont="1" applyFill="1" applyBorder="1" applyAlignment="1">
      <alignment horizontal="center"/>
    </xf>
    <xf numFmtId="0" fontId="12" fillId="0" borderId="158" xfId="0" applyFont="1" applyBorder="1" applyAlignment="1">
      <alignment horizontal="right" vertical="center"/>
    </xf>
    <xf numFmtId="0" fontId="12" fillId="0" borderId="158" xfId="0" applyFont="1" applyBorder="1" applyAlignment="1">
      <alignment horizontal="center" vertical="center"/>
    </xf>
    <xf numFmtId="1" fontId="20" fillId="0" borderId="158" xfId="0" applyNumberFormat="1" applyFont="1" applyBorder="1" applyAlignment="1">
      <alignment horizontal="center" vertical="center"/>
    </xf>
    <xf numFmtId="1" fontId="12" fillId="0" borderId="158" xfId="0" applyNumberFormat="1" applyFont="1" applyBorder="1" applyAlignment="1">
      <alignment horizontal="center" vertical="center"/>
    </xf>
    <xf numFmtId="1" fontId="12" fillId="7" borderId="158" xfId="0" applyNumberFormat="1" applyFont="1" applyFill="1" applyBorder="1" applyAlignment="1">
      <alignment horizontal="center" vertical="center"/>
    </xf>
    <xf numFmtId="1" fontId="12" fillId="5" borderId="158" xfId="0" applyNumberFormat="1" applyFont="1" applyFill="1" applyBorder="1" applyAlignment="1">
      <alignment horizontal="center" vertical="center"/>
    </xf>
    <xf numFmtId="1" fontId="12" fillId="6" borderId="158" xfId="0" applyNumberFormat="1" applyFont="1" applyFill="1" applyBorder="1" applyAlignment="1">
      <alignment horizontal="center" vertical="center"/>
    </xf>
    <xf numFmtId="0" fontId="12" fillId="8" borderId="138" xfId="0" applyFont="1" applyFill="1" applyBorder="1" applyAlignment="1">
      <alignment horizontal="right" vertical="center"/>
    </xf>
    <xf numFmtId="2" fontId="12" fillId="8" borderId="158" xfId="0" applyNumberFormat="1" applyFont="1" applyFill="1" applyBorder="1" applyAlignment="1">
      <alignment horizontal="center" vertical="center"/>
    </xf>
    <xf numFmtId="0" fontId="19" fillId="0" borderId="64" xfId="0" applyFont="1" applyBorder="1" applyAlignment="1">
      <alignment horizontal="center" vertical="center"/>
    </xf>
    <xf numFmtId="1" fontId="19" fillId="5" borderId="158" xfId="0" applyNumberFormat="1" applyFont="1" applyFill="1" applyBorder="1" applyAlignment="1">
      <alignment horizontal="center" vertical="center"/>
    </xf>
    <xf numFmtId="1" fontId="20" fillId="7" borderId="158" xfId="0" applyNumberFormat="1" applyFont="1" applyFill="1" applyBorder="1" applyAlignment="1">
      <alignment horizontal="center" vertical="center"/>
    </xf>
    <xf numFmtId="1" fontId="20" fillId="7" borderId="158" xfId="0" applyNumberFormat="1" applyFont="1" applyFill="1" applyBorder="1" applyAlignment="1">
      <alignment vertical="center"/>
    </xf>
    <xf numFmtId="1" fontId="19" fillId="6" borderId="158" xfId="0" applyNumberFormat="1" applyFont="1" applyFill="1" applyBorder="1" applyAlignment="1">
      <alignment horizontal="center" vertical="center"/>
    </xf>
    <xf numFmtId="1" fontId="78" fillId="7" borderId="158" xfId="186" applyNumberFormat="1" applyFont="1" applyFill="1" applyBorder="1" applyAlignment="1">
      <alignment horizontal="center" vertical="center"/>
    </xf>
    <xf numFmtId="0" fontId="7" fillId="0" borderId="143" xfId="0" applyFont="1" applyBorder="1" applyAlignment="1">
      <alignment horizontal="left" vertical="center"/>
    </xf>
    <xf numFmtId="0" fontId="7" fillId="0" borderId="158" xfId="0" applyFont="1" applyBorder="1" applyAlignment="1">
      <alignment horizontal="left" vertical="center"/>
    </xf>
    <xf numFmtId="0" fontId="7" fillId="0" borderId="158" xfId="0" applyFont="1" applyBorder="1" applyAlignment="1">
      <alignment horizontal="center" vertical="center"/>
    </xf>
    <xf numFmtId="0" fontId="7" fillId="7" borderId="158" xfId="0" applyFont="1" applyFill="1" applyBorder="1" applyAlignment="1">
      <alignment horizontal="center" vertical="center"/>
    </xf>
    <xf numFmtId="0" fontId="7" fillId="5" borderId="158" xfId="0" applyFont="1" applyFill="1" applyBorder="1" applyAlignment="1">
      <alignment horizontal="center" vertical="center"/>
    </xf>
    <xf numFmtId="0" fontId="0" fillId="0" borderId="158" xfId="0" applyBorder="1" applyAlignment="1">
      <alignment horizontal="center" vertical="center"/>
    </xf>
    <xf numFmtId="0" fontId="20" fillId="0" borderId="159" xfId="0" applyFont="1" applyBorder="1" applyAlignment="1">
      <alignment horizontal="center" vertical="center"/>
    </xf>
    <xf numFmtId="1" fontId="18" fillId="6" borderId="159" xfId="0" applyNumberFormat="1" applyFont="1" applyFill="1" applyBorder="1" applyAlignment="1">
      <alignment horizontal="center" vertical="center"/>
    </xf>
    <xf numFmtId="1" fontId="18" fillId="7" borderId="141" xfId="0" applyNumberFormat="1" applyFont="1" applyFill="1" applyBorder="1" applyAlignment="1">
      <alignment horizontal="center" vertical="center"/>
    </xf>
    <xf numFmtId="1" fontId="45" fillId="8" borderId="0" xfId="0" applyNumberFormat="1" applyFont="1" applyFill="1" applyAlignment="1">
      <alignment horizontal="center"/>
    </xf>
    <xf numFmtId="0" fontId="113" fillId="8" borderId="159" xfId="0" applyFont="1" applyFill="1" applyBorder="1" applyAlignment="1">
      <alignment horizontal="right" vertical="center"/>
    </xf>
    <xf numFmtId="0" fontId="18" fillId="8" borderId="159" xfId="0" applyFont="1" applyFill="1" applyBorder="1" applyAlignment="1">
      <alignment horizontal="center" vertical="center"/>
    </xf>
    <xf numFmtId="1" fontId="112" fillId="8" borderId="159" xfId="0" applyNumberFormat="1" applyFont="1" applyFill="1" applyBorder="1" applyAlignment="1">
      <alignment horizontal="center" vertical="center"/>
    </xf>
    <xf numFmtId="0" fontId="112" fillId="7" borderId="159" xfId="0" applyFont="1" applyFill="1" applyBorder="1" applyAlignment="1">
      <alignment horizontal="center" vertical="center"/>
    </xf>
    <xf numFmtId="0" fontId="112" fillId="5" borderId="159" xfId="0" applyFont="1" applyFill="1" applyBorder="1" applyAlignment="1">
      <alignment horizontal="right" vertical="center"/>
    </xf>
    <xf numFmtId="1" fontId="19" fillId="5" borderId="159" xfId="0" applyNumberFormat="1" applyFont="1" applyFill="1" applyBorder="1" applyAlignment="1">
      <alignment horizontal="center" vertical="center"/>
    </xf>
    <xf numFmtId="1" fontId="19" fillId="6" borderId="159" xfId="0" applyNumberFormat="1" applyFont="1" applyFill="1" applyBorder="1" applyAlignment="1">
      <alignment horizontal="center" vertical="center"/>
    </xf>
    <xf numFmtId="171" fontId="182" fillId="7" borderId="10" xfId="22" applyNumberFormat="1" applyFont="1" applyFill="1" applyBorder="1" applyAlignment="1">
      <alignment horizontal="center"/>
    </xf>
    <xf numFmtId="167" fontId="48" fillId="7" borderId="10" xfId="0" applyNumberFormat="1" applyFont="1" applyFill="1" applyBorder="1" applyAlignment="1">
      <alignment horizontal="center" vertical="center"/>
    </xf>
    <xf numFmtId="1" fontId="0" fillId="0" borderId="31" xfId="0" applyNumberFormat="1" applyBorder="1" applyAlignment="1">
      <alignment horizontal="center" vertical="center"/>
    </xf>
    <xf numFmtId="1" fontId="19" fillId="8" borderId="159" xfId="186" applyNumberFormat="1" applyFont="1" applyFill="1" applyBorder="1" applyAlignment="1">
      <alignment horizontal="center" vertical="top"/>
    </xf>
    <xf numFmtId="1" fontId="19" fillId="5" borderId="159" xfId="186" applyNumberFormat="1" applyFont="1" applyFill="1" applyBorder="1" applyAlignment="1">
      <alignment horizontal="center" vertical="top"/>
    </xf>
    <xf numFmtId="1" fontId="19" fillId="7" borderId="159" xfId="186" applyNumberFormat="1" applyFont="1" applyFill="1" applyBorder="1" applyAlignment="1">
      <alignment horizontal="center" vertical="top"/>
    </xf>
    <xf numFmtId="0" fontId="38" fillId="8" borderId="30" xfId="0" applyFont="1" applyFill="1" applyBorder="1" applyAlignment="1">
      <alignment horizontal="left" vertical="center"/>
    </xf>
    <xf numFmtId="2" fontId="12" fillId="7" borderId="158" xfId="0" applyNumberFormat="1" applyFont="1" applyFill="1" applyBorder="1" applyAlignment="1">
      <alignment horizontal="center" vertical="center"/>
    </xf>
    <xf numFmtId="164" fontId="20" fillId="8" borderId="74" xfId="0" quotePrefix="1" applyNumberFormat="1" applyFont="1" applyFill="1" applyBorder="1" applyAlignment="1">
      <alignment horizontal="left" vertical="center"/>
    </xf>
    <xf numFmtId="0" fontId="20" fillId="8" borderId="64" xfId="0" applyFont="1" applyFill="1" applyBorder="1" applyAlignment="1">
      <alignment horizontal="left" vertical="center"/>
    </xf>
    <xf numFmtId="1" fontId="20" fillId="0" borderId="38" xfId="0" applyNumberFormat="1" applyFont="1" applyBorder="1" applyAlignment="1">
      <alignment vertical="center"/>
    </xf>
    <xf numFmtId="1" fontId="20" fillId="5" borderId="159" xfId="0" applyNumberFormat="1" applyFont="1" applyFill="1" applyBorder="1" applyAlignment="1">
      <alignment vertical="center"/>
    </xf>
    <xf numFmtId="1" fontId="20" fillId="7" borderId="159" xfId="0" applyNumberFormat="1" applyFont="1" applyFill="1" applyBorder="1" applyAlignment="1">
      <alignment vertical="center"/>
    </xf>
    <xf numFmtId="1" fontId="20" fillId="7" borderId="159" xfId="0" applyNumberFormat="1" applyFont="1" applyFill="1" applyBorder="1" applyAlignment="1">
      <alignment horizontal="center" vertical="center"/>
    </xf>
    <xf numFmtId="0" fontId="19" fillId="0" borderId="0" xfId="0" applyFont="1" applyAlignment="1">
      <alignment horizontal="center" vertical="center"/>
    </xf>
    <xf numFmtId="164" fontId="132" fillId="0" borderId="138" xfId="0" quotePrefix="1" applyNumberFormat="1" applyFont="1" applyBorder="1" applyAlignment="1">
      <alignment horizontal="left" vertical="center"/>
    </xf>
    <xf numFmtId="164" fontId="132" fillId="0" borderId="149" xfId="0" quotePrefix="1" applyNumberFormat="1" applyFont="1" applyBorder="1" applyAlignment="1">
      <alignment horizontal="left" vertical="center"/>
    </xf>
    <xf numFmtId="1" fontId="18" fillId="0" borderId="159" xfId="0" applyNumberFormat="1" applyFont="1" applyBorder="1" applyAlignment="1">
      <alignment horizontal="center" vertical="center"/>
    </xf>
    <xf numFmtId="1" fontId="20" fillId="8" borderId="159" xfId="0" applyNumberFormat="1" applyFont="1" applyFill="1" applyBorder="1" applyAlignment="1">
      <alignment horizontal="center" vertical="center"/>
    </xf>
    <xf numFmtId="1" fontId="20" fillId="5" borderId="159" xfId="0" applyNumberFormat="1" applyFont="1" applyFill="1" applyBorder="1" applyAlignment="1">
      <alignment horizontal="center" vertical="center"/>
    </xf>
    <xf numFmtId="1" fontId="18" fillId="5" borderId="159" xfId="0" applyNumberFormat="1" applyFont="1" applyFill="1" applyBorder="1" applyAlignment="1">
      <alignment horizontal="center" vertical="center"/>
    </xf>
    <xf numFmtId="1" fontId="20" fillId="5" borderId="138" xfId="0" applyNumberFormat="1" applyFont="1" applyFill="1" applyBorder="1" applyAlignment="1">
      <alignment vertical="center"/>
    </xf>
    <xf numFmtId="1" fontId="20" fillId="7" borderId="138" xfId="0" applyNumberFormat="1" applyFont="1" applyFill="1" applyBorder="1" applyAlignment="1">
      <alignment vertical="center"/>
    </xf>
    <xf numFmtId="1" fontId="20" fillId="6" borderId="159" xfId="0" applyNumberFormat="1" applyFont="1" applyFill="1" applyBorder="1" applyAlignment="1">
      <alignment vertical="center"/>
    </xf>
    <xf numFmtId="1" fontId="20" fillId="6" borderId="159" xfId="0" applyNumberFormat="1" applyFont="1" applyFill="1" applyBorder="1" applyAlignment="1">
      <alignment horizontal="center" vertical="center"/>
    </xf>
    <xf numFmtId="1" fontId="20" fillId="44" borderId="159" xfId="0" applyNumberFormat="1" applyFont="1" applyFill="1" applyBorder="1" applyAlignment="1">
      <alignment vertical="center"/>
    </xf>
    <xf numFmtId="0" fontId="183" fillId="0" borderId="159" xfId="0" applyFont="1" applyBorder="1"/>
    <xf numFmtId="0" fontId="36" fillId="0" borderId="159" xfId="0" applyFont="1" applyBorder="1"/>
    <xf numFmtId="164" fontId="20" fillId="0" borderId="148" xfId="0" quotePrefix="1" applyNumberFormat="1" applyFont="1" applyBorder="1" applyAlignment="1">
      <alignment horizontal="left" vertical="center"/>
    </xf>
    <xf numFmtId="164" fontId="20" fillId="0" borderId="151" xfId="0" quotePrefix="1" applyNumberFormat="1" applyFont="1" applyBorder="1" applyAlignment="1">
      <alignment horizontal="left" vertical="center"/>
    </xf>
    <xf numFmtId="172" fontId="20" fillId="0" borderId="156" xfId="0" quotePrefix="1" applyNumberFormat="1" applyFont="1" applyBorder="1" applyAlignment="1">
      <alignment horizontal="center" vertical="center"/>
    </xf>
    <xf numFmtId="0" fontId="20" fillId="0" borderId="148" xfId="0" applyFont="1" applyBorder="1" applyAlignment="1">
      <alignment horizontal="center" vertical="center"/>
    </xf>
    <xf numFmtId="1" fontId="20" fillId="0" borderId="138" xfId="0" applyNumberFormat="1" applyFont="1" applyBorder="1" applyAlignment="1">
      <alignment vertical="center"/>
    </xf>
    <xf numFmtId="1" fontId="20" fillId="0" borderId="141" xfId="0" applyNumberFormat="1" applyFont="1" applyBorder="1" applyAlignment="1">
      <alignment horizontal="center" vertical="center"/>
    </xf>
    <xf numFmtId="1" fontId="20" fillId="7" borderId="145" xfId="0" applyNumberFormat="1" applyFont="1" applyFill="1" applyBorder="1" applyAlignment="1">
      <alignment vertical="center"/>
    </xf>
    <xf numFmtId="1" fontId="20" fillId="5" borderId="141" xfId="0" applyNumberFormat="1" applyFont="1" applyFill="1" applyBorder="1" applyAlignment="1">
      <alignment horizontal="center" vertical="center"/>
    </xf>
    <xf numFmtId="164" fontId="20" fillId="0" borderId="16" xfId="0" quotePrefix="1" applyNumberFormat="1" applyFont="1" applyBorder="1" applyAlignment="1">
      <alignment horizontal="left" vertical="center"/>
    </xf>
    <xf numFmtId="164" fontId="20" fillId="0" borderId="69" xfId="0" quotePrefix="1" applyNumberFormat="1" applyFont="1" applyBorder="1" applyAlignment="1">
      <alignment horizontal="left" vertical="center"/>
    </xf>
    <xf numFmtId="172" fontId="20" fillId="0" borderId="15" xfId="0" quotePrefix="1" applyNumberFormat="1" applyFont="1" applyBorder="1" applyAlignment="1">
      <alignment horizontal="center" vertical="center"/>
    </xf>
    <xf numFmtId="0" fontId="20" fillId="0" borderId="16" xfId="0" applyFont="1" applyBorder="1" applyAlignment="1">
      <alignment horizontal="center" vertical="center"/>
    </xf>
    <xf numFmtId="1" fontId="20" fillId="0" borderId="9" xfId="0" applyNumberFormat="1" applyFont="1" applyBorder="1" applyAlignment="1">
      <alignment vertical="center"/>
    </xf>
    <xf numFmtId="1" fontId="20" fillId="0" borderId="73" xfId="0" applyNumberFormat="1" applyFont="1" applyBorder="1" applyAlignment="1">
      <alignment horizontal="center" vertical="center"/>
    </xf>
    <xf numFmtId="1" fontId="20" fillId="7" borderId="69" xfId="0" applyNumberFormat="1" applyFont="1" applyFill="1" applyBorder="1" applyAlignment="1">
      <alignment vertical="center"/>
    </xf>
    <xf numFmtId="164" fontId="37" fillId="0" borderId="150" xfId="0" quotePrefix="1" applyNumberFormat="1" applyFont="1" applyBorder="1" applyAlignment="1">
      <alignment horizontal="left" vertical="center"/>
    </xf>
    <xf numFmtId="164" fontId="37" fillId="0" borderId="151" xfId="0" quotePrefix="1" applyNumberFormat="1" applyFont="1" applyBorder="1" applyAlignment="1">
      <alignment horizontal="left" vertical="center"/>
    </xf>
    <xf numFmtId="172" fontId="37" fillId="0" borderId="156" xfId="0" quotePrefix="1" applyNumberFormat="1" applyFont="1" applyBorder="1" applyAlignment="1">
      <alignment horizontal="center" vertical="center"/>
    </xf>
    <xf numFmtId="0" fontId="37" fillId="0" borderId="150" xfId="0" applyFont="1" applyBorder="1" applyAlignment="1">
      <alignment horizontal="center" vertical="center"/>
    </xf>
    <xf numFmtId="1" fontId="21" fillId="0" borderId="155" xfId="0" applyNumberFormat="1" applyFont="1" applyBorder="1" applyAlignment="1">
      <alignment vertical="center"/>
    </xf>
    <xf numFmtId="1" fontId="20" fillId="0" borderId="152" xfId="0" applyNumberFormat="1" applyFont="1" applyBorder="1" applyAlignment="1">
      <alignment horizontal="center" vertical="center"/>
    </xf>
    <xf numFmtId="1" fontId="21" fillId="7" borderId="151" xfId="0" applyNumberFormat="1" applyFont="1" applyFill="1" applyBorder="1" applyAlignment="1">
      <alignment vertical="center"/>
    </xf>
    <xf numFmtId="1" fontId="21" fillId="5" borderId="138" xfId="0" applyNumberFormat="1" applyFont="1" applyFill="1" applyBorder="1" applyAlignment="1">
      <alignment vertical="center"/>
    </xf>
    <xf numFmtId="1" fontId="21" fillId="7" borderId="138" xfId="0" applyNumberFormat="1" applyFont="1" applyFill="1" applyBorder="1" applyAlignment="1">
      <alignment vertical="center"/>
    </xf>
    <xf numFmtId="1" fontId="21" fillId="5" borderId="159" xfId="0" applyNumberFormat="1" applyFont="1" applyFill="1" applyBorder="1" applyAlignment="1">
      <alignment vertical="center"/>
    </xf>
    <xf numFmtId="0" fontId="25" fillId="0" borderId="148" xfId="0" applyFont="1" applyBorder="1" applyAlignment="1">
      <alignment horizontal="left" vertical="center" indent="2"/>
    </xf>
    <xf numFmtId="1" fontId="21" fillId="8" borderId="148" xfId="0" applyNumberFormat="1" applyFont="1" applyFill="1" applyBorder="1" applyAlignment="1">
      <alignment horizontal="center" vertical="center"/>
    </xf>
    <xf numFmtId="1" fontId="20" fillId="8" borderId="138" xfId="0" applyNumberFormat="1" applyFont="1" applyFill="1" applyBorder="1" applyAlignment="1">
      <alignment horizontal="center" vertical="center"/>
    </xf>
    <xf numFmtId="1" fontId="20" fillId="7" borderId="138" xfId="0" applyNumberFormat="1" applyFont="1" applyFill="1" applyBorder="1" applyAlignment="1">
      <alignment horizontal="center" vertical="center"/>
    </xf>
    <xf numFmtId="1" fontId="20" fillId="5" borderId="138" xfId="0" applyNumberFormat="1" applyFont="1" applyFill="1" applyBorder="1" applyAlignment="1">
      <alignment horizontal="center" vertical="center"/>
    </xf>
    <xf numFmtId="1" fontId="20" fillId="45" borderId="159" xfId="0" applyNumberFormat="1" applyFont="1" applyFill="1" applyBorder="1" applyAlignment="1">
      <alignment horizontal="center" vertical="center"/>
    </xf>
    <xf numFmtId="164" fontId="20" fillId="8" borderId="74" xfId="0" quotePrefix="1" applyNumberFormat="1" applyFont="1" applyFill="1" applyBorder="1" applyAlignment="1">
      <alignment horizontal="left" vertical="center" wrapText="1"/>
    </xf>
    <xf numFmtId="164" fontId="20" fillId="8" borderId="159" xfId="0" quotePrefix="1" applyNumberFormat="1" applyFont="1" applyFill="1" applyBorder="1" applyAlignment="1">
      <alignment horizontal="left" vertical="center"/>
    </xf>
    <xf numFmtId="0" fontId="20" fillId="8" borderId="159" xfId="0" applyFont="1" applyFill="1" applyBorder="1" applyAlignment="1">
      <alignment horizontal="left" vertical="center"/>
    </xf>
    <xf numFmtId="0" fontId="20" fillId="0" borderId="159" xfId="0" applyFont="1" applyBorder="1" applyAlignment="1">
      <alignment horizontal="left" vertical="center"/>
    </xf>
    <xf numFmtId="1" fontId="20" fillId="0" borderId="159" xfId="0" applyNumberFormat="1" applyFont="1" applyBorder="1" applyAlignment="1">
      <alignment horizontal="center" vertical="center"/>
    </xf>
    <xf numFmtId="164" fontId="20" fillId="8" borderId="38" xfId="0" quotePrefix="1" applyNumberFormat="1" applyFont="1" applyFill="1" applyBorder="1" applyAlignment="1">
      <alignment horizontal="left" vertical="center"/>
    </xf>
    <xf numFmtId="167" fontId="21" fillId="8" borderId="106" xfId="0" applyNumberFormat="1" applyFont="1" applyFill="1" applyBorder="1" applyAlignment="1">
      <alignment horizontal="center" vertical="center"/>
    </xf>
    <xf numFmtId="1" fontId="79" fillId="0" borderId="160" xfId="186" applyNumberFormat="1" applyFont="1" applyBorder="1" applyAlignment="1">
      <alignment horizontal="center" vertical="center"/>
    </xf>
    <xf numFmtId="1" fontId="79" fillId="7" borderId="160" xfId="186" applyNumberFormat="1" applyFont="1" applyFill="1" applyBorder="1" applyAlignment="1">
      <alignment horizontal="center" vertical="center"/>
    </xf>
    <xf numFmtId="1" fontId="79" fillId="8" borderId="160" xfId="186" applyNumberFormat="1" applyFont="1" applyFill="1" applyBorder="1" applyAlignment="1">
      <alignment horizontal="center" vertical="center"/>
    </xf>
    <xf numFmtId="1" fontId="79" fillId="5" borderId="161" xfId="186" applyNumberFormat="1" applyFont="1" applyFill="1" applyBorder="1" applyAlignment="1">
      <alignment horizontal="center" vertical="center"/>
    </xf>
    <xf numFmtId="1" fontId="79" fillId="0" borderId="161" xfId="186" applyNumberFormat="1" applyFont="1" applyBorder="1" applyAlignment="1">
      <alignment horizontal="center" vertical="center"/>
    </xf>
    <xf numFmtId="1" fontId="78" fillId="7" borderId="159" xfId="186" applyNumberFormat="1" applyFont="1" applyFill="1" applyBorder="1" applyAlignment="1">
      <alignment horizontal="center" vertical="center"/>
    </xf>
    <xf numFmtId="1" fontId="78" fillId="7" borderId="160" xfId="186" applyNumberFormat="1" applyFont="1" applyFill="1" applyBorder="1" applyAlignment="1">
      <alignment horizontal="center" vertical="center"/>
    </xf>
    <xf numFmtId="0" fontId="21" fillId="8" borderId="138" xfId="0" applyFont="1" applyFill="1" applyBorder="1" applyAlignment="1">
      <alignment horizontal="left" vertical="center"/>
    </xf>
    <xf numFmtId="0" fontId="12" fillId="0" borderId="162" xfId="0" applyFont="1" applyBorder="1" applyAlignment="1">
      <alignment horizontal="left" indent="1"/>
    </xf>
    <xf numFmtId="0" fontId="12" fillId="0" borderId="162" xfId="0" applyFont="1" applyBorder="1" applyAlignment="1">
      <alignment horizontal="center"/>
    </xf>
    <xf numFmtId="1" fontId="12" fillId="0" borderId="150" xfId="0" applyNumberFormat="1" applyFont="1" applyBorder="1" applyAlignment="1">
      <alignment horizontal="center"/>
    </xf>
    <xf numFmtId="1" fontId="12" fillId="0" borderId="162" xfId="0" applyNumberFormat="1" applyFont="1" applyBorder="1" applyAlignment="1">
      <alignment horizontal="center"/>
    </xf>
    <xf numFmtId="168" fontId="20" fillId="0" borderId="159" xfId="1" applyFont="1" applyBorder="1" applyAlignment="1">
      <alignment vertical="center"/>
    </xf>
    <xf numFmtId="169" fontId="20" fillId="8" borderId="159" xfId="0" applyNumberFormat="1" applyFont="1" applyFill="1" applyBorder="1" applyAlignment="1">
      <alignment horizontal="center" vertical="center"/>
    </xf>
    <xf numFmtId="167" fontId="48" fillId="8" borderId="10" xfId="0" applyNumberFormat="1" applyFont="1" applyFill="1" applyBorder="1" applyAlignment="1">
      <alignment horizontal="center" vertical="center"/>
    </xf>
    <xf numFmtId="1" fontId="19" fillId="8" borderId="141" xfId="186" applyNumberFormat="1" applyFont="1" applyFill="1" applyBorder="1" applyAlignment="1">
      <alignment horizontal="center" vertical="top"/>
    </xf>
    <xf numFmtId="171" fontId="182" fillId="5" borderId="10" xfId="22" applyNumberFormat="1" applyFont="1" applyFill="1" applyBorder="1" applyAlignment="1">
      <alignment horizontal="center"/>
    </xf>
    <xf numFmtId="0" fontId="27" fillId="0" borderId="22" xfId="0" applyFont="1" applyBorder="1" applyAlignment="1">
      <alignment horizontal="left" vertical="center"/>
    </xf>
    <xf numFmtId="167" fontId="27" fillId="6" borderId="159" xfId="0" applyNumberFormat="1" applyFont="1" applyFill="1" applyBorder="1" applyAlignment="1">
      <alignment horizontal="center" vertical="center"/>
    </xf>
    <xf numFmtId="167" fontId="7" fillId="0" borderId="10" xfId="0" applyNumberFormat="1" applyFont="1" applyBorder="1" applyAlignment="1">
      <alignment horizontal="left" vertical="center"/>
    </xf>
    <xf numFmtId="167" fontId="12" fillId="0" borderId="0" xfId="0" applyNumberFormat="1" applyFont="1"/>
    <xf numFmtId="0" fontId="20" fillId="7" borderId="28" xfId="0" applyFont="1" applyFill="1" applyBorder="1" applyAlignment="1">
      <alignment horizontal="center" vertical="center"/>
    </xf>
    <xf numFmtId="1" fontId="7" fillId="50" borderId="139" xfId="0" applyNumberFormat="1" applyFont="1" applyFill="1" applyBorder="1" applyAlignment="1">
      <alignment horizontal="center" vertical="center"/>
    </xf>
    <xf numFmtId="1" fontId="7" fillId="8" borderId="139" xfId="0" applyNumberFormat="1" applyFont="1" applyFill="1" applyBorder="1" applyAlignment="1">
      <alignment horizontal="center" vertical="center"/>
    </xf>
    <xf numFmtId="164" fontId="20" fillId="0" borderId="162" xfId="0" quotePrefix="1" applyNumberFormat="1" applyFont="1" applyBorder="1" applyAlignment="1">
      <alignment horizontal="left" vertical="center"/>
    </xf>
    <xf numFmtId="164" fontId="20" fillId="0" borderId="163" xfId="0" quotePrefix="1" applyNumberFormat="1" applyFont="1" applyBorder="1" applyAlignment="1">
      <alignment horizontal="left" vertical="center"/>
    </xf>
    <xf numFmtId="0" fontId="20" fillId="0" borderId="164" xfId="0" applyFont="1" applyBorder="1" applyAlignment="1">
      <alignment horizontal="center" vertical="center"/>
    </xf>
    <xf numFmtId="1" fontId="20" fillId="0" borderId="163" xfId="0" applyNumberFormat="1" applyFont="1" applyBorder="1" applyAlignment="1">
      <alignment horizontal="center" vertical="center"/>
    </xf>
    <xf numFmtId="1" fontId="20" fillId="8" borderId="163" xfId="0" applyNumberFormat="1" applyFont="1" applyFill="1" applyBorder="1" applyAlignment="1">
      <alignment horizontal="center" vertical="center"/>
    </xf>
    <xf numFmtId="1" fontId="20" fillId="7" borderId="163" xfId="0" applyNumberFormat="1" applyFont="1" applyFill="1" applyBorder="1" applyAlignment="1">
      <alignment horizontal="center" vertical="center"/>
    </xf>
    <xf numFmtId="164" fontId="20" fillId="0" borderId="74" xfId="0" quotePrefix="1" applyNumberFormat="1" applyFont="1" applyBorder="1" applyAlignment="1">
      <alignment horizontal="left" vertical="center"/>
    </xf>
    <xf numFmtId="172" fontId="20" fillId="0" borderId="46" xfId="0" quotePrefix="1" applyNumberFormat="1" applyFont="1" applyBorder="1" applyAlignment="1">
      <alignment horizontal="center" vertical="center"/>
    </xf>
    <xf numFmtId="1" fontId="20" fillId="0" borderId="166" xfId="0" applyNumberFormat="1" applyFont="1" applyBorder="1" applyAlignment="1">
      <alignment horizontal="center" vertical="center"/>
    </xf>
    <xf numFmtId="1" fontId="20" fillId="7" borderId="166" xfId="0" applyNumberFormat="1" applyFont="1" applyFill="1" applyBorder="1" applyAlignment="1">
      <alignment horizontal="center" vertical="center"/>
    </xf>
    <xf numFmtId="1" fontId="20" fillId="5" borderId="166" xfId="0" applyNumberFormat="1" applyFont="1" applyFill="1" applyBorder="1" applyAlignment="1">
      <alignment horizontal="center" vertical="center"/>
    </xf>
    <xf numFmtId="0" fontId="20" fillId="7" borderId="167" xfId="0" applyFont="1" applyFill="1" applyBorder="1" applyAlignment="1">
      <alignment horizontal="center" vertical="center"/>
    </xf>
    <xf numFmtId="0" fontId="20" fillId="5" borderId="167" xfId="0" applyFont="1" applyFill="1" applyBorder="1" applyAlignment="1">
      <alignment horizontal="center" vertical="center"/>
    </xf>
    <xf numFmtId="1" fontId="20" fillId="6" borderId="167" xfId="0" applyNumberFormat="1" applyFont="1" applyFill="1" applyBorder="1" applyAlignment="1">
      <alignment horizontal="center" vertical="center"/>
    </xf>
    <xf numFmtId="1" fontId="20" fillId="7" borderId="167" xfId="0" applyNumberFormat="1" applyFont="1" applyFill="1" applyBorder="1" applyAlignment="1">
      <alignment horizontal="center" vertical="center"/>
    </xf>
    <xf numFmtId="1" fontId="14" fillId="0" borderId="166" xfId="0" applyNumberFormat="1" applyFont="1" applyBorder="1" applyAlignment="1">
      <alignment horizontal="center" vertical="center"/>
    </xf>
    <xf numFmtId="1" fontId="14" fillId="5" borderId="166" xfId="0" applyNumberFormat="1" applyFont="1" applyFill="1" applyBorder="1" applyAlignment="1">
      <alignment horizontal="center" vertical="center"/>
    </xf>
    <xf numFmtId="167" fontId="27" fillId="6" borderId="166" xfId="0" applyNumberFormat="1" applyFont="1" applyFill="1" applyBorder="1" applyAlignment="1">
      <alignment horizontal="center" vertical="center"/>
    </xf>
    <xf numFmtId="1" fontId="27" fillId="6" borderId="166" xfId="0" applyNumberFormat="1" applyFont="1" applyFill="1" applyBorder="1" applyAlignment="1">
      <alignment horizontal="center" vertical="center"/>
    </xf>
    <xf numFmtId="1" fontId="14" fillId="8" borderId="166" xfId="0" applyNumberFormat="1" applyFont="1" applyFill="1" applyBorder="1" applyAlignment="1">
      <alignment horizontal="center" vertical="center"/>
    </xf>
    <xf numFmtId="1" fontId="27" fillId="5" borderId="165" xfId="0" applyNumberFormat="1" applyFont="1" applyFill="1" applyBorder="1" applyAlignment="1">
      <alignment horizontal="center" vertical="center"/>
    </xf>
    <xf numFmtId="1" fontId="27" fillId="7" borderId="166" xfId="0" applyNumberFormat="1" applyFont="1" applyFill="1" applyBorder="1" applyAlignment="1">
      <alignment horizontal="center" vertical="center"/>
    </xf>
    <xf numFmtId="1" fontId="27" fillId="5" borderId="166" xfId="0" applyNumberFormat="1" applyFont="1" applyFill="1" applyBorder="1" applyAlignment="1">
      <alignment horizontal="center" vertical="center"/>
    </xf>
    <xf numFmtId="0" fontId="14" fillId="0" borderId="35" xfId="0" applyFont="1" applyBorder="1" applyAlignment="1">
      <alignment vertical="center"/>
    </xf>
    <xf numFmtId="0" fontId="27" fillId="0" borderId="165" xfId="0" applyFont="1" applyBorder="1" applyAlignment="1">
      <alignment horizontal="right" vertical="center"/>
    </xf>
    <xf numFmtId="0" fontId="183" fillId="0" borderId="166" xfId="0" applyFont="1" applyBorder="1"/>
    <xf numFmtId="0" fontId="183" fillId="8" borderId="166" xfId="0" applyFont="1" applyFill="1" applyBorder="1"/>
    <xf numFmtId="1" fontId="18" fillId="5" borderId="166" xfId="0" applyNumberFormat="1" applyFont="1" applyFill="1" applyBorder="1" applyAlignment="1">
      <alignment horizontal="center" vertical="center"/>
    </xf>
    <xf numFmtId="1" fontId="18" fillId="6" borderId="166" xfId="0" applyNumberFormat="1" applyFont="1" applyFill="1" applyBorder="1" applyAlignment="1">
      <alignment horizontal="center" vertical="center"/>
    </xf>
    <xf numFmtId="1" fontId="19" fillId="6" borderId="166" xfId="0" applyNumberFormat="1" applyFont="1" applyFill="1" applyBorder="1" applyAlignment="1">
      <alignment horizontal="center" vertical="center"/>
    </xf>
    <xf numFmtId="1" fontId="20" fillId="5" borderId="166" xfId="0" applyNumberFormat="1" applyFont="1" applyFill="1" applyBorder="1" applyAlignment="1">
      <alignment vertical="center"/>
    </xf>
    <xf numFmtId="1" fontId="20" fillId="44" borderId="166" xfId="0" applyNumberFormat="1" applyFont="1" applyFill="1" applyBorder="1" applyAlignment="1">
      <alignment vertical="center"/>
    </xf>
    <xf numFmtId="0" fontId="78" fillId="0" borderId="22" xfId="186" applyFont="1" applyBorder="1" applyAlignment="1">
      <alignment horizontal="left" vertical="center"/>
    </xf>
    <xf numFmtId="0" fontId="78" fillId="0" borderId="7" xfId="186" applyFont="1" applyBorder="1" applyAlignment="1">
      <alignment horizontal="left" vertical="center"/>
    </xf>
    <xf numFmtId="1" fontId="79" fillId="0" borderId="165" xfId="186" applyNumberFormat="1" applyFont="1" applyBorder="1" applyAlignment="1">
      <alignment horizontal="center" vertical="center"/>
    </xf>
    <xf numFmtId="1" fontId="79" fillId="0" borderId="166" xfId="186" applyNumberFormat="1" applyFont="1" applyBorder="1" applyAlignment="1">
      <alignment horizontal="center" vertical="center"/>
    </xf>
    <xf numFmtId="1" fontId="78" fillId="7" borderId="166" xfId="186" applyNumberFormat="1" applyFont="1" applyFill="1" applyBorder="1" applyAlignment="1">
      <alignment horizontal="center" vertical="center"/>
    </xf>
    <xf numFmtId="1" fontId="78" fillId="7" borderId="165" xfId="186" applyNumberFormat="1" applyFont="1" applyFill="1" applyBorder="1" applyAlignment="1">
      <alignment horizontal="center" vertical="center"/>
    </xf>
    <xf numFmtId="0" fontId="0" fillId="0" borderId="138" xfId="0" applyBorder="1"/>
    <xf numFmtId="0" fontId="0" fillId="0" borderId="165" xfId="0" applyBorder="1"/>
    <xf numFmtId="1" fontId="0" fillId="0" borderId="138" xfId="0" applyNumberFormat="1" applyBorder="1" applyAlignment="1">
      <alignment horizontal="center" vertical="center"/>
    </xf>
    <xf numFmtId="1" fontId="0" fillId="0" borderId="166" xfId="0" applyNumberFormat="1" applyBorder="1" applyAlignment="1">
      <alignment horizontal="center" vertical="center"/>
    </xf>
    <xf numFmtId="179" fontId="0" fillId="0" borderId="0" xfId="0" applyNumberFormat="1"/>
    <xf numFmtId="0" fontId="21" fillId="7" borderId="0" xfId="0" applyFont="1" applyFill="1" applyAlignment="1">
      <alignment horizontal="center" vertical="center"/>
    </xf>
    <xf numFmtId="0" fontId="21" fillId="5" borderId="54" xfId="0" applyFont="1" applyFill="1" applyBorder="1" applyAlignment="1">
      <alignment horizontal="center" vertical="center"/>
    </xf>
    <xf numFmtId="0" fontId="21" fillId="8" borderId="54" xfId="0" applyFont="1" applyFill="1" applyBorder="1" applyAlignment="1">
      <alignment horizontal="center" vertical="center"/>
    </xf>
    <xf numFmtId="0" fontId="21" fillId="6" borderId="54" xfId="0" applyFont="1" applyFill="1" applyBorder="1" applyAlignment="1">
      <alignment horizontal="center" vertical="center"/>
    </xf>
    <xf numFmtId="0" fontId="21" fillId="7" borderId="84" xfId="0" applyFont="1" applyFill="1" applyBorder="1" applyAlignment="1">
      <alignment horizontal="center" vertical="center"/>
    </xf>
    <xf numFmtId="0" fontId="21" fillId="5" borderId="76" xfId="0" applyFont="1" applyFill="1" applyBorder="1" applyAlignment="1">
      <alignment horizontal="center" vertical="center"/>
    </xf>
    <xf numFmtId="0" fontId="21" fillId="8" borderId="76" xfId="0" applyFont="1" applyFill="1" applyBorder="1" applyAlignment="1">
      <alignment horizontal="center" vertical="center"/>
    </xf>
    <xf numFmtId="0" fontId="21" fillId="8" borderId="84" xfId="0" applyFont="1" applyFill="1" applyBorder="1" applyAlignment="1">
      <alignment horizontal="center" vertical="center"/>
    </xf>
    <xf numFmtId="0" fontId="21" fillId="6" borderId="84" xfId="0" applyFont="1" applyFill="1" applyBorder="1" applyAlignment="1">
      <alignment horizontal="center" vertical="center"/>
    </xf>
    <xf numFmtId="0" fontId="21" fillId="44" borderId="84" xfId="0" applyFont="1" applyFill="1" applyBorder="1" applyAlignment="1">
      <alignment horizontal="center" vertical="center"/>
    </xf>
    <xf numFmtId="0" fontId="21" fillId="44" borderId="54" xfId="0" applyFont="1" applyFill="1" applyBorder="1" applyAlignment="1">
      <alignment horizontal="center" vertical="center"/>
    </xf>
    <xf numFmtId="0" fontId="18" fillId="0" borderId="40" xfId="0" applyFont="1" applyBorder="1" applyAlignment="1">
      <alignment vertical="center"/>
    </xf>
    <xf numFmtId="0" fontId="21" fillId="0" borderId="166" xfId="0" applyFont="1" applyBorder="1" applyAlignment="1">
      <alignment horizontal="left" vertical="center"/>
    </xf>
    <xf numFmtId="0" fontId="21" fillId="0" borderId="166" xfId="0" applyFont="1" applyBorder="1" applyAlignment="1">
      <alignment horizontal="center" vertical="center"/>
    </xf>
    <xf numFmtId="0" fontId="21" fillId="0" borderId="166" xfId="0" applyFont="1" applyBorder="1" applyAlignment="1">
      <alignment horizontal="center" vertical="center" wrapText="1"/>
    </xf>
    <xf numFmtId="1" fontId="21" fillId="0" borderId="166" xfId="0" applyNumberFormat="1" applyFont="1" applyBorder="1" applyAlignment="1">
      <alignment horizontal="center" vertical="center"/>
    </xf>
    <xf numFmtId="0" fontId="21" fillId="7" borderId="166" xfId="0" applyFont="1" applyFill="1" applyBorder="1" applyAlignment="1">
      <alignment horizontal="center" vertical="center"/>
    </xf>
    <xf numFmtId="0" fontId="21" fillId="5" borderId="166" xfId="0" applyFont="1" applyFill="1" applyBorder="1" applyAlignment="1">
      <alignment horizontal="center" vertical="center"/>
    </xf>
    <xf numFmtId="1" fontId="21" fillId="5" borderId="166" xfId="0" applyNumberFormat="1" applyFont="1" applyFill="1" applyBorder="1" applyAlignment="1">
      <alignment horizontal="center" vertical="center"/>
    </xf>
    <xf numFmtId="0" fontId="21" fillId="8" borderId="166" xfId="0" applyFont="1" applyFill="1" applyBorder="1" applyAlignment="1">
      <alignment horizontal="center" vertical="center"/>
    </xf>
    <xf numFmtId="1" fontId="21" fillId="7" borderId="166" xfId="0" applyNumberFormat="1" applyFont="1" applyFill="1" applyBorder="1" applyAlignment="1">
      <alignment horizontal="center" vertical="center"/>
    </xf>
    <xf numFmtId="0" fontId="21" fillId="6" borderId="166" xfId="0" applyFont="1" applyFill="1" applyBorder="1" applyAlignment="1">
      <alignment horizontal="center" vertical="center"/>
    </xf>
    <xf numFmtId="0" fontId="21" fillId="44" borderId="166" xfId="0" applyFont="1" applyFill="1" applyBorder="1" applyAlignment="1">
      <alignment horizontal="center" vertical="center"/>
    </xf>
    <xf numFmtId="0" fontId="0" fillId="0" borderId="166" xfId="0" applyBorder="1"/>
    <xf numFmtId="1" fontId="21" fillId="6" borderId="166" xfId="0" applyNumberFormat="1" applyFont="1" applyFill="1" applyBorder="1" applyAlignment="1">
      <alignment horizontal="center" vertical="center"/>
    </xf>
    <xf numFmtId="164" fontId="20" fillId="8" borderId="155" xfId="0" quotePrefix="1" applyNumberFormat="1" applyFont="1" applyFill="1" applyBorder="1" applyAlignment="1">
      <alignment horizontal="left" vertical="center"/>
    </xf>
    <xf numFmtId="0" fontId="20" fillId="0" borderId="163" xfId="0" applyFont="1" applyBorder="1" applyAlignment="1">
      <alignment horizontal="left" vertical="center"/>
    </xf>
    <xf numFmtId="0" fontId="20" fillId="0" borderId="152" xfId="0" applyFont="1" applyBorder="1" applyAlignment="1">
      <alignment horizontal="left" vertical="center"/>
    </xf>
    <xf numFmtId="164" fontId="20" fillId="8" borderId="166" xfId="0" quotePrefix="1" applyNumberFormat="1" applyFont="1" applyFill="1" applyBorder="1" applyAlignment="1">
      <alignment horizontal="left" vertical="center"/>
    </xf>
    <xf numFmtId="0" fontId="20" fillId="0" borderId="166" xfId="0" applyFont="1" applyBorder="1" applyAlignment="1">
      <alignment horizontal="left" vertical="center"/>
    </xf>
    <xf numFmtId="0" fontId="36" fillId="0" borderId="166" xfId="0" applyFont="1" applyBorder="1"/>
    <xf numFmtId="0" fontId="36" fillId="8" borderId="166" xfId="0" applyFont="1" applyFill="1" applyBorder="1"/>
    <xf numFmtId="167" fontId="27" fillId="0" borderId="166" xfId="0" applyNumberFormat="1" applyFont="1" applyBorder="1" applyAlignment="1">
      <alignment horizontal="center" vertical="center"/>
    </xf>
    <xf numFmtId="1" fontId="27" fillId="8" borderId="166" xfId="0" applyNumberFormat="1" applyFont="1" applyFill="1" applyBorder="1" applyAlignment="1">
      <alignment horizontal="center" vertical="center"/>
    </xf>
    <xf numFmtId="1" fontId="27" fillId="0" borderId="166" xfId="0" applyNumberFormat="1" applyFont="1" applyBorder="1" applyAlignment="1">
      <alignment horizontal="center" vertical="center"/>
    </xf>
    <xf numFmtId="172" fontId="20" fillId="0" borderId="143" xfId="0" quotePrefix="1" applyNumberFormat="1" applyFont="1" applyBorder="1" applyAlignment="1">
      <alignment horizontal="center" vertical="center"/>
    </xf>
    <xf numFmtId="1" fontId="20" fillId="7" borderId="165" xfId="0" applyNumberFormat="1" applyFont="1" applyFill="1" applyBorder="1" applyAlignment="1">
      <alignment vertical="center"/>
    </xf>
    <xf numFmtId="1" fontId="20" fillId="6" borderId="166" xfId="0" applyNumberFormat="1" applyFont="1" applyFill="1" applyBorder="1" applyAlignment="1">
      <alignment vertical="center"/>
    </xf>
    <xf numFmtId="164" fontId="37" fillId="0" borderId="109" xfId="0" quotePrefix="1" applyNumberFormat="1" applyFont="1" applyBorder="1" applyAlignment="1">
      <alignment horizontal="left" vertical="center"/>
    </xf>
    <xf numFmtId="172" fontId="37" fillId="0" borderId="111" xfId="0" quotePrefix="1" applyNumberFormat="1" applyFont="1" applyBorder="1" applyAlignment="1">
      <alignment horizontal="center" vertical="center"/>
    </xf>
    <xf numFmtId="1" fontId="21" fillId="7" borderId="109" xfId="0" applyNumberFormat="1" applyFont="1" applyFill="1" applyBorder="1" applyAlignment="1">
      <alignment vertical="center"/>
    </xf>
    <xf numFmtId="1" fontId="21" fillId="5" borderId="166" xfId="0" applyNumberFormat="1" applyFont="1" applyFill="1" applyBorder="1" applyAlignment="1">
      <alignment vertical="center"/>
    </xf>
    <xf numFmtId="1" fontId="21" fillId="6" borderId="166" xfId="0" applyNumberFormat="1" applyFont="1" applyFill="1" applyBorder="1" applyAlignment="1">
      <alignment vertical="center"/>
    </xf>
    <xf numFmtId="2" fontId="7" fillId="53" borderId="69" xfId="0" applyNumberFormat="1" applyFont="1" applyFill="1" applyBorder="1" applyAlignment="1">
      <alignment horizontal="center" vertical="center"/>
    </xf>
    <xf numFmtId="169" fontId="20" fillId="0" borderId="0" xfId="0" applyNumberFormat="1" applyFont="1" applyAlignment="1">
      <alignment horizontal="center" vertical="center"/>
    </xf>
    <xf numFmtId="167" fontId="27" fillId="7" borderId="166" xfId="0" applyNumberFormat="1" applyFont="1" applyFill="1" applyBorder="1" applyAlignment="1">
      <alignment horizontal="center" vertical="center"/>
    </xf>
    <xf numFmtId="167" fontId="14" fillId="7" borderId="166" xfId="0" applyNumberFormat="1" applyFont="1" applyFill="1" applyBorder="1" applyAlignment="1">
      <alignment horizontal="center" vertical="center"/>
    </xf>
    <xf numFmtId="1" fontId="14" fillId="7" borderId="166" xfId="0" applyNumberFormat="1" applyFont="1" applyFill="1" applyBorder="1" applyAlignment="1">
      <alignment horizontal="center" vertical="center"/>
    </xf>
    <xf numFmtId="0" fontId="14" fillId="48" borderId="165" xfId="0" applyFont="1" applyFill="1" applyBorder="1" applyAlignment="1">
      <alignment horizontal="left" vertical="center"/>
    </xf>
    <xf numFmtId="1" fontId="14" fillId="48" borderId="139" xfId="0" applyNumberFormat="1" applyFont="1" applyFill="1" applyBorder="1" applyAlignment="1">
      <alignment horizontal="center" vertical="center"/>
    </xf>
    <xf numFmtId="1" fontId="14" fillId="0" borderId="165" xfId="0" applyNumberFormat="1" applyFont="1" applyBorder="1" applyAlignment="1">
      <alignment horizontal="center" vertical="center"/>
    </xf>
    <xf numFmtId="1" fontId="27" fillId="0" borderId="165" xfId="0" applyNumberFormat="1" applyFont="1" applyBorder="1" applyAlignment="1">
      <alignment horizontal="center" vertical="center"/>
    </xf>
    <xf numFmtId="0" fontId="0" fillId="8" borderId="166" xfId="0" applyFill="1" applyBorder="1"/>
    <xf numFmtId="1" fontId="36" fillId="0" borderId="166" xfId="0" applyNumberFormat="1" applyFont="1" applyBorder="1" applyAlignment="1">
      <alignment horizontal="right" vertical="center"/>
    </xf>
    <xf numFmtId="0" fontId="27" fillId="0" borderId="166" xfId="0" applyFont="1" applyBorder="1" applyAlignment="1">
      <alignment horizontal="right" vertical="center"/>
    </xf>
    <xf numFmtId="1" fontId="14" fillId="48" borderId="166" xfId="0" applyNumberFormat="1" applyFont="1" applyFill="1" applyBorder="1" applyAlignment="1">
      <alignment horizontal="center" vertical="center"/>
    </xf>
    <xf numFmtId="167" fontId="27" fillId="5" borderId="166" xfId="0" applyNumberFormat="1" applyFont="1" applyFill="1" applyBorder="1" applyAlignment="1">
      <alignment horizontal="center" vertical="center"/>
    </xf>
    <xf numFmtId="1" fontId="23" fillId="48" borderId="166" xfId="0" applyNumberFormat="1" applyFont="1" applyFill="1" applyBorder="1" applyAlignment="1">
      <alignment horizontal="left" vertical="center"/>
    </xf>
    <xf numFmtId="0" fontId="14" fillId="33" borderId="166" xfId="0" applyFont="1" applyFill="1" applyBorder="1" applyAlignment="1">
      <alignment horizontal="left" vertical="center"/>
    </xf>
    <xf numFmtId="1" fontId="14" fillId="33" borderId="166" xfId="0" applyNumberFormat="1" applyFont="1" applyFill="1" applyBorder="1" applyAlignment="1">
      <alignment horizontal="center" vertical="center"/>
    </xf>
    <xf numFmtId="1" fontId="27" fillId="33" borderId="166" xfId="0" applyNumberFormat="1" applyFont="1" applyFill="1" applyBorder="1" applyAlignment="1">
      <alignment horizontal="center" vertical="center"/>
    </xf>
    <xf numFmtId="1" fontId="14" fillId="33" borderId="165" xfId="0" applyNumberFormat="1" applyFont="1" applyFill="1" applyBorder="1" applyAlignment="1">
      <alignment horizontal="center" vertical="center"/>
    </xf>
    <xf numFmtId="0" fontId="14" fillId="8" borderId="166" xfId="0" applyFont="1" applyFill="1" applyBorder="1" applyAlignment="1">
      <alignment horizontal="left" vertical="center"/>
    </xf>
    <xf numFmtId="1" fontId="14" fillId="8" borderId="165" xfId="0" applyNumberFormat="1" applyFont="1" applyFill="1" applyBorder="1" applyAlignment="1">
      <alignment horizontal="center" vertical="center"/>
    </xf>
    <xf numFmtId="167" fontId="0" fillId="8" borderId="0" xfId="0" applyNumberFormat="1" applyFill="1"/>
    <xf numFmtId="167" fontId="27" fillId="0" borderId="165" xfId="0" applyNumberFormat="1" applyFont="1" applyBorder="1" applyAlignment="1">
      <alignment horizontal="center" vertical="center"/>
    </xf>
    <xf numFmtId="0" fontId="27" fillId="8" borderId="166" xfId="0" applyFont="1" applyFill="1" applyBorder="1" applyAlignment="1">
      <alignment horizontal="right" vertical="center"/>
    </xf>
    <xf numFmtId="1" fontId="27" fillId="8" borderId="165" xfId="0" applyNumberFormat="1" applyFont="1" applyFill="1" applyBorder="1" applyAlignment="1">
      <alignment horizontal="center" vertical="center"/>
    </xf>
    <xf numFmtId="1" fontId="27" fillId="33" borderId="141" xfId="0" applyNumberFormat="1" applyFont="1" applyFill="1" applyBorder="1" applyAlignment="1">
      <alignment horizontal="center" vertical="center"/>
    </xf>
    <xf numFmtId="1" fontId="27" fillId="33" borderId="143" xfId="0" applyNumberFormat="1" applyFont="1" applyFill="1" applyBorder="1" applyAlignment="1">
      <alignment horizontal="center" vertical="center"/>
    </xf>
    <xf numFmtId="1" fontId="27" fillId="33" borderId="139" xfId="0" applyNumberFormat="1" applyFont="1" applyFill="1" applyBorder="1" applyAlignment="1">
      <alignment horizontal="center" vertical="center"/>
    </xf>
    <xf numFmtId="0" fontId="17" fillId="0" borderId="166" xfId="0" applyFont="1" applyBorder="1"/>
    <xf numFmtId="0" fontId="14" fillId="7" borderId="153" xfId="0" applyFont="1" applyFill="1" applyBorder="1" applyAlignment="1">
      <alignment horizontal="center" vertical="center"/>
    </xf>
    <xf numFmtId="167" fontId="27" fillId="7" borderId="24" xfId="0" applyNumberFormat="1" applyFont="1" applyFill="1" applyBorder="1" applyAlignment="1">
      <alignment horizontal="center" vertical="center"/>
    </xf>
    <xf numFmtId="1" fontId="14" fillId="0" borderId="161" xfId="0" applyNumberFormat="1" applyFont="1" applyBorder="1" applyAlignment="1">
      <alignment horizontal="center" vertical="center"/>
    </xf>
    <xf numFmtId="1" fontId="14" fillId="0" borderId="120" xfId="0" applyNumberFormat="1" applyFont="1" applyBorder="1" applyAlignment="1">
      <alignment horizontal="center" vertical="center"/>
    </xf>
    <xf numFmtId="167" fontId="27" fillId="7" borderId="66" xfId="0" applyNumberFormat="1" applyFont="1" applyFill="1" applyBorder="1" applyAlignment="1">
      <alignment horizontal="center" vertical="center"/>
    </xf>
    <xf numFmtId="167" fontId="27" fillId="7" borderId="83" xfId="0" applyNumberFormat="1" applyFont="1" applyFill="1" applyBorder="1" applyAlignment="1">
      <alignment horizontal="center" vertical="center"/>
    </xf>
    <xf numFmtId="167" fontId="27" fillId="7" borderId="143" xfId="0" applyNumberFormat="1" applyFont="1" applyFill="1" applyBorder="1" applyAlignment="1">
      <alignment horizontal="center" vertical="center"/>
    </xf>
    <xf numFmtId="167" fontId="14" fillId="7" borderId="39" xfId="0" applyNumberFormat="1" applyFont="1" applyFill="1" applyBorder="1" applyAlignment="1">
      <alignment horizontal="center" vertical="center"/>
    </xf>
    <xf numFmtId="167" fontId="14" fillId="7" borderId="66" xfId="0" applyNumberFormat="1" applyFont="1" applyFill="1" applyBorder="1" applyAlignment="1">
      <alignment horizontal="center" vertical="center"/>
    </xf>
    <xf numFmtId="1" fontId="27" fillId="7" borderId="143" xfId="0" applyNumberFormat="1" applyFont="1" applyFill="1" applyBorder="1" applyAlignment="1">
      <alignment horizontal="center" vertical="center"/>
    </xf>
    <xf numFmtId="167" fontId="27" fillId="7" borderId="7" xfId="0" applyNumberFormat="1" applyFont="1" applyFill="1" applyBorder="1" applyAlignment="1">
      <alignment horizontal="center" vertical="center"/>
    </xf>
    <xf numFmtId="1" fontId="14" fillId="8" borderId="143" xfId="0" applyNumberFormat="1" applyFont="1" applyFill="1" applyBorder="1" applyAlignment="1">
      <alignment horizontal="center" vertical="center"/>
    </xf>
    <xf numFmtId="1" fontId="14" fillId="48" borderId="143" xfId="0" applyNumberFormat="1" applyFont="1" applyFill="1" applyBorder="1" applyAlignment="1">
      <alignment horizontal="center" vertical="center"/>
    </xf>
    <xf numFmtId="0" fontId="0" fillId="0" borderId="143" xfId="0" applyBorder="1"/>
    <xf numFmtId="1" fontId="14" fillId="33" borderId="143" xfId="0" applyNumberFormat="1" applyFont="1" applyFill="1" applyBorder="1" applyAlignment="1">
      <alignment horizontal="center" vertical="center"/>
    </xf>
    <xf numFmtId="0" fontId="14" fillId="8" borderId="146" xfId="0" applyFont="1" applyFill="1" applyBorder="1" applyAlignment="1">
      <alignment horizontal="center" vertical="center"/>
    </xf>
    <xf numFmtId="1" fontId="14" fillId="0" borderId="109" xfId="0" applyNumberFormat="1" applyFont="1" applyBorder="1" applyAlignment="1">
      <alignment horizontal="center" vertical="center"/>
    </xf>
    <xf numFmtId="167" fontId="27" fillId="0" borderId="109" xfId="0" applyNumberFormat="1" applyFont="1" applyBorder="1" applyAlignment="1">
      <alignment horizontal="center" vertical="center"/>
    </xf>
    <xf numFmtId="2" fontId="27" fillId="0" borderId="165" xfId="0" applyNumberFormat="1" applyFont="1" applyBorder="1" applyAlignment="1">
      <alignment horizontal="center" vertical="center"/>
    </xf>
    <xf numFmtId="167" fontId="14" fillId="0" borderId="3" xfId="0" applyNumberFormat="1" applyFont="1" applyBorder="1" applyAlignment="1">
      <alignment horizontal="center" vertical="center"/>
    </xf>
    <xf numFmtId="167" fontId="14" fillId="0" borderId="146" xfId="0" applyNumberFormat="1" applyFont="1" applyBorder="1" applyAlignment="1">
      <alignment horizontal="center" vertical="center"/>
    </xf>
    <xf numFmtId="167" fontId="14" fillId="0" borderId="165" xfId="0" applyNumberFormat="1" applyFont="1" applyBorder="1" applyAlignment="1">
      <alignment horizontal="center" vertical="center"/>
    </xf>
    <xf numFmtId="1" fontId="14" fillId="48" borderId="165" xfId="0" applyNumberFormat="1" applyFont="1" applyFill="1" applyBorder="1" applyAlignment="1">
      <alignment horizontal="center" vertical="center"/>
    </xf>
    <xf numFmtId="0" fontId="14" fillId="7" borderId="166" xfId="0" applyFont="1" applyFill="1" applyBorder="1" applyAlignment="1">
      <alignment horizontal="center" vertical="center"/>
    </xf>
    <xf numFmtId="1" fontId="19" fillId="8" borderId="166" xfId="186" applyNumberFormat="1" applyFont="1" applyFill="1" applyBorder="1" applyAlignment="1">
      <alignment horizontal="center" vertical="top"/>
    </xf>
    <xf numFmtId="1" fontId="19" fillId="5" borderId="166" xfId="186" applyNumberFormat="1" applyFont="1" applyFill="1" applyBorder="1" applyAlignment="1">
      <alignment horizontal="center" vertical="top"/>
    </xf>
    <xf numFmtId="1" fontId="19" fillId="7" borderId="166" xfId="186" applyNumberFormat="1" applyFont="1" applyFill="1" applyBorder="1" applyAlignment="1">
      <alignment horizontal="center" vertical="top"/>
    </xf>
    <xf numFmtId="1" fontId="19" fillId="53" borderId="166" xfId="186" applyNumberFormat="1" applyFont="1" applyFill="1" applyBorder="1" applyAlignment="1">
      <alignment horizontal="center" vertical="top"/>
    </xf>
    <xf numFmtId="3" fontId="7" fillId="0" borderId="166" xfId="0" applyNumberFormat="1" applyFont="1" applyBorder="1" applyAlignment="1">
      <alignment horizontal="center" vertical="top"/>
    </xf>
    <xf numFmtId="1" fontId="20" fillId="7" borderId="166" xfId="0" applyNumberFormat="1" applyFont="1" applyFill="1" applyBorder="1" applyAlignment="1">
      <alignment vertical="center"/>
    </xf>
    <xf numFmtId="1" fontId="19" fillId="5" borderId="166" xfId="0" applyNumberFormat="1" applyFont="1" applyFill="1" applyBorder="1" applyAlignment="1">
      <alignment horizontal="center" vertical="center"/>
    </xf>
    <xf numFmtId="1" fontId="20" fillId="6" borderId="166" xfId="0" applyNumberFormat="1" applyFont="1" applyFill="1" applyBorder="1" applyAlignment="1">
      <alignment horizontal="center" vertical="center"/>
    </xf>
    <xf numFmtId="164" fontId="37" fillId="0" borderId="60" xfId="0" quotePrefix="1" applyNumberFormat="1" applyFont="1" applyBorder="1" applyAlignment="1">
      <alignment horizontal="left" vertical="center"/>
    </xf>
    <xf numFmtId="1" fontId="21" fillId="0" borderId="62" xfId="0" applyNumberFormat="1" applyFont="1" applyBorder="1" applyAlignment="1">
      <alignment vertical="center"/>
    </xf>
    <xf numFmtId="164" fontId="20" fillId="8" borderId="168" xfId="0" quotePrefix="1" applyNumberFormat="1" applyFont="1" applyFill="1" applyBorder="1" applyAlignment="1">
      <alignment horizontal="left" vertical="center"/>
    </xf>
    <xf numFmtId="0" fontId="20" fillId="0" borderId="169" xfId="0" applyFont="1" applyBorder="1" applyAlignment="1">
      <alignment horizontal="left" vertical="center"/>
    </xf>
    <xf numFmtId="0" fontId="20" fillId="0" borderId="170" xfId="0" applyFont="1" applyBorder="1" applyAlignment="1">
      <alignment horizontal="left" vertical="center"/>
    </xf>
    <xf numFmtId="1" fontId="20" fillId="0" borderId="172" xfId="0" applyNumberFormat="1" applyFont="1" applyBorder="1" applyAlignment="1">
      <alignment horizontal="center" vertical="center"/>
    </xf>
    <xf numFmtId="1" fontId="20" fillId="7" borderId="172" xfId="0" applyNumberFormat="1" applyFont="1" applyFill="1" applyBorder="1" applyAlignment="1">
      <alignment horizontal="center" vertical="center"/>
    </xf>
    <xf numFmtId="1" fontId="20" fillId="5" borderId="172" xfId="0" applyNumberFormat="1" applyFont="1" applyFill="1" applyBorder="1" applyAlignment="1">
      <alignment horizontal="center" vertical="center"/>
    </xf>
    <xf numFmtId="167" fontId="0" fillId="0" borderId="10" xfId="0" applyNumberFormat="1" applyBorder="1"/>
    <xf numFmtId="167" fontId="12" fillId="8" borderId="158" xfId="0" applyNumberFormat="1" applyFont="1" applyFill="1" applyBorder="1" applyAlignment="1">
      <alignment horizontal="center" vertical="center"/>
    </xf>
    <xf numFmtId="0" fontId="162" fillId="8" borderId="46" xfId="0" applyFont="1" applyFill="1" applyBorder="1" applyAlignment="1">
      <alignment horizontal="center" vertical="center" wrapText="1"/>
    </xf>
    <xf numFmtId="167" fontId="0" fillId="0" borderId="0" xfId="0" applyNumberFormat="1" applyAlignment="1">
      <alignment horizontal="center"/>
    </xf>
    <xf numFmtId="0" fontId="158" fillId="0" borderId="41" xfId="0" applyFont="1" applyBorder="1" applyAlignment="1">
      <alignment horizontal="left" vertical="center" wrapText="1" indent="1"/>
    </xf>
    <xf numFmtId="167" fontId="158" fillId="0" borderId="41" xfId="0" applyNumberFormat="1" applyFont="1" applyBorder="1" applyAlignment="1">
      <alignment horizontal="center" wrapText="1"/>
    </xf>
    <xf numFmtId="2" fontId="158" fillId="0" borderId="41" xfId="0" applyNumberFormat="1" applyFont="1" applyBorder="1" applyAlignment="1">
      <alignment horizontal="center" wrapText="1"/>
    </xf>
    <xf numFmtId="2" fontId="164" fillId="8" borderId="41" xfId="0" applyNumberFormat="1" applyFont="1" applyFill="1" applyBorder="1" applyAlignment="1">
      <alignment horizontal="center" wrapText="1"/>
    </xf>
    <xf numFmtId="2" fontId="160" fillId="0" borderId="41" xfId="0" applyNumberFormat="1" applyFont="1" applyBorder="1" applyAlignment="1">
      <alignment horizontal="center" wrapText="1"/>
    </xf>
    <xf numFmtId="167" fontId="165" fillId="0" borderId="41" xfId="0" applyNumberFormat="1" applyFont="1" applyBorder="1" applyAlignment="1">
      <alignment horizontal="center" vertical="center"/>
    </xf>
    <xf numFmtId="167" fontId="165" fillId="0" borderId="42" xfId="0" applyNumberFormat="1" applyFont="1" applyBorder="1" applyAlignment="1">
      <alignment horizontal="center" vertical="center"/>
    </xf>
    <xf numFmtId="0" fontId="158" fillId="0" borderId="46" xfId="0" applyFont="1" applyBorder="1" applyAlignment="1">
      <alignment horizontal="center" vertical="center" wrapText="1"/>
    </xf>
    <xf numFmtId="0" fontId="160" fillId="8" borderId="46" xfId="0" applyFont="1" applyFill="1" applyBorder="1" applyAlignment="1">
      <alignment vertical="center" wrapText="1"/>
    </xf>
    <xf numFmtId="0" fontId="160" fillId="0" borderId="41" xfId="0" applyFont="1" applyBorder="1" applyAlignment="1">
      <alignment horizontal="center" vertical="center" wrapText="1"/>
    </xf>
    <xf numFmtId="0" fontId="160" fillId="0" borderId="66" xfId="0" applyFont="1" applyBorder="1" applyAlignment="1">
      <alignment horizontal="center" vertical="center" wrapText="1"/>
    </xf>
    <xf numFmtId="0" fontId="160" fillId="0" borderId="3" xfId="0" applyFont="1" applyBorder="1" applyAlignment="1">
      <alignment horizontal="center" vertical="center" wrapText="1"/>
    </xf>
    <xf numFmtId="0" fontId="160" fillId="0" borderId="42" xfId="0" applyFont="1" applyBorder="1" applyAlignment="1">
      <alignment horizontal="center" vertical="center" wrapText="1"/>
    </xf>
    <xf numFmtId="0" fontId="0" fillId="0" borderId="172" xfId="0" applyBorder="1"/>
    <xf numFmtId="0" fontId="160" fillId="0" borderId="63" xfId="0" applyFont="1" applyBorder="1" applyAlignment="1">
      <alignment horizontal="center" vertical="center" wrapText="1"/>
    </xf>
    <xf numFmtId="0" fontId="158" fillId="0" borderId="3" xfId="0" applyFont="1" applyBorder="1" applyAlignment="1">
      <alignment wrapText="1"/>
    </xf>
    <xf numFmtId="0" fontId="158" fillId="0" borderId="41" xfId="0" applyFont="1" applyBorder="1" applyAlignment="1">
      <alignment horizontal="center" wrapText="1"/>
    </xf>
    <xf numFmtId="0" fontId="158" fillId="0" borderId="42" xfId="0" applyFont="1" applyBorder="1" applyAlignment="1">
      <alignment horizontal="center" wrapText="1"/>
    </xf>
    <xf numFmtId="0" fontId="158" fillId="0" borderId="30" xfId="0" applyFont="1" applyBorder="1" applyAlignment="1">
      <alignment wrapText="1"/>
    </xf>
    <xf numFmtId="0" fontId="158" fillId="0" borderId="30" xfId="0" applyFont="1" applyBorder="1" applyAlignment="1">
      <alignment horizontal="center" wrapText="1"/>
    </xf>
    <xf numFmtId="0" fontId="0" fillId="0" borderId="30" xfId="0" applyBorder="1"/>
    <xf numFmtId="167" fontId="18" fillId="8" borderId="79" xfId="0" applyNumberFormat="1" applyFont="1" applyFill="1" applyBorder="1" applyAlignment="1">
      <alignment horizontal="center" vertical="center"/>
    </xf>
    <xf numFmtId="1" fontId="19" fillId="7" borderId="17" xfId="0" applyNumberFormat="1" applyFont="1" applyFill="1" applyBorder="1" applyAlignment="1">
      <alignment horizontal="center"/>
    </xf>
    <xf numFmtId="177" fontId="112" fillId="7" borderId="106" xfId="412" applyNumberFormat="1" applyFont="1" applyFill="1" applyBorder="1" applyAlignment="1">
      <alignment horizontal="center" vertical="center"/>
    </xf>
    <xf numFmtId="0" fontId="135" fillId="7" borderId="172" xfId="376" applyFont="1" applyFill="1" applyBorder="1" applyAlignment="1">
      <alignment wrapText="1"/>
    </xf>
    <xf numFmtId="0" fontId="54" fillId="0" borderId="172" xfId="376" applyBorder="1"/>
    <xf numFmtId="0" fontId="135" fillId="9" borderId="172" xfId="376" applyFont="1" applyFill="1" applyBorder="1" applyAlignment="1">
      <alignment wrapText="1"/>
    </xf>
    <xf numFmtId="2" fontId="136" fillId="9" borderId="172" xfId="376" applyNumberFormat="1" applyFont="1" applyFill="1" applyBorder="1" applyAlignment="1">
      <alignment vertical="center"/>
    </xf>
    <xf numFmtId="2" fontId="136" fillId="9" borderId="172" xfId="376" applyNumberFormat="1" applyFont="1" applyFill="1" applyBorder="1" applyAlignment="1">
      <alignment horizontal="center" vertical="center"/>
    </xf>
    <xf numFmtId="0" fontId="135" fillId="6" borderId="172" xfId="376" applyFont="1" applyFill="1" applyBorder="1" applyAlignment="1">
      <alignment wrapText="1"/>
    </xf>
    <xf numFmtId="2" fontId="136" fillId="6" borderId="172" xfId="376" applyNumberFormat="1" applyFont="1" applyFill="1" applyBorder="1" applyAlignment="1">
      <alignment horizontal="center" vertical="center"/>
    </xf>
    <xf numFmtId="0" fontId="135" fillId="5" borderId="172" xfId="376" applyFont="1" applyFill="1" applyBorder="1" applyAlignment="1">
      <alignment wrapText="1"/>
    </xf>
    <xf numFmtId="2" fontId="136" fillId="5" borderId="172" xfId="376" applyNumberFormat="1" applyFont="1" applyFill="1" applyBorder="1" applyAlignment="1">
      <alignment horizontal="center" vertical="center"/>
    </xf>
    <xf numFmtId="0" fontId="135" fillId="32" borderId="172" xfId="376" applyFont="1" applyFill="1" applyBorder="1" applyAlignment="1">
      <alignment wrapText="1"/>
    </xf>
    <xf numFmtId="2" fontId="136" fillId="32" borderId="172" xfId="376" applyNumberFormat="1" applyFont="1" applyFill="1" applyBorder="1" applyAlignment="1">
      <alignment horizontal="center" vertical="center"/>
    </xf>
    <xf numFmtId="1" fontId="20" fillId="45" borderId="109" xfId="0" applyNumberFormat="1" applyFont="1" applyFill="1" applyBorder="1" applyAlignment="1">
      <alignment horizontal="center" vertical="center"/>
    </xf>
    <xf numFmtId="1" fontId="20" fillId="45" borderId="133" xfId="0" applyNumberFormat="1" applyFont="1" applyFill="1" applyBorder="1" applyAlignment="1">
      <alignment horizontal="center" vertical="center"/>
    </xf>
    <xf numFmtId="1" fontId="20" fillId="45" borderId="115" xfId="0" applyNumberFormat="1" applyFont="1" applyFill="1" applyBorder="1" applyAlignment="1">
      <alignment horizontal="center" vertical="center"/>
    </xf>
    <xf numFmtId="1" fontId="7" fillId="45" borderId="126" xfId="0" applyNumberFormat="1" applyFont="1" applyFill="1" applyBorder="1" applyAlignment="1">
      <alignment horizontal="center" vertical="center"/>
    </xf>
    <xf numFmtId="1" fontId="7" fillId="45" borderId="130" xfId="0" applyNumberFormat="1" applyFont="1" applyFill="1" applyBorder="1" applyAlignment="1">
      <alignment horizontal="center" vertical="center"/>
    </xf>
    <xf numFmtId="0" fontId="20" fillId="5" borderId="130" xfId="0" applyFont="1" applyFill="1" applyBorder="1" applyAlignment="1">
      <alignment horizontal="center" vertical="center"/>
    </xf>
    <xf numFmtId="0" fontId="20" fillId="7" borderId="130" xfId="0" applyFont="1" applyFill="1" applyBorder="1" applyAlignment="1">
      <alignment horizontal="center" vertical="center"/>
    </xf>
    <xf numFmtId="2" fontId="136" fillId="7" borderId="172" xfId="376" applyNumberFormat="1" applyFont="1" applyFill="1" applyBorder="1" applyAlignment="1">
      <alignment horizontal="center" vertical="center"/>
    </xf>
    <xf numFmtId="167" fontId="20" fillId="45" borderId="8" xfId="0" applyNumberFormat="1" applyFont="1" applyFill="1" applyBorder="1" applyAlignment="1">
      <alignment horizontal="center" vertical="center"/>
    </xf>
    <xf numFmtId="1" fontId="20" fillId="45" borderId="126" xfId="0" applyNumberFormat="1" applyFont="1" applyFill="1" applyBorder="1" applyAlignment="1">
      <alignment horizontal="center" vertical="center"/>
    </xf>
    <xf numFmtId="1" fontId="20" fillId="45" borderId="4" xfId="0" applyNumberFormat="1" applyFont="1" applyFill="1" applyBorder="1" applyAlignment="1">
      <alignment horizontal="center" vertical="center"/>
    </xf>
    <xf numFmtId="1" fontId="20" fillId="45" borderId="8" xfId="0" applyNumberFormat="1" applyFont="1" applyFill="1" applyBorder="1" applyAlignment="1">
      <alignment horizontal="center" vertical="center"/>
    </xf>
    <xf numFmtId="1" fontId="20" fillId="45" borderId="38" xfId="0" applyNumberFormat="1" applyFont="1" applyFill="1" applyBorder="1" applyAlignment="1">
      <alignment horizontal="center" vertical="center"/>
    </xf>
    <xf numFmtId="169" fontId="20" fillId="45" borderId="59" xfId="0" applyNumberFormat="1" applyFont="1" applyFill="1" applyBorder="1" applyAlignment="1">
      <alignment horizontal="center" vertical="center"/>
    </xf>
    <xf numFmtId="1" fontId="20" fillId="45" borderId="84" xfId="0" applyNumberFormat="1" applyFont="1" applyFill="1" applyBorder="1" applyAlignment="1">
      <alignment horizontal="center" vertical="center"/>
    </xf>
    <xf numFmtId="167" fontId="20" fillId="45" borderId="3" xfId="0" applyNumberFormat="1" applyFont="1" applyFill="1" applyBorder="1" applyAlignment="1">
      <alignment horizontal="center" vertical="center"/>
    </xf>
    <xf numFmtId="167" fontId="20" fillId="45" borderId="126" xfId="0" applyNumberFormat="1" applyFont="1" applyFill="1" applyBorder="1" applyAlignment="1">
      <alignment horizontal="center" vertical="center"/>
    </xf>
    <xf numFmtId="169" fontId="20" fillId="45" borderId="126" xfId="0" applyNumberFormat="1" applyFont="1" applyFill="1" applyBorder="1" applyAlignment="1">
      <alignment horizontal="center" vertical="center"/>
    </xf>
    <xf numFmtId="2" fontId="20" fillId="45" borderId="126" xfId="0" applyNumberFormat="1" applyFont="1" applyFill="1" applyBorder="1" applyAlignment="1">
      <alignment horizontal="center" vertical="center"/>
    </xf>
    <xf numFmtId="0" fontId="4" fillId="0" borderId="130" xfId="0" applyFont="1" applyBorder="1" applyAlignment="1">
      <alignment horizontal="center" vertical="center"/>
    </xf>
    <xf numFmtId="0" fontId="4" fillId="7" borderId="130" xfId="0" applyFont="1" applyFill="1" applyBorder="1" applyAlignment="1">
      <alignment horizontal="center" vertical="center"/>
    </xf>
    <xf numFmtId="0" fontId="4" fillId="8" borderId="130" xfId="0" applyFont="1" applyFill="1" applyBorder="1" applyAlignment="1">
      <alignment horizontal="center" vertical="center"/>
    </xf>
    <xf numFmtId="0" fontId="4" fillId="5" borderId="130" xfId="0" applyFont="1" applyFill="1" applyBorder="1" applyAlignment="1">
      <alignment horizontal="center" vertical="center"/>
    </xf>
    <xf numFmtId="0" fontId="4" fillId="6" borderId="130" xfId="0" applyFont="1" applyFill="1" applyBorder="1" applyAlignment="1">
      <alignment horizontal="center" vertical="center"/>
    </xf>
    <xf numFmtId="0" fontId="4" fillId="45" borderId="130" xfId="0" applyFont="1" applyFill="1" applyBorder="1" applyAlignment="1">
      <alignment horizontal="center" vertical="center"/>
    </xf>
    <xf numFmtId="0" fontId="7" fillId="0" borderId="130" xfId="0" applyFont="1" applyBorder="1" applyAlignment="1">
      <alignment horizontal="left" vertical="center"/>
    </xf>
    <xf numFmtId="0" fontId="7" fillId="0" borderId="130" xfId="0" applyFont="1" applyBorder="1" applyAlignment="1">
      <alignment horizontal="center" vertical="center"/>
    </xf>
    <xf numFmtId="167" fontId="20" fillId="8" borderId="130" xfId="0" applyNumberFormat="1" applyFont="1" applyFill="1" applyBorder="1" applyAlignment="1">
      <alignment horizontal="center" vertical="center"/>
    </xf>
    <xf numFmtId="167" fontId="20" fillId="0" borderId="130" xfId="0" applyNumberFormat="1" applyFont="1" applyBorder="1" applyAlignment="1">
      <alignment horizontal="center" vertical="center"/>
    </xf>
    <xf numFmtId="167" fontId="20" fillId="7" borderId="130" xfId="0" applyNumberFormat="1" applyFont="1" applyFill="1" applyBorder="1" applyAlignment="1">
      <alignment horizontal="center" vertical="center"/>
    </xf>
    <xf numFmtId="167" fontId="20" fillId="5" borderId="130" xfId="0" applyNumberFormat="1" applyFont="1" applyFill="1" applyBorder="1" applyAlignment="1">
      <alignment horizontal="center" vertical="center"/>
    </xf>
    <xf numFmtId="167" fontId="20" fillId="6" borderId="130" xfId="0" applyNumberFormat="1" applyFont="1" applyFill="1" applyBorder="1" applyAlignment="1">
      <alignment horizontal="center" vertical="center"/>
    </xf>
    <xf numFmtId="167" fontId="20" fillId="45" borderId="130" xfId="0" applyNumberFormat="1" applyFont="1" applyFill="1" applyBorder="1" applyAlignment="1">
      <alignment horizontal="center" vertical="center"/>
    </xf>
    <xf numFmtId="0" fontId="7" fillId="8" borderId="130" xfId="0" applyFont="1" applyFill="1" applyBorder="1" applyAlignment="1">
      <alignment horizontal="left" vertical="center"/>
    </xf>
    <xf numFmtId="0" fontId="7" fillId="8" borderId="130" xfId="0" applyFont="1" applyFill="1" applyBorder="1" applyAlignment="1">
      <alignment horizontal="center" vertical="center"/>
    </xf>
    <xf numFmtId="0" fontId="20" fillId="8" borderId="130" xfId="0" applyFont="1" applyFill="1" applyBorder="1" applyAlignment="1">
      <alignment horizontal="center" vertical="center"/>
    </xf>
    <xf numFmtId="1" fontId="20" fillId="45" borderId="130" xfId="0" applyNumberFormat="1" applyFont="1" applyFill="1" applyBorder="1" applyAlignment="1">
      <alignment horizontal="center" vertical="center"/>
    </xf>
    <xf numFmtId="1" fontId="20" fillId="6" borderId="130" xfId="0" applyNumberFormat="1" applyFont="1" applyFill="1" applyBorder="1" applyAlignment="1">
      <alignment horizontal="center" vertical="center"/>
    </xf>
    <xf numFmtId="169" fontId="20" fillId="0" borderId="130" xfId="0" applyNumberFormat="1" applyFont="1" applyBorder="1" applyAlignment="1">
      <alignment horizontal="center" vertical="center"/>
    </xf>
    <xf numFmtId="169" fontId="20" fillId="7" borderId="130" xfId="0" applyNumberFormat="1" applyFont="1" applyFill="1" applyBorder="1" applyAlignment="1">
      <alignment horizontal="center" vertical="center"/>
    </xf>
    <xf numFmtId="169" fontId="20" fillId="5" borderId="130" xfId="0" applyNumberFormat="1" applyFont="1" applyFill="1" applyBorder="1" applyAlignment="1">
      <alignment horizontal="center" vertical="center"/>
    </xf>
    <xf numFmtId="169" fontId="20" fillId="6" borderId="130" xfId="0" applyNumberFormat="1" applyFont="1" applyFill="1" applyBorder="1" applyAlignment="1">
      <alignment horizontal="center" vertical="center"/>
    </xf>
    <xf numFmtId="169" fontId="20" fillId="8" borderId="130" xfId="0" applyNumberFormat="1" applyFont="1" applyFill="1" applyBorder="1" applyAlignment="1">
      <alignment horizontal="center" vertical="center"/>
    </xf>
    <xf numFmtId="169" fontId="20" fillId="45" borderId="130" xfId="0" applyNumberFormat="1" applyFont="1" applyFill="1" applyBorder="1" applyAlignment="1">
      <alignment horizontal="center" vertical="center"/>
    </xf>
    <xf numFmtId="0" fontId="36" fillId="8" borderId="130" xfId="0" applyFont="1" applyFill="1" applyBorder="1" applyAlignment="1">
      <alignment horizontal="left" vertical="center"/>
    </xf>
    <xf numFmtId="0" fontId="11" fillId="8" borderId="130" xfId="0" applyFont="1" applyFill="1" applyBorder="1" applyAlignment="1">
      <alignment horizontal="center" vertical="center"/>
    </xf>
    <xf numFmtId="1" fontId="0" fillId="8" borderId="130" xfId="0" applyNumberFormat="1" applyFill="1" applyBorder="1" applyAlignment="1">
      <alignment horizontal="center" vertical="center"/>
    </xf>
    <xf numFmtId="0" fontId="0" fillId="8" borderId="130" xfId="0" applyFill="1" applyBorder="1" applyAlignment="1">
      <alignment horizontal="center" vertical="center"/>
    </xf>
    <xf numFmtId="2" fontId="20" fillId="8" borderId="130" xfId="0" applyNumberFormat="1" applyFont="1" applyFill="1" applyBorder="1" applyAlignment="1">
      <alignment horizontal="center" vertical="center"/>
    </xf>
    <xf numFmtId="2" fontId="20" fillId="7" borderId="130" xfId="0" applyNumberFormat="1" applyFont="1" applyFill="1" applyBorder="1" applyAlignment="1">
      <alignment horizontal="center" vertical="center"/>
    </xf>
    <xf numFmtId="2" fontId="20" fillId="5" borderId="130" xfId="0" applyNumberFormat="1" applyFont="1" applyFill="1" applyBorder="1" applyAlignment="1">
      <alignment horizontal="center" vertical="center"/>
    </xf>
    <xf numFmtId="2" fontId="20" fillId="6" borderId="130" xfId="0" applyNumberFormat="1" applyFont="1" applyFill="1" applyBorder="1" applyAlignment="1">
      <alignment horizontal="center" vertical="center"/>
    </xf>
    <xf numFmtId="2" fontId="20" fillId="0" borderId="130" xfId="0" applyNumberFormat="1" applyFont="1" applyBorder="1" applyAlignment="1">
      <alignment horizontal="center" vertical="center"/>
    </xf>
    <xf numFmtId="2" fontId="20" fillId="45" borderId="130" xfId="0" applyNumberFormat="1" applyFont="1" applyFill="1" applyBorder="1" applyAlignment="1">
      <alignment horizontal="center" vertical="center"/>
    </xf>
    <xf numFmtId="1" fontId="45" fillId="8" borderId="115" xfId="0" applyNumberFormat="1" applyFont="1" applyFill="1" applyBorder="1" applyAlignment="1">
      <alignment horizontal="center" vertical="center"/>
    </xf>
    <xf numFmtId="0" fontId="76" fillId="8" borderId="109" xfId="0" applyFont="1" applyFill="1" applyBorder="1" applyAlignment="1">
      <alignment horizontal="center" vertical="center"/>
    </xf>
    <xf numFmtId="0" fontId="76" fillId="8" borderId="115" xfId="0" applyFont="1" applyFill="1" applyBorder="1" applyAlignment="1">
      <alignment horizontal="center" vertical="center"/>
    </xf>
    <xf numFmtId="0" fontId="0" fillId="5" borderId="130" xfId="0" applyFill="1" applyBorder="1" applyAlignment="1">
      <alignment horizontal="center" vertical="center"/>
    </xf>
    <xf numFmtId="0" fontId="45" fillId="5" borderId="31" xfId="0" applyFont="1" applyFill="1" applyBorder="1" applyAlignment="1">
      <alignment horizontal="center" vertical="center"/>
    </xf>
    <xf numFmtId="0" fontId="45" fillId="5" borderId="17" xfId="0" applyFont="1" applyFill="1" applyBorder="1" applyAlignment="1">
      <alignment horizontal="center" vertical="center"/>
    </xf>
    <xf numFmtId="0" fontId="45" fillId="5" borderId="119" xfId="0" applyFont="1" applyFill="1" applyBorder="1" applyAlignment="1">
      <alignment horizontal="center" vertical="center"/>
    </xf>
    <xf numFmtId="0" fontId="20" fillId="6" borderId="130" xfId="0" applyFont="1" applyFill="1" applyBorder="1" applyAlignment="1">
      <alignment horizontal="center" vertical="center"/>
    </xf>
    <xf numFmtId="0" fontId="0" fillId="6" borderId="130" xfId="0" applyFill="1" applyBorder="1" applyAlignment="1">
      <alignment horizontal="center" vertical="center"/>
    </xf>
    <xf numFmtId="0" fontId="45" fillId="6" borderId="119" xfId="0" applyFont="1" applyFill="1" applyBorder="1" applyAlignment="1">
      <alignment horizontal="center" vertical="center"/>
    </xf>
    <xf numFmtId="0" fontId="0" fillId="7" borderId="130" xfId="0" applyFill="1" applyBorder="1" applyAlignment="1">
      <alignment horizontal="center" vertical="center"/>
    </xf>
    <xf numFmtId="0" fontId="45" fillId="7" borderId="31" xfId="0" applyFont="1" applyFill="1" applyBorder="1" applyAlignment="1">
      <alignment horizontal="center" vertical="center"/>
    </xf>
    <xf numFmtId="0" fontId="45" fillId="7" borderId="17" xfId="0" applyFont="1" applyFill="1" applyBorder="1" applyAlignment="1">
      <alignment horizontal="center" vertical="center"/>
    </xf>
    <xf numFmtId="169" fontId="0" fillId="8" borderId="0" xfId="0" applyNumberFormat="1" applyFill="1"/>
    <xf numFmtId="0" fontId="45" fillId="8" borderId="8" xfId="0" applyFont="1" applyFill="1" applyBorder="1" applyAlignment="1">
      <alignment horizontal="center" vertical="center"/>
    </xf>
    <xf numFmtId="0" fontId="45" fillId="8" borderId="126" xfId="0" applyFont="1" applyFill="1" applyBorder="1" applyAlignment="1">
      <alignment horizontal="center" vertical="center"/>
    </xf>
    <xf numFmtId="0" fontId="45" fillId="8" borderId="109" xfId="0" applyFont="1" applyFill="1" applyBorder="1" applyAlignment="1">
      <alignment horizontal="center" vertical="center"/>
    </xf>
    <xf numFmtId="0" fontId="45" fillId="8" borderId="59" xfId="0" applyFont="1" applyFill="1" applyBorder="1" applyAlignment="1">
      <alignment horizontal="center" vertical="center"/>
    </xf>
    <xf numFmtId="0" fontId="7" fillId="8" borderId="41" xfId="0" applyFont="1" applyFill="1" applyBorder="1" applyAlignment="1">
      <alignment horizontal="left" vertical="center"/>
    </xf>
    <xf numFmtId="1" fontId="20" fillId="8" borderId="131" xfId="0" applyNumberFormat="1" applyFont="1" applyFill="1" applyBorder="1" applyAlignment="1">
      <alignment horizontal="center" vertical="center"/>
    </xf>
    <xf numFmtId="0" fontId="7" fillId="8" borderId="142" xfId="0" applyFont="1" applyFill="1" applyBorder="1" applyAlignment="1">
      <alignment horizontal="left" vertical="center"/>
    </xf>
    <xf numFmtId="1" fontId="20" fillId="8" borderId="144" xfId="0" applyNumberFormat="1" applyFont="1" applyFill="1" applyBorder="1" applyAlignment="1">
      <alignment horizontal="center" vertical="center"/>
    </xf>
    <xf numFmtId="169" fontId="12" fillId="8" borderId="0" xfId="0" applyNumberFormat="1" applyFont="1" applyFill="1"/>
    <xf numFmtId="0" fontId="7" fillId="8" borderId="130" xfId="0" applyFont="1" applyFill="1" applyBorder="1" applyAlignment="1">
      <alignment horizontal="left" vertical="center" wrapText="1"/>
    </xf>
    <xf numFmtId="0" fontId="135" fillId="0" borderId="172" xfId="376" applyFont="1" applyBorder="1" applyAlignment="1">
      <alignment horizontal="center" vertical="center"/>
    </xf>
    <xf numFmtId="0" fontId="136" fillId="0" borderId="172" xfId="376" applyFont="1" applyBorder="1" applyAlignment="1">
      <alignment horizontal="center" vertical="center"/>
    </xf>
    <xf numFmtId="0" fontId="135" fillId="7" borderId="172" xfId="376" applyFont="1" applyFill="1" applyBorder="1"/>
    <xf numFmtId="0" fontId="135" fillId="0" borderId="172" xfId="376" applyFont="1" applyBorder="1" applyAlignment="1">
      <alignment wrapText="1"/>
    </xf>
    <xf numFmtId="0" fontId="135" fillId="0" borderId="172" xfId="376" applyFont="1" applyBorder="1"/>
    <xf numFmtId="0" fontId="136" fillId="0" borderId="172" xfId="376" applyFont="1" applyBorder="1"/>
    <xf numFmtId="0" fontId="135" fillId="9" borderId="172" xfId="376" applyFont="1" applyFill="1" applyBorder="1"/>
    <xf numFmtId="0" fontId="135" fillId="6" borderId="172" xfId="376" applyFont="1" applyFill="1" applyBorder="1"/>
    <xf numFmtId="1" fontId="136" fillId="7" borderId="172" xfId="376" applyNumberFormat="1" applyFont="1" applyFill="1" applyBorder="1" applyAlignment="1">
      <alignment horizontal="center" vertical="center"/>
    </xf>
    <xf numFmtId="0" fontId="135" fillId="5" borderId="172" xfId="376" applyFont="1" applyFill="1" applyBorder="1"/>
    <xf numFmtId="1" fontId="106" fillId="5" borderId="172" xfId="376" applyNumberFormat="1" applyFont="1" applyFill="1" applyBorder="1" applyAlignment="1">
      <alignment horizontal="center" vertical="center"/>
    </xf>
    <xf numFmtId="0" fontId="135" fillId="32" borderId="172" xfId="376" applyFont="1" applyFill="1" applyBorder="1"/>
    <xf numFmtId="1" fontId="136" fillId="32" borderId="172" xfId="376" applyNumberFormat="1" applyFont="1" applyFill="1" applyBorder="1" applyAlignment="1">
      <alignment horizontal="center" vertical="center"/>
    </xf>
    <xf numFmtId="0" fontId="135" fillId="32" borderId="172" xfId="376" applyFont="1" applyFill="1" applyBorder="1" applyAlignment="1">
      <alignment horizontal="center" vertical="center" wrapText="1"/>
    </xf>
    <xf numFmtId="0" fontId="135" fillId="32" borderId="172" xfId="376" applyFont="1" applyFill="1" applyBorder="1" applyAlignment="1">
      <alignment horizontal="center" vertical="center"/>
    </xf>
    <xf numFmtId="0" fontId="54" fillId="0" borderId="0" xfId="376" applyAlignment="1">
      <alignment horizontal="center" vertical="center"/>
    </xf>
    <xf numFmtId="1" fontId="0" fillId="0" borderId="0" xfId="22" applyNumberFormat="1" applyFont="1"/>
    <xf numFmtId="0" fontId="20" fillId="0" borderId="133" xfId="0" applyFont="1" applyBorder="1" applyAlignment="1">
      <alignment horizontal="left" vertical="center"/>
    </xf>
    <xf numFmtId="1" fontId="20" fillId="0" borderId="133" xfId="0" applyNumberFormat="1" applyFont="1" applyBorder="1" applyAlignment="1">
      <alignment horizontal="center" vertical="center"/>
    </xf>
    <xf numFmtId="164" fontId="20" fillId="8" borderId="172" xfId="0" quotePrefix="1" applyNumberFormat="1" applyFont="1" applyFill="1" applyBorder="1" applyAlignment="1">
      <alignment horizontal="left" vertical="center"/>
    </xf>
    <xf numFmtId="0" fontId="20" fillId="8" borderId="172" xfId="0" applyFont="1" applyFill="1" applyBorder="1" applyAlignment="1">
      <alignment horizontal="left" vertical="center"/>
    </xf>
    <xf numFmtId="170" fontId="21" fillId="7" borderId="12" xfId="0" applyNumberFormat="1" applyFont="1" applyFill="1" applyBorder="1" applyAlignment="1">
      <alignment horizontal="center" vertical="center"/>
    </xf>
    <xf numFmtId="164" fontId="20" fillId="8" borderId="109" xfId="0" quotePrefix="1" applyNumberFormat="1" applyFont="1" applyFill="1" applyBorder="1" applyAlignment="1">
      <alignment horizontal="left" vertical="center"/>
    </xf>
    <xf numFmtId="0" fontId="20" fillId="0" borderId="111" xfId="0" applyFont="1" applyBorder="1" applyAlignment="1">
      <alignment horizontal="left" vertical="center"/>
    </xf>
    <xf numFmtId="1" fontId="20" fillId="7" borderId="130" xfId="0" applyNumberFormat="1" applyFont="1" applyFill="1" applyBorder="1" applyAlignment="1">
      <alignment vertical="center"/>
    </xf>
    <xf numFmtId="1" fontId="20" fillId="5" borderId="131" xfId="0" applyNumberFormat="1" applyFont="1" applyFill="1" applyBorder="1" applyAlignment="1">
      <alignment horizontal="center" vertical="center"/>
    </xf>
    <xf numFmtId="169" fontId="18" fillId="7" borderId="10" xfId="0" applyNumberFormat="1" applyFont="1" applyFill="1" applyBorder="1" applyAlignment="1">
      <alignment horizontal="center" vertical="center"/>
    </xf>
    <xf numFmtId="169" fontId="3" fillId="0" borderId="77" xfId="0" applyNumberFormat="1" applyFont="1" applyBorder="1"/>
    <xf numFmtId="1" fontId="136" fillId="5" borderId="172" xfId="376" applyNumberFormat="1" applyFont="1" applyFill="1" applyBorder="1" applyAlignment="1">
      <alignment horizontal="center" vertical="center"/>
    </xf>
    <xf numFmtId="0" fontId="20" fillId="0" borderId="172" xfId="0" applyFont="1" applyBorder="1" applyAlignment="1">
      <alignment horizontal="left" vertical="center"/>
    </xf>
    <xf numFmtId="0" fontId="20" fillId="0" borderId="141" xfId="0" applyFont="1" applyBorder="1" applyAlignment="1">
      <alignment horizontal="left" vertical="center"/>
    </xf>
    <xf numFmtId="1" fontId="20" fillId="5" borderId="133" xfId="0" applyNumberFormat="1" applyFont="1" applyFill="1" applyBorder="1" applyAlignment="1">
      <alignment horizontal="center" vertical="center"/>
    </xf>
    <xf numFmtId="1" fontId="20" fillId="8" borderId="172" xfId="0" applyNumberFormat="1" applyFont="1" applyFill="1" applyBorder="1" applyAlignment="1">
      <alignment horizontal="center" vertical="center"/>
    </xf>
    <xf numFmtId="0" fontId="20" fillId="8" borderId="142" xfId="0" applyFont="1" applyFill="1" applyBorder="1" applyAlignment="1">
      <alignment horizontal="left" vertical="center"/>
    </xf>
    <xf numFmtId="1" fontId="21" fillId="45" borderId="123" xfId="0" applyNumberFormat="1" applyFont="1" applyFill="1" applyBorder="1" applyAlignment="1">
      <alignment horizontal="center" vertical="center"/>
    </xf>
    <xf numFmtId="1" fontId="4" fillId="45" borderId="123" xfId="0" applyNumberFormat="1" applyFont="1" applyFill="1" applyBorder="1" applyAlignment="1">
      <alignment horizontal="center" vertical="center"/>
    </xf>
    <xf numFmtId="2" fontId="20" fillId="7" borderId="42" xfId="0" applyNumberFormat="1" applyFont="1" applyFill="1" applyBorder="1" applyAlignment="1">
      <alignment horizontal="center" vertical="center"/>
    </xf>
    <xf numFmtId="2" fontId="19" fillId="0" borderId="0" xfId="186" applyNumberFormat="1" applyFont="1"/>
    <xf numFmtId="1" fontId="79" fillId="0" borderId="126" xfId="186" applyNumberFormat="1" applyFont="1" applyBorder="1" applyAlignment="1">
      <alignment horizontal="center" vertical="center"/>
    </xf>
    <xf numFmtId="1" fontId="79" fillId="7" borderId="126" xfId="186" applyNumberFormat="1" applyFont="1" applyFill="1" applyBorder="1" applyAlignment="1">
      <alignment horizontal="center" vertical="center"/>
    </xf>
    <xf numFmtId="1" fontId="79" fillId="8" borderId="126" xfId="186" applyNumberFormat="1" applyFont="1" applyFill="1" applyBorder="1" applyAlignment="1">
      <alignment horizontal="center" vertical="center"/>
    </xf>
    <xf numFmtId="1" fontId="78" fillId="7" borderId="126" xfId="186" applyNumberFormat="1" applyFont="1" applyFill="1" applyBorder="1" applyAlignment="1">
      <alignment horizontal="center" vertical="center"/>
    </xf>
    <xf numFmtId="1" fontId="78" fillId="5" borderId="123" xfId="186" applyNumberFormat="1" applyFont="1" applyFill="1" applyBorder="1" applyAlignment="1">
      <alignment horizontal="center" vertical="center"/>
    </xf>
    <xf numFmtId="1" fontId="78" fillId="6" borderId="172" xfId="186" applyNumberFormat="1" applyFont="1" applyFill="1" applyBorder="1" applyAlignment="1">
      <alignment horizontal="center" vertical="center"/>
    </xf>
    <xf numFmtId="1" fontId="78" fillId="6" borderId="126" xfId="186" applyNumberFormat="1" applyFont="1" applyFill="1" applyBorder="1" applyAlignment="1">
      <alignment horizontal="center" vertical="center"/>
    </xf>
    <xf numFmtId="1" fontId="78" fillId="7" borderId="172" xfId="186" applyNumberFormat="1" applyFont="1" applyFill="1" applyBorder="1" applyAlignment="1">
      <alignment horizontal="center" vertical="center"/>
    </xf>
    <xf numFmtId="0" fontId="183" fillId="0" borderId="172" xfId="0" applyFont="1" applyBorder="1"/>
    <xf numFmtId="1" fontId="183" fillId="8" borderId="172" xfId="0" applyNumberFormat="1" applyFont="1" applyFill="1" applyBorder="1" applyAlignment="1">
      <alignment horizontal="center"/>
    </xf>
    <xf numFmtId="0" fontId="183" fillId="0" borderId="172" xfId="0" applyFont="1" applyBorder="1" applyAlignment="1">
      <alignment horizontal="center"/>
    </xf>
    <xf numFmtId="0" fontId="183" fillId="7" borderId="172" xfId="0" applyFont="1" applyFill="1" applyBorder="1" applyAlignment="1">
      <alignment horizontal="center"/>
    </xf>
    <xf numFmtId="1" fontId="183" fillId="7" borderId="172" xfId="0" applyNumberFormat="1" applyFont="1" applyFill="1" applyBorder="1" applyAlignment="1">
      <alignment horizontal="center"/>
    </xf>
    <xf numFmtId="0" fontId="183" fillId="5" borderId="172" xfId="0" applyFont="1" applyFill="1" applyBorder="1" applyAlignment="1">
      <alignment horizontal="center"/>
    </xf>
    <xf numFmtId="1" fontId="183" fillId="5" borderId="172" xfId="0" applyNumberFormat="1" applyFont="1" applyFill="1" applyBorder="1" applyAlignment="1">
      <alignment horizontal="center"/>
    </xf>
    <xf numFmtId="1" fontId="183" fillId="6" borderId="172" xfId="0" applyNumberFormat="1" applyFont="1" applyFill="1" applyBorder="1" applyAlignment="1">
      <alignment horizontal="center"/>
    </xf>
    <xf numFmtId="0" fontId="78" fillId="8" borderId="148" xfId="186" applyFont="1" applyFill="1" applyBorder="1" applyAlignment="1">
      <alignment horizontal="left" vertical="center"/>
    </xf>
    <xf numFmtId="0" fontId="78" fillId="4" borderId="0" xfId="186" applyFont="1" applyFill="1" applyAlignment="1">
      <alignment horizontal="left" vertical="center"/>
    </xf>
    <xf numFmtId="1" fontId="79" fillId="4" borderId="38" xfId="186" applyNumberFormat="1" applyFont="1" applyFill="1" applyBorder="1" applyAlignment="1">
      <alignment horizontal="center" vertical="center"/>
    </xf>
    <xf numFmtId="1" fontId="79" fillId="4" borderId="0" xfId="186" applyNumberFormat="1" applyFont="1" applyFill="1" applyAlignment="1">
      <alignment horizontal="center" vertical="center"/>
    </xf>
    <xf numFmtId="1" fontId="78" fillId="4" borderId="38" xfId="186" applyNumberFormat="1" applyFont="1" applyFill="1" applyBorder="1" applyAlignment="1">
      <alignment horizontal="center" vertical="center"/>
    </xf>
    <xf numFmtId="1" fontId="78" fillId="4" borderId="0" xfId="186" applyNumberFormat="1" applyFont="1" applyFill="1" applyAlignment="1">
      <alignment horizontal="center" vertical="center"/>
    </xf>
    <xf numFmtId="2" fontId="20" fillId="0" borderId="152" xfId="0" applyNumberFormat="1" applyFont="1" applyBorder="1" applyAlignment="1">
      <alignment horizontal="center" vertical="center"/>
    </xf>
    <xf numFmtId="2" fontId="20" fillId="0" borderId="115" xfId="0" applyNumberFormat="1" applyFont="1" applyBorder="1" applyAlignment="1">
      <alignment horizontal="center" vertical="center"/>
    </xf>
    <xf numFmtId="167" fontId="24" fillId="0" borderId="31" xfId="0" applyNumberFormat="1" applyFont="1" applyBorder="1" applyAlignment="1">
      <alignment horizontal="center" vertical="center"/>
    </xf>
    <xf numFmtId="167" fontId="24" fillId="0" borderId="17" xfId="0" applyNumberFormat="1" applyFont="1" applyBorder="1" applyAlignment="1">
      <alignment horizontal="center" vertical="center"/>
    </xf>
    <xf numFmtId="0" fontId="20" fillId="0" borderId="138" xfId="0" applyFont="1" applyBorder="1" applyAlignment="1">
      <alignment horizontal="left" vertical="center" indent="1"/>
    </xf>
    <xf numFmtId="0" fontId="20" fillId="0" borderId="172" xfId="0" applyFont="1" applyBorder="1" applyAlignment="1">
      <alignment horizontal="center" vertical="center"/>
    </xf>
    <xf numFmtId="1" fontId="19" fillId="50" borderId="141" xfId="0" applyNumberFormat="1" applyFont="1" applyFill="1" applyBorder="1" applyAlignment="1">
      <alignment horizontal="center" vertical="center"/>
    </xf>
    <xf numFmtId="1" fontId="19" fillId="0" borderId="126" xfId="0" applyNumberFormat="1" applyFont="1" applyBorder="1" applyAlignment="1">
      <alignment horizontal="center" vertical="center"/>
    </xf>
    <xf numFmtId="1" fontId="20" fillId="50" borderId="172" xfId="0" applyNumberFormat="1" applyFont="1" applyFill="1" applyBorder="1" applyAlignment="1">
      <alignment horizontal="center" vertical="center"/>
    </xf>
    <xf numFmtId="1" fontId="19" fillId="7" borderId="172" xfId="0" applyNumberFormat="1" applyFont="1" applyFill="1" applyBorder="1" applyAlignment="1">
      <alignment horizontal="center" vertical="center"/>
    </xf>
    <xf numFmtId="0" fontId="113" fillId="0" borderId="172" xfId="0" applyFont="1" applyBorder="1" applyAlignment="1">
      <alignment horizontal="left" vertical="center" wrapText="1"/>
    </xf>
    <xf numFmtId="0" fontId="18" fillId="0" borderId="123" xfId="0" applyFont="1" applyBorder="1" applyAlignment="1">
      <alignment horizontal="center" vertical="center"/>
    </xf>
    <xf numFmtId="1" fontId="19" fillId="8" borderId="172" xfId="0" applyNumberFormat="1" applyFont="1" applyFill="1" applyBorder="1" applyAlignment="1">
      <alignment horizontal="center" vertical="center"/>
    </xf>
    <xf numFmtId="1" fontId="19" fillId="5" borderId="172" xfId="0" applyNumberFormat="1" applyFont="1" applyFill="1" applyBorder="1" applyAlignment="1">
      <alignment horizontal="center" vertical="center"/>
    </xf>
    <xf numFmtId="1" fontId="19" fillId="6" borderId="172" xfId="0" applyNumberFormat="1" applyFont="1" applyFill="1" applyBorder="1" applyAlignment="1">
      <alignment horizontal="center" vertical="center"/>
    </xf>
    <xf numFmtId="1" fontId="19" fillId="7" borderId="141" xfId="0" applyNumberFormat="1" applyFont="1" applyFill="1" applyBorder="1" applyAlignment="1">
      <alignment horizontal="center" vertical="center"/>
    </xf>
    <xf numFmtId="0" fontId="181" fillId="79" borderId="113" xfId="0" applyFont="1" applyFill="1" applyBorder="1" applyAlignment="1">
      <alignment horizontal="center"/>
    </xf>
    <xf numFmtId="2" fontId="181" fillId="80" borderId="113" xfId="0" applyNumberFormat="1" applyFont="1" applyFill="1" applyBorder="1" applyAlignment="1">
      <alignment horizontal="center"/>
    </xf>
    <xf numFmtId="2" fontId="181" fillId="79" borderId="113" xfId="0" applyNumberFormat="1" applyFont="1" applyFill="1" applyBorder="1" applyAlignment="1">
      <alignment horizontal="center"/>
    </xf>
    <xf numFmtId="0" fontId="181" fillId="8" borderId="113" xfId="0" applyFont="1" applyFill="1" applyBorder="1" applyAlignment="1">
      <alignment horizontal="center"/>
    </xf>
    <xf numFmtId="167" fontId="181" fillId="80" borderId="113" xfId="0" applyNumberFormat="1" applyFont="1" applyFill="1" applyBorder="1" applyAlignment="1">
      <alignment horizontal="center"/>
    </xf>
    <xf numFmtId="1" fontId="181" fillId="8" borderId="113" xfId="0" applyNumberFormat="1" applyFont="1" applyFill="1" applyBorder="1" applyAlignment="1">
      <alignment horizontal="center"/>
    </xf>
    <xf numFmtId="167" fontId="181" fillId="79" borderId="113" xfId="0" applyNumberFormat="1" applyFont="1" applyFill="1" applyBorder="1" applyAlignment="1">
      <alignment horizontal="center"/>
    </xf>
    <xf numFmtId="167" fontId="181" fillId="8" borderId="113" xfId="0" applyNumberFormat="1" applyFont="1" applyFill="1" applyBorder="1" applyAlignment="1">
      <alignment horizontal="center"/>
    </xf>
    <xf numFmtId="0" fontId="36" fillId="0" borderId="172" xfId="0" applyFont="1" applyBorder="1"/>
    <xf numFmtId="1" fontId="36" fillId="0" borderId="172" xfId="0" applyNumberFormat="1" applyFont="1" applyBorder="1" applyAlignment="1">
      <alignment horizontal="center"/>
    </xf>
    <xf numFmtId="0" fontId="36" fillId="0" borderId="172" xfId="0" applyFont="1" applyBorder="1" applyAlignment="1">
      <alignment horizontal="center"/>
    </xf>
    <xf numFmtId="0" fontId="36" fillId="7" borderId="172" xfId="0" applyFont="1" applyFill="1" applyBorder="1" applyAlignment="1">
      <alignment horizontal="center"/>
    </xf>
    <xf numFmtId="1" fontId="36" fillId="7" borderId="172" xfId="0" applyNumberFormat="1" applyFont="1" applyFill="1" applyBorder="1" applyAlignment="1">
      <alignment horizontal="center"/>
    </xf>
    <xf numFmtId="0" fontId="36" fillId="5" borderId="172" xfId="0" applyFont="1" applyFill="1" applyBorder="1" applyAlignment="1">
      <alignment horizontal="center"/>
    </xf>
    <xf numFmtId="1" fontId="36" fillId="5" borderId="172" xfId="0" applyNumberFormat="1" applyFont="1" applyFill="1" applyBorder="1" applyAlignment="1">
      <alignment horizontal="center"/>
    </xf>
    <xf numFmtId="1" fontId="36" fillId="5" borderId="123" xfId="0" applyNumberFormat="1" applyFont="1" applyFill="1" applyBorder="1" applyAlignment="1">
      <alignment horizontal="center"/>
    </xf>
    <xf numFmtId="0" fontId="0" fillId="6" borderId="172" xfId="0" applyFill="1" applyBorder="1" applyAlignment="1">
      <alignment horizontal="center" vertical="center"/>
    </xf>
    <xf numFmtId="1" fontId="11" fillId="6" borderId="172" xfId="0" applyNumberFormat="1" applyFont="1" applyFill="1" applyBorder="1" applyAlignment="1">
      <alignment horizontal="center" vertical="center"/>
    </xf>
    <xf numFmtId="1" fontId="23" fillId="43" borderId="172" xfId="0" applyNumberFormat="1" applyFont="1" applyFill="1" applyBorder="1" applyAlignment="1">
      <alignment horizontal="center"/>
    </xf>
    <xf numFmtId="0" fontId="23" fillId="43" borderId="172" xfId="0" applyFont="1" applyFill="1" applyBorder="1" applyAlignment="1">
      <alignment horizontal="center"/>
    </xf>
    <xf numFmtId="2" fontId="47" fillId="0" borderId="0" xfId="0" applyNumberFormat="1" applyFont="1"/>
    <xf numFmtId="167" fontId="4" fillId="0" borderId="17" xfId="0" applyNumberFormat="1" applyFont="1" applyBorder="1" applyAlignment="1">
      <alignment horizontal="center" vertical="center"/>
    </xf>
    <xf numFmtId="1" fontId="12" fillId="0" borderId="46" xfId="0" applyNumberFormat="1" applyFont="1" applyBorder="1" applyAlignment="1">
      <alignment horizontal="center" vertical="center"/>
    </xf>
    <xf numFmtId="1" fontId="20" fillId="45" borderId="123" xfId="0" applyNumberFormat="1" applyFont="1" applyFill="1" applyBorder="1" applyAlignment="1">
      <alignment horizontal="center" vertical="center"/>
    </xf>
    <xf numFmtId="0" fontId="18" fillId="8" borderId="133" xfId="0" applyFont="1" applyFill="1" applyBorder="1" applyAlignment="1">
      <alignment vertical="center"/>
    </xf>
    <xf numFmtId="1" fontId="19" fillId="5" borderId="133" xfId="0" applyNumberFormat="1" applyFont="1" applyFill="1" applyBorder="1" applyAlignment="1">
      <alignment horizontal="center" vertical="center"/>
    </xf>
    <xf numFmtId="1" fontId="19" fillId="6" borderId="133" xfId="0" applyNumberFormat="1" applyFont="1" applyFill="1" applyBorder="1" applyAlignment="1">
      <alignment horizontal="center" vertical="center"/>
    </xf>
    <xf numFmtId="1" fontId="19" fillId="5" borderId="46" xfId="0" applyNumberFormat="1" applyFont="1" applyFill="1" applyBorder="1" applyAlignment="1">
      <alignment horizontal="center" vertical="center"/>
    </xf>
    <xf numFmtId="1" fontId="19" fillId="6" borderId="46" xfId="0" applyNumberFormat="1" applyFont="1" applyFill="1" applyBorder="1" applyAlignment="1">
      <alignment horizontal="center" vertical="center"/>
    </xf>
    <xf numFmtId="1" fontId="20" fillId="7" borderId="82" xfId="0" applyNumberFormat="1" applyFont="1" applyFill="1" applyBorder="1" applyAlignment="1">
      <alignment horizontal="center" vertical="center"/>
    </xf>
    <xf numFmtId="1" fontId="20" fillId="5" borderId="79" xfId="0" applyNumberFormat="1" applyFont="1" applyFill="1" applyBorder="1" applyAlignment="1">
      <alignment horizontal="center" vertical="center"/>
    </xf>
    <xf numFmtId="1" fontId="20" fillId="7" borderId="79" xfId="0" applyNumberFormat="1" applyFont="1" applyFill="1" applyBorder="1" applyAlignment="1">
      <alignment horizontal="center" vertical="center"/>
    </xf>
    <xf numFmtId="1" fontId="19" fillId="5" borderId="79" xfId="0" applyNumberFormat="1" applyFont="1" applyFill="1" applyBorder="1" applyAlignment="1">
      <alignment horizontal="center" vertical="center"/>
    </xf>
    <xf numFmtId="1" fontId="19" fillId="6" borderId="79" xfId="0" applyNumberFormat="1" applyFont="1" applyFill="1" applyBorder="1" applyAlignment="1">
      <alignment horizontal="center" vertical="center"/>
    </xf>
    <xf numFmtId="0" fontId="18" fillId="8" borderId="172" xfId="0" applyFont="1" applyFill="1" applyBorder="1" applyAlignment="1">
      <alignment vertical="center"/>
    </xf>
    <xf numFmtId="1" fontId="20" fillId="6" borderId="172" xfId="0" applyNumberFormat="1" applyFont="1" applyFill="1" applyBorder="1" applyAlignment="1">
      <alignment vertical="center"/>
    </xf>
    <xf numFmtId="1" fontId="20" fillId="6" borderId="172" xfId="0" applyNumberFormat="1" applyFont="1" applyFill="1" applyBorder="1" applyAlignment="1">
      <alignment horizontal="center" vertical="center"/>
    </xf>
    <xf numFmtId="1" fontId="18" fillId="5" borderId="172" xfId="0" applyNumberFormat="1" applyFont="1" applyFill="1" applyBorder="1" applyAlignment="1">
      <alignment horizontal="center" vertical="center"/>
    </xf>
    <xf numFmtId="0" fontId="20" fillId="8" borderId="138" xfId="0" applyFont="1" applyFill="1" applyBorder="1" applyAlignment="1">
      <alignment horizontal="right" vertical="center" indent="1"/>
    </xf>
    <xf numFmtId="1" fontId="21" fillId="6" borderId="172" xfId="0" applyNumberFormat="1" applyFont="1" applyFill="1" applyBorder="1" applyAlignment="1">
      <alignment horizontal="center" vertical="center"/>
    </xf>
    <xf numFmtId="1" fontId="21" fillId="7" borderId="172" xfId="0" applyNumberFormat="1" applyFont="1" applyFill="1" applyBorder="1" applyAlignment="1">
      <alignment horizontal="center" vertical="center"/>
    </xf>
    <xf numFmtId="1" fontId="19" fillId="8" borderId="126" xfId="186" applyNumberFormat="1" applyFont="1" applyFill="1" applyBorder="1" applyAlignment="1">
      <alignment horizontal="center" vertical="top"/>
    </xf>
    <xf numFmtId="1" fontId="19" fillId="8" borderId="172" xfId="186" applyNumberFormat="1" applyFont="1" applyFill="1" applyBorder="1" applyAlignment="1">
      <alignment horizontal="center" vertical="top"/>
    </xf>
    <xf numFmtId="1" fontId="19" fillId="5" borderId="172" xfId="186" applyNumberFormat="1" applyFont="1" applyFill="1" applyBorder="1" applyAlignment="1">
      <alignment horizontal="center" vertical="top"/>
    </xf>
    <xf numFmtId="1" fontId="19" fillId="7" borderId="172" xfId="186" applyNumberFormat="1" applyFont="1" applyFill="1" applyBorder="1" applyAlignment="1">
      <alignment horizontal="center" vertical="top"/>
    </xf>
    <xf numFmtId="1" fontId="19" fillId="53" borderId="172" xfId="186" applyNumberFormat="1" applyFont="1" applyFill="1" applyBorder="1" applyAlignment="1">
      <alignment horizontal="center" vertical="top"/>
    </xf>
    <xf numFmtId="169" fontId="7" fillId="8" borderId="31" xfId="0" applyNumberFormat="1" applyFont="1" applyFill="1" applyBorder="1" applyAlignment="1">
      <alignment horizontal="center" vertical="center"/>
    </xf>
    <xf numFmtId="167" fontId="18" fillId="8" borderId="30" xfId="0" applyNumberFormat="1" applyFont="1" applyFill="1" applyBorder="1" applyAlignment="1">
      <alignment horizontal="center" vertical="center"/>
    </xf>
    <xf numFmtId="1" fontId="4" fillId="50" borderId="141" xfId="0" applyNumberFormat="1" applyFont="1" applyFill="1" applyBorder="1" applyAlignment="1">
      <alignment horizontal="center" vertical="center"/>
    </xf>
    <xf numFmtId="1" fontId="4" fillId="8" borderId="126" xfId="0" applyNumberFormat="1" applyFont="1" applyFill="1" applyBorder="1" applyAlignment="1">
      <alignment horizontal="center" vertical="center"/>
    </xf>
    <xf numFmtId="1" fontId="4" fillId="8" borderId="172" xfId="0" applyNumberFormat="1" applyFont="1" applyFill="1" applyBorder="1" applyAlignment="1">
      <alignment horizontal="center" vertical="center"/>
    </xf>
    <xf numFmtId="169" fontId="21" fillId="7" borderId="10" xfId="0" applyNumberFormat="1" applyFont="1" applyFill="1" applyBorder="1" applyAlignment="1">
      <alignment horizontal="center" vertical="center"/>
    </xf>
    <xf numFmtId="0" fontId="27" fillId="0" borderId="2" xfId="0" applyFont="1" applyBorder="1" applyAlignment="1">
      <alignment horizontal="center" vertical="center"/>
    </xf>
    <xf numFmtId="0" fontId="27" fillId="0" borderId="25" xfId="0" applyFont="1" applyBorder="1" applyAlignment="1">
      <alignment horizontal="center" vertical="center"/>
    </xf>
    <xf numFmtId="2" fontId="20" fillId="0" borderId="30" xfId="0" applyNumberFormat="1" applyFont="1" applyBorder="1" applyAlignment="1">
      <alignment horizontal="center" vertical="center"/>
    </xf>
    <xf numFmtId="167" fontId="20" fillId="0" borderId="29" xfId="0" applyNumberFormat="1" applyFont="1" applyBorder="1" applyAlignment="1">
      <alignment horizontal="center" vertical="center"/>
    </xf>
    <xf numFmtId="167" fontId="20" fillId="0" borderId="59" xfId="0" applyNumberFormat="1" applyFont="1" applyBorder="1" applyAlignment="1">
      <alignment horizontal="center" vertical="center"/>
    </xf>
    <xf numFmtId="2" fontId="20" fillId="0" borderId="125" xfId="0" applyNumberFormat="1" applyFont="1" applyBorder="1" applyAlignment="1">
      <alignment horizontal="center" vertical="center"/>
    </xf>
    <xf numFmtId="0" fontId="80" fillId="0" borderId="172" xfId="0" applyFont="1" applyBorder="1" applyAlignment="1">
      <alignment horizontal="left" vertical="center"/>
    </xf>
    <xf numFmtId="1" fontId="113" fillId="32" borderId="23" xfId="0" applyNumberFormat="1" applyFont="1" applyFill="1" applyBorder="1" applyAlignment="1">
      <alignment horizontal="center" vertical="center"/>
    </xf>
    <xf numFmtId="1" fontId="45" fillId="0" borderId="31" xfId="0" applyNumberFormat="1" applyFont="1" applyBorder="1" applyAlignment="1">
      <alignment horizontal="center" vertical="center"/>
    </xf>
    <xf numFmtId="1" fontId="45" fillId="0" borderId="138" xfId="0" applyNumberFormat="1" applyFont="1" applyBorder="1" applyAlignment="1">
      <alignment horizontal="center" vertical="center"/>
    </xf>
    <xf numFmtId="1" fontId="113" fillId="32" borderId="108" xfId="0" applyNumberFormat="1" applyFont="1" applyFill="1" applyBorder="1" applyAlignment="1">
      <alignment horizontal="center" vertical="center"/>
    </xf>
    <xf numFmtId="1" fontId="48" fillId="0" borderId="106" xfId="0" applyNumberFormat="1" applyFont="1" applyBorder="1" applyAlignment="1">
      <alignment horizontal="center" vertical="center"/>
    </xf>
    <xf numFmtId="1" fontId="48" fillId="32" borderId="106" xfId="0" applyNumberFormat="1" applyFont="1" applyFill="1" applyBorder="1" applyAlignment="1">
      <alignment horizontal="center" vertical="center"/>
    </xf>
    <xf numFmtId="1" fontId="18" fillId="50" borderId="141" xfId="0" applyNumberFormat="1" applyFont="1" applyFill="1" applyBorder="1" applyAlignment="1">
      <alignment horizontal="center" vertical="center"/>
    </xf>
    <xf numFmtId="1" fontId="18" fillId="8" borderId="126" xfId="0" applyNumberFormat="1" applyFont="1" applyFill="1" applyBorder="1" applyAlignment="1">
      <alignment horizontal="center" vertical="center"/>
    </xf>
    <xf numFmtId="1" fontId="0" fillId="50" borderId="141" xfId="0" applyNumberFormat="1" applyFill="1" applyBorder="1" applyAlignment="1">
      <alignment horizontal="center" vertical="center"/>
    </xf>
    <xf numFmtId="1" fontId="0" fillId="0" borderId="126" xfId="0" applyNumberFormat="1" applyBorder="1" applyAlignment="1">
      <alignment horizontal="center" vertical="center"/>
    </xf>
    <xf numFmtId="0" fontId="12" fillId="0" borderId="173" xfId="0" applyFont="1" applyBorder="1" applyAlignment="1">
      <alignment horizontal="right" vertical="center"/>
    </xf>
    <xf numFmtId="1" fontId="20" fillId="0" borderId="173" xfId="0" applyNumberFormat="1" applyFont="1" applyBorder="1" applyAlignment="1">
      <alignment horizontal="center" vertical="center"/>
    </xf>
    <xf numFmtId="1" fontId="12" fillId="0" borderId="173" xfId="0" applyNumberFormat="1" applyFont="1" applyBorder="1" applyAlignment="1">
      <alignment horizontal="center" vertical="center"/>
    </xf>
    <xf numFmtId="1" fontId="12" fillId="7" borderId="173" xfId="0" applyNumberFormat="1" applyFont="1" applyFill="1" applyBorder="1" applyAlignment="1">
      <alignment horizontal="center" vertical="center"/>
    </xf>
    <xf numFmtId="1" fontId="12" fillId="5" borderId="173" xfId="0" applyNumberFormat="1" applyFont="1" applyFill="1" applyBorder="1" applyAlignment="1">
      <alignment horizontal="center" vertical="center"/>
    </xf>
    <xf numFmtId="1" fontId="12" fillId="6" borderId="173" xfId="0" applyNumberFormat="1" applyFont="1" applyFill="1" applyBorder="1" applyAlignment="1">
      <alignment horizontal="center" vertical="center"/>
    </xf>
    <xf numFmtId="1" fontId="20" fillId="8" borderId="173" xfId="0" applyNumberFormat="1" applyFont="1" applyFill="1" applyBorder="1" applyAlignment="1">
      <alignment horizontal="center" vertical="center"/>
    </xf>
    <xf numFmtId="0" fontId="20" fillId="0" borderId="173" xfId="0" applyFont="1" applyBorder="1" applyAlignment="1">
      <alignment horizontal="left" vertical="center"/>
    </xf>
    <xf numFmtId="1" fontId="20" fillId="7" borderId="173" xfId="0" applyNumberFormat="1" applyFont="1" applyFill="1" applyBorder="1" applyAlignment="1">
      <alignment horizontal="center" vertical="center"/>
    </xf>
    <xf numFmtId="1" fontId="20" fillId="5" borderId="173" xfId="0" applyNumberFormat="1" applyFont="1" applyFill="1" applyBorder="1" applyAlignment="1">
      <alignment horizontal="center" vertical="center"/>
    </xf>
    <xf numFmtId="0" fontId="20" fillId="0" borderId="173" xfId="0" applyFont="1" applyBorder="1" applyAlignment="1">
      <alignment horizontal="center" vertical="center"/>
    </xf>
    <xf numFmtId="1" fontId="21" fillId="8" borderId="173" xfId="0" applyNumberFormat="1" applyFont="1" applyFill="1" applyBorder="1" applyAlignment="1">
      <alignment horizontal="center" vertical="center"/>
    </xf>
    <xf numFmtId="1" fontId="21" fillId="5" borderId="173" xfId="0" applyNumberFormat="1" applyFont="1" applyFill="1" applyBorder="1" applyAlignment="1">
      <alignment horizontal="center" vertical="center"/>
    </xf>
    <xf numFmtId="1" fontId="20" fillId="7" borderId="0" xfId="0" applyNumberFormat="1" applyFont="1" applyFill="1" applyAlignment="1">
      <alignment horizontal="center" vertical="center"/>
    </xf>
    <xf numFmtId="0" fontId="0" fillId="0" borderId="173" xfId="0" applyBorder="1"/>
    <xf numFmtId="0" fontId="21" fillId="8" borderId="173" xfId="0" applyFont="1" applyFill="1" applyBorder="1" applyAlignment="1">
      <alignment horizontal="left" vertical="top" wrapText="1"/>
    </xf>
    <xf numFmtId="1" fontId="21" fillId="6" borderId="173" xfId="0" applyNumberFormat="1" applyFont="1" applyFill="1" applyBorder="1" applyAlignment="1">
      <alignment horizontal="center" vertical="center"/>
    </xf>
    <xf numFmtId="1" fontId="21" fillId="0" borderId="173" xfId="0" applyNumberFormat="1" applyFont="1" applyBorder="1" applyAlignment="1">
      <alignment horizontal="center" vertical="center"/>
    </xf>
    <xf numFmtId="1" fontId="21" fillId="7" borderId="173" xfId="0" applyNumberFormat="1" applyFont="1" applyFill="1" applyBorder="1" applyAlignment="1">
      <alignment horizontal="center" vertical="center"/>
    </xf>
    <xf numFmtId="180" fontId="0" fillId="0" borderId="0" xfId="0" applyNumberFormat="1"/>
    <xf numFmtId="1" fontId="20" fillId="7" borderId="173" xfId="0" applyNumberFormat="1" applyFont="1" applyFill="1" applyBorder="1" applyAlignment="1">
      <alignment vertical="center"/>
    </xf>
    <xf numFmtId="1" fontId="20" fillId="5" borderId="173" xfId="0" applyNumberFormat="1" applyFont="1" applyFill="1" applyBorder="1" applyAlignment="1">
      <alignment vertical="center"/>
    </xf>
    <xf numFmtId="1" fontId="20" fillId="0" borderId="3" xfId="0" applyNumberFormat="1" applyFont="1" applyBorder="1" applyAlignment="1">
      <alignment horizontal="center" vertical="center"/>
    </xf>
    <xf numFmtId="1" fontId="21" fillId="0" borderId="18" xfId="0" applyNumberFormat="1" applyFont="1" applyBorder="1" applyAlignment="1">
      <alignment horizontal="center" vertical="center"/>
    </xf>
    <xf numFmtId="1" fontId="21" fillId="0" borderId="174" xfId="0" applyNumberFormat="1" applyFont="1" applyBorder="1" applyAlignment="1">
      <alignment horizontal="center" vertical="center"/>
    </xf>
    <xf numFmtId="2" fontId="12" fillId="8" borderId="130" xfId="0" applyNumberFormat="1" applyFont="1" applyFill="1" applyBorder="1" applyAlignment="1">
      <alignment horizontal="center" vertical="center"/>
    </xf>
    <xf numFmtId="1" fontId="12" fillId="5" borderId="130" xfId="0" applyNumberFormat="1" applyFont="1" applyFill="1" applyBorder="1" applyAlignment="1">
      <alignment horizontal="center" vertical="center"/>
    </xf>
    <xf numFmtId="167" fontId="12" fillId="5" borderId="130" xfId="0" applyNumberFormat="1" applyFont="1" applyFill="1" applyBorder="1" applyAlignment="1">
      <alignment horizontal="center" vertical="center"/>
    </xf>
    <xf numFmtId="1" fontId="12" fillId="7" borderId="130" xfId="0" applyNumberFormat="1" applyFont="1" applyFill="1" applyBorder="1" applyAlignment="1">
      <alignment horizontal="center" vertical="center"/>
    </xf>
    <xf numFmtId="167" fontId="12" fillId="7" borderId="130" xfId="0" applyNumberFormat="1" applyFont="1" applyFill="1" applyBorder="1" applyAlignment="1">
      <alignment horizontal="center" vertical="center"/>
    </xf>
    <xf numFmtId="1" fontId="12" fillId="6" borderId="130" xfId="0" applyNumberFormat="1" applyFont="1" applyFill="1" applyBorder="1" applyAlignment="1">
      <alignment horizontal="center" vertical="center"/>
    </xf>
    <xf numFmtId="167" fontId="12" fillId="8" borderId="130" xfId="0" applyNumberFormat="1" applyFont="1" applyFill="1" applyBorder="1" applyAlignment="1">
      <alignment horizontal="center" vertical="center"/>
    </xf>
    <xf numFmtId="1" fontId="19" fillId="5" borderId="173" xfId="0" applyNumberFormat="1" applyFont="1" applyFill="1" applyBorder="1" applyAlignment="1">
      <alignment horizontal="center" vertical="center"/>
    </xf>
    <xf numFmtId="1" fontId="19" fillId="6" borderId="173" xfId="0" applyNumberFormat="1" applyFont="1" applyFill="1" applyBorder="1" applyAlignment="1">
      <alignment horizontal="center" vertical="center"/>
    </xf>
    <xf numFmtId="0" fontId="183" fillId="0" borderId="173" xfId="0" applyFont="1" applyBorder="1"/>
    <xf numFmtId="1" fontId="183" fillId="8" borderId="173" xfId="0" applyNumberFormat="1" applyFont="1" applyFill="1" applyBorder="1" applyAlignment="1">
      <alignment horizontal="center"/>
    </xf>
    <xf numFmtId="1" fontId="183" fillId="7" borderId="173" xfId="0" applyNumberFormat="1" applyFont="1" applyFill="1" applyBorder="1" applyAlignment="1">
      <alignment horizontal="center"/>
    </xf>
    <xf numFmtId="1" fontId="183" fillId="5" borderId="173" xfId="0" applyNumberFormat="1" applyFont="1" applyFill="1" applyBorder="1" applyAlignment="1">
      <alignment horizontal="center"/>
    </xf>
    <xf numFmtId="1" fontId="183" fillId="6" borderId="173" xfId="0" applyNumberFormat="1" applyFont="1" applyFill="1" applyBorder="1" applyAlignment="1">
      <alignment horizontal="center"/>
    </xf>
    <xf numFmtId="1" fontId="183" fillId="0" borderId="172" xfId="0" applyNumberFormat="1" applyFont="1" applyBorder="1" applyAlignment="1">
      <alignment horizontal="center"/>
    </xf>
    <xf numFmtId="167" fontId="11" fillId="0" borderId="0" xfId="0" applyNumberFormat="1" applyFont="1"/>
    <xf numFmtId="169" fontId="18" fillId="6" borderId="10" xfId="0" applyNumberFormat="1" applyFont="1" applyFill="1" applyBorder="1" applyAlignment="1">
      <alignment horizontal="center" vertical="center"/>
    </xf>
    <xf numFmtId="1" fontId="18" fillId="5" borderId="173" xfId="0" applyNumberFormat="1" applyFont="1" applyFill="1" applyBorder="1" applyAlignment="1">
      <alignment horizontal="center" vertical="center"/>
    </xf>
    <xf numFmtId="1" fontId="20" fillId="50" borderId="173" xfId="0" applyNumberFormat="1" applyFont="1" applyFill="1" applyBorder="1" applyAlignment="1">
      <alignment horizontal="center" vertical="center"/>
    </xf>
    <xf numFmtId="1" fontId="4" fillId="8" borderId="171" xfId="0" applyNumberFormat="1" applyFont="1" applyFill="1" applyBorder="1" applyAlignment="1">
      <alignment horizontal="center" vertical="center"/>
    </xf>
    <xf numFmtId="1" fontId="4" fillId="8" borderId="173" xfId="0" applyNumberFormat="1" applyFont="1" applyFill="1" applyBorder="1" applyAlignment="1">
      <alignment horizontal="center" vertical="center"/>
    </xf>
    <xf numFmtId="167" fontId="47" fillId="0" borderId="0" xfId="0" applyNumberFormat="1" applyFont="1"/>
    <xf numFmtId="1" fontId="47" fillId="0" borderId="0" xfId="0" applyNumberFormat="1" applyFont="1" applyAlignment="1">
      <alignment horizontal="center"/>
    </xf>
    <xf numFmtId="1" fontId="45" fillId="0" borderId="0" xfId="0" applyNumberFormat="1" applyFont="1" applyAlignment="1">
      <alignment horizontal="center"/>
    </xf>
    <xf numFmtId="1" fontId="47" fillId="8" borderId="0" xfId="0" applyNumberFormat="1" applyFont="1" applyFill="1" applyAlignment="1">
      <alignment horizontal="center"/>
    </xf>
    <xf numFmtId="170" fontId="177" fillId="0" borderId="0" xfId="0" applyNumberFormat="1" applyFont="1" applyAlignment="1">
      <alignment horizontal="center" vertical="center"/>
    </xf>
    <xf numFmtId="0" fontId="45" fillId="0" borderId="108" xfId="0" applyFont="1" applyBorder="1"/>
    <xf numFmtId="1" fontId="14" fillId="0" borderId="168" xfId="0" applyNumberFormat="1" applyFont="1" applyBorder="1" applyAlignment="1">
      <alignment horizontal="center" vertical="center"/>
    </xf>
    <xf numFmtId="1" fontId="14" fillId="0" borderId="173" xfId="0" applyNumberFormat="1" applyFont="1" applyBorder="1" applyAlignment="1">
      <alignment horizontal="center" vertical="center"/>
    </xf>
    <xf numFmtId="167" fontId="20" fillId="4" borderId="31" xfId="0" applyNumberFormat="1" applyFont="1" applyFill="1" applyBorder="1" applyAlignment="1">
      <alignment horizontal="center" vertical="center"/>
    </xf>
    <xf numFmtId="2" fontId="20" fillId="4" borderId="17" xfId="0" applyNumberFormat="1" applyFont="1" applyFill="1" applyBorder="1" applyAlignment="1">
      <alignment horizontal="center" vertical="center"/>
    </xf>
    <xf numFmtId="167" fontId="20" fillId="4" borderId="53" xfId="0" applyNumberFormat="1" applyFont="1" applyFill="1" applyBorder="1" applyAlignment="1">
      <alignment horizontal="center" vertical="center"/>
    </xf>
    <xf numFmtId="167" fontId="14" fillId="7" borderId="10" xfId="0" applyNumberFormat="1" applyFont="1" applyFill="1" applyBorder="1" applyAlignment="1">
      <alignment horizontal="center" vertical="center"/>
    </xf>
    <xf numFmtId="0" fontId="18" fillId="7" borderId="30" xfId="0" applyFont="1" applyFill="1" applyBorder="1" applyAlignment="1">
      <alignment horizontal="center" vertical="center"/>
    </xf>
    <xf numFmtId="0" fontId="21" fillId="7" borderId="132" xfId="0" applyFont="1" applyFill="1" applyBorder="1" applyAlignment="1">
      <alignment horizontal="center" vertical="center"/>
    </xf>
    <xf numFmtId="0" fontId="12" fillId="4" borderId="0" xfId="0" applyFont="1" applyFill="1"/>
    <xf numFmtId="0" fontId="20" fillId="4" borderId="32" xfId="0" applyFont="1" applyFill="1" applyBorder="1" applyAlignment="1">
      <alignment horizontal="left" vertical="center" wrapText="1" indent="1"/>
    </xf>
    <xf numFmtId="0" fontId="20" fillId="4" borderId="68" xfId="0" applyFont="1" applyFill="1" applyBorder="1" applyAlignment="1">
      <alignment horizontal="center" vertical="center"/>
    </xf>
    <xf numFmtId="0" fontId="20" fillId="4" borderId="32" xfId="0" applyFont="1" applyFill="1" applyBorder="1" applyAlignment="1">
      <alignment horizontal="center" vertical="center"/>
    </xf>
    <xf numFmtId="0" fontId="20" fillId="4" borderId="23" xfId="0" applyFont="1" applyFill="1" applyBorder="1" applyAlignment="1">
      <alignment horizontal="center" vertical="center"/>
    </xf>
    <xf numFmtId="0" fontId="20" fillId="4" borderId="33" xfId="0" applyFont="1" applyFill="1" applyBorder="1" applyAlignment="1">
      <alignment horizontal="center" vertical="center"/>
    </xf>
    <xf numFmtId="1" fontId="12" fillId="4" borderId="0" xfId="0" applyNumberFormat="1" applyFont="1" applyFill="1"/>
    <xf numFmtId="2" fontId="12" fillId="4" borderId="0" xfId="0" applyNumberFormat="1" applyFont="1" applyFill="1"/>
    <xf numFmtId="1" fontId="79" fillId="8" borderId="6" xfId="186" applyNumberFormat="1" applyFont="1" applyFill="1" applyBorder="1" applyAlignment="1">
      <alignment horizontal="center" vertical="center"/>
    </xf>
    <xf numFmtId="1" fontId="78" fillId="8" borderId="17" xfId="186" applyNumberFormat="1" applyFont="1" applyFill="1" applyBorder="1" applyAlignment="1">
      <alignment horizontal="center" vertical="center"/>
    </xf>
    <xf numFmtId="1" fontId="78" fillId="8" borderId="29" xfId="186" applyNumberFormat="1" applyFont="1" applyFill="1" applyBorder="1" applyAlignment="1">
      <alignment horizontal="center" vertical="center"/>
    </xf>
    <xf numFmtId="1" fontId="78" fillId="8" borderId="107" xfId="186" applyNumberFormat="1" applyFont="1" applyFill="1" applyBorder="1" applyAlignment="1">
      <alignment horizontal="center" vertical="center"/>
    </xf>
    <xf numFmtId="1" fontId="78" fillId="8" borderId="106" xfId="186" applyNumberFormat="1" applyFont="1" applyFill="1" applyBorder="1" applyAlignment="1">
      <alignment horizontal="center" vertical="center"/>
    </xf>
    <xf numFmtId="1" fontId="78" fillId="8" borderId="6" xfId="186" applyNumberFormat="1" applyFont="1" applyFill="1" applyBorder="1" applyAlignment="1">
      <alignment horizontal="center" vertical="center"/>
    </xf>
    <xf numFmtId="1" fontId="54" fillId="8" borderId="0" xfId="0" applyNumberFormat="1" applyFont="1" applyFill="1"/>
    <xf numFmtId="0" fontId="54" fillId="8" borderId="0" xfId="0" applyFont="1" applyFill="1"/>
    <xf numFmtId="0" fontId="183" fillId="8" borderId="171" xfId="0" applyFont="1" applyFill="1" applyBorder="1" applyAlignment="1">
      <alignment horizontal="right" vertical="center"/>
    </xf>
    <xf numFmtId="0" fontId="183" fillId="8" borderId="173" xfId="0" applyFont="1" applyFill="1" applyBorder="1"/>
    <xf numFmtId="1" fontId="45" fillId="0" borderId="39" xfId="0" applyNumberFormat="1" applyFont="1" applyBorder="1"/>
    <xf numFmtId="0" fontId="45" fillId="0" borderId="39" xfId="0" applyFont="1" applyBorder="1"/>
    <xf numFmtId="1" fontId="45" fillId="0" borderId="39" xfId="0" applyNumberFormat="1" applyFont="1" applyBorder="1" applyAlignment="1">
      <alignment horizontal="center" vertical="center"/>
    </xf>
    <xf numFmtId="167" fontId="21" fillId="6" borderId="116" xfId="0" applyNumberFormat="1" applyFont="1" applyFill="1" applyBorder="1" applyAlignment="1">
      <alignment horizontal="center" vertical="center"/>
    </xf>
    <xf numFmtId="167" fontId="12" fillId="6" borderId="130" xfId="0" applyNumberFormat="1" applyFont="1" applyFill="1" applyBorder="1" applyAlignment="1">
      <alignment horizontal="center" vertical="center"/>
    </xf>
    <xf numFmtId="167" fontId="26" fillId="6" borderId="10" xfId="0" applyNumberFormat="1" applyFont="1" applyFill="1" applyBorder="1" applyAlignment="1">
      <alignment horizontal="center" vertical="center"/>
    </xf>
    <xf numFmtId="1" fontId="14" fillId="0" borderId="71" xfId="0" applyNumberFormat="1" applyFont="1" applyBorder="1" applyAlignment="1">
      <alignment horizontal="center" vertical="center"/>
    </xf>
    <xf numFmtId="1" fontId="194" fillId="8" borderId="108" xfId="0" applyNumberFormat="1" applyFont="1" applyFill="1" applyBorder="1" applyAlignment="1">
      <alignment vertical="center"/>
    </xf>
    <xf numFmtId="1" fontId="12" fillId="8" borderId="41" xfId="0" applyNumberFormat="1" applyFont="1" applyFill="1" applyBorder="1" applyAlignment="1">
      <alignment horizontal="center" vertical="center"/>
    </xf>
    <xf numFmtId="1" fontId="12" fillId="8" borderId="23" xfId="0" applyNumberFormat="1" applyFont="1" applyFill="1" applyBorder="1" applyAlignment="1">
      <alignment horizontal="center" vertical="center"/>
    </xf>
    <xf numFmtId="1" fontId="12" fillId="8" borderId="30" xfId="0" applyNumberFormat="1" applyFont="1" applyFill="1" applyBorder="1" applyAlignment="1">
      <alignment horizontal="center" vertical="center"/>
    </xf>
    <xf numFmtId="1" fontId="12" fillId="8" borderId="163" xfId="0" applyNumberFormat="1" applyFont="1" applyFill="1" applyBorder="1" applyAlignment="1">
      <alignment horizontal="center" vertical="center"/>
    </xf>
    <xf numFmtId="1" fontId="12" fillId="8" borderId="108" xfId="0" applyNumberFormat="1" applyFont="1" applyFill="1" applyBorder="1" applyAlignment="1">
      <alignment horizontal="center" vertical="center"/>
    </xf>
    <xf numFmtId="1" fontId="12" fillId="8" borderId="5" xfId="0" applyNumberFormat="1" applyFont="1" applyFill="1" applyBorder="1" applyAlignment="1">
      <alignment horizontal="center" vertical="center"/>
    </xf>
    <xf numFmtId="1" fontId="12" fillId="8" borderId="14" xfId="0" applyNumberFormat="1" applyFont="1" applyFill="1" applyBorder="1" applyAlignment="1">
      <alignment horizontal="center" vertical="center"/>
    </xf>
    <xf numFmtId="2" fontId="12" fillId="8" borderId="10" xfId="0" applyNumberFormat="1" applyFont="1" applyFill="1" applyBorder="1" applyAlignment="1">
      <alignment horizontal="center" vertical="center"/>
    </xf>
    <xf numFmtId="167" fontId="12" fillId="8" borderId="10" xfId="0" applyNumberFormat="1" applyFont="1" applyFill="1" applyBorder="1" applyAlignment="1">
      <alignment horizontal="center" vertical="center"/>
    </xf>
    <xf numFmtId="1" fontId="12" fillId="8" borderId="159" xfId="0" applyNumberFormat="1" applyFont="1" applyFill="1" applyBorder="1" applyAlignment="1">
      <alignment horizontal="center" vertical="center"/>
    </xf>
    <xf numFmtId="1" fontId="27" fillId="8" borderId="144" xfId="0" applyNumberFormat="1" applyFont="1" applyFill="1" applyBorder="1" applyAlignment="1">
      <alignment horizontal="center" vertical="center"/>
    </xf>
    <xf numFmtId="0" fontId="23" fillId="8" borderId="30" xfId="0" applyFont="1" applyFill="1" applyBorder="1" applyAlignment="1">
      <alignment horizontal="center" vertical="center"/>
    </xf>
    <xf numFmtId="169" fontId="12" fillId="8" borderId="10" xfId="0" applyNumberFormat="1" applyFont="1" applyFill="1" applyBorder="1" applyAlignment="1">
      <alignment horizontal="center" vertical="center"/>
    </xf>
    <xf numFmtId="2" fontId="12" fillId="0" borderId="10" xfId="0" applyNumberFormat="1" applyFont="1" applyBorder="1" applyAlignment="1">
      <alignment horizontal="center" vertical="center"/>
    </xf>
    <xf numFmtId="0" fontId="0" fillId="0" borderId="25" xfId="0" applyBorder="1" applyAlignment="1">
      <alignment horizontal="center" vertical="center"/>
    </xf>
    <xf numFmtId="0" fontId="183" fillId="0" borderId="5" xfId="0" applyFont="1" applyBorder="1" applyAlignment="1">
      <alignment horizontal="center" vertical="center"/>
    </xf>
    <xf numFmtId="0" fontId="0" fillId="0" borderId="55" xfId="0" applyBorder="1" applyAlignment="1">
      <alignment horizontal="center" vertical="center"/>
    </xf>
    <xf numFmtId="1" fontId="183" fillId="8" borderId="41" xfId="0" applyNumberFormat="1" applyFont="1" applyFill="1" applyBorder="1" applyAlignment="1">
      <alignment horizontal="center" vertical="center"/>
    </xf>
    <xf numFmtId="9" fontId="183" fillId="8" borderId="119" xfId="22" applyFont="1" applyFill="1" applyBorder="1" applyAlignment="1">
      <alignment horizontal="center" vertical="center"/>
    </xf>
    <xf numFmtId="0" fontId="12" fillId="8" borderId="0" xfId="0" applyFont="1" applyFill="1" applyAlignment="1">
      <alignment horizontal="center"/>
    </xf>
    <xf numFmtId="0" fontId="0" fillId="8" borderId="0" xfId="0" applyFill="1" applyAlignment="1">
      <alignment horizontal="right"/>
    </xf>
    <xf numFmtId="2" fontId="0" fillId="8" borderId="0" xfId="0" applyNumberFormat="1" applyFill="1"/>
    <xf numFmtId="1" fontId="14" fillId="0" borderId="169" xfId="0" applyNumberFormat="1" applyFont="1" applyBorder="1" applyAlignment="1">
      <alignment horizontal="center" vertical="center"/>
    </xf>
    <xf numFmtId="1" fontId="27" fillId="5" borderId="53" xfId="0" applyNumberFormat="1" applyFont="1" applyFill="1" applyBorder="1" applyAlignment="1">
      <alignment horizontal="center" vertical="center"/>
    </xf>
    <xf numFmtId="1" fontId="27" fillId="7" borderId="8" xfId="0" applyNumberFormat="1" applyFont="1" applyFill="1" applyBorder="1" applyAlignment="1">
      <alignment horizontal="center" vertical="center"/>
    </xf>
    <xf numFmtId="1" fontId="27" fillId="5" borderId="48" xfId="0" applyNumberFormat="1" applyFont="1" applyFill="1" applyBorder="1" applyAlignment="1">
      <alignment horizontal="center" vertical="center"/>
    </xf>
    <xf numFmtId="1" fontId="27" fillId="6" borderId="30" xfId="0" applyNumberFormat="1" applyFont="1" applyFill="1" applyBorder="1" applyAlignment="1">
      <alignment horizontal="center" vertical="center"/>
    </xf>
    <xf numFmtId="1" fontId="14" fillId="7" borderId="30" xfId="0" applyNumberFormat="1" applyFont="1" applyFill="1" applyBorder="1" applyAlignment="1">
      <alignment horizontal="center" vertical="center"/>
    </xf>
    <xf numFmtId="0" fontId="14" fillId="0" borderId="173" xfId="0" applyFont="1" applyBorder="1" applyAlignment="1">
      <alignment horizontal="center" vertical="center"/>
    </xf>
    <xf numFmtId="0" fontId="14" fillId="0" borderId="173" xfId="0" applyFont="1" applyBorder="1" applyAlignment="1">
      <alignment horizontal="right" vertical="center"/>
    </xf>
    <xf numFmtId="1" fontId="27" fillId="0" borderId="173" xfId="0" applyNumberFormat="1" applyFont="1" applyBorder="1" applyAlignment="1">
      <alignment horizontal="center" vertical="center"/>
    </xf>
    <xf numFmtId="167" fontId="27" fillId="0" borderId="173" xfId="0" applyNumberFormat="1" applyFont="1" applyBorder="1" applyAlignment="1">
      <alignment horizontal="center" vertical="center"/>
    </xf>
    <xf numFmtId="1" fontId="14" fillId="0" borderId="8" xfId="0" applyNumberFormat="1" applyFont="1" applyBorder="1" applyAlignment="1">
      <alignment horizontal="center" vertical="center"/>
    </xf>
    <xf numFmtId="1" fontId="14" fillId="0" borderId="171" xfId="0" applyNumberFormat="1" applyFont="1" applyBorder="1" applyAlignment="1">
      <alignment horizontal="center" vertical="center"/>
    </xf>
    <xf numFmtId="1" fontId="14" fillId="0" borderId="143" xfId="0" applyNumberFormat="1" applyFont="1" applyBorder="1" applyAlignment="1">
      <alignment horizontal="center" vertical="center"/>
    </xf>
    <xf numFmtId="1" fontId="14" fillId="0" borderId="7" xfId="0" applyNumberFormat="1" applyFont="1" applyBorder="1" applyAlignment="1">
      <alignment horizontal="center" vertical="center"/>
    </xf>
    <xf numFmtId="167" fontId="14" fillId="8" borderId="139" xfId="0" applyNumberFormat="1" applyFont="1" applyFill="1" applyBorder="1" applyAlignment="1">
      <alignment horizontal="center" vertical="center"/>
    </xf>
    <xf numFmtId="167" fontId="27" fillId="8" borderId="3" xfId="0" applyNumberFormat="1" applyFont="1" applyFill="1" applyBorder="1" applyAlignment="1">
      <alignment horizontal="center" vertical="center"/>
    </xf>
    <xf numFmtId="1" fontId="27" fillId="8" borderId="42" xfId="0" applyNumberFormat="1" applyFont="1" applyFill="1" applyBorder="1" applyAlignment="1">
      <alignment horizontal="center" vertical="center"/>
    </xf>
    <xf numFmtId="1" fontId="27" fillId="8" borderId="3" xfId="0" applyNumberFormat="1" applyFont="1" applyFill="1" applyBorder="1" applyAlignment="1">
      <alignment horizontal="center" vertical="center"/>
    </xf>
    <xf numFmtId="1" fontId="14" fillId="8" borderId="155" xfId="0" applyNumberFormat="1" applyFont="1" applyFill="1" applyBorder="1" applyAlignment="1">
      <alignment horizontal="center" vertical="center"/>
    </xf>
    <xf numFmtId="1" fontId="27" fillId="8" borderId="143" xfId="0" applyNumberFormat="1" applyFont="1" applyFill="1" applyBorder="1" applyAlignment="1">
      <alignment horizontal="center" vertical="center"/>
    </xf>
    <xf numFmtId="167" fontId="14" fillId="8" borderId="111" xfId="0" applyNumberFormat="1" applyFont="1" applyFill="1" applyBorder="1" applyAlignment="1">
      <alignment horizontal="center" vertical="center"/>
    </xf>
    <xf numFmtId="167" fontId="14" fillId="8" borderId="165" xfId="0" applyNumberFormat="1" applyFont="1" applyFill="1" applyBorder="1" applyAlignment="1">
      <alignment horizontal="center" vertical="center"/>
    </xf>
    <xf numFmtId="167" fontId="14" fillId="8" borderId="157" xfId="0" applyNumberFormat="1" applyFont="1" applyFill="1" applyBorder="1" applyAlignment="1">
      <alignment horizontal="center" vertical="center"/>
    </xf>
    <xf numFmtId="167" fontId="27" fillId="8" borderId="139" xfId="0" applyNumberFormat="1" applyFont="1" applyFill="1" applyBorder="1" applyAlignment="1">
      <alignment horizontal="center" vertical="center"/>
    </xf>
    <xf numFmtId="0" fontId="125" fillId="8" borderId="0" xfId="0" applyFont="1" applyFill="1" applyAlignment="1">
      <alignment horizontal="center" vertical="center"/>
    </xf>
    <xf numFmtId="0" fontId="14" fillId="8" borderId="139" xfId="0" applyFont="1" applyFill="1" applyBorder="1" applyAlignment="1">
      <alignment horizontal="left" vertical="center"/>
    </xf>
    <xf numFmtId="1" fontId="27" fillId="8" borderId="140" xfId="0" applyNumberFormat="1" applyFont="1" applyFill="1" applyBorder="1" applyAlignment="1">
      <alignment horizontal="center" vertical="center"/>
    </xf>
    <xf numFmtId="1" fontId="14" fillId="8" borderId="141" xfId="0" applyNumberFormat="1" applyFont="1" applyFill="1" applyBorder="1" applyAlignment="1">
      <alignment horizontal="center" vertical="center"/>
    </xf>
    <xf numFmtId="1" fontId="18" fillId="7" borderId="173" xfId="0" applyNumberFormat="1" applyFont="1" applyFill="1" applyBorder="1" applyAlignment="1">
      <alignment horizontal="center" vertical="center"/>
    </xf>
    <xf numFmtId="1" fontId="19" fillId="8" borderId="173" xfId="0" applyNumberFormat="1" applyFont="1" applyFill="1" applyBorder="1" applyAlignment="1">
      <alignment horizontal="center" vertical="center"/>
    </xf>
    <xf numFmtId="1" fontId="21" fillId="50" borderId="173" xfId="0" applyNumberFormat="1" applyFont="1" applyFill="1" applyBorder="1" applyAlignment="1">
      <alignment horizontal="center" vertical="center"/>
    </xf>
    <xf numFmtId="1" fontId="18" fillId="8" borderId="173" xfId="0" applyNumberFormat="1" applyFont="1" applyFill="1" applyBorder="1" applyAlignment="1">
      <alignment horizontal="center" vertical="center"/>
    </xf>
    <xf numFmtId="1" fontId="19" fillId="7" borderId="173" xfId="0" applyNumberFormat="1" applyFont="1" applyFill="1" applyBorder="1" applyAlignment="1">
      <alignment horizontal="center" vertical="center"/>
    </xf>
    <xf numFmtId="0" fontId="21" fillId="8" borderId="173" xfId="0" applyFont="1" applyFill="1" applyBorder="1" applyAlignment="1">
      <alignment horizontal="right" vertical="center"/>
    </xf>
    <xf numFmtId="0" fontId="20" fillId="0" borderId="173" xfId="0" applyFont="1" applyBorder="1" applyAlignment="1">
      <alignment horizontal="right" vertical="center"/>
    </xf>
    <xf numFmtId="0" fontId="21" fillId="7" borderId="10" xfId="0" applyFont="1" applyFill="1" applyBorder="1" applyAlignment="1">
      <alignment vertical="center"/>
    </xf>
    <xf numFmtId="0" fontId="29" fillId="7" borderId="10" xfId="0" applyFont="1" applyFill="1" applyBorder="1" applyAlignment="1">
      <alignment horizontal="center" vertical="center"/>
    </xf>
    <xf numFmtId="0" fontId="21" fillId="5" borderId="10" xfId="0" applyFont="1" applyFill="1" applyBorder="1" applyAlignment="1">
      <alignment vertical="center"/>
    </xf>
    <xf numFmtId="0" fontId="21" fillId="6" borderId="10" xfId="0" applyFont="1" applyFill="1" applyBorder="1" applyAlignment="1">
      <alignment vertical="center"/>
    </xf>
    <xf numFmtId="1" fontId="20" fillId="6" borderId="173" xfId="0" applyNumberFormat="1" applyFont="1" applyFill="1" applyBorder="1" applyAlignment="1">
      <alignment horizontal="center" vertical="center"/>
    </xf>
    <xf numFmtId="167" fontId="21" fillId="6" borderId="10" xfId="0" applyNumberFormat="1" applyFont="1" applyFill="1" applyBorder="1" applyAlignment="1">
      <alignment horizontal="center" vertical="center"/>
    </xf>
    <xf numFmtId="1" fontId="20" fillId="6" borderId="133" xfId="0" applyNumberFormat="1" applyFont="1" applyFill="1" applyBorder="1" applyAlignment="1">
      <alignment horizontal="center" vertical="center"/>
    </xf>
    <xf numFmtId="1" fontId="20" fillId="6" borderId="0" xfId="0" applyNumberFormat="1" applyFont="1" applyFill="1" applyAlignment="1">
      <alignment horizontal="center" vertical="center"/>
    </xf>
    <xf numFmtId="1" fontId="17" fillId="0" borderId="0" xfId="0" applyNumberFormat="1" applyFont="1"/>
    <xf numFmtId="0" fontId="48" fillId="8" borderId="0" xfId="0" applyFont="1" applyFill="1"/>
    <xf numFmtId="0" fontId="145" fillId="8" borderId="10" xfId="0" applyFont="1" applyFill="1" applyBorder="1" applyAlignment="1">
      <alignment vertical="center"/>
    </xf>
    <xf numFmtId="0" fontId="20" fillId="8" borderId="173" xfId="0" applyFont="1" applyFill="1" applyBorder="1" applyAlignment="1">
      <alignment horizontal="center" vertical="center"/>
    </xf>
    <xf numFmtId="0" fontId="145" fillId="8" borderId="45" xfId="0" applyFont="1" applyFill="1" applyBorder="1" applyAlignment="1">
      <alignment vertical="center"/>
    </xf>
    <xf numFmtId="1" fontId="19" fillId="7" borderId="119" xfId="0" applyNumberFormat="1" applyFont="1" applyFill="1" applyBorder="1" applyAlignment="1">
      <alignment horizontal="center" vertical="center"/>
    </xf>
    <xf numFmtId="1" fontId="19" fillId="6" borderId="119" xfId="0" applyNumberFormat="1" applyFont="1" applyFill="1" applyBorder="1" applyAlignment="1">
      <alignment horizontal="center" vertical="center"/>
    </xf>
    <xf numFmtId="2" fontId="19" fillId="8" borderId="31" xfId="0" applyNumberFormat="1" applyFont="1" applyFill="1" applyBorder="1" applyAlignment="1">
      <alignment horizontal="center" vertical="center"/>
    </xf>
    <xf numFmtId="2" fontId="19" fillId="8" borderId="119" xfId="0" applyNumberFormat="1" applyFont="1" applyFill="1" applyBorder="1" applyAlignment="1">
      <alignment horizontal="center" vertical="center"/>
    </xf>
    <xf numFmtId="169" fontId="19" fillId="8" borderId="31" xfId="0" applyNumberFormat="1" applyFont="1" applyFill="1" applyBorder="1" applyAlignment="1">
      <alignment horizontal="center" vertical="center"/>
    </xf>
    <xf numFmtId="169" fontId="19" fillId="8" borderId="119" xfId="0" applyNumberFormat="1" applyFont="1" applyFill="1" applyBorder="1" applyAlignment="1">
      <alignment horizontal="center" vertical="center"/>
    </xf>
    <xf numFmtId="1" fontId="19" fillId="8" borderId="138" xfId="0" applyNumberFormat="1" applyFont="1" applyFill="1" applyBorder="1" applyAlignment="1">
      <alignment horizontal="center" vertical="center"/>
    </xf>
    <xf numFmtId="1" fontId="19" fillId="8" borderId="31" xfId="0" applyNumberFormat="1" applyFont="1" applyFill="1" applyBorder="1" applyAlignment="1">
      <alignment horizontal="center"/>
    </xf>
    <xf numFmtId="0" fontId="54" fillId="7" borderId="0" xfId="0" applyFont="1" applyFill="1"/>
    <xf numFmtId="0" fontId="112" fillId="8" borderId="159" xfId="0" applyFont="1" applyFill="1" applyBorder="1" applyAlignment="1">
      <alignment horizontal="right" vertical="center"/>
    </xf>
    <xf numFmtId="9" fontId="19" fillId="8" borderId="31" xfId="22" applyFont="1" applyFill="1" applyBorder="1" applyAlignment="1">
      <alignment horizontal="center" vertical="center"/>
    </xf>
    <xf numFmtId="9" fontId="19" fillId="8" borderId="119" xfId="22" applyFont="1" applyFill="1" applyBorder="1" applyAlignment="1">
      <alignment horizontal="center" vertical="center"/>
    </xf>
    <xf numFmtId="9" fontId="19" fillId="8" borderId="119" xfId="0" applyNumberFormat="1" applyFont="1" applyFill="1" applyBorder="1" applyAlignment="1">
      <alignment horizontal="center" vertical="center"/>
    </xf>
    <xf numFmtId="9" fontId="19" fillId="8" borderId="17" xfId="22" applyFont="1" applyFill="1" applyBorder="1" applyAlignment="1">
      <alignment horizontal="center" vertical="center"/>
    </xf>
    <xf numFmtId="9" fontId="19" fillId="8" borderId="106" xfId="22" applyFont="1" applyFill="1" applyBorder="1" applyAlignment="1">
      <alignment horizontal="center" vertical="center"/>
    </xf>
    <xf numFmtId="164" fontId="20" fillId="0" borderId="169" xfId="0" quotePrefix="1" applyNumberFormat="1" applyFont="1" applyBorder="1" applyAlignment="1">
      <alignment horizontal="left" vertical="center"/>
    </xf>
    <xf numFmtId="0" fontId="20" fillId="0" borderId="170" xfId="0" applyFont="1" applyBorder="1" applyAlignment="1">
      <alignment horizontal="center" vertical="center"/>
    </xf>
    <xf numFmtId="0" fontId="32" fillId="8" borderId="169" xfId="0" applyFont="1" applyFill="1" applyBorder="1" applyAlignment="1">
      <alignment horizontal="center" vertical="center"/>
    </xf>
    <xf numFmtId="1" fontId="20" fillId="8" borderId="169" xfId="0" applyNumberFormat="1" applyFont="1" applyFill="1" applyBorder="1" applyAlignment="1">
      <alignment horizontal="center" vertical="center"/>
    </xf>
    <xf numFmtId="1" fontId="20" fillId="7" borderId="169" xfId="0" applyNumberFormat="1" applyFont="1" applyFill="1" applyBorder="1" applyAlignment="1">
      <alignment horizontal="center" vertical="center"/>
    </xf>
    <xf numFmtId="1" fontId="20" fillId="5" borderId="169" xfId="0" applyNumberFormat="1" applyFont="1" applyFill="1" applyBorder="1" applyAlignment="1">
      <alignment horizontal="center" vertical="center"/>
    </xf>
    <xf numFmtId="1" fontId="18" fillId="5" borderId="169" xfId="0" applyNumberFormat="1" applyFont="1" applyFill="1" applyBorder="1" applyAlignment="1">
      <alignment horizontal="center" vertical="center"/>
    </xf>
    <xf numFmtId="1" fontId="18" fillId="6" borderId="169" xfId="0" applyNumberFormat="1" applyFont="1" applyFill="1" applyBorder="1" applyAlignment="1">
      <alignment horizontal="center" vertical="center"/>
    </xf>
    <xf numFmtId="1" fontId="19" fillId="6" borderId="169" xfId="0" applyNumberFormat="1" applyFont="1" applyFill="1" applyBorder="1" applyAlignment="1">
      <alignment horizontal="center" vertical="center"/>
    </xf>
    <xf numFmtId="1" fontId="12" fillId="8" borderId="169" xfId="0" applyNumberFormat="1" applyFont="1" applyFill="1" applyBorder="1" applyAlignment="1">
      <alignment horizontal="center" vertical="center"/>
    </xf>
    <xf numFmtId="164" fontId="20" fillId="0" borderId="173" xfId="0" quotePrefix="1" applyNumberFormat="1" applyFont="1" applyBorder="1" applyAlignment="1">
      <alignment horizontal="left" vertical="center"/>
    </xf>
    <xf numFmtId="0" fontId="32" fillId="8" borderId="173" xfId="0" applyFont="1" applyFill="1" applyBorder="1" applyAlignment="1">
      <alignment horizontal="center" vertical="center"/>
    </xf>
    <xf numFmtId="1" fontId="18" fillId="6" borderId="173" xfId="0" applyNumberFormat="1" applyFont="1" applyFill="1" applyBorder="1" applyAlignment="1">
      <alignment horizontal="center" vertical="center"/>
    </xf>
    <xf numFmtId="1" fontId="12" fillId="8" borderId="173" xfId="0" applyNumberFormat="1" applyFont="1" applyFill="1" applyBorder="1" applyAlignment="1">
      <alignment horizontal="center" vertical="center"/>
    </xf>
    <xf numFmtId="0" fontId="113" fillId="8" borderId="173" xfId="0" applyFont="1" applyFill="1" applyBorder="1" applyAlignment="1">
      <alignment horizontal="left" vertical="center"/>
    </xf>
    <xf numFmtId="0" fontId="18" fillId="8" borderId="173" xfId="0" applyFont="1" applyFill="1" applyBorder="1" applyAlignment="1">
      <alignment horizontal="center" vertical="center"/>
    </xf>
    <xf numFmtId="0" fontId="112" fillId="8" borderId="173" xfId="0" applyFont="1" applyFill="1" applyBorder="1"/>
    <xf numFmtId="1" fontId="112" fillId="8" borderId="173" xfId="0" applyNumberFormat="1" applyFont="1" applyFill="1" applyBorder="1" applyAlignment="1">
      <alignment horizontal="center" vertical="center"/>
    </xf>
    <xf numFmtId="0" fontId="112" fillId="5" borderId="173" xfId="0" applyFont="1" applyFill="1" applyBorder="1" applyAlignment="1">
      <alignment horizontal="center"/>
    </xf>
    <xf numFmtId="1" fontId="19" fillId="7" borderId="173" xfId="0" applyNumberFormat="1" applyFont="1" applyFill="1" applyBorder="1" applyAlignment="1">
      <alignment horizontal="center"/>
    </xf>
    <xf numFmtId="1" fontId="19" fillId="6" borderId="173" xfId="0" applyNumberFormat="1" applyFont="1" applyFill="1" applyBorder="1" applyAlignment="1">
      <alignment horizontal="center"/>
    </xf>
    <xf numFmtId="1" fontId="19" fillId="8" borderId="173" xfId="0" applyNumberFormat="1" applyFont="1" applyFill="1" applyBorder="1" applyAlignment="1">
      <alignment horizontal="center"/>
    </xf>
    <xf numFmtId="0" fontId="112" fillId="7" borderId="173" xfId="0" applyFont="1" applyFill="1" applyBorder="1"/>
    <xf numFmtId="0" fontId="195" fillId="0" borderId="0" xfId="0" applyFont="1" applyAlignment="1">
      <alignment vertical="center"/>
    </xf>
    <xf numFmtId="0" fontId="71" fillId="0" borderId="0" xfId="0" applyFont="1" applyAlignment="1">
      <alignment vertical="center"/>
    </xf>
    <xf numFmtId="0" fontId="71" fillId="0" borderId="143" xfId="0" applyFont="1" applyBorder="1" applyAlignment="1">
      <alignment horizontal="left" vertical="center"/>
    </xf>
    <xf numFmtId="17" fontId="195" fillId="0" borderId="173" xfId="0" applyNumberFormat="1" applyFont="1" applyBorder="1" applyAlignment="1">
      <alignment horizontal="center" vertical="center" wrapText="1"/>
    </xf>
    <xf numFmtId="0" fontId="195" fillId="81" borderId="143" xfId="0" applyFont="1" applyFill="1" applyBorder="1" applyAlignment="1">
      <alignment horizontal="left" vertical="center"/>
    </xf>
    <xf numFmtId="0" fontId="71" fillId="81" borderId="173" xfId="0" applyFont="1" applyFill="1" applyBorder="1" applyAlignment="1">
      <alignment horizontal="center" vertical="center"/>
    </xf>
    <xf numFmtId="0" fontId="71" fillId="8" borderId="173" xfId="0" applyFont="1" applyFill="1" applyBorder="1" applyAlignment="1">
      <alignment horizontal="center" vertical="center"/>
    </xf>
    <xf numFmtId="0" fontId="71" fillId="34" borderId="143" xfId="0" applyFont="1" applyFill="1" applyBorder="1" applyAlignment="1">
      <alignment horizontal="left" vertical="center"/>
    </xf>
    <xf numFmtId="0" fontId="71" fillId="34" borderId="173" xfId="0" applyFont="1" applyFill="1" applyBorder="1" applyAlignment="1">
      <alignment horizontal="center" vertical="center"/>
    </xf>
    <xf numFmtId="1" fontId="71" fillId="8" borderId="173" xfId="0" applyNumberFormat="1" applyFont="1" applyFill="1" applyBorder="1" applyAlignment="1">
      <alignment horizontal="center" vertical="center"/>
    </xf>
    <xf numFmtId="1" fontId="71" fillId="34" borderId="173" xfId="0" applyNumberFormat="1" applyFont="1" applyFill="1" applyBorder="1" applyAlignment="1">
      <alignment horizontal="center" vertical="center"/>
    </xf>
    <xf numFmtId="0" fontId="71" fillId="0" borderId="173" xfId="0" applyFont="1" applyBorder="1" applyAlignment="1">
      <alignment horizontal="center" vertical="center"/>
    </xf>
    <xf numFmtId="0" fontId="71" fillId="0" borderId="143" xfId="0" applyFont="1" applyBorder="1" applyAlignment="1">
      <alignment horizontal="left" vertical="center" wrapText="1"/>
    </xf>
    <xf numFmtId="1" fontId="71" fillId="0" borderId="173" xfId="0" applyNumberFormat="1" applyFont="1" applyBorder="1" applyAlignment="1">
      <alignment horizontal="center" vertical="center"/>
    </xf>
    <xf numFmtId="167" fontId="71" fillId="0" borderId="173" xfId="0" applyNumberFormat="1" applyFont="1" applyBorder="1" applyAlignment="1">
      <alignment horizontal="center" vertical="center"/>
    </xf>
    <xf numFmtId="0" fontId="71" fillId="34" borderId="143" xfId="0" applyFont="1" applyFill="1" applyBorder="1" applyAlignment="1">
      <alignment horizontal="left" vertical="center" wrapText="1"/>
    </xf>
    <xf numFmtId="0" fontId="71" fillId="8" borderId="143" xfId="0" applyFont="1" applyFill="1" applyBorder="1" applyAlignment="1">
      <alignment horizontal="left" vertical="center" wrapText="1"/>
    </xf>
    <xf numFmtId="1" fontId="196" fillId="34" borderId="173" xfId="0" applyNumberFormat="1" applyFont="1" applyFill="1" applyBorder="1" applyAlignment="1">
      <alignment horizontal="center" vertical="center"/>
    </xf>
    <xf numFmtId="0" fontId="195" fillId="34" borderId="143" xfId="0" applyFont="1" applyFill="1" applyBorder="1" applyAlignment="1">
      <alignment horizontal="left" vertical="center"/>
    </xf>
    <xf numFmtId="169" fontId="197" fillId="34" borderId="173" xfId="0" applyNumberFormat="1" applyFont="1" applyFill="1" applyBorder="1" applyAlignment="1">
      <alignment horizontal="center" vertical="center"/>
    </xf>
    <xf numFmtId="0" fontId="198" fillId="0" borderId="0" xfId="0" applyFont="1" applyAlignment="1">
      <alignment horizontal="center" vertical="center"/>
    </xf>
    <xf numFmtId="1" fontId="198" fillId="0" borderId="0" xfId="0" applyNumberFormat="1" applyFont="1" applyAlignment="1">
      <alignment horizontal="center" vertical="center"/>
    </xf>
    <xf numFmtId="0" fontId="192" fillId="83" borderId="175" xfId="536" applyFont="1" applyFill="1" applyBorder="1" applyAlignment="1">
      <alignment horizontal="center"/>
    </xf>
    <xf numFmtId="1" fontId="81" fillId="0" borderId="176" xfId="536" applyNumberFormat="1" applyFont="1" applyBorder="1" applyAlignment="1">
      <alignment horizontal="center"/>
    </xf>
    <xf numFmtId="1" fontId="81" fillId="0" borderId="177" xfId="536" applyNumberFormat="1" applyFont="1" applyBorder="1" applyAlignment="1">
      <alignment horizontal="center"/>
    </xf>
    <xf numFmtId="0" fontId="192" fillId="83" borderId="179" xfId="536" applyFont="1" applyFill="1" applyBorder="1" applyAlignment="1">
      <alignment horizontal="center"/>
    </xf>
    <xf numFmtId="1" fontId="81" fillId="0" borderId="180" xfId="536" applyNumberFormat="1" applyFont="1" applyBorder="1" applyAlignment="1">
      <alignment horizontal="center"/>
    </xf>
    <xf numFmtId="1" fontId="81" fillId="0" borderId="113" xfId="536" applyNumberFormat="1" applyFont="1" applyBorder="1" applyAlignment="1">
      <alignment horizontal="center"/>
    </xf>
    <xf numFmtId="0" fontId="192" fillId="83" borderId="182" xfId="536" applyFont="1" applyFill="1" applyBorder="1" applyAlignment="1">
      <alignment horizontal="center"/>
    </xf>
    <xf numFmtId="1" fontId="81" fillId="0" borderId="183" xfId="536" applyNumberFormat="1" applyFont="1" applyBorder="1" applyAlignment="1">
      <alignment horizontal="center"/>
    </xf>
    <xf numFmtId="1" fontId="81" fillId="0" borderId="184" xfId="536" applyNumberFormat="1" applyFont="1" applyBorder="1" applyAlignment="1">
      <alignment horizontal="center"/>
    </xf>
    <xf numFmtId="0" fontId="192" fillId="0" borderId="186" xfId="536" applyFont="1" applyBorder="1" applyAlignment="1">
      <alignment horizontal="center"/>
    </xf>
    <xf numFmtId="1" fontId="192" fillId="0" borderId="187" xfId="536" applyNumberFormat="1" applyFont="1" applyBorder="1" applyAlignment="1">
      <alignment horizontal="center"/>
    </xf>
    <xf numFmtId="1" fontId="20" fillId="5" borderId="74" xfId="0" applyNumberFormat="1" applyFont="1" applyFill="1" applyBorder="1" applyAlignment="1">
      <alignment horizontal="center" vertical="center"/>
    </xf>
    <xf numFmtId="1" fontId="20" fillId="6" borderId="74" xfId="0" applyNumberFormat="1" applyFont="1" applyFill="1" applyBorder="1" applyAlignment="1">
      <alignment horizontal="center" vertical="center"/>
    </xf>
    <xf numFmtId="167" fontId="20" fillId="5" borderId="79" xfId="0" applyNumberFormat="1" applyFont="1" applyFill="1" applyBorder="1" applyAlignment="1">
      <alignment horizontal="center" vertical="center"/>
    </xf>
    <xf numFmtId="167" fontId="20" fillId="6" borderId="79" xfId="0" applyNumberFormat="1" applyFont="1" applyFill="1" applyBorder="1" applyAlignment="1">
      <alignment horizontal="center" vertical="center"/>
    </xf>
    <xf numFmtId="167" fontId="20" fillId="0" borderId="74" xfId="0" applyNumberFormat="1" applyFont="1" applyBorder="1" applyAlignment="1">
      <alignment horizontal="center" vertical="center"/>
    </xf>
    <xf numFmtId="167" fontId="20" fillId="7" borderId="76" xfId="0" applyNumberFormat="1" applyFont="1" applyFill="1" applyBorder="1" applyAlignment="1">
      <alignment horizontal="center" vertical="center"/>
    </xf>
    <xf numFmtId="1" fontId="20" fillId="8" borderId="76" xfId="0" applyNumberFormat="1" applyFont="1" applyFill="1" applyBorder="1" applyAlignment="1">
      <alignment horizontal="center" vertical="center"/>
    </xf>
    <xf numFmtId="1" fontId="20" fillId="8" borderId="74" xfId="0" applyNumberFormat="1" applyFont="1" applyFill="1" applyBorder="1" applyAlignment="1">
      <alignment horizontal="center" vertical="center"/>
    </xf>
    <xf numFmtId="1" fontId="18" fillId="0" borderId="41" xfId="0" applyNumberFormat="1" applyFont="1" applyBorder="1" applyAlignment="1">
      <alignment horizontal="center" vertical="center"/>
    </xf>
    <xf numFmtId="1" fontId="18" fillId="0" borderId="30" xfId="0" applyNumberFormat="1" applyFont="1" applyBorder="1" applyAlignment="1">
      <alignment horizontal="center" vertical="center"/>
    </xf>
    <xf numFmtId="0" fontId="20" fillId="0" borderId="162" xfId="0" applyFont="1" applyBorder="1" applyAlignment="1">
      <alignment horizontal="right" vertical="center" indent="2"/>
    </xf>
    <xf numFmtId="1" fontId="20" fillId="8" borderId="168" xfId="0" applyNumberFormat="1" applyFont="1" applyFill="1" applyBorder="1" applyAlignment="1">
      <alignment horizontal="center" vertical="center"/>
    </xf>
    <xf numFmtId="1" fontId="20" fillId="0" borderId="169" xfId="0" applyNumberFormat="1" applyFont="1" applyBorder="1" applyAlignment="1">
      <alignment horizontal="center" vertical="center"/>
    </xf>
    <xf numFmtId="1" fontId="20" fillId="6" borderId="141" xfId="0" applyNumberFormat="1" applyFont="1" applyFill="1" applyBorder="1" applyAlignment="1">
      <alignment horizontal="center" vertical="center"/>
    </xf>
    <xf numFmtId="1" fontId="20" fillId="0" borderId="148" xfId="0" applyNumberFormat="1" applyFont="1" applyBorder="1" applyAlignment="1">
      <alignment horizontal="center" vertical="center"/>
    </xf>
    <xf numFmtId="1" fontId="20" fillId="5" borderId="148" xfId="0" applyNumberFormat="1" applyFont="1" applyFill="1" applyBorder="1" applyAlignment="1">
      <alignment horizontal="center" vertical="center"/>
    </xf>
    <xf numFmtId="1" fontId="20" fillId="8" borderId="40" xfId="0" applyNumberFormat="1" applyFont="1" applyFill="1" applyBorder="1" applyAlignment="1">
      <alignment horizontal="center" vertical="center"/>
    </xf>
    <xf numFmtId="1" fontId="20" fillId="0" borderId="35" xfId="0" applyNumberFormat="1" applyFont="1" applyBorder="1" applyAlignment="1">
      <alignment horizontal="center" vertical="center"/>
    </xf>
    <xf numFmtId="1" fontId="20" fillId="0" borderId="120" xfId="0" applyNumberFormat="1" applyFont="1" applyBorder="1" applyAlignment="1">
      <alignment horizontal="center" vertical="center"/>
    </xf>
    <xf numFmtId="0" fontId="20" fillId="0" borderId="162" xfId="0" applyFont="1" applyBorder="1" applyAlignment="1">
      <alignment horizontal="right" vertical="center" indent="1"/>
    </xf>
    <xf numFmtId="167" fontId="20" fillId="0" borderId="2" xfId="0" applyNumberFormat="1" applyFont="1" applyBorder="1" applyAlignment="1">
      <alignment horizontal="center" vertical="center"/>
    </xf>
    <xf numFmtId="167" fontId="20" fillId="0" borderId="84" xfId="0" applyNumberFormat="1" applyFont="1" applyBorder="1" applyAlignment="1">
      <alignment horizontal="center" vertical="center"/>
    </xf>
    <xf numFmtId="0" fontId="18" fillId="8" borderId="25" xfId="0" applyFont="1" applyFill="1" applyBorder="1" applyAlignment="1">
      <alignment horizontal="center"/>
    </xf>
    <xf numFmtId="1" fontId="18" fillId="8" borderId="130" xfId="0" applyNumberFormat="1" applyFont="1" applyFill="1" applyBorder="1" applyAlignment="1">
      <alignment horizontal="center" vertical="center"/>
    </xf>
    <xf numFmtId="1" fontId="12" fillId="0" borderId="130" xfId="0" applyNumberFormat="1" applyFont="1" applyBorder="1" applyAlignment="1">
      <alignment horizontal="center" vertical="center"/>
    </xf>
    <xf numFmtId="0" fontId="0" fillId="0" borderId="130" xfId="0" applyBorder="1" applyAlignment="1">
      <alignment horizontal="center"/>
    </xf>
    <xf numFmtId="0" fontId="12" fillId="8" borderId="10" xfId="0" applyFont="1" applyFill="1" applyBorder="1" applyAlignment="1">
      <alignment horizontal="right" vertical="center"/>
    </xf>
    <xf numFmtId="0" fontId="12" fillId="8" borderId="106" xfId="0" applyFont="1" applyFill="1" applyBorder="1" applyAlignment="1">
      <alignment horizontal="right" vertical="center"/>
    </xf>
    <xf numFmtId="0" fontId="12" fillId="8" borderId="158" xfId="0" applyFont="1" applyFill="1" applyBorder="1" applyAlignment="1">
      <alignment horizontal="right" vertical="center"/>
    </xf>
    <xf numFmtId="0" fontId="12" fillId="8" borderId="173" xfId="0" applyFont="1" applyFill="1" applyBorder="1" applyAlignment="1">
      <alignment horizontal="right" vertical="center"/>
    </xf>
    <xf numFmtId="1" fontId="12" fillId="8" borderId="130" xfId="0" applyNumberFormat="1" applyFont="1" applyFill="1" applyBorder="1" applyAlignment="1">
      <alignment horizontal="center" vertical="center"/>
    </xf>
    <xf numFmtId="167" fontId="21" fillId="8" borderId="23" xfId="0" applyNumberFormat="1" applyFont="1" applyFill="1" applyBorder="1" applyAlignment="1">
      <alignment horizontal="center" vertical="center"/>
    </xf>
    <xf numFmtId="1" fontId="20" fillId="0" borderId="155" xfId="0" applyNumberFormat="1" applyFont="1" applyBorder="1" applyAlignment="1">
      <alignment horizontal="center" vertical="center"/>
    </xf>
    <xf numFmtId="1" fontId="20" fillId="7" borderId="168" xfId="0" applyNumberFormat="1" applyFont="1" applyFill="1" applyBorder="1" applyAlignment="1">
      <alignment horizontal="center" vertical="center"/>
    </xf>
    <xf numFmtId="1" fontId="20" fillId="44" borderId="173" xfId="0" applyNumberFormat="1" applyFont="1" applyFill="1" applyBorder="1" applyAlignment="1">
      <alignment horizontal="center" vertical="center"/>
    </xf>
    <xf numFmtId="1" fontId="19" fillId="0" borderId="173" xfId="0" applyNumberFormat="1" applyFont="1" applyBorder="1" applyAlignment="1">
      <alignment horizontal="center" vertical="center"/>
    </xf>
    <xf numFmtId="1" fontId="19" fillId="50" borderId="173" xfId="0" applyNumberFormat="1" applyFont="1" applyFill="1" applyBorder="1" applyAlignment="1">
      <alignment horizontal="center" vertical="center"/>
    </xf>
    <xf numFmtId="164" fontId="20" fillId="8" borderId="76" xfId="0" quotePrefix="1" applyNumberFormat="1" applyFont="1" applyFill="1" applyBorder="1" applyAlignment="1">
      <alignment horizontal="left" vertical="center"/>
    </xf>
    <xf numFmtId="0" fontId="20" fillId="0" borderId="79" xfId="0" applyFont="1" applyBorder="1" applyAlignment="1">
      <alignment horizontal="left" vertical="center"/>
    </xf>
    <xf numFmtId="0" fontId="20" fillId="0" borderId="82" xfId="0" applyFont="1" applyBorder="1" applyAlignment="1">
      <alignment horizontal="left" vertical="center"/>
    </xf>
    <xf numFmtId="164" fontId="20" fillId="8" borderId="173" xfId="0" quotePrefix="1" applyNumberFormat="1" applyFont="1" applyFill="1" applyBorder="1" applyAlignment="1">
      <alignment horizontal="left" vertical="center"/>
    </xf>
    <xf numFmtId="1" fontId="19" fillId="8" borderId="173" xfId="186" applyNumberFormat="1" applyFont="1" applyFill="1" applyBorder="1" applyAlignment="1">
      <alignment horizontal="center" vertical="top"/>
    </xf>
    <xf numFmtId="1" fontId="19" fillId="7" borderId="173" xfId="186" applyNumberFormat="1" applyFont="1" applyFill="1" applyBorder="1" applyAlignment="1">
      <alignment horizontal="center" vertical="top"/>
    </xf>
    <xf numFmtId="167" fontId="18" fillId="8" borderId="63" xfId="0" quotePrefix="1" applyNumberFormat="1" applyFont="1" applyFill="1" applyBorder="1" applyAlignment="1">
      <alignment horizontal="center" vertical="center"/>
    </xf>
    <xf numFmtId="0" fontId="19" fillId="0" borderId="138" xfId="0" applyFont="1" applyBorder="1" applyAlignment="1">
      <alignment vertical="center"/>
    </xf>
    <xf numFmtId="167" fontId="20" fillId="8" borderId="138" xfId="0" applyNumberFormat="1" applyFont="1" applyFill="1" applyBorder="1" applyAlignment="1">
      <alignment horizontal="center" vertical="center"/>
    </xf>
    <xf numFmtId="2" fontId="20" fillId="0" borderId="141" xfId="0" applyNumberFormat="1" applyFont="1" applyBorder="1" applyAlignment="1">
      <alignment horizontal="center" vertical="center"/>
    </xf>
    <xf numFmtId="167" fontId="20" fillId="7" borderId="173" xfId="0" applyNumberFormat="1" applyFont="1" applyFill="1" applyBorder="1" applyAlignment="1">
      <alignment horizontal="center" vertical="center"/>
    </xf>
    <xf numFmtId="167" fontId="20" fillId="5" borderId="173" xfId="0" applyNumberFormat="1" applyFont="1" applyFill="1" applyBorder="1" applyAlignment="1">
      <alignment horizontal="center" vertical="center"/>
    </xf>
    <xf numFmtId="2" fontId="20" fillId="7" borderId="173" xfId="0" applyNumberFormat="1" applyFont="1" applyFill="1" applyBorder="1" applyAlignment="1">
      <alignment horizontal="center" vertical="center"/>
    </xf>
    <xf numFmtId="169" fontId="20" fillId="8" borderId="49" xfId="0" applyNumberFormat="1" applyFont="1" applyFill="1" applyBorder="1" applyAlignment="1">
      <alignment horizontal="center" vertical="center"/>
    </xf>
    <xf numFmtId="0" fontId="27" fillId="8" borderId="46" xfId="0" applyFont="1" applyFill="1" applyBorder="1" applyAlignment="1">
      <alignment vertical="center"/>
    </xf>
    <xf numFmtId="167" fontId="14" fillId="0" borderId="46" xfId="0" applyNumberFormat="1" applyFont="1" applyBorder="1" applyAlignment="1">
      <alignment horizontal="center" vertical="center"/>
    </xf>
    <xf numFmtId="1" fontId="14" fillId="0" borderId="46" xfId="0" applyNumberFormat="1" applyFont="1" applyBorder="1" applyAlignment="1">
      <alignment horizontal="center" vertical="center"/>
    </xf>
    <xf numFmtId="1" fontId="14" fillId="5" borderId="46" xfId="0" applyNumberFormat="1" applyFont="1" applyFill="1" applyBorder="1" applyAlignment="1">
      <alignment horizontal="center" vertical="center"/>
    </xf>
    <xf numFmtId="1" fontId="27" fillId="5" borderId="123" xfId="0" applyNumberFormat="1" applyFont="1" applyFill="1" applyBorder="1" applyAlignment="1">
      <alignment horizontal="center" vertical="center"/>
    </xf>
    <xf numFmtId="1" fontId="27" fillId="6" borderId="130" xfId="0" applyNumberFormat="1" applyFont="1" applyFill="1" applyBorder="1" applyAlignment="1">
      <alignment horizontal="center" vertical="center"/>
    </xf>
    <xf numFmtId="167" fontId="14" fillId="7" borderId="48" xfId="0" applyNumberFormat="1" applyFont="1" applyFill="1" applyBorder="1" applyAlignment="1">
      <alignment horizontal="center" vertical="center"/>
    </xf>
    <xf numFmtId="1" fontId="14" fillId="7" borderId="130" xfId="0" applyNumberFormat="1" applyFont="1" applyFill="1" applyBorder="1" applyAlignment="1">
      <alignment horizontal="center" vertical="center"/>
    </xf>
    <xf numFmtId="167" fontId="14" fillId="0" borderId="38" xfId="0" applyNumberFormat="1" applyFont="1" applyBorder="1" applyAlignment="1">
      <alignment horizontal="center" vertical="center"/>
    </xf>
    <xf numFmtId="171" fontId="183" fillId="0" borderId="119" xfId="22" applyNumberFormat="1" applyFont="1" applyBorder="1" applyAlignment="1">
      <alignment horizontal="center" vertical="center"/>
    </xf>
    <xf numFmtId="0" fontId="80" fillId="84" borderId="173" xfId="0" quotePrefix="1" applyFont="1" applyFill="1" applyBorder="1" applyAlignment="1">
      <alignment horizontal="center" vertical="center"/>
    </xf>
    <xf numFmtId="16" fontId="80" fillId="84" borderId="173" xfId="0" quotePrefix="1" applyNumberFormat="1" applyFont="1" applyFill="1" applyBorder="1" applyAlignment="1">
      <alignment horizontal="center" vertical="center"/>
    </xf>
    <xf numFmtId="16" fontId="80" fillId="84" borderId="173" xfId="0" quotePrefix="1" applyNumberFormat="1" applyFont="1" applyFill="1" applyBorder="1" applyAlignment="1">
      <alignment horizontal="center"/>
    </xf>
    <xf numFmtId="0" fontId="11" fillId="0" borderId="173" xfId="0" applyFont="1" applyBorder="1" applyAlignment="1">
      <alignment horizontal="center"/>
    </xf>
    <xf numFmtId="0" fontId="11" fillId="0" borderId="173" xfId="0" applyFont="1" applyBorder="1"/>
    <xf numFmtId="2" fontId="11" fillId="0" borderId="173" xfId="0" applyNumberFormat="1" applyFont="1" applyBorder="1" applyAlignment="1">
      <alignment horizontal="center"/>
    </xf>
    <xf numFmtId="0" fontId="202" fillId="0" borderId="173" xfId="0" applyFont="1" applyBorder="1"/>
    <xf numFmtId="2" fontId="80" fillId="0" borderId="173" xfId="0" applyNumberFormat="1" applyFont="1" applyBorder="1" applyAlignment="1">
      <alignment horizontal="center"/>
    </xf>
    <xf numFmtId="0" fontId="54" fillId="7" borderId="0" xfId="376" applyFill="1"/>
    <xf numFmtId="0" fontId="135" fillId="7" borderId="172" xfId="376" applyFont="1" applyFill="1" applyBorder="1" applyAlignment="1">
      <alignment horizontal="center" vertical="center"/>
    </xf>
    <xf numFmtId="0" fontId="54" fillId="7" borderId="0" xfId="376" applyFill="1" applyAlignment="1">
      <alignment horizontal="center" vertical="center"/>
    </xf>
    <xf numFmtId="0" fontId="54" fillId="84" borderId="172" xfId="376" applyFill="1" applyBorder="1"/>
    <xf numFmtId="167" fontId="12" fillId="7" borderId="173" xfId="0" applyNumberFormat="1" applyFont="1" applyFill="1" applyBorder="1" applyAlignment="1">
      <alignment horizontal="center" vertical="center"/>
    </xf>
    <xf numFmtId="167" fontId="12" fillId="5" borderId="173" xfId="0" applyNumberFormat="1" applyFont="1" applyFill="1" applyBorder="1" applyAlignment="1">
      <alignment horizontal="center" vertical="center"/>
    </xf>
    <xf numFmtId="167" fontId="20" fillId="8" borderId="173" xfId="0" applyNumberFormat="1" applyFont="1" applyFill="1" applyBorder="1" applyAlignment="1">
      <alignment horizontal="center" vertical="center"/>
    </xf>
    <xf numFmtId="167" fontId="12" fillId="8" borderId="173" xfId="0" applyNumberFormat="1" applyFont="1" applyFill="1" applyBorder="1" applyAlignment="1">
      <alignment horizontal="center" vertical="center"/>
    </xf>
    <xf numFmtId="2" fontId="12" fillId="8" borderId="173" xfId="0" applyNumberFormat="1" applyFont="1" applyFill="1" applyBorder="1" applyAlignment="1">
      <alignment horizontal="center" vertical="center"/>
    </xf>
    <xf numFmtId="167" fontId="12" fillId="6" borderId="173" xfId="0" applyNumberFormat="1" applyFont="1" applyFill="1" applyBorder="1" applyAlignment="1">
      <alignment horizontal="center" vertical="center"/>
    </xf>
    <xf numFmtId="0" fontId="0" fillId="0" borderId="126" xfId="0" applyBorder="1"/>
    <xf numFmtId="1" fontId="0" fillId="0" borderId="173" xfId="0" applyNumberFormat="1" applyBorder="1" applyAlignment="1">
      <alignment horizontal="center" vertical="center"/>
    </xf>
    <xf numFmtId="0" fontId="183" fillId="0" borderId="5" xfId="0" applyFont="1" applyBorder="1"/>
    <xf numFmtId="0" fontId="0" fillId="0" borderId="55" xfId="0" applyBorder="1"/>
    <xf numFmtId="0" fontId="183" fillId="0" borderId="55" xfId="0" applyFont="1" applyBorder="1"/>
    <xf numFmtId="1" fontId="183" fillId="0" borderId="5" xfId="0" applyNumberFormat="1" applyFont="1" applyBorder="1" applyAlignment="1">
      <alignment horizontal="center" vertical="center"/>
    </xf>
    <xf numFmtId="167" fontId="45" fillId="0" borderId="106" xfId="0" applyNumberFormat="1" applyFont="1" applyBorder="1" applyAlignment="1">
      <alignment horizontal="center" vertical="center"/>
    </xf>
    <xf numFmtId="0" fontId="158" fillId="0" borderId="133" xfId="0" applyFont="1" applyBorder="1" applyAlignment="1">
      <alignment horizontal="center" vertical="center" wrapText="1"/>
    </xf>
    <xf numFmtId="0" fontId="158" fillId="0" borderId="133" xfId="0" applyFont="1" applyBorder="1" applyAlignment="1">
      <alignment wrapText="1"/>
    </xf>
    <xf numFmtId="0" fontId="160" fillId="0" borderId="133" xfId="0" applyFont="1" applyBorder="1" applyAlignment="1">
      <alignment horizontal="center" vertical="center" wrapText="1"/>
    </xf>
    <xf numFmtId="17" fontId="160" fillId="0" borderId="126" xfId="0" applyNumberFormat="1" applyFont="1" applyBorder="1" applyAlignment="1">
      <alignment wrapText="1"/>
    </xf>
    <xf numFmtId="167" fontId="20" fillId="8" borderId="106" xfId="22" applyNumberFormat="1" applyFont="1" applyFill="1" applyBorder="1" applyAlignment="1">
      <alignment horizontal="center" vertical="center"/>
    </xf>
    <xf numFmtId="167" fontId="0" fillId="0" borderId="10" xfId="0" applyNumberFormat="1" applyBorder="1" applyAlignment="1">
      <alignment horizontal="center" vertical="center"/>
    </xf>
    <xf numFmtId="169" fontId="0" fillId="0" borderId="0" xfId="0" applyNumberFormat="1" applyAlignment="1">
      <alignment horizontal="center" vertical="center"/>
    </xf>
    <xf numFmtId="167" fontId="45" fillId="0" borderId="139" xfId="0" applyNumberFormat="1" applyFont="1" applyBorder="1" applyAlignment="1">
      <alignment horizontal="center" vertical="center"/>
    </xf>
    <xf numFmtId="167" fontId="45" fillId="0" borderId="41" xfId="0" applyNumberFormat="1" applyFont="1" applyBorder="1" applyAlignment="1">
      <alignment horizontal="center" vertical="center"/>
    </xf>
    <xf numFmtId="167" fontId="19" fillId="8" borderId="108" xfId="0" applyNumberFormat="1" applyFont="1" applyFill="1" applyBorder="1" applyAlignment="1">
      <alignment horizontal="center" vertical="center"/>
    </xf>
    <xf numFmtId="0" fontId="7" fillId="0" borderId="130" xfId="0" applyFont="1" applyBorder="1" applyAlignment="1">
      <alignment horizontal="center" vertical="center" wrapText="1"/>
    </xf>
    <xf numFmtId="2" fontId="12" fillId="6" borderId="129" xfId="0" applyNumberFormat="1" applyFont="1" applyFill="1" applyBorder="1" applyAlignment="1">
      <alignment horizontal="center" vertical="center"/>
    </xf>
    <xf numFmtId="2" fontId="12" fillId="7" borderId="129" xfId="0" applyNumberFormat="1" applyFont="1" applyFill="1" applyBorder="1" applyAlignment="1">
      <alignment horizontal="center" vertical="center"/>
    </xf>
    <xf numFmtId="2" fontId="12" fillId="7" borderId="131" xfId="0" applyNumberFormat="1" applyFont="1" applyFill="1" applyBorder="1" applyAlignment="1">
      <alignment horizontal="center" vertical="center"/>
    </xf>
    <xf numFmtId="1" fontId="12" fillId="7" borderId="131" xfId="0" applyNumberFormat="1" applyFont="1" applyFill="1" applyBorder="1" applyAlignment="1">
      <alignment horizontal="center" vertical="center"/>
    </xf>
    <xf numFmtId="0" fontId="26" fillId="0" borderId="133" xfId="0" applyFont="1" applyBorder="1" applyAlignment="1">
      <alignment horizontal="right"/>
    </xf>
    <xf numFmtId="0" fontId="26" fillId="0" borderId="133" xfId="0" applyFont="1" applyBorder="1" applyAlignment="1">
      <alignment horizontal="center" vertical="center"/>
    </xf>
    <xf numFmtId="167" fontId="26" fillId="0" borderId="133" xfId="0" applyNumberFormat="1" applyFont="1" applyBorder="1" applyAlignment="1">
      <alignment horizontal="center" vertical="center"/>
    </xf>
    <xf numFmtId="167" fontId="26" fillId="0" borderId="111" xfId="0" applyNumberFormat="1" applyFont="1" applyBorder="1" applyAlignment="1">
      <alignment horizontal="center" vertical="center"/>
    </xf>
    <xf numFmtId="167" fontId="12" fillId="0" borderId="62" xfId="0" applyNumberFormat="1" applyFont="1" applyBorder="1" applyAlignment="1">
      <alignment horizontal="center" vertical="center"/>
    </xf>
    <xf numFmtId="167" fontId="12" fillId="0" borderId="115" xfId="0" applyNumberFormat="1" applyFont="1" applyBorder="1" applyAlignment="1">
      <alignment horizontal="center" vertical="center"/>
    </xf>
    <xf numFmtId="167" fontId="12" fillId="7" borderId="62" xfId="0" applyNumberFormat="1" applyFont="1" applyFill="1" applyBorder="1" applyAlignment="1">
      <alignment horizontal="center" vertical="center"/>
    </xf>
    <xf numFmtId="167" fontId="12" fillId="7" borderId="115" xfId="0" applyNumberFormat="1" applyFont="1" applyFill="1" applyBorder="1" applyAlignment="1">
      <alignment horizontal="center" vertical="center"/>
    </xf>
    <xf numFmtId="167" fontId="12" fillId="5" borderId="62" xfId="0" applyNumberFormat="1" applyFont="1" applyFill="1" applyBorder="1" applyAlignment="1">
      <alignment horizontal="center" vertical="center"/>
    </xf>
    <xf numFmtId="167" fontId="12" fillId="5" borderId="115" xfId="0" applyNumberFormat="1" applyFont="1" applyFill="1" applyBorder="1" applyAlignment="1">
      <alignment horizontal="center" vertical="center"/>
    </xf>
    <xf numFmtId="167" fontId="12" fillId="6" borderId="62" xfId="0" applyNumberFormat="1" applyFont="1" applyFill="1" applyBorder="1" applyAlignment="1">
      <alignment horizontal="center" vertical="center"/>
    </xf>
    <xf numFmtId="167" fontId="12" fillId="6" borderId="60" xfId="0" applyNumberFormat="1" applyFont="1" applyFill="1" applyBorder="1" applyAlignment="1">
      <alignment horizontal="center" vertical="center"/>
    </xf>
    <xf numFmtId="167" fontId="12" fillId="5" borderId="60" xfId="0" applyNumberFormat="1" applyFont="1" applyFill="1" applyBorder="1" applyAlignment="1">
      <alignment horizontal="center" vertical="center"/>
    </xf>
    <xf numFmtId="0" fontId="26" fillId="0" borderId="130" xfId="0" applyFont="1" applyBorder="1" applyAlignment="1">
      <alignment horizontal="center" vertical="center"/>
    </xf>
    <xf numFmtId="2" fontId="26" fillId="0" borderId="130" xfId="0" applyNumberFormat="1" applyFont="1" applyBorder="1" applyAlignment="1">
      <alignment horizontal="center" vertical="center"/>
    </xf>
    <xf numFmtId="1" fontId="26" fillId="0" borderId="130" xfId="0" applyNumberFormat="1" applyFont="1" applyBorder="1" applyAlignment="1">
      <alignment horizontal="center" vertical="center"/>
    </xf>
    <xf numFmtId="0" fontId="14" fillId="0" borderId="35" xfId="0" applyFont="1" applyBorder="1" applyAlignment="1">
      <alignment horizontal="center" vertical="center" wrapText="1"/>
    </xf>
    <xf numFmtId="2" fontId="12" fillId="0" borderId="41" xfId="0" applyNumberFormat="1" applyFont="1" applyBorder="1" applyAlignment="1">
      <alignment horizontal="center" vertical="center"/>
    </xf>
    <xf numFmtId="2" fontId="12" fillId="7" borderId="41" xfId="0" applyNumberFormat="1" applyFont="1" applyFill="1" applyBorder="1" applyAlignment="1">
      <alignment horizontal="center" vertical="center"/>
    </xf>
    <xf numFmtId="2" fontId="12" fillId="5" borderId="41" xfId="0" applyNumberFormat="1" applyFont="1" applyFill="1" applyBorder="1" applyAlignment="1">
      <alignment horizontal="center" vertical="center"/>
    </xf>
    <xf numFmtId="169" fontId="12" fillId="7" borderId="41" xfId="0" applyNumberFormat="1" applyFont="1" applyFill="1" applyBorder="1" applyAlignment="1">
      <alignment horizontal="center" vertical="center"/>
    </xf>
    <xf numFmtId="2" fontId="12" fillId="6" borderId="41" xfId="0" applyNumberFormat="1" applyFont="1" applyFill="1" applyBorder="1" applyAlignment="1">
      <alignment horizontal="center" vertical="center"/>
    </xf>
    <xf numFmtId="0" fontId="26" fillId="0" borderId="129" xfId="0" applyFont="1" applyBorder="1"/>
    <xf numFmtId="0" fontId="26" fillId="0" borderId="190" xfId="0" applyFont="1" applyBorder="1"/>
    <xf numFmtId="1" fontId="12" fillId="0" borderId="23" xfId="0" applyNumberFormat="1" applyFont="1" applyBorder="1" applyAlignment="1">
      <alignment horizontal="center" vertical="center"/>
    </xf>
    <xf numFmtId="1" fontId="12" fillId="7" borderId="23" xfId="0" applyNumberFormat="1" applyFont="1" applyFill="1" applyBorder="1" applyAlignment="1">
      <alignment horizontal="center" vertical="center"/>
    </xf>
    <xf numFmtId="1" fontId="12" fillId="5" borderId="23" xfId="0" applyNumberFormat="1" applyFont="1" applyFill="1" applyBorder="1" applyAlignment="1">
      <alignment horizontal="center" vertical="center"/>
    </xf>
    <xf numFmtId="1" fontId="12" fillId="6" borderId="23" xfId="0" applyNumberFormat="1" applyFont="1" applyFill="1" applyBorder="1" applyAlignment="1">
      <alignment horizontal="center" vertical="center"/>
    </xf>
    <xf numFmtId="0" fontId="14" fillId="0" borderId="57" xfId="0" applyFont="1" applyBorder="1" applyAlignment="1">
      <alignment horizontal="center" vertical="center"/>
    </xf>
    <xf numFmtId="2" fontId="26" fillId="0" borderId="129" xfId="0" applyNumberFormat="1" applyFont="1" applyBorder="1" applyAlignment="1">
      <alignment horizontal="center" vertical="center"/>
    </xf>
    <xf numFmtId="2" fontId="12" fillId="0" borderId="129" xfId="0" applyNumberFormat="1" applyFont="1" applyBorder="1" applyAlignment="1">
      <alignment horizontal="center" vertical="center"/>
    </xf>
    <xf numFmtId="2" fontId="12" fillId="0" borderId="131" xfId="0" applyNumberFormat="1" applyFont="1" applyBorder="1" applyAlignment="1">
      <alignment horizontal="center" vertical="center"/>
    </xf>
    <xf numFmtId="2" fontId="12" fillId="5" borderId="129" xfId="0" applyNumberFormat="1" applyFont="1" applyFill="1" applyBorder="1" applyAlignment="1">
      <alignment horizontal="center" vertical="center"/>
    </xf>
    <xf numFmtId="2" fontId="12" fillId="5" borderId="131" xfId="0" applyNumberFormat="1" applyFont="1" applyFill="1" applyBorder="1" applyAlignment="1">
      <alignment horizontal="center" vertical="center"/>
    </xf>
    <xf numFmtId="169" fontId="12" fillId="6" borderId="129" xfId="0" applyNumberFormat="1" applyFont="1" applyFill="1" applyBorder="1" applyAlignment="1">
      <alignment horizontal="center" vertical="center"/>
    </xf>
    <xf numFmtId="169" fontId="12" fillId="7" borderId="129" xfId="0" applyNumberFormat="1" applyFont="1" applyFill="1" applyBorder="1" applyAlignment="1">
      <alignment horizontal="center" vertical="center"/>
    </xf>
    <xf numFmtId="2" fontId="26" fillId="0" borderId="190" xfId="0" applyNumberFormat="1" applyFont="1" applyBorder="1" applyAlignment="1">
      <alignment horizontal="center" vertical="center"/>
    </xf>
    <xf numFmtId="2" fontId="12" fillId="0" borderId="190" xfId="0" applyNumberFormat="1" applyFont="1" applyBorder="1" applyAlignment="1">
      <alignment horizontal="center" vertical="center"/>
    </xf>
    <xf numFmtId="2" fontId="12" fillId="7" borderId="190" xfId="0" applyNumberFormat="1" applyFont="1" applyFill="1" applyBorder="1" applyAlignment="1">
      <alignment horizontal="center" vertical="center"/>
    </xf>
    <xf numFmtId="2" fontId="12" fillId="5" borderId="190" xfId="0" applyNumberFormat="1" applyFont="1" applyFill="1" applyBorder="1" applyAlignment="1">
      <alignment horizontal="center" vertical="center"/>
    </xf>
    <xf numFmtId="2" fontId="12" fillId="6" borderId="190" xfId="0" applyNumberFormat="1" applyFont="1" applyFill="1" applyBorder="1" applyAlignment="1">
      <alignment horizontal="center" vertical="center"/>
    </xf>
    <xf numFmtId="0" fontId="26" fillId="0" borderId="9" xfId="0" applyFont="1" applyBorder="1"/>
    <xf numFmtId="1" fontId="12" fillId="5" borderId="20" xfId="0" applyNumberFormat="1" applyFont="1" applyFill="1" applyBorder="1" applyAlignment="1">
      <alignment horizontal="center" vertical="center"/>
    </xf>
    <xf numFmtId="1" fontId="12" fillId="6" borderId="190" xfId="0" applyNumberFormat="1" applyFont="1" applyFill="1" applyBorder="1" applyAlignment="1">
      <alignment horizontal="center" vertical="center"/>
    </xf>
    <xf numFmtId="1" fontId="12" fillId="7" borderId="190" xfId="0" applyNumberFormat="1" applyFont="1" applyFill="1" applyBorder="1" applyAlignment="1">
      <alignment horizontal="center" vertical="center"/>
    </xf>
    <xf numFmtId="0" fontId="109" fillId="8" borderId="63" xfId="0" applyFont="1" applyFill="1" applyBorder="1" applyAlignment="1">
      <alignment horizontal="left" vertical="center"/>
    </xf>
    <xf numFmtId="1" fontId="112" fillId="5" borderId="173" xfId="0" applyNumberFormat="1" applyFont="1" applyFill="1" applyBorder="1" applyAlignment="1">
      <alignment horizontal="center" vertical="center"/>
    </xf>
    <xf numFmtId="1" fontId="20" fillId="8" borderId="26" xfId="0" applyNumberFormat="1" applyFont="1" applyFill="1" applyBorder="1" applyAlignment="1">
      <alignment horizontal="center" vertical="center"/>
    </xf>
    <xf numFmtId="1" fontId="20" fillId="8" borderId="57" xfId="0" applyNumberFormat="1" applyFont="1" applyFill="1" applyBorder="1" applyAlignment="1">
      <alignment horizontal="center" vertical="center"/>
    </xf>
    <xf numFmtId="1" fontId="20" fillId="0" borderId="189" xfId="0" applyNumberFormat="1" applyFont="1" applyBorder="1" applyAlignment="1">
      <alignment horizontal="center" vertical="center"/>
    </xf>
    <xf numFmtId="1" fontId="20" fillId="7" borderId="54" xfId="0" applyNumberFormat="1" applyFont="1" applyFill="1" applyBorder="1" applyAlignment="1">
      <alignment horizontal="center" vertical="center"/>
    </xf>
    <xf numFmtId="1" fontId="20" fillId="5" borderId="57" xfId="0" applyNumberFormat="1" applyFont="1" applyFill="1" applyBorder="1" applyAlignment="1">
      <alignment horizontal="center" vertical="center"/>
    </xf>
    <xf numFmtId="1" fontId="20" fillId="5" borderId="189" xfId="0" applyNumberFormat="1" applyFont="1" applyFill="1" applyBorder="1" applyAlignment="1">
      <alignment horizontal="center" vertical="center"/>
    </xf>
    <xf numFmtId="0" fontId="20" fillId="0" borderId="133" xfId="0" applyFont="1" applyBorder="1" applyAlignment="1">
      <alignment horizontal="right" vertical="center" indent="2"/>
    </xf>
    <xf numFmtId="0" fontId="20" fillId="0" borderId="133" xfId="0" applyFont="1" applyBorder="1" applyAlignment="1">
      <alignment horizontal="center"/>
    </xf>
    <xf numFmtId="0" fontId="20" fillId="0" borderId="30" xfId="0" applyFont="1" applyBorder="1" applyAlignment="1">
      <alignment horizontal="right" vertical="center" indent="2"/>
    </xf>
    <xf numFmtId="0" fontId="18" fillId="0" borderId="1" xfId="0" applyFont="1" applyBorder="1" applyAlignment="1">
      <alignment horizontal="right" vertical="center" indent="2"/>
    </xf>
    <xf numFmtId="0" fontId="18" fillId="0" borderId="5" xfId="0" applyFont="1" applyBorder="1" applyAlignment="1">
      <alignment horizontal="center"/>
    </xf>
    <xf numFmtId="0" fontId="20" fillId="0" borderId="52" xfId="0" applyFont="1" applyBorder="1" applyAlignment="1">
      <alignment horizontal="center"/>
    </xf>
    <xf numFmtId="0" fontId="18" fillId="0" borderId="76" xfId="0" applyFont="1" applyBorder="1" applyAlignment="1">
      <alignment horizontal="right" vertical="center" indent="2"/>
    </xf>
    <xf numFmtId="0" fontId="18" fillId="0" borderId="79" xfId="0" applyFont="1" applyBorder="1" applyAlignment="1">
      <alignment horizontal="center"/>
    </xf>
    <xf numFmtId="1" fontId="12" fillId="7" borderId="141" xfId="0" applyNumberFormat="1" applyFont="1" applyFill="1" applyBorder="1" applyAlignment="1">
      <alignment horizontal="center" vertical="center"/>
    </xf>
    <xf numFmtId="0" fontId="150" fillId="8" borderId="138" xfId="0" applyFont="1" applyFill="1" applyBorder="1" applyAlignment="1">
      <alignment horizontal="left" vertical="center"/>
    </xf>
    <xf numFmtId="1" fontId="127" fillId="48" borderId="173" xfId="0" applyNumberFormat="1" applyFont="1" applyFill="1" applyBorder="1" applyAlignment="1">
      <alignment horizontal="center" vertical="center"/>
    </xf>
    <xf numFmtId="1" fontId="20" fillId="48" borderId="173" xfId="0" applyNumberFormat="1" applyFont="1" applyFill="1" applyBorder="1" applyAlignment="1">
      <alignment horizontal="center" vertical="center"/>
    </xf>
    <xf numFmtId="1" fontId="18" fillId="48" borderId="173" xfId="0" applyNumberFormat="1" applyFont="1" applyFill="1" applyBorder="1" applyAlignment="1">
      <alignment horizontal="center" vertical="center"/>
    </xf>
    <xf numFmtId="1" fontId="19" fillId="48" borderId="173" xfId="0" applyNumberFormat="1" applyFont="1" applyFill="1" applyBorder="1" applyAlignment="1">
      <alignment horizontal="center" vertical="center"/>
    </xf>
    <xf numFmtId="1" fontId="45" fillId="6" borderId="173" xfId="0" applyNumberFormat="1" applyFont="1" applyFill="1" applyBorder="1" applyAlignment="1">
      <alignment horizontal="center" vertical="center"/>
    </xf>
    <xf numFmtId="1" fontId="19" fillId="48" borderId="115" xfId="0" applyNumberFormat="1" applyFont="1" applyFill="1" applyBorder="1" applyAlignment="1">
      <alignment horizontal="center" vertical="center"/>
    </xf>
    <xf numFmtId="1" fontId="19" fillId="5" borderId="115" xfId="0" applyNumberFormat="1" applyFont="1" applyFill="1" applyBorder="1" applyAlignment="1">
      <alignment horizontal="center" vertical="center"/>
    </xf>
    <xf numFmtId="1" fontId="18" fillId="5" borderId="30" xfId="0" applyNumberFormat="1" applyFont="1" applyFill="1" applyBorder="1" applyAlignment="1">
      <alignment horizontal="center" vertical="center"/>
    </xf>
    <xf numFmtId="1" fontId="19" fillId="7" borderId="30" xfId="0" applyNumberFormat="1" applyFont="1" applyFill="1" applyBorder="1" applyAlignment="1">
      <alignment horizontal="center" vertical="center"/>
    </xf>
    <xf numFmtId="1" fontId="45" fillId="6" borderId="30" xfId="0" applyNumberFormat="1" applyFont="1" applyFill="1" applyBorder="1" applyAlignment="1">
      <alignment horizontal="center" vertical="center"/>
    </xf>
    <xf numFmtId="1" fontId="18" fillId="6" borderId="30" xfId="0" applyNumberFormat="1" applyFont="1" applyFill="1" applyBorder="1" applyAlignment="1">
      <alignment horizontal="center" vertical="center"/>
    </xf>
    <xf numFmtId="1" fontId="151" fillId="8" borderId="41" xfId="0" applyNumberFormat="1" applyFont="1" applyFill="1" applyBorder="1" applyAlignment="1">
      <alignment horizontal="center" vertical="center"/>
    </xf>
    <xf numFmtId="1" fontId="20" fillId="50" borderId="41" xfId="0" applyNumberFormat="1" applyFont="1" applyFill="1" applyBorder="1" applyAlignment="1">
      <alignment horizontal="center" vertical="center"/>
    </xf>
    <xf numFmtId="1" fontId="151" fillId="50" borderId="41" xfId="0" applyNumberFormat="1" applyFont="1" applyFill="1" applyBorder="1" applyAlignment="1">
      <alignment horizontal="center" vertical="center"/>
    </xf>
    <xf numFmtId="1" fontId="18" fillId="5" borderId="41" xfId="0" applyNumberFormat="1" applyFont="1" applyFill="1" applyBorder="1" applyAlignment="1">
      <alignment horizontal="center" vertical="center"/>
    </xf>
    <xf numFmtId="1" fontId="3" fillId="8" borderId="41" xfId="0" applyNumberFormat="1" applyFont="1" applyFill="1" applyBorder="1" applyAlignment="1">
      <alignment horizontal="center" vertical="center"/>
    </xf>
    <xf numFmtId="1" fontId="19" fillId="7" borderId="41" xfId="0" applyNumberFormat="1" applyFont="1" applyFill="1" applyBorder="1" applyAlignment="1">
      <alignment horizontal="center" vertical="center"/>
    </xf>
    <xf numFmtId="1" fontId="18" fillId="6" borderId="41" xfId="0" applyNumberFormat="1" applyFont="1" applyFill="1" applyBorder="1" applyAlignment="1">
      <alignment horizontal="center" vertical="center"/>
    </xf>
    <xf numFmtId="1" fontId="19" fillId="5" borderId="82" xfId="0" applyNumberFormat="1" applyFont="1" applyFill="1" applyBorder="1" applyAlignment="1">
      <alignment horizontal="center" vertical="center"/>
    </xf>
    <xf numFmtId="1" fontId="4" fillId="50" borderId="173" xfId="0" applyNumberFormat="1" applyFont="1" applyFill="1" applyBorder="1" applyAlignment="1">
      <alignment horizontal="center" vertical="center"/>
    </xf>
    <xf numFmtId="0" fontId="7" fillId="8" borderId="138" xfId="0" applyFont="1" applyFill="1" applyBorder="1" applyAlignment="1">
      <alignment horizontal="right" vertical="center"/>
    </xf>
    <xf numFmtId="0" fontId="4" fillId="8" borderId="173" xfId="0" applyFont="1" applyFill="1" applyBorder="1" applyAlignment="1">
      <alignment horizontal="center" vertical="center"/>
    </xf>
    <xf numFmtId="1" fontId="18" fillId="8" borderId="141" xfId="0" applyNumberFormat="1" applyFont="1" applyFill="1" applyBorder="1" applyAlignment="1">
      <alignment horizontal="center" vertical="center"/>
    </xf>
    <xf numFmtId="0" fontId="7" fillId="8" borderId="190" xfId="0" applyFont="1" applyFill="1" applyBorder="1" applyAlignment="1">
      <alignment horizontal="right" vertical="center"/>
    </xf>
    <xf numFmtId="1" fontId="4" fillId="8" borderId="142" xfId="0" applyNumberFormat="1" applyFont="1" applyFill="1" applyBorder="1" applyAlignment="1">
      <alignment horizontal="center" vertical="center"/>
    </xf>
    <xf numFmtId="1" fontId="20" fillId="50" borderId="142" xfId="0" applyNumberFormat="1" applyFont="1" applyFill="1" applyBorder="1" applyAlignment="1">
      <alignment horizontal="center" vertical="center"/>
    </xf>
    <xf numFmtId="1" fontId="19" fillId="7" borderId="142" xfId="0" applyNumberFormat="1" applyFont="1" applyFill="1" applyBorder="1" applyAlignment="1">
      <alignment horizontal="center" vertical="center"/>
    </xf>
    <xf numFmtId="1" fontId="18" fillId="6" borderId="142" xfId="0" applyNumberFormat="1" applyFont="1" applyFill="1" applyBorder="1" applyAlignment="1">
      <alignment horizontal="center" vertical="center"/>
    </xf>
    <xf numFmtId="1" fontId="19" fillId="5" borderId="144" xfId="0" applyNumberFormat="1" applyFont="1" applyFill="1" applyBorder="1" applyAlignment="1">
      <alignment horizontal="center" vertical="center"/>
    </xf>
    <xf numFmtId="1" fontId="18" fillId="7" borderId="144" xfId="0" applyNumberFormat="1" applyFont="1" applyFill="1" applyBorder="1" applyAlignment="1">
      <alignment horizontal="center" vertical="center"/>
    </xf>
    <xf numFmtId="1" fontId="18" fillId="7" borderId="19" xfId="0" applyNumberFormat="1" applyFont="1" applyFill="1" applyBorder="1" applyAlignment="1">
      <alignment horizontal="center" vertical="center"/>
    </xf>
    <xf numFmtId="1" fontId="19" fillId="8" borderId="71" xfId="0" applyNumberFormat="1" applyFont="1" applyFill="1" applyBorder="1" applyAlignment="1">
      <alignment horizontal="center" vertical="center"/>
    </xf>
    <xf numFmtId="0" fontId="150" fillId="8" borderId="1" xfId="0" applyFont="1" applyFill="1" applyBorder="1" applyAlignment="1">
      <alignment horizontal="left" vertical="center"/>
    </xf>
    <xf numFmtId="1" fontId="127" fillId="48" borderId="5" xfId="0" applyNumberFormat="1" applyFont="1" applyFill="1" applyBorder="1" applyAlignment="1">
      <alignment horizontal="center" vertical="center"/>
    </xf>
    <xf numFmtId="1" fontId="20" fillId="48" borderId="5" xfId="0" applyNumberFormat="1" applyFont="1" applyFill="1" applyBorder="1" applyAlignment="1">
      <alignment horizontal="center" vertical="center"/>
    </xf>
    <xf numFmtId="1" fontId="18" fillId="48" borderId="5" xfId="0" applyNumberFormat="1" applyFont="1" applyFill="1" applyBorder="1" applyAlignment="1">
      <alignment horizontal="center" vertical="center"/>
    </xf>
    <xf numFmtId="1" fontId="19" fillId="48" borderId="5" xfId="0" applyNumberFormat="1" applyFont="1" applyFill="1" applyBorder="1" applyAlignment="1">
      <alignment horizontal="center" vertical="center"/>
    </xf>
    <xf numFmtId="1" fontId="45" fillId="6" borderId="5" xfId="0" applyNumberFormat="1" applyFont="1" applyFill="1" applyBorder="1" applyAlignment="1">
      <alignment horizontal="center" vertical="center"/>
    </xf>
    <xf numFmtId="1" fontId="19" fillId="7" borderId="5" xfId="0" applyNumberFormat="1" applyFont="1" applyFill="1" applyBorder="1" applyAlignment="1">
      <alignment horizontal="center" vertical="center"/>
    </xf>
    <xf numFmtId="1" fontId="19" fillId="48" borderId="11" xfId="0" applyNumberFormat="1" applyFont="1" applyFill="1" applyBorder="1" applyAlignment="1">
      <alignment horizontal="center" vertical="center"/>
    </xf>
    <xf numFmtId="1" fontId="19" fillId="7" borderId="11" xfId="0" applyNumberFormat="1" applyFont="1" applyFill="1" applyBorder="1" applyAlignment="1">
      <alignment horizontal="center" vertical="center"/>
    </xf>
    <xf numFmtId="0" fontId="7" fillId="8" borderId="74" xfId="0" applyFont="1" applyFill="1" applyBorder="1" applyAlignment="1">
      <alignment horizontal="right" vertical="center"/>
    </xf>
    <xf numFmtId="0" fontId="4" fillId="8" borderId="46" xfId="0" applyFont="1" applyFill="1" applyBorder="1" applyAlignment="1">
      <alignment horizontal="center" vertical="center"/>
    </xf>
    <xf numFmtId="1" fontId="19" fillId="50" borderId="46" xfId="0" applyNumberFormat="1" applyFont="1" applyFill="1" applyBorder="1" applyAlignment="1">
      <alignment horizontal="center" vertical="center"/>
    </xf>
    <xf numFmtId="1" fontId="18" fillId="8" borderId="46" xfId="0" applyNumberFormat="1" applyFont="1" applyFill="1" applyBorder="1" applyAlignment="1">
      <alignment horizontal="center" vertical="center"/>
    </xf>
    <xf numFmtId="1" fontId="45" fillId="8" borderId="46" xfId="0" applyNumberFormat="1" applyFont="1" applyFill="1" applyBorder="1" applyAlignment="1">
      <alignment horizontal="center" vertical="center"/>
    </xf>
    <xf numFmtId="1" fontId="18" fillId="8" borderId="115" xfId="0" applyNumberFormat="1" applyFont="1" applyFill="1" applyBorder="1" applyAlignment="1">
      <alignment horizontal="center" vertical="center"/>
    </xf>
    <xf numFmtId="0" fontId="150" fillId="8" borderId="63" xfId="0" applyFont="1" applyFill="1" applyBorder="1" applyAlignment="1">
      <alignment horizontal="left" vertical="center"/>
    </xf>
    <xf numFmtId="1" fontId="127" fillId="48" borderId="41" xfId="0" applyNumberFormat="1" applyFont="1" applyFill="1" applyBorder="1" applyAlignment="1">
      <alignment horizontal="center" vertical="center"/>
    </xf>
    <xf numFmtId="1" fontId="20" fillId="48" borderId="41" xfId="0" applyNumberFormat="1" applyFont="1" applyFill="1" applyBorder="1" applyAlignment="1">
      <alignment horizontal="center" vertical="center"/>
    </xf>
    <xf numFmtId="1" fontId="19" fillId="48" borderId="41" xfId="0" applyNumberFormat="1" applyFont="1" applyFill="1" applyBorder="1" applyAlignment="1">
      <alignment horizontal="center" vertical="center"/>
    </xf>
    <xf numFmtId="1" fontId="19" fillId="48" borderId="82" xfId="0" applyNumberFormat="1" applyFont="1" applyFill="1" applyBorder="1" applyAlignment="1">
      <alignment horizontal="center" vertical="center"/>
    </xf>
    <xf numFmtId="0" fontId="20" fillId="8" borderId="142" xfId="0" applyFont="1" applyFill="1" applyBorder="1" applyAlignment="1">
      <alignment horizontal="center" vertical="center"/>
    </xf>
    <xf numFmtId="1" fontId="18" fillId="7" borderId="191" xfId="0" applyNumberFormat="1" applyFont="1" applyFill="1" applyBorder="1" applyAlignment="1">
      <alignment horizontal="center" vertical="center"/>
    </xf>
    <xf numFmtId="1" fontId="18" fillId="7" borderId="8" xfId="0" applyNumberFormat="1" applyFont="1" applyFill="1" applyBorder="1" applyAlignment="1">
      <alignment horizontal="center" vertical="center"/>
    </xf>
    <xf numFmtId="0" fontId="150" fillId="8" borderId="34" xfId="0" applyFont="1" applyFill="1" applyBorder="1" applyAlignment="1">
      <alignment horizontal="left" vertical="center"/>
    </xf>
    <xf numFmtId="1" fontId="127" fillId="48" borderId="30" xfId="0" applyNumberFormat="1" applyFont="1" applyFill="1" applyBorder="1" applyAlignment="1">
      <alignment horizontal="center" vertical="center"/>
    </xf>
    <xf numFmtId="1" fontId="20" fillId="48" borderId="30" xfId="0" applyNumberFormat="1" applyFont="1" applyFill="1" applyBorder="1" applyAlignment="1">
      <alignment horizontal="center" vertical="center"/>
    </xf>
    <xf numFmtId="1" fontId="19" fillId="48" borderId="30" xfId="0" applyNumberFormat="1" applyFont="1" applyFill="1" applyBorder="1" applyAlignment="1">
      <alignment horizontal="center" vertical="center"/>
    </xf>
    <xf numFmtId="1" fontId="19" fillId="48" borderId="71" xfId="0" applyNumberFormat="1" applyFont="1" applyFill="1" applyBorder="1" applyAlignment="1">
      <alignment horizontal="center" vertical="center"/>
    </xf>
    <xf numFmtId="1" fontId="19" fillId="48" borderId="42" xfId="0" applyNumberFormat="1" applyFont="1" applyFill="1" applyBorder="1" applyAlignment="1">
      <alignment horizontal="center" vertical="center"/>
    </xf>
    <xf numFmtId="1" fontId="19" fillId="7" borderId="144" xfId="0" applyNumberFormat="1" applyFont="1" applyFill="1" applyBorder="1" applyAlignment="1">
      <alignment horizontal="center" vertical="center"/>
    </xf>
    <xf numFmtId="0" fontId="8" fillId="8" borderId="138" xfId="0" applyFont="1" applyFill="1" applyBorder="1" applyAlignment="1">
      <alignment horizontal="left" vertical="center"/>
    </xf>
    <xf numFmtId="1" fontId="18" fillId="50" borderId="173" xfId="0" applyNumberFormat="1" applyFont="1" applyFill="1" applyBorder="1" applyAlignment="1">
      <alignment horizontal="center" vertical="center"/>
    </xf>
    <xf numFmtId="1" fontId="113" fillId="5" borderId="173" xfId="0" applyNumberFormat="1" applyFont="1" applyFill="1" applyBorder="1" applyAlignment="1">
      <alignment horizontal="center" vertical="center"/>
    </xf>
    <xf numFmtId="1" fontId="18" fillId="48" borderId="141" xfId="0" applyNumberFormat="1" applyFont="1" applyFill="1" applyBorder="1" applyAlignment="1">
      <alignment horizontal="center" vertical="center"/>
    </xf>
    <xf numFmtId="1" fontId="18" fillId="0" borderId="173" xfId="0" applyNumberFormat="1" applyFont="1" applyBorder="1" applyAlignment="1">
      <alignment horizontal="center" vertical="center"/>
    </xf>
    <xf numFmtId="1" fontId="121" fillId="0" borderId="173" xfId="104" applyNumberFormat="1" applyFont="1" applyBorder="1" applyAlignment="1">
      <alignment horizontal="center" vertical="center"/>
    </xf>
    <xf numFmtId="1" fontId="0" fillId="50" borderId="173" xfId="0" applyNumberFormat="1" applyFill="1" applyBorder="1" applyAlignment="1">
      <alignment horizontal="center" vertical="center"/>
    </xf>
    <xf numFmtId="1" fontId="22" fillId="0" borderId="173" xfId="0" applyNumberFormat="1" applyFont="1" applyBorder="1" applyAlignment="1">
      <alignment horizontal="center" vertical="center"/>
    </xf>
    <xf numFmtId="1" fontId="45" fillId="0" borderId="173" xfId="0" applyNumberFormat="1" applyFont="1" applyBorder="1" applyAlignment="1">
      <alignment horizontal="center" vertical="center"/>
    </xf>
    <xf numFmtId="1" fontId="17" fillId="6" borderId="173" xfId="0" applyNumberFormat="1" applyFont="1" applyFill="1" applyBorder="1" applyAlignment="1">
      <alignment horizontal="center" vertical="center"/>
    </xf>
    <xf numFmtId="1" fontId="0" fillId="7" borderId="173" xfId="0" applyNumberFormat="1" applyFill="1" applyBorder="1" applyAlignment="1">
      <alignment horizontal="center" vertical="center"/>
    </xf>
    <xf numFmtId="1" fontId="17" fillId="7" borderId="141" xfId="0" applyNumberFormat="1" applyFont="1" applyFill="1" applyBorder="1" applyAlignment="1">
      <alignment horizontal="center" vertical="center"/>
    </xf>
    <xf numFmtId="0" fontId="8" fillId="0" borderId="138" xfId="0" applyFont="1" applyBorder="1" applyAlignment="1">
      <alignment horizontal="right" vertical="center"/>
    </xf>
    <xf numFmtId="0" fontId="20" fillId="8" borderId="133" xfId="0" applyFont="1" applyFill="1" applyBorder="1" applyAlignment="1">
      <alignment horizontal="center" vertical="center"/>
    </xf>
    <xf numFmtId="1" fontId="20" fillId="50" borderId="133" xfId="0" applyNumberFormat="1" applyFont="1" applyFill="1" applyBorder="1" applyAlignment="1">
      <alignment horizontal="center" vertical="center"/>
    </xf>
    <xf numFmtId="1" fontId="20" fillId="0" borderId="126" xfId="0" applyNumberFormat="1" applyFont="1" applyBorder="1" applyAlignment="1">
      <alignment horizontal="center" vertical="center"/>
    </xf>
    <xf numFmtId="0" fontId="21" fillId="8" borderId="173" xfId="0" applyFont="1" applyFill="1" applyBorder="1" applyAlignment="1">
      <alignment horizontal="left" vertical="center"/>
    </xf>
    <xf numFmtId="0" fontId="19" fillId="0" borderId="173" xfId="0" applyFont="1" applyBorder="1" applyAlignment="1">
      <alignment horizontal="center" vertical="center"/>
    </xf>
    <xf numFmtId="0" fontId="19" fillId="8" borderId="173" xfId="0" applyFont="1" applyFill="1" applyBorder="1" applyAlignment="1">
      <alignment horizontal="center" vertical="center"/>
    </xf>
    <xf numFmtId="1" fontId="20" fillId="8" borderId="126" xfId="0" applyNumberFormat="1" applyFont="1" applyFill="1" applyBorder="1" applyAlignment="1">
      <alignment horizontal="center" vertical="center"/>
    </xf>
    <xf numFmtId="0" fontId="20" fillId="8" borderId="138" xfId="0" applyFont="1" applyFill="1" applyBorder="1" applyAlignment="1">
      <alignment horizontal="right" vertical="center"/>
    </xf>
    <xf numFmtId="1" fontId="112" fillId="48" borderId="173" xfId="0" applyNumberFormat="1" applyFont="1" applyFill="1" applyBorder="1" applyAlignment="1">
      <alignment horizontal="center" vertical="center"/>
    </xf>
    <xf numFmtId="1" fontId="21" fillId="48" borderId="141" xfId="0" applyNumberFormat="1" applyFont="1" applyFill="1" applyBorder="1" applyAlignment="1">
      <alignment horizontal="center" vertical="center"/>
    </xf>
    <xf numFmtId="0" fontId="117" fillId="8" borderId="138" xfId="0" applyFont="1" applyFill="1" applyBorder="1" applyAlignment="1">
      <alignment horizontal="left" vertical="center"/>
    </xf>
    <xf numFmtId="0" fontId="7" fillId="8" borderId="173" xfId="0" applyFont="1" applyFill="1" applyBorder="1" applyAlignment="1">
      <alignment horizontal="center" vertical="center"/>
    </xf>
    <xf numFmtId="0" fontId="7" fillId="50" borderId="173" xfId="0" applyFont="1" applyFill="1" applyBorder="1" applyAlignment="1">
      <alignment horizontal="center" vertical="center"/>
    </xf>
    <xf numFmtId="0" fontId="7" fillId="50" borderId="141" xfId="0" applyFont="1" applyFill="1" applyBorder="1" applyAlignment="1">
      <alignment horizontal="center" vertical="center"/>
    </xf>
    <xf numFmtId="0" fontId="7" fillId="8" borderId="126" xfId="0" applyFont="1" applyFill="1" applyBorder="1" applyAlignment="1">
      <alignment horizontal="center" vertical="center"/>
    </xf>
    <xf numFmtId="0" fontId="19" fillId="5" borderId="173" xfId="0" applyFont="1" applyFill="1" applyBorder="1" applyAlignment="1">
      <alignment horizontal="center" vertical="center"/>
    </xf>
    <xf numFmtId="167" fontId="18" fillId="6" borderId="173" xfId="0" applyNumberFormat="1" applyFont="1" applyFill="1" applyBorder="1" applyAlignment="1">
      <alignment horizontal="center" vertical="center"/>
    </xf>
    <xf numFmtId="0" fontId="18" fillId="0" borderId="138" xfId="0" applyFont="1" applyBorder="1" applyAlignment="1">
      <alignment horizontal="left" vertical="center" indent="1"/>
    </xf>
    <xf numFmtId="0" fontId="18" fillId="0" borderId="173" xfId="0" applyFont="1" applyBorder="1" applyAlignment="1">
      <alignment horizontal="center" vertical="center"/>
    </xf>
    <xf numFmtId="1" fontId="18" fillId="48" borderId="126" xfId="0" applyNumberFormat="1" applyFont="1" applyFill="1" applyBorder="1" applyAlignment="1">
      <alignment horizontal="center" vertical="center"/>
    </xf>
    <xf numFmtId="0" fontId="20" fillId="0" borderId="138" xfId="0" applyFont="1" applyBorder="1" applyAlignment="1">
      <alignment horizontal="right" vertical="center" indent="2"/>
    </xf>
    <xf numFmtId="0" fontId="20" fillId="0" borderId="138" xfId="0" applyFont="1" applyBorder="1" applyAlignment="1">
      <alignment horizontal="left" vertical="center"/>
    </xf>
    <xf numFmtId="1" fontId="18" fillId="0" borderId="115" xfId="0" applyNumberFormat="1" applyFont="1" applyBorder="1" applyAlignment="1">
      <alignment horizontal="center" vertical="center"/>
    </xf>
    <xf numFmtId="1" fontId="20" fillId="50" borderId="141" xfId="0" applyNumberFormat="1" applyFont="1" applyFill="1" applyBorder="1" applyAlignment="1">
      <alignment horizontal="center" vertical="center"/>
    </xf>
    <xf numFmtId="0" fontId="18" fillId="0" borderId="133" xfId="0" applyFont="1" applyBorder="1" applyAlignment="1">
      <alignment horizontal="center" vertical="center"/>
    </xf>
    <xf numFmtId="1" fontId="18" fillId="50" borderId="115" xfId="0" applyNumberFormat="1" applyFont="1" applyFill="1" applyBorder="1" applyAlignment="1">
      <alignment horizontal="center" vertical="center"/>
    </xf>
    <xf numFmtId="1" fontId="18" fillId="6" borderId="115" xfId="0" applyNumberFormat="1" applyFont="1" applyFill="1" applyBorder="1" applyAlignment="1">
      <alignment horizontal="center" vertical="center"/>
    </xf>
    <xf numFmtId="1" fontId="18" fillId="7" borderId="115" xfId="0" applyNumberFormat="1" applyFont="1" applyFill="1" applyBorder="1" applyAlignment="1">
      <alignment horizontal="center" vertical="center"/>
    </xf>
    <xf numFmtId="0" fontId="18" fillId="8" borderId="138" xfId="0" applyFont="1" applyFill="1" applyBorder="1" applyAlignment="1">
      <alignment horizontal="left" vertical="center"/>
    </xf>
    <xf numFmtId="0" fontId="4" fillId="8" borderId="142" xfId="0" applyFont="1" applyFill="1" applyBorder="1" applyAlignment="1">
      <alignment horizontal="center" vertical="center"/>
    </xf>
    <xf numFmtId="1" fontId="4" fillId="50" borderId="142" xfId="0" applyNumberFormat="1" applyFont="1" applyFill="1" applyBorder="1" applyAlignment="1">
      <alignment horizontal="center" vertical="center"/>
    </xf>
    <xf numFmtId="1" fontId="19" fillId="8" borderId="142" xfId="0" applyNumberFormat="1" applyFont="1" applyFill="1" applyBorder="1" applyAlignment="1">
      <alignment horizontal="center" vertical="center"/>
    </xf>
    <xf numFmtId="0" fontId="20" fillId="0" borderId="138" xfId="0" applyFont="1" applyBorder="1" applyAlignment="1">
      <alignment horizontal="right" vertical="center" indent="1"/>
    </xf>
    <xf numFmtId="1" fontId="7" fillId="8" borderId="173" xfId="0" applyNumberFormat="1" applyFont="1" applyFill="1" applyBorder="1" applyAlignment="1">
      <alignment horizontal="center" vertical="center"/>
    </xf>
    <xf numFmtId="1" fontId="7" fillId="50" borderId="173" xfId="0" applyNumberFormat="1" applyFont="1" applyFill="1" applyBorder="1" applyAlignment="1">
      <alignment horizontal="center" vertical="center"/>
    </xf>
    <xf numFmtId="0" fontId="14" fillId="8" borderId="138" xfId="0" applyFont="1" applyFill="1" applyBorder="1" applyAlignment="1">
      <alignment horizontal="right" vertical="center"/>
    </xf>
    <xf numFmtId="0" fontId="18" fillId="8" borderId="138" xfId="0" applyFont="1" applyFill="1" applyBorder="1" applyAlignment="1">
      <alignment horizontal="right" vertical="center"/>
    </xf>
    <xf numFmtId="1" fontId="19" fillId="50" borderId="115" xfId="0" applyNumberFormat="1" applyFont="1" applyFill="1" applyBorder="1" applyAlignment="1">
      <alignment horizontal="center" vertical="center"/>
    </xf>
    <xf numFmtId="0" fontId="18" fillId="8" borderId="190" xfId="0" applyFont="1" applyFill="1" applyBorder="1" applyAlignment="1">
      <alignment horizontal="right" vertical="center"/>
    </xf>
    <xf numFmtId="1" fontId="19" fillId="50" borderId="142" xfId="0" applyNumberFormat="1" applyFont="1" applyFill="1" applyBorder="1" applyAlignment="1">
      <alignment horizontal="center" vertical="center"/>
    </xf>
    <xf numFmtId="1" fontId="18" fillId="7" borderId="142" xfId="0" applyNumberFormat="1" applyFont="1" applyFill="1" applyBorder="1" applyAlignment="1">
      <alignment horizontal="center" vertical="center"/>
    </xf>
    <xf numFmtId="0" fontId="17" fillId="0" borderId="41" xfId="0" applyFont="1" applyBorder="1"/>
    <xf numFmtId="1" fontId="19" fillId="8" borderId="41" xfId="0" applyNumberFormat="1" applyFont="1" applyFill="1" applyBorder="1" applyAlignment="1">
      <alignment horizontal="center" vertical="center"/>
    </xf>
    <xf numFmtId="1" fontId="19" fillId="8" borderId="3" xfId="0" applyNumberFormat="1" applyFont="1" applyFill="1" applyBorder="1" applyAlignment="1">
      <alignment horizontal="center" vertical="center"/>
    </xf>
    <xf numFmtId="0" fontId="54" fillId="0" borderId="39" xfId="0" applyFont="1" applyBorder="1"/>
    <xf numFmtId="1" fontId="8" fillId="8" borderId="39" xfId="0" applyNumberFormat="1" applyFont="1" applyFill="1" applyBorder="1" applyAlignment="1">
      <alignment horizontal="center" vertical="center"/>
    </xf>
    <xf numFmtId="0" fontId="17" fillId="0" borderId="39" xfId="0" applyFont="1" applyBorder="1"/>
    <xf numFmtId="0" fontId="17" fillId="0" borderId="56" xfId="0" applyFont="1" applyBorder="1"/>
    <xf numFmtId="0" fontId="21" fillId="0" borderId="138" xfId="0" applyFont="1" applyBorder="1" applyAlignment="1">
      <alignment horizontal="right" vertical="center" indent="1"/>
    </xf>
    <xf numFmtId="169" fontId="20" fillId="0" borderId="41" xfId="0" applyNumberFormat="1" applyFont="1" applyBorder="1" applyAlignment="1">
      <alignment horizontal="center" vertical="center"/>
    </xf>
    <xf numFmtId="169" fontId="20" fillId="0" borderId="30" xfId="0" applyNumberFormat="1" applyFont="1" applyBorder="1" applyAlignment="1">
      <alignment horizontal="center" vertical="center"/>
    </xf>
    <xf numFmtId="169" fontId="20" fillId="0" borderId="10" xfId="0" applyNumberFormat="1" applyFont="1" applyBorder="1" applyAlignment="1">
      <alignment horizontal="center" vertical="center"/>
    </xf>
    <xf numFmtId="0" fontId="20" fillId="0" borderId="14" xfId="0" applyFont="1" applyBorder="1" applyAlignment="1">
      <alignment horizontal="left" vertical="center"/>
    </xf>
    <xf numFmtId="0" fontId="20" fillId="8" borderId="34" xfId="0" quotePrefix="1" applyFont="1" applyFill="1" applyBorder="1" applyAlignment="1">
      <alignment horizontal="left" vertical="center" wrapText="1"/>
    </xf>
    <xf numFmtId="0" fontId="20" fillId="8" borderId="173" xfId="0" quotePrefix="1" applyFont="1" applyFill="1" applyBorder="1" applyAlignment="1">
      <alignment horizontal="left" vertical="center" wrapText="1"/>
    </xf>
    <xf numFmtId="0" fontId="20" fillId="8" borderId="173" xfId="0" applyFont="1" applyFill="1" applyBorder="1" applyAlignment="1">
      <alignment horizontal="left" vertical="center"/>
    </xf>
    <xf numFmtId="0" fontId="19" fillId="8" borderId="141" xfId="0" applyFont="1" applyFill="1" applyBorder="1" applyAlignment="1">
      <alignment horizontal="center" vertical="center"/>
    </xf>
    <xf numFmtId="1" fontId="19" fillId="5" borderId="141" xfId="0" applyNumberFormat="1" applyFont="1" applyFill="1" applyBorder="1" applyAlignment="1">
      <alignment horizontal="center" vertical="center"/>
    </xf>
    <xf numFmtId="1" fontId="19" fillId="6" borderId="141" xfId="0" applyNumberFormat="1" applyFont="1" applyFill="1" applyBorder="1" applyAlignment="1">
      <alignment horizontal="center" vertical="center"/>
    </xf>
    <xf numFmtId="0" fontId="183" fillId="0" borderId="130" xfId="0" applyFont="1" applyBorder="1"/>
    <xf numFmtId="1" fontId="183" fillId="8" borderId="130" xfId="0" applyNumberFormat="1" applyFont="1" applyFill="1" applyBorder="1" applyAlignment="1">
      <alignment horizontal="center"/>
    </xf>
    <xf numFmtId="1" fontId="183" fillId="7" borderId="130" xfId="0" applyNumberFormat="1" applyFont="1" applyFill="1" applyBorder="1" applyAlignment="1">
      <alignment horizontal="center"/>
    </xf>
    <xf numFmtId="1" fontId="183" fillId="5" borderId="130" xfId="0" applyNumberFormat="1" applyFont="1" applyFill="1" applyBorder="1" applyAlignment="1">
      <alignment horizontal="center"/>
    </xf>
    <xf numFmtId="1" fontId="183" fillId="6" borderId="130" xfId="0" applyNumberFormat="1" applyFont="1" applyFill="1" applyBorder="1" applyAlignment="1">
      <alignment horizontal="center"/>
    </xf>
    <xf numFmtId="1" fontId="19" fillId="8" borderId="130" xfId="186" applyNumberFormat="1" applyFont="1" applyFill="1" applyBorder="1" applyAlignment="1">
      <alignment horizontal="center" vertical="top"/>
    </xf>
    <xf numFmtId="1" fontId="19" fillId="5" borderId="130" xfId="186" applyNumberFormat="1" applyFont="1" applyFill="1" applyBorder="1" applyAlignment="1">
      <alignment horizontal="center" vertical="top"/>
    </xf>
    <xf numFmtId="1" fontId="19" fillId="7" borderId="130" xfId="186" applyNumberFormat="1" applyFont="1" applyFill="1" applyBorder="1" applyAlignment="1">
      <alignment horizontal="center" vertical="top"/>
    </xf>
    <xf numFmtId="1" fontId="19" fillId="53" borderId="130" xfId="186" applyNumberFormat="1" applyFont="1" applyFill="1" applyBorder="1" applyAlignment="1">
      <alignment horizontal="center" vertical="top"/>
    </xf>
    <xf numFmtId="1" fontId="18" fillId="7" borderId="130" xfId="186" applyNumberFormat="1" applyFont="1" applyFill="1" applyBorder="1" applyAlignment="1">
      <alignment horizontal="center" vertical="top"/>
    </xf>
    <xf numFmtId="1" fontId="78" fillId="5" borderId="131" xfId="186" applyNumberFormat="1" applyFont="1" applyFill="1" applyBorder="1" applyAlignment="1">
      <alignment horizontal="center" vertical="center"/>
    </xf>
    <xf numFmtId="1" fontId="78" fillId="7" borderId="131" xfId="186" applyNumberFormat="1" applyFont="1" applyFill="1" applyBorder="1" applyAlignment="1">
      <alignment horizontal="center" vertical="center"/>
    </xf>
    <xf numFmtId="1" fontId="78" fillId="6" borderId="130" xfId="186" applyNumberFormat="1" applyFont="1" applyFill="1" applyBorder="1" applyAlignment="1">
      <alignment horizontal="center" vertical="center"/>
    </xf>
    <xf numFmtId="1" fontId="78" fillId="7" borderId="130" xfId="186" applyNumberFormat="1" applyFont="1" applyFill="1" applyBorder="1" applyAlignment="1">
      <alignment horizontal="center" vertical="center"/>
    </xf>
    <xf numFmtId="0" fontId="0" fillId="0" borderId="130" xfId="0" applyBorder="1" applyAlignment="1">
      <alignment horizontal="left" vertical="center"/>
    </xf>
    <xf numFmtId="1" fontId="0" fillId="0" borderId="130" xfId="0" applyNumberFormat="1" applyBorder="1" applyAlignment="1">
      <alignment horizontal="center" vertical="center"/>
    </xf>
    <xf numFmtId="2" fontId="20" fillId="8" borderId="30" xfId="0" applyNumberFormat="1" applyFont="1" applyFill="1" applyBorder="1" applyAlignment="1">
      <alignment horizontal="center" vertical="center"/>
    </xf>
    <xf numFmtId="2" fontId="20" fillId="8" borderId="172" xfId="0" applyNumberFormat="1" applyFont="1" applyFill="1" applyBorder="1" applyAlignment="1">
      <alignment horizontal="center" vertical="center"/>
    </xf>
    <xf numFmtId="0" fontId="183" fillId="0" borderId="130" xfId="0" applyFont="1" applyBorder="1" applyAlignment="1">
      <alignment horizontal="center"/>
    </xf>
    <xf numFmtId="0" fontId="183" fillId="7" borderId="130" xfId="0" applyFont="1" applyFill="1" applyBorder="1" applyAlignment="1">
      <alignment horizontal="center"/>
    </xf>
    <xf numFmtId="0" fontId="183" fillId="5" borderId="130" xfId="0" applyFont="1" applyFill="1" applyBorder="1" applyAlignment="1">
      <alignment horizontal="center"/>
    </xf>
    <xf numFmtId="1" fontId="183" fillId="0" borderId="130" xfId="0" applyNumberFormat="1" applyFont="1" applyBorder="1" applyAlignment="1">
      <alignment horizontal="center"/>
    </xf>
    <xf numFmtId="1" fontId="183" fillId="8" borderId="126" xfId="0" applyNumberFormat="1" applyFont="1" applyFill="1" applyBorder="1" applyAlignment="1">
      <alignment horizontal="center"/>
    </xf>
    <xf numFmtId="1" fontId="184" fillId="8" borderId="119" xfId="0" applyNumberFormat="1" applyFont="1" applyFill="1" applyBorder="1" applyAlignment="1">
      <alignment horizontal="center" vertical="center"/>
    </xf>
    <xf numFmtId="167" fontId="20" fillId="7" borderId="106" xfId="22" applyNumberFormat="1" applyFont="1" applyFill="1" applyBorder="1" applyAlignment="1">
      <alignment horizontal="center" vertical="center"/>
    </xf>
    <xf numFmtId="9" fontId="19" fillId="7" borderId="119" xfId="22" applyFont="1" applyFill="1" applyBorder="1" applyAlignment="1">
      <alignment horizontal="center" vertical="center"/>
    </xf>
    <xf numFmtId="9" fontId="19" fillId="7" borderId="119" xfId="0" applyNumberFormat="1" applyFont="1" applyFill="1" applyBorder="1" applyAlignment="1">
      <alignment horizontal="center" vertical="center"/>
    </xf>
    <xf numFmtId="1" fontId="45" fillId="8" borderId="0" xfId="0" applyNumberFormat="1" applyFont="1" applyFill="1" applyAlignment="1">
      <alignment horizontal="center" vertical="center"/>
    </xf>
    <xf numFmtId="1" fontId="45" fillId="8" borderId="0" xfId="0" applyNumberFormat="1" applyFont="1" applyFill="1"/>
    <xf numFmtId="0" fontId="26" fillId="8" borderId="31" xfId="0" applyFont="1" applyFill="1" applyBorder="1"/>
    <xf numFmtId="0" fontId="26" fillId="8" borderId="31" xfId="0" applyFont="1" applyFill="1" applyBorder="1" applyAlignment="1">
      <alignment horizontal="right"/>
    </xf>
    <xf numFmtId="0" fontId="21" fillId="84" borderId="31" xfId="0" applyFont="1" applyFill="1" applyBorder="1" applyAlignment="1">
      <alignment horizontal="left" vertical="center"/>
    </xf>
    <xf numFmtId="0" fontId="145" fillId="8" borderId="173" xfId="0" applyFont="1" applyFill="1" applyBorder="1" applyAlignment="1">
      <alignment vertical="center"/>
    </xf>
    <xf numFmtId="0" fontId="29" fillId="8" borderId="173" xfId="0" applyFont="1" applyFill="1" applyBorder="1" applyAlignment="1">
      <alignment vertical="center"/>
    </xf>
    <xf numFmtId="0" fontId="29" fillId="8" borderId="126" xfId="0" applyFont="1" applyFill="1" applyBorder="1" applyAlignment="1">
      <alignment horizontal="left" vertical="center"/>
    </xf>
    <xf numFmtId="0" fontId="29" fillId="8" borderId="138" xfId="0" applyFont="1" applyFill="1" applyBorder="1" applyAlignment="1">
      <alignment horizontal="left" vertical="center"/>
    </xf>
    <xf numFmtId="1" fontId="21" fillId="8" borderId="133" xfId="0" applyNumberFormat="1" applyFont="1" applyFill="1" applyBorder="1" applyAlignment="1">
      <alignment horizontal="center" vertical="center"/>
    </xf>
    <xf numFmtId="0" fontId="20" fillId="8" borderId="62" xfId="0" applyFont="1" applyFill="1" applyBorder="1" applyAlignment="1">
      <alignment horizontal="right" vertical="center"/>
    </xf>
    <xf numFmtId="0" fontId="29" fillId="5" borderId="173" xfId="0" applyFont="1" applyFill="1" applyBorder="1" applyAlignment="1">
      <alignment horizontal="center" vertical="center"/>
    </xf>
    <xf numFmtId="0" fontId="21" fillId="84" borderId="173" xfId="0" applyFont="1" applyFill="1" applyBorder="1" applyAlignment="1">
      <alignment horizontal="left" vertical="center"/>
    </xf>
    <xf numFmtId="0" fontId="21" fillId="5" borderId="32" xfId="0" applyFont="1" applyFill="1" applyBorder="1" applyAlignment="1">
      <alignment horizontal="left" vertical="center"/>
    </xf>
    <xf numFmtId="1" fontId="19" fillId="8" borderId="34" xfId="186" applyNumberFormat="1" applyFont="1" applyFill="1" applyBorder="1" applyAlignment="1">
      <alignment horizontal="center" vertical="center"/>
    </xf>
    <xf numFmtId="1" fontId="19" fillId="8" borderId="7" xfId="186" applyNumberFormat="1" applyFont="1" applyFill="1" applyBorder="1" applyAlignment="1">
      <alignment horizontal="center" vertical="center"/>
    </xf>
    <xf numFmtId="1" fontId="18" fillId="8" borderId="53" xfId="186" applyNumberFormat="1" applyFont="1" applyFill="1" applyBorder="1" applyAlignment="1">
      <alignment horizontal="center" vertical="center"/>
    </xf>
    <xf numFmtId="1" fontId="19" fillId="8" borderId="8" xfId="186" applyNumberFormat="1" applyFont="1" applyFill="1" applyBorder="1" applyAlignment="1">
      <alignment horizontal="center" vertical="center"/>
    </xf>
    <xf numFmtId="1" fontId="18" fillId="8" borderId="30" xfId="186" applyNumberFormat="1" applyFont="1" applyFill="1" applyBorder="1" applyAlignment="1">
      <alignment horizontal="center" vertical="center"/>
    </xf>
    <xf numFmtId="0" fontId="19" fillId="8" borderId="35" xfId="186" applyFont="1" applyFill="1" applyBorder="1" applyAlignment="1">
      <alignment horizontal="left" vertical="top"/>
    </xf>
    <xf numFmtId="1" fontId="18" fillId="8" borderId="10" xfId="186" applyNumberFormat="1" applyFont="1" applyFill="1" applyBorder="1" applyAlignment="1">
      <alignment horizontal="center" vertical="top"/>
    </xf>
    <xf numFmtId="2" fontId="19" fillId="8" borderId="0" xfId="186" applyNumberFormat="1" applyFont="1" applyFill="1"/>
    <xf numFmtId="0" fontId="77" fillId="8" borderId="0" xfId="186" applyFill="1"/>
    <xf numFmtId="1" fontId="18" fillId="8" borderId="173" xfId="186" applyNumberFormat="1" applyFont="1" applyFill="1" applyBorder="1" applyAlignment="1">
      <alignment horizontal="center" vertical="top"/>
    </xf>
    <xf numFmtId="0" fontId="18" fillId="8" borderId="109" xfId="0" applyFont="1" applyFill="1" applyBorder="1" applyAlignment="1">
      <alignment horizontal="center" vertical="center"/>
    </xf>
    <xf numFmtId="1" fontId="18" fillId="45" borderId="126" xfId="186" applyNumberFormat="1" applyFont="1" applyFill="1" applyBorder="1" applyAlignment="1">
      <alignment horizontal="center" vertical="top"/>
    </xf>
    <xf numFmtId="0" fontId="18" fillId="0" borderId="115" xfId="0" applyFont="1" applyBorder="1" applyAlignment="1">
      <alignment horizontal="center" vertical="center"/>
    </xf>
    <xf numFmtId="0" fontId="18" fillId="7" borderId="115" xfId="0" applyFont="1" applyFill="1" applyBorder="1" applyAlignment="1">
      <alignment horizontal="center" vertical="center"/>
    </xf>
    <xf numFmtId="1" fontId="19" fillId="7" borderId="141" xfId="186" applyNumberFormat="1" applyFont="1" applyFill="1" applyBorder="1" applyAlignment="1">
      <alignment horizontal="center" vertical="top"/>
    </xf>
    <xf numFmtId="1" fontId="18" fillId="51" borderId="144" xfId="186" applyNumberFormat="1" applyFont="1" applyFill="1" applyBorder="1" applyAlignment="1">
      <alignment horizontal="center" vertical="top"/>
    </xf>
    <xf numFmtId="1" fontId="18" fillId="51" borderId="146" xfId="186" applyNumberFormat="1" applyFont="1" applyFill="1" applyBorder="1" applyAlignment="1">
      <alignment horizontal="center" vertical="top"/>
    </xf>
    <xf numFmtId="1" fontId="18" fillId="51" borderId="142" xfId="186" applyNumberFormat="1" applyFont="1" applyFill="1" applyBorder="1" applyAlignment="1">
      <alignment horizontal="center" vertical="top"/>
    </xf>
    <xf numFmtId="0" fontId="178" fillId="88" borderId="173" xfId="0" applyFont="1" applyFill="1" applyBorder="1" applyAlignment="1">
      <alignment horizontal="center" vertical="center" wrapText="1" readingOrder="1"/>
    </xf>
    <xf numFmtId="0" fontId="178" fillId="89" borderId="173" xfId="0" applyFont="1" applyFill="1" applyBorder="1" applyAlignment="1">
      <alignment horizontal="center" vertical="center" wrapText="1" readingOrder="1"/>
    </xf>
    <xf numFmtId="0" fontId="178" fillId="89" borderId="173" xfId="0" applyFont="1" applyFill="1" applyBorder="1" applyAlignment="1">
      <alignment horizontal="left" vertical="center" wrapText="1" readingOrder="1"/>
    </xf>
    <xf numFmtId="0" fontId="181" fillId="0" borderId="173" xfId="0" applyFont="1" applyBorder="1" applyAlignment="1">
      <alignment horizontal="left" vertical="center" wrapText="1" readingOrder="1"/>
    </xf>
    <xf numFmtId="0" fontId="179" fillId="0" borderId="173" xfId="0" applyFont="1" applyBorder="1" applyAlignment="1">
      <alignment horizontal="left" vertical="center" wrapText="1" readingOrder="1"/>
    </xf>
    <xf numFmtId="0" fontId="193" fillId="0" borderId="173" xfId="0" applyFont="1" applyBorder="1" applyAlignment="1">
      <alignment horizontal="left" vertical="center" wrapText="1"/>
    </xf>
    <xf numFmtId="0" fontId="193" fillId="0" borderId="173" xfId="0" applyFont="1" applyBorder="1" applyAlignment="1">
      <alignment horizontal="center" vertical="center" wrapText="1"/>
    </xf>
    <xf numFmtId="0" fontId="181" fillId="0" borderId="173" xfId="0" applyFont="1" applyBorder="1" applyAlignment="1">
      <alignment wrapText="1"/>
    </xf>
    <xf numFmtId="0" fontId="193" fillId="0" borderId="30" xfId="0" applyFont="1" applyBorder="1" applyAlignment="1">
      <alignment horizontal="left" vertical="center" wrapText="1"/>
    </xf>
    <xf numFmtId="0" fontId="193" fillId="8" borderId="173" xfId="536" applyFont="1" applyFill="1" applyBorder="1" applyAlignment="1">
      <alignment horizontal="center" vertical="center" wrapText="1"/>
    </xf>
    <xf numFmtId="0" fontId="181" fillId="8" borderId="173" xfId="0" applyFont="1" applyFill="1" applyBorder="1" applyAlignment="1">
      <alignment horizontal="left" vertical="center" wrapText="1" readingOrder="1"/>
    </xf>
    <xf numFmtId="0" fontId="179" fillId="8" borderId="173" xfId="0" applyFont="1" applyFill="1" applyBorder="1" applyAlignment="1">
      <alignment horizontal="left" vertical="center" wrapText="1" readingOrder="1"/>
    </xf>
    <xf numFmtId="0" fontId="193" fillId="8" borderId="173" xfId="0" applyFont="1" applyFill="1" applyBorder="1" applyAlignment="1">
      <alignment horizontal="left" vertical="center" wrapText="1"/>
    </xf>
    <xf numFmtId="0" fontId="193" fillId="8" borderId="173" xfId="0" applyFont="1" applyFill="1" applyBorder="1" applyAlignment="1">
      <alignment horizontal="center" vertical="center" wrapText="1"/>
    </xf>
    <xf numFmtId="169" fontId="12" fillId="7" borderId="33" xfId="0" applyNumberFormat="1" applyFont="1" applyFill="1" applyBorder="1" applyAlignment="1">
      <alignment horizontal="center" vertical="center"/>
    </xf>
    <xf numFmtId="0" fontId="27" fillId="0" borderId="60" xfId="0" applyFont="1" applyBorder="1" applyAlignment="1">
      <alignment horizontal="left" vertical="center"/>
    </xf>
    <xf numFmtId="1" fontId="27" fillId="0" borderId="115" xfId="0" applyNumberFormat="1" applyFont="1" applyBorder="1" applyAlignment="1">
      <alignment horizontal="center" vertical="center"/>
    </xf>
    <xf numFmtId="0" fontId="14" fillId="0" borderId="173" xfId="0" applyFont="1" applyBorder="1" applyAlignment="1">
      <alignment horizontal="left" vertical="center"/>
    </xf>
    <xf numFmtId="0" fontId="204" fillId="0" borderId="193" xfId="0" applyFont="1" applyBorder="1" applyAlignment="1">
      <alignment horizontal="left" vertical="center" wrapText="1" readingOrder="1"/>
    </xf>
    <xf numFmtId="2" fontId="12" fillId="7" borderId="130" xfId="0" applyNumberFormat="1" applyFont="1" applyFill="1" applyBorder="1" applyAlignment="1">
      <alignment horizontal="center" vertical="center"/>
    </xf>
    <xf numFmtId="1" fontId="183" fillId="7" borderId="5" xfId="0" applyNumberFormat="1" applyFont="1" applyFill="1" applyBorder="1" applyAlignment="1">
      <alignment horizontal="center"/>
    </xf>
    <xf numFmtId="0" fontId="21" fillId="45" borderId="3" xfId="0" applyFont="1" applyFill="1" applyBorder="1" applyAlignment="1">
      <alignment horizontal="center" vertical="center"/>
    </xf>
    <xf numFmtId="0" fontId="21" fillId="45" borderId="1" xfId="0" applyFont="1" applyFill="1" applyBorder="1" applyAlignment="1">
      <alignment horizontal="center" vertical="center"/>
    </xf>
    <xf numFmtId="0" fontId="20" fillId="5" borderId="173" xfId="0" applyFont="1" applyFill="1" applyBorder="1" applyAlignment="1">
      <alignment horizontal="center" vertical="center"/>
    </xf>
    <xf numFmtId="0" fontId="20" fillId="5" borderId="116" xfId="0" applyFont="1" applyFill="1" applyBorder="1" applyAlignment="1">
      <alignment horizontal="center" vertical="center"/>
    </xf>
    <xf numFmtId="0" fontId="20" fillId="5" borderId="105" xfId="0" applyFont="1" applyFill="1" applyBorder="1" applyAlignment="1">
      <alignment horizontal="center" vertical="center"/>
    </xf>
    <xf numFmtId="0" fontId="20" fillId="5" borderId="139" xfId="0" applyFont="1" applyFill="1" applyBorder="1" applyAlignment="1">
      <alignment horizontal="center" vertical="center"/>
    </xf>
    <xf numFmtId="0" fontId="20" fillId="5" borderId="159" xfId="0" applyFont="1" applyFill="1" applyBorder="1" applyAlignment="1">
      <alignment horizontal="center" vertical="center"/>
    </xf>
    <xf numFmtId="0" fontId="20" fillId="6" borderId="173" xfId="0" applyFont="1" applyFill="1" applyBorder="1" applyAlignment="1">
      <alignment horizontal="center" vertical="center"/>
    </xf>
    <xf numFmtId="0" fontId="20" fillId="6" borderId="116" xfId="0" applyFont="1" applyFill="1" applyBorder="1" applyAlignment="1">
      <alignment horizontal="center" vertical="center"/>
    </xf>
    <xf numFmtId="0" fontId="20" fillId="6" borderId="105" xfId="0" applyFont="1" applyFill="1" applyBorder="1" applyAlignment="1">
      <alignment horizontal="center" vertical="center"/>
    </xf>
    <xf numFmtId="0" fontId="20" fillId="6" borderId="139" xfId="0" applyFont="1" applyFill="1" applyBorder="1" applyAlignment="1">
      <alignment horizontal="center" vertical="center"/>
    </xf>
    <xf numFmtId="0" fontId="20" fillId="6" borderId="159" xfId="0" applyFont="1" applyFill="1" applyBorder="1" applyAlignment="1">
      <alignment horizontal="center" vertical="center"/>
    </xf>
    <xf numFmtId="0" fontId="20" fillId="7" borderId="173" xfId="0" applyFont="1" applyFill="1" applyBorder="1" applyAlignment="1">
      <alignment horizontal="center" vertical="center"/>
    </xf>
    <xf numFmtId="0" fontId="20" fillId="7" borderId="116" xfId="0" applyFont="1" applyFill="1" applyBorder="1" applyAlignment="1">
      <alignment horizontal="center" vertical="center"/>
    </xf>
    <xf numFmtId="0" fontId="20" fillId="7" borderId="105" xfId="0" applyFont="1" applyFill="1" applyBorder="1" applyAlignment="1">
      <alignment horizontal="center" vertical="center"/>
    </xf>
    <xf numFmtId="0" fontId="20" fillId="7" borderId="159" xfId="0" applyFont="1" applyFill="1" applyBorder="1" applyAlignment="1">
      <alignment horizontal="center" vertical="center"/>
    </xf>
    <xf numFmtId="1" fontId="21" fillId="7" borderId="133" xfId="0" applyNumberFormat="1" applyFont="1" applyFill="1" applyBorder="1" applyAlignment="1">
      <alignment horizontal="center" vertical="center"/>
    </xf>
    <xf numFmtId="1" fontId="54" fillId="8" borderId="106" xfId="0" applyNumberFormat="1" applyFont="1" applyFill="1" applyBorder="1" applyAlignment="1">
      <alignment horizontal="center" vertical="center"/>
    </xf>
    <xf numFmtId="1" fontId="54" fillId="8" borderId="159" xfId="0" applyNumberFormat="1" applyFont="1" applyFill="1" applyBorder="1" applyAlignment="1">
      <alignment horizontal="center" vertical="center"/>
    </xf>
    <xf numFmtId="2" fontId="20" fillId="8" borderId="72" xfId="0" applyNumberFormat="1" applyFont="1" applyFill="1" applyBorder="1" applyAlignment="1">
      <alignment horizontal="center" vertical="center"/>
    </xf>
    <xf numFmtId="0" fontId="0" fillId="0" borderId="133" xfId="0" applyBorder="1"/>
    <xf numFmtId="0" fontId="21" fillId="8" borderId="173" xfId="0" applyFont="1" applyFill="1" applyBorder="1" applyAlignment="1">
      <alignment horizontal="center" vertical="center"/>
    </xf>
    <xf numFmtId="167" fontId="21" fillId="8" borderId="173" xfId="0" applyNumberFormat="1" applyFont="1" applyFill="1" applyBorder="1" applyAlignment="1">
      <alignment horizontal="center" vertical="center"/>
    </xf>
    <xf numFmtId="167" fontId="21" fillId="7" borderId="173" xfId="0" applyNumberFormat="1" applyFont="1" applyFill="1" applyBorder="1" applyAlignment="1">
      <alignment horizontal="center" vertical="center"/>
    </xf>
    <xf numFmtId="167" fontId="21" fillId="5" borderId="173" xfId="0" applyNumberFormat="1" applyFont="1" applyFill="1" applyBorder="1" applyAlignment="1">
      <alignment horizontal="center" vertical="center"/>
    </xf>
    <xf numFmtId="167" fontId="21" fillId="6" borderId="173" xfId="0" applyNumberFormat="1" applyFont="1" applyFill="1" applyBorder="1" applyAlignment="1">
      <alignment horizontal="center" vertical="center"/>
    </xf>
    <xf numFmtId="0" fontId="29" fillId="8" borderId="45" xfId="0" applyFont="1" applyFill="1" applyBorder="1" applyAlignment="1">
      <alignment horizontal="center" vertical="center"/>
    </xf>
    <xf numFmtId="0" fontId="29" fillId="8" borderId="173" xfId="0" applyFont="1" applyFill="1" applyBorder="1" applyAlignment="1">
      <alignment horizontal="center" vertical="center"/>
    </xf>
    <xf numFmtId="0" fontId="29" fillId="0" borderId="10" xfId="0" applyFont="1" applyBorder="1" applyAlignment="1">
      <alignment horizontal="center" vertical="center"/>
    </xf>
    <xf numFmtId="0" fontId="29" fillId="0" borderId="172" xfId="0" applyFont="1" applyBorder="1" applyAlignment="1">
      <alignment horizontal="center" vertical="center"/>
    </xf>
    <xf numFmtId="0" fontId="29" fillId="0" borderId="173" xfId="0" applyFont="1" applyBorder="1" applyAlignment="1">
      <alignment horizontal="center" vertical="center"/>
    </xf>
    <xf numFmtId="0" fontId="0" fillId="8" borderId="10" xfId="0" applyFill="1" applyBorder="1" applyAlignment="1">
      <alignment horizontal="center" vertical="center"/>
    </xf>
    <xf numFmtId="0" fontId="0" fillId="0" borderId="133" xfId="0" applyBorder="1" applyAlignment="1">
      <alignment horizontal="center" vertical="center"/>
    </xf>
    <xf numFmtId="0" fontId="0" fillId="0" borderId="173" xfId="0" applyBorder="1" applyAlignment="1">
      <alignment horizontal="center" vertical="center"/>
    </xf>
    <xf numFmtId="0" fontId="45" fillId="8" borderId="30" xfId="0" applyFont="1" applyFill="1" applyBorder="1" applyAlignment="1">
      <alignment horizontal="center" vertical="center"/>
    </xf>
    <xf numFmtId="1" fontId="20" fillId="8" borderId="8" xfId="0" applyNumberFormat="1" applyFont="1" applyFill="1" applyBorder="1" applyAlignment="1">
      <alignment horizontal="center" vertical="center"/>
    </xf>
    <xf numFmtId="1" fontId="20" fillId="4" borderId="10" xfId="0" applyNumberFormat="1" applyFont="1" applyFill="1" applyBorder="1" applyAlignment="1">
      <alignment horizontal="center" vertical="center"/>
    </xf>
    <xf numFmtId="1" fontId="21" fillId="4" borderId="173" xfId="0" applyNumberFormat="1" applyFont="1" applyFill="1" applyBorder="1" applyAlignment="1">
      <alignment horizontal="center" vertical="center"/>
    </xf>
    <xf numFmtId="0" fontId="4" fillId="0" borderId="120" xfId="0" applyFont="1" applyBorder="1" applyAlignment="1">
      <alignment vertical="center"/>
    </xf>
    <xf numFmtId="1" fontId="7" fillId="8" borderId="3" xfId="0" quotePrefix="1" applyNumberFormat="1" applyFont="1" applyFill="1" applyBorder="1" applyAlignment="1">
      <alignment horizontal="center" vertical="center"/>
    </xf>
    <xf numFmtId="167" fontId="4" fillId="8" borderId="69" xfId="0" quotePrefix="1" applyNumberFormat="1" applyFont="1" applyFill="1" applyBorder="1" applyAlignment="1">
      <alignment horizontal="center" vertical="center"/>
    </xf>
    <xf numFmtId="1" fontId="20" fillId="8" borderId="8" xfId="0" quotePrefix="1" applyNumberFormat="1" applyFont="1" applyFill="1" applyBorder="1" applyAlignment="1">
      <alignment horizontal="center" vertical="center"/>
    </xf>
    <xf numFmtId="167" fontId="21" fillId="8" borderId="126" xfId="0" quotePrefix="1" applyNumberFormat="1" applyFont="1" applyFill="1" applyBorder="1" applyAlignment="1">
      <alignment horizontal="center" vertical="center"/>
    </xf>
    <xf numFmtId="1" fontId="20" fillId="8" borderId="126" xfId="0" quotePrefix="1" applyNumberFormat="1" applyFont="1" applyFill="1" applyBorder="1" applyAlignment="1">
      <alignment horizontal="center" vertical="center"/>
    </xf>
    <xf numFmtId="167" fontId="21" fillId="8" borderId="109" xfId="0" quotePrefix="1" applyNumberFormat="1" applyFont="1" applyFill="1" applyBorder="1" applyAlignment="1">
      <alignment horizontal="center" vertical="center"/>
    </xf>
    <xf numFmtId="1" fontId="18" fillId="8" borderId="3" xfId="0" quotePrefix="1" applyNumberFormat="1" applyFont="1" applyFill="1" applyBorder="1" applyAlignment="1">
      <alignment horizontal="center" vertical="center"/>
    </xf>
    <xf numFmtId="2" fontId="18" fillId="8" borderId="59" xfId="0" quotePrefix="1" applyNumberFormat="1" applyFont="1" applyFill="1" applyBorder="1" applyAlignment="1">
      <alignment horizontal="center" vertical="center"/>
    </xf>
    <xf numFmtId="167" fontId="18" fillId="8" borderId="59" xfId="0" applyNumberFormat="1" applyFont="1" applyFill="1" applyBorder="1" applyAlignment="1">
      <alignment horizontal="center" vertical="center"/>
    </xf>
    <xf numFmtId="1" fontId="4" fillId="8" borderId="59" xfId="0" applyNumberFormat="1" applyFont="1" applyFill="1" applyBorder="1" applyAlignment="1">
      <alignment horizontal="center" vertical="center"/>
    </xf>
    <xf numFmtId="0" fontId="29" fillId="8" borderId="24" xfId="0" applyFont="1" applyFill="1" applyBorder="1" applyAlignment="1">
      <alignment vertical="center"/>
    </xf>
    <xf numFmtId="1" fontId="18" fillId="8" borderId="3" xfId="0" applyNumberFormat="1" applyFont="1" applyFill="1" applyBorder="1" applyAlignment="1">
      <alignment horizontal="center" vertical="center"/>
    </xf>
    <xf numFmtId="1" fontId="18" fillId="8" borderId="59" xfId="0" applyNumberFormat="1" applyFont="1" applyFill="1" applyBorder="1" applyAlignment="1">
      <alignment horizontal="center" vertical="center"/>
    </xf>
    <xf numFmtId="0" fontId="21" fillId="0" borderId="189" xfId="0" applyFont="1" applyBorder="1" applyAlignment="1">
      <alignment horizontal="center" vertical="center"/>
    </xf>
    <xf numFmtId="0" fontId="21" fillId="7" borderId="189" xfId="0" applyFont="1" applyFill="1" applyBorder="1" applyAlignment="1">
      <alignment horizontal="center" vertical="center"/>
    </xf>
    <xf numFmtId="2" fontId="21" fillId="0" borderId="131" xfId="0" quotePrefix="1" applyNumberFormat="1" applyFont="1" applyBorder="1" applyAlignment="1">
      <alignment horizontal="center" vertical="center"/>
    </xf>
    <xf numFmtId="2" fontId="21" fillId="8" borderId="131" xfId="0" applyNumberFormat="1" applyFont="1" applyFill="1" applyBorder="1" applyAlignment="1">
      <alignment horizontal="center" vertical="center"/>
    </xf>
    <xf numFmtId="2" fontId="21" fillId="0" borderId="115" xfId="0" quotePrefix="1" applyNumberFormat="1" applyFont="1" applyBorder="1" applyAlignment="1">
      <alignment horizontal="center" vertical="center"/>
    </xf>
    <xf numFmtId="167" fontId="21" fillId="8" borderId="129" xfId="0" quotePrefix="1" applyNumberFormat="1" applyFont="1" applyFill="1" applyBorder="1" applyAlignment="1">
      <alignment horizontal="center" vertical="center"/>
    </xf>
    <xf numFmtId="167" fontId="21" fillId="8" borderId="131" xfId="0" applyNumberFormat="1" applyFont="1" applyFill="1" applyBorder="1" applyAlignment="1">
      <alignment horizontal="center" vertical="center"/>
    </xf>
    <xf numFmtId="1" fontId="20" fillId="8" borderId="129" xfId="0" quotePrefix="1" applyNumberFormat="1" applyFont="1" applyFill="1" applyBorder="1" applyAlignment="1">
      <alignment horizontal="center" vertical="center"/>
    </xf>
    <xf numFmtId="2" fontId="18" fillId="0" borderId="115" xfId="0" quotePrefix="1" applyNumberFormat="1" applyFont="1" applyBorder="1" applyAlignment="1">
      <alignment horizontal="center" vertical="center"/>
    </xf>
    <xf numFmtId="0" fontId="18" fillId="0" borderId="132" xfId="0" applyFont="1" applyBorder="1" applyAlignment="1">
      <alignment horizontal="left" vertical="center"/>
    </xf>
    <xf numFmtId="167" fontId="18" fillId="8" borderId="132" xfId="0" applyNumberFormat="1" applyFont="1" applyFill="1" applyBorder="1" applyAlignment="1">
      <alignment horizontal="center" vertical="center"/>
    </xf>
    <xf numFmtId="0" fontId="4" fillId="0" borderId="132" xfId="0" applyFont="1" applyBorder="1" applyAlignment="1">
      <alignment horizontal="left" vertical="center"/>
    </xf>
    <xf numFmtId="1" fontId="4" fillId="8" borderId="132" xfId="0" applyNumberFormat="1" applyFont="1" applyFill="1" applyBorder="1" applyAlignment="1">
      <alignment horizontal="center" vertical="center"/>
    </xf>
    <xf numFmtId="0" fontId="20" fillId="0" borderId="131" xfId="0" applyFont="1" applyBorder="1" applyAlignment="1">
      <alignment horizontal="center" vertical="center"/>
    </xf>
    <xf numFmtId="1" fontId="20" fillId="8" borderId="129" xfId="0" applyNumberFormat="1" applyFont="1" applyFill="1" applyBorder="1" applyAlignment="1">
      <alignment horizontal="center" vertical="center"/>
    </xf>
    <xf numFmtId="1" fontId="20" fillId="7" borderId="129" xfId="0" applyNumberFormat="1" applyFont="1" applyFill="1" applyBorder="1" applyAlignment="1">
      <alignment horizontal="center" vertical="center"/>
    </xf>
    <xf numFmtId="0" fontId="20" fillId="0" borderId="115" xfId="0" applyFont="1" applyBorder="1" applyAlignment="1">
      <alignment horizontal="center" vertical="center"/>
    </xf>
    <xf numFmtId="1" fontId="18" fillId="8" borderId="132" xfId="0" applyNumberFormat="1" applyFont="1" applyFill="1" applyBorder="1" applyAlignment="1">
      <alignment horizontal="center" vertical="center"/>
    </xf>
    <xf numFmtId="1" fontId="18" fillId="0" borderId="189" xfId="0" applyNumberFormat="1" applyFont="1" applyBorder="1" applyAlignment="1">
      <alignment horizontal="center" vertical="center"/>
    </xf>
    <xf numFmtId="1" fontId="18" fillId="7" borderId="132" xfId="0" applyNumberFormat="1" applyFont="1" applyFill="1" applyBorder="1" applyAlignment="1">
      <alignment horizontal="center" vertical="center"/>
    </xf>
    <xf numFmtId="1" fontId="18" fillId="7" borderId="189" xfId="0" applyNumberFormat="1" applyFont="1" applyFill="1" applyBorder="1" applyAlignment="1">
      <alignment horizontal="center" vertical="center"/>
    </xf>
    <xf numFmtId="0" fontId="4" fillId="0" borderId="9" xfId="0" applyFont="1" applyBorder="1" applyAlignment="1">
      <alignment vertical="center" wrapText="1"/>
    </xf>
    <xf numFmtId="0" fontId="4" fillId="0" borderId="73" xfId="0" applyFont="1" applyBorder="1" applyAlignment="1">
      <alignment horizontal="center" vertical="center"/>
    </xf>
    <xf numFmtId="1" fontId="4" fillId="0" borderId="189" xfId="0" applyNumberFormat="1" applyFont="1" applyBorder="1" applyAlignment="1">
      <alignment horizontal="center" vertical="center"/>
    </xf>
    <xf numFmtId="1" fontId="4" fillId="7" borderId="189" xfId="0" applyNumberFormat="1" applyFont="1" applyFill="1" applyBorder="1" applyAlignment="1">
      <alignment horizontal="center" vertical="center"/>
    </xf>
    <xf numFmtId="1" fontId="4" fillId="7" borderId="51" xfId="0" applyNumberFormat="1" applyFont="1" applyFill="1" applyBorder="1" applyAlignment="1">
      <alignment horizontal="center" vertical="center"/>
    </xf>
    <xf numFmtId="0" fontId="4" fillId="0" borderId="47" xfId="0" applyFont="1" applyBorder="1" applyAlignment="1">
      <alignment vertical="center"/>
    </xf>
    <xf numFmtId="167" fontId="20" fillId="8" borderId="2" xfId="0" applyNumberFormat="1" applyFont="1" applyFill="1" applyBorder="1" applyAlignment="1">
      <alignment vertical="center"/>
    </xf>
    <xf numFmtId="167" fontId="20" fillId="8" borderId="35" xfId="0" applyNumberFormat="1" applyFont="1" applyFill="1" applyBorder="1" applyAlignment="1">
      <alignment vertical="center"/>
    </xf>
    <xf numFmtId="167" fontId="20" fillId="8" borderId="57" xfId="0" applyNumberFormat="1" applyFont="1" applyFill="1" applyBorder="1" applyAlignment="1">
      <alignment vertical="center"/>
    </xf>
    <xf numFmtId="167" fontId="20" fillId="0" borderId="18" xfId="0" applyNumberFormat="1" applyFont="1" applyBorder="1" applyAlignment="1">
      <alignment horizontal="center" vertical="center"/>
    </xf>
    <xf numFmtId="1" fontId="20" fillId="0" borderId="60" xfId="0" applyNumberFormat="1" applyFont="1" applyBorder="1" applyAlignment="1">
      <alignment horizontal="center" vertical="center"/>
    </xf>
    <xf numFmtId="1" fontId="20" fillId="0" borderId="20" xfId="0" applyNumberFormat="1" applyFont="1" applyBorder="1" applyAlignment="1">
      <alignment horizontal="center" vertical="center"/>
    </xf>
    <xf numFmtId="0" fontId="20" fillId="0" borderId="44" xfId="0" applyFont="1" applyBorder="1" applyAlignment="1">
      <alignment vertical="center"/>
    </xf>
    <xf numFmtId="0" fontId="20" fillId="0" borderId="47" xfId="0" applyFont="1" applyBorder="1" applyAlignment="1">
      <alignment vertical="center"/>
    </xf>
    <xf numFmtId="0" fontId="20" fillId="8" borderId="47" xfId="0" applyFont="1" applyFill="1" applyBorder="1" applyAlignment="1">
      <alignment vertical="center"/>
    </xf>
    <xf numFmtId="0" fontId="20" fillId="0" borderId="70" xfId="0" applyFont="1" applyBorder="1" applyAlignment="1">
      <alignment vertical="center"/>
    </xf>
    <xf numFmtId="0" fontId="20" fillId="0" borderId="51" xfId="0" applyFont="1" applyBorder="1" applyAlignment="1">
      <alignment vertical="center"/>
    </xf>
    <xf numFmtId="167" fontId="20" fillId="0" borderId="20" xfId="0" applyNumberFormat="1" applyFont="1" applyBorder="1" applyAlignment="1">
      <alignment horizontal="center" vertical="center"/>
    </xf>
    <xf numFmtId="0" fontId="29" fillId="7" borderId="45" xfId="0" applyFont="1" applyFill="1" applyBorder="1" applyAlignment="1">
      <alignment horizontal="center" vertical="center"/>
    </xf>
    <xf numFmtId="0" fontId="21" fillId="7" borderId="6" xfId="0" applyFont="1" applyFill="1" applyBorder="1" applyAlignment="1">
      <alignment horizontal="center" vertical="center"/>
    </xf>
    <xf numFmtId="0" fontId="0" fillId="7" borderId="133" xfId="0" applyFill="1" applyBorder="1" applyAlignment="1">
      <alignment horizontal="center" vertical="center"/>
    </xf>
    <xf numFmtId="0" fontId="0" fillId="7" borderId="173" xfId="0" applyFill="1" applyBorder="1" applyAlignment="1">
      <alignment horizontal="center" vertical="center"/>
    </xf>
    <xf numFmtId="0" fontId="0" fillId="7" borderId="0" xfId="0" applyFill="1" applyAlignment="1">
      <alignment horizontal="center" vertical="center"/>
    </xf>
    <xf numFmtId="0" fontId="29" fillId="7" borderId="173" xfId="0" applyFont="1" applyFill="1" applyBorder="1" applyAlignment="1">
      <alignment horizontal="center" vertical="center"/>
    </xf>
    <xf numFmtId="0" fontId="29" fillId="7" borderId="172" xfId="0" applyFont="1" applyFill="1" applyBorder="1" applyAlignment="1">
      <alignment horizontal="center" vertical="center"/>
    </xf>
    <xf numFmtId="0" fontId="45" fillId="7" borderId="30" xfId="0" applyFont="1" applyFill="1" applyBorder="1" applyAlignment="1">
      <alignment horizontal="center" vertical="center"/>
    </xf>
    <xf numFmtId="0" fontId="0" fillId="5" borderId="10" xfId="0" applyFill="1" applyBorder="1" applyAlignment="1">
      <alignment horizontal="center" vertical="center"/>
    </xf>
    <xf numFmtId="0" fontId="29" fillId="5" borderId="10" xfId="0" applyFont="1" applyFill="1" applyBorder="1" applyAlignment="1">
      <alignment horizontal="center" vertical="center"/>
    </xf>
    <xf numFmtId="1" fontId="21" fillId="5" borderId="133" xfId="0" applyNumberFormat="1" applyFont="1" applyFill="1" applyBorder="1" applyAlignment="1">
      <alignment horizontal="center" vertical="center"/>
    </xf>
    <xf numFmtId="0" fontId="29" fillId="5" borderId="45" xfId="0" applyFont="1" applyFill="1" applyBorder="1" applyAlignment="1">
      <alignment horizontal="center" vertical="center"/>
    </xf>
    <xf numFmtId="0" fontId="21" fillId="5" borderId="6" xfId="0" applyFont="1" applyFill="1" applyBorder="1" applyAlignment="1">
      <alignment horizontal="center" vertical="center"/>
    </xf>
    <xf numFmtId="0" fontId="0" fillId="5" borderId="133" xfId="0" applyFill="1" applyBorder="1" applyAlignment="1">
      <alignment horizontal="center" vertical="center"/>
    </xf>
    <xf numFmtId="0" fontId="0" fillId="5" borderId="173" xfId="0" applyFill="1" applyBorder="1" applyAlignment="1">
      <alignment horizontal="center" vertical="center"/>
    </xf>
    <xf numFmtId="1" fontId="0" fillId="5" borderId="173" xfId="0" applyNumberFormat="1" applyFill="1" applyBorder="1" applyAlignment="1">
      <alignment horizontal="center" vertical="center"/>
    </xf>
    <xf numFmtId="0" fontId="29" fillId="5" borderId="172" xfId="0" applyFont="1" applyFill="1" applyBorder="1" applyAlignment="1">
      <alignment horizontal="center" vertical="center"/>
    </xf>
    <xf numFmtId="0" fontId="45" fillId="5" borderId="30" xfId="0" applyFont="1" applyFill="1" applyBorder="1" applyAlignment="1">
      <alignment horizontal="center" vertical="center"/>
    </xf>
    <xf numFmtId="0" fontId="0" fillId="5" borderId="0" xfId="0" applyFill="1" applyAlignment="1">
      <alignment horizontal="center" vertical="center"/>
    </xf>
    <xf numFmtId="0" fontId="29" fillId="6" borderId="10" xfId="0" applyFont="1" applyFill="1" applyBorder="1" applyAlignment="1">
      <alignment horizontal="center" vertical="center"/>
    </xf>
    <xf numFmtId="1" fontId="21" fillId="6" borderId="133" xfId="0" applyNumberFormat="1" applyFont="1" applyFill="1" applyBorder="1" applyAlignment="1">
      <alignment horizontal="center" vertical="center"/>
    </xf>
    <xf numFmtId="0" fontId="29" fillId="6" borderId="45" xfId="0" applyFont="1" applyFill="1" applyBorder="1" applyAlignment="1">
      <alignment horizontal="center" vertical="center"/>
    </xf>
    <xf numFmtId="0" fontId="21" fillId="6" borderId="6" xfId="0" applyFont="1" applyFill="1" applyBorder="1" applyAlignment="1">
      <alignment horizontal="center" vertical="center"/>
    </xf>
    <xf numFmtId="0" fontId="0" fillId="6" borderId="133" xfId="0" applyFill="1" applyBorder="1" applyAlignment="1">
      <alignment horizontal="center" vertical="center"/>
    </xf>
    <xf numFmtId="0" fontId="0" fillId="6" borderId="173" xfId="0" applyFill="1" applyBorder="1" applyAlignment="1">
      <alignment horizontal="center" vertical="center"/>
    </xf>
    <xf numFmtId="0" fontId="29" fillId="6" borderId="173" xfId="0" applyFont="1" applyFill="1" applyBorder="1" applyAlignment="1">
      <alignment horizontal="center" vertical="center"/>
    </xf>
    <xf numFmtId="0" fontId="29" fillId="6" borderId="172" xfId="0" applyFont="1" applyFill="1" applyBorder="1" applyAlignment="1">
      <alignment horizontal="center" vertical="center"/>
    </xf>
    <xf numFmtId="0" fontId="45" fillId="6" borderId="30" xfId="0" applyFont="1" applyFill="1" applyBorder="1" applyAlignment="1">
      <alignment horizontal="center" vertical="center"/>
    </xf>
    <xf numFmtId="0" fontId="0" fillId="6" borderId="0" xfId="0" applyFill="1" applyAlignment="1">
      <alignment horizontal="center" vertical="center"/>
    </xf>
    <xf numFmtId="0" fontId="158" fillId="0" borderId="130" xfId="0" applyFont="1" applyBorder="1" applyAlignment="1">
      <alignment horizontal="center" vertical="center" wrapText="1"/>
    </xf>
    <xf numFmtId="0" fontId="158" fillId="0" borderId="130" xfId="0" applyFont="1" applyBorder="1" applyAlignment="1">
      <alignment wrapText="1"/>
    </xf>
    <xf numFmtId="0" fontId="160" fillId="0" borderId="130" xfId="0" applyFont="1" applyBorder="1" applyAlignment="1">
      <alignment horizontal="center" vertical="center" wrapText="1"/>
    </xf>
    <xf numFmtId="0" fontId="160" fillId="0" borderId="130" xfId="0" applyFont="1" applyBorder="1" applyAlignment="1">
      <alignment vertical="center" wrapText="1"/>
    </xf>
    <xf numFmtId="17" fontId="158" fillId="0" borderId="130" xfId="0" applyNumberFormat="1" applyFont="1" applyBorder="1" applyAlignment="1">
      <alignment wrapText="1"/>
    </xf>
    <xf numFmtId="1" fontId="158" fillId="0" borderId="130" xfId="0" applyNumberFormat="1" applyFont="1" applyBorder="1" applyAlignment="1">
      <alignment horizontal="center" vertical="center" wrapText="1"/>
    </xf>
    <xf numFmtId="0" fontId="161" fillId="0" borderId="130" xfId="0" applyFont="1" applyBorder="1" applyAlignment="1">
      <alignment horizontal="center" vertical="center" wrapText="1"/>
    </xf>
    <xf numFmtId="0" fontId="161" fillId="8" borderId="130" xfId="0" applyFont="1" applyFill="1" applyBorder="1" applyAlignment="1">
      <alignment horizontal="center" vertical="center" wrapText="1"/>
    </xf>
    <xf numFmtId="0" fontId="160" fillId="0" borderId="130" xfId="0" applyFont="1" applyBorder="1" applyAlignment="1">
      <alignment wrapText="1"/>
    </xf>
    <xf numFmtId="0" fontId="162" fillId="0" borderId="130" xfId="0" applyFont="1" applyBorder="1" applyAlignment="1">
      <alignment horizontal="center" vertical="center" wrapText="1"/>
    </xf>
    <xf numFmtId="0" fontId="163" fillId="8" borderId="130" xfId="0" applyFont="1" applyFill="1" applyBorder="1" applyAlignment="1">
      <alignment horizontal="center" vertical="center" wrapText="1"/>
    </xf>
    <xf numFmtId="0" fontId="165" fillId="0" borderId="130" xfId="0" applyFont="1" applyBorder="1" applyAlignment="1">
      <alignment horizontal="center" vertical="center" wrapText="1"/>
    </xf>
    <xf numFmtId="0" fontId="165" fillId="8" borderId="130" xfId="0" applyFont="1" applyFill="1" applyBorder="1" applyAlignment="1">
      <alignment horizontal="center" vertical="center" wrapText="1"/>
    </xf>
    <xf numFmtId="0" fontId="166" fillId="0" borderId="130" xfId="0" applyFont="1" applyBorder="1" applyAlignment="1">
      <alignment horizontal="center" vertical="center" wrapText="1"/>
    </xf>
    <xf numFmtId="0" fontId="164" fillId="0" borderId="130" xfId="0" applyFont="1" applyBorder="1" applyAlignment="1">
      <alignment horizontal="center" vertical="center" wrapText="1"/>
    </xf>
    <xf numFmtId="0" fontId="164" fillId="8" borderId="130" xfId="0" applyFont="1" applyFill="1" applyBorder="1" applyAlignment="1">
      <alignment horizontal="center" vertical="center" wrapText="1"/>
    </xf>
    <xf numFmtId="0" fontId="162" fillId="8" borderId="130" xfId="0" applyFont="1" applyFill="1" applyBorder="1" applyAlignment="1">
      <alignment horizontal="center" vertical="center" wrapText="1"/>
    </xf>
    <xf numFmtId="1" fontId="162" fillId="8" borderId="130" xfId="0" applyNumberFormat="1" applyFont="1" applyFill="1" applyBorder="1" applyAlignment="1">
      <alignment horizontal="center" vertical="center" wrapText="1"/>
    </xf>
    <xf numFmtId="0" fontId="158" fillId="8" borderId="130" xfId="0" applyFont="1" applyFill="1" applyBorder="1" applyAlignment="1">
      <alignment horizontal="center" vertical="center" wrapText="1"/>
    </xf>
    <xf numFmtId="0" fontId="160" fillId="8" borderId="130" xfId="0" applyFont="1" applyFill="1" applyBorder="1" applyAlignment="1">
      <alignment horizontal="center" vertical="center" wrapText="1"/>
    </xf>
    <xf numFmtId="1" fontId="164" fillId="0" borderId="130" xfId="0" applyNumberFormat="1" applyFont="1" applyBorder="1" applyAlignment="1">
      <alignment horizontal="center" vertical="center" wrapText="1"/>
    </xf>
    <xf numFmtId="2" fontId="164" fillId="0" borderId="46" xfId="0" applyNumberFormat="1" applyFont="1" applyBorder="1" applyAlignment="1">
      <alignment horizontal="center" vertical="center" wrapText="1"/>
    </xf>
    <xf numFmtId="1" fontId="162" fillId="0" borderId="130" xfId="0" applyNumberFormat="1" applyFont="1" applyBorder="1" applyAlignment="1">
      <alignment horizontal="center" vertical="center" wrapText="1"/>
    </xf>
    <xf numFmtId="0" fontId="163" fillId="0" borderId="130" xfId="0" applyFont="1" applyBorder="1" applyAlignment="1">
      <alignment horizontal="center" vertical="center" wrapText="1"/>
    </xf>
    <xf numFmtId="1" fontId="164" fillId="8" borderId="130" xfId="0" applyNumberFormat="1" applyFont="1" applyFill="1" applyBorder="1" applyAlignment="1">
      <alignment horizontal="center" vertical="center" wrapText="1"/>
    </xf>
    <xf numFmtId="1" fontId="165" fillId="0" borderId="130" xfId="0" applyNumberFormat="1" applyFont="1" applyBorder="1" applyAlignment="1">
      <alignment horizontal="center" vertical="center" wrapText="1"/>
    </xf>
    <xf numFmtId="1" fontId="166" fillId="0" borderId="130" xfId="0" applyNumberFormat="1" applyFont="1" applyBorder="1" applyAlignment="1">
      <alignment horizontal="center" vertical="center" wrapText="1"/>
    </xf>
    <xf numFmtId="1" fontId="161" fillId="0" borderId="130" xfId="0" applyNumberFormat="1" applyFont="1" applyBorder="1" applyAlignment="1">
      <alignment horizontal="center" vertical="center" wrapText="1"/>
    </xf>
    <xf numFmtId="167" fontId="164" fillId="0" borderId="130" xfId="0" applyNumberFormat="1" applyFont="1" applyBorder="1" applyAlignment="1">
      <alignment horizontal="center" vertical="center" wrapText="1"/>
    </xf>
    <xf numFmtId="2" fontId="164" fillId="0" borderId="130" xfId="0" applyNumberFormat="1" applyFont="1" applyBorder="1" applyAlignment="1">
      <alignment horizontal="center" vertical="center" wrapText="1"/>
    </xf>
    <xf numFmtId="1" fontId="163" fillId="0" borderId="130" xfId="0" applyNumberFormat="1" applyFont="1" applyBorder="1" applyAlignment="1">
      <alignment horizontal="center" vertical="center" wrapText="1"/>
    </xf>
    <xf numFmtId="9" fontId="158" fillId="0" borderId="130" xfId="22" applyFont="1" applyBorder="1" applyAlignment="1">
      <alignment horizontal="center" vertical="center" wrapText="1"/>
    </xf>
    <xf numFmtId="1" fontId="160" fillId="0" borderId="130" xfId="0" applyNumberFormat="1" applyFont="1" applyBorder="1" applyAlignment="1">
      <alignment horizontal="center" vertical="center" wrapText="1"/>
    </xf>
    <xf numFmtId="167" fontId="161" fillId="0" borderId="130" xfId="0" applyNumberFormat="1" applyFont="1" applyBorder="1" applyAlignment="1">
      <alignment horizontal="center" vertical="center" wrapText="1"/>
    </xf>
    <xf numFmtId="1" fontId="158" fillId="0" borderId="41" xfId="0" applyNumberFormat="1" applyFont="1" applyBorder="1" applyAlignment="1">
      <alignment horizontal="center" vertical="center" wrapText="1"/>
    </xf>
    <xf numFmtId="0" fontId="158" fillId="0" borderId="130" xfId="0" applyFont="1" applyBorder="1" applyAlignment="1">
      <alignment horizontal="left" vertical="center" wrapText="1" indent="1"/>
    </xf>
    <xf numFmtId="167" fontId="0" fillId="0" borderId="130" xfId="0" applyNumberFormat="1" applyBorder="1" applyAlignment="1">
      <alignment horizontal="center" vertical="center"/>
    </xf>
    <xf numFmtId="2" fontId="158" fillId="0" borderId="130" xfId="0" applyNumberFormat="1" applyFont="1" applyBorder="1" applyAlignment="1">
      <alignment horizontal="center" wrapText="1"/>
    </xf>
    <xf numFmtId="2" fontId="164" fillId="8" borderId="130" xfId="0" applyNumberFormat="1" applyFont="1" applyFill="1" applyBorder="1" applyAlignment="1">
      <alignment horizontal="center" wrapText="1"/>
    </xf>
    <xf numFmtId="167" fontId="158" fillId="0" borderId="130" xfId="0" applyNumberFormat="1" applyFont="1" applyBorder="1" applyAlignment="1">
      <alignment horizontal="center" vertical="center" wrapText="1"/>
    </xf>
    <xf numFmtId="2" fontId="160" fillId="0" borderId="130" xfId="0" applyNumberFormat="1" applyFont="1" applyBorder="1" applyAlignment="1">
      <alignment horizontal="center" wrapText="1"/>
    </xf>
    <xf numFmtId="167" fontId="165" fillId="0" borderId="130" xfId="0" applyNumberFormat="1" applyFont="1" applyBorder="1" applyAlignment="1">
      <alignment horizontal="center" vertical="center"/>
    </xf>
    <xf numFmtId="167" fontId="165" fillId="0" borderId="131" xfId="0" applyNumberFormat="1" applyFont="1" applyBorder="1" applyAlignment="1">
      <alignment horizontal="center" vertical="center"/>
    </xf>
    <xf numFmtId="167" fontId="158" fillId="0" borderId="130" xfId="0" applyNumberFormat="1" applyFont="1" applyBorder="1" applyAlignment="1">
      <alignment horizontal="center" wrapText="1"/>
    </xf>
    <xf numFmtId="2" fontId="0" fillId="0" borderId="130" xfId="0" applyNumberFormat="1" applyBorder="1" applyAlignment="1">
      <alignment horizontal="center" vertical="center"/>
    </xf>
    <xf numFmtId="0" fontId="158" fillId="0" borderId="23" xfId="0" applyFont="1" applyBorder="1" applyAlignment="1">
      <alignment horizontal="left" vertical="center" wrapText="1" indent="1"/>
    </xf>
    <xf numFmtId="2" fontId="0" fillId="0" borderId="23" xfId="0" applyNumberFormat="1" applyBorder="1" applyAlignment="1">
      <alignment horizontal="center" vertical="center"/>
    </xf>
    <xf numFmtId="2" fontId="158" fillId="0" borderId="23" xfId="0" applyNumberFormat="1" applyFont="1" applyBorder="1" applyAlignment="1">
      <alignment horizontal="center" wrapText="1"/>
    </xf>
    <xf numFmtId="2" fontId="164" fillId="8" borderId="23" xfId="0" applyNumberFormat="1" applyFont="1" applyFill="1" applyBorder="1" applyAlignment="1">
      <alignment horizontal="center" wrapText="1"/>
    </xf>
    <xf numFmtId="167" fontId="158" fillId="0" borderId="23" xfId="0" applyNumberFormat="1" applyFont="1" applyBorder="1" applyAlignment="1">
      <alignment horizontal="center" vertical="center" wrapText="1"/>
    </xf>
    <xf numFmtId="2" fontId="160" fillId="0" borderId="23" xfId="0" applyNumberFormat="1" applyFont="1" applyBorder="1" applyAlignment="1">
      <alignment horizontal="center" wrapText="1"/>
    </xf>
    <xf numFmtId="167" fontId="165" fillId="0" borderId="23" xfId="0" applyNumberFormat="1" applyFont="1" applyBorder="1" applyAlignment="1">
      <alignment horizontal="center" vertical="center"/>
    </xf>
    <xf numFmtId="167" fontId="165" fillId="0" borderId="33" xfId="0" applyNumberFormat="1" applyFont="1" applyBorder="1" applyAlignment="1">
      <alignment horizontal="center" vertical="center"/>
    </xf>
    <xf numFmtId="1" fontId="158" fillId="0" borderId="130" xfId="0" applyNumberFormat="1" applyFont="1" applyBorder="1" applyAlignment="1">
      <alignment horizontal="center" wrapText="1"/>
    </xf>
    <xf numFmtId="1" fontId="158" fillId="0" borderId="131" xfId="0" applyNumberFormat="1" applyFont="1" applyBorder="1" applyAlignment="1">
      <alignment horizontal="center" wrapText="1"/>
    </xf>
    <xf numFmtId="167" fontId="158" fillId="0" borderId="131" xfId="0" applyNumberFormat="1" applyFont="1" applyBorder="1" applyAlignment="1">
      <alignment horizontal="center" wrapText="1"/>
    </xf>
    <xf numFmtId="0" fontId="0" fillId="0" borderId="130" xfId="0" applyBorder="1"/>
    <xf numFmtId="0" fontId="0" fillId="0" borderId="131" xfId="0" applyBorder="1"/>
    <xf numFmtId="167" fontId="158" fillId="0" borderId="23" xfId="0" applyNumberFormat="1" applyFont="1" applyBorder="1" applyAlignment="1">
      <alignment horizontal="center" wrapText="1"/>
    </xf>
    <xf numFmtId="167" fontId="158" fillId="0" borderId="33" xfId="0" applyNumberFormat="1" applyFont="1" applyBorder="1" applyAlignment="1">
      <alignment horizontal="center" wrapText="1"/>
    </xf>
    <xf numFmtId="167" fontId="17" fillId="0" borderId="130" xfId="0" applyNumberFormat="1" applyFont="1" applyBorder="1" applyAlignment="1">
      <alignment horizontal="center" vertical="center"/>
    </xf>
    <xf numFmtId="167" fontId="158" fillId="0" borderId="131" xfId="0" applyNumberFormat="1" applyFont="1" applyBorder="1" applyAlignment="1">
      <alignment horizontal="center" vertical="center" wrapText="1"/>
    </xf>
    <xf numFmtId="167" fontId="160" fillId="0" borderId="130" xfId="0" applyNumberFormat="1" applyFont="1" applyBorder="1" applyAlignment="1">
      <alignment horizontal="center" wrapText="1"/>
    </xf>
    <xf numFmtId="167" fontId="17" fillId="0" borderId="23" xfId="0" applyNumberFormat="1" applyFont="1" applyBorder="1" applyAlignment="1">
      <alignment horizontal="center" vertical="center"/>
    </xf>
    <xf numFmtId="167" fontId="158" fillId="0" borderId="33" xfId="0" applyNumberFormat="1" applyFont="1" applyBorder="1" applyAlignment="1">
      <alignment horizontal="center" vertical="center" wrapText="1"/>
    </xf>
    <xf numFmtId="0" fontId="160" fillId="0" borderId="131" xfId="0" applyFont="1" applyBorder="1" applyAlignment="1">
      <alignment horizontal="center" vertical="center" wrapText="1"/>
    </xf>
    <xf numFmtId="0" fontId="165" fillId="0" borderId="130" xfId="0" applyFont="1" applyBorder="1" applyAlignment="1">
      <alignment horizontal="center"/>
    </xf>
    <xf numFmtId="167" fontId="164" fillId="0" borderId="130" xfId="0" applyNumberFormat="1" applyFont="1" applyBorder="1" applyAlignment="1">
      <alignment horizontal="center"/>
    </xf>
    <xf numFmtId="167" fontId="164" fillId="0" borderId="131" xfId="0" applyNumberFormat="1" applyFont="1" applyBorder="1" applyAlignment="1">
      <alignment horizontal="center"/>
    </xf>
    <xf numFmtId="167" fontId="165" fillId="0" borderId="130" xfId="0" applyNumberFormat="1" applyFont="1" applyBorder="1" applyAlignment="1">
      <alignment horizontal="center"/>
    </xf>
    <xf numFmtId="167" fontId="165" fillId="0" borderId="131" xfId="0" applyNumberFormat="1" applyFont="1" applyBorder="1" applyAlignment="1">
      <alignment horizontal="center"/>
    </xf>
    <xf numFmtId="1" fontId="17" fillId="0" borderId="130" xfId="0" applyNumberFormat="1" applyFont="1" applyBorder="1" applyAlignment="1">
      <alignment horizontal="center" vertical="center"/>
    </xf>
    <xf numFmtId="0" fontId="164" fillId="0" borderId="130" xfId="0" applyFont="1" applyBorder="1" applyAlignment="1">
      <alignment horizontal="center"/>
    </xf>
    <xf numFmtId="1" fontId="17" fillId="0" borderId="23" xfId="0" applyNumberFormat="1" applyFont="1" applyBorder="1" applyAlignment="1">
      <alignment horizontal="center" vertical="center"/>
    </xf>
    <xf numFmtId="0" fontId="165" fillId="0" borderId="23" xfId="0" applyFont="1" applyBorder="1" applyAlignment="1">
      <alignment horizontal="center"/>
    </xf>
    <xf numFmtId="0" fontId="164" fillId="0" borderId="23" xfId="0" applyFont="1" applyBorder="1" applyAlignment="1">
      <alignment horizontal="center"/>
    </xf>
    <xf numFmtId="167" fontId="165" fillId="0" borderId="23" xfId="0" applyNumberFormat="1" applyFont="1" applyBorder="1" applyAlignment="1">
      <alignment horizontal="center"/>
    </xf>
    <xf numFmtId="167" fontId="165" fillId="0" borderId="33" xfId="0" applyNumberFormat="1" applyFont="1" applyBorder="1" applyAlignment="1">
      <alignment horizontal="center"/>
    </xf>
    <xf numFmtId="17" fontId="160" fillId="0" borderId="130" xfId="0" applyNumberFormat="1" applyFont="1" applyBorder="1" applyAlignment="1">
      <alignment wrapText="1"/>
    </xf>
    <xf numFmtId="2" fontId="165" fillId="0" borderId="130" xfId="0" applyNumberFormat="1" applyFont="1" applyBorder="1" applyAlignment="1">
      <alignment horizontal="center"/>
    </xf>
    <xf numFmtId="1" fontId="160" fillId="0" borderId="130" xfId="0" applyNumberFormat="1" applyFont="1" applyBorder="1" applyAlignment="1">
      <alignment horizontal="center" wrapText="1"/>
    </xf>
    <xf numFmtId="1" fontId="162" fillId="8" borderId="130" xfId="0" applyNumberFormat="1" applyFont="1" applyFill="1" applyBorder="1" applyAlignment="1">
      <alignment horizontal="center" wrapText="1"/>
    </xf>
    <xf numFmtId="0" fontId="158" fillId="0" borderId="130" xfId="0" applyFont="1" applyBorder="1" applyAlignment="1">
      <alignment horizontal="center" wrapText="1"/>
    </xf>
    <xf numFmtId="167" fontId="0" fillId="0" borderId="130" xfId="0" applyNumberFormat="1" applyBorder="1"/>
    <xf numFmtId="167" fontId="160" fillId="0" borderId="130" xfId="0" applyNumberFormat="1" applyFont="1" applyBorder="1" applyAlignment="1">
      <alignment horizontal="center" vertical="center" wrapText="1"/>
    </xf>
    <xf numFmtId="0" fontId="10" fillId="0" borderId="0" xfId="536"/>
    <xf numFmtId="0" fontId="200" fillId="0" borderId="0" xfId="536" applyFont="1"/>
    <xf numFmtId="17" fontId="192" fillId="0" borderId="194" xfId="536" applyNumberFormat="1" applyFont="1" applyBorder="1" applyAlignment="1">
      <alignment horizontal="center" vertical="center"/>
    </xf>
    <xf numFmtId="17" fontId="201" fillId="82" borderId="194" xfId="536" applyNumberFormat="1" applyFont="1" applyFill="1" applyBorder="1" applyAlignment="1">
      <alignment horizontal="center" vertical="center"/>
    </xf>
    <xf numFmtId="0" fontId="201" fillId="82" borderId="195" xfId="536" applyFont="1" applyFill="1" applyBorder="1" applyAlignment="1">
      <alignment horizontal="center" vertical="center" wrapText="1"/>
    </xf>
    <xf numFmtId="0" fontId="201" fillId="82" borderId="130" xfId="536" applyFont="1" applyFill="1" applyBorder="1" applyAlignment="1">
      <alignment horizontal="center" vertical="center" wrapText="1"/>
    </xf>
    <xf numFmtId="0" fontId="81" fillId="0" borderId="196" xfId="536" applyFont="1" applyBorder="1"/>
    <xf numFmtId="0" fontId="81" fillId="0" borderId="0" xfId="536" applyFont="1" applyAlignment="1">
      <alignment horizontal="center"/>
    </xf>
    <xf numFmtId="0" fontId="192" fillId="0" borderId="197" xfId="536" applyFont="1" applyBorder="1" applyAlignment="1">
      <alignment horizontal="center"/>
    </xf>
    <xf numFmtId="0" fontId="192" fillId="0" borderId="0" xfId="536" applyFont="1" applyAlignment="1">
      <alignment horizontal="center"/>
    </xf>
    <xf numFmtId="1" fontId="81" fillId="0" borderId="178" xfId="536" applyNumberFormat="1" applyFont="1" applyBorder="1" applyAlignment="1">
      <alignment horizontal="center"/>
    </xf>
    <xf numFmtId="1" fontId="192" fillId="0" borderId="198" xfId="536" applyNumberFormat="1" applyFont="1" applyBorder="1" applyAlignment="1">
      <alignment horizontal="center"/>
    </xf>
    <xf numFmtId="2" fontId="192" fillId="0" borderId="18" xfId="536" applyNumberFormat="1" applyFont="1" applyBorder="1" applyAlignment="1">
      <alignment horizontal="center"/>
    </xf>
    <xf numFmtId="1" fontId="81" fillId="0" borderId="0" xfId="536" applyNumberFormat="1" applyFont="1"/>
    <xf numFmtId="1" fontId="81" fillId="0" borderId="181" xfId="536" applyNumberFormat="1" applyFont="1" applyBorder="1" applyAlignment="1">
      <alignment horizontal="center"/>
    </xf>
    <xf numFmtId="1" fontId="192" fillId="0" borderId="199" xfId="536" applyNumberFormat="1" applyFont="1" applyBorder="1" applyAlignment="1">
      <alignment horizontal="center"/>
    </xf>
    <xf numFmtId="2" fontId="192" fillId="0" borderId="12" xfId="536" applyNumberFormat="1" applyFont="1" applyBorder="1" applyAlignment="1">
      <alignment horizontal="center"/>
    </xf>
    <xf numFmtId="0" fontId="10" fillId="0" borderId="0" xfId="536" applyAlignment="1">
      <alignment horizontal="center"/>
    </xf>
    <xf numFmtId="1" fontId="81" fillId="0" borderId="185" xfId="536" applyNumberFormat="1" applyFont="1" applyBorder="1" applyAlignment="1">
      <alignment horizontal="center"/>
    </xf>
    <xf numFmtId="1" fontId="192" fillId="0" borderId="26" xfId="536" applyNumberFormat="1" applyFont="1" applyBorder="1" applyAlignment="1">
      <alignment horizontal="center"/>
    </xf>
    <xf numFmtId="2" fontId="192" fillId="0" borderId="60" xfId="536" applyNumberFormat="1" applyFont="1" applyBorder="1" applyAlignment="1">
      <alignment horizontal="center"/>
    </xf>
    <xf numFmtId="0" fontId="192" fillId="0" borderId="0" xfId="536" applyFont="1"/>
    <xf numFmtId="1" fontId="192" fillId="0" borderId="188" xfId="536" applyNumberFormat="1" applyFont="1" applyBorder="1" applyAlignment="1">
      <alignment horizontal="center"/>
    </xf>
    <xf numFmtId="1" fontId="192" fillId="0" borderId="186" xfId="536" applyNumberFormat="1" applyFont="1" applyBorder="1" applyAlignment="1">
      <alignment horizontal="center"/>
    </xf>
    <xf numFmtId="2" fontId="192" fillId="0" borderId="13" xfId="536" applyNumberFormat="1" applyFont="1" applyBorder="1" applyAlignment="1">
      <alignment horizontal="center"/>
    </xf>
    <xf numFmtId="1" fontId="192" fillId="0" borderId="0" xfId="536" applyNumberFormat="1" applyFont="1"/>
    <xf numFmtId="1" fontId="21" fillId="45" borderId="130" xfId="0" applyNumberFormat="1" applyFont="1" applyFill="1" applyBorder="1" applyAlignment="1">
      <alignment horizontal="center" vertical="center"/>
    </xf>
    <xf numFmtId="1" fontId="0" fillId="45" borderId="0" xfId="0" applyNumberFormat="1" applyFill="1"/>
    <xf numFmtId="0" fontId="0" fillId="45" borderId="0" xfId="0" applyFill="1"/>
    <xf numFmtId="1" fontId="45" fillId="45" borderId="0" xfId="0" applyNumberFormat="1" applyFont="1" applyFill="1" applyAlignment="1">
      <alignment horizontal="center" vertical="center"/>
    </xf>
    <xf numFmtId="0" fontId="21" fillId="45" borderId="30" xfId="0" applyFont="1" applyFill="1" applyBorder="1" applyAlignment="1">
      <alignment horizontal="center" vertical="center"/>
    </xf>
    <xf numFmtId="0" fontId="21" fillId="45" borderId="189" xfId="0" applyFont="1" applyFill="1" applyBorder="1" applyAlignment="1">
      <alignment horizontal="center" vertical="center"/>
    </xf>
    <xf numFmtId="1" fontId="20" fillId="45" borderId="129" xfId="0" applyNumberFormat="1" applyFont="1" applyFill="1" applyBorder="1" applyAlignment="1">
      <alignment horizontal="center" vertical="center"/>
    </xf>
    <xf numFmtId="1" fontId="20" fillId="45" borderId="131" xfId="0" applyNumberFormat="1" applyFont="1" applyFill="1" applyBorder="1" applyAlignment="1">
      <alignment horizontal="center" vertical="center"/>
    </xf>
    <xf numFmtId="0" fontId="20" fillId="8" borderId="35" xfId="0" applyFont="1" applyFill="1" applyBorder="1"/>
    <xf numFmtId="0" fontId="20" fillId="8" borderId="54" xfId="0" applyFont="1" applyFill="1" applyBorder="1"/>
    <xf numFmtId="1" fontId="20" fillId="51" borderId="131" xfId="0" applyNumberFormat="1" applyFont="1" applyFill="1" applyBorder="1" applyAlignment="1">
      <alignment horizontal="center" vertical="center"/>
    </xf>
    <xf numFmtId="1" fontId="20" fillId="51" borderId="109" xfId="0" applyNumberFormat="1" applyFont="1" applyFill="1" applyBorder="1" applyAlignment="1">
      <alignment horizontal="center" vertical="center"/>
    </xf>
    <xf numFmtId="1" fontId="20" fillId="45" borderId="66" xfId="0" applyNumberFormat="1" applyFont="1" applyFill="1" applyBorder="1" applyAlignment="1">
      <alignment horizontal="center" vertical="center"/>
    </xf>
    <xf numFmtId="167" fontId="18" fillId="45" borderId="67" xfId="0" applyNumberFormat="1" applyFont="1" applyFill="1" applyBorder="1" applyAlignment="1">
      <alignment horizontal="center" vertical="center"/>
    </xf>
    <xf numFmtId="1" fontId="4" fillId="45" borderId="84" xfId="0" applyNumberFormat="1" applyFont="1" applyFill="1" applyBorder="1" applyAlignment="1">
      <alignment horizontal="center" vertical="center"/>
    </xf>
    <xf numFmtId="1" fontId="4" fillId="45" borderId="76" xfId="0" applyNumberFormat="1" applyFont="1" applyFill="1" applyBorder="1" applyAlignment="1">
      <alignment horizontal="center" vertical="center"/>
    </xf>
    <xf numFmtId="0" fontId="45" fillId="8" borderId="130" xfId="0" applyFont="1" applyFill="1" applyBorder="1" applyAlignment="1">
      <alignment horizontal="center" vertical="center"/>
    </xf>
    <xf numFmtId="0" fontId="4" fillId="45" borderId="126" xfId="0" applyFont="1" applyFill="1" applyBorder="1" applyAlignment="1">
      <alignment horizontal="center" vertical="center"/>
    </xf>
    <xf numFmtId="0" fontId="20" fillId="8" borderId="126" xfId="0" applyFont="1" applyFill="1" applyBorder="1" applyAlignment="1">
      <alignment horizontal="center" vertical="center"/>
    </xf>
    <xf numFmtId="0" fontId="0" fillId="8" borderId="126" xfId="0" applyFill="1" applyBorder="1" applyAlignment="1">
      <alignment horizontal="center" vertical="center"/>
    </xf>
    <xf numFmtId="1" fontId="20" fillId="8" borderId="3" xfId="0" applyNumberFormat="1" applyFont="1" applyFill="1" applyBorder="1" applyAlignment="1">
      <alignment horizontal="center" vertical="center"/>
    </xf>
    <xf numFmtId="1" fontId="20" fillId="8" borderId="59" xfId="0" applyNumberFormat="1" applyFont="1" applyFill="1" applyBorder="1" applyAlignment="1">
      <alignment horizontal="center" vertical="center"/>
    </xf>
    <xf numFmtId="1" fontId="21" fillId="45" borderId="126" xfId="0" applyNumberFormat="1" applyFont="1" applyFill="1" applyBorder="1" applyAlignment="1">
      <alignment horizontal="center" vertical="center"/>
    </xf>
    <xf numFmtId="167" fontId="21" fillId="45" borderId="126" xfId="0" applyNumberFormat="1" applyFont="1" applyFill="1" applyBorder="1" applyAlignment="1">
      <alignment horizontal="center" vertical="center"/>
    </xf>
    <xf numFmtId="167" fontId="20" fillId="45" borderId="109" xfId="0" applyNumberFormat="1" applyFont="1" applyFill="1" applyBorder="1" applyAlignment="1">
      <alignment horizontal="center" vertical="center"/>
    </xf>
    <xf numFmtId="167" fontId="21" fillId="45" borderId="59" xfId="0" applyNumberFormat="1" applyFont="1" applyFill="1" applyBorder="1" applyAlignment="1">
      <alignment horizontal="center" vertical="center"/>
    </xf>
    <xf numFmtId="0" fontId="4" fillId="45" borderId="129" xfId="0" applyFont="1" applyFill="1" applyBorder="1" applyAlignment="1">
      <alignment horizontal="center" vertical="center"/>
    </xf>
    <xf numFmtId="0" fontId="4" fillId="45" borderId="131" xfId="0" applyFont="1" applyFill="1" applyBorder="1" applyAlignment="1">
      <alignment horizontal="center" vertical="center"/>
    </xf>
    <xf numFmtId="167" fontId="20" fillId="45" borderId="129" xfId="0" applyNumberFormat="1" applyFont="1" applyFill="1" applyBorder="1" applyAlignment="1">
      <alignment horizontal="center" vertical="center"/>
    </xf>
    <xf numFmtId="167" fontId="20" fillId="45" borderId="131" xfId="0" applyNumberFormat="1" applyFont="1" applyFill="1" applyBorder="1" applyAlignment="1">
      <alignment horizontal="center" vertical="center"/>
    </xf>
    <xf numFmtId="0" fontId="20" fillId="8" borderId="129" xfId="0" applyFont="1" applyFill="1" applyBorder="1" applyAlignment="1">
      <alignment horizontal="center" vertical="center"/>
    </xf>
    <xf numFmtId="0" fontId="20" fillId="8" borderId="131" xfId="0" applyFont="1" applyFill="1" applyBorder="1" applyAlignment="1">
      <alignment horizontal="center" vertical="center"/>
    </xf>
    <xf numFmtId="169" fontId="20" fillId="45" borderId="129" xfId="0" applyNumberFormat="1" applyFont="1" applyFill="1" applyBorder="1" applyAlignment="1">
      <alignment horizontal="center" vertical="center"/>
    </xf>
    <xf numFmtId="169" fontId="20" fillId="45" borderId="131" xfId="0" applyNumberFormat="1" applyFont="1" applyFill="1" applyBorder="1" applyAlignment="1">
      <alignment horizontal="center" vertical="center"/>
    </xf>
    <xf numFmtId="0" fontId="0" fillId="8" borderId="129" xfId="0" applyFill="1" applyBorder="1" applyAlignment="1">
      <alignment horizontal="center" vertical="center"/>
    </xf>
    <xf numFmtId="0" fontId="0" fillId="8" borderId="131" xfId="0" applyFill="1" applyBorder="1" applyAlignment="1">
      <alignment horizontal="center" vertical="center"/>
    </xf>
    <xf numFmtId="2" fontId="20" fillId="45" borderId="129" xfId="0" applyNumberFormat="1" applyFont="1" applyFill="1" applyBorder="1" applyAlignment="1">
      <alignment horizontal="center" vertical="center"/>
    </xf>
    <xf numFmtId="2" fontId="20" fillId="45" borderId="131" xfId="0" applyNumberFormat="1" applyFont="1" applyFill="1" applyBorder="1" applyAlignment="1">
      <alignment horizontal="center" vertical="center"/>
    </xf>
    <xf numFmtId="1" fontId="20" fillId="8" borderId="132" xfId="0" applyNumberFormat="1" applyFont="1" applyFill="1" applyBorder="1" applyAlignment="1">
      <alignment horizontal="center" vertical="center"/>
    </xf>
    <xf numFmtId="0" fontId="12" fillId="8" borderId="35" xfId="0" applyFont="1" applyFill="1" applyBorder="1"/>
    <xf numFmtId="0" fontId="12" fillId="8" borderId="54" xfId="0" applyFont="1" applyFill="1" applyBorder="1"/>
    <xf numFmtId="0" fontId="0" fillId="8" borderId="54" xfId="0" applyFill="1" applyBorder="1"/>
    <xf numFmtId="1" fontId="20" fillId="45" borderId="63" xfId="0" applyNumberFormat="1" applyFont="1" applyFill="1" applyBorder="1" applyAlignment="1">
      <alignment horizontal="center" vertical="center"/>
    </xf>
    <xf numFmtId="1" fontId="21" fillId="45" borderId="129" xfId="0" applyNumberFormat="1" applyFont="1" applyFill="1" applyBorder="1" applyAlignment="1">
      <alignment horizontal="center" vertical="center"/>
    </xf>
    <xf numFmtId="1" fontId="21" fillId="45" borderId="131" xfId="0" applyNumberFormat="1" applyFont="1" applyFill="1" applyBorder="1" applyAlignment="1">
      <alignment horizontal="center" vertical="center"/>
    </xf>
    <xf numFmtId="0" fontId="45" fillId="8" borderId="129" xfId="0" applyFont="1" applyFill="1" applyBorder="1" applyAlignment="1">
      <alignment horizontal="center" vertical="center"/>
    </xf>
    <xf numFmtId="0" fontId="45" fillId="8" borderId="131" xfId="0" applyFont="1" applyFill="1" applyBorder="1" applyAlignment="1">
      <alignment horizontal="center" vertical="center"/>
    </xf>
    <xf numFmtId="167" fontId="21" fillId="45" borderId="129" xfId="0" applyNumberFormat="1" applyFont="1" applyFill="1" applyBorder="1" applyAlignment="1">
      <alignment horizontal="center" vertical="center"/>
    </xf>
    <xf numFmtId="167" fontId="21" fillId="45" borderId="130" xfId="0" applyNumberFormat="1" applyFont="1" applyFill="1" applyBorder="1" applyAlignment="1">
      <alignment horizontal="center" vertical="center"/>
    </xf>
    <xf numFmtId="167" fontId="21" fillId="45" borderId="131" xfId="0" applyNumberFormat="1" applyFont="1" applyFill="1" applyBorder="1" applyAlignment="1">
      <alignment horizontal="center" vertical="center"/>
    </xf>
    <xf numFmtId="167" fontId="20" fillId="45" borderId="62" xfId="0" applyNumberFormat="1" applyFont="1" applyFill="1" applyBorder="1" applyAlignment="1">
      <alignment horizontal="center" vertical="center"/>
    </xf>
    <xf numFmtId="167" fontId="20" fillId="45" borderId="133" xfId="0" applyNumberFormat="1" applyFont="1" applyFill="1" applyBorder="1" applyAlignment="1">
      <alignment horizontal="center" vertical="center"/>
    </xf>
    <xf numFmtId="167" fontId="20" fillId="45" borderId="132" xfId="0" applyNumberFormat="1" applyFont="1" applyFill="1" applyBorder="1" applyAlignment="1">
      <alignment horizontal="center" vertical="center"/>
    </xf>
    <xf numFmtId="1" fontId="21" fillId="8" borderId="12" xfId="0" applyNumberFormat="1" applyFont="1" applyFill="1" applyBorder="1" applyAlignment="1">
      <alignment horizontal="center" vertical="center"/>
    </xf>
    <xf numFmtId="1" fontId="20" fillId="8" borderId="31" xfId="0" applyNumberFormat="1" applyFont="1" applyFill="1" applyBorder="1" applyAlignment="1">
      <alignment horizontal="center" vertical="center"/>
    </xf>
    <xf numFmtId="1" fontId="20" fillId="6" borderId="45" xfId="0" applyNumberFormat="1" applyFont="1" applyFill="1" applyBorder="1" applyAlignment="1">
      <alignment horizontal="center" vertical="center"/>
    </xf>
    <xf numFmtId="1" fontId="20" fillId="6" borderId="46" xfId="0" applyNumberFormat="1" applyFont="1" applyFill="1" applyBorder="1" applyAlignment="1">
      <alignment horizontal="center" vertical="center"/>
    </xf>
    <xf numFmtId="1" fontId="20" fillId="6" borderId="30" xfId="0" applyNumberFormat="1" applyFont="1" applyFill="1" applyBorder="1" applyAlignment="1">
      <alignment horizontal="center" vertical="center"/>
    </xf>
    <xf numFmtId="0" fontId="21" fillId="45" borderId="41" xfId="0" applyFont="1" applyFill="1" applyBorder="1" applyAlignment="1">
      <alignment horizontal="center" vertical="center"/>
    </xf>
    <xf numFmtId="1" fontId="20" fillId="45" borderId="10" xfId="0" applyNumberFormat="1" applyFont="1" applyFill="1" applyBorder="1" applyAlignment="1">
      <alignment horizontal="center" vertical="center"/>
    </xf>
    <xf numFmtId="0" fontId="21" fillId="0" borderId="63" xfId="0" applyFont="1" applyBorder="1" applyAlignment="1">
      <alignment horizontal="center" vertical="center"/>
    </xf>
    <xf numFmtId="0" fontId="21" fillId="0" borderId="42" xfId="0" applyFont="1" applyBorder="1" applyAlignment="1">
      <alignment horizontal="center" vertical="center"/>
    </xf>
    <xf numFmtId="0" fontId="21" fillId="7" borderId="63" xfId="0" applyFont="1" applyFill="1" applyBorder="1" applyAlignment="1">
      <alignment horizontal="center" vertical="center"/>
    </xf>
    <xf numFmtId="0" fontId="21" fillId="7" borderId="42" xfId="0" applyFont="1" applyFill="1" applyBorder="1" applyAlignment="1">
      <alignment horizontal="center" vertical="center"/>
    </xf>
    <xf numFmtId="1" fontId="20" fillId="0" borderId="31" xfId="0" applyNumberFormat="1" applyFont="1" applyBorder="1" applyAlignment="1">
      <alignment horizontal="center" vertical="center"/>
    </xf>
    <xf numFmtId="1" fontId="20" fillId="7" borderId="31" xfId="0" applyNumberFormat="1" applyFont="1" applyFill="1" applyBorder="1" applyAlignment="1">
      <alignment horizontal="center" vertical="center"/>
    </xf>
    <xf numFmtId="1" fontId="20" fillId="5" borderId="10" xfId="0" applyNumberFormat="1" applyFont="1" applyFill="1" applyBorder="1" applyAlignment="1">
      <alignment horizontal="center" vertical="center"/>
    </xf>
    <xf numFmtId="0" fontId="21" fillId="45" borderId="25" xfId="0" applyFont="1" applyFill="1" applyBorder="1" applyAlignment="1">
      <alignment horizontal="center" vertical="center"/>
    </xf>
    <xf numFmtId="0" fontId="21" fillId="45" borderId="21" xfId="0" applyFont="1" applyFill="1" applyBorder="1" applyAlignment="1">
      <alignment horizontal="center" vertical="center"/>
    </xf>
    <xf numFmtId="0" fontId="21" fillId="45" borderId="4" xfId="0" applyFont="1" applyFill="1" applyBorder="1" applyAlignment="1">
      <alignment horizontal="center" vertical="center"/>
    </xf>
    <xf numFmtId="0" fontId="21" fillId="45" borderId="42" xfId="0" applyFont="1" applyFill="1" applyBorder="1" applyAlignment="1">
      <alignment horizontal="center" vertical="center"/>
    </xf>
    <xf numFmtId="1" fontId="20" fillId="5" borderId="31" xfId="0" applyNumberFormat="1" applyFont="1" applyFill="1" applyBorder="1" applyAlignment="1">
      <alignment horizontal="center" vertical="center"/>
    </xf>
    <xf numFmtId="1" fontId="20" fillId="7" borderId="62" xfId="0" applyNumberFormat="1" applyFont="1" applyFill="1" applyBorder="1" applyAlignment="1">
      <alignment horizontal="center" vertical="center"/>
    </xf>
    <xf numFmtId="1" fontId="20" fillId="7" borderId="34" xfId="0" applyNumberFormat="1" applyFont="1" applyFill="1" applyBorder="1" applyAlignment="1">
      <alignment horizontal="center" vertical="center"/>
    </xf>
    <xf numFmtId="0" fontId="21" fillId="6" borderId="41" xfId="0" applyFont="1" applyFill="1" applyBorder="1" applyAlignment="1">
      <alignment horizontal="center" vertical="center"/>
    </xf>
    <xf numFmtId="0" fontId="26" fillId="0" borderId="18" xfId="0" applyFont="1" applyBorder="1" applyAlignment="1">
      <alignment horizontal="center" vertical="center"/>
    </xf>
    <xf numFmtId="0" fontId="26" fillId="0" borderId="60" xfId="0" applyFont="1" applyBorder="1" applyAlignment="1">
      <alignment horizontal="center" vertical="center"/>
    </xf>
    <xf numFmtId="0" fontId="26" fillId="0" borderId="24" xfId="0" applyFont="1" applyBorder="1" applyAlignment="1">
      <alignment horizontal="center" vertical="center"/>
    </xf>
    <xf numFmtId="0" fontId="26" fillId="0" borderId="75" xfId="0" applyFont="1" applyBorder="1" applyAlignment="1">
      <alignment horizontal="center" vertical="center"/>
    </xf>
    <xf numFmtId="0" fontId="21" fillId="0" borderId="18" xfId="0" applyFont="1" applyBorder="1" applyAlignment="1">
      <alignment horizontal="center" vertical="center"/>
    </xf>
    <xf numFmtId="0" fontId="21" fillId="0" borderId="60" xfId="0" applyFont="1" applyBorder="1" applyAlignment="1">
      <alignment horizontal="center" vertical="center"/>
    </xf>
    <xf numFmtId="0" fontId="21" fillId="5" borderId="63" xfId="0" applyFont="1" applyFill="1" applyBorder="1" applyAlignment="1">
      <alignment horizontal="center" vertical="center"/>
    </xf>
    <xf numFmtId="0" fontId="21" fillId="5" borderId="42" xfId="0" applyFont="1" applyFill="1" applyBorder="1" applyAlignment="1">
      <alignment horizontal="center" vertical="center"/>
    </xf>
    <xf numFmtId="0" fontId="21" fillId="8" borderId="63" xfId="0" applyFont="1" applyFill="1" applyBorder="1" applyAlignment="1">
      <alignment horizontal="center" vertical="center"/>
    </xf>
    <xf numFmtId="0" fontId="21" fillId="8" borderId="42" xfId="0" applyFont="1" applyFill="1" applyBorder="1" applyAlignment="1">
      <alignment horizontal="center" vertical="center"/>
    </xf>
    <xf numFmtId="1" fontId="21" fillId="0" borderId="12" xfId="0" applyNumberFormat="1" applyFont="1" applyBorder="1" applyAlignment="1">
      <alignment horizontal="center" vertical="center"/>
    </xf>
    <xf numFmtId="0" fontId="21" fillId="0" borderId="3" xfId="0" applyFont="1" applyBorder="1" applyAlignment="1">
      <alignment horizontal="center" vertical="center"/>
    </xf>
    <xf numFmtId="0" fontId="21" fillId="0" borderId="41" xfId="0" applyFont="1" applyBorder="1" applyAlignment="1">
      <alignment horizontal="center" vertical="center"/>
    </xf>
    <xf numFmtId="0" fontId="21" fillId="5" borderId="41" xfId="0" applyFont="1" applyFill="1" applyBorder="1" applyAlignment="1">
      <alignment horizontal="center" vertical="center"/>
    </xf>
    <xf numFmtId="1" fontId="20" fillId="6" borderId="10" xfId="0" applyNumberFormat="1" applyFont="1" applyFill="1" applyBorder="1" applyAlignment="1">
      <alignment horizontal="center" vertical="center"/>
    </xf>
    <xf numFmtId="1" fontId="20" fillId="5" borderId="62" xfId="0" applyNumberFormat="1" applyFont="1" applyFill="1" applyBorder="1" applyAlignment="1">
      <alignment horizontal="center" vertical="center"/>
    </xf>
    <xf numFmtId="1" fontId="20" fillId="5" borderId="34" xfId="0" applyNumberFormat="1" applyFont="1" applyFill="1" applyBorder="1" applyAlignment="1">
      <alignment horizontal="center" vertical="center"/>
    </xf>
    <xf numFmtId="1" fontId="20" fillId="45" borderId="72" xfId="0" applyNumberFormat="1" applyFont="1" applyFill="1" applyBorder="1" applyAlignment="1">
      <alignment horizontal="center" vertical="center"/>
    </xf>
    <xf numFmtId="1" fontId="20" fillId="45" borderId="71" xfId="0" applyNumberFormat="1" applyFont="1" applyFill="1" applyBorder="1" applyAlignment="1">
      <alignment horizontal="center" vertical="center"/>
    </xf>
    <xf numFmtId="1" fontId="20" fillId="45" borderId="53" xfId="0" applyNumberFormat="1" applyFont="1" applyFill="1" applyBorder="1" applyAlignment="1">
      <alignment horizontal="center" vertical="center"/>
    </xf>
    <xf numFmtId="1" fontId="20" fillId="45" borderId="45" xfId="0" applyNumberFormat="1" applyFont="1" applyFill="1" applyBorder="1" applyAlignment="1">
      <alignment horizontal="center" vertical="center"/>
    </xf>
    <xf numFmtId="1" fontId="20" fillId="45" borderId="30" xfId="0" applyNumberFormat="1" applyFont="1" applyFill="1" applyBorder="1" applyAlignment="1">
      <alignment horizontal="center" vertical="center"/>
    </xf>
    <xf numFmtId="1" fontId="20" fillId="5" borderId="74" xfId="0" applyNumberFormat="1" applyFont="1" applyFill="1" applyBorder="1" applyAlignment="1">
      <alignment horizontal="center" vertical="center"/>
    </xf>
    <xf numFmtId="1" fontId="21" fillId="0" borderId="82" xfId="0" applyNumberFormat="1" applyFont="1" applyBorder="1" applyAlignment="1">
      <alignment horizontal="center" vertical="center"/>
    </xf>
    <xf numFmtId="1" fontId="21" fillId="0" borderId="71" xfId="0" applyNumberFormat="1" applyFont="1" applyBorder="1" applyAlignment="1">
      <alignment horizontal="center" vertical="center"/>
    </xf>
    <xf numFmtId="1" fontId="21" fillId="0" borderId="2" xfId="0" applyNumberFormat="1" applyFont="1" applyBorder="1" applyAlignment="1">
      <alignment horizontal="center" vertical="center"/>
    </xf>
    <xf numFmtId="1" fontId="21" fillId="0" borderId="35" xfId="0" applyNumberFormat="1" applyFont="1" applyBorder="1" applyAlignment="1">
      <alignment horizontal="center" vertical="center"/>
    </xf>
    <xf numFmtId="1" fontId="21" fillId="7" borderId="84" xfId="0" applyNumberFormat="1" applyFont="1" applyFill="1" applyBorder="1" applyAlignment="1">
      <alignment horizontal="center" vertical="center"/>
    </xf>
    <xf numFmtId="1" fontId="21" fillId="7" borderId="38" xfId="0" applyNumberFormat="1" applyFont="1" applyFill="1" applyBorder="1" applyAlignment="1">
      <alignment horizontal="center" vertical="center"/>
    </xf>
    <xf numFmtId="1" fontId="21" fillId="7" borderId="69" xfId="0" applyNumberFormat="1" applyFont="1" applyFill="1" applyBorder="1" applyAlignment="1">
      <alignment horizontal="center" vertical="center"/>
    </xf>
    <xf numFmtId="1" fontId="21" fillId="0" borderId="43" xfId="0" applyNumberFormat="1" applyFont="1" applyBorder="1" applyAlignment="1">
      <alignment horizontal="center" vertical="center"/>
    </xf>
    <xf numFmtId="1" fontId="21" fillId="0" borderId="40" xfId="0" applyNumberFormat="1" applyFont="1" applyBorder="1" applyAlignment="1">
      <alignment horizontal="center" vertical="center"/>
    </xf>
    <xf numFmtId="1" fontId="21" fillId="0" borderId="16" xfId="0" applyNumberFormat="1" applyFont="1" applyBorder="1" applyAlignment="1">
      <alignment horizontal="center" vertical="center"/>
    </xf>
    <xf numFmtId="1" fontId="21" fillId="0" borderId="57" xfId="0" applyNumberFormat="1" applyFont="1" applyBorder="1" applyAlignment="1">
      <alignment horizontal="center" vertical="center"/>
    </xf>
    <xf numFmtId="1" fontId="21" fillId="7" borderId="76" xfId="0" applyNumberFormat="1" applyFont="1" applyFill="1" applyBorder="1" applyAlignment="1">
      <alignment horizontal="center" vertical="center"/>
    </xf>
    <xf numFmtId="1" fontId="21" fillId="7" borderId="74" xfId="0" applyNumberFormat="1" applyFont="1" applyFill="1" applyBorder="1" applyAlignment="1">
      <alignment horizontal="center" vertical="center"/>
    </xf>
    <xf numFmtId="1" fontId="21" fillId="5" borderId="76" xfId="0" applyNumberFormat="1" applyFont="1" applyFill="1" applyBorder="1" applyAlignment="1">
      <alignment horizontal="center" vertical="center"/>
    </xf>
    <xf numFmtId="1" fontId="21" fillId="5" borderId="74" xfId="0" applyNumberFormat="1" applyFont="1" applyFill="1" applyBorder="1" applyAlignment="1">
      <alignment horizontal="center" vertical="center"/>
    </xf>
    <xf numFmtId="1" fontId="21" fillId="5" borderId="9" xfId="0" applyNumberFormat="1" applyFont="1" applyFill="1" applyBorder="1" applyAlignment="1">
      <alignment horizontal="center" vertical="center"/>
    </xf>
    <xf numFmtId="1" fontId="21" fillId="6" borderId="76" xfId="0" applyNumberFormat="1" applyFont="1" applyFill="1" applyBorder="1" applyAlignment="1">
      <alignment horizontal="center" vertical="center"/>
    </xf>
    <xf numFmtId="1" fontId="21" fillId="6" borderId="74" xfId="0" applyNumberFormat="1" applyFont="1" applyFill="1" applyBorder="1" applyAlignment="1">
      <alignment horizontal="center" vertical="center"/>
    </xf>
    <xf numFmtId="1" fontId="21" fillId="6" borderId="9" xfId="0" applyNumberFormat="1" applyFont="1" applyFill="1" applyBorder="1" applyAlignment="1">
      <alignment horizontal="center" vertical="center"/>
    </xf>
    <xf numFmtId="1" fontId="21" fillId="5" borderId="43" xfId="0" applyNumberFormat="1" applyFont="1" applyFill="1" applyBorder="1" applyAlignment="1">
      <alignment horizontal="center" vertical="center"/>
    </xf>
    <xf numFmtId="1" fontId="21" fillId="5" borderId="40" xfId="0" applyNumberFormat="1" applyFont="1" applyFill="1" applyBorder="1" applyAlignment="1">
      <alignment horizontal="center" vertical="center"/>
    </xf>
    <xf numFmtId="1" fontId="21" fillId="5" borderId="16" xfId="0" applyNumberFormat="1" applyFont="1" applyFill="1" applyBorder="1" applyAlignment="1">
      <alignment horizontal="center" vertical="center"/>
    </xf>
    <xf numFmtId="0" fontId="21" fillId="7" borderId="1" xfId="0" applyFont="1" applyFill="1" applyBorder="1" applyAlignment="1">
      <alignment horizontal="center" vertical="center"/>
    </xf>
    <xf numFmtId="0" fontId="21" fillId="7" borderId="11" xfId="0" applyFont="1" applyFill="1" applyBorder="1" applyAlignment="1">
      <alignment horizontal="center" vertical="center"/>
    </xf>
    <xf numFmtId="0" fontId="21" fillId="0" borderId="55" xfId="0" applyFont="1" applyBorder="1" applyAlignment="1">
      <alignment horizontal="center" vertical="center"/>
    </xf>
    <xf numFmtId="0" fontId="21" fillId="5" borderId="1" xfId="0" applyFont="1" applyFill="1" applyBorder="1" applyAlignment="1">
      <alignment horizontal="center" vertical="center"/>
    </xf>
    <xf numFmtId="0" fontId="21" fillId="5" borderId="11" xfId="0" applyFont="1" applyFill="1" applyBorder="1" applyAlignment="1">
      <alignment horizontal="center" vertical="center"/>
    </xf>
    <xf numFmtId="0" fontId="21" fillId="6" borderId="1" xfId="0" applyFont="1" applyFill="1" applyBorder="1" applyAlignment="1">
      <alignment horizontal="center" vertical="center"/>
    </xf>
    <xf numFmtId="0" fontId="21" fillId="6" borderId="11" xfId="0" applyFont="1" applyFill="1" applyBorder="1" applyAlignment="1">
      <alignment horizontal="center" vertical="center"/>
    </xf>
    <xf numFmtId="0" fontId="21" fillId="0" borderId="76" xfId="0" applyFont="1" applyBorder="1" applyAlignment="1">
      <alignment horizontal="center" vertical="center" wrapText="1"/>
    </xf>
    <xf numFmtId="0" fontId="21" fillId="0" borderId="9" xfId="0" applyFont="1" applyBorder="1" applyAlignment="1">
      <alignment horizontal="center" vertical="center" wrapText="1"/>
    </xf>
    <xf numFmtId="0" fontId="21" fillId="0" borderId="82" xfId="0" applyFont="1" applyBorder="1" applyAlignment="1">
      <alignment horizontal="center" vertical="center"/>
    </xf>
    <xf numFmtId="0" fontId="21" fillId="0" borderId="73" xfId="0" applyFont="1" applyBorder="1" applyAlignment="1">
      <alignment horizontal="center" vertical="center"/>
    </xf>
    <xf numFmtId="0" fontId="21" fillId="0" borderId="21" xfId="0" applyFont="1" applyBorder="1" applyAlignment="1">
      <alignment horizontal="center" vertical="center"/>
    </xf>
    <xf numFmtId="0" fontId="21" fillId="0" borderId="2" xfId="0" applyFont="1" applyBorder="1" applyAlignment="1">
      <alignment horizontal="center" vertical="center"/>
    </xf>
    <xf numFmtId="0" fontId="21" fillId="0" borderId="57" xfId="0" applyFont="1" applyBorder="1" applyAlignment="1">
      <alignment horizontal="center" vertical="center"/>
    </xf>
    <xf numFmtId="0" fontId="21" fillId="0" borderId="25" xfId="0" applyFont="1" applyBorder="1" applyAlignment="1">
      <alignment horizontal="center" vertical="center"/>
    </xf>
    <xf numFmtId="0" fontId="21" fillId="5" borderId="4" xfId="0" applyFont="1" applyFill="1" applyBorder="1" applyAlignment="1">
      <alignment horizontal="center" vertical="center"/>
    </xf>
    <xf numFmtId="0" fontId="21" fillId="45" borderId="1" xfId="0" applyFont="1" applyFill="1" applyBorder="1" applyAlignment="1">
      <alignment horizontal="center" vertical="center"/>
    </xf>
    <xf numFmtId="0" fontId="21" fillId="45" borderId="11" xfId="0" applyFont="1" applyFill="1" applyBorder="1" applyAlignment="1">
      <alignment horizontal="center" vertical="center"/>
    </xf>
    <xf numFmtId="1" fontId="20" fillId="45" borderId="43" xfId="0" applyNumberFormat="1" applyFont="1" applyFill="1" applyBorder="1" applyAlignment="1">
      <alignment horizontal="center" vertical="center"/>
    </xf>
    <xf numFmtId="1" fontId="20" fillId="45" borderId="40" xfId="0" applyNumberFormat="1" applyFont="1" applyFill="1" applyBorder="1" applyAlignment="1">
      <alignment horizontal="center" vertical="center"/>
    </xf>
    <xf numFmtId="1" fontId="20" fillId="45" borderId="174" xfId="0" applyNumberFormat="1" applyFont="1" applyFill="1" applyBorder="1" applyAlignment="1">
      <alignment horizontal="center" vertical="center"/>
    </xf>
    <xf numFmtId="1" fontId="21" fillId="51" borderId="84" xfId="0" applyNumberFormat="1" applyFont="1" applyFill="1" applyBorder="1" applyAlignment="1">
      <alignment horizontal="center" vertical="center"/>
    </xf>
    <xf numFmtId="1" fontId="21" fillId="51" borderId="38" xfId="0" applyNumberFormat="1" applyFont="1" applyFill="1" applyBorder="1" applyAlignment="1">
      <alignment horizontal="center" vertical="center"/>
    </xf>
    <xf numFmtId="1" fontId="21" fillId="51" borderId="69" xfId="0" applyNumberFormat="1" applyFont="1" applyFill="1" applyBorder="1" applyAlignment="1">
      <alignment horizontal="center" vertical="center"/>
    </xf>
    <xf numFmtId="1" fontId="21" fillId="51" borderId="76" xfId="0" applyNumberFormat="1" applyFont="1" applyFill="1" applyBorder="1" applyAlignment="1">
      <alignment horizontal="center" vertical="center"/>
    </xf>
    <xf numFmtId="1" fontId="21" fillId="51" borderId="74" xfId="0" applyNumberFormat="1" applyFont="1" applyFill="1" applyBorder="1" applyAlignment="1">
      <alignment horizontal="center" vertical="center"/>
    </xf>
    <xf numFmtId="1" fontId="21" fillId="51" borderId="57" xfId="0" applyNumberFormat="1" applyFont="1" applyFill="1" applyBorder="1" applyAlignment="1">
      <alignment horizontal="center" vertical="center"/>
    </xf>
    <xf numFmtId="1" fontId="21" fillId="51" borderId="79" xfId="0" applyNumberFormat="1" applyFont="1" applyFill="1" applyBorder="1" applyAlignment="1">
      <alignment horizontal="center" vertical="center"/>
    </xf>
    <xf numFmtId="1" fontId="21" fillId="51" borderId="46" xfId="0" applyNumberFormat="1" applyFont="1" applyFill="1" applyBorder="1" applyAlignment="1">
      <alignment horizontal="center" vertical="center"/>
    </xf>
    <xf numFmtId="1" fontId="21" fillId="45" borderId="76" xfId="0" applyNumberFormat="1" applyFont="1" applyFill="1" applyBorder="1" applyAlignment="1">
      <alignment horizontal="center" vertical="center"/>
    </xf>
    <xf numFmtId="1" fontId="21" fillId="45" borderId="74" xfId="0" applyNumberFormat="1" applyFont="1" applyFill="1" applyBorder="1" applyAlignment="1">
      <alignment horizontal="center" vertical="center"/>
    </xf>
    <xf numFmtId="1" fontId="21" fillId="45" borderId="9" xfId="0" applyNumberFormat="1" applyFont="1" applyFill="1" applyBorder="1" applyAlignment="1">
      <alignment horizontal="center" vertical="center"/>
    </xf>
    <xf numFmtId="0" fontId="4" fillId="45" borderId="63" xfId="0" applyFont="1" applyFill="1" applyBorder="1" applyAlignment="1">
      <alignment horizontal="center" vertical="center"/>
    </xf>
    <xf numFmtId="0" fontId="4" fillId="45" borderId="41" xfId="0" applyFont="1" applyFill="1" applyBorder="1" applyAlignment="1">
      <alignment horizontal="center" vertical="center"/>
    </xf>
    <xf numFmtId="0" fontId="4" fillId="45" borderId="126" xfId="0" applyFont="1" applyFill="1" applyBorder="1" applyAlignment="1">
      <alignment horizontal="center" vertical="center"/>
    </xf>
    <xf numFmtId="0" fontId="4" fillId="45" borderId="130" xfId="0" applyFont="1" applyFill="1" applyBorder="1" applyAlignment="1">
      <alignment horizontal="center" vertical="center"/>
    </xf>
    <xf numFmtId="0" fontId="4" fillId="45" borderId="42" xfId="0" applyFont="1" applyFill="1" applyBorder="1" applyAlignment="1">
      <alignment horizontal="center" vertical="center"/>
    </xf>
    <xf numFmtId="0" fontId="7" fillId="8" borderId="63" xfId="0" applyFont="1" applyFill="1" applyBorder="1" applyAlignment="1">
      <alignment horizontal="left" vertical="center" wrapText="1"/>
    </xf>
    <xf numFmtId="0" fontId="7" fillId="8" borderId="129" xfId="0" applyFont="1" applyFill="1" applyBorder="1" applyAlignment="1">
      <alignment horizontal="left" vertical="center" wrapText="1"/>
    </xf>
    <xf numFmtId="0" fontId="7" fillId="8" borderId="132" xfId="0" applyFont="1" applyFill="1" applyBorder="1" applyAlignment="1">
      <alignment horizontal="left" vertical="center" wrapText="1"/>
    </xf>
    <xf numFmtId="0" fontId="4" fillId="7" borderId="130" xfId="0" applyFont="1" applyFill="1" applyBorder="1" applyAlignment="1">
      <alignment horizontal="center" vertical="center"/>
    </xf>
    <xf numFmtId="0" fontId="4" fillId="0" borderId="130" xfId="0" applyFont="1" applyBorder="1" applyAlignment="1">
      <alignment horizontal="center" vertical="center"/>
    </xf>
    <xf numFmtId="0" fontId="4" fillId="6" borderId="130" xfId="0" applyFont="1" applyFill="1" applyBorder="1" applyAlignment="1">
      <alignment horizontal="center" vertical="center"/>
    </xf>
    <xf numFmtId="0" fontId="4" fillId="5" borderId="130" xfId="0" applyFont="1" applyFill="1" applyBorder="1" applyAlignment="1">
      <alignment horizontal="center" vertical="center"/>
    </xf>
    <xf numFmtId="0" fontId="7" fillId="0" borderId="133" xfId="0" applyFont="1" applyBorder="1" applyAlignment="1">
      <alignment horizontal="center" vertical="center" wrapText="1"/>
    </xf>
    <xf numFmtId="0" fontId="7" fillId="0" borderId="30" xfId="0" applyFont="1" applyBorder="1" applyAlignment="1">
      <alignment horizontal="center" vertical="center" wrapText="1"/>
    </xf>
    <xf numFmtId="0" fontId="4" fillId="0" borderId="130" xfId="0" applyFont="1" applyBorder="1" applyAlignment="1">
      <alignment horizontal="left" vertical="center"/>
    </xf>
    <xf numFmtId="0" fontId="83" fillId="0" borderId="0" xfId="0" applyFont="1" applyAlignment="1">
      <alignment horizontal="left" vertical="center"/>
    </xf>
    <xf numFmtId="0" fontId="4" fillId="8" borderId="130" xfId="0" applyFont="1" applyFill="1" applyBorder="1" applyAlignment="1">
      <alignment horizontal="center" vertical="center"/>
    </xf>
    <xf numFmtId="0" fontId="4" fillId="45" borderId="1" xfId="0" applyFont="1" applyFill="1" applyBorder="1" applyAlignment="1">
      <alignment horizontal="center" vertical="center"/>
    </xf>
    <xf numFmtId="0" fontId="4" fillId="45" borderId="11" xfId="0" applyFont="1" applyFill="1" applyBorder="1" applyAlignment="1">
      <alignment horizontal="center" vertical="center"/>
    </xf>
    <xf numFmtId="0" fontId="4" fillId="45" borderId="4" xfId="0" applyFont="1" applyFill="1" applyBorder="1" applyAlignment="1">
      <alignment horizontal="center" vertical="center"/>
    </xf>
    <xf numFmtId="0" fontId="4" fillId="0" borderId="130" xfId="0" applyFont="1" applyBorder="1" applyAlignment="1">
      <alignment horizontal="center" vertical="center" wrapText="1"/>
    </xf>
    <xf numFmtId="0" fontId="23" fillId="0" borderId="57" xfId="0" applyFont="1" applyBorder="1" applyAlignment="1">
      <alignment horizontal="center" vertical="center"/>
    </xf>
    <xf numFmtId="0" fontId="23" fillId="0" borderId="26" xfId="0" applyFont="1" applyBorder="1" applyAlignment="1">
      <alignment horizontal="center" vertical="center"/>
    </xf>
    <xf numFmtId="0" fontId="21" fillId="7" borderId="3" xfId="0" applyFont="1" applyFill="1" applyBorder="1" applyAlignment="1">
      <alignment horizontal="center" vertical="center"/>
    </xf>
    <xf numFmtId="0" fontId="21" fillId="6" borderId="4" xfId="0" applyFont="1" applyFill="1" applyBorder="1" applyAlignment="1">
      <alignment horizontal="center" vertical="center"/>
    </xf>
    <xf numFmtId="0" fontId="14" fillId="0" borderId="44" xfId="0" applyFont="1" applyBorder="1" applyAlignment="1">
      <alignment horizontal="center" vertical="center" wrapText="1"/>
    </xf>
    <xf numFmtId="0" fontId="14" fillId="0" borderId="47" xfId="0" applyFont="1" applyBorder="1" applyAlignment="1">
      <alignment horizontal="center" vertical="center" wrapText="1"/>
    </xf>
    <xf numFmtId="0" fontId="14" fillId="0" borderId="51" xfId="0" applyFont="1" applyBorder="1" applyAlignment="1">
      <alignment horizontal="center" vertical="center" wrapText="1"/>
    </xf>
    <xf numFmtId="0" fontId="14" fillId="0" borderId="63" xfId="0" applyFont="1" applyBorder="1" applyAlignment="1">
      <alignment horizontal="center" vertical="center"/>
    </xf>
    <xf numFmtId="0" fontId="14" fillId="0" borderId="32" xfId="0" applyFont="1" applyBorder="1" applyAlignment="1">
      <alignment horizontal="center" vertical="center"/>
    </xf>
    <xf numFmtId="0" fontId="14" fillId="0" borderId="63" xfId="0" applyFont="1" applyBorder="1" applyAlignment="1">
      <alignment horizontal="center" vertical="center" wrapText="1"/>
    </xf>
    <xf numFmtId="0" fontId="14" fillId="0" borderId="31"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32" xfId="0" applyFont="1" applyBorder="1" applyAlignment="1">
      <alignment horizontal="center" vertical="center" wrapText="1"/>
    </xf>
    <xf numFmtId="0" fontId="14" fillId="0" borderId="70" xfId="0" applyFont="1" applyBorder="1" applyAlignment="1">
      <alignment horizontal="center" vertical="center" wrapText="1"/>
    </xf>
    <xf numFmtId="0" fontId="21" fillId="7" borderId="4" xfId="0" applyFont="1" applyFill="1" applyBorder="1" applyAlignment="1">
      <alignment horizontal="center" vertical="center"/>
    </xf>
    <xf numFmtId="0" fontId="109" fillId="8" borderId="63" xfId="0" applyFont="1" applyFill="1" applyBorder="1" applyAlignment="1">
      <alignment horizontal="left" vertical="center"/>
    </xf>
    <xf numFmtId="0" fontId="109" fillId="8" borderId="41" xfId="0" applyFont="1" applyFill="1" applyBorder="1" applyAlignment="1">
      <alignment horizontal="left" vertical="center"/>
    </xf>
    <xf numFmtId="0" fontId="109" fillId="8" borderId="44" xfId="0" applyFont="1" applyFill="1" applyBorder="1" applyAlignment="1">
      <alignment horizontal="left" vertical="center"/>
    </xf>
    <xf numFmtId="0" fontId="109" fillId="8" borderId="3" xfId="0" applyFont="1" applyFill="1" applyBorder="1" applyAlignment="1">
      <alignment horizontal="left" vertical="center"/>
    </xf>
    <xf numFmtId="0" fontId="109" fillId="0" borderId="25" xfId="0" applyFont="1" applyBorder="1" applyAlignment="1">
      <alignment horizontal="left" vertical="center"/>
    </xf>
    <xf numFmtId="0" fontId="109" fillId="0" borderId="4" xfId="0" applyFont="1" applyBorder="1" applyAlignment="1">
      <alignment horizontal="left" vertical="center"/>
    </xf>
    <xf numFmtId="0" fontId="8" fillId="0" borderId="25" xfId="0" applyFont="1" applyBorder="1" applyAlignment="1">
      <alignment horizontal="left" vertical="center"/>
    </xf>
    <xf numFmtId="0" fontId="8" fillId="0" borderId="4" xfId="0" applyFont="1" applyBorder="1" applyAlignment="1">
      <alignment horizontal="left" vertical="center"/>
    </xf>
    <xf numFmtId="0" fontId="124" fillId="8" borderId="26" xfId="0" applyFont="1" applyFill="1" applyBorder="1" applyAlignment="1">
      <alignment horizontal="center" vertical="center"/>
    </xf>
    <xf numFmtId="0" fontId="21" fillId="0" borderId="76" xfId="0" applyFont="1" applyBorder="1" applyAlignment="1">
      <alignment horizontal="left" vertical="center"/>
    </xf>
    <xf numFmtId="0" fontId="21" fillId="0" borderId="74" xfId="0" applyFont="1" applyBorder="1" applyAlignment="1">
      <alignment horizontal="left" vertical="center"/>
    </xf>
    <xf numFmtId="0" fontId="21" fillId="0" borderId="71" xfId="0" applyFont="1" applyBorder="1" applyAlignment="1">
      <alignment horizontal="center" vertical="center"/>
    </xf>
    <xf numFmtId="0" fontId="21" fillId="0" borderId="4" xfId="0" applyFont="1" applyBorder="1" applyAlignment="1">
      <alignment horizontal="center" vertical="center"/>
    </xf>
    <xf numFmtId="0" fontId="21" fillId="50" borderId="1" xfId="0" applyFont="1" applyFill="1" applyBorder="1" applyAlignment="1">
      <alignment horizontal="center" vertical="center"/>
    </xf>
    <xf numFmtId="0" fontId="21" fillId="50" borderId="11" xfId="0" applyFont="1" applyFill="1" applyBorder="1" applyAlignment="1">
      <alignment horizontal="center" vertical="center"/>
    </xf>
    <xf numFmtId="0" fontId="18" fillId="5" borderId="25" xfId="0" applyFont="1" applyFill="1" applyBorder="1" applyAlignment="1">
      <alignment horizontal="center" vertical="center"/>
    </xf>
    <xf numFmtId="0" fontId="18" fillId="5" borderId="21" xfId="0" applyFont="1" applyFill="1" applyBorder="1" applyAlignment="1">
      <alignment horizontal="center" vertical="center"/>
    </xf>
    <xf numFmtId="0" fontId="4" fillId="0" borderId="55" xfId="0" applyFont="1" applyBorder="1" applyAlignment="1">
      <alignment horizontal="center" vertical="center"/>
    </xf>
    <xf numFmtId="0" fontId="4" fillId="0" borderId="4" xfId="0" applyFont="1" applyBorder="1" applyAlignment="1">
      <alignment horizontal="center" vertical="center"/>
    </xf>
    <xf numFmtId="0" fontId="4" fillId="46" borderId="55" xfId="0" applyFont="1" applyFill="1" applyBorder="1" applyAlignment="1">
      <alignment horizontal="center" vertical="center"/>
    </xf>
    <xf numFmtId="0" fontId="4" fillId="46" borderId="4" xfId="0" applyFont="1" applyFill="1" applyBorder="1" applyAlignment="1">
      <alignment horizontal="center" vertical="center"/>
    </xf>
    <xf numFmtId="0" fontId="4" fillId="5" borderId="25" xfId="0" applyFont="1" applyFill="1" applyBorder="1" applyAlignment="1">
      <alignment horizontal="center" vertical="center"/>
    </xf>
    <xf numFmtId="0" fontId="4" fillId="5" borderId="21" xfId="0" applyFont="1" applyFill="1" applyBorder="1" applyAlignment="1">
      <alignment horizontal="center" vertical="center"/>
    </xf>
    <xf numFmtId="0" fontId="4" fillId="6" borderId="25" xfId="0" applyFont="1" applyFill="1" applyBorder="1" applyAlignment="1">
      <alignment horizontal="center" vertical="center"/>
    </xf>
    <xf numFmtId="0" fontId="4" fillId="6" borderId="21" xfId="0" applyFont="1" applyFill="1" applyBorder="1" applyAlignment="1">
      <alignment horizontal="center" vertical="center"/>
    </xf>
    <xf numFmtId="0" fontId="23" fillId="0" borderId="0" xfId="0" applyFont="1" applyAlignment="1">
      <alignment horizontal="center"/>
    </xf>
    <xf numFmtId="0" fontId="4" fillId="0" borderId="76" xfId="0" applyFont="1" applyBorder="1" applyAlignment="1">
      <alignment horizontal="left" vertical="center"/>
    </xf>
    <xf numFmtId="0" fontId="4" fillId="0" borderId="74" xfId="0" applyFont="1" applyBorder="1" applyAlignment="1">
      <alignment horizontal="left" vertical="center"/>
    </xf>
    <xf numFmtId="0" fontId="4" fillId="0" borderId="82" xfId="0" applyFont="1" applyBorder="1" applyAlignment="1">
      <alignment horizontal="center" vertical="center"/>
    </xf>
    <xf numFmtId="0" fontId="4" fillId="0" borderId="71" xfId="0" applyFont="1" applyBorder="1" applyAlignment="1">
      <alignment horizontal="center" vertical="center"/>
    </xf>
    <xf numFmtId="0" fontId="4" fillId="7" borderId="55" xfId="0" applyFont="1" applyFill="1" applyBorder="1" applyAlignment="1">
      <alignment horizontal="center" vertical="center"/>
    </xf>
    <xf numFmtId="0" fontId="4" fillId="7" borderId="21" xfId="0" applyFont="1" applyFill="1" applyBorder="1" applyAlignment="1">
      <alignment horizontal="center" vertical="center"/>
    </xf>
    <xf numFmtId="0" fontId="4" fillId="46" borderId="67" xfId="0" applyFont="1" applyFill="1" applyBorder="1" applyAlignment="1">
      <alignment horizontal="center" vertical="center"/>
    </xf>
    <xf numFmtId="0" fontId="4" fillId="0" borderId="2" xfId="0" applyFont="1" applyBorder="1" applyAlignment="1">
      <alignment horizontal="center" vertical="center" wrapText="1"/>
    </xf>
    <xf numFmtId="0" fontId="4" fillId="0" borderId="52" xfId="0" applyFont="1" applyBorder="1" applyAlignment="1">
      <alignment horizontal="center" vertical="center" wrapText="1"/>
    </xf>
    <xf numFmtId="0" fontId="4" fillId="0" borderId="45" xfId="0" applyFont="1" applyBorder="1" applyAlignment="1">
      <alignment horizontal="center" vertical="center" wrapText="1"/>
    </xf>
    <xf numFmtId="0" fontId="4" fillId="0" borderId="46" xfId="0" applyFont="1" applyBorder="1" applyAlignment="1">
      <alignment horizontal="center" vertical="center" wrapText="1"/>
    </xf>
    <xf numFmtId="0" fontId="4" fillId="0" borderId="15" xfId="0" applyFont="1" applyBorder="1" applyAlignment="1">
      <alignment horizontal="center" vertical="center" wrapText="1"/>
    </xf>
    <xf numFmtId="1" fontId="20" fillId="8" borderId="133" xfId="0" applyNumberFormat="1" applyFont="1" applyFill="1" applyBorder="1" applyAlignment="1">
      <alignment horizontal="center" vertical="center"/>
    </xf>
    <xf numFmtId="1" fontId="20" fillId="8" borderId="46" xfId="0" applyNumberFormat="1" applyFont="1" applyFill="1" applyBorder="1" applyAlignment="1">
      <alignment horizontal="center" vertical="center"/>
    </xf>
    <xf numFmtId="1" fontId="20" fillId="8" borderId="30" xfId="0" applyNumberFormat="1" applyFont="1" applyFill="1" applyBorder="1" applyAlignment="1">
      <alignment horizontal="center" vertical="center"/>
    </xf>
    <xf numFmtId="1" fontId="20" fillId="7" borderId="133" xfId="0" applyNumberFormat="1" applyFont="1" applyFill="1" applyBorder="1" applyAlignment="1">
      <alignment horizontal="center" vertical="center"/>
    </xf>
    <xf numFmtId="1" fontId="20" fillId="7" borderId="46" xfId="0" applyNumberFormat="1" applyFont="1" applyFill="1" applyBorder="1" applyAlignment="1">
      <alignment horizontal="center" vertical="center"/>
    </xf>
    <xf numFmtId="1" fontId="20" fillId="7" borderId="30" xfId="0" applyNumberFormat="1" applyFont="1" applyFill="1" applyBorder="1" applyAlignment="1">
      <alignment horizontal="center" vertical="center"/>
    </xf>
    <xf numFmtId="1" fontId="21" fillId="7" borderId="133" xfId="0" applyNumberFormat="1" applyFont="1" applyFill="1" applyBorder="1" applyAlignment="1">
      <alignment horizontal="center" vertical="center"/>
    </xf>
    <xf numFmtId="1" fontId="21" fillId="7" borderId="46" xfId="0" applyNumberFormat="1" applyFont="1" applyFill="1" applyBorder="1" applyAlignment="1">
      <alignment horizontal="center" vertical="center"/>
    </xf>
    <xf numFmtId="1" fontId="21" fillId="7" borderId="30" xfId="0" applyNumberFormat="1" applyFont="1" applyFill="1" applyBorder="1" applyAlignment="1">
      <alignment horizontal="center" vertical="center"/>
    </xf>
    <xf numFmtId="1" fontId="48" fillId="7" borderId="133" xfId="0" applyNumberFormat="1" applyFont="1" applyFill="1" applyBorder="1" applyAlignment="1">
      <alignment horizontal="center" vertical="center"/>
    </xf>
    <xf numFmtId="1" fontId="48" fillId="7" borderId="46" xfId="0" applyNumberFormat="1" applyFont="1" applyFill="1" applyBorder="1" applyAlignment="1">
      <alignment horizontal="center" vertical="center"/>
    </xf>
    <xf numFmtId="1" fontId="48" fillId="7" borderId="30" xfId="0" applyNumberFormat="1" applyFont="1" applyFill="1" applyBorder="1" applyAlignment="1">
      <alignment horizontal="center" vertical="center"/>
    </xf>
    <xf numFmtId="1" fontId="45" fillId="7" borderId="133" xfId="0" applyNumberFormat="1" applyFont="1" applyFill="1" applyBorder="1" applyAlignment="1">
      <alignment horizontal="center" vertical="center"/>
    </xf>
    <xf numFmtId="1" fontId="45" fillId="7" borderId="46" xfId="0" applyNumberFormat="1" applyFont="1" applyFill="1" applyBorder="1" applyAlignment="1">
      <alignment horizontal="center" vertical="center"/>
    </xf>
    <xf numFmtId="1" fontId="45" fillId="7" borderId="30" xfId="0" applyNumberFormat="1" applyFont="1" applyFill="1" applyBorder="1" applyAlignment="1">
      <alignment horizontal="center" vertical="center"/>
    </xf>
    <xf numFmtId="0" fontId="48" fillId="7" borderId="133" xfId="0" applyFont="1" applyFill="1" applyBorder="1" applyAlignment="1">
      <alignment horizontal="center" vertical="center"/>
    </xf>
    <xf numFmtId="0" fontId="48" fillId="7" borderId="46" xfId="0" applyFont="1" applyFill="1" applyBorder="1" applyAlignment="1">
      <alignment horizontal="center" vertical="center"/>
    </xf>
    <xf numFmtId="0" fontId="48" fillId="7" borderId="30" xfId="0" applyFont="1" applyFill="1" applyBorder="1" applyAlignment="1">
      <alignment horizontal="center" vertical="center"/>
    </xf>
    <xf numFmtId="1" fontId="20" fillId="6" borderId="133" xfId="0" applyNumberFormat="1" applyFont="1" applyFill="1" applyBorder="1" applyAlignment="1">
      <alignment horizontal="center" vertical="center"/>
    </xf>
    <xf numFmtId="1" fontId="21" fillId="6" borderId="133" xfId="0" applyNumberFormat="1" applyFont="1" applyFill="1" applyBorder="1" applyAlignment="1">
      <alignment horizontal="center" vertical="center"/>
    </xf>
    <xf numFmtId="1" fontId="21" fillId="6" borderId="46" xfId="0" applyNumberFormat="1" applyFont="1" applyFill="1" applyBorder="1" applyAlignment="1">
      <alignment horizontal="center" vertical="center"/>
    </xf>
    <xf numFmtId="1" fontId="21" fillId="6" borderId="30" xfId="0" applyNumberFormat="1" applyFont="1" applyFill="1" applyBorder="1" applyAlignment="1">
      <alignment horizontal="center" vertical="center"/>
    </xf>
    <xf numFmtId="1" fontId="48" fillId="6" borderId="133" xfId="0" applyNumberFormat="1" applyFont="1" applyFill="1" applyBorder="1" applyAlignment="1">
      <alignment horizontal="center" vertical="center"/>
    </xf>
    <xf numFmtId="1" fontId="48" fillId="6" borderId="46" xfId="0" applyNumberFormat="1" applyFont="1" applyFill="1" applyBorder="1" applyAlignment="1">
      <alignment horizontal="center" vertical="center"/>
    </xf>
    <xf numFmtId="1" fontId="48" fillId="6" borderId="30" xfId="0" applyNumberFormat="1" applyFont="1" applyFill="1" applyBorder="1" applyAlignment="1">
      <alignment horizontal="center" vertical="center"/>
    </xf>
    <xf numFmtId="1" fontId="45" fillId="6" borderId="133" xfId="0" applyNumberFormat="1" applyFont="1" applyFill="1" applyBorder="1" applyAlignment="1">
      <alignment horizontal="center" vertical="center"/>
    </xf>
    <xf numFmtId="1" fontId="45" fillId="6" borderId="46" xfId="0" applyNumberFormat="1" applyFont="1" applyFill="1" applyBorder="1" applyAlignment="1">
      <alignment horizontal="center" vertical="center"/>
    </xf>
    <xf numFmtId="1" fontId="45" fillId="6" borderId="30" xfId="0" applyNumberFormat="1" applyFont="1" applyFill="1" applyBorder="1" applyAlignment="1">
      <alignment horizontal="center" vertical="center"/>
    </xf>
    <xf numFmtId="0" fontId="48" fillId="6" borderId="133" xfId="0" applyFont="1" applyFill="1" applyBorder="1" applyAlignment="1">
      <alignment horizontal="center" vertical="center"/>
    </xf>
    <xf numFmtId="0" fontId="48" fillId="6" borderId="46" xfId="0" applyFont="1" applyFill="1" applyBorder="1" applyAlignment="1">
      <alignment horizontal="center" vertical="center"/>
    </xf>
    <xf numFmtId="0" fontId="48" fillId="6" borderId="30" xfId="0" applyFont="1" applyFill="1" applyBorder="1" applyAlignment="1">
      <alignment horizontal="center" vertical="center"/>
    </xf>
    <xf numFmtId="1" fontId="20" fillId="5" borderId="133" xfId="0" applyNumberFormat="1" applyFont="1" applyFill="1" applyBorder="1" applyAlignment="1">
      <alignment horizontal="center" vertical="center"/>
    </xf>
    <xf numFmtId="1" fontId="20" fillId="5" borderId="46" xfId="0" applyNumberFormat="1" applyFont="1" applyFill="1" applyBorder="1" applyAlignment="1">
      <alignment horizontal="center" vertical="center"/>
    </xf>
    <xf numFmtId="1" fontId="20" fillId="5" borderId="30" xfId="0" applyNumberFormat="1" applyFont="1" applyFill="1" applyBorder="1" applyAlignment="1">
      <alignment horizontal="center" vertical="center"/>
    </xf>
    <xf numFmtId="1" fontId="21" fillId="5" borderId="133" xfId="0" applyNumberFormat="1" applyFont="1" applyFill="1" applyBorder="1" applyAlignment="1">
      <alignment horizontal="center" vertical="center"/>
    </xf>
    <xf numFmtId="1" fontId="21" fillId="5" borderId="46" xfId="0" applyNumberFormat="1" applyFont="1" applyFill="1" applyBorder="1" applyAlignment="1">
      <alignment horizontal="center" vertical="center"/>
    </xf>
    <xf numFmtId="1" fontId="21" fillId="5" borderId="30" xfId="0" applyNumberFormat="1" applyFont="1" applyFill="1" applyBorder="1" applyAlignment="1">
      <alignment horizontal="center" vertical="center"/>
    </xf>
    <xf numFmtId="1" fontId="48" fillId="5" borderId="133" xfId="0" applyNumberFormat="1" applyFont="1" applyFill="1" applyBorder="1" applyAlignment="1">
      <alignment horizontal="center" vertical="center"/>
    </xf>
    <xf numFmtId="1" fontId="48" fillId="5" borderId="46" xfId="0" applyNumberFormat="1" applyFont="1" applyFill="1" applyBorder="1" applyAlignment="1">
      <alignment horizontal="center" vertical="center"/>
    </xf>
    <xf numFmtId="1" fontId="48" fillId="5" borderId="30" xfId="0" applyNumberFormat="1" applyFont="1" applyFill="1" applyBorder="1" applyAlignment="1">
      <alignment horizontal="center" vertical="center"/>
    </xf>
    <xf numFmtId="1" fontId="45" fillId="5" borderId="133" xfId="0" applyNumberFormat="1" applyFont="1" applyFill="1" applyBorder="1" applyAlignment="1">
      <alignment horizontal="center" vertical="center"/>
    </xf>
    <xf numFmtId="1" fontId="45" fillId="5" borderId="46" xfId="0" applyNumberFormat="1" applyFont="1" applyFill="1" applyBorder="1" applyAlignment="1">
      <alignment horizontal="center" vertical="center"/>
    </xf>
    <xf numFmtId="1" fontId="45" fillId="5" borderId="30" xfId="0" applyNumberFormat="1" applyFont="1" applyFill="1" applyBorder="1" applyAlignment="1">
      <alignment horizontal="center" vertical="center"/>
    </xf>
    <xf numFmtId="0" fontId="48" fillId="5" borderId="133" xfId="0" applyFont="1" applyFill="1" applyBorder="1" applyAlignment="1">
      <alignment horizontal="center" vertical="center"/>
    </xf>
    <xf numFmtId="0" fontId="48" fillId="5" borderId="46" xfId="0" applyFont="1" applyFill="1" applyBorder="1" applyAlignment="1">
      <alignment horizontal="center" vertical="center"/>
    </xf>
    <xf numFmtId="0" fontId="48" fillId="5" borderId="30" xfId="0" applyFont="1" applyFill="1" applyBorder="1" applyAlignment="1">
      <alignment horizontal="center" vertical="center"/>
    </xf>
    <xf numFmtId="1" fontId="20" fillId="5" borderId="109" xfId="0" applyNumberFormat="1" applyFont="1" applyFill="1" applyBorder="1" applyAlignment="1">
      <alignment horizontal="center" vertical="center"/>
    </xf>
    <xf numFmtId="1" fontId="20" fillId="5" borderId="38" xfId="0" applyNumberFormat="1" applyFont="1" applyFill="1" applyBorder="1" applyAlignment="1">
      <alignment horizontal="center" vertical="center"/>
    </xf>
    <xf numFmtId="1" fontId="20" fillId="5" borderId="8" xfId="0" applyNumberFormat="1" applyFont="1" applyFill="1" applyBorder="1" applyAlignment="1">
      <alignment horizontal="center" vertical="center"/>
    </xf>
    <xf numFmtId="1" fontId="20" fillId="4" borderId="133" xfId="0" applyNumberFormat="1" applyFont="1" applyFill="1" applyBorder="1" applyAlignment="1">
      <alignment horizontal="center" vertical="center"/>
    </xf>
    <xf numFmtId="1" fontId="20" fillId="4" borderId="46" xfId="0" applyNumberFormat="1" applyFont="1" applyFill="1" applyBorder="1" applyAlignment="1">
      <alignment horizontal="center" vertical="center"/>
    </xf>
    <xf numFmtId="1" fontId="20" fillId="4" borderId="30" xfId="0" applyNumberFormat="1" applyFont="1" applyFill="1" applyBorder="1" applyAlignment="1">
      <alignment horizontal="center" vertical="center"/>
    </xf>
    <xf numFmtId="1" fontId="21" fillId="8" borderId="133" xfId="0" applyNumberFormat="1" applyFont="1" applyFill="1" applyBorder="1" applyAlignment="1">
      <alignment horizontal="center" vertical="center"/>
    </xf>
    <xf numFmtId="1" fontId="21" fillId="8" borderId="46" xfId="0" applyNumberFormat="1" applyFont="1" applyFill="1" applyBorder="1" applyAlignment="1">
      <alignment horizontal="center" vertical="center"/>
    </xf>
    <xf numFmtId="1" fontId="21" fillId="8" borderId="30" xfId="0" applyNumberFormat="1" applyFont="1" applyFill="1" applyBorder="1" applyAlignment="1">
      <alignment horizontal="center" vertical="center"/>
    </xf>
    <xf numFmtId="1" fontId="48" fillId="0" borderId="133" xfId="0" applyNumberFormat="1" applyFont="1" applyBorder="1" applyAlignment="1">
      <alignment horizontal="center" vertical="center"/>
    </xf>
    <xf numFmtId="1" fontId="48" fillId="0" borderId="46" xfId="0" applyNumberFormat="1" applyFont="1" applyBorder="1" applyAlignment="1">
      <alignment horizontal="center" vertical="center"/>
    </xf>
    <xf numFmtId="1" fontId="48" fillId="0" borderId="30" xfId="0" applyNumberFormat="1" applyFont="1" applyBorder="1" applyAlignment="1">
      <alignment horizontal="center" vertical="center"/>
    </xf>
    <xf numFmtId="1" fontId="45" fillId="8" borderId="133" xfId="0" applyNumberFormat="1" applyFont="1" applyFill="1" applyBorder="1" applyAlignment="1">
      <alignment horizontal="center" vertical="center"/>
    </xf>
    <xf numFmtId="1" fontId="45" fillId="8" borderId="46" xfId="0" applyNumberFormat="1" applyFont="1" applyFill="1" applyBorder="1" applyAlignment="1">
      <alignment horizontal="center" vertical="center"/>
    </xf>
    <xf numFmtId="1" fontId="45" fillId="8" borderId="30" xfId="0" applyNumberFormat="1" applyFont="1" applyFill="1" applyBorder="1" applyAlignment="1">
      <alignment horizontal="center" vertical="center"/>
    </xf>
    <xf numFmtId="0" fontId="48" fillId="0" borderId="133" xfId="0" applyFont="1" applyBorder="1" applyAlignment="1">
      <alignment horizontal="center" vertical="center"/>
    </xf>
    <xf numFmtId="0" fontId="48" fillId="0" borderId="46" xfId="0" applyFont="1" applyBorder="1" applyAlignment="1">
      <alignment horizontal="center" vertical="center"/>
    </xf>
    <xf numFmtId="0" fontId="48" fillId="0" borderId="30" xfId="0" applyFont="1" applyBorder="1" applyAlignment="1">
      <alignment horizontal="center" vertical="center"/>
    </xf>
    <xf numFmtId="1" fontId="21" fillId="0" borderId="133" xfId="0" applyNumberFormat="1" applyFont="1" applyBorder="1" applyAlignment="1">
      <alignment horizontal="center" vertical="center"/>
    </xf>
    <xf numFmtId="1" fontId="21" fillId="0" borderId="46" xfId="0" applyNumberFormat="1" applyFont="1" applyBorder="1" applyAlignment="1">
      <alignment horizontal="center" vertical="center"/>
    </xf>
    <xf numFmtId="1" fontId="21" fillId="0" borderId="30" xfId="0" applyNumberFormat="1" applyFont="1" applyBorder="1" applyAlignment="1">
      <alignment horizontal="center" vertical="center"/>
    </xf>
    <xf numFmtId="1" fontId="20" fillId="6" borderId="109" xfId="0" applyNumberFormat="1" applyFont="1" applyFill="1" applyBorder="1" applyAlignment="1">
      <alignment horizontal="center" vertical="center"/>
    </xf>
    <xf numFmtId="1" fontId="20" fillId="6" borderId="38" xfId="0" applyNumberFormat="1" applyFont="1" applyFill="1" applyBorder="1" applyAlignment="1">
      <alignment horizontal="center" vertical="center"/>
    </xf>
    <xf numFmtId="1" fontId="20" fillId="6" borderId="8" xfId="0" applyNumberFormat="1" applyFont="1" applyFill="1" applyBorder="1" applyAlignment="1">
      <alignment horizontal="center" vertical="center"/>
    </xf>
    <xf numFmtId="1" fontId="20" fillId="7" borderId="109" xfId="0" applyNumberFormat="1" applyFont="1" applyFill="1" applyBorder="1" applyAlignment="1">
      <alignment horizontal="center" vertical="center"/>
    </xf>
    <xf numFmtId="1" fontId="20" fillId="7" borderId="38" xfId="0" applyNumberFormat="1" applyFont="1" applyFill="1" applyBorder="1" applyAlignment="1">
      <alignment horizontal="center" vertical="center"/>
    </xf>
    <xf numFmtId="1" fontId="20" fillId="7" borderId="8" xfId="0" applyNumberFormat="1" applyFont="1" applyFill="1" applyBorder="1" applyAlignment="1">
      <alignment horizontal="center" vertical="center"/>
    </xf>
    <xf numFmtId="1" fontId="20" fillId="8" borderId="109" xfId="0" applyNumberFormat="1" applyFont="1" applyFill="1" applyBorder="1" applyAlignment="1">
      <alignment horizontal="center" vertical="center"/>
    </xf>
    <xf numFmtId="1" fontId="20" fillId="8" borderId="38" xfId="0" applyNumberFormat="1" applyFont="1" applyFill="1" applyBorder="1" applyAlignment="1">
      <alignment horizontal="center" vertical="center"/>
    </xf>
    <xf numFmtId="1" fontId="20" fillId="8" borderId="8" xfId="0" applyNumberFormat="1" applyFont="1" applyFill="1" applyBorder="1" applyAlignment="1">
      <alignment horizontal="center" vertical="center"/>
    </xf>
    <xf numFmtId="0" fontId="21" fillId="5" borderId="10" xfId="0" applyFont="1" applyFill="1" applyBorder="1" applyAlignment="1">
      <alignment horizontal="center" vertical="center"/>
    </xf>
    <xf numFmtId="0" fontId="21" fillId="6" borderId="10" xfId="0" applyFont="1" applyFill="1" applyBorder="1" applyAlignment="1">
      <alignment horizontal="center" vertical="center"/>
    </xf>
    <xf numFmtId="0" fontId="21" fillId="0" borderId="37" xfId="0" applyFont="1" applyBorder="1" applyAlignment="1">
      <alignment horizontal="center" vertical="center"/>
    </xf>
    <xf numFmtId="0" fontId="21" fillId="0" borderId="29" xfId="0" applyFont="1" applyBorder="1" applyAlignment="1">
      <alignment horizontal="center" vertical="center"/>
    </xf>
    <xf numFmtId="0" fontId="21" fillId="7" borderId="37" xfId="0" applyFont="1" applyFill="1" applyBorder="1" applyAlignment="1">
      <alignment horizontal="center" vertical="center"/>
    </xf>
    <xf numFmtId="0" fontId="21" fillId="7" borderId="29" xfId="0" applyFont="1" applyFill="1" applyBorder="1" applyAlignment="1">
      <alignment horizontal="center" vertical="center"/>
    </xf>
    <xf numFmtId="0" fontId="21" fillId="7" borderId="10" xfId="0" applyFont="1" applyFill="1" applyBorder="1" applyAlignment="1">
      <alignment horizontal="center" vertical="center"/>
    </xf>
    <xf numFmtId="0" fontId="21" fillId="0" borderId="10" xfId="0" applyFont="1" applyBorder="1" applyAlignment="1">
      <alignment horizontal="center" vertical="center"/>
    </xf>
    <xf numFmtId="0" fontId="0" fillId="0" borderId="0" xfId="0"/>
    <xf numFmtId="0" fontId="48" fillId="8" borderId="64" xfId="0" applyFont="1" applyFill="1" applyBorder="1" applyAlignment="1">
      <alignment horizontal="center" vertical="center"/>
    </xf>
    <xf numFmtId="0" fontId="48" fillId="8" borderId="48" xfId="0" applyFont="1" applyFill="1" applyBorder="1" applyAlignment="1">
      <alignment horizontal="center" vertical="center"/>
    </xf>
    <xf numFmtId="0" fontId="48" fillId="8" borderId="10" xfId="0" applyFont="1" applyFill="1" applyBorder="1" applyAlignment="1">
      <alignment horizontal="center" vertical="center"/>
    </xf>
    <xf numFmtId="1" fontId="20" fillId="8" borderId="10" xfId="0" applyNumberFormat="1" applyFont="1" applyFill="1" applyBorder="1" applyAlignment="1">
      <alignment horizontal="center" vertical="center"/>
    </xf>
    <xf numFmtId="0" fontId="21" fillId="0" borderId="10" xfId="0" applyFont="1" applyBorder="1" applyAlignment="1">
      <alignment horizontal="left" vertical="center"/>
    </xf>
    <xf numFmtId="0" fontId="20" fillId="0" borderId="10" xfId="0" applyFont="1" applyBorder="1" applyAlignment="1">
      <alignment horizontal="center" vertical="center"/>
    </xf>
    <xf numFmtId="0" fontId="14" fillId="0" borderId="52" xfId="0" applyFont="1" applyBorder="1" applyAlignment="1">
      <alignment horizontal="center" vertical="center"/>
    </xf>
    <xf numFmtId="0" fontId="14" fillId="0" borderId="47" xfId="0" applyFont="1" applyBorder="1" applyAlignment="1">
      <alignment horizontal="center" vertical="center"/>
    </xf>
    <xf numFmtId="0" fontId="14" fillId="0" borderId="70" xfId="0" applyFont="1" applyBorder="1" applyAlignment="1">
      <alignment horizontal="center" vertical="center"/>
    </xf>
    <xf numFmtId="0" fontId="98" fillId="0" borderId="44" xfId="0" applyFont="1" applyBorder="1" applyAlignment="1">
      <alignment horizontal="center" vertical="center"/>
    </xf>
    <xf numFmtId="0" fontId="98" fillId="0" borderId="47" xfId="0" applyFont="1" applyBorder="1" applyAlignment="1">
      <alignment horizontal="center" vertical="center"/>
    </xf>
    <xf numFmtId="0" fontId="98" fillId="0" borderId="51" xfId="0" applyFont="1" applyBorder="1" applyAlignment="1">
      <alignment horizontal="center" vertical="center"/>
    </xf>
    <xf numFmtId="0" fontId="128" fillId="0" borderId="44" xfId="0" applyFont="1" applyBorder="1" applyAlignment="1">
      <alignment horizontal="center" vertical="center"/>
    </xf>
    <xf numFmtId="0" fontId="128" fillId="0" borderId="47" xfId="0" applyFont="1" applyBorder="1" applyAlignment="1">
      <alignment horizontal="center" vertical="center"/>
    </xf>
    <xf numFmtId="0" fontId="128" fillId="0" borderId="70" xfId="0" applyFont="1" applyBorder="1" applyAlignment="1">
      <alignment horizontal="center" vertical="center"/>
    </xf>
    <xf numFmtId="17" fontId="14" fillId="8" borderId="3" xfId="0" applyNumberFormat="1" applyFont="1" applyFill="1" applyBorder="1" applyAlignment="1">
      <alignment horizontal="center" vertical="center"/>
    </xf>
    <xf numFmtId="17" fontId="14" fillId="8" borderId="42" xfId="0" applyNumberFormat="1" applyFont="1" applyFill="1" applyBorder="1" applyAlignment="1">
      <alignment horizontal="center" vertical="center"/>
    </xf>
    <xf numFmtId="17" fontId="14" fillId="7" borderId="3" xfId="0" applyNumberFormat="1" applyFont="1" applyFill="1" applyBorder="1" applyAlignment="1">
      <alignment horizontal="center" vertical="center"/>
    </xf>
    <xf numFmtId="17" fontId="14" fillId="7" borderId="42" xfId="0" applyNumberFormat="1" applyFont="1" applyFill="1" applyBorder="1" applyAlignment="1">
      <alignment horizontal="center" vertical="center"/>
    </xf>
    <xf numFmtId="0" fontId="14" fillId="0" borderId="51" xfId="0" applyFont="1" applyBorder="1" applyAlignment="1">
      <alignment horizontal="center" vertical="center"/>
    </xf>
    <xf numFmtId="17" fontId="14" fillId="6" borderId="106" xfId="0" applyNumberFormat="1" applyFont="1" applyFill="1" applyBorder="1" applyAlignment="1">
      <alignment horizontal="center" vertical="center"/>
    </xf>
    <xf numFmtId="17" fontId="14" fillId="0" borderId="44" xfId="0" applyNumberFormat="1" applyFont="1" applyBorder="1" applyAlignment="1">
      <alignment horizontal="center" vertical="center"/>
    </xf>
    <xf numFmtId="17" fontId="14" fillId="0" borderId="61" xfId="0" applyNumberFormat="1" applyFont="1" applyBorder="1" applyAlignment="1">
      <alignment horizontal="center" vertical="center"/>
    </xf>
    <xf numFmtId="17" fontId="14" fillId="0" borderId="3" xfId="0" applyNumberFormat="1" applyFont="1" applyBorder="1" applyAlignment="1">
      <alignment horizontal="center" vertical="center"/>
    </xf>
    <xf numFmtId="17" fontId="14" fillId="0" borderId="42" xfId="0" applyNumberFormat="1" applyFont="1" applyBorder="1" applyAlignment="1">
      <alignment horizontal="center" vertical="center"/>
    </xf>
    <xf numFmtId="17" fontId="14" fillId="8" borderId="66" xfId="0" applyNumberFormat="1" applyFont="1" applyFill="1" applyBorder="1" applyAlignment="1">
      <alignment horizontal="center" vertical="center"/>
    </xf>
    <xf numFmtId="17" fontId="14" fillId="5" borderId="63" xfId="0" applyNumberFormat="1" applyFont="1" applyFill="1" applyBorder="1" applyAlignment="1">
      <alignment horizontal="center" vertical="center"/>
    </xf>
    <xf numFmtId="17" fontId="14" fillId="5" borderId="42" xfId="0" applyNumberFormat="1" applyFont="1" applyFill="1" applyBorder="1" applyAlignment="1">
      <alignment horizontal="center" vertical="center"/>
    </xf>
    <xf numFmtId="0" fontId="128" fillId="0" borderId="51" xfId="0" applyFont="1" applyBorder="1" applyAlignment="1">
      <alignment horizontal="center" vertical="center"/>
    </xf>
    <xf numFmtId="0" fontId="129" fillId="0" borderId="52" xfId="0" applyFont="1" applyBorder="1" applyAlignment="1">
      <alignment horizontal="center" vertical="center"/>
    </xf>
    <xf numFmtId="0" fontId="129" fillId="0" borderId="47" xfId="0" applyFont="1" applyBorder="1" applyAlignment="1">
      <alignment horizontal="center" vertical="center"/>
    </xf>
    <xf numFmtId="0" fontId="129" fillId="0" borderId="51" xfId="0" applyFont="1" applyBorder="1" applyAlignment="1">
      <alignment horizontal="center" vertical="center"/>
    </xf>
    <xf numFmtId="0" fontId="98" fillId="0" borderId="192" xfId="0" applyFont="1" applyBorder="1" applyAlignment="1">
      <alignment horizontal="center" vertical="center"/>
    </xf>
    <xf numFmtId="0" fontId="176" fillId="0" borderId="76" xfId="0" applyFont="1" applyBorder="1" applyAlignment="1">
      <alignment horizontal="center" vertical="center"/>
    </xf>
    <xf numFmtId="0" fontId="176" fillId="0" borderId="34" xfId="0" applyFont="1" applyBorder="1" applyAlignment="1">
      <alignment horizontal="center" vertical="center"/>
    </xf>
    <xf numFmtId="0" fontId="33" fillId="0" borderId="166" xfId="0" applyFont="1" applyBorder="1" applyAlignment="1">
      <alignment horizontal="center" vertical="center"/>
    </xf>
    <xf numFmtId="0" fontId="14" fillId="0" borderId="76" xfId="0" applyFont="1" applyBorder="1" applyAlignment="1">
      <alignment horizontal="center" vertical="center"/>
    </xf>
    <xf numFmtId="0" fontId="14" fillId="0" borderId="74" xfId="0" applyFont="1" applyBorder="1" applyAlignment="1">
      <alignment horizontal="center" vertical="center"/>
    </xf>
    <xf numFmtId="0" fontId="14" fillId="0" borderId="9" xfId="0" applyFont="1" applyBorder="1" applyAlignment="1">
      <alignment horizontal="center" vertical="center"/>
    </xf>
    <xf numFmtId="17" fontId="14" fillId="5" borderId="66" xfId="0" applyNumberFormat="1" applyFont="1" applyFill="1" applyBorder="1" applyAlignment="1">
      <alignment horizontal="center" vertical="center"/>
    </xf>
    <xf numFmtId="0" fontId="129" fillId="0" borderId="44" xfId="0" applyFont="1" applyBorder="1" applyAlignment="1">
      <alignment horizontal="center" vertical="center"/>
    </xf>
    <xf numFmtId="0" fontId="129" fillId="0" borderId="70" xfId="0" applyFont="1" applyBorder="1" applyAlignment="1">
      <alignment horizontal="center" vertical="center"/>
    </xf>
    <xf numFmtId="0" fontId="129" fillId="0" borderId="162" xfId="0" applyFont="1" applyBorder="1" applyAlignment="1">
      <alignment horizontal="center" vertical="center"/>
    </xf>
    <xf numFmtId="1" fontId="20" fillId="8" borderId="74" xfId="0" applyNumberFormat="1" applyFont="1" applyFill="1" applyBorder="1" applyAlignment="1">
      <alignment horizontal="center" vertical="center"/>
    </xf>
    <xf numFmtId="1" fontId="20" fillId="0" borderId="40" xfId="0" applyNumberFormat="1" applyFont="1" applyBorder="1" applyAlignment="1">
      <alignment horizontal="center" vertical="center"/>
    </xf>
    <xf numFmtId="1" fontId="20" fillId="7" borderId="74" xfId="0" applyNumberFormat="1" applyFont="1" applyFill="1" applyBorder="1" applyAlignment="1">
      <alignment horizontal="center" vertical="center"/>
    </xf>
    <xf numFmtId="1" fontId="20" fillId="6" borderId="74" xfId="0" applyNumberFormat="1" applyFont="1" applyFill="1" applyBorder="1" applyAlignment="1">
      <alignment horizontal="center" vertical="center"/>
    </xf>
    <xf numFmtId="1" fontId="20" fillId="5" borderId="40" xfId="0" applyNumberFormat="1" applyFont="1" applyFill="1" applyBorder="1" applyAlignment="1">
      <alignment horizontal="center" vertical="center"/>
    </xf>
    <xf numFmtId="0" fontId="21" fillId="0" borderId="2" xfId="0" applyFont="1" applyBorder="1" applyAlignment="1">
      <alignment horizontal="left" vertical="center"/>
    </xf>
    <xf numFmtId="0" fontId="21" fillId="0" borderId="35" xfId="0" applyFont="1" applyBorder="1" applyAlignment="1">
      <alignment horizontal="left" vertical="center"/>
    </xf>
    <xf numFmtId="0" fontId="21" fillId="5" borderId="25" xfId="0" applyFont="1" applyFill="1" applyBorder="1" applyAlignment="1">
      <alignment horizontal="center" vertical="center"/>
    </xf>
    <xf numFmtId="0" fontId="21" fillId="5" borderId="21" xfId="0" applyFont="1" applyFill="1" applyBorder="1" applyAlignment="1">
      <alignment horizontal="center" vertical="center"/>
    </xf>
    <xf numFmtId="0" fontId="21" fillId="0" borderId="25" xfId="0" applyFont="1" applyBorder="1" applyAlignment="1">
      <alignment horizontal="center"/>
    </xf>
    <xf numFmtId="0" fontId="21" fillId="0" borderId="21" xfId="0" applyFont="1" applyBorder="1" applyAlignment="1">
      <alignment horizontal="center"/>
    </xf>
    <xf numFmtId="0" fontId="21" fillId="0" borderId="39" xfId="0" applyFont="1" applyBorder="1" applyAlignment="1">
      <alignment horizontal="center" vertical="center"/>
    </xf>
    <xf numFmtId="0" fontId="21" fillId="0" borderId="0" xfId="0" applyFont="1" applyAlignment="1">
      <alignment horizontal="center" vertical="center"/>
    </xf>
    <xf numFmtId="1" fontId="20" fillId="6" borderId="40" xfId="0" applyNumberFormat="1" applyFont="1" applyFill="1" applyBorder="1" applyAlignment="1">
      <alignment horizontal="center" vertical="center"/>
    </xf>
    <xf numFmtId="0" fontId="4" fillId="8" borderId="10" xfId="0" applyFont="1" applyFill="1" applyBorder="1" applyAlignment="1">
      <alignment horizontal="center" vertical="center"/>
    </xf>
    <xf numFmtId="0" fontId="4" fillId="7" borderId="10" xfId="0" applyFont="1" applyFill="1" applyBorder="1" applyAlignment="1">
      <alignment horizontal="center" vertical="center"/>
    </xf>
    <xf numFmtId="0" fontId="4" fillId="6" borderId="10" xfId="0" applyFont="1" applyFill="1" applyBorder="1" applyAlignment="1">
      <alignment horizontal="center" vertical="center"/>
    </xf>
    <xf numFmtId="0" fontId="4" fillId="0" borderId="10" xfId="0" applyFont="1" applyBorder="1" applyAlignment="1">
      <alignment horizontal="center" vertical="center"/>
    </xf>
    <xf numFmtId="0" fontId="4" fillId="5" borderId="10" xfId="0" applyFont="1" applyFill="1" applyBorder="1" applyAlignment="1">
      <alignment horizontal="center" vertical="center"/>
    </xf>
    <xf numFmtId="0" fontId="22" fillId="8" borderId="10" xfId="0" applyFont="1" applyFill="1" applyBorder="1" applyAlignment="1">
      <alignment horizontal="center" vertical="center" wrapText="1"/>
    </xf>
    <xf numFmtId="0" fontId="4" fillId="0" borderId="37" xfId="0" applyFont="1" applyBorder="1" applyAlignment="1">
      <alignment horizontal="center" vertical="center"/>
    </xf>
    <xf numFmtId="0" fontId="4" fillId="0" borderId="29" xfId="0" applyFont="1" applyBorder="1" applyAlignment="1">
      <alignment horizontal="center" vertical="center"/>
    </xf>
    <xf numFmtId="0" fontId="22" fillId="8" borderId="45" xfId="0" applyFont="1" applyFill="1" applyBorder="1" applyAlignment="1">
      <alignment horizontal="center" vertical="center"/>
    </xf>
    <xf numFmtId="0" fontId="22" fillId="8" borderId="46" xfId="0" applyFont="1" applyFill="1" applyBorder="1" applyAlignment="1">
      <alignment horizontal="center" vertical="center"/>
    </xf>
    <xf numFmtId="0" fontId="22" fillId="8" borderId="30" xfId="0" applyFont="1" applyFill="1" applyBorder="1" applyAlignment="1">
      <alignment horizontal="center" vertical="center"/>
    </xf>
    <xf numFmtId="0" fontId="22" fillId="8" borderId="45" xfId="0" applyFont="1" applyFill="1" applyBorder="1" applyAlignment="1">
      <alignment horizontal="center" vertical="center" wrapText="1"/>
    </xf>
    <xf numFmtId="0" fontId="22" fillId="8" borderId="46" xfId="0" applyFont="1" applyFill="1" applyBorder="1" applyAlignment="1">
      <alignment horizontal="center" vertical="center" wrapText="1"/>
    </xf>
    <xf numFmtId="0" fontId="22" fillId="8" borderId="30" xfId="0" applyFont="1" applyFill="1" applyBorder="1" applyAlignment="1">
      <alignment horizontal="center" vertical="center" wrapText="1"/>
    </xf>
    <xf numFmtId="0" fontId="22" fillId="0" borderId="45" xfId="0" applyFont="1" applyBorder="1" applyAlignment="1">
      <alignment horizontal="center" vertical="center" wrapText="1"/>
    </xf>
    <xf numFmtId="0" fontId="22" fillId="0" borderId="46" xfId="0" applyFont="1" applyBorder="1" applyAlignment="1">
      <alignment horizontal="center" vertical="center" wrapText="1"/>
    </xf>
    <xf numFmtId="0" fontId="22" fillId="0" borderId="30" xfId="0" applyFont="1" applyBorder="1" applyAlignment="1">
      <alignment horizontal="center" vertical="center" wrapText="1"/>
    </xf>
    <xf numFmtId="0" fontId="22" fillId="8" borderId="108" xfId="0" applyFont="1" applyFill="1" applyBorder="1" applyAlignment="1">
      <alignment horizontal="center" vertical="center" wrapText="1"/>
    </xf>
    <xf numFmtId="1" fontId="12" fillId="8" borderId="133" xfId="0" applyNumberFormat="1" applyFont="1" applyFill="1" applyBorder="1" applyAlignment="1">
      <alignment horizontal="center" vertical="center"/>
    </xf>
    <xf numFmtId="1" fontId="12" fillId="8" borderId="30" xfId="0" applyNumberFormat="1" applyFont="1" applyFill="1" applyBorder="1" applyAlignment="1">
      <alignment horizontal="center" vertical="center"/>
    </xf>
    <xf numFmtId="0" fontId="26" fillId="7" borderId="10" xfId="0" applyFont="1" applyFill="1" applyBorder="1" applyAlignment="1">
      <alignment horizontal="center" vertical="center"/>
    </xf>
    <xf numFmtId="0" fontId="26" fillId="0" borderId="10" xfId="0" applyFont="1" applyBorder="1" applyAlignment="1">
      <alignment horizontal="center" vertical="center"/>
    </xf>
    <xf numFmtId="0" fontId="26" fillId="5" borderId="10" xfId="0" applyFont="1" applyFill="1" applyBorder="1" applyAlignment="1">
      <alignment horizontal="center" vertical="center"/>
    </xf>
    <xf numFmtId="1" fontId="12" fillId="0" borderId="133" xfId="0" applyNumberFormat="1" applyFont="1" applyBorder="1" applyAlignment="1">
      <alignment horizontal="center" vertical="center"/>
    </xf>
    <xf numFmtId="1" fontId="12" fillId="0" borderId="30" xfId="0" applyNumberFormat="1" applyFont="1" applyBorder="1" applyAlignment="1">
      <alignment horizontal="center" vertical="center"/>
    </xf>
    <xf numFmtId="1" fontId="12" fillId="7" borderId="133" xfId="0" applyNumberFormat="1" applyFont="1" applyFill="1" applyBorder="1" applyAlignment="1">
      <alignment horizontal="center" vertical="center"/>
    </xf>
    <xf numFmtId="1" fontId="12" fillId="7" borderId="30" xfId="0" applyNumberFormat="1" applyFont="1" applyFill="1" applyBorder="1" applyAlignment="1">
      <alignment horizontal="center" vertical="center"/>
    </xf>
    <xf numFmtId="0" fontId="26" fillId="6" borderId="10" xfId="0" applyFont="1" applyFill="1" applyBorder="1" applyAlignment="1">
      <alignment horizontal="center" vertical="center"/>
    </xf>
    <xf numFmtId="0" fontId="14" fillId="0" borderId="10" xfId="0" applyFont="1" applyBorder="1" applyAlignment="1">
      <alignment horizontal="left" vertical="center"/>
    </xf>
    <xf numFmtId="0" fontId="14" fillId="0" borderId="108" xfId="0" applyFont="1" applyBorder="1" applyAlignment="1">
      <alignment horizontal="left" vertical="center"/>
    </xf>
    <xf numFmtId="0" fontId="26" fillId="0" borderId="10" xfId="0" applyFont="1" applyBorder="1" applyAlignment="1">
      <alignment horizontal="left" vertical="center"/>
    </xf>
    <xf numFmtId="1" fontId="20" fillId="0" borderId="133" xfId="0" applyNumberFormat="1" applyFont="1" applyBorder="1" applyAlignment="1">
      <alignment horizontal="center" vertical="center"/>
    </xf>
    <xf numFmtId="1" fontId="20" fillId="0" borderId="30" xfId="0" applyNumberFormat="1" applyFont="1" applyBorder="1" applyAlignment="1">
      <alignment horizontal="center" vertical="center"/>
    </xf>
    <xf numFmtId="0" fontId="21" fillId="7" borderId="41" xfId="0" applyFont="1" applyFill="1" applyBorder="1" applyAlignment="1">
      <alignment horizontal="center" vertical="center"/>
    </xf>
    <xf numFmtId="0" fontId="21" fillId="0" borderId="63" xfId="0" applyFont="1" applyBorder="1" applyAlignment="1">
      <alignment horizontal="left" vertical="center"/>
    </xf>
    <xf numFmtId="0" fontId="21" fillId="0" borderId="31" xfId="0" applyFont="1" applyBorder="1" applyAlignment="1">
      <alignment horizontal="left" vertical="center"/>
    </xf>
    <xf numFmtId="0" fontId="21" fillId="0" borderId="106" xfId="0" applyFont="1" applyBorder="1" applyAlignment="1">
      <alignment horizontal="center" vertical="center"/>
    </xf>
    <xf numFmtId="0" fontId="0" fillId="0" borderId="172" xfId="0" applyBorder="1" applyAlignment="1">
      <alignment horizontal="center" vertical="center"/>
    </xf>
    <xf numFmtId="167" fontId="21" fillId="6" borderId="106" xfId="0" applyNumberFormat="1" applyFont="1" applyFill="1" applyBorder="1" applyAlignment="1">
      <alignment horizontal="center" vertical="center"/>
    </xf>
    <xf numFmtId="0" fontId="21" fillId="8" borderId="41" xfId="0" applyFont="1" applyFill="1" applyBorder="1" applyAlignment="1">
      <alignment horizontal="center" vertical="center"/>
    </xf>
    <xf numFmtId="1" fontId="21" fillId="8" borderId="106" xfId="0" applyNumberFormat="1" applyFont="1" applyFill="1" applyBorder="1" applyAlignment="1">
      <alignment horizontal="center" vertical="center"/>
    </xf>
    <xf numFmtId="1" fontId="21" fillId="8" borderId="23" xfId="0" applyNumberFormat="1" applyFont="1" applyFill="1" applyBorder="1" applyAlignment="1">
      <alignment horizontal="center" vertical="center"/>
    </xf>
    <xf numFmtId="1" fontId="21" fillId="7" borderId="106" xfId="0" applyNumberFormat="1" applyFont="1" applyFill="1" applyBorder="1" applyAlignment="1">
      <alignment horizontal="center" vertical="center"/>
    </xf>
    <xf numFmtId="1" fontId="21" fillId="7" borderId="23" xfId="0" applyNumberFormat="1" applyFont="1" applyFill="1" applyBorder="1" applyAlignment="1">
      <alignment horizontal="center" vertical="center"/>
    </xf>
    <xf numFmtId="1" fontId="20" fillId="8" borderId="106" xfId="0" applyNumberFormat="1" applyFont="1" applyFill="1" applyBorder="1" applyAlignment="1">
      <alignment horizontal="center" vertical="center"/>
    </xf>
    <xf numFmtId="1" fontId="20" fillId="7" borderId="106" xfId="0" applyNumberFormat="1" applyFont="1" applyFill="1" applyBorder="1" applyAlignment="1">
      <alignment horizontal="center" vertical="center"/>
    </xf>
    <xf numFmtId="1" fontId="21" fillId="6" borderId="106" xfId="0" applyNumberFormat="1" applyFont="1" applyFill="1" applyBorder="1" applyAlignment="1">
      <alignment horizontal="center" vertical="center"/>
    </xf>
    <xf numFmtId="1" fontId="21" fillId="6" borderId="23" xfId="0" applyNumberFormat="1" applyFont="1" applyFill="1" applyBorder="1" applyAlignment="1">
      <alignment horizontal="center" vertical="center"/>
    </xf>
    <xf numFmtId="1" fontId="20" fillId="5" borderId="106" xfId="0" applyNumberFormat="1" applyFont="1" applyFill="1" applyBorder="1" applyAlignment="1">
      <alignment horizontal="center" vertical="center"/>
    </xf>
    <xf numFmtId="1" fontId="20" fillId="6" borderId="106" xfId="0" applyNumberFormat="1" applyFont="1" applyFill="1" applyBorder="1" applyAlignment="1">
      <alignment horizontal="center" vertical="center"/>
    </xf>
    <xf numFmtId="1" fontId="21" fillId="5" borderId="106" xfId="0" applyNumberFormat="1" applyFont="1" applyFill="1" applyBorder="1" applyAlignment="1">
      <alignment horizontal="center"/>
    </xf>
    <xf numFmtId="1" fontId="21" fillId="6" borderId="106" xfId="0" applyNumberFormat="1" applyFont="1" applyFill="1" applyBorder="1" applyAlignment="1">
      <alignment horizontal="center"/>
    </xf>
    <xf numFmtId="1" fontId="21" fillId="5" borderId="23" xfId="0" applyNumberFormat="1" applyFont="1" applyFill="1" applyBorder="1" applyAlignment="1">
      <alignment horizontal="center"/>
    </xf>
    <xf numFmtId="1" fontId="21" fillId="6" borderId="23" xfId="0" applyNumberFormat="1" applyFont="1" applyFill="1" applyBorder="1" applyAlignment="1">
      <alignment horizontal="center"/>
    </xf>
    <xf numFmtId="1" fontId="21" fillId="0" borderId="106" xfId="0" applyNumberFormat="1" applyFont="1" applyBorder="1" applyAlignment="1">
      <alignment horizontal="center" vertical="center"/>
    </xf>
    <xf numFmtId="1" fontId="21" fillId="0" borderId="23" xfId="0" applyNumberFormat="1" applyFont="1" applyBorder="1" applyAlignment="1">
      <alignment horizontal="center" vertical="center"/>
    </xf>
    <xf numFmtId="167" fontId="21" fillId="8" borderId="106" xfId="0" applyNumberFormat="1" applyFont="1" applyFill="1" applyBorder="1" applyAlignment="1">
      <alignment horizontal="center" vertical="center"/>
    </xf>
    <xf numFmtId="167" fontId="21" fillId="7" borderId="106" xfId="0" applyNumberFormat="1" applyFont="1" applyFill="1" applyBorder="1" applyAlignment="1">
      <alignment horizontal="center" vertical="center"/>
    </xf>
    <xf numFmtId="1" fontId="21" fillId="7" borderId="106" xfId="0" applyNumberFormat="1" applyFont="1" applyFill="1" applyBorder="1" applyAlignment="1">
      <alignment horizontal="center"/>
    </xf>
    <xf numFmtId="1" fontId="21" fillId="5" borderId="106" xfId="0" applyNumberFormat="1" applyFont="1" applyFill="1" applyBorder="1" applyAlignment="1">
      <alignment horizontal="center" vertical="center"/>
    </xf>
    <xf numFmtId="1" fontId="21" fillId="5" borderId="23" xfId="0" applyNumberFormat="1" applyFont="1" applyFill="1" applyBorder="1" applyAlignment="1">
      <alignment horizontal="center" vertical="center"/>
    </xf>
    <xf numFmtId="1" fontId="20" fillId="0" borderId="46" xfId="0" applyNumberFormat="1" applyFont="1" applyBorder="1" applyAlignment="1">
      <alignment horizontal="center" vertical="center"/>
    </xf>
    <xf numFmtId="167" fontId="21" fillId="5" borderId="106" xfId="0" applyNumberFormat="1" applyFont="1" applyFill="1" applyBorder="1" applyAlignment="1">
      <alignment horizontal="center" vertical="center"/>
    </xf>
    <xf numFmtId="1" fontId="20" fillId="0" borderId="108" xfId="0" applyNumberFormat="1" applyFont="1" applyBorder="1" applyAlignment="1">
      <alignment horizontal="center" vertical="center"/>
    </xf>
    <xf numFmtId="1" fontId="20" fillId="0" borderId="106" xfId="0" applyNumberFormat="1" applyFont="1" applyBorder="1" applyAlignment="1">
      <alignment horizontal="center" vertical="center"/>
    </xf>
    <xf numFmtId="1" fontId="21" fillId="7" borderId="108" xfId="0" applyNumberFormat="1" applyFont="1" applyFill="1" applyBorder="1" applyAlignment="1">
      <alignment horizontal="center"/>
    </xf>
    <xf numFmtId="1" fontId="21" fillId="7" borderId="46" xfId="0" applyNumberFormat="1" applyFont="1" applyFill="1" applyBorder="1" applyAlignment="1">
      <alignment horizontal="center"/>
    </xf>
    <xf numFmtId="1" fontId="21" fillId="7" borderId="30" xfId="0" applyNumberFormat="1" applyFont="1" applyFill="1" applyBorder="1" applyAlignment="1">
      <alignment horizontal="center"/>
    </xf>
    <xf numFmtId="1" fontId="21" fillId="7" borderId="108" xfId="0" applyNumberFormat="1" applyFont="1" applyFill="1" applyBorder="1" applyAlignment="1">
      <alignment horizontal="center" vertical="center"/>
    </xf>
    <xf numFmtId="1" fontId="21" fillId="7" borderId="14" xfId="0" applyNumberFormat="1" applyFont="1" applyFill="1" applyBorder="1" applyAlignment="1">
      <alignment horizontal="center" vertical="center"/>
    </xf>
    <xf numFmtId="0" fontId="12" fillId="0" borderId="54" xfId="0" applyFont="1" applyBorder="1" applyAlignment="1">
      <alignment horizontal="left"/>
    </xf>
    <xf numFmtId="1" fontId="20" fillId="0" borderId="62" xfId="0" applyNumberFormat="1" applyFont="1" applyBorder="1" applyAlignment="1">
      <alignment horizontal="center" vertical="center"/>
    </xf>
    <xf numFmtId="1" fontId="20" fillId="0" borderId="74" xfId="0" applyNumberFormat="1" applyFont="1" applyBorder="1" applyAlignment="1">
      <alignment horizontal="center" vertical="center"/>
    </xf>
    <xf numFmtId="1" fontId="20" fillId="0" borderId="34" xfId="0" applyNumberFormat="1" applyFont="1" applyBorder="1" applyAlignment="1">
      <alignment horizontal="center" vertical="center"/>
    </xf>
    <xf numFmtId="0" fontId="12" fillId="0" borderId="10" xfId="0" applyFont="1" applyBorder="1" applyAlignment="1">
      <alignment horizontal="left" vertical="center"/>
    </xf>
    <xf numFmtId="0" fontId="21" fillId="0" borderId="9" xfId="0" applyFont="1" applyBorder="1" applyAlignment="1">
      <alignment horizontal="left" vertical="center"/>
    </xf>
    <xf numFmtId="0" fontId="21" fillId="0" borderId="83" xfId="0" applyFont="1" applyBorder="1" applyAlignment="1">
      <alignment horizontal="center" vertical="center"/>
    </xf>
    <xf numFmtId="0" fontId="21" fillId="0" borderId="15" xfId="0" applyFont="1" applyBorder="1" applyAlignment="1">
      <alignment horizontal="center" vertical="center"/>
    </xf>
    <xf numFmtId="0" fontId="21" fillId="0" borderId="66" xfId="0" applyFont="1" applyBorder="1" applyAlignment="1">
      <alignment horizontal="center" vertical="center"/>
    </xf>
    <xf numFmtId="0" fontId="21" fillId="0" borderId="31" xfId="0" applyFont="1" applyBorder="1" applyAlignment="1">
      <alignment horizontal="center" vertical="center"/>
    </xf>
    <xf numFmtId="1" fontId="21" fillId="8" borderId="31" xfId="0" applyNumberFormat="1" applyFont="1" applyFill="1" applyBorder="1" applyAlignment="1">
      <alignment horizontal="center" vertical="center"/>
    </xf>
    <xf numFmtId="1" fontId="21" fillId="8" borderId="32" xfId="0" applyNumberFormat="1" applyFont="1" applyFill="1" applyBorder="1" applyAlignment="1">
      <alignment horizontal="center" vertical="center"/>
    </xf>
    <xf numFmtId="1" fontId="21" fillId="0" borderId="31" xfId="0" applyNumberFormat="1" applyFont="1" applyBorder="1" applyAlignment="1">
      <alignment horizontal="center" vertical="center"/>
    </xf>
    <xf numFmtId="1" fontId="21" fillId="0" borderId="32" xfId="0" applyNumberFormat="1" applyFont="1" applyBorder="1" applyAlignment="1">
      <alignment horizontal="center" vertical="center"/>
    </xf>
    <xf numFmtId="0" fontId="45" fillId="0" borderId="0" xfId="0" applyFont="1" applyAlignment="1">
      <alignment horizontal="center"/>
    </xf>
    <xf numFmtId="0" fontId="18" fillId="0" borderId="83" xfId="0" applyFont="1" applyBorder="1" applyAlignment="1">
      <alignment horizontal="center" vertical="center"/>
    </xf>
    <xf numFmtId="0" fontId="18" fillId="0" borderId="64" xfId="0" applyFont="1" applyBorder="1" applyAlignment="1">
      <alignment horizontal="center" vertical="center"/>
    </xf>
    <xf numFmtId="0" fontId="18" fillId="0" borderId="15" xfId="0" applyFont="1" applyBorder="1" applyAlignment="1">
      <alignment horizontal="center" vertical="center"/>
    </xf>
    <xf numFmtId="0" fontId="21" fillId="0" borderId="68" xfId="0" applyFont="1" applyBorder="1" applyAlignment="1">
      <alignment horizontal="center" vertical="center"/>
    </xf>
    <xf numFmtId="0" fontId="21" fillId="0" borderId="79" xfId="0" applyFont="1" applyBorder="1" applyAlignment="1">
      <alignment horizontal="center" vertical="center"/>
    </xf>
    <xf numFmtId="0" fontId="21" fillId="0" borderId="14" xfId="0" applyFont="1" applyBorder="1" applyAlignment="1">
      <alignment horizontal="center" vertical="center"/>
    </xf>
    <xf numFmtId="0" fontId="21" fillId="44" borderId="1" xfId="0" applyFont="1" applyFill="1" applyBorder="1" applyAlignment="1">
      <alignment horizontal="center" vertical="center"/>
    </xf>
    <xf numFmtId="0" fontId="21" fillId="44" borderId="11" xfId="0" applyFont="1" applyFill="1" applyBorder="1" applyAlignment="1">
      <alignment horizontal="center" vertical="center"/>
    </xf>
    <xf numFmtId="0" fontId="21" fillId="0" borderId="84" xfId="0" applyFont="1" applyBorder="1" applyAlignment="1">
      <alignment horizontal="center" vertical="center"/>
    </xf>
    <xf numFmtId="0" fontId="21" fillId="0" borderId="38" xfId="0" applyFont="1" applyBorder="1" applyAlignment="1">
      <alignment horizontal="center" vertical="center"/>
    </xf>
    <xf numFmtId="0" fontId="21" fillId="0" borderId="83" xfId="0" applyFont="1" applyBorder="1" applyAlignment="1">
      <alignment horizontal="center" vertical="center" wrapText="1"/>
    </xf>
    <xf numFmtId="0" fontId="21" fillId="0" borderId="64" xfId="0" applyFont="1" applyBorder="1" applyAlignment="1">
      <alignment horizontal="center" vertical="center" wrapText="1"/>
    </xf>
    <xf numFmtId="0" fontId="21" fillId="0" borderId="18" xfId="0" applyFont="1" applyBorder="1" applyAlignment="1">
      <alignment horizontal="left" vertical="center"/>
    </xf>
    <xf numFmtId="0" fontId="21" fillId="0" borderId="150" xfId="0" applyFont="1" applyBorder="1" applyAlignment="1">
      <alignment horizontal="left" vertical="center"/>
    </xf>
    <xf numFmtId="0" fontId="21" fillId="0" borderId="43" xfId="0" applyFont="1" applyBorder="1" applyAlignment="1">
      <alignment horizontal="center" vertical="center"/>
    </xf>
    <xf numFmtId="0" fontId="21" fillId="0" borderId="40" xfId="0" applyFont="1" applyBorder="1" applyAlignment="1">
      <alignment horizontal="center" vertical="center"/>
    </xf>
    <xf numFmtId="0" fontId="21" fillId="7" borderId="67" xfId="0" applyFont="1" applyFill="1" applyBorder="1" applyAlignment="1">
      <alignment horizontal="center" vertical="center"/>
    </xf>
    <xf numFmtId="0" fontId="18" fillId="0" borderId="63" xfId="0" applyFont="1" applyBorder="1" applyAlignment="1">
      <alignment horizontal="center" vertical="center"/>
    </xf>
    <xf numFmtId="0" fontId="18" fillId="0" borderId="42" xfId="0" applyFont="1" applyBorder="1" applyAlignment="1">
      <alignment horizontal="center" vertical="center"/>
    </xf>
    <xf numFmtId="0" fontId="18" fillId="5" borderId="41" xfId="0" applyFont="1" applyFill="1" applyBorder="1" applyAlignment="1">
      <alignment horizontal="center" vertical="center"/>
    </xf>
    <xf numFmtId="0" fontId="18" fillId="6" borderId="41" xfId="0" applyFont="1" applyFill="1" applyBorder="1" applyAlignment="1">
      <alignment horizontal="center" vertical="center"/>
    </xf>
    <xf numFmtId="0" fontId="18" fillId="7" borderId="63" xfId="0" applyFont="1" applyFill="1" applyBorder="1" applyAlignment="1">
      <alignment horizontal="center" vertical="center"/>
    </xf>
    <xf numFmtId="0" fontId="18" fillId="7" borderId="42" xfId="0" applyFont="1" applyFill="1" applyBorder="1" applyAlignment="1">
      <alignment horizontal="center" vertical="center"/>
    </xf>
    <xf numFmtId="0" fontId="18" fillId="0" borderId="3" xfId="0" applyFont="1" applyBorder="1" applyAlignment="1">
      <alignment horizontal="center" vertical="center"/>
    </xf>
    <xf numFmtId="0" fontId="18" fillId="0" borderId="41" xfId="0" applyFont="1" applyBorder="1" applyAlignment="1">
      <alignment horizontal="center" vertical="center"/>
    </xf>
    <xf numFmtId="0" fontId="5" fillId="8" borderId="0" xfId="186" applyFont="1" applyFill="1" applyAlignment="1">
      <alignment horizontal="center" vertical="center"/>
    </xf>
    <xf numFmtId="0" fontId="18" fillId="7" borderId="25" xfId="186" applyFont="1" applyFill="1" applyBorder="1" applyAlignment="1">
      <alignment horizontal="center" vertical="center"/>
    </xf>
    <xf numFmtId="0" fontId="18" fillId="7" borderId="55" xfId="186" applyFont="1" applyFill="1" applyBorder="1" applyAlignment="1">
      <alignment horizontal="center" vertical="center"/>
    </xf>
    <xf numFmtId="0" fontId="18" fillId="7" borderId="21" xfId="186" applyFont="1" applyFill="1" applyBorder="1" applyAlignment="1">
      <alignment horizontal="center" vertical="center"/>
    </xf>
    <xf numFmtId="0" fontId="18" fillId="32" borderId="4" xfId="186" applyFont="1" applyFill="1" applyBorder="1" applyAlignment="1">
      <alignment horizontal="center" vertical="center"/>
    </xf>
    <xf numFmtId="0" fontId="18" fillId="32" borderId="5" xfId="186" applyFont="1" applyFill="1" applyBorder="1" applyAlignment="1">
      <alignment horizontal="center" vertical="center"/>
    </xf>
    <xf numFmtId="0" fontId="18" fillId="32" borderId="67" xfId="186" applyFont="1" applyFill="1" applyBorder="1" applyAlignment="1">
      <alignment horizontal="center" vertical="center"/>
    </xf>
    <xf numFmtId="0" fontId="18" fillId="0" borderId="25" xfId="0" applyFont="1" applyBorder="1" applyAlignment="1">
      <alignment horizontal="center" vertical="center"/>
    </xf>
    <xf numFmtId="0" fontId="18" fillId="0" borderId="21" xfId="0" applyFont="1" applyBorder="1" applyAlignment="1">
      <alignment horizontal="center" vertical="center"/>
    </xf>
    <xf numFmtId="0" fontId="18" fillId="8" borderId="3" xfId="0" applyFont="1" applyFill="1" applyBorder="1" applyAlignment="1">
      <alignment horizontal="center" vertical="center"/>
    </xf>
    <xf numFmtId="0" fontId="18" fillId="8" borderId="42" xfId="0" applyFont="1" applyFill="1" applyBorder="1" applyAlignment="1">
      <alignment horizontal="center" vertical="center"/>
    </xf>
    <xf numFmtId="0" fontId="18" fillId="5" borderId="63" xfId="0" applyFont="1" applyFill="1" applyBorder="1" applyAlignment="1">
      <alignment horizontal="center" vertical="center"/>
    </xf>
    <xf numFmtId="0" fontId="18" fillId="5" borderId="42" xfId="0" applyFont="1" applyFill="1" applyBorder="1" applyAlignment="1">
      <alignment horizontal="center" vertical="center"/>
    </xf>
    <xf numFmtId="0" fontId="168" fillId="8" borderId="0" xfId="186" applyFont="1" applyFill="1" applyAlignment="1">
      <alignment horizontal="center" vertical="center"/>
    </xf>
    <xf numFmtId="0" fontId="18" fillId="0" borderId="44" xfId="0" applyFont="1" applyBorder="1" applyAlignment="1">
      <alignment horizontal="center" vertical="center"/>
    </xf>
    <xf numFmtId="0" fontId="18" fillId="0" borderId="61" xfId="0" applyFont="1" applyBorder="1" applyAlignment="1">
      <alignment horizontal="center" vertical="center"/>
    </xf>
    <xf numFmtId="17" fontId="78" fillId="0" borderId="2" xfId="186" applyNumberFormat="1" applyFont="1" applyBorder="1" applyAlignment="1">
      <alignment horizontal="center" vertical="center"/>
    </xf>
    <xf numFmtId="17" fontId="78" fillId="0" borderId="35" xfId="186" applyNumberFormat="1" applyFont="1" applyBorder="1" applyAlignment="1">
      <alignment horizontal="center" vertical="center"/>
    </xf>
    <xf numFmtId="0" fontId="18" fillId="8" borderId="63" xfId="0" applyFont="1" applyFill="1" applyBorder="1" applyAlignment="1">
      <alignment horizontal="center" vertical="center"/>
    </xf>
    <xf numFmtId="0" fontId="84" fillId="0" borderId="25" xfId="0" applyFont="1" applyBorder="1" applyAlignment="1">
      <alignment horizontal="center"/>
    </xf>
    <xf numFmtId="0" fontId="84" fillId="0" borderId="55" xfId="0" applyFont="1" applyBorder="1" applyAlignment="1">
      <alignment horizontal="center"/>
    </xf>
    <xf numFmtId="0" fontId="84" fillId="0" borderId="21" xfId="0" applyFont="1" applyBorder="1" applyAlignment="1">
      <alignment horizontal="center"/>
    </xf>
    <xf numFmtId="0" fontId="22" fillId="0" borderId="66" xfId="0" applyFont="1" applyBorder="1" applyAlignment="1">
      <alignment horizontal="center" vertical="center"/>
    </xf>
    <xf numFmtId="0" fontId="22" fillId="0" borderId="3" xfId="0" applyFont="1" applyBorder="1" applyAlignment="1">
      <alignment horizontal="center" vertical="center"/>
    </xf>
    <xf numFmtId="17" fontId="182" fillId="0" borderId="10" xfId="0" applyNumberFormat="1" applyFont="1" applyBorder="1" applyAlignment="1">
      <alignment horizontal="center" vertical="center"/>
    </xf>
    <xf numFmtId="0" fontId="182" fillId="0" borderId="10" xfId="0" applyFont="1" applyBorder="1" applyAlignment="1">
      <alignment horizontal="center" vertical="center"/>
    </xf>
    <xf numFmtId="0" fontId="182" fillId="7" borderId="10" xfId="0" applyFont="1" applyFill="1" applyBorder="1" applyAlignment="1">
      <alignment horizontal="center" vertical="center"/>
    </xf>
    <xf numFmtId="0" fontId="182" fillId="0" borderId="123" xfId="0" applyFont="1" applyBorder="1" applyAlignment="1">
      <alignment horizontal="center" vertical="center"/>
    </xf>
    <xf numFmtId="0" fontId="182" fillId="0" borderId="124" xfId="0" applyFont="1" applyBorder="1" applyAlignment="1">
      <alignment horizontal="center" vertical="center"/>
    </xf>
    <xf numFmtId="0" fontId="16" fillId="56" borderId="37" xfId="0" applyFont="1" applyFill="1" applyBorder="1" applyAlignment="1">
      <alignment horizontal="left"/>
    </xf>
    <xf numFmtId="0" fontId="16" fillId="56" borderId="29" xfId="0" applyFont="1" applyFill="1" applyBorder="1" applyAlignment="1">
      <alignment horizontal="left"/>
    </xf>
    <xf numFmtId="0" fontId="182" fillId="5" borderId="37" xfId="0" applyFont="1" applyFill="1" applyBorder="1" applyAlignment="1">
      <alignment horizontal="center" vertical="center"/>
    </xf>
    <xf numFmtId="0" fontId="182" fillId="5" borderId="29" xfId="0" applyFont="1" applyFill="1" applyBorder="1" applyAlignment="1">
      <alignment horizontal="center" vertical="center"/>
    </xf>
    <xf numFmtId="0" fontId="183" fillId="0" borderId="10" xfId="0" applyFont="1" applyBorder="1" applyAlignment="1">
      <alignment horizontal="center"/>
    </xf>
    <xf numFmtId="0" fontId="182" fillId="43" borderId="10" xfId="0" applyFont="1" applyFill="1" applyBorder="1" applyAlignment="1">
      <alignment horizontal="center"/>
    </xf>
    <xf numFmtId="0" fontId="182" fillId="4" borderId="10" xfId="0" applyFont="1" applyFill="1" applyBorder="1" applyAlignment="1">
      <alignment horizontal="center"/>
    </xf>
    <xf numFmtId="0" fontId="182" fillId="0" borderId="37" xfId="0" applyFont="1" applyBorder="1" applyAlignment="1">
      <alignment horizontal="center" vertical="center"/>
    </xf>
    <xf numFmtId="0" fontId="182" fillId="0" borderId="29" xfId="0" applyFont="1" applyBorder="1" applyAlignment="1">
      <alignment horizontal="center" vertical="center"/>
    </xf>
    <xf numFmtId="0" fontId="183" fillId="0" borderId="46" xfId="0" applyFont="1" applyBorder="1" applyAlignment="1">
      <alignment horizontal="center" vertical="center"/>
    </xf>
    <xf numFmtId="0" fontId="183" fillId="0" borderId="30" xfId="0" applyFont="1" applyBorder="1" applyAlignment="1">
      <alignment horizontal="center" vertical="center"/>
    </xf>
    <xf numFmtId="0" fontId="84" fillId="8" borderId="0" xfId="0" applyFont="1" applyFill="1" applyAlignment="1">
      <alignment horizontal="center"/>
    </xf>
    <xf numFmtId="0" fontId="183" fillId="0" borderId="43" xfId="0" applyFont="1" applyBorder="1" applyAlignment="1">
      <alignment horizontal="center" vertical="center"/>
    </xf>
    <xf numFmtId="0" fontId="183" fillId="0" borderId="40" xfId="0" applyFont="1" applyBorder="1" applyAlignment="1">
      <alignment horizontal="center" vertical="center"/>
    </xf>
    <xf numFmtId="0" fontId="183" fillId="0" borderId="16" xfId="0" applyFont="1" applyBorder="1" applyAlignment="1">
      <alignment horizontal="center" vertical="center"/>
    </xf>
    <xf numFmtId="0" fontId="183" fillId="0" borderId="18" xfId="0" applyFont="1" applyBorder="1" applyAlignment="1">
      <alignment horizontal="center" vertical="center"/>
    </xf>
    <xf numFmtId="0" fontId="183" fillId="0" borderId="12" xfId="0" applyFont="1" applyBorder="1" applyAlignment="1">
      <alignment horizontal="center" vertical="center"/>
    </xf>
    <xf numFmtId="0" fontId="183" fillId="0" borderId="148" xfId="0" applyFont="1" applyBorder="1" applyAlignment="1">
      <alignment horizontal="center" vertical="center"/>
    </xf>
    <xf numFmtId="0" fontId="183" fillId="0" borderId="20" xfId="0" applyFont="1" applyBorder="1" applyAlignment="1">
      <alignment horizontal="center" vertical="center"/>
    </xf>
    <xf numFmtId="0" fontId="182" fillId="7" borderId="37" xfId="0" applyFont="1" applyFill="1" applyBorder="1" applyAlignment="1">
      <alignment horizontal="center" vertical="center"/>
    </xf>
    <xf numFmtId="0" fontId="182" fillId="7" borderId="29" xfId="0" applyFont="1" applyFill="1" applyBorder="1" applyAlignment="1">
      <alignment horizontal="center" vertical="center"/>
    </xf>
    <xf numFmtId="0" fontId="21" fillId="0" borderId="61" xfId="0" applyFont="1" applyBorder="1" applyAlignment="1">
      <alignment horizontal="center" vertical="center"/>
    </xf>
    <xf numFmtId="0" fontId="21" fillId="7" borderId="44" xfId="0" applyFont="1" applyFill="1" applyBorder="1" applyAlignment="1">
      <alignment horizontal="center" vertical="center"/>
    </xf>
    <xf numFmtId="0" fontId="21" fillId="7" borderId="61" xfId="0" applyFont="1" applyFill="1" applyBorder="1" applyAlignment="1">
      <alignment horizontal="center" vertical="center"/>
    </xf>
    <xf numFmtId="0" fontId="26" fillId="0" borderId="48" xfId="0" applyFont="1" applyBorder="1" applyAlignment="1">
      <alignment horizontal="center" vertical="center"/>
    </xf>
    <xf numFmtId="0" fontId="26" fillId="0" borderId="8" xfId="0" applyFont="1" applyBorder="1" applyAlignment="1">
      <alignment horizontal="center" vertical="center"/>
    </xf>
    <xf numFmtId="0" fontId="21" fillId="7" borderId="52" xfId="0" applyFont="1" applyFill="1" applyBorder="1" applyAlignment="1">
      <alignment horizontal="center" vertical="center"/>
    </xf>
    <xf numFmtId="0" fontId="21" fillId="7" borderId="50" xfId="0" applyFont="1" applyFill="1" applyBorder="1" applyAlignment="1">
      <alignment horizontal="center" vertical="center"/>
    </xf>
    <xf numFmtId="0" fontId="21" fillId="5" borderId="44" xfId="0" applyFont="1" applyFill="1" applyBorder="1" applyAlignment="1">
      <alignment horizontal="center" vertical="center"/>
    </xf>
    <xf numFmtId="0" fontId="21" fillId="5" borderId="61" xfId="0" applyFont="1" applyFill="1" applyBorder="1" applyAlignment="1">
      <alignment horizontal="center" vertical="center"/>
    </xf>
    <xf numFmtId="0" fontId="21" fillId="6" borderId="44" xfId="0" applyFont="1" applyFill="1" applyBorder="1" applyAlignment="1">
      <alignment horizontal="center" vertical="center"/>
    </xf>
    <xf numFmtId="0" fontId="21" fillId="6" borderId="61" xfId="0" applyFont="1" applyFill="1" applyBorder="1" applyAlignment="1">
      <alignment horizontal="center" vertical="center"/>
    </xf>
    <xf numFmtId="0" fontId="21" fillId="5" borderId="52" xfId="0" applyFont="1" applyFill="1" applyBorder="1" applyAlignment="1">
      <alignment horizontal="center" vertical="center"/>
    </xf>
    <xf numFmtId="0" fontId="21" fillId="5" borderId="50" xfId="0" applyFont="1" applyFill="1" applyBorder="1" applyAlignment="1">
      <alignment horizontal="center" vertical="center"/>
    </xf>
    <xf numFmtId="0" fontId="21" fillId="6" borderId="52" xfId="0" applyFont="1" applyFill="1" applyBorder="1" applyAlignment="1">
      <alignment horizontal="center" vertical="center"/>
    </xf>
    <xf numFmtId="0" fontId="21" fillId="6" borderId="50" xfId="0" applyFont="1" applyFill="1" applyBorder="1" applyAlignment="1">
      <alignment horizontal="center" vertical="center"/>
    </xf>
    <xf numFmtId="0" fontId="26" fillId="0" borderId="82" xfId="0" applyFont="1" applyBorder="1" applyAlignment="1">
      <alignment horizontal="center" vertical="center"/>
    </xf>
    <xf numFmtId="0" fontId="26" fillId="0" borderId="73" xfId="0" applyFont="1" applyBorder="1" applyAlignment="1">
      <alignment horizontal="center" vertical="center"/>
    </xf>
    <xf numFmtId="0" fontId="26" fillId="8" borderId="82" xfId="0" applyFont="1" applyFill="1" applyBorder="1" applyAlignment="1">
      <alignment horizontal="center" vertical="center"/>
    </xf>
    <xf numFmtId="0" fontId="26" fillId="8" borderId="15" xfId="0" applyFont="1" applyFill="1" applyBorder="1" applyAlignment="1">
      <alignment horizontal="center" vertical="center"/>
    </xf>
    <xf numFmtId="0" fontId="21" fillId="0" borderId="44" xfId="0" applyFont="1" applyBorder="1" applyAlignment="1">
      <alignment horizontal="center" vertical="center"/>
    </xf>
    <xf numFmtId="0" fontId="21" fillId="0" borderId="24" xfId="0" applyFont="1" applyBorder="1" applyAlignment="1">
      <alignment horizontal="center" vertical="center"/>
    </xf>
    <xf numFmtId="0" fontId="20" fillId="7" borderId="62" xfId="0" applyFont="1" applyFill="1" applyBorder="1" applyAlignment="1">
      <alignment horizontal="center" vertical="center"/>
    </xf>
    <xf numFmtId="0" fontId="20" fillId="7" borderId="74" xfId="0" applyFont="1" applyFill="1" applyBorder="1" applyAlignment="1">
      <alignment horizontal="center" vertical="center"/>
    </xf>
    <xf numFmtId="0" fontId="21" fillId="50" borderId="4" xfId="0" applyFont="1" applyFill="1" applyBorder="1" applyAlignment="1">
      <alignment horizontal="center" vertical="center"/>
    </xf>
    <xf numFmtId="0" fontId="21" fillId="50" borderId="67" xfId="0" applyFont="1" applyFill="1" applyBorder="1" applyAlignment="1">
      <alignment horizontal="center" vertical="center"/>
    </xf>
    <xf numFmtId="1" fontId="20" fillId="8" borderId="76" xfId="0" quotePrefix="1" applyNumberFormat="1" applyFont="1" applyFill="1" applyBorder="1" applyAlignment="1">
      <alignment horizontal="center" vertical="center"/>
    </xf>
    <xf numFmtId="1" fontId="20" fillId="8" borderId="74" xfId="0" quotePrefix="1" applyNumberFormat="1" applyFont="1" applyFill="1" applyBorder="1" applyAlignment="1">
      <alignment horizontal="center" vertical="center"/>
    </xf>
    <xf numFmtId="1" fontId="20" fillId="8" borderId="9" xfId="0" quotePrefix="1" applyNumberFormat="1" applyFont="1" applyFill="1" applyBorder="1" applyAlignment="1">
      <alignment horizontal="center" vertical="center"/>
    </xf>
    <xf numFmtId="1" fontId="20" fillId="7" borderId="70" xfId="0" quotePrefix="1" applyNumberFormat="1" applyFont="1" applyFill="1" applyBorder="1" applyAlignment="1">
      <alignment horizontal="center" vertical="center"/>
    </xf>
    <xf numFmtId="1" fontId="20" fillId="7" borderId="35" xfId="0" quotePrefix="1" applyNumberFormat="1" applyFont="1" applyFill="1" applyBorder="1" applyAlignment="1">
      <alignment horizontal="center" vertical="center"/>
    </xf>
    <xf numFmtId="1" fontId="20" fillId="5" borderId="70" xfId="0" quotePrefix="1" applyNumberFormat="1" applyFont="1" applyFill="1" applyBorder="1" applyAlignment="1">
      <alignment horizontal="center" vertical="center"/>
    </xf>
    <xf numFmtId="1" fontId="20" fillId="5" borderId="35" xfId="0" quotePrefix="1" applyNumberFormat="1" applyFont="1" applyFill="1" applyBorder="1" applyAlignment="1">
      <alignment horizontal="center" vertical="center"/>
    </xf>
    <xf numFmtId="0" fontId="20" fillId="5" borderId="62" xfId="0" applyFont="1" applyFill="1" applyBorder="1" applyAlignment="1">
      <alignment horizontal="center" vertical="center"/>
    </xf>
    <xf numFmtId="0" fontId="20" fillId="5" borderId="74" xfId="0" applyFont="1" applyFill="1" applyBorder="1" applyAlignment="1">
      <alignment horizontal="center" vertical="center"/>
    </xf>
    <xf numFmtId="1" fontId="20" fillId="6" borderId="70" xfId="0" quotePrefix="1" applyNumberFormat="1" applyFont="1" applyFill="1" applyBorder="1" applyAlignment="1">
      <alignment horizontal="center" vertical="center"/>
    </xf>
    <xf numFmtId="1" fontId="20" fillId="6" borderId="35" xfId="0" quotePrefix="1" applyNumberFormat="1" applyFont="1" applyFill="1" applyBorder="1" applyAlignment="1">
      <alignment horizontal="center" vertical="center"/>
    </xf>
    <xf numFmtId="0" fontId="20" fillId="7" borderId="76" xfId="0" applyFont="1" applyFill="1" applyBorder="1" applyAlignment="1">
      <alignment horizontal="center" vertical="center"/>
    </xf>
    <xf numFmtId="0" fontId="20" fillId="7" borderId="9" xfId="0" applyFont="1" applyFill="1" applyBorder="1" applyAlignment="1">
      <alignment horizontal="center" vertical="center"/>
    </xf>
    <xf numFmtId="1" fontId="20" fillId="8" borderId="84" xfId="0" quotePrefix="1" applyNumberFormat="1" applyFont="1" applyFill="1" applyBorder="1" applyAlignment="1">
      <alignment horizontal="center" vertical="center"/>
    </xf>
    <xf numFmtId="1" fontId="20" fillId="8" borderId="38" xfId="0" quotePrefix="1" applyNumberFormat="1" applyFont="1" applyFill="1" applyBorder="1" applyAlignment="1">
      <alignment horizontal="center" vertical="center"/>
    </xf>
    <xf numFmtId="1" fontId="20" fillId="8" borderId="69" xfId="0" quotePrefix="1" applyNumberFormat="1" applyFont="1" applyFill="1" applyBorder="1" applyAlignment="1">
      <alignment horizontal="center" vertical="center"/>
    </xf>
    <xf numFmtId="0" fontId="18" fillId="0" borderId="63" xfId="0" applyFont="1" applyBorder="1" applyAlignment="1">
      <alignment horizontal="right" vertical="center"/>
    </xf>
    <xf numFmtId="0" fontId="18" fillId="0" borderId="62" xfId="0" applyFont="1" applyBorder="1" applyAlignment="1">
      <alignment horizontal="right" vertical="center"/>
    </xf>
    <xf numFmtId="0" fontId="21" fillId="0" borderId="129" xfId="0" applyFont="1" applyBorder="1" applyAlignment="1">
      <alignment horizontal="right" vertical="center"/>
    </xf>
    <xf numFmtId="0" fontId="21" fillId="0" borderId="62" xfId="0" applyFont="1" applyBorder="1" applyAlignment="1">
      <alignment horizontal="right" vertical="center"/>
    </xf>
    <xf numFmtId="0" fontId="21" fillId="5" borderId="67" xfId="0" applyFont="1" applyFill="1" applyBorder="1" applyAlignment="1">
      <alignment horizontal="center" vertical="center"/>
    </xf>
    <xf numFmtId="0" fontId="18" fillId="0" borderId="76" xfId="0" applyFont="1" applyBorder="1" applyAlignment="1">
      <alignment horizontal="right" vertical="center"/>
    </xf>
    <xf numFmtId="0" fontId="18" fillId="0" borderId="9" xfId="0" applyFont="1" applyBorder="1" applyAlignment="1">
      <alignment horizontal="right" vertical="center"/>
    </xf>
    <xf numFmtId="0" fontId="21" fillId="0" borderId="63" xfId="0" applyFont="1" applyBorder="1" applyAlignment="1">
      <alignment horizontal="right" vertical="center"/>
    </xf>
    <xf numFmtId="0" fontId="21" fillId="0" borderId="34" xfId="0" applyFont="1" applyBorder="1" applyAlignment="1">
      <alignment horizontal="right" vertical="center"/>
    </xf>
    <xf numFmtId="0" fontId="4" fillId="0" borderId="63" xfId="0" applyFont="1" applyBorder="1" applyAlignment="1">
      <alignment horizontal="right" vertical="center"/>
    </xf>
    <xf numFmtId="0" fontId="4" fillId="0" borderId="132" xfId="0" applyFont="1" applyBorder="1" applyAlignment="1">
      <alignment horizontal="right" vertical="center"/>
    </xf>
    <xf numFmtId="0" fontId="20" fillId="6" borderId="62" xfId="0" applyFont="1" applyFill="1" applyBorder="1" applyAlignment="1">
      <alignment horizontal="center" vertical="center"/>
    </xf>
    <xf numFmtId="0" fontId="20" fillId="6" borderId="74" xfId="0" applyFont="1" applyFill="1" applyBorder="1" applyAlignment="1">
      <alignment horizontal="center" vertical="center"/>
    </xf>
    <xf numFmtId="1" fontId="20" fillId="7" borderId="2" xfId="0" quotePrefix="1" applyNumberFormat="1" applyFont="1" applyFill="1" applyBorder="1" applyAlignment="1">
      <alignment horizontal="center" vertical="center"/>
    </xf>
    <xf numFmtId="0" fontId="18" fillId="7" borderId="41" xfId="0" applyFont="1" applyFill="1" applyBorder="1" applyAlignment="1">
      <alignment horizontal="center" vertical="center"/>
    </xf>
    <xf numFmtId="1" fontId="112" fillId="8" borderId="173" xfId="0" applyNumberFormat="1" applyFont="1" applyFill="1" applyBorder="1" applyAlignment="1">
      <alignment horizontal="center" vertical="center"/>
    </xf>
    <xf numFmtId="1" fontId="19" fillId="7" borderId="173" xfId="0" applyNumberFormat="1" applyFont="1" applyFill="1" applyBorder="1" applyAlignment="1">
      <alignment horizontal="center" vertical="center"/>
    </xf>
    <xf numFmtId="0" fontId="18" fillId="50" borderId="41" xfId="0" applyFont="1" applyFill="1" applyBorder="1" applyAlignment="1">
      <alignment horizontal="center" vertical="center"/>
    </xf>
    <xf numFmtId="1" fontId="112" fillId="5" borderId="173" xfId="0" applyNumberFormat="1" applyFont="1" applyFill="1" applyBorder="1" applyAlignment="1">
      <alignment horizontal="center" vertical="center"/>
    </xf>
    <xf numFmtId="1" fontId="19" fillId="6" borderId="173" xfId="0" applyNumberFormat="1" applyFont="1" applyFill="1" applyBorder="1" applyAlignment="1">
      <alignment horizontal="center" vertical="center"/>
    </xf>
    <xf numFmtId="0" fontId="18" fillId="0" borderId="63" xfId="0" applyFont="1" applyBorder="1" applyAlignment="1">
      <alignment horizontal="left" vertical="center"/>
    </xf>
    <xf numFmtId="0" fontId="18" fillId="0" borderId="32" xfId="0" applyFont="1" applyBorder="1" applyAlignment="1">
      <alignment horizontal="left" vertical="center"/>
    </xf>
    <xf numFmtId="0" fontId="18" fillId="0" borderId="66" xfId="0" applyFont="1" applyBorder="1" applyAlignment="1">
      <alignment horizontal="center" vertical="center"/>
    </xf>
    <xf numFmtId="0" fontId="18" fillId="0" borderId="68" xfId="0" applyFont="1" applyBorder="1" applyAlignment="1">
      <alignment horizontal="center" vertical="center"/>
    </xf>
    <xf numFmtId="0" fontId="18" fillId="0" borderId="121" xfId="0" applyFont="1" applyBorder="1" applyAlignment="1">
      <alignment horizontal="center" vertical="center"/>
    </xf>
    <xf numFmtId="0" fontId="18" fillId="0" borderId="106" xfId="0" applyFont="1" applyBorder="1" applyAlignment="1">
      <alignment horizontal="center" vertical="center"/>
    </xf>
    <xf numFmtId="0" fontId="18" fillId="50" borderId="106" xfId="0" applyFont="1" applyFill="1" applyBorder="1" applyAlignment="1">
      <alignment horizontal="center" vertical="center"/>
    </xf>
    <xf numFmtId="0" fontId="18" fillId="5" borderId="106" xfId="0" applyFont="1" applyFill="1" applyBorder="1" applyAlignment="1">
      <alignment horizontal="center" vertical="center"/>
    </xf>
    <xf numFmtId="0" fontId="112" fillId="5" borderId="173" xfId="0" applyFont="1" applyFill="1" applyBorder="1" applyAlignment="1">
      <alignment horizontal="center" vertical="center"/>
    </xf>
    <xf numFmtId="0" fontId="18" fillId="7" borderId="106" xfId="0" applyFont="1" applyFill="1" applyBorder="1" applyAlignment="1">
      <alignment horizontal="center" vertical="center"/>
    </xf>
    <xf numFmtId="0" fontId="18" fillId="6" borderId="106" xfId="0" applyFont="1" applyFill="1" applyBorder="1" applyAlignment="1">
      <alignment horizontal="center" vertical="center"/>
    </xf>
    <xf numFmtId="0" fontId="21" fillId="0" borderId="108" xfId="0" applyFont="1" applyBorder="1" applyAlignment="1">
      <alignment horizontal="left" vertical="center"/>
    </xf>
    <xf numFmtId="0" fontId="21" fillId="0" borderId="108" xfId="0" applyFont="1" applyBorder="1" applyAlignment="1">
      <alignment horizontal="center" vertical="center"/>
    </xf>
    <xf numFmtId="167" fontId="19" fillId="8" borderId="62" xfId="0" applyNumberFormat="1" applyFont="1" applyFill="1" applyBorder="1" applyAlignment="1">
      <alignment horizontal="center" vertical="center"/>
    </xf>
    <xf numFmtId="167" fontId="19" fillId="8" borderId="74" xfId="0" applyNumberFormat="1" applyFont="1" applyFill="1" applyBorder="1" applyAlignment="1">
      <alignment horizontal="center" vertical="center"/>
    </xf>
    <xf numFmtId="167" fontId="19" fillId="8" borderId="9" xfId="0" applyNumberFormat="1" applyFont="1" applyFill="1" applyBorder="1" applyAlignment="1">
      <alignment horizontal="center" vertical="center"/>
    </xf>
    <xf numFmtId="1" fontId="19" fillId="7" borderId="31" xfId="0" applyNumberFormat="1" applyFont="1" applyFill="1" applyBorder="1" applyAlignment="1">
      <alignment horizontal="center" vertical="center"/>
    </xf>
    <xf numFmtId="1" fontId="19" fillId="7" borderId="138" xfId="0" applyNumberFormat="1" applyFont="1" applyFill="1" applyBorder="1" applyAlignment="1">
      <alignment horizontal="center" vertical="center"/>
    </xf>
    <xf numFmtId="1" fontId="112" fillId="7" borderId="31" xfId="0" applyNumberFormat="1" applyFont="1" applyFill="1" applyBorder="1" applyAlignment="1">
      <alignment horizontal="center" vertical="center"/>
    </xf>
    <xf numFmtId="1" fontId="112" fillId="7" borderId="32" xfId="0" applyNumberFormat="1" applyFont="1" applyFill="1" applyBorder="1" applyAlignment="1">
      <alignment horizontal="center" vertical="center"/>
    </xf>
    <xf numFmtId="167" fontId="19" fillId="5" borderId="31" xfId="0" applyNumberFormat="1" applyFont="1" applyFill="1" applyBorder="1" applyAlignment="1">
      <alignment horizontal="center" vertical="center"/>
    </xf>
    <xf numFmtId="167" fontId="19" fillId="5" borderId="138" xfId="0" applyNumberFormat="1" applyFont="1" applyFill="1" applyBorder="1" applyAlignment="1">
      <alignment horizontal="center" vertical="center"/>
    </xf>
    <xf numFmtId="1" fontId="112" fillId="5" borderId="31" xfId="0" applyNumberFormat="1" applyFont="1" applyFill="1" applyBorder="1" applyAlignment="1">
      <alignment horizontal="center" vertical="center"/>
    </xf>
    <xf numFmtId="1" fontId="112" fillId="5" borderId="32" xfId="0" applyNumberFormat="1" applyFont="1" applyFill="1" applyBorder="1" applyAlignment="1">
      <alignment horizontal="center" vertical="center"/>
    </xf>
    <xf numFmtId="0" fontId="18" fillId="6" borderId="63" xfId="0" applyFont="1" applyFill="1" applyBorder="1" applyAlignment="1">
      <alignment horizontal="center" vertical="center"/>
    </xf>
    <xf numFmtId="0" fontId="18" fillId="6" borderId="42" xfId="0" applyFont="1" applyFill="1" applyBorder="1" applyAlignment="1">
      <alignment horizontal="center" vertical="center"/>
    </xf>
    <xf numFmtId="167" fontId="19" fillId="6" borderId="31" xfId="0" applyNumberFormat="1" applyFont="1" applyFill="1" applyBorder="1" applyAlignment="1">
      <alignment horizontal="center" vertical="center"/>
    </xf>
    <xf numFmtId="167" fontId="19" fillId="6" borderId="138" xfId="0" applyNumberFormat="1" applyFont="1" applyFill="1" applyBorder="1" applyAlignment="1">
      <alignment horizontal="center" vertical="center"/>
    </xf>
    <xf numFmtId="1" fontId="112" fillId="6" borderId="31" xfId="0" applyNumberFormat="1" applyFont="1" applyFill="1" applyBorder="1" applyAlignment="1">
      <alignment horizontal="center" vertical="center"/>
    </xf>
    <xf numFmtId="1" fontId="112" fillId="6" borderId="32" xfId="0" applyNumberFormat="1" applyFont="1" applyFill="1" applyBorder="1" applyAlignment="1">
      <alignment horizontal="center" vertical="center"/>
    </xf>
    <xf numFmtId="167" fontId="19" fillId="8" borderId="31" xfId="0" applyNumberFormat="1" applyFont="1" applyFill="1" applyBorder="1" applyAlignment="1">
      <alignment horizontal="center" vertical="center"/>
    </xf>
    <xf numFmtId="167" fontId="19" fillId="8" borderId="138" xfId="0" applyNumberFormat="1" applyFont="1" applyFill="1" applyBorder="1" applyAlignment="1">
      <alignment horizontal="center" vertical="center"/>
    </xf>
    <xf numFmtId="167" fontId="19" fillId="8" borderId="32" xfId="0" applyNumberFormat="1" applyFont="1" applyFill="1" applyBorder="1" applyAlignment="1">
      <alignment horizontal="center" vertical="center"/>
    </xf>
    <xf numFmtId="167" fontId="19" fillId="7" borderId="31" xfId="0" applyNumberFormat="1" applyFont="1" applyFill="1" applyBorder="1" applyAlignment="1">
      <alignment horizontal="center" vertical="center"/>
    </xf>
    <xf numFmtId="167" fontId="19" fillId="7" borderId="138" xfId="0" applyNumberFormat="1" applyFont="1" applyFill="1" applyBorder="1" applyAlignment="1">
      <alignment horizontal="center" vertical="center"/>
    </xf>
    <xf numFmtId="1" fontId="19" fillId="8" borderId="31" xfId="0" applyNumberFormat="1" applyFont="1" applyFill="1" applyBorder="1" applyAlignment="1">
      <alignment horizontal="center" vertical="center"/>
    </xf>
    <xf numFmtId="1" fontId="19" fillId="8" borderId="32" xfId="0" applyNumberFormat="1" applyFont="1" applyFill="1" applyBorder="1" applyAlignment="1">
      <alignment horizontal="center" vertical="center"/>
    </xf>
    <xf numFmtId="1" fontId="19" fillId="8" borderId="138" xfId="0" applyNumberFormat="1" applyFont="1" applyFill="1" applyBorder="1" applyAlignment="1">
      <alignment horizontal="center" vertical="center"/>
    </xf>
    <xf numFmtId="0" fontId="19" fillId="8" borderId="31" xfId="0" applyFont="1" applyFill="1" applyBorder="1" applyAlignment="1">
      <alignment horizontal="left" vertical="center" indent="1"/>
    </xf>
    <xf numFmtId="167" fontId="19" fillId="7" borderId="32" xfId="0" applyNumberFormat="1" applyFont="1" applyFill="1" applyBorder="1" applyAlignment="1">
      <alignment horizontal="center" vertical="center"/>
    </xf>
    <xf numFmtId="0" fontId="118" fillId="0" borderId="0" xfId="0" applyFont="1" applyAlignment="1">
      <alignment horizontal="left" vertical="center"/>
    </xf>
    <xf numFmtId="0" fontId="18" fillId="8" borderId="63" xfId="0" applyFont="1" applyFill="1" applyBorder="1" applyAlignment="1">
      <alignment horizontal="left" vertical="center"/>
    </xf>
    <xf numFmtId="0" fontId="18" fillId="8" borderId="32" xfId="0" applyFont="1" applyFill="1" applyBorder="1" applyAlignment="1">
      <alignment horizontal="left" vertical="center"/>
    </xf>
    <xf numFmtId="0" fontId="18" fillId="8" borderId="33" xfId="0" applyFont="1" applyFill="1" applyBorder="1" applyAlignment="1">
      <alignment horizontal="center" vertical="center"/>
    </xf>
    <xf numFmtId="0" fontId="19" fillId="8" borderId="17" xfId="0" applyFont="1" applyFill="1" applyBorder="1" applyAlignment="1">
      <alignment horizontal="center" vertical="center"/>
    </xf>
    <xf numFmtId="0" fontId="19" fillId="8" borderId="33" xfId="0" applyFont="1" applyFill="1" applyBorder="1" applyAlignment="1">
      <alignment horizontal="center" vertical="center"/>
    </xf>
    <xf numFmtId="0" fontId="18" fillId="7" borderId="3" xfId="0" applyFont="1" applyFill="1" applyBorder="1" applyAlignment="1">
      <alignment horizontal="center" vertical="center"/>
    </xf>
    <xf numFmtId="0" fontId="18" fillId="7" borderId="66" xfId="0" applyFont="1" applyFill="1" applyBorder="1" applyAlignment="1">
      <alignment horizontal="center" vertical="center"/>
    </xf>
    <xf numFmtId="2" fontId="7" fillId="8" borderId="17" xfId="0" applyNumberFormat="1" applyFont="1" applyFill="1" applyBorder="1" applyAlignment="1">
      <alignment horizontal="center" vertical="center"/>
    </xf>
    <xf numFmtId="2" fontId="7" fillId="7" borderId="10" xfId="0" applyNumberFormat="1" applyFont="1" applyFill="1" applyBorder="1" applyAlignment="1">
      <alignment horizontal="center" vertical="center"/>
    </xf>
    <xf numFmtId="0" fontId="4" fillId="5" borderId="29" xfId="0" applyFont="1" applyFill="1" applyBorder="1" applyAlignment="1">
      <alignment horizontal="center" vertical="center"/>
    </xf>
    <xf numFmtId="2" fontId="7" fillId="6" borderId="10" xfId="0" applyNumberFormat="1" applyFont="1" applyFill="1" applyBorder="1" applyAlignment="1">
      <alignment horizontal="center" vertical="center"/>
    </xf>
    <xf numFmtId="2" fontId="7" fillId="5" borderId="45" xfId="0" applyNumberFormat="1" applyFont="1" applyFill="1" applyBorder="1" applyAlignment="1">
      <alignment horizontal="center" vertical="center"/>
    </xf>
    <xf numFmtId="2" fontId="7" fillId="5" borderId="30" xfId="0" applyNumberFormat="1" applyFont="1" applyFill="1" applyBorder="1" applyAlignment="1">
      <alignment horizontal="center" vertical="center"/>
    </xf>
    <xf numFmtId="0" fontId="4" fillId="0" borderId="31" xfId="0" applyFont="1" applyBorder="1" applyAlignment="1">
      <alignment horizontal="right" vertical="center"/>
    </xf>
    <xf numFmtId="0" fontId="4" fillId="0" borderId="63" xfId="0" applyFont="1" applyBorder="1" applyAlignment="1">
      <alignment horizontal="center" vertical="center"/>
    </xf>
    <xf numFmtId="0" fontId="4" fillId="0" borderId="42" xfId="0" applyFont="1" applyBorder="1" applyAlignment="1">
      <alignment horizontal="center" vertical="center"/>
    </xf>
    <xf numFmtId="0" fontId="4" fillId="7" borderId="3" xfId="0" applyFont="1" applyFill="1" applyBorder="1" applyAlignment="1">
      <alignment horizontal="center" vertical="center"/>
    </xf>
    <xf numFmtId="0" fontId="4" fillId="7" borderId="42" xfId="0" applyFont="1" applyFill="1" applyBorder="1" applyAlignment="1">
      <alignment horizontal="center" vertical="center"/>
    </xf>
    <xf numFmtId="0" fontId="4" fillId="0" borderId="63" xfId="0" applyFont="1" applyBorder="1" applyAlignment="1">
      <alignment horizontal="left" vertical="center"/>
    </xf>
    <xf numFmtId="0" fontId="4" fillId="0" borderId="31" xfId="0" applyFont="1" applyBorder="1" applyAlignment="1">
      <alignment horizontal="left" vertical="center"/>
    </xf>
    <xf numFmtId="0" fontId="4" fillId="0" borderId="66" xfId="0" applyFont="1" applyBorder="1" applyAlignment="1">
      <alignment horizontal="center" vertical="center"/>
    </xf>
    <xf numFmtId="2" fontId="7" fillId="7" borderId="17" xfId="0" applyNumberFormat="1" applyFont="1" applyFill="1" applyBorder="1" applyAlignment="1">
      <alignment horizontal="center" vertical="center"/>
    </xf>
    <xf numFmtId="0" fontId="17" fillId="0" borderId="2" xfId="0" applyFont="1" applyBorder="1" applyAlignment="1">
      <alignment horizontal="center"/>
    </xf>
    <xf numFmtId="0" fontId="17" fillId="0" borderId="56" xfId="0" applyFont="1" applyBorder="1" applyAlignment="1">
      <alignment horizontal="center"/>
    </xf>
    <xf numFmtId="0" fontId="17" fillId="7" borderId="2" xfId="0" applyFont="1" applyFill="1" applyBorder="1" applyAlignment="1">
      <alignment horizontal="center"/>
    </xf>
    <xf numFmtId="0" fontId="17" fillId="7" borderId="56" xfId="0" applyFont="1" applyFill="1" applyBorder="1" applyAlignment="1">
      <alignment horizontal="center"/>
    </xf>
    <xf numFmtId="0" fontId="17" fillId="34" borderId="2" xfId="0" applyFont="1" applyFill="1" applyBorder="1" applyAlignment="1">
      <alignment horizontal="center"/>
    </xf>
    <xf numFmtId="0" fontId="17" fillId="34" borderId="56" xfId="0" applyFont="1" applyFill="1" applyBorder="1" applyAlignment="1">
      <alignment horizontal="center"/>
    </xf>
    <xf numFmtId="0" fontId="84" fillId="0" borderId="0" xfId="0" applyFont="1" applyAlignment="1">
      <alignment horizontal="center"/>
    </xf>
    <xf numFmtId="0" fontId="17" fillId="0" borderId="39" xfId="0" applyFont="1" applyBorder="1" applyAlignment="1">
      <alignment horizontal="center"/>
    </xf>
    <xf numFmtId="0" fontId="17" fillId="5" borderId="2" xfId="0" applyFont="1" applyFill="1" applyBorder="1" applyAlignment="1">
      <alignment horizontal="center"/>
    </xf>
    <xf numFmtId="0" fontId="17" fillId="5" borderId="56" xfId="0" applyFont="1" applyFill="1" applyBorder="1" applyAlignment="1">
      <alignment horizontal="center"/>
    </xf>
    <xf numFmtId="0" fontId="17" fillId="44" borderId="2" xfId="0" applyFont="1" applyFill="1" applyBorder="1" applyAlignment="1">
      <alignment horizontal="center"/>
    </xf>
    <xf numFmtId="0" fontId="17" fillId="44" borderId="56" xfId="0" applyFont="1" applyFill="1" applyBorder="1" applyAlignment="1">
      <alignment horizontal="center"/>
    </xf>
    <xf numFmtId="0" fontId="23" fillId="8" borderId="25" xfId="0" applyFont="1" applyFill="1" applyBorder="1" applyAlignment="1">
      <alignment horizontal="center" vertical="center"/>
    </xf>
    <xf numFmtId="0" fontId="23" fillId="8" borderId="55" xfId="0" applyFont="1" applyFill="1" applyBorder="1" applyAlignment="1">
      <alignment horizontal="center" vertical="center"/>
    </xf>
    <xf numFmtId="0" fontId="26" fillId="0" borderId="43" xfId="0" applyFont="1" applyBorder="1" applyAlignment="1">
      <alignment horizontal="center" vertical="center" wrapText="1"/>
    </xf>
    <xf numFmtId="0" fontId="26" fillId="0" borderId="40" xfId="0" applyFont="1" applyBorder="1" applyAlignment="1">
      <alignment horizontal="center" vertical="center" wrapText="1"/>
    </xf>
    <xf numFmtId="0" fontId="26" fillId="0" borderId="16" xfId="0" applyFont="1" applyBorder="1" applyAlignment="1">
      <alignment horizontal="center" vertical="center" wrapText="1"/>
    </xf>
    <xf numFmtId="0" fontId="17" fillId="6" borderId="2" xfId="0" applyFont="1" applyFill="1" applyBorder="1" applyAlignment="1">
      <alignment horizontal="center"/>
    </xf>
    <xf numFmtId="0" fontId="17" fillId="6" borderId="56" xfId="0" applyFont="1" applyFill="1" applyBorder="1" applyAlignment="1">
      <alignment horizontal="center"/>
    </xf>
    <xf numFmtId="0" fontId="26" fillId="0" borderId="43" xfId="0" applyFont="1" applyBorder="1" applyAlignment="1">
      <alignment horizontal="center" vertical="center"/>
    </xf>
    <xf numFmtId="0" fontId="26" fillId="0" borderId="40" xfId="0" applyFont="1" applyBorder="1" applyAlignment="1">
      <alignment horizontal="center" vertical="center"/>
    </xf>
    <xf numFmtId="0" fontId="26" fillId="0" borderId="16" xfId="0" applyFont="1" applyBorder="1" applyAlignment="1">
      <alignment horizontal="center" vertical="center"/>
    </xf>
    <xf numFmtId="0" fontId="80" fillId="8" borderId="66" xfId="0" applyFont="1" applyFill="1" applyBorder="1" applyAlignment="1">
      <alignment horizontal="center" vertical="center"/>
    </xf>
    <xf numFmtId="0" fontId="80" fillId="8" borderId="3" xfId="0" applyFont="1" applyFill="1" applyBorder="1" applyAlignment="1">
      <alignment horizontal="center" vertical="center"/>
    </xf>
    <xf numFmtId="0" fontId="80" fillId="7" borderId="66" xfId="0" applyFont="1" applyFill="1" applyBorder="1" applyAlignment="1">
      <alignment horizontal="center" vertical="center"/>
    </xf>
    <xf numFmtId="0" fontId="80" fillId="7" borderId="3" xfId="0" applyFont="1" applyFill="1" applyBorder="1" applyAlignment="1">
      <alignment horizontal="center" vertical="center"/>
    </xf>
    <xf numFmtId="0" fontId="80" fillId="5" borderId="66" xfId="0" applyFont="1" applyFill="1" applyBorder="1" applyAlignment="1">
      <alignment horizontal="center" vertical="center"/>
    </xf>
    <xf numFmtId="0" fontId="80" fillId="5" borderId="3" xfId="0" applyFont="1" applyFill="1" applyBorder="1" applyAlignment="1">
      <alignment horizontal="center" vertical="center"/>
    </xf>
    <xf numFmtId="0" fontId="54" fillId="8" borderId="45" xfId="0" applyFont="1" applyFill="1" applyBorder="1" applyAlignment="1">
      <alignment horizontal="center" vertical="center"/>
    </xf>
    <xf numFmtId="0" fontId="54" fillId="8" borderId="46" xfId="0" applyFont="1" applyFill="1" applyBorder="1" applyAlignment="1">
      <alignment horizontal="center" vertical="center"/>
    </xf>
    <xf numFmtId="0" fontId="54" fillId="8" borderId="14" xfId="0" applyFont="1" applyFill="1" applyBorder="1" applyAlignment="1">
      <alignment horizontal="center" vertical="center"/>
    </xf>
    <xf numFmtId="0" fontId="106" fillId="0" borderId="0" xfId="0" applyFont="1" applyAlignment="1">
      <alignment horizontal="center"/>
    </xf>
    <xf numFmtId="0" fontId="80" fillId="6" borderId="66" xfId="0" applyFont="1" applyFill="1" applyBorder="1" applyAlignment="1">
      <alignment horizontal="center" vertical="center"/>
    </xf>
    <xf numFmtId="0" fontId="80" fillId="6" borderId="3" xfId="0" applyFont="1" applyFill="1" applyBorder="1" applyAlignment="1">
      <alignment horizontal="center" vertical="center"/>
    </xf>
    <xf numFmtId="0" fontId="199" fillId="45" borderId="0" xfId="536" applyFont="1" applyFill="1" applyAlignment="1">
      <alignment horizontal="center"/>
    </xf>
    <xf numFmtId="0" fontId="200" fillId="45" borderId="0" xfId="536" applyFont="1" applyFill="1"/>
    <xf numFmtId="0" fontId="80" fillId="0" borderId="173" xfId="0" applyFont="1" applyBorder="1" applyAlignment="1">
      <alignment horizontal="center" vertical="center" wrapText="1"/>
    </xf>
    <xf numFmtId="0" fontId="80" fillId="0" borderId="173" xfId="0" applyFont="1" applyBorder="1" applyAlignment="1">
      <alignment horizontal="center" vertical="center"/>
    </xf>
    <xf numFmtId="0" fontId="169" fillId="0" borderId="173" xfId="0" applyFont="1" applyBorder="1" applyAlignment="1">
      <alignment horizontal="center" vertical="center"/>
    </xf>
    <xf numFmtId="0" fontId="23" fillId="7" borderId="25" xfId="0" applyFont="1" applyFill="1" applyBorder="1" applyAlignment="1">
      <alignment horizontal="center" vertical="center"/>
    </xf>
    <xf numFmtId="0" fontId="23" fillId="7" borderId="21" xfId="0" applyFont="1" applyFill="1" applyBorder="1" applyAlignment="1">
      <alignment horizontal="center" vertical="center"/>
    </xf>
    <xf numFmtId="0" fontId="23" fillId="7" borderId="1" xfId="0" applyFont="1" applyFill="1" applyBorder="1" applyAlignment="1">
      <alignment horizontal="center" vertical="center"/>
    </xf>
    <xf numFmtId="0" fontId="23" fillId="7" borderId="11" xfId="0" applyFont="1" applyFill="1" applyBorder="1" applyAlignment="1">
      <alignment horizontal="center" vertical="center"/>
    </xf>
    <xf numFmtId="0" fontId="23" fillId="0" borderId="55" xfId="0" applyFont="1" applyBorder="1" applyAlignment="1">
      <alignment horizontal="center" vertical="center"/>
    </xf>
    <xf numFmtId="0" fontId="23" fillId="0" borderId="25" xfId="0" applyFont="1" applyBorder="1" applyAlignment="1">
      <alignment horizontal="center" vertical="center"/>
    </xf>
    <xf numFmtId="0" fontId="23" fillId="0" borderId="21" xfId="0" applyFont="1" applyBorder="1" applyAlignment="1">
      <alignment horizontal="center" vertical="center"/>
    </xf>
    <xf numFmtId="0" fontId="23" fillId="5" borderId="4" xfId="0" applyFont="1" applyFill="1" applyBorder="1" applyAlignment="1">
      <alignment horizontal="center" vertical="center"/>
    </xf>
    <xf numFmtId="0" fontId="23" fillId="5" borderId="11" xfId="0" applyFont="1" applyFill="1" applyBorder="1" applyAlignment="1">
      <alignment horizontal="center" vertical="center"/>
    </xf>
    <xf numFmtId="0" fontId="23" fillId="0" borderId="76" xfId="0" applyFont="1" applyBorder="1" applyAlignment="1">
      <alignment horizontal="left" vertical="center"/>
    </xf>
    <xf numFmtId="0" fontId="23" fillId="0" borderId="9" xfId="0" applyFont="1" applyBorder="1" applyAlignment="1">
      <alignment horizontal="left" vertical="center"/>
    </xf>
    <xf numFmtId="0" fontId="23" fillId="0" borderId="56" xfId="0" applyFont="1" applyBorder="1" applyAlignment="1">
      <alignment horizontal="center" vertical="center"/>
    </xf>
    <xf numFmtId="0" fontId="23" fillId="0" borderId="28" xfId="0" applyFont="1" applyBorder="1" applyAlignment="1">
      <alignment horizontal="center" vertical="center"/>
    </xf>
    <xf numFmtId="0" fontId="23" fillId="0" borderId="4" xfId="0" applyFont="1" applyBorder="1" applyAlignment="1">
      <alignment horizontal="center" vertical="center"/>
    </xf>
    <xf numFmtId="0" fontId="23" fillId="5" borderId="1" xfId="0" applyFont="1" applyFill="1" applyBorder="1" applyAlignment="1">
      <alignment horizontal="center" vertical="center"/>
    </xf>
    <xf numFmtId="0" fontId="23" fillId="6" borderId="1" xfId="0" applyFont="1" applyFill="1" applyBorder="1" applyAlignment="1">
      <alignment horizontal="center" vertical="center"/>
    </xf>
    <xf numFmtId="0" fontId="23" fillId="6" borderId="11" xfId="0" applyFont="1" applyFill="1" applyBorder="1" applyAlignment="1">
      <alignment horizontal="center" vertical="center"/>
    </xf>
    <xf numFmtId="0" fontId="135" fillId="9" borderId="133" xfId="376" applyFont="1" applyFill="1" applyBorder="1" applyAlignment="1">
      <alignment horizontal="left" vertical="center" wrapText="1"/>
    </xf>
    <xf numFmtId="0" fontId="135" fillId="9" borderId="46" xfId="376" applyFont="1" applyFill="1" applyBorder="1" applyAlignment="1">
      <alignment horizontal="left" vertical="center" wrapText="1"/>
    </xf>
    <xf numFmtId="0" fontId="135" fillId="9" borderId="30" xfId="376" applyFont="1" applyFill="1" applyBorder="1" applyAlignment="1">
      <alignment horizontal="left" vertical="center" wrapText="1"/>
    </xf>
    <xf numFmtId="0" fontId="134" fillId="0" borderId="172" xfId="376" applyFont="1" applyBorder="1" applyAlignment="1">
      <alignment horizontal="center"/>
    </xf>
    <xf numFmtId="0" fontId="134" fillId="0" borderId="123" xfId="376" applyFont="1" applyBorder="1" applyAlignment="1">
      <alignment horizontal="center"/>
    </xf>
    <xf numFmtId="0" fontId="134" fillId="0" borderId="6" xfId="376" applyFont="1" applyBorder="1" applyAlignment="1">
      <alignment horizontal="center"/>
    </xf>
    <xf numFmtId="0" fontId="134" fillId="0" borderId="126" xfId="376" applyFont="1" applyBorder="1" applyAlignment="1">
      <alignment horizontal="center"/>
    </xf>
    <xf numFmtId="2" fontId="136" fillId="7" borderId="172" xfId="376" applyNumberFormat="1" applyFont="1" applyFill="1" applyBorder="1" applyAlignment="1">
      <alignment horizontal="center" vertical="center"/>
    </xf>
    <xf numFmtId="17" fontId="23" fillId="0" borderId="37" xfId="0" applyNumberFormat="1" applyFont="1" applyBorder="1" applyAlignment="1">
      <alignment horizontal="center"/>
    </xf>
    <xf numFmtId="17" fontId="23" fillId="0" borderId="29" xfId="0" applyNumberFormat="1" applyFont="1" applyBorder="1" applyAlignment="1">
      <alignment horizontal="center"/>
    </xf>
    <xf numFmtId="0" fontId="23" fillId="7" borderId="37" xfId="0" applyFont="1" applyFill="1" applyBorder="1" applyAlignment="1">
      <alignment horizontal="center"/>
    </xf>
    <xf numFmtId="0" fontId="23" fillId="7" borderId="29" xfId="0" applyFont="1" applyFill="1" applyBorder="1" applyAlignment="1">
      <alignment horizontal="center"/>
    </xf>
    <xf numFmtId="0" fontId="23" fillId="5" borderId="37" xfId="0" applyFont="1" applyFill="1" applyBorder="1" applyAlignment="1">
      <alignment horizontal="center"/>
    </xf>
    <xf numFmtId="0" fontId="23" fillId="5" borderId="29" xfId="0" applyFont="1" applyFill="1" applyBorder="1" applyAlignment="1">
      <alignment horizontal="center"/>
    </xf>
    <xf numFmtId="0" fontId="23" fillId="5" borderId="6" xfId="0" applyFont="1" applyFill="1" applyBorder="1" applyAlignment="1">
      <alignment horizontal="center"/>
    </xf>
    <xf numFmtId="0" fontId="23" fillId="6" borderId="10" xfId="0" applyFont="1" applyFill="1" applyBorder="1" applyAlignment="1">
      <alignment horizontal="center" vertical="center"/>
    </xf>
    <xf numFmtId="0" fontId="23" fillId="0" borderId="29" xfId="0" applyFont="1" applyBorder="1" applyAlignment="1">
      <alignment horizontal="center"/>
    </xf>
    <xf numFmtId="0" fontId="23" fillId="0" borderId="37" xfId="0" applyFont="1" applyBorder="1" applyAlignment="1">
      <alignment horizontal="center"/>
    </xf>
    <xf numFmtId="0" fontId="36" fillId="0" borderId="10" xfId="0" applyFont="1" applyBorder="1" applyAlignment="1">
      <alignment horizontal="center"/>
    </xf>
    <xf numFmtId="0" fontId="50" fillId="0" borderId="37" xfId="0" applyFont="1" applyBorder="1" applyAlignment="1">
      <alignment horizontal="left"/>
    </xf>
    <xf numFmtId="0" fontId="50" fillId="0" borderId="29" xfId="0" applyFont="1" applyBorder="1" applyAlignment="1">
      <alignment horizontal="left"/>
    </xf>
    <xf numFmtId="0" fontId="23" fillId="43" borderId="10" xfId="0" applyFont="1" applyFill="1" applyBorder="1" applyAlignment="1">
      <alignment horizontal="center"/>
    </xf>
    <xf numFmtId="0" fontId="23" fillId="0" borderId="10" xfId="0" applyFont="1" applyBorder="1" applyAlignment="1">
      <alignment horizontal="center"/>
    </xf>
    <xf numFmtId="0" fontId="156" fillId="0" borderId="106" xfId="0" applyFont="1" applyBorder="1" applyAlignment="1">
      <alignment horizontal="center" vertical="center"/>
    </xf>
    <xf numFmtId="0" fontId="155" fillId="0" borderId="106" xfId="0" applyFont="1" applyBorder="1" applyAlignment="1">
      <alignment horizontal="center"/>
    </xf>
    <xf numFmtId="0" fontId="155" fillId="4" borderId="106" xfId="0" applyFont="1" applyFill="1" applyBorder="1" applyAlignment="1">
      <alignment horizontal="center"/>
    </xf>
    <xf numFmtId="0" fontId="156" fillId="0" borderId="106" xfId="0" applyFont="1" applyBorder="1" applyAlignment="1">
      <alignment horizontal="center"/>
    </xf>
    <xf numFmtId="0" fontId="169" fillId="49" borderId="7" xfId="0" applyFont="1" applyFill="1" applyBorder="1" applyAlignment="1">
      <alignment horizontal="center"/>
    </xf>
    <xf numFmtId="0" fontId="169" fillId="49" borderId="8" xfId="0" applyFont="1" applyFill="1" applyBorder="1" applyAlignment="1">
      <alignment horizontal="center"/>
    </xf>
    <xf numFmtId="0" fontId="155" fillId="0" borderId="107" xfId="0" applyFont="1" applyBorder="1" applyAlignment="1">
      <alignment horizontal="left" vertical="center"/>
    </xf>
    <xf numFmtId="0" fontId="155" fillId="0" borderId="29" xfId="0" applyFont="1" applyBorder="1" applyAlignment="1">
      <alignment horizontal="left" vertical="center"/>
    </xf>
    <xf numFmtId="0" fontId="155" fillId="4" borderId="107" xfId="0" applyFont="1" applyFill="1" applyBorder="1" applyAlignment="1">
      <alignment horizontal="left" vertical="center"/>
    </xf>
    <xf numFmtId="0" fontId="155" fillId="4" borderId="29" xfId="0" applyFont="1" applyFill="1" applyBorder="1" applyAlignment="1">
      <alignment horizontal="left" vertical="center"/>
    </xf>
    <xf numFmtId="0" fontId="156" fillId="0" borderId="107" xfId="0" applyFont="1" applyBorder="1" applyAlignment="1">
      <alignment horizontal="left"/>
    </xf>
    <xf numFmtId="0" fontId="156" fillId="0" borderId="29" xfId="0" applyFont="1" applyBorder="1" applyAlignment="1">
      <alignment horizontal="left"/>
    </xf>
    <xf numFmtId="0" fontId="156" fillId="49" borderId="107" xfId="0" applyFont="1" applyFill="1" applyBorder="1" applyAlignment="1">
      <alignment horizontal="center"/>
    </xf>
    <xf numFmtId="0" fontId="156" fillId="49" borderId="29" xfId="0" applyFont="1" applyFill="1" applyBorder="1" applyAlignment="1">
      <alignment horizontal="center"/>
    </xf>
    <xf numFmtId="0" fontId="140" fillId="49" borderId="7" xfId="0" applyFont="1" applyFill="1" applyBorder="1" applyAlignment="1">
      <alignment horizontal="center" vertical="center"/>
    </xf>
    <xf numFmtId="0" fontId="140" fillId="49" borderId="8" xfId="0" applyFont="1" applyFill="1" applyBorder="1" applyAlignment="1">
      <alignment horizontal="center" vertical="center"/>
    </xf>
    <xf numFmtId="0" fontId="193" fillId="0" borderId="133" xfId="0" applyFont="1" applyBorder="1" applyAlignment="1">
      <alignment horizontal="left" vertical="center" wrapText="1"/>
    </xf>
    <xf numFmtId="0" fontId="193" fillId="0" borderId="46" xfId="0" applyFont="1" applyBorder="1" applyAlignment="1">
      <alignment horizontal="left" vertical="center" wrapText="1"/>
    </xf>
    <xf numFmtId="0" fontId="193" fillId="0" borderId="30" xfId="0" applyFont="1" applyBorder="1" applyAlignment="1">
      <alignment horizontal="left" vertical="center" wrapText="1"/>
    </xf>
    <xf numFmtId="0" fontId="193" fillId="0" borderId="133" xfId="0" applyFont="1" applyBorder="1" applyAlignment="1">
      <alignment horizontal="center" vertical="center" wrapText="1"/>
    </xf>
    <xf numFmtId="0" fontId="193" fillId="0" borderId="46" xfId="0" applyFont="1" applyBorder="1" applyAlignment="1">
      <alignment horizontal="center" vertical="center" wrapText="1"/>
    </xf>
    <xf numFmtId="0" fontId="193" fillId="0" borderId="30" xfId="0" applyFont="1" applyBorder="1" applyAlignment="1">
      <alignment horizontal="center" vertical="center" wrapText="1"/>
    </xf>
    <xf numFmtId="0" fontId="156" fillId="0" borderId="0" xfId="0" applyFont="1" applyAlignment="1">
      <alignment horizontal="center"/>
    </xf>
    <xf numFmtId="0" fontId="178" fillId="85" borderId="173" xfId="0" applyFont="1" applyFill="1" applyBorder="1" applyAlignment="1">
      <alignment horizontal="center" vertical="center" wrapText="1" readingOrder="1"/>
    </xf>
    <xf numFmtId="0" fontId="178" fillId="86" borderId="173" xfId="0" applyFont="1" applyFill="1" applyBorder="1" applyAlignment="1">
      <alignment horizontal="center"/>
    </xf>
    <xf numFmtId="0" fontId="178" fillId="87" borderId="173" xfId="0" applyFont="1" applyFill="1" applyBorder="1" applyAlignment="1">
      <alignment horizontal="center"/>
    </xf>
    <xf numFmtId="0" fontId="181" fillId="0" borderId="173" xfId="0" applyFont="1" applyBorder="1" applyAlignment="1">
      <alignment horizontal="left" vertical="center" wrapText="1" readingOrder="1"/>
    </xf>
    <xf numFmtId="0" fontId="181" fillId="0" borderId="173" xfId="0" applyFont="1" applyBorder="1" applyAlignment="1">
      <alignment wrapText="1"/>
    </xf>
    <xf numFmtId="0" fontId="181" fillId="0" borderId="133" xfId="0" applyFont="1" applyBorder="1" applyAlignment="1">
      <alignment horizontal="center" vertical="center" wrapText="1" readingOrder="1"/>
    </xf>
    <xf numFmtId="0" fontId="181" fillId="0" borderId="46" xfId="0" applyFont="1" applyBorder="1" applyAlignment="1">
      <alignment horizontal="center" vertical="center" wrapText="1" readingOrder="1"/>
    </xf>
    <xf numFmtId="0" fontId="179" fillId="0" borderId="133" xfId="0" applyFont="1" applyBorder="1" applyAlignment="1">
      <alignment horizontal="left" vertical="center" wrapText="1" readingOrder="1"/>
    </xf>
    <xf numFmtId="0" fontId="179" fillId="0" borderId="46" xfId="0" applyFont="1" applyBorder="1" applyAlignment="1">
      <alignment horizontal="left" vertical="center" wrapText="1" readingOrder="1"/>
    </xf>
    <xf numFmtId="0" fontId="179" fillId="0" borderId="30" xfId="0" applyFont="1" applyBorder="1" applyAlignment="1">
      <alignment horizontal="left" vertical="center" wrapText="1" readingOrder="1"/>
    </xf>
    <xf numFmtId="0" fontId="179" fillId="0" borderId="173" xfId="0" applyFont="1" applyBorder="1" applyAlignment="1">
      <alignment horizontal="center" vertical="center" wrapText="1" readingOrder="1"/>
    </xf>
    <xf numFmtId="0" fontId="181" fillId="0" borderId="133" xfId="0" applyFont="1" applyBorder="1" applyAlignment="1">
      <alignment horizontal="left" vertical="center" wrapText="1" readingOrder="1"/>
    </xf>
    <xf numFmtId="0" fontId="181" fillId="0" borderId="30" xfId="0" applyFont="1" applyBorder="1" applyAlignment="1">
      <alignment horizontal="left" vertical="center" wrapText="1" readingOrder="1"/>
    </xf>
    <xf numFmtId="0" fontId="193" fillId="0" borderId="173" xfId="0" applyFont="1" applyBorder="1" applyAlignment="1">
      <alignment horizontal="center" vertical="center" wrapText="1"/>
    </xf>
    <xf numFmtId="17" fontId="167" fillId="0" borderId="130" xfId="0" applyNumberFormat="1" applyFont="1" applyBorder="1" applyAlignment="1">
      <alignment horizontal="center" vertical="center" wrapText="1"/>
    </xf>
    <xf numFmtId="17" fontId="167" fillId="0" borderId="63" xfId="0" applyNumberFormat="1" applyFont="1" applyBorder="1" applyAlignment="1">
      <alignment horizontal="center" vertical="center" wrapText="1"/>
    </xf>
    <xf numFmtId="17" fontId="167" fillId="0" borderId="129" xfId="0" applyNumberFormat="1" applyFont="1" applyBorder="1" applyAlignment="1">
      <alignment horizontal="center" vertical="center" wrapText="1"/>
    </xf>
    <xf numFmtId="17" fontId="167" fillId="0" borderId="132" xfId="0" applyNumberFormat="1" applyFont="1" applyBorder="1" applyAlignment="1">
      <alignment horizontal="center" vertical="center" wrapText="1"/>
    </xf>
    <xf numFmtId="17" fontId="167" fillId="0" borderId="43" xfId="0" applyNumberFormat="1" applyFont="1" applyBorder="1" applyAlignment="1">
      <alignment horizontal="center" vertical="center" wrapText="1"/>
    </xf>
    <xf numFmtId="17" fontId="167" fillId="0" borderId="40" xfId="0" applyNumberFormat="1" applyFont="1" applyBorder="1" applyAlignment="1">
      <alignment horizontal="center" vertical="center" wrapText="1"/>
    </xf>
    <xf numFmtId="17" fontId="167" fillId="0" borderId="174" xfId="0" applyNumberFormat="1" applyFont="1" applyBorder="1" applyAlignment="1">
      <alignment horizontal="center" vertical="center" wrapText="1"/>
    </xf>
    <xf numFmtId="17" fontId="167" fillId="0" borderId="30" xfId="0" applyNumberFormat="1" applyFont="1" applyBorder="1" applyAlignment="1">
      <alignment horizontal="center" vertical="center" wrapText="1"/>
    </xf>
    <xf numFmtId="0" fontId="159" fillId="0" borderId="0" xfId="0" applyFont="1" applyAlignment="1">
      <alignment horizontal="center" wrapText="1"/>
    </xf>
    <xf numFmtId="0" fontId="159" fillId="0" borderId="0" xfId="0" applyFont="1" applyAlignment="1">
      <alignment horizontal="center" vertical="center" wrapText="1"/>
    </xf>
    <xf numFmtId="0" fontId="158" fillId="0" borderId="130" xfId="0" applyFont="1" applyBorder="1" applyAlignment="1">
      <alignment horizontal="center" vertical="center" wrapText="1"/>
    </xf>
    <xf numFmtId="17" fontId="159" fillId="0" borderId="76" xfId="0" applyNumberFormat="1" applyFont="1" applyBorder="1" applyAlignment="1">
      <alignment horizontal="center" vertical="center" wrapText="1"/>
    </xf>
    <xf numFmtId="17" fontId="159" fillId="0" borderId="74" xfId="0" applyNumberFormat="1" applyFont="1" applyBorder="1" applyAlignment="1">
      <alignment horizontal="center" vertical="center" wrapText="1"/>
    </xf>
    <xf numFmtId="17" fontId="159" fillId="0" borderId="9" xfId="0" applyNumberFormat="1" applyFont="1" applyBorder="1" applyAlignment="1">
      <alignment horizontal="center" vertical="center" wrapText="1"/>
    </xf>
    <xf numFmtId="0" fontId="20" fillId="0" borderId="130" xfId="0" applyFont="1" applyBorder="1" applyAlignment="1">
      <alignment horizontal="left" vertical="center" indent="1"/>
    </xf>
    <xf numFmtId="1" fontId="20" fillId="7" borderId="48" xfId="0" applyNumberFormat="1" applyFont="1" applyFill="1" applyBorder="1" applyAlignment="1">
      <alignment horizontal="center" vertical="center"/>
    </xf>
    <xf numFmtId="1" fontId="20" fillId="7" borderId="64" xfId="0" applyNumberFormat="1" applyFont="1" applyFill="1" applyBorder="1" applyAlignment="1">
      <alignment horizontal="center" vertical="center"/>
    </xf>
    <xf numFmtId="0" fontId="46" fillId="8" borderId="34" xfId="0" applyFont="1" applyFill="1" applyBorder="1" applyAlignment="1">
      <alignment vertical="center"/>
    </xf>
    <xf numFmtId="0" fontId="46" fillId="8" borderId="30" xfId="0" applyFont="1" applyFill="1" applyBorder="1" applyAlignment="1">
      <alignment vertical="center"/>
    </xf>
    <xf numFmtId="0" fontId="5" fillId="8" borderId="30" xfId="0" applyFont="1" applyFill="1" applyBorder="1" applyAlignment="1">
      <alignment vertical="center"/>
    </xf>
    <xf numFmtId="0" fontId="46" fillId="8" borderId="30" xfId="0" applyFont="1" applyFill="1" applyBorder="1" applyAlignment="1">
      <alignment horizontal="center" vertical="center"/>
    </xf>
    <xf numFmtId="0" fontId="46" fillId="8" borderId="53" xfId="0" applyFont="1" applyFill="1" applyBorder="1" applyAlignment="1">
      <alignment vertical="center"/>
    </xf>
    <xf numFmtId="0" fontId="46" fillId="8" borderId="130" xfId="0" applyFont="1" applyFill="1" applyBorder="1" applyAlignment="1">
      <alignment horizontal="center" vertical="center"/>
    </xf>
    <xf numFmtId="0" fontId="46" fillId="8" borderId="130" xfId="0" applyFont="1" applyFill="1" applyBorder="1" applyAlignment="1">
      <alignment vertical="center"/>
    </xf>
    <xf numFmtId="0" fontId="20" fillId="0" borderId="154" xfId="0" applyFont="1" applyBorder="1" applyAlignment="1">
      <alignment horizontal="right" vertical="center" indent="1"/>
    </xf>
    <xf numFmtId="167" fontId="20" fillId="0" borderId="200" xfId="0" applyNumberFormat="1" applyFont="1" applyBorder="1" applyAlignment="1">
      <alignment horizontal="center" vertical="center"/>
    </xf>
    <xf numFmtId="167" fontId="20" fillId="0" borderId="138" xfId="0" applyNumberFormat="1" applyFont="1" applyBorder="1" applyAlignment="1">
      <alignment horizontal="center" vertical="center"/>
    </xf>
    <xf numFmtId="167" fontId="20" fillId="8" borderId="141" xfId="0" applyNumberFormat="1" applyFont="1" applyFill="1" applyBorder="1" applyAlignment="1">
      <alignment horizontal="center" vertical="center"/>
    </xf>
    <xf numFmtId="167" fontId="20" fillId="7" borderId="138" xfId="0" applyNumberFormat="1" applyFont="1" applyFill="1" applyBorder="1" applyAlignment="1">
      <alignment horizontal="center" vertical="center"/>
    </xf>
    <xf numFmtId="167" fontId="20" fillId="5" borderId="138" xfId="0" applyNumberFormat="1" applyFont="1" applyFill="1" applyBorder="1" applyAlignment="1">
      <alignment horizontal="center" vertical="center"/>
    </xf>
    <xf numFmtId="167" fontId="20" fillId="5" borderId="141" xfId="0" applyNumberFormat="1" applyFont="1" applyFill="1" applyBorder="1" applyAlignment="1">
      <alignment horizontal="center" vertical="center"/>
    </xf>
    <xf numFmtId="167" fontId="20" fillId="6" borderId="141" xfId="0" applyNumberFormat="1" applyFont="1" applyFill="1" applyBorder="1" applyAlignment="1">
      <alignment horizontal="center" vertical="center"/>
    </xf>
  </cellXfs>
  <cellStyles count="1036">
    <cellStyle name="20% - Accent1 2" xfId="29" xr:uid="{00000000-0005-0000-0000-000000000000}"/>
    <cellStyle name="20% - Accent1 2 2" xfId="880" xr:uid="{00000000-0005-0000-0000-000001000000}"/>
    <cellStyle name="20% - Accent1 3" xfId="30" xr:uid="{00000000-0005-0000-0000-000002000000}"/>
    <cellStyle name="20% - Accent1 3 2" xfId="881" xr:uid="{00000000-0005-0000-0000-000003000000}"/>
    <cellStyle name="20% - Accent2 2" xfId="31" xr:uid="{00000000-0005-0000-0000-000004000000}"/>
    <cellStyle name="20% - Accent2 2 2" xfId="882" xr:uid="{00000000-0005-0000-0000-000005000000}"/>
    <cellStyle name="20% - Accent2 3" xfId="32" xr:uid="{00000000-0005-0000-0000-000006000000}"/>
    <cellStyle name="20% - Accent2 3 2" xfId="883" xr:uid="{00000000-0005-0000-0000-000007000000}"/>
    <cellStyle name="20% - Accent3 2" xfId="33" xr:uid="{00000000-0005-0000-0000-000008000000}"/>
    <cellStyle name="20% - Accent3 2 2" xfId="884" xr:uid="{00000000-0005-0000-0000-000009000000}"/>
    <cellStyle name="20% - Accent3 3" xfId="34" xr:uid="{00000000-0005-0000-0000-00000A000000}"/>
    <cellStyle name="20% - Accent3 3 2" xfId="885" xr:uid="{00000000-0005-0000-0000-00000B000000}"/>
    <cellStyle name="20% - Accent4 2" xfId="35" xr:uid="{00000000-0005-0000-0000-00000C000000}"/>
    <cellStyle name="20% - Accent4 2 2" xfId="886" xr:uid="{00000000-0005-0000-0000-00000D000000}"/>
    <cellStyle name="20% - Accent4 3" xfId="36" xr:uid="{00000000-0005-0000-0000-00000E000000}"/>
    <cellStyle name="20% - Accent4 3 2" xfId="887" xr:uid="{00000000-0005-0000-0000-00000F000000}"/>
    <cellStyle name="20% - Accent5 2" xfId="37" xr:uid="{00000000-0005-0000-0000-000010000000}"/>
    <cellStyle name="20% - Accent5 2 2" xfId="888" xr:uid="{00000000-0005-0000-0000-000011000000}"/>
    <cellStyle name="20% - Accent5 3" xfId="38" xr:uid="{00000000-0005-0000-0000-000012000000}"/>
    <cellStyle name="20% - Accent5 3 2" xfId="889" xr:uid="{00000000-0005-0000-0000-000013000000}"/>
    <cellStyle name="20% - Accent6 2" xfId="39" xr:uid="{00000000-0005-0000-0000-000014000000}"/>
    <cellStyle name="20% - Accent6 2 2" xfId="890" xr:uid="{00000000-0005-0000-0000-000015000000}"/>
    <cellStyle name="20% - Accent6 3" xfId="40" xr:uid="{00000000-0005-0000-0000-000016000000}"/>
    <cellStyle name="20% - Accent6 3 2" xfId="891" xr:uid="{00000000-0005-0000-0000-000017000000}"/>
    <cellStyle name="40% - Accent1 2" xfId="41" xr:uid="{00000000-0005-0000-0000-000018000000}"/>
    <cellStyle name="40% - Accent1 2 2" xfId="892" xr:uid="{00000000-0005-0000-0000-000019000000}"/>
    <cellStyle name="40% - Accent1 3" xfId="42" xr:uid="{00000000-0005-0000-0000-00001A000000}"/>
    <cellStyle name="40% - Accent1 3 2" xfId="893" xr:uid="{00000000-0005-0000-0000-00001B000000}"/>
    <cellStyle name="40% - Accent2 2" xfId="43" xr:uid="{00000000-0005-0000-0000-00001C000000}"/>
    <cellStyle name="40% - Accent2 2 2" xfId="894" xr:uid="{00000000-0005-0000-0000-00001D000000}"/>
    <cellStyle name="40% - Accent2 3" xfId="44" xr:uid="{00000000-0005-0000-0000-00001E000000}"/>
    <cellStyle name="40% - Accent2 3 2" xfId="895" xr:uid="{00000000-0005-0000-0000-00001F000000}"/>
    <cellStyle name="40% - Accent3 2" xfId="45" xr:uid="{00000000-0005-0000-0000-000020000000}"/>
    <cellStyle name="40% - Accent3 2 2" xfId="896" xr:uid="{00000000-0005-0000-0000-000021000000}"/>
    <cellStyle name="40% - Accent3 3" xfId="46" xr:uid="{00000000-0005-0000-0000-000022000000}"/>
    <cellStyle name="40% - Accent3 3 2" xfId="897" xr:uid="{00000000-0005-0000-0000-000023000000}"/>
    <cellStyle name="40% - Accent4 2" xfId="47" xr:uid="{00000000-0005-0000-0000-000024000000}"/>
    <cellStyle name="40% - Accent4 2 2" xfId="898" xr:uid="{00000000-0005-0000-0000-000025000000}"/>
    <cellStyle name="40% - Accent4 3" xfId="48" xr:uid="{00000000-0005-0000-0000-000026000000}"/>
    <cellStyle name="40% - Accent4 3 2" xfId="899" xr:uid="{00000000-0005-0000-0000-000027000000}"/>
    <cellStyle name="40% - Accent5 2" xfId="49" xr:uid="{00000000-0005-0000-0000-000028000000}"/>
    <cellStyle name="40% - Accent5 2 2" xfId="900" xr:uid="{00000000-0005-0000-0000-000029000000}"/>
    <cellStyle name="40% - Accent5 3" xfId="50" xr:uid="{00000000-0005-0000-0000-00002A000000}"/>
    <cellStyle name="40% - Accent5 3 2" xfId="901" xr:uid="{00000000-0005-0000-0000-00002B000000}"/>
    <cellStyle name="40% - Accent6 2" xfId="51" xr:uid="{00000000-0005-0000-0000-00002C000000}"/>
    <cellStyle name="40% - Accent6 2 2" xfId="902" xr:uid="{00000000-0005-0000-0000-00002D000000}"/>
    <cellStyle name="40% - Accent6 3" xfId="52" xr:uid="{00000000-0005-0000-0000-00002E000000}"/>
    <cellStyle name="40% - Accent6 3 2" xfId="903" xr:uid="{00000000-0005-0000-0000-00002F000000}"/>
    <cellStyle name="60% - Accent1 2" xfId="53" xr:uid="{00000000-0005-0000-0000-000030000000}"/>
    <cellStyle name="60% - Accent1 2 2" xfId="904" xr:uid="{00000000-0005-0000-0000-000031000000}"/>
    <cellStyle name="60% - Accent1 3" xfId="54" xr:uid="{00000000-0005-0000-0000-000032000000}"/>
    <cellStyle name="60% - Accent1 3 2" xfId="905" xr:uid="{00000000-0005-0000-0000-000033000000}"/>
    <cellStyle name="60% - Accent2 2" xfId="55" xr:uid="{00000000-0005-0000-0000-000034000000}"/>
    <cellStyle name="60% - Accent2 2 2" xfId="906" xr:uid="{00000000-0005-0000-0000-000035000000}"/>
    <cellStyle name="60% - Accent2 3" xfId="56" xr:uid="{00000000-0005-0000-0000-000036000000}"/>
    <cellStyle name="60% - Accent2 3 2" xfId="907" xr:uid="{00000000-0005-0000-0000-000037000000}"/>
    <cellStyle name="60% - Accent3 2" xfId="57" xr:uid="{00000000-0005-0000-0000-000038000000}"/>
    <cellStyle name="60% - Accent3 2 2" xfId="908" xr:uid="{00000000-0005-0000-0000-000039000000}"/>
    <cellStyle name="60% - Accent3 3" xfId="58" xr:uid="{00000000-0005-0000-0000-00003A000000}"/>
    <cellStyle name="60% - Accent3 3 2" xfId="909" xr:uid="{00000000-0005-0000-0000-00003B000000}"/>
    <cellStyle name="60% - Accent4 2" xfId="59" xr:uid="{00000000-0005-0000-0000-00003C000000}"/>
    <cellStyle name="60% - Accent4 2 2" xfId="910" xr:uid="{00000000-0005-0000-0000-00003D000000}"/>
    <cellStyle name="60% - Accent4 3" xfId="60" xr:uid="{00000000-0005-0000-0000-00003E000000}"/>
    <cellStyle name="60% - Accent4 3 2" xfId="911" xr:uid="{00000000-0005-0000-0000-00003F000000}"/>
    <cellStyle name="60% - Accent5 2" xfId="61" xr:uid="{00000000-0005-0000-0000-000040000000}"/>
    <cellStyle name="60% - Accent5 2 2" xfId="912" xr:uid="{00000000-0005-0000-0000-000041000000}"/>
    <cellStyle name="60% - Accent5 3" xfId="62" xr:uid="{00000000-0005-0000-0000-000042000000}"/>
    <cellStyle name="60% - Accent5 3 2" xfId="913" xr:uid="{00000000-0005-0000-0000-000043000000}"/>
    <cellStyle name="60% - Accent6 2" xfId="63" xr:uid="{00000000-0005-0000-0000-000044000000}"/>
    <cellStyle name="60% - Accent6 2 2" xfId="914" xr:uid="{00000000-0005-0000-0000-000045000000}"/>
    <cellStyle name="60% - Accent6 3" xfId="64" xr:uid="{00000000-0005-0000-0000-000046000000}"/>
    <cellStyle name="60% - Accent6 3 2" xfId="915" xr:uid="{00000000-0005-0000-0000-000047000000}"/>
    <cellStyle name="Accent 1 1" xfId="279" xr:uid="{00000000-0005-0000-0000-000048000000}"/>
    <cellStyle name="Accent 2 1" xfId="280" xr:uid="{00000000-0005-0000-0000-000049000000}"/>
    <cellStyle name="Accent 3 1" xfId="281" xr:uid="{00000000-0005-0000-0000-00004A000000}"/>
    <cellStyle name="Accent 4" xfId="282" xr:uid="{00000000-0005-0000-0000-00004B000000}"/>
    <cellStyle name="Accent1 2" xfId="65" xr:uid="{00000000-0005-0000-0000-00004C000000}"/>
    <cellStyle name="Accent1 2 2" xfId="916" xr:uid="{00000000-0005-0000-0000-00004D000000}"/>
    <cellStyle name="Accent1 3" xfId="66" xr:uid="{00000000-0005-0000-0000-00004E000000}"/>
    <cellStyle name="Accent1 3 2" xfId="917" xr:uid="{00000000-0005-0000-0000-00004F000000}"/>
    <cellStyle name="Accent2 2" xfId="67" xr:uid="{00000000-0005-0000-0000-000050000000}"/>
    <cellStyle name="Accent2 2 2" xfId="918" xr:uid="{00000000-0005-0000-0000-000051000000}"/>
    <cellStyle name="Accent2 3" xfId="68" xr:uid="{00000000-0005-0000-0000-000052000000}"/>
    <cellStyle name="Accent2 3 2" xfId="919" xr:uid="{00000000-0005-0000-0000-000053000000}"/>
    <cellStyle name="Accent3 2" xfId="69" xr:uid="{00000000-0005-0000-0000-000054000000}"/>
    <cellStyle name="Accent3 2 2" xfId="920" xr:uid="{00000000-0005-0000-0000-000055000000}"/>
    <cellStyle name="Accent3 3" xfId="70" xr:uid="{00000000-0005-0000-0000-000056000000}"/>
    <cellStyle name="Accent3 3 2" xfId="921" xr:uid="{00000000-0005-0000-0000-000057000000}"/>
    <cellStyle name="Accent4 2" xfId="71" xr:uid="{00000000-0005-0000-0000-000058000000}"/>
    <cellStyle name="Accent4 2 2" xfId="922" xr:uid="{00000000-0005-0000-0000-000059000000}"/>
    <cellStyle name="Accent4 3" xfId="72" xr:uid="{00000000-0005-0000-0000-00005A000000}"/>
    <cellStyle name="Accent4 3 2" xfId="923" xr:uid="{00000000-0005-0000-0000-00005B000000}"/>
    <cellStyle name="Accent5 2" xfId="73" xr:uid="{00000000-0005-0000-0000-00005C000000}"/>
    <cellStyle name="Accent5 2 2" xfId="924" xr:uid="{00000000-0005-0000-0000-00005D000000}"/>
    <cellStyle name="Accent5 3" xfId="74" xr:uid="{00000000-0005-0000-0000-00005E000000}"/>
    <cellStyle name="Accent5 3 2" xfId="925" xr:uid="{00000000-0005-0000-0000-00005F000000}"/>
    <cellStyle name="Accent6 2" xfId="75" xr:uid="{00000000-0005-0000-0000-000060000000}"/>
    <cellStyle name="Accent6 2 2" xfId="926" xr:uid="{00000000-0005-0000-0000-000061000000}"/>
    <cellStyle name="Accent6 3" xfId="76" xr:uid="{00000000-0005-0000-0000-000062000000}"/>
    <cellStyle name="Accent6 3 2" xfId="927" xr:uid="{00000000-0005-0000-0000-000063000000}"/>
    <cellStyle name="Bad 1" xfId="283" xr:uid="{00000000-0005-0000-0000-000064000000}"/>
    <cellStyle name="Bad 2" xfId="77" xr:uid="{00000000-0005-0000-0000-000065000000}"/>
    <cellStyle name="Bad 2 2" xfId="928" xr:uid="{00000000-0005-0000-0000-000066000000}"/>
    <cellStyle name="Bad 3" xfId="78" xr:uid="{00000000-0005-0000-0000-000067000000}"/>
    <cellStyle name="Bad 3 2" xfId="929" xr:uid="{00000000-0005-0000-0000-000068000000}"/>
    <cellStyle name="Calculation 2" xfId="79" xr:uid="{00000000-0005-0000-0000-000069000000}"/>
    <cellStyle name="Calculation 2 2" xfId="353" xr:uid="{00000000-0005-0000-0000-00006A000000}"/>
    <cellStyle name="Calculation 2 2 2" xfId="414" xr:uid="{00000000-0005-0000-0000-00006B000000}"/>
    <cellStyle name="Calculation 2 2 2 2" xfId="932" xr:uid="{00000000-0005-0000-0000-00006C000000}"/>
    <cellStyle name="Calculation 2 2 3" xfId="415" xr:uid="{00000000-0005-0000-0000-00006D000000}"/>
    <cellStyle name="Calculation 2 2 3 2" xfId="933" xr:uid="{00000000-0005-0000-0000-00006E000000}"/>
    <cellStyle name="Calculation 2 2 4" xfId="931" xr:uid="{00000000-0005-0000-0000-00006F000000}"/>
    <cellStyle name="Calculation 2 3" xfId="366" xr:uid="{00000000-0005-0000-0000-000070000000}"/>
    <cellStyle name="Calculation 2 3 2" xfId="416" xr:uid="{00000000-0005-0000-0000-000071000000}"/>
    <cellStyle name="Calculation 2 3 2 2" xfId="935" xr:uid="{00000000-0005-0000-0000-000072000000}"/>
    <cellStyle name="Calculation 2 3 3" xfId="417" xr:uid="{00000000-0005-0000-0000-000073000000}"/>
    <cellStyle name="Calculation 2 3 3 2" xfId="936" xr:uid="{00000000-0005-0000-0000-000074000000}"/>
    <cellStyle name="Calculation 2 3 4" xfId="934" xr:uid="{00000000-0005-0000-0000-000075000000}"/>
    <cellStyle name="Calculation 2 4" xfId="418" xr:uid="{00000000-0005-0000-0000-000076000000}"/>
    <cellStyle name="Calculation 2 4 2" xfId="937" xr:uid="{00000000-0005-0000-0000-000077000000}"/>
    <cellStyle name="Calculation 2 5" xfId="419" xr:uid="{00000000-0005-0000-0000-000078000000}"/>
    <cellStyle name="Calculation 2 5 2" xfId="938" xr:uid="{00000000-0005-0000-0000-000079000000}"/>
    <cellStyle name="Calculation 2 6" xfId="930" xr:uid="{00000000-0005-0000-0000-00007A000000}"/>
    <cellStyle name="Calculation 3" xfId="80" xr:uid="{00000000-0005-0000-0000-00007B000000}"/>
    <cellStyle name="Calculation 3 2" xfId="354" xr:uid="{00000000-0005-0000-0000-00007C000000}"/>
    <cellStyle name="Calculation 3 2 2" xfId="420" xr:uid="{00000000-0005-0000-0000-00007D000000}"/>
    <cellStyle name="Calculation 3 2 2 2" xfId="941" xr:uid="{00000000-0005-0000-0000-00007E000000}"/>
    <cellStyle name="Calculation 3 2 3" xfId="421" xr:uid="{00000000-0005-0000-0000-00007F000000}"/>
    <cellStyle name="Calculation 3 2 3 2" xfId="942" xr:uid="{00000000-0005-0000-0000-000080000000}"/>
    <cellStyle name="Calculation 3 2 4" xfId="940" xr:uid="{00000000-0005-0000-0000-000081000000}"/>
    <cellStyle name="Calculation 3 3" xfId="367" xr:uid="{00000000-0005-0000-0000-000082000000}"/>
    <cellStyle name="Calculation 3 3 2" xfId="422" xr:uid="{00000000-0005-0000-0000-000083000000}"/>
    <cellStyle name="Calculation 3 3 2 2" xfId="944" xr:uid="{00000000-0005-0000-0000-000084000000}"/>
    <cellStyle name="Calculation 3 3 3" xfId="423" xr:uid="{00000000-0005-0000-0000-000085000000}"/>
    <cellStyle name="Calculation 3 3 3 2" xfId="945" xr:uid="{00000000-0005-0000-0000-000086000000}"/>
    <cellStyle name="Calculation 3 3 4" xfId="943" xr:uid="{00000000-0005-0000-0000-000087000000}"/>
    <cellStyle name="Calculation 3 4" xfId="424" xr:uid="{00000000-0005-0000-0000-000088000000}"/>
    <cellStyle name="Calculation 3 4 2" xfId="946" xr:uid="{00000000-0005-0000-0000-000089000000}"/>
    <cellStyle name="Calculation 3 5" xfId="425" xr:uid="{00000000-0005-0000-0000-00008A000000}"/>
    <cellStyle name="Calculation 3 5 2" xfId="947" xr:uid="{00000000-0005-0000-0000-00008B000000}"/>
    <cellStyle name="Calculation 3 6" xfId="939" xr:uid="{00000000-0005-0000-0000-00008C000000}"/>
    <cellStyle name="Check Cell 2" xfId="81" xr:uid="{00000000-0005-0000-0000-00008D000000}"/>
    <cellStyle name="Check Cell 2 2" xfId="948" xr:uid="{00000000-0005-0000-0000-00008E000000}"/>
    <cellStyle name="Check Cell 3" xfId="82" xr:uid="{00000000-0005-0000-0000-00008F000000}"/>
    <cellStyle name="Check Cell 3 2" xfId="949" xr:uid="{00000000-0005-0000-0000-000090000000}"/>
    <cellStyle name="Comma" xfId="412" builtinId="3"/>
    <cellStyle name="Comma 10" xfId="426" xr:uid="{00000000-0005-0000-0000-000092000000}"/>
    <cellStyle name="Comma 11" xfId="427" xr:uid="{00000000-0005-0000-0000-000093000000}"/>
    <cellStyle name="Comma 12" xfId="428" xr:uid="{00000000-0005-0000-0000-000094000000}"/>
    <cellStyle name="Comma 13" xfId="429" xr:uid="{00000000-0005-0000-0000-000095000000}"/>
    <cellStyle name="Comma 14" xfId="430" xr:uid="{00000000-0005-0000-0000-000096000000}"/>
    <cellStyle name="Comma 15" xfId="431" xr:uid="{00000000-0005-0000-0000-000097000000}"/>
    <cellStyle name="Comma 16" xfId="432" xr:uid="{00000000-0005-0000-0000-000098000000}"/>
    <cellStyle name="Comma 17" xfId="433" xr:uid="{00000000-0005-0000-0000-000099000000}"/>
    <cellStyle name="Comma 2" xfId="9" xr:uid="{00000000-0005-0000-0000-00009A000000}"/>
    <cellStyle name="Comma 2 2" xfId="11" xr:uid="{00000000-0005-0000-0000-00009B000000}"/>
    <cellStyle name="Comma 2 2 2" xfId="83" xr:uid="{00000000-0005-0000-0000-00009C000000}"/>
    <cellStyle name="Comma 2 2 2 2" xfId="347" xr:uid="{00000000-0005-0000-0000-00009D000000}"/>
    <cellStyle name="Comma 2 2 2 2 2" xfId="434" xr:uid="{00000000-0005-0000-0000-00009E000000}"/>
    <cellStyle name="Comma 2 2 2 3" xfId="337" xr:uid="{00000000-0005-0000-0000-00009F000000}"/>
    <cellStyle name="Comma 2 2 3" xfId="335" xr:uid="{00000000-0005-0000-0000-0000A0000000}"/>
    <cellStyle name="Comma 2 2 4" xfId="394" xr:uid="{00000000-0005-0000-0000-0000A1000000}"/>
    <cellStyle name="Comma 2 3" xfId="188" xr:uid="{00000000-0005-0000-0000-0000A2000000}"/>
    <cellStyle name="Comma 2 3 2" xfId="189" xr:uid="{00000000-0005-0000-0000-0000A3000000}"/>
    <cellStyle name="Comma 2 3 2 2" xfId="382" xr:uid="{00000000-0005-0000-0000-0000A4000000}"/>
    <cellStyle name="Comma 2 3 2 2 2" xfId="435" xr:uid="{00000000-0005-0000-0000-0000A5000000}"/>
    <cellStyle name="Comma 2 3 2 3" xfId="338" xr:uid="{00000000-0005-0000-0000-0000A6000000}"/>
    <cellStyle name="Comma 2 3 2 4" xfId="436" xr:uid="{00000000-0005-0000-0000-0000A7000000}"/>
    <cellStyle name="Comma 2 3 3" xfId="339" xr:uid="{00000000-0005-0000-0000-0000A8000000}"/>
    <cellStyle name="Comma 2 3 3 2" xfId="437" xr:uid="{00000000-0005-0000-0000-0000A9000000}"/>
    <cellStyle name="Comma 2 3 4" xfId="381" xr:uid="{00000000-0005-0000-0000-0000AA000000}"/>
    <cellStyle name="Comma 2 3 4 2" xfId="438" xr:uid="{00000000-0005-0000-0000-0000AB000000}"/>
    <cellStyle name="Comma 2 3 5" xfId="336" xr:uid="{00000000-0005-0000-0000-0000AC000000}"/>
    <cellStyle name="Comma 2 3 6" xfId="395" xr:uid="{00000000-0005-0000-0000-0000AD000000}"/>
    <cellStyle name="Comma 2 3 7" xfId="439" xr:uid="{00000000-0005-0000-0000-0000AE000000}"/>
    <cellStyle name="Comma 2 4" xfId="190" xr:uid="{00000000-0005-0000-0000-0000AF000000}"/>
    <cellStyle name="Comma 2 4 2" xfId="383" xr:uid="{00000000-0005-0000-0000-0000B0000000}"/>
    <cellStyle name="Comma 2 4 2 2" xfId="440" xr:uid="{00000000-0005-0000-0000-0000B1000000}"/>
    <cellStyle name="Comma 2 4 3" xfId="340" xr:uid="{00000000-0005-0000-0000-0000B2000000}"/>
    <cellStyle name="Comma 2 5" xfId="191" xr:uid="{00000000-0005-0000-0000-0000B3000000}"/>
    <cellStyle name="Comma 2 6" xfId="187" xr:uid="{00000000-0005-0000-0000-0000B4000000}"/>
    <cellStyle name="Comma 2 6 2" xfId="441" xr:uid="{00000000-0005-0000-0000-0000B5000000}"/>
    <cellStyle name="Comma 2 7" xfId="393" xr:uid="{00000000-0005-0000-0000-0000B6000000}"/>
    <cellStyle name="Comma 2 8" xfId="442" xr:uid="{00000000-0005-0000-0000-0000B7000000}"/>
    <cellStyle name="Comma 3" xfId="311" xr:uid="{00000000-0005-0000-0000-0000B8000000}"/>
    <cellStyle name="Comma 3 2" xfId="363" xr:uid="{00000000-0005-0000-0000-0000B9000000}"/>
    <cellStyle name="Comma 3 2 2" xfId="443" xr:uid="{00000000-0005-0000-0000-0000BA000000}"/>
    <cellStyle name="Comma 3 2 2 2" xfId="444" xr:uid="{00000000-0005-0000-0000-0000BB000000}"/>
    <cellStyle name="Comma 3 2 3" xfId="445" xr:uid="{00000000-0005-0000-0000-0000BC000000}"/>
    <cellStyle name="Comma 3 3" xfId="396" xr:uid="{00000000-0005-0000-0000-0000BD000000}"/>
    <cellStyle name="Comma 3 3 2" xfId="446" xr:uid="{00000000-0005-0000-0000-0000BE000000}"/>
    <cellStyle name="Comma 3 4" xfId="447" xr:uid="{00000000-0005-0000-0000-0000BF000000}"/>
    <cellStyle name="Comma 3 5" xfId="448" xr:uid="{00000000-0005-0000-0000-0000C0000000}"/>
    <cellStyle name="Comma 4" xfId="397" xr:uid="{00000000-0005-0000-0000-0000C1000000}"/>
    <cellStyle name="Comma 4 2" xfId="449" xr:uid="{00000000-0005-0000-0000-0000C2000000}"/>
    <cellStyle name="Comma 4 3" xfId="450" xr:uid="{00000000-0005-0000-0000-0000C3000000}"/>
    <cellStyle name="Comma 5" xfId="451" xr:uid="{00000000-0005-0000-0000-0000C4000000}"/>
    <cellStyle name="Comma 6" xfId="452" xr:uid="{00000000-0005-0000-0000-0000C5000000}"/>
    <cellStyle name="Comma 7" xfId="453" xr:uid="{00000000-0005-0000-0000-0000C6000000}"/>
    <cellStyle name="Comma 8" xfId="454" xr:uid="{00000000-0005-0000-0000-0000C7000000}"/>
    <cellStyle name="Comma 9" xfId="455" xr:uid="{00000000-0005-0000-0000-0000C8000000}"/>
    <cellStyle name="Currency 2" xfId="12" xr:uid="{00000000-0005-0000-0000-0000C9000000}"/>
    <cellStyle name="Currency 2 2" xfId="84" xr:uid="{00000000-0005-0000-0000-0000CA000000}"/>
    <cellStyle name="Currency 2 2 2" xfId="348" xr:uid="{00000000-0005-0000-0000-0000CB000000}"/>
    <cellStyle name="Currency 2 2 2 2" xfId="456" xr:uid="{00000000-0005-0000-0000-0000CC000000}"/>
    <cellStyle name="Currency 2 2 3" xfId="328" xr:uid="{00000000-0005-0000-0000-0000CD000000}"/>
    <cellStyle name="Currency 2 3" xfId="341" xr:uid="{00000000-0005-0000-0000-0000CE000000}"/>
    <cellStyle name="Currency 2 4" xfId="398" xr:uid="{00000000-0005-0000-0000-0000CF000000}"/>
    <cellStyle name="Error 1" xfId="284" xr:uid="{00000000-0005-0000-0000-0000D0000000}"/>
    <cellStyle name="Excel Built-in Normal" xfId="192" xr:uid="{00000000-0005-0000-0000-0000D1000000}"/>
    <cellStyle name="Excel Built-in Normal 2" xfId="399" xr:uid="{00000000-0005-0000-0000-0000D2000000}"/>
    <cellStyle name="Explanatory Text 2" xfId="85" xr:uid="{00000000-0005-0000-0000-0000D3000000}"/>
    <cellStyle name="Explanatory Text 3" xfId="86" xr:uid="{00000000-0005-0000-0000-0000D4000000}"/>
    <cellStyle name="Footnote 1" xfId="285" xr:uid="{00000000-0005-0000-0000-0000D5000000}"/>
    <cellStyle name="Good 1" xfId="286" xr:uid="{00000000-0005-0000-0000-0000D6000000}"/>
    <cellStyle name="Good 2" xfId="87" xr:uid="{00000000-0005-0000-0000-0000D7000000}"/>
    <cellStyle name="Good 2 2" xfId="950" xr:uid="{00000000-0005-0000-0000-0000D8000000}"/>
    <cellStyle name="Good 3" xfId="88" xr:uid="{00000000-0005-0000-0000-0000D9000000}"/>
    <cellStyle name="Good 3 2" xfId="951" xr:uid="{00000000-0005-0000-0000-0000DA000000}"/>
    <cellStyle name="Heading 1 1" xfId="287" xr:uid="{00000000-0005-0000-0000-0000DB000000}"/>
    <cellStyle name="Heading 1 2" xfId="89" xr:uid="{00000000-0005-0000-0000-0000DC000000}"/>
    <cellStyle name="Heading 1 2 10" xfId="457" xr:uid="{00000000-0005-0000-0000-0000DD000000}"/>
    <cellStyle name="Heading 1 2 2" xfId="193" xr:uid="{00000000-0005-0000-0000-0000DE000000}"/>
    <cellStyle name="Heading 1 2 2 2" xfId="323" xr:uid="{00000000-0005-0000-0000-0000DF000000}"/>
    <cellStyle name="Heading 1 2 2 2 2" xfId="868" xr:uid="{00000000-0005-0000-0000-0000E0000000}"/>
    <cellStyle name="Heading 1 2 2 3" xfId="384" xr:uid="{00000000-0005-0000-0000-0000E1000000}"/>
    <cellStyle name="Heading 1 2 2 4" xfId="458" xr:uid="{00000000-0005-0000-0000-0000E2000000}"/>
    <cellStyle name="Heading 1 2 2 5" xfId="459" xr:uid="{00000000-0005-0000-0000-0000E3000000}"/>
    <cellStyle name="Heading 1 2 2 6" xfId="460" xr:uid="{00000000-0005-0000-0000-0000E4000000}"/>
    <cellStyle name="Heading 1 2 2 7" xfId="461" xr:uid="{00000000-0005-0000-0000-0000E5000000}"/>
    <cellStyle name="Heading 1 2 2 8" xfId="462" xr:uid="{00000000-0005-0000-0000-0000E6000000}"/>
    <cellStyle name="Heading 1 2 3" xfId="318" xr:uid="{00000000-0005-0000-0000-0000E7000000}"/>
    <cellStyle name="Heading 1 2 3 2" xfId="377" xr:uid="{00000000-0005-0000-0000-0000E8000000}"/>
    <cellStyle name="Heading 1 2 4" xfId="349" xr:uid="{00000000-0005-0000-0000-0000E9000000}"/>
    <cellStyle name="Heading 1 2 5" xfId="463" xr:uid="{00000000-0005-0000-0000-0000EA000000}"/>
    <cellStyle name="Heading 1 2 6" xfId="464" xr:uid="{00000000-0005-0000-0000-0000EB000000}"/>
    <cellStyle name="Heading 1 2 7" xfId="465" xr:uid="{00000000-0005-0000-0000-0000EC000000}"/>
    <cellStyle name="Heading 1 2 8" xfId="466" xr:uid="{00000000-0005-0000-0000-0000ED000000}"/>
    <cellStyle name="Heading 1 2 9" xfId="467" xr:uid="{00000000-0005-0000-0000-0000EE000000}"/>
    <cellStyle name="Heading 1 3" xfId="90" xr:uid="{00000000-0005-0000-0000-0000EF000000}"/>
    <cellStyle name="Heading 1 3 10" xfId="468" xr:uid="{00000000-0005-0000-0000-0000F0000000}"/>
    <cellStyle name="Heading 1 3 2" xfId="194" xr:uid="{00000000-0005-0000-0000-0000F1000000}"/>
    <cellStyle name="Heading 1 3 2 2" xfId="324" xr:uid="{00000000-0005-0000-0000-0000F2000000}"/>
    <cellStyle name="Heading 1 3 2 2 2" xfId="869" xr:uid="{00000000-0005-0000-0000-0000F3000000}"/>
    <cellStyle name="Heading 1 3 2 3" xfId="385" xr:uid="{00000000-0005-0000-0000-0000F4000000}"/>
    <cellStyle name="Heading 1 3 2 4" xfId="469" xr:uid="{00000000-0005-0000-0000-0000F5000000}"/>
    <cellStyle name="Heading 1 3 2 5" xfId="470" xr:uid="{00000000-0005-0000-0000-0000F6000000}"/>
    <cellStyle name="Heading 1 3 2 6" xfId="471" xr:uid="{00000000-0005-0000-0000-0000F7000000}"/>
    <cellStyle name="Heading 1 3 2 7" xfId="472" xr:uid="{00000000-0005-0000-0000-0000F8000000}"/>
    <cellStyle name="Heading 1 3 2 8" xfId="473" xr:uid="{00000000-0005-0000-0000-0000F9000000}"/>
    <cellStyle name="Heading 1 3 3" xfId="319" xr:uid="{00000000-0005-0000-0000-0000FA000000}"/>
    <cellStyle name="Heading 1 3 3 2" xfId="378" xr:uid="{00000000-0005-0000-0000-0000FB000000}"/>
    <cellStyle name="Heading 1 3 4" xfId="350" xr:uid="{00000000-0005-0000-0000-0000FC000000}"/>
    <cellStyle name="Heading 1 3 5" xfId="474" xr:uid="{00000000-0005-0000-0000-0000FD000000}"/>
    <cellStyle name="Heading 1 3 6" xfId="475" xr:uid="{00000000-0005-0000-0000-0000FE000000}"/>
    <cellStyle name="Heading 1 3 7" xfId="476" xr:uid="{00000000-0005-0000-0000-0000FF000000}"/>
    <cellStyle name="Heading 1 3 8" xfId="477" xr:uid="{00000000-0005-0000-0000-000000010000}"/>
    <cellStyle name="Heading 1 3 9" xfId="478" xr:uid="{00000000-0005-0000-0000-000001010000}"/>
    <cellStyle name="Heading 2 1" xfId="288" xr:uid="{00000000-0005-0000-0000-000002010000}"/>
    <cellStyle name="Heading 2 2" xfId="91" xr:uid="{00000000-0005-0000-0000-000003010000}"/>
    <cellStyle name="Heading 2 2 10" xfId="479" xr:uid="{00000000-0005-0000-0000-000004010000}"/>
    <cellStyle name="Heading 2 2 2" xfId="195" xr:uid="{00000000-0005-0000-0000-000005010000}"/>
    <cellStyle name="Heading 2 2 2 2" xfId="325" xr:uid="{00000000-0005-0000-0000-000006010000}"/>
    <cellStyle name="Heading 2 2 2 2 2" xfId="870" xr:uid="{00000000-0005-0000-0000-000007010000}"/>
    <cellStyle name="Heading 2 2 2 3" xfId="386" xr:uid="{00000000-0005-0000-0000-000008010000}"/>
    <cellStyle name="Heading 2 2 2 4" xfId="480" xr:uid="{00000000-0005-0000-0000-000009010000}"/>
    <cellStyle name="Heading 2 2 2 5" xfId="481" xr:uid="{00000000-0005-0000-0000-00000A010000}"/>
    <cellStyle name="Heading 2 2 2 6" xfId="482" xr:uid="{00000000-0005-0000-0000-00000B010000}"/>
    <cellStyle name="Heading 2 2 2 7" xfId="483" xr:uid="{00000000-0005-0000-0000-00000C010000}"/>
    <cellStyle name="Heading 2 2 3" xfId="320" xr:uid="{00000000-0005-0000-0000-00000D010000}"/>
    <cellStyle name="Heading 2 2 3 2" xfId="379" xr:uid="{00000000-0005-0000-0000-00000E010000}"/>
    <cellStyle name="Heading 2 2 4" xfId="351" xr:uid="{00000000-0005-0000-0000-00000F010000}"/>
    <cellStyle name="Heading 2 2 5" xfId="484" xr:uid="{00000000-0005-0000-0000-000010010000}"/>
    <cellStyle name="Heading 2 2 6" xfId="485" xr:uid="{00000000-0005-0000-0000-000011010000}"/>
    <cellStyle name="Heading 2 2 7" xfId="486" xr:uid="{00000000-0005-0000-0000-000012010000}"/>
    <cellStyle name="Heading 2 2 8" xfId="487" xr:uid="{00000000-0005-0000-0000-000013010000}"/>
    <cellStyle name="Heading 2 2 9" xfId="488" xr:uid="{00000000-0005-0000-0000-000014010000}"/>
    <cellStyle name="Heading 2 3" xfId="92" xr:uid="{00000000-0005-0000-0000-000015010000}"/>
    <cellStyle name="Heading 2 3 10" xfId="489" xr:uid="{00000000-0005-0000-0000-000016010000}"/>
    <cellStyle name="Heading 2 3 2" xfId="196" xr:uid="{00000000-0005-0000-0000-000017010000}"/>
    <cellStyle name="Heading 2 3 2 2" xfId="326" xr:uid="{00000000-0005-0000-0000-000018010000}"/>
    <cellStyle name="Heading 2 3 2 2 2" xfId="871" xr:uid="{00000000-0005-0000-0000-000019010000}"/>
    <cellStyle name="Heading 2 3 2 3" xfId="387" xr:uid="{00000000-0005-0000-0000-00001A010000}"/>
    <cellStyle name="Heading 2 3 2 4" xfId="490" xr:uid="{00000000-0005-0000-0000-00001B010000}"/>
    <cellStyle name="Heading 2 3 2 5" xfId="491" xr:uid="{00000000-0005-0000-0000-00001C010000}"/>
    <cellStyle name="Heading 2 3 2 6" xfId="492" xr:uid="{00000000-0005-0000-0000-00001D010000}"/>
    <cellStyle name="Heading 2 3 2 7" xfId="493" xr:uid="{00000000-0005-0000-0000-00001E010000}"/>
    <cellStyle name="Heading 2 3 3" xfId="321" xr:uid="{00000000-0005-0000-0000-00001F010000}"/>
    <cellStyle name="Heading 2 3 3 2" xfId="380" xr:uid="{00000000-0005-0000-0000-000020010000}"/>
    <cellStyle name="Heading 2 3 4" xfId="352" xr:uid="{00000000-0005-0000-0000-000021010000}"/>
    <cellStyle name="Heading 2 3 5" xfId="494" xr:uid="{00000000-0005-0000-0000-000022010000}"/>
    <cellStyle name="Heading 2 3 6" xfId="495" xr:uid="{00000000-0005-0000-0000-000023010000}"/>
    <cellStyle name="Heading 2 3 7" xfId="496" xr:uid="{00000000-0005-0000-0000-000024010000}"/>
    <cellStyle name="Heading 2 3 8" xfId="497" xr:uid="{00000000-0005-0000-0000-000025010000}"/>
    <cellStyle name="Heading 2 3 9" xfId="498" xr:uid="{00000000-0005-0000-0000-000026010000}"/>
    <cellStyle name="Heading 3 2" xfId="93" xr:uid="{00000000-0005-0000-0000-000027010000}"/>
    <cellStyle name="Heading 3 3" xfId="94" xr:uid="{00000000-0005-0000-0000-000028010000}"/>
    <cellStyle name="Heading 4 2" xfId="95" xr:uid="{00000000-0005-0000-0000-000029010000}"/>
    <cellStyle name="Heading 4 3" xfId="96" xr:uid="{00000000-0005-0000-0000-00002A010000}"/>
    <cellStyle name="Hyperlink 1" xfId="289" xr:uid="{00000000-0005-0000-0000-00002B010000}"/>
    <cellStyle name="Hyperlink 2" xfId="97" xr:uid="{00000000-0005-0000-0000-00002C010000}"/>
    <cellStyle name="Hyperlink 2 2" xfId="499" xr:uid="{00000000-0005-0000-0000-00002D010000}"/>
    <cellStyle name="Hyperlink 3" xfId="500" xr:uid="{00000000-0005-0000-0000-00002E010000}"/>
    <cellStyle name="Input 2" xfId="98" xr:uid="{00000000-0005-0000-0000-00002F010000}"/>
    <cellStyle name="Input 2 2" xfId="355" xr:uid="{00000000-0005-0000-0000-000030010000}"/>
    <cellStyle name="Input 2 2 2" xfId="501" xr:uid="{00000000-0005-0000-0000-000031010000}"/>
    <cellStyle name="Input 2 2 2 2" xfId="954" xr:uid="{00000000-0005-0000-0000-000032010000}"/>
    <cellStyle name="Input 2 2 3" xfId="502" xr:uid="{00000000-0005-0000-0000-000033010000}"/>
    <cellStyle name="Input 2 2 3 2" xfId="955" xr:uid="{00000000-0005-0000-0000-000034010000}"/>
    <cellStyle name="Input 2 2 4" xfId="953" xr:uid="{00000000-0005-0000-0000-000035010000}"/>
    <cellStyle name="Input 2 3" xfId="368" xr:uid="{00000000-0005-0000-0000-000036010000}"/>
    <cellStyle name="Input 2 3 2" xfId="503" xr:uid="{00000000-0005-0000-0000-000037010000}"/>
    <cellStyle name="Input 2 3 2 2" xfId="957" xr:uid="{00000000-0005-0000-0000-000038010000}"/>
    <cellStyle name="Input 2 3 3" xfId="504" xr:uid="{00000000-0005-0000-0000-000039010000}"/>
    <cellStyle name="Input 2 3 3 2" xfId="958" xr:uid="{00000000-0005-0000-0000-00003A010000}"/>
    <cellStyle name="Input 2 3 4" xfId="956" xr:uid="{00000000-0005-0000-0000-00003B010000}"/>
    <cellStyle name="Input 2 4" xfId="505" xr:uid="{00000000-0005-0000-0000-00003C010000}"/>
    <cellStyle name="Input 2 4 2" xfId="959" xr:uid="{00000000-0005-0000-0000-00003D010000}"/>
    <cellStyle name="Input 2 5" xfId="506" xr:uid="{00000000-0005-0000-0000-00003E010000}"/>
    <cellStyle name="Input 2 5 2" xfId="960" xr:uid="{00000000-0005-0000-0000-00003F010000}"/>
    <cellStyle name="Input 2 6" xfId="952" xr:uid="{00000000-0005-0000-0000-000040010000}"/>
    <cellStyle name="Input 3" xfId="99" xr:uid="{00000000-0005-0000-0000-000041010000}"/>
    <cellStyle name="Input 3 2" xfId="356" xr:uid="{00000000-0005-0000-0000-000042010000}"/>
    <cellStyle name="Input 3 2 2" xfId="507" xr:uid="{00000000-0005-0000-0000-000043010000}"/>
    <cellStyle name="Input 3 2 2 2" xfId="963" xr:uid="{00000000-0005-0000-0000-000044010000}"/>
    <cellStyle name="Input 3 2 3" xfId="508" xr:uid="{00000000-0005-0000-0000-000045010000}"/>
    <cellStyle name="Input 3 2 3 2" xfId="964" xr:uid="{00000000-0005-0000-0000-000046010000}"/>
    <cellStyle name="Input 3 2 4" xfId="962" xr:uid="{00000000-0005-0000-0000-000047010000}"/>
    <cellStyle name="Input 3 3" xfId="369" xr:uid="{00000000-0005-0000-0000-000048010000}"/>
    <cellStyle name="Input 3 3 2" xfId="509" xr:uid="{00000000-0005-0000-0000-000049010000}"/>
    <cellStyle name="Input 3 3 2 2" xfId="966" xr:uid="{00000000-0005-0000-0000-00004A010000}"/>
    <cellStyle name="Input 3 3 3" xfId="510" xr:uid="{00000000-0005-0000-0000-00004B010000}"/>
    <cellStyle name="Input 3 3 3 2" xfId="967" xr:uid="{00000000-0005-0000-0000-00004C010000}"/>
    <cellStyle name="Input 3 3 4" xfId="965" xr:uid="{00000000-0005-0000-0000-00004D010000}"/>
    <cellStyle name="Input 3 4" xfId="511" xr:uid="{00000000-0005-0000-0000-00004E010000}"/>
    <cellStyle name="Input 3 4 2" xfId="968" xr:uid="{00000000-0005-0000-0000-00004F010000}"/>
    <cellStyle name="Input 3 5" xfId="512" xr:uid="{00000000-0005-0000-0000-000050010000}"/>
    <cellStyle name="Input 3 5 2" xfId="969" xr:uid="{00000000-0005-0000-0000-000051010000}"/>
    <cellStyle name="Input 3 6" xfId="961" xr:uid="{00000000-0005-0000-0000-000052010000}"/>
    <cellStyle name="Linked Cell 2" xfId="100" xr:uid="{00000000-0005-0000-0000-000053010000}"/>
    <cellStyle name="Linked Cell 3" xfId="101" xr:uid="{00000000-0005-0000-0000-000054010000}"/>
    <cellStyle name="Neutral 1" xfId="290" xr:uid="{00000000-0005-0000-0000-000055010000}"/>
    <cellStyle name="Neutral 2" xfId="102" xr:uid="{00000000-0005-0000-0000-000056010000}"/>
    <cellStyle name="Neutral 2 2" xfId="970" xr:uid="{00000000-0005-0000-0000-000057010000}"/>
    <cellStyle name="Neutral 3" xfId="103" xr:uid="{00000000-0005-0000-0000-000058010000}"/>
    <cellStyle name="Neutral 3 2" xfId="971" xr:uid="{00000000-0005-0000-0000-000059010000}"/>
    <cellStyle name="Normal" xfId="0" builtinId="0"/>
    <cellStyle name="Normal 10" xfId="104" xr:uid="{00000000-0005-0000-0000-00005B010000}"/>
    <cellStyle name="Normal 10 2" xfId="400" xr:uid="{00000000-0005-0000-0000-00005C010000}"/>
    <cellStyle name="Normal 11" xfId="105" xr:uid="{00000000-0005-0000-0000-00005D010000}"/>
    <cellStyle name="Normal 11 2" xfId="401" xr:uid="{00000000-0005-0000-0000-00005E010000}"/>
    <cellStyle name="Normal 11 2 2" xfId="513" xr:uid="{00000000-0005-0000-0000-00005F010000}"/>
    <cellStyle name="Normal 11 2 2 2" xfId="514" xr:uid="{00000000-0005-0000-0000-000060010000}"/>
    <cellStyle name="Normal 11 2 3" xfId="515" xr:uid="{00000000-0005-0000-0000-000061010000}"/>
    <cellStyle name="Normal 11 3" xfId="516" xr:uid="{00000000-0005-0000-0000-000062010000}"/>
    <cellStyle name="Normal 11 3 2" xfId="517" xr:uid="{00000000-0005-0000-0000-000063010000}"/>
    <cellStyle name="Normal 11 4" xfId="518" xr:uid="{00000000-0005-0000-0000-000064010000}"/>
    <cellStyle name="Normal 12" xfId="27" xr:uid="{00000000-0005-0000-0000-000065010000}"/>
    <cellStyle name="Normal 12 2" xfId="402" xr:uid="{00000000-0005-0000-0000-000066010000}"/>
    <cellStyle name="Normal 12 2 2" xfId="519" xr:uid="{00000000-0005-0000-0000-000067010000}"/>
    <cellStyle name="Normal 12 2 2 2" xfId="296" xr:uid="{00000000-0005-0000-0000-000068010000}"/>
    <cellStyle name="Normal 12 2 2 2 2" xfId="520" xr:uid="{00000000-0005-0000-0000-000069010000}"/>
    <cellStyle name="Normal 12 2 2 2 2 2" xfId="521" xr:uid="{00000000-0005-0000-0000-00006A010000}"/>
    <cellStyle name="Normal 12 2 2 2 2 2 2" xfId="522" xr:uid="{00000000-0005-0000-0000-00006B010000}"/>
    <cellStyle name="Normal 12 2 2 2 2 2 2 2" xfId="523" xr:uid="{00000000-0005-0000-0000-00006C010000}"/>
    <cellStyle name="Normal 12 2 2 2 2 2 2 2 3 2 2 2 2" xfId="524" xr:uid="{00000000-0005-0000-0000-00006D010000}"/>
    <cellStyle name="Normal 12 3" xfId="525" xr:uid="{00000000-0005-0000-0000-00006E010000}"/>
    <cellStyle name="Normal 13" xfId="28" xr:uid="{00000000-0005-0000-0000-00006F010000}"/>
    <cellStyle name="Normal 13 2" xfId="392" xr:uid="{00000000-0005-0000-0000-000070010000}"/>
    <cellStyle name="Normal 13 2 2" xfId="403" xr:uid="{00000000-0005-0000-0000-000071010000}"/>
    <cellStyle name="Normal 14" xfId="186" xr:uid="{00000000-0005-0000-0000-000072010000}"/>
    <cellStyle name="Normal 14 2" xfId="197" xr:uid="{00000000-0005-0000-0000-000073010000}"/>
    <cellStyle name="Normal 14 3" xfId="526" xr:uid="{00000000-0005-0000-0000-000074010000}"/>
    <cellStyle name="Normal 15" xfId="106" xr:uid="{00000000-0005-0000-0000-000075010000}"/>
    <cellStyle name="Normal 15 2" xfId="405" xr:uid="{00000000-0005-0000-0000-000076010000}"/>
    <cellStyle name="Normal 15 3" xfId="404" xr:uid="{00000000-0005-0000-0000-000077010000}"/>
    <cellStyle name="Normal 16" xfId="198" xr:uid="{00000000-0005-0000-0000-000078010000}"/>
    <cellStyle name="Normal 16 2" xfId="388" xr:uid="{00000000-0005-0000-0000-000079010000}"/>
    <cellStyle name="Normal 16 3" xfId="376" xr:uid="{00000000-0005-0000-0000-00007A010000}"/>
    <cellStyle name="Normal 16 4" xfId="527" xr:uid="{00000000-0005-0000-0000-00007B010000}"/>
    <cellStyle name="Normal 17" xfId="390" xr:uid="{00000000-0005-0000-0000-00007C010000}"/>
    <cellStyle name="Normal 17 2" xfId="528" xr:uid="{00000000-0005-0000-0000-00007D010000}"/>
    <cellStyle name="Normal 17 3" xfId="529" xr:uid="{00000000-0005-0000-0000-00007E010000}"/>
    <cellStyle name="Normal 17 4" xfId="872" xr:uid="{00000000-0005-0000-0000-00007F010000}"/>
    <cellStyle name="Normal 18" xfId="107" xr:uid="{00000000-0005-0000-0000-000080010000}"/>
    <cellStyle name="Normal 18 2" xfId="530" xr:uid="{00000000-0005-0000-0000-000081010000}"/>
    <cellStyle name="Normal 18 2 2" xfId="531" xr:uid="{00000000-0005-0000-0000-000082010000}"/>
    <cellStyle name="Normal 18 3" xfId="532" xr:uid="{00000000-0005-0000-0000-000083010000}"/>
    <cellStyle name="Normal 19" xfId="391" xr:uid="{00000000-0005-0000-0000-000084010000}"/>
    <cellStyle name="Normal 19 2" xfId="873" xr:uid="{00000000-0005-0000-0000-000085010000}"/>
    <cellStyle name="Normal 2" xfId="1" xr:uid="{00000000-0005-0000-0000-000086010000}"/>
    <cellStyle name="Normal 2 10" xfId="533" xr:uid="{00000000-0005-0000-0000-000087010000}"/>
    <cellStyle name="Normal 2 10 2" xfId="534" xr:uid="{00000000-0005-0000-0000-000088010000}"/>
    <cellStyle name="Normal 2 11" xfId="535" xr:uid="{00000000-0005-0000-0000-000089010000}"/>
    <cellStyle name="Normal 2 12" xfId="865" xr:uid="{00000000-0005-0000-0000-00008A010000}"/>
    <cellStyle name="Normal 2 2" xfId="8" xr:uid="{00000000-0005-0000-0000-00008B010000}"/>
    <cellStyle name="Normal 2 2 10" xfId="536" xr:uid="{00000000-0005-0000-0000-00008C010000}"/>
    <cellStyle name="Normal 2 2 11" xfId="537" xr:uid="{00000000-0005-0000-0000-00008D010000}"/>
    <cellStyle name="Normal 2 2 12" xfId="538" xr:uid="{00000000-0005-0000-0000-00008E010000}"/>
    <cellStyle name="Normal 2 2 13" xfId="539" xr:uid="{00000000-0005-0000-0000-00008F010000}"/>
    <cellStyle name="Normal 2 2 14" xfId="540" xr:uid="{00000000-0005-0000-0000-000090010000}"/>
    <cellStyle name="Normal 2 2 15" xfId="541" xr:uid="{00000000-0005-0000-0000-000091010000}"/>
    <cellStyle name="Normal 2 2 16" xfId="542" xr:uid="{00000000-0005-0000-0000-000092010000}"/>
    <cellStyle name="Normal 2 2 17" xfId="543" xr:uid="{00000000-0005-0000-0000-000093010000}"/>
    <cellStyle name="Normal 2 2 18" xfId="544" xr:uid="{00000000-0005-0000-0000-000094010000}"/>
    <cellStyle name="Normal 2 2 19" xfId="545" xr:uid="{00000000-0005-0000-0000-000095010000}"/>
    <cellStyle name="Normal 2 2 2" xfId="109" xr:uid="{00000000-0005-0000-0000-000096010000}"/>
    <cellStyle name="Normal 2 2 2 10" xfId="546" xr:uid="{00000000-0005-0000-0000-000097010000}"/>
    <cellStyle name="Normal 2 2 2 11" xfId="547" xr:uid="{00000000-0005-0000-0000-000098010000}"/>
    <cellStyle name="Normal 2 2 2 12" xfId="548" xr:uid="{00000000-0005-0000-0000-000099010000}"/>
    <cellStyle name="Normal 2 2 2 13" xfId="549" xr:uid="{00000000-0005-0000-0000-00009A010000}"/>
    <cellStyle name="Normal 2 2 2 14" xfId="550" xr:uid="{00000000-0005-0000-0000-00009B010000}"/>
    <cellStyle name="Normal 2 2 2 15" xfId="551" xr:uid="{00000000-0005-0000-0000-00009C010000}"/>
    <cellStyle name="Normal 2 2 2 16" xfId="552" xr:uid="{00000000-0005-0000-0000-00009D010000}"/>
    <cellStyle name="Normal 2 2 2 17" xfId="553" xr:uid="{00000000-0005-0000-0000-00009E010000}"/>
    <cellStyle name="Normal 2 2 2 18" xfId="554" xr:uid="{00000000-0005-0000-0000-00009F010000}"/>
    <cellStyle name="Normal 2 2 2 19" xfId="555" xr:uid="{00000000-0005-0000-0000-0000A0010000}"/>
    <cellStyle name="Normal 2 2 2 2" xfId="199" xr:uid="{00000000-0005-0000-0000-0000A1010000}"/>
    <cellStyle name="Normal 2 2 2 2 10" xfId="556" xr:uid="{00000000-0005-0000-0000-0000A2010000}"/>
    <cellStyle name="Normal 2 2 2 2 11" xfId="557" xr:uid="{00000000-0005-0000-0000-0000A3010000}"/>
    <cellStyle name="Normal 2 2 2 2 12" xfId="558" xr:uid="{00000000-0005-0000-0000-0000A4010000}"/>
    <cellStyle name="Normal 2 2 2 2 13" xfId="559" xr:uid="{00000000-0005-0000-0000-0000A5010000}"/>
    <cellStyle name="Normal 2 2 2 2 14" xfId="560" xr:uid="{00000000-0005-0000-0000-0000A6010000}"/>
    <cellStyle name="Normal 2 2 2 2 15" xfId="561" xr:uid="{00000000-0005-0000-0000-0000A7010000}"/>
    <cellStyle name="Normal 2 2 2 2 16" xfId="562" xr:uid="{00000000-0005-0000-0000-0000A8010000}"/>
    <cellStyle name="Normal 2 2 2 2 17" xfId="563" xr:uid="{00000000-0005-0000-0000-0000A9010000}"/>
    <cellStyle name="Normal 2 2 2 2 18" xfId="564" xr:uid="{00000000-0005-0000-0000-0000AA010000}"/>
    <cellStyle name="Normal 2 2 2 2 19" xfId="565" xr:uid="{00000000-0005-0000-0000-0000AB010000}"/>
    <cellStyle name="Normal 2 2 2 2 2" xfId="200" xr:uid="{00000000-0005-0000-0000-0000AC010000}"/>
    <cellStyle name="Normal 2 2 2 2 2 10" xfId="566" xr:uid="{00000000-0005-0000-0000-0000AD010000}"/>
    <cellStyle name="Normal 2 2 2 2 2 11" xfId="567" xr:uid="{00000000-0005-0000-0000-0000AE010000}"/>
    <cellStyle name="Normal 2 2 2 2 2 12" xfId="568" xr:uid="{00000000-0005-0000-0000-0000AF010000}"/>
    <cellStyle name="Normal 2 2 2 2 2 13" xfId="569" xr:uid="{00000000-0005-0000-0000-0000B0010000}"/>
    <cellStyle name="Normal 2 2 2 2 2 14" xfId="570" xr:uid="{00000000-0005-0000-0000-0000B1010000}"/>
    <cellStyle name="Normal 2 2 2 2 2 15" xfId="571" xr:uid="{00000000-0005-0000-0000-0000B2010000}"/>
    <cellStyle name="Normal 2 2 2 2 2 16" xfId="572" xr:uid="{00000000-0005-0000-0000-0000B3010000}"/>
    <cellStyle name="Normal 2 2 2 2 2 17" xfId="573" xr:uid="{00000000-0005-0000-0000-0000B4010000}"/>
    <cellStyle name="Normal 2 2 2 2 2 18" xfId="574" xr:uid="{00000000-0005-0000-0000-0000B5010000}"/>
    <cellStyle name="Normal 2 2 2 2 2 19" xfId="575" xr:uid="{00000000-0005-0000-0000-0000B6010000}"/>
    <cellStyle name="Normal 2 2 2 2 2 2" xfId="576" xr:uid="{00000000-0005-0000-0000-0000B7010000}"/>
    <cellStyle name="Normal 2 2 2 2 2 20" xfId="577" xr:uid="{00000000-0005-0000-0000-0000B8010000}"/>
    <cellStyle name="Normal 2 2 2 2 2 21" xfId="578" xr:uid="{00000000-0005-0000-0000-0000B9010000}"/>
    <cellStyle name="Normal 2 2 2 2 2 22" xfId="579" xr:uid="{00000000-0005-0000-0000-0000BA010000}"/>
    <cellStyle name="Normal 2 2 2 2 2 23" xfId="580" xr:uid="{00000000-0005-0000-0000-0000BB010000}"/>
    <cellStyle name="Normal 2 2 2 2 2 24" xfId="581" xr:uid="{00000000-0005-0000-0000-0000BC010000}"/>
    <cellStyle name="Normal 2 2 2 2 2 3" xfId="582" xr:uid="{00000000-0005-0000-0000-0000BD010000}"/>
    <cellStyle name="Normal 2 2 2 2 2 4" xfId="583" xr:uid="{00000000-0005-0000-0000-0000BE010000}"/>
    <cellStyle name="Normal 2 2 2 2 2 5" xfId="584" xr:uid="{00000000-0005-0000-0000-0000BF010000}"/>
    <cellStyle name="Normal 2 2 2 2 2 6" xfId="585" xr:uid="{00000000-0005-0000-0000-0000C0010000}"/>
    <cellStyle name="Normal 2 2 2 2 2 7" xfId="586" xr:uid="{00000000-0005-0000-0000-0000C1010000}"/>
    <cellStyle name="Normal 2 2 2 2 2 8" xfId="587" xr:uid="{00000000-0005-0000-0000-0000C2010000}"/>
    <cellStyle name="Normal 2 2 2 2 2 9" xfId="588" xr:uid="{00000000-0005-0000-0000-0000C3010000}"/>
    <cellStyle name="Normal 2 2 2 2 20" xfId="589" xr:uid="{00000000-0005-0000-0000-0000C4010000}"/>
    <cellStyle name="Normal 2 2 2 2 21" xfId="590" xr:uid="{00000000-0005-0000-0000-0000C5010000}"/>
    <cellStyle name="Normal 2 2 2 2 22" xfId="591" xr:uid="{00000000-0005-0000-0000-0000C6010000}"/>
    <cellStyle name="Normal 2 2 2 2 23" xfId="592" xr:uid="{00000000-0005-0000-0000-0000C7010000}"/>
    <cellStyle name="Normal 2 2 2 2 24" xfId="593" xr:uid="{00000000-0005-0000-0000-0000C8010000}"/>
    <cellStyle name="Normal 2 2 2 2 25" xfId="594" xr:uid="{00000000-0005-0000-0000-0000C9010000}"/>
    <cellStyle name="Normal 2 2 2 2 26" xfId="595" xr:uid="{00000000-0005-0000-0000-0000CA010000}"/>
    <cellStyle name="Normal 2 2 2 2 3" xfId="596" xr:uid="{00000000-0005-0000-0000-0000CB010000}"/>
    <cellStyle name="Normal 2 2 2 2 3 2" xfId="597" xr:uid="{00000000-0005-0000-0000-0000CC010000}"/>
    <cellStyle name="Normal 2 2 2 2 3 2 2" xfId="598" xr:uid="{00000000-0005-0000-0000-0000CD010000}"/>
    <cellStyle name="Normal 2 2 2 2 3 2 2 2" xfId="599" xr:uid="{00000000-0005-0000-0000-0000CE010000}"/>
    <cellStyle name="Normal 2 2 2 2 3 2 2 2 2" xfId="600" xr:uid="{00000000-0005-0000-0000-0000CF010000}"/>
    <cellStyle name="Normal 2 2 2 2 3 2 2 2 2 2" xfId="601" xr:uid="{00000000-0005-0000-0000-0000D0010000}"/>
    <cellStyle name="Normal 2 2 2 2 3 2 2 2 2 2 2" xfId="602" xr:uid="{00000000-0005-0000-0000-0000D1010000}"/>
    <cellStyle name="Normal 2 2 2 2 3 2 2 2 2 2 2 2" xfId="298" xr:uid="{00000000-0005-0000-0000-0000D2010000}"/>
    <cellStyle name="Normal 2 2 2 2 3 2 2 2 2 2 2 2 2" xfId="603" xr:uid="{00000000-0005-0000-0000-0000D3010000}"/>
    <cellStyle name="Normal 2 2 2 2 3 2 2 2 2 2 2 2 2 2" xfId="604" xr:uid="{00000000-0005-0000-0000-0000D4010000}"/>
    <cellStyle name="Normal 2 2 2 2 3 2 2 2 2 2 2 2 2 2 2" xfId="605" xr:uid="{00000000-0005-0000-0000-0000D5010000}"/>
    <cellStyle name="Normal 2 2 2 2 3 2 2 2 2 2 2 2 2 2 2 2" xfId="299" xr:uid="{00000000-0005-0000-0000-0000D6010000}"/>
    <cellStyle name="Normal 2 2 2 2 3 2 2 2 2 2 2 2 2 2 2 2 3" xfId="327" xr:uid="{00000000-0005-0000-0000-0000D7010000}"/>
    <cellStyle name="Normal 2 2 2 2 3 2 2 2 2 2 2 2 2 2 2 2 3 2 2 2 2" xfId="606" xr:uid="{00000000-0005-0000-0000-0000D8010000}"/>
    <cellStyle name="Normal 2 2 2 2 3 2 2 2 2 2 2 2 2 2 2 2 3 2 2 2 2 2" xfId="607" xr:uid="{00000000-0005-0000-0000-0000D9010000}"/>
    <cellStyle name="Normal 2 2 2 2 3 2 2 2 2 2 2 2 2 2 2 2 3 2 2 2 2 2 2" xfId="608" xr:uid="{00000000-0005-0000-0000-0000DA010000}"/>
    <cellStyle name="Normal 2 2 2 2 3 2 2 2 2 2 2 2 2 2 2 2 3 2 2 2 2 2 2 2" xfId="609" xr:uid="{00000000-0005-0000-0000-0000DB010000}"/>
    <cellStyle name="Normal 2 2 2 2 3 2 2 2 2 2 2 2 2 2 2 2 3 2 2 2 2 2 2 2 2" xfId="610" xr:uid="{00000000-0005-0000-0000-0000DC010000}"/>
    <cellStyle name="Normal 2 2 2 2 3 2 2 2 2 2 2 2 2 2 2 2 3 2 2 2 2 2 2 3" xfId="611" xr:uid="{00000000-0005-0000-0000-0000DD010000}"/>
    <cellStyle name="Normal 2 2 2 2 3 2 2 2 2 2 2 2 2 2 2 2 3 2 2 2 2 2 3" xfId="612" xr:uid="{00000000-0005-0000-0000-0000DE010000}"/>
    <cellStyle name="Normal 2 2 2 2 3 2 2 2 2 2 2 2 2 2 2 2 3 2 2 2 2 2 3 2" xfId="613" xr:uid="{00000000-0005-0000-0000-0000DF010000}"/>
    <cellStyle name="Normal 2 2 2 2 3 2 2 2 2 2 2 2 2 2 2 2 3 2 2 2 2 2 4" xfId="614" xr:uid="{00000000-0005-0000-0000-0000E0010000}"/>
    <cellStyle name="Normal 2 2 2 2 3 2 2 2 2 2 2 2 2 2 2 2 3 2 2 2 2 3" xfId="615" xr:uid="{00000000-0005-0000-0000-0000E1010000}"/>
    <cellStyle name="Normal 2 2 2 2 3 2 2 2 2 2 2 2 2 2 2 2 3 2 2 2 2 3 2" xfId="616" xr:uid="{00000000-0005-0000-0000-0000E2010000}"/>
    <cellStyle name="Normal 2 2 2 2 3 2 2 2 2 2 2 2 2 2 2 2 3 2 2 2 2 3 2 2" xfId="617" xr:uid="{00000000-0005-0000-0000-0000E3010000}"/>
    <cellStyle name="Normal 2 2 2 2 3 2 2 2 2 2 2 2 2 2 2 2 3 2 2 2 2 3 3" xfId="618" xr:uid="{00000000-0005-0000-0000-0000E4010000}"/>
    <cellStyle name="Normal 2 2 2 2 3 2 2 2 2 2 2 2 2 2 2 2 3 2 2 2 2 4" xfId="619" xr:uid="{00000000-0005-0000-0000-0000E5010000}"/>
    <cellStyle name="Normal 2 2 2 2 3 2 2 2 2 2 2 2 2 2 2 2 3 2 2 2 2 4 2" xfId="620" xr:uid="{00000000-0005-0000-0000-0000E6010000}"/>
    <cellStyle name="Normal 2 2 2 2 3 2 2 2 2 2 2 2 2 2 2 2 3 2 2 2 2 4 2 2" xfId="621" xr:uid="{00000000-0005-0000-0000-0000E7010000}"/>
    <cellStyle name="Normal 2 2 2 2 3 2 2 2 2 2 2 2 2 2 2 2 3 2 2 2 2 4 3" xfId="622" xr:uid="{00000000-0005-0000-0000-0000E8010000}"/>
    <cellStyle name="Normal 2 2 2 2 3 2 2 2 2 2 2 2 2 2 2 2 3 2 2 2 2 5" xfId="623" xr:uid="{00000000-0005-0000-0000-0000E9010000}"/>
    <cellStyle name="Normal 2 2 2 2 3 2 2 2 2 2 2 2 2 2 2 2 3 2 2 2 2 5 2" xfId="624" xr:uid="{00000000-0005-0000-0000-0000EA010000}"/>
    <cellStyle name="Normal 2 2 2 2 3 2 2 2 2 2 2 2 2 2 2 2 3 2 2 2 2 6" xfId="625" xr:uid="{00000000-0005-0000-0000-0000EB010000}"/>
    <cellStyle name="Normal 2 2 2 2 3 2 2 2 2 2 2 2 2 2 2 2 3 2 2 2 2 7" xfId="626" xr:uid="{00000000-0005-0000-0000-0000EC010000}"/>
    <cellStyle name="Normal 2 2 2 2 4" xfId="627" xr:uid="{00000000-0005-0000-0000-0000ED010000}"/>
    <cellStyle name="Normal 2 2 2 2 5" xfId="628" xr:uid="{00000000-0005-0000-0000-0000EE010000}"/>
    <cellStyle name="Normal 2 2 2 2 6" xfId="629" xr:uid="{00000000-0005-0000-0000-0000EF010000}"/>
    <cellStyle name="Normal 2 2 2 2 7" xfId="630" xr:uid="{00000000-0005-0000-0000-0000F0010000}"/>
    <cellStyle name="Normal 2 2 2 2 8" xfId="631" xr:uid="{00000000-0005-0000-0000-0000F1010000}"/>
    <cellStyle name="Normal 2 2 2 2 9" xfId="632" xr:uid="{00000000-0005-0000-0000-0000F2010000}"/>
    <cellStyle name="Normal 2 2 2 20" xfId="633" xr:uid="{00000000-0005-0000-0000-0000F3010000}"/>
    <cellStyle name="Normal 2 2 2 21" xfId="634" xr:uid="{00000000-0005-0000-0000-0000F4010000}"/>
    <cellStyle name="Normal 2 2 2 22" xfId="635" xr:uid="{00000000-0005-0000-0000-0000F5010000}"/>
    <cellStyle name="Normal 2 2 2 23" xfId="636" xr:uid="{00000000-0005-0000-0000-0000F6010000}"/>
    <cellStyle name="Normal 2 2 2 24" xfId="637" xr:uid="{00000000-0005-0000-0000-0000F7010000}"/>
    <cellStyle name="Normal 2 2 2 3" xfId="201" xr:uid="{00000000-0005-0000-0000-0000F8010000}"/>
    <cellStyle name="Normal 2 2 2 3 2" xfId="638" xr:uid="{00000000-0005-0000-0000-0000F9010000}"/>
    <cellStyle name="Normal 2 2 2 4" xfId="639" xr:uid="{00000000-0005-0000-0000-0000FA010000}"/>
    <cellStyle name="Normal 2 2 2 5" xfId="640" xr:uid="{00000000-0005-0000-0000-0000FB010000}"/>
    <cellStyle name="Normal 2 2 2 6" xfId="641" xr:uid="{00000000-0005-0000-0000-0000FC010000}"/>
    <cellStyle name="Normal 2 2 2 7" xfId="642" xr:uid="{00000000-0005-0000-0000-0000FD010000}"/>
    <cellStyle name="Normal 2 2 2 8" xfId="643" xr:uid="{00000000-0005-0000-0000-0000FE010000}"/>
    <cellStyle name="Normal 2 2 2 9" xfId="644" xr:uid="{00000000-0005-0000-0000-0000FF010000}"/>
    <cellStyle name="Normal 2 2 20" xfId="645" xr:uid="{00000000-0005-0000-0000-000000020000}"/>
    <cellStyle name="Normal 2 2 21" xfId="646" xr:uid="{00000000-0005-0000-0000-000001020000}"/>
    <cellStyle name="Normal 2 2 22" xfId="647" xr:uid="{00000000-0005-0000-0000-000002020000}"/>
    <cellStyle name="Normal 2 2 23" xfId="648" xr:uid="{00000000-0005-0000-0000-000003020000}"/>
    <cellStyle name="Normal 2 2 24" xfId="649" xr:uid="{00000000-0005-0000-0000-000004020000}"/>
    <cellStyle name="Normal 2 2 3" xfId="110" xr:uid="{00000000-0005-0000-0000-000005020000}"/>
    <cellStyle name="Normal 2 2 3 2" xfId="650" xr:uid="{00000000-0005-0000-0000-000006020000}"/>
    <cellStyle name="Normal 2 2 4" xfId="111" xr:uid="{00000000-0005-0000-0000-000007020000}"/>
    <cellStyle name="Normal 2 2 4 2" xfId="651" xr:uid="{00000000-0005-0000-0000-000008020000}"/>
    <cellStyle name="Normal 2 2 5" xfId="112" xr:uid="{00000000-0005-0000-0000-000009020000}"/>
    <cellStyle name="Normal 2 2 5 2" xfId="652" xr:uid="{00000000-0005-0000-0000-00000A020000}"/>
    <cellStyle name="Normal 2 2 6" xfId="113" xr:uid="{00000000-0005-0000-0000-00000B020000}"/>
    <cellStyle name="Normal 2 2 6 2" xfId="653" xr:uid="{00000000-0005-0000-0000-00000C020000}"/>
    <cellStyle name="Normal 2 2 7" xfId="114" xr:uid="{00000000-0005-0000-0000-00000D020000}"/>
    <cellStyle name="Normal 2 2 7 2" xfId="654" xr:uid="{00000000-0005-0000-0000-00000E020000}"/>
    <cellStyle name="Normal 2 2 8" xfId="108" xr:uid="{00000000-0005-0000-0000-00000F020000}"/>
    <cellStyle name="Normal 2 2 8 2" xfId="202" xr:uid="{00000000-0005-0000-0000-000010020000}"/>
    <cellStyle name="Normal 2 2 8 2 2" xfId="655" xr:uid="{00000000-0005-0000-0000-000011020000}"/>
    <cellStyle name="Normal 2 2 9" xfId="315" xr:uid="{00000000-0005-0000-0000-000012020000}"/>
    <cellStyle name="Normal 2 2 9 2" xfId="656" xr:uid="{00000000-0005-0000-0000-000013020000}"/>
    <cellStyle name="Normal 2 3" xfId="24" xr:uid="{00000000-0005-0000-0000-000014020000}"/>
    <cellStyle name="Normal 2 3 2" xfId="115" xr:uid="{00000000-0005-0000-0000-000015020000}"/>
    <cellStyle name="Normal 2 3 2 2" xfId="203" xr:uid="{00000000-0005-0000-0000-000016020000}"/>
    <cellStyle name="Normal 2 3 2 2 2" xfId="322" xr:uid="{00000000-0005-0000-0000-000017020000}"/>
    <cellStyle name="Normal 2 3 2 2 2 2" xfId="389" xr:uid="{00000000-0005-0000-0000-000018020000}"/>
    <cellStyle name="Normal 2 3 2 2 3" xfId="657" xr:uid="{00000000-0005-0000-0000-000019020000}"/>
    <cellStyle name="Normal 2 3 2 3" xfId="332" xr:uid="{00000000-0005-0000-0000-00001A020000}"/>
    <cellStyle name="Normal 2 3 3" xfId="317" xr:uid="{00000000-0005-0000-0000-00001B020000}"/>
    <cellStyle name="Normal 2 3 3 2" xfId="342" xr:uid="{00000000-0005-0000-0000-00001C020000}"/>
    <cellStyle name="Normal 2 3 3 2 2" xfId="972" xr:uid="{00000000-0005-0000-0000-00001D020000}"/>
    <cellStyle name="Normal 2 3 4" xfId="300" xr:uid="{00000000-0005-0000-0000-00001E020000}"/>
    <cellStyle name="Normal 2 3 5" xfId="329" xr:uid="{00000000-0005-0000-0000-00001F020000}"/>
    <cellStyle name="Normal 2 3 5 2" xfId="973" xr:uid="{00000000-0005-0000-0000-000020020000}"/>
    <cellStyle name="Normal 2 3 6" xfId="658" xr:uid="{00000000-0005-0000-0000-000021020000}"/>
    <cellStyle name="Normal 2 4" xfId="116" xr:uid="{00000000-0005-0000-0000-000022020000}"/>
    <cellStyle name="Normal 2 4 2" xfId="204" xr:uid="{00000000-0005-0000-0000-000023020000}"/>
    <cellStyle name="Normal 2 4 3" xfId="659" xr:uid="{00000000-0005-0000-0000-000024020000}"/>
    <cellStyle name="Normal 2 4 4" xfId="660" xr:uid="{00000000-0005-0000-0000-000025020000}"/>
    <cellStyle name="Normal 2 5" xfId="117" xr:uid="{00000000-0005-0000-0000-000026020000}"/>
    <cellStyle name="Normal 2 5 2" xfId="661" xr:uid="{00000000-0005-0000-0000-000027020000}"/>
    <cellStyle name="Normal 2 6" xfId="118" xr:uid="{00000000-0005-0000-0000-000028020000}"/>
    <cellStyle name="Normal 2 6 2" xfId="662" xr:uid="{00000000-0005-0000-0000-000029020000}"/>
    <cellStyle name="Normal 2 7" xfId="119" xr:uid="{00000000-0005-0000-0000-00002A020000}"/>
    <cellStyle name="Normal 2 7 2" xfId="663" xr:uid="{00000000-0005-0000-0000-00002B020000}"/>
    <cellStyle name="Normal 2 8" xfId="312" xr:uid="{00000000-0005-0000-0000-00002C020000}"/>
    <cellStyle name="Normal 2 8 2" xfId="365" xr:uid="{00000000-0005-0000-0000-00002D020000}"/>
    <cellStyle name="Normal 2 8 3" xfId="664" xr:uid="{00000000-0005-0000-0000-00002E020000}"/>
    <cellStyle name="Normal 2 9" xfId="297" xr:uid="{00000000-0005-0000-0000-00002F020000}"/>
    <cellStyle name="Normal 2 9 2" xfId="665" xr:uid="{00000000-0005-0000-0000-000030020000}"/>
    <cellStyle name="Normal 20" xfId="413" xr:uid="{00000000-0005-0000-0000-000031020000}"/>
    <cellStyle name="Normal 20 2" xfId="874" xr:uid="{00000000-0005-0000-0000-000032020000}"/>
    <cellStyle name="Normal 21" xfId="301" xr:uid="{00000000-0005-0000-0000-000033020000}"/>
    <cellStyle name="Normal 22" xfId="406" xr:uid="{00000000-0005-0000-0000-000034020000}"/>
    <cellStyle name="Normal 22 2" xfId="407" xr:uid="{00000000-0005-0000-0000-000035020000}"/>
    <cellStyle name="Normal 23" xfId="408" xr:uid="{00000000-0005-0000-0000-000036020000}"/>
    <cellStyle name="Normal 23 2" xfId="409" xr:uid="{00000000-0005-0000-0000-000037020000}"/>
    <cellStyle name="Normal 23 2 2" xfId="666" xr:uid="{00000000-0005-0000-0000-000038020000}"/>
    <cellStyle name="Normal 23 2 2 2" xfId="667" xr:uid="{00000000-0005-0000-0000-000039020000}"/>
    <cellStyle name="Normal 24" xfId="410" xr:uid="{00000000-0005-0000-0000-00003A020000}"/>
    <cellStyle name="Normal 24 2" xfId="668" xr:uid="{00000000-0005-0000-0000-00003B020000}"/>
    <cellStyle name="Normal 24 2 2" xfId="669" xr:uid="{00000000-0005-0000-0000-00003C020000}"/>
    <cellStyle name="Normal 24 2 2 2" xfId="670" xr:uid="{00000000-0005-0000-0000-00003D020000}"/>
    <cellStyle name="Normal 24 2 2 2 3 2 2 2 2" xfId="671" xr:uid="{00000000-0005-0000-0000-00003E020000}"/>
    <cellStyle name="Normal 25" xfId="672" xr:uid="{00000000-0005-0000-0000-00003F020000}"/>
    <cellStyle name="Normal 26" xfId="673" xr:uid="{00000000-0005-0000-0000-000040020000}"/>
    <cellStyle name="Normal 26 2" xfId="674" xr:uid="{00000000-0005-0000-0000-000041020000}"/>
    <cellStyle name="Normal 26 2 3 2 2 2 2" xfId="675" xr:uid="{00000000-0005-0000-0000-000042020000}"/>
    <cellStyle name="Normal 27" xfId="676" xr:uid="{00000000-0005-0000-0000-000043020000}"/>
    <cellStyle name="Normal 28" xfId="677" xr:uid="{00000000-0005-0000-0000-000044020000}"/>
    <cellStyle name="Normal 29" xfId="678" xr:uid="{00000000-0005-0000-0000-000045020000}"/>
    <cellStyle name="Normal 3" xfId="2" xr:uid="{00000000-0005-0000-0000-000046020000}"/>
    <cellStyle name="Normal 3 10" xfId="121" xr:uid="{00000000-0005-0000-0000-000047020000}"/>
    <cellStyle name="Normal 3 10 2" xfId="679" xr:uid="{00000000-0005-0000-0000-000048020000}"/>
    <cellStyle name="Normal 3 11" xfId="122" xr:uid="{00000000-0005-0000-0000-000049020000}"/>
    <cellStyle name="Normal 3 11 2" xfId="680" xr:uid="{00000000-0005-0000-0000-00004A020000}"/>
    <cellStyle name="Normal 3 12" xfId="123" xr:uid="{00000000-0005-0000-0000-00004B020000}"/>
    <cellStyle name="Normal 3 12 2" xfId="681" xr:uid="{00000000-0005-0000-0000-00004C020000}"/>
    <cellStyle name="Normal 3 13" xfId="124" xr:uid="{00000000-0005-0000-0000-00004D020000}"/>
    <cellStyle name="Normal 3 13 2" xfId="682" xr:uid="{00000000-0005-0000-0000-00004E020000}"/>
    <cellStyle name="Normal 3 14" xfId="125" xr:uid="{00000000-0005-0000-0000-00004F020000}"/>
    <cellStyle name="Normal 3 14 2" xfId="683" xr:uid="{00000000-0005-0000-0000-000050020000}"/>
    <cellStyle name="Normal 3 15" xfId="126" xr:uid="{00000000-0005-0000-0000-000051020000}"/>
    <cellStyle name="Normal 3 15 2" xfId="684" xr:uid="{00000000-0005-0000-0000-000052020000}"/>
    <cellStyle name="Normal 3 16" xfId="127" xr:uid="{00000000-0005-0000-0000-000053020000}"/>
    <cellStyle name="Normal 3 16 2" xfId="685" xr:uid="{00000000-0005-0000-0000-000054020000}"/>
    <cellStyle name="Normal 3 17" xfId="128" xr:uid="{00000000-0005-0000-0000-000055020000}"/>
    <cellStyle name="Normal 3 17 2" xfId="686" xr:uid="{00000000-0005-0000-0000-000056020000}"/>
    <cellStyle name="Normal 3 18" xfId="120" xr:uid="{00000000-0005-0000-0000-000057020000}"/>
    <cellStyle name="Normal 3 18 2" xfId="205" xr:uid="{00000000-0005-0000-0000-000058020000}"/>
    <cellStyle name="Normal 3 18 2 2" xfId="687" xr:uid="{00000000-0005-0000-0000-000059020000}"/>
    <cellStyle name="Normal 3 19" xfId="313" xr:uid="{00000000-0005-0000-0000-00005A020000}"/>
    <cellStyle name="Normal 3 2" xfId="14" xr:uid="{00000000-0005-0000-0000-00005B020000}"/>
    <cellStyle name="Normal 3 2 10" xfId="688" xr:uid="{00000000-0005-0000-0000-00005C020000}"/>
    <cellStyle name="Normal 3 2 11" xfId="689" xr:uid="{00000000-0005-0000-0000-00005D020000}"/>
    <cellStyle name="Normal 3 2 12" xfId="690" xr:uid="{00000000-0005-0000-0000-00005E020000}"/>
    <cellStyle name="Normal 3 2 13" xfId="691" xr:uid="{00000000-0005-0000-0000-00005F020000}"/>
    <cellStyle name="Normal 3 2 14" xfId="692" xr:uid="{00000000-0005-0000-0000-000060020000}"/>
    <cellStyle name="Normal 3 2 15" xfId="693" xr:uid="{00000000-0005-0000-0000-000061020000}"/>
    <cellStyle name="Normal 3 2 16" xfId="694" xr:uid="{00000000-0005-0000-0000-000062020000}"/>
    <cellStyle name="Normal 3 2 17" xfId="695" xr:uid="{00000000-0005-0000-0000-000063020000}"/>
    <cellStyle name="Normal 3 2 18" xfId="696" xr:uid="{00000000-0005-0000-0000-000064020000}"/>
    <cellStyle name="Normal 3 2 19" xfId="697" xr:uid="{00000000-0005-0000-0000-000065020000}"/>
    <cellStyle name="Normal 3 2 2" xfId="129" xr:uid="{00000000-0005-0000-0000-000066020000}"/>
    <cellStyle name="Normal 3 2 2 10" xfId="698" xr:uid="{00000000-0005-0000-0000-000067020000}"/>
    <cellStyle name="Normal 3 2 2 11" xfId="699" xr:uid="{00000000-0005-0000-0000-000068020000}"/>
    <cellStyle name="Normal 3 2 2 12" xfId="700" xr:uid="{00000000-0005-0000-0000-000069020000}"/>
    <cellStyle name="Normal 3 2 2 13" xfId="701" xr:uid="{00000000-0005-0000-0000-00006A020000}"/>
    <cellStyle name="Normal 3 2 2 14" xfId="702" xr:uid="{00000000-0005-0000-0000-00006B020000}"/>
    <cellStyle name="Normal 3 2 2 15" xfId="703" xr:uid="{00000000-0005-0000-0000-00006C020000}"/>
    <cellStyle name="Normal 3 2 2 16" xfId="704" xr:uid="{00000000-0005-0000-0000-00006D020000}"/>
    <cellStyle name="Normal 3 2 2 17" xfId="705" xr:uid="{00000000-0005-0000-0000-00006E020000}"/>
    <cellStyle name="Normal 3 2 2 18" xfId="706" xr:uid="{00000000-0005-0000-0000-00006F020000}"/>
    <cellStyle name="Normal 3 2 2 19" xfId="707" xr:uid="{00000000-0005-0000-0000-000070020000}"/>
    <cellStyle name="Normal 3 2 2 2" xfId="206" xr:uid="{00000000-0005-0000-0000-000071020000}"/>
    <cellStyle name="Normal 3 2 2 2 2" xfId="708" xr:uid="{00000000-0005-0000-0000-000072020000}"/>
    <cellStyle name="Normal 3 2 2 20" xfId="709" xr:uid="{00000000-0005-0000-0000-000073020000}"/>
    <cellStyle name="Normal 3 2 2 21" xfId="710" xr:uid="{00000000-0005-0000-0000-000074020000}"/>
    <cellStyle name="Normal 3 2 2 22" xfId="711" xr:uid="{00000000-0005-0000-0000-000075020000}"/>
    <cellStyle name="Normal 3 2 2 23" xfId="712" xr:uid="{00000000-0005-0000-0000-000076020000}"/>
    <cellStyle name="Normal 3 2 2 3" xfId="713" xr:uid="{00000000-0005-0000-0000-000077020000}"/>
    <cellStyle name="Normal 3 2 2 4" xfId="714" xr:uid="{00000000-0005-0000-0000-000078020000}"/>
    <cellStyle name="Normal 3 2 2 5" xfId="715" xr:uid="{00000000-0005-0000-0000-000079020000}"/>
    <cellStyle name="Normal 3 2 2 6" xfId="716" xr:uid="{00000000-0005-0000-0000-00007A020000}"/>
    <cellStyle name="Normal 3 2 2 7" xfId="717" xr:uid="{00000000-0005-0000-0000-00007B020000}"/>
    <cellStyle name="Normal 3 2 2 8" xfId="718" xr:uid="{00000000-0005-0000-0000-00007C020000}"/>
    <cellStyle name="Normal 3 2 2 9" xfId="719" xr:uid="{00000000-0005-0000-0000-00007D020000}"/>
    <cellStyle name="Normal 3 2 20" xfId="720" xr:uid="{00000000-0005-0000-0000-00007E020000}"/>
    <cellStyle name="Normal 3 2 21" xfId="721" xr:uid="{00000000-0005-0000-0000-00007F020000}"/>
    <cellStyle name="Normal 3 2 22" xfId="722" xr:uid="{00000000-0005-0000-0000-000080020000}"/>
    <cellStyle name="Normal 3 2 23" xfId="723" xr:uid="{00000000-0005-0000-0000-000081020000}"/>
    <cellStyle name="Normal 3 2 24" xfId="724" xr:uid="{00000000-0005-0000-0000-000082020000}"/>
    <cellStyle name="Normal 3 2 25" xfId="725" xr:uid="{00000000-0005-0000-0000-000083020000}"/>
    <cellStyle name="Normal 3 2 26" xfId="726" xr:uid="{00000000-0005-0000-0000-000084020000}"/>
    <cellStyle name="Normal 3 2 3" xfId="207" xr:uid="{00000000-0005-0000-0000-000085020000}"/>
    <cellStyle name="Normal 3 2 3 2" xfId="302" xr:uid="{00000000-0005-0000-0000-000086020000}"/>
    <cellStyle name="Normal 3 2 3 2 2" xfId="727" xr:uid="{00000000-0005-0000-0000-000087020000}"/>
    <cellStyle name="Normal 3 2 3 2 2 2" xfId="303" xr:uid="{00000000-0005-0000-0000-000088020000}"/>
    <cellStyle name="Normal 3 2 3 2 2 2 2" xfId="728" xr:uid="{00000000-0005-0000-0000-000089020000}"/>
    <cellStyle name="Normal 3 2 3 2 2 2 2 2" xfId="304" xr:uid="{00000000-0005-0000-0000-00008A020000}"/>
    <cellStyle name="Normal 3 2 3 2 2 2 2 2 2" xfId="729" xr:uid="{00000000-0005-0000-0000-00008B020000}"/>
    <cellStyle name="Normal 3 2 3 2 2 2 2 2 2 2" xfId="305" xr:uid="{00000000-0005-0000-0000-00008C020000}"/>
    <cellStyle name="Normal 3 2 3 2 2 2 2 2 2 2 2" xfId="306" xr:uid="{00000000-0005-0000-0000-00008D020000}"/>
    <cellStyle name="Normal 3 2 3 2 2 2 2 2 2 2 2 2" xfId="730" xr:uid="{00000000-0005-0000-0000-00008E020000}"/>
    <cellStyle name="Normal 3 2 3 2 2 2 2 2 2 2 2 2 2" xfId="307" xr:uid="{00000000-0005-0000-0000-00008F020000}"/>
    <cellStyle name="Normal 3 2 3 2 2 2 2 2 2 2 2 2 2 2" xfId="308" xr:uid="{00000000-0005-0000-0000-000090020000}"/>
    <cellStyle name="Normal 3 2 3 2 2 2 2 2 2 2 2 2 2 2 3" xfId="310" xr:uid="{00000000-0005-0000-0000-000091020000}"/>
    <cellStyle name="Normal 3 2 3 2 2 2 2 2 2 2 2 2 2 2 3 2 2 2 2" xfId="411" xr:uid="{00000000-0005-0000-0000-000092020000}"/>
    <cellStyle name="Normal 3 2 3 2 2 2 2 2 2 2 2 2 2 2 3 2 2 2 2 2" xfId="731" xr:uid="{00000000-0005-0000-0000-000093020000}"/>
    <cellStyle name="Normal 3 2 3 2 2 2 2 2 2 2 2 2 2 2 3 2 2 2 2 2 2" xfId="732" xr:uid="{00000000-0005-0000-0000-000094020000}"/>
    <cellStyle name="Normal 3 2 3 2 2 2 2 2 2 2 2 2 2 2 3 2 2 2 2 2 2 2" xfId="733" xr:uid="{00000000-0005-0000-0000-000095020000}"/>
    <cellStyle name="Normal 3 2 3 2 2 2 2 2 2 2 2 2 2 2 3 2 2 2 2 2 2 2 2" xfId="734" xr:uid="{00000000-0005-0000-0000-000096020000}"/>
    <cellStyle name="Normal 3 2 3 2 2 2 2 2 2 2 2 2 2 2 3 2 2 2 2 2 2 3" xfId="735" xr:uid="{00000000-0005-0000-0000-000097020000}"/>
    <cellStyle name="Normal 3 2 3 2 2 2 2 2 2 2 2 2 2 2 3 2 2 2 2 2 3" xfId="736" xr:uid="{00000000-0005-0000-0000-000098020000}"/>
    <cellStyle name="Normal 3 2 3 2 2 2 2 2 2 2 2 2 2 2 3 2 2 2 2 2 3 2" xfId="737" xr:uid="{00000000-0005-0000-0000-000099020000}"/>
    <cellStyle name="Normal 3 2 3 2 2 2 2 2 2 2 2 2 2 2 3 2 2 2 2 2 4" xfId="738" xr:uid="{00000000-0005-0000-0000-00009A020000}"/>
    <cellStyle name="Normal 3 2 3 2 2 2 2 2 2 2 2 2 2 2 3 2 2 2 2 3" xfId="739" xr:uid="{00000000-0005-0000-0000-00009B020000}"/>
    <cellStyle name="Normal 3 2 3 2 2 2 2 2 2 2 2 2 2 2 3 2 2 2 2 3 2" xfId="740" xr:uid="{00000000-0005-0000-0000-00009C020000}"/>
    <cellStyle name="Normal 3 2 3 2 2 2 2 2 2 2 2 2 2 2 3 2 2 2 2 3 2 2" xfId="741" xr:uid="{00000000-0005-0000-0000-00009D020000}"/>
    <cellStyle name="Normal 3 2 3 2 2 2 2 2 2 2 2 2 2 2 3 2 2 2 2 3 3" xfId="742" xr:uid="{00000000-0005-0000-0000-00009E020000}"/>
    <cellStyle name="Normal 3 2 3 2 2 2 2 2 2 2 2 2 2 2 3 2 2 2 2 4" xfId="743" xr:uid="{00000000-0005-0000-0000-00009F020000}"/>
    <cellStyle name="Normal 3 2 3 2 2 2 2 2 2 2 2 2 2 2 3 2 2 2 2 4 2" xfId="744" xr:uid="{00000000-0005-0000-0000-0000A0020000}"/>
    <cellStyle name="Normal 3 2 3 2 2 2 2 2 2 2 2 2 2 2 3 2 2 2 2 4 2 2" xfId="745" xr:uid="{00000000-0005-0000-0000-0000A1020000}"/>
    <cellStyle name="Normal 3 2 3 2 2 2 2 2 2 2 2 2 2 2 3 2 2 2 2 4 3" xfId="746" xr:uid="{00000000-0005-0000-0000-0000A2020000}"/>
    <cellStyle name="Normal 3 2 3 2 2 2 2 2 2 2 2 2 2 2 3 2 2 2 2 5" xfId="747" xr:uid="{00000000-0005-0000-0000-0000A3020000}"/>
    <cellStyle name="Normal 3 2 3 2 2 2 2 2 2 2 2 2 2 2 3 2 2 2 2 5 2" xfId="748" xr:uid="{00000000-0005-0000-0000-0000A4020000}"/>
    <cellStyle name="Normal 3 2 3 2 2 2 2 2 2 2 2 2 2 2 3 2 2 2 2 6" xfId="749" xr:uid="{00000000-0005-0000-0000-0000A5020000}"/>
    <cellStyle name="Normal 3 2 3 2 2 2 2 2 2 2 2 2 2 2 3 2 2 2 2 7" xfId="750" xr:uid="{00000000-0005-0000-0000-0000A6020000}"/>
    <cellStyle name="Normal 3 2 3 3" xfId="751" xr:uid="{00000000-0005-0000-0000-0000A7020000}"/>
    <cellStyle name="Normal 3 2 4" xfId="752" xr:uid="{00000000-0005-0000-0000-0000A8020000}"/>
    <cellStyle name="Normal 3 2 5" xfId="753" xr:uid="{00000000-0005-0000-0000-0000A9020000}"/>
    <cellStyle name="Normal 3 2 6" xfId="754" xr:uid="{00000000-0005-0000-0000-0000AA020000}"/>
    <cellStyle name="Normal 3 2 7" xfId="755" xr:uid="{00000000-0005-0000-0000-0000AB020000}"/>
    <cellStyle name="Normal 3 2 8" xfId="756" xr:uid="{00000000-0005-0000-0000-0000AC020000}"/>
    <cellStyle name="Normal 3 2 9" xfId="757" xr:uid="{00000000-0005-0000-0000-0000AD020000}"/>
    <cellStyle name="Normal 3 20" xfId="758" xr:uid="{00000000-0005-0000-0000-0000AE020000}"/>
    <cellStyle name="Normal 3 21" xfId="759" xr:uid="{00000000-0005-0000-0000-0000AF020000}"/>
    <cellStyle name="Normal 3 22" xfId="760" xr:uid="{00000000-0005-0000-0000-0000B0020000}"/>
    <cellStyle name="Normal 3 23" xfId="761" xr:uid="{00000000-0005-0000-0000-0000B1020000}"/>
    <cellStyle name="Normal 3 24" xfId="762" xr:uid="{00000000-0005-0000-0000-0000B2020000}"/>
    <cellStyle name="Normal 3 25" xfId="763" xr:uid="{00000000-0005-0000-0000-0000B3020000}"/>
    <cellStyle name="Normal 3 3" xfId="13" xr:uid="{00000000-0005-0000-0000-0000B4020000}"/>
    <cellStyle name="Normal 3 3 2" xfId="130" xr:uid="{00000000-0005-0000-0000-0000B5020000}"/>
    <cellStyle name="Normal 3 3 2 2" xfId="764" xr:uid="{00000000-0005-0000-0000-0000B6020000}"/>
    <cellStyle name="Normal 3 3 3" xfId="344" xr:uid="{00000000-0005-0000-0000-0000B7020000}"/>
    <cellStyle name="Normal 3 3 3 2" xfId="765" xr:uid="{00000000-0005-0000-0000-0000B8020000}"/>
    <cellStyle name="Normal 3 3 4" xfId="333" xr:uid="{00000000-0005-0000-0000-0000B9020000}"/>
    <cellStyle name="Normal 3 3 5" xfId="766" xr:uid="{00000000-0005-0000-0000-0000BA020000}"/>
    <cellStyle name="Normal 3 3 6" xfId="767" xr:uid="{00000000-0005-0000-0000-0000BB020000}"/>
    <cellStyle name="Normal 3 4" xfId="25" xr:uid="{00000000-0005-0000-0000-0000BC020000}"/>
    <cellStyle name="Normal 3 4 2" xfId="131" xr:uid="{00000000-0005-0000-0000-0000BD020000}"/>
    <cellStyle name="Normal 3 4 3" xfId="768" xr:uid="{00000000-0005-0000-0000-0000BE020000}"/>
    <cellStyle name="Normal 3 5" xfId="132" xr:uid="{00000000-0005-0000-0000-0000BF020000}"/>
    <cellStyle name="Normal 3 5 2" xfId="769" xr:uid="{00000000-0005-0000-0000-0000C0020000}"/>
    <cellStyle name="Normal 3 6" xfId="133" xr:uid="{00000000-0005-0000-0000-0000C1020000}"/>
    <cellStyle name="Normal 3 6 2" xfId="770" xr:uid="{00000000-0005-0000-0000-0000C2020000}"/>
    <cellStyle name="Normal 3 7" xfId="134" xr:uid="{00000000-0005-0000-0000-0000C3020000}"/>
    <cellStyle name="Normal 3 7 2" xfId="771" xr:uid="{00000000-0005-0000-0000-0000C4020000}"/>
    <cellStyle name="Normal 3 8" xfId="135" xr:uid="{00000000-0005-0000-0000-0000C5020000}"/>
    <cellStyle name="Normal 3 8 2" xfId="772" xr:uid="{00000000-0005-0000-0000-0000C6020000}"/>
    <cellStyle name="Normal 3 9" xfId="136" xr:uid="{00000000-0005-0000-0000-0000C7020000}"/>
    <cellStyle name="Normal 3 9 2" xfId="773" xr:uid="{00000000-0005-0000-0000-0000C8020000}"/>
    <cellStyle name="Normal 30" xfId="774" xr:uid="{00000000-0005-0000-0000-0000C9020000}"/>
    <cellStyle name="Normal 31" xfId="775" xr:uid="{00000000-0005-0000-0000-0000CA020000}"/>
    <cellStyle name="Normal 32" xfId="776" xr:uid="{00000000-0005-0000-0000-0000CB020000}"/>
    <cellStyle name="Normal 33" xfId="777" xr:uid="{00000000-0005-0000-0000-0000CC020000}"/>
    <cellStyle name="Normal 34" xfId="778" xr:uid="{00000000-0005-0000-0000-0000CD020000}"/>
    <cellStyle name="Normal 35" xfId="863" xr:uid="{00000000-0005-0000-0000-0000CE020000}"/>
    <cellStyle name="Normal 35 2" xfId="875" xr:uid="{00000000-0005-0000-0000-0000CF020000}"/>
    <cellStyle name="Normal 36" xfId="864" xr:uid="{00000000-0005-0000-0000-0000D0020000}"/>
    <cellStyle name="Normal 36 2" xfId="876" xr:uid="{00000000-0005-0000-0000-0000D1020000}"/>
    <cellStyle name="Normal 37" xfId="867" xr:uid="{00000000-0005-0000-0000-0000D2020000}"/>
    <cellStyle name="Normal 38" xfId="877" xr:uid="{00000000-0005-0000-0000-0000D3020000}"/>
    <cellStyle name="Normal 39" xfId="878" xr:uid="{00000000-0005-0000-0000-0000D4020000}"/>
    <cellStyle name="Normal 4" xfId="3" xr:uid="{00000000-0005-0000-0000-0000D5020000}"/>
    <cellStyle name="Normal 4 10" xfId="137" xr:uid="{00000000-0005-0000-0000-0000D6020000}"/>
    <cellStyle name="Normal 4 11" xfId="138" xr:uid="{00000000-0005-0000-0000-0000D7020000}"/>
    <cellStyle name="Normal 4 12" xfId="208" xr:uid="{00000000-0005-0000-0000-0000D8020000}"/>
    <cellStyle name="Normal 4 12 2" xfId="314" xr:uid="{00000000-0005-0000-0000-0000D9020000}"/>
    <cellStyle name="Normal 4 13" xfId="209" xr:uid="{00000000-0005-0000-0000-0000DA020000}"/>
    <cellStyle name="Normal 4 14" xfId="210" xr:uid="{00000000-0005-0000-0000-0000DB020000}"/>
    <cellStyle name="Normal 4 15" xfId="211" xr:uid="{00000000-0005-0000-0000-0000DC020000}"/>
    <cellStyle name="Normal 4 16" xfId="212" xr:uid="{00000000-0005-0000-0000-0000DD020000}"/>
    <cellStyle name="Normal 4 17" xfId="213" xr:uid="{00000000-0005-0000-0000-0000DE020000}"/>
    <cellStyle name="Normal 4 18" xfId="214" xr:uid="{00000000-0005-0000-0000-0000DF020000}"/>
    <cellStyle name="Normal 4 19" xfId="215" xr:uid="{00000000-0005-0000-0000-0000E0020000}"/>
    <cellStyle name="Normal 4 2" xfId="7" xr:uid="{00000000-0005-0000-0000-0000E1020000}"/>
    <cellStyle name="Normal 4 2 10" xfId="334" xr:uid="{00000000-0005-0000-0000-0000E2020000}"/>
    <cellStyle name="Normal 4 2 11" xfId="779" xr:uid="{00000000-0005-0000-0000-0000E3020000}"/>
    <cellStyle name="Normal 4 2 12" xfId="780" xr:uid="{00000000-0005-0000-0000-0000E4020000}"/>
    <cellStyle name="Normal 4 2 2" xfId="140" xr:uid="{00000000-0005-0000-0000-0000E5020000}"/>
    <cellStyle name="Normal 4 2 2 2" xfId="781" xr:uid="{00000000-0005-0000-0000-0000E6020000}"/>
    <cellStyle name="Normal 4 2 3" xfId="141" xr:uid="{00000000-0005-0000-0000-0000E7020000}"/>
    <cellStyle name="Normal 4 2 4" xfId="142" xr:uid="{00000000-0005-0000-0000-0000E8020000}"/>
    <cellStyle name="Normal 4 2 5" xfId="143" xr:uid="{00000000-0005-0000-0000-0000E9020000}"/>
    <cellStyle name="Normal 4 2 6" xfId="144" xr:uid="{00000000-0005-0000-0000-0000EA020000}"/>
    <cellStyle name="Normal 4 2 7" xfId="145" xr:uid="{00000000-0005-0000-0000-0000EB020000}"/>
    <cellStyle name="Normal 4 2 8" xfId="139" xr:uid="{00000000-0005-0000-0000-0000EC020000}"/>
    <cellStyle name="Normal 4 2 9" xfId="343" xr:uid="{00000000-0005-0000-0000-0000ED020000}"/>
    <cellStyle name="Normal 4 2 9 2" xfId="782" xr:uid="{00000000-0005-0000-0000-0000EE020000}"/>
    <cellStyle name="Normal 4 20" xfId="216" xr:uid="{00000000-0005-0000-0000-0000EF020000}"/>
    <cellStyle name="Normal 4 21" xfId="217" xr:uid="{00000000-0005-0000-0000-0000F0020000}"/>
    <cellStyle name="Normal 4 22" xfId="218" xr:uid="{00000000-0005-0000-0000-0000F1020000}"/>
    <cellStyle name="Normal 4 23" xfId="219" xr:uid="{00000000-0005-0000-0000-0000F2020000}"/>
    <cellStyle name="Normal 4 24" xfId="220" xr:uid="{00000000-0005-0000-0000-0000F3020000}"/>
    <cellStyle name="Normal 4 25" xfId="221" xr:uid="{00000000-0005-0000-0000-0000F4020000}"/>
    <cellStyle name="Normal 4 26" xfId="222" xr:uid="{00000000-0005-0000-0000-0000F5020000}"/>
    <cellStyle name="Normal 4 27" xfId="223" xr:uid="{00000000-0005-0000-0000-0000F6020000}"/>
    <cellStyle name="Normal 4 28" xfId="224" xr:uid="{00000000-0005-0000-0000-0000F7020000}"/>
    <cellStyle name="Normal 4 29" xfId="225" xr:uid="{00000000-0005-0000-0000-0000F8020000}"/>
    <cellStyle name="Normal 4 3" xfId="15" xr:uid="{00000000-0005-0000-0000-0000F9020000}"/>
    <cellStyle name="Normal 4 3 2" xfId="783" xr:uid="{00000000-0005-0000-0000-0000FA020000}"/>
    <cellStyle name="Normal 4 30" xfId="226" xr:uid="{00000000-0005-0000-0000-0000FB020000}"/>
    <cellStyle name="Normal 4 31" xfId="227" xr:uid="{00000000-0005-0000-0000-0000FC020000}"/>
    <cellStyle name="Normal 4 32" xfId="228" xr:uid="{00000000-0005-0000-0000-0000FD020000}"/>
    <cellStyle name="Normal 4 33" xfId="229" xr:uid="{00000000-0005-0000-0000-0000FE020000}"/>
    <cellStyle name="Normal 4 34" xfId="230" xr:uid="{00000000-0005-0000-0000-0000FF020000}"/>
    <cellStyle name="Normal 4 35" xfId="231" xr:uid="{00000000-0005-0000-0000-000000030000}"/>
    <cellStyle name="Normal 4 36" xfId="232" xr:uid="{00000000-0005-0000-0000-000001030000}"/>
    <cellStyle name="Normal 4 37" xfId="233" xr:uid="{00000000-0005-0000-0000-000002030000}"/>
    <cellStyle name="Normal 4 38" xfId="234" xr:uid="{00000000-0005-0000-0000-000003030000}"/>
    <cellStyle name="Normal 4 39" xfId="235" xr:uid="{00000000-0005-0000-0000-000004030000}"/>
    <cellStyle name="Normal 4 4" xfId="26" xr:uid="{00000000-0005-0000-0000-000005030000}"/>
    <cellStyle name="Normal 4 4 2" xfId="146" xr:uid="{00000000-0005-0000-0000-000006030000}"/>
    <cellStyle name="Normal 4 4 3" xfId="784" xr:uid="{00000000-0005-0000-0000-000007030000}"/>
    <cellStyle name="Normal 4 4 4" xfId="785" xr:uid="{00000000-0005-0000-0000-000008030000}"/>
    <cellStyle name="Normal 4 40" xfId="236" xr:uid="{00000000-0005-0000-0000-000009030000}"/>
    <cellStyle name="Normal 4 41" xfId="237" xr:uid="{00000000-0005-0000-0000-00000A030000}"/>
    <cellStyle name="Normal 4 42" xfId="238" xr:uid="{00000000-0005-0000-0000-00000B030000}"/>
    <cellStyle name="Normal 4 43" xfId="239" xr:uid="{00000000-0005-0000-0000-00000C030000}"/>
    <cellStyle name="Normal 4 44" xfId="240" xr:uid="{00000000-0005-0000-0000-00000D030000}"/>
    <cellStyle name="Normal 4 45" xfId="241" xr:uid="{00000000-0005-0000-0000-00000E030000}"/>
    <cellStyle name="Normal 4 46" xfId="242" xr:uid="{00000000-0005-0000-0000-00000F030000}"/>
    <cellStyle name="Normal 4 47" xfId="243" xr:uid="{00000000-0005-0000-0000-000010030000}"/>
    <cellStyle name="Normal 4 48" xfId="244" xr:uid="{00000000-0005-0000-0000-000011030000}"/>
    <cellStyle name="Normal 4 49" xfId="245" xr:uid="{00000000-0005-0000-0000-000012030000}"/>
    <cellStyle name="Normal 4 5" xfId="147" xr:uid="{00000000-0005-0000-0000-000013030000}"/>
    <cellStyle name="Normal 4 50" xfId="246" xr:uid="{00000000-0005-0000-0000-000014030000}"/>
    <cellStyle name="Normal 4 51" xfId="247" xr:uid="{00000000-0005-0000-0000-000015030000}"/>
    <cellStyle name="Normal 4 52" xfId="248" xr:uid="{00000000-0005-0000-0000-000016030000}"/>
    <cellStyle name="Normal 4 53" xfId="249" xr:uid="{00000000-0005-0000-0000-000017030000}"/>
    <cellStyle name="Normal 4 54" xfId="250" xr:uid="{00000000-0005-0000-0000-000018030000}"/>
    <cellStyle name="Normal 4 55" xfId="251" xr:uid="{00000000-0005-0000-0000-000019030000}"/>
    <cellStyle name="Normal 4 56" xfId="252" xr:uid="{00000000-0005-0000-0000-00001A030000}"/>
    <cellStyle name="Normal 4 57" xfId="253" xr:uid="{00000000-0005-0000-0000-00001B030000}"/>
    <cellStyle name="Normal 4 58" xfId="254" xr:uid="{00000000-0005-0000-0000-00001C030000}"/>
    <cellStyle name="Normal 4 59" xfId="255" xr:uid="{00000000-0005-0000-0000-00001D030000}"/>
    <cellStyle name="Normal 4 6" xfId="148" xr:uid="{00000000-0005-0000-0000-00001E030000}"/>
    <cellStyle name="Normal 4 60" xfId="256" xr:uid="{00000000-0005-0000-0000-00001F030000}"/>
    <cellStyle name="Normal 4 61" xfId="257" xr:uid="{00000000-0005-0000-0000-000020030000}"/>
    <cellStyle name="Normal 4 62" xfId="258" xr:uid="{00000000-0005-0000-0000-000021030000}"/>
    <cellStyle name="Normal 4 63" xfId="259" xr:uid="{00000000-0005-0000-0000-000022030000}"/>
    <cellStyle name="Normal 4 64" xfId="260" xr:uid="{00000000-0005-0000-0000-000023030000}"/>
    <cellStyle name="Normal 4 65" xfId="261" xr:uid="{00000000-0005-0000-0000-000024030000}"/>
    <cellStyle name="Normal 4 66" xfId="262" xr:uid="{00000000-0005-0000-0000-000025030000}"/>
    <cellStyle name="Normal 4 67" xfId="263" xr:uid="{00000000-0005-0000-0000-000026030000}"/>
    <cellStyle name="Normal 4 68" xfId="264" xr:uid="{00000000-0005-0000-0000-000027030000}"/>
    <cellStyle name="Normal 4 69" xfId="265" xr:uid="{00000000-0005-0000-0000-000028030000}"/>
    <cellStyle name="Normal 4 7" xfId="149" xr:uid="{00000000-0005-0000-0000-000029030000}"/>
    <cellStyle name="Normal 4 70" xfId="266" xr:uid="{00000000-0005-0000-0000-00002A030000}"/>
    <cellStyle name="Normal 4 71" xfId="267" xr:uid="{00000000-0005-0000-0000-00002B030000}"/>
    <cellStyle name="Normal 4 72" xfId="268" xr:uid="{00000000-0005-0000-0000-00002C030000}"/>
    <cellStyle name="Normal 4 73" xfId="269" xr:uid="{00000000-0005-0000-0000-00002D030000}"/>
    <cellStyle name="Normal 4 74" xfId="270" xr:uid="{00000000-0005-0000-0000-00002E030000}"/>
    <cellStyle name="Normal 4 75" xfId="271" xr:uid="{00000000-0005-0000-0000-00002F030000}"/>
    <cellStyle name="Normal 4 76" xfId="272" xr:uid="{00000000-0005-0000-0000-000030030000}"/>
    <cellStyle name="Normal 4 77" xfId="273" xr:uid="{00000000-0005-0000-0000-000031030000}"/>
    <cellStyle name="Normal 4 78" xfId="274" xr:uid="{00000000-0005-0000-0000-000032030000}"/>
    <cellStyle name="Normal 4 79" xfId="275" xr:uid="{00000000-0005-0000-0000-000033030000}"/>
    <cellStyle name="Normal 4 8" xfId="150" xr:uid="{00000000-0005-0000-0000-000034030000}"/>
    <cellStyle name="Normal 4 80" xfId="276" xr:uid="{00000000-0005-0000-0000-000035030000}"/>
    <cellStyle name="Normal 4 81" xfId="295" xr:uid="{00000000-0005-0000-0000-000036030000}"/>
    <cellStyle name="Normal 4 81 2" xfId="974" xr:uid="{00000000-0005-0000-0000-000037030000}"/>
    <cellStyle name="Normal 4 9" xfId="151" xr:uid="{00000000-0005-0000-0000-000038030000}"/>
    <cellStyle name="Normal 4_Daily Production" xfId="277" xr:uid="{00000000-0005-0000-0000-000039030000}"/>
    <cellStyle name="Normal 40" xfId="879" xr:uid="{00000000-0005-0000-0000-00003A030000}"/>
    <cellStyle name="Normal 41" xfId="1035" xr:uid="{00000000-0005-0000-0000-00003B030000}"/>
    <cellStyle name="Normal 5" xfId="4" xr:uid="{00000000-0005-0000-0000-00003C030000}"/>
    <cellStyle name="Normal 5 2" xfId="10" xr:uid="{00000000-0005-0000-0000-00003D030000}"/>
    <cellStyle name="Normal 5 2 2" xfId="153" xr:uid="{00000000-0005-0000-0000-00003E030000}"/>
    <cellStyle name="Normal 5 2 3" xfId="154" xr:uid="{00000000-0005-0000-0000-00003F030000}"/>
    <cellStyle name="Normal 5 2 4" xfId="155" xr:uid="{00000000-0005-0000-0000-000040030000}"/>
    <cellStyle name="Normal 5 2 5" xfId="156" xr:uid="{00000000-0005-0000-0000-000041030000}"/>
    <cellStyle name="Normal 5 2 6" xfId="157" xr:uid="{00000000-0005-0000-0000-000042030000}"/>
    <cellStyle name="Normal 5 2 7" xfId="158" xr:uid="{00000000-0005-0000-0000-000043030000}"/>
    <cellStyle name="Normal 5 2 8" xfId="152" xr:uid="{00000000-0005-0000-0000-000044030000}"/>
    <cellStyle name="Normal 5 2 9" xfId="786" xr:uid="{00000000-0005-0000-0000-000045030000}"/>
    <cellStyle name="Normal 5 3" xfId="16" xr:uid="{00000000-0005-0000-0000-000046030000}"/>
    <cellStyle name="Normal 5 4" xfId="159" xr:uid="{00000000-0005-0000-0000-000047030000}"/>
    <cellStyle name="Normal 5 5" xfId="160" xr:uid="{00000000-0005-0000-0000-000048030000}"/>
    <cellStyle name="Normal 5 6" xfId="161" xr:uid="{00000000-0005-0000-0000-000049030000}"/>
    <cellStyle name="Normal 5 7" xfId="162" xr:uid="{00000000-0005-0000-0000-00004A030000}"/>
    <cellStyle name="Normal 5 8" xfId="787" xr:uid="{00000000-0005-0000-0000-00004B030000}"/>
    <cellStyle name="Normal 6" xfId="5" xr:uid="{00000000-0005-0000-0000-00004C030000}"/>
    <cellStyle name="Normal 6 10" xfId="788" xr:uid="{00000000-0005-0000-0000-00004D030000}"/>
    <cellStyle name="Normal 6 11" xfId="789" xr:uid="{00000000-0005-0000-0000-00004E030000}"/>
    <cellStyle name="Normal 6 2" xfId="17" xr:uid="{00000000-0005-0000-0000-00004F030000}"/>
    <cellStyle name="Normal 6 2 2" xfId="345" xr:uid="{00000000-0005-0000-0000-000050030000}"/>
    <cellStyle name="Normal 6 2 2 2" xfId="790" xr:uid="{00000000-0005-0000-0000-000051030000}"/>
    <cellStyle name="Normal 6 2 2 2 2" xfId="791" xr:uid="{00000000-0005-0000-0000-000052030000}"/>
    <cellStyle name="Normal 6 2 2 3" xfId="792" xr:uid="{00000000-0005-0000-0000-000053030000}"/>
    <cellStyle name="Normal 6 2 3" xfId="331" xr:uid="{00000000-0005-0000-0000-000054030000}"/>
    <cellStyle name="Normal 6 2 3 2" xfId="793" xr:uid="{00000000-0005-0000-0000-000055030000}"/>
    <cellStyle name="Normal 6 2 4" xfId="794" xr:uid="{00000000-0005-0000-0000-000056030000}"/>
    <cellStyle name="Normal 6 2 5" xfId="795" xr:uid="{00000000-0005-0000-0000-000057030000}"/>
    <cellStyle name="Normal 6 3" xfId="164" xr:uid="{00000000-0005-0000-0000-000058030000}"/>
    <cellStyle name="Normal 6 3 2" xfId="364" xr:uid="{00000000-0005-0000-0000-000059030000}"/>
    <cellStyle name="Normal 6 3 2 2" xfId="796" xr:uid="{00000000-0005-0000-0000-00005A030000}"/>
    <cellStyle name="Normal 6 3 2 3" xfId="797" xr:uid="{00000000-0005-0000-0000-00005B030000}"/>
    <cellStyle name="Normal 6 3 3" xfId="798" xr:uid="{00000000-0005-0000-0000-00005C030000}"/>
    <cellStyle name="Normal 6 4" xfId="165" xr:uid="{00000000-0005-0000-0000-00005D030000}"/>
    <cellStyle name="Normal 6 4 2" xfId="799" xr:uid="{00000000-0005-0000-0000-00005E030000}"/>
    <cellStyle name="Normal 6 5" xfId="166" xr:uid="{00000000-0005-0000-0000-00005F030000}"/>
    <cellStyle name="Normal 6 6" xfId="167" xr:uid="{00000000-0005-0000-0000-000060030000}"/>
    <cellStyle name="Normal 6 7" xfId="168" xr:uid="{00000000-0005-0000-0000-000061030000}"/>
    <cellStyle name="Normal 6 8" xfId="163" xr:uid="{00000000-0005-0000-0000-000062030000}"/>
    <cellStyle name="Normal 6 9" xfId="800" xr:uid="{00000000-0005-0000-0000-000063030000}"/>
    <cellStyle name="Normal 7" xfId="6" xr:uid="{00000000-0005-0000-0000-000064030000}"/>
    <cellStyle name="Normal 7 2" xfId="18" xr:uid="{00000000-0005-0000-0000-000065030000}"/>
    <cellStyle name="Normal 7 2 2" xfId="346" xr:uid="{00000000-0005-0000-0000-000066030000}"/>
    <cellStyle name="Normal 7 2 2 2" xfId="801" xr:uid="{00000000-0005-0000-0000-000067030000}"/>
    <cellStyle name="Normal 7 2 2 3" xfId="802" xr:uid="{00000000-0005-0000-0000-000068030000}"/>
    <cellStyle name="Normal 7 2 3" xfId="330" xr:uid="{00000000-0005-0000-0000-000069030000}"/>
    <cellStyle name="Normal 7 2 4" xfId="803" xr:uid="{00000000-0005-0000-0000-00006A030000}"/>
    <cellStyle name="Normal 7 2 5" xfId="804" xr:uid="{00000000-0005-0000-0000-00006B030000}"/>
    <cellStyle name="Normal 7 3" xfId="170" xr:uid="{00000000-0005-0000-0000-00006C030000}"/>
    <cellStyle name="Normal 7 3 2" xfId="805" xr:uid="{00000000-0005-0000-0000-00006D030000}"/>
    <cellStyle name="Normal 7 4" xfId="171" xr:uid="{00000000-0005-0000-0000-00006E030000}"/>
    <cellStyle name="Normal 7 5" xfId="172" xr:uid="{00000000-0005-0000-0000-00006F030000}"/>
    <cellStyle name="Normal 7 6" xfId="173" xr:uid="{00000000-0005-0000-0000-000070030000}"/>
    <cellStyle name="Normal 7 7" xfId="174" xr:uid="{00000000-0005-0000-0000-000071030000}"/>
    <cellStyle name="Normal 7 8" xfId="169" xr:uid="{00000000-0005-0000-0000-000072030000}"/>
    <cellStyle name="Normal 7 8 2" xfId="806" xr:uid="{00000000-0005-0000-0000-000073030000}"/>
    <cellStyle name="Normal 7 9" xfId="807" xr:uid="{00000000-0005-0000-0000-000074030000}"/>
    <cellStyle name="Normal 8" xfId="19" xr:uid="{00000000-0005-0000-0000-000075030000}"/>
    <cellStyle name="Normal 8 2" xfId="808" xr:uid="{00000000-0005-0000-0000-000076030000}"/>
    <cellStyle name="Normal 8 2 2" xfId="809" xr:uid="{00000000-0005-0000-0000-000077030000}"/>
    <cellStyle name="Normal 8 2 3" xfId="810" xr:uid="{00000000-0005-0000-0000-000078030000}"/>
    <cellStyle name="Normal 8 3" xfId="811" xr:uid="{00000000-0005-0000-0000-000079030000}"/>
    <cellStyle name="Normal 8 3 2" xfId="812" xr:uid="{00000000-0005-0000-0000-00007A030000}"/>
    <cellStyle name="Normal 8 4" xfId="813" xr:uid="{00000000-0005-0000-0000-00007B030000}"/>
    <cellStyle name="Normal 9" xfId="23" xr:uid="{00000000-0005-0000-0000-00007C030000}"/>
    <cellStyle name="Normal 9 2" xfId="175" xr:uid="{00000000-0005-0000-0000-00007D030000}"/>
    <cellStyle name="Normal 9 2 2" xfId="814" xr:uid="{00000000-0005-0000-0000-00007E030000}"/>
    <cellStyle name="Normal 9 2 3" xfId="815" xr:uid="{00000000-0005-0000-0000-00007F030000}"/>
    <cellStyle name="Normal 9 3" xfId="316" xr:uid="{00000000-0005-0000-0000-000080030000}"/>
    <cellStyle name="Normal 9 4" xfId="816" xr:uid="{00000000-0005-0000-0000-000081030000}"/>
    <cellStyle name="Note 1" xfId="291" xr:uid="{00000000-0005-0000-0000-000082030000}"/>
    <cellStyle name="Note 1 2" xfId="817" xr:uid="{00000000-0005-0000-0000-000083030000}"/>
    <cellStyle name="Note 1 2 2" xfId="976" xr:uid="{00000000-0005-0000-0000-000084030000}"/>
    <cellStyle name="Note 1 3" xfId="818" xr:uid="{00000000-0005-0000-0000-000085030000}"/>
    <cellStyle name="Note 1 3 2" xfId="977" xr:uid="{00000000-0005-0000-0000-000086030000}"/>
    <cellStyle name="Note 1 4" xfId="975" xr:uid="{00000000-0005-0000-0000-000087030000}"/>
    <cellStyle name="Note 2" xfId="176" xr:uid="{00000000-0005-0000-0000-000088030000}"/>
    <cellStyle name="Note 2 2" xfId="357" xr:uid="{00000000-0005-0000-0000-000089030000}"/>
    <cellStyle name="Note 2 2 2" xfId="819" xr:uid="{00000000-0005-0000-0000-00008A030000}"/>
    <cellStyle name="Note 2 2 2 2" xfId="980" xr:uid="{00000000-0005-0000-0000-00008B030000}"/>
    <cellStyle name="Note 2 2 3" xfId="820" xr:uid="{00000000-0005-0000-0000-00008C030000}"/>
    <cellStyle name="Note 2 2 3 2" xfId="981" xr:uid="{00000000-0005-0000-0000-00008D030000}"/>
    <cellStyle name="Note 2 2 4" xfId="979" xr:uid="{00000000-0005-0000-0000-00008E030000}"/>
    <cellStyle name="Note 2 3" xfId="370" xr:uid="{00000000-0005-0000-0000-00008F030000}"/>
    <cellStyle name="Note 2 3 2" xfId="821" xr:uid="{00000000-0005-0000-0000-000090030000}"/>
    <cellStyle name="Note 2 3 2 2" xfId="983" xr:uid="{00000000-0005-0000-0000-000091030000}"/>
    <cellStyle name="Note 2 3 3" xfId="822" xr:uid="{00000000-0005-0000-0000-000092030000}"/>
    <cellStyle name="Note 2 3 3 2" xfId="984" xr:uid="{00000000-0005-0000-0000-000093030000}"/>
    <cellStyle name="Note 2 3 4" xfId="982" xr:uid="{00000000-0005-0000-0000-000094030000}"/>
    <cellStyle name="Note 2 4" xfId="823" xr:uid="{00000000-0005-0000-0000-000095030000}"/>
    <cellStyle name="Note 2 4 2" xfId="985" xr:uid="{00000000-0005-0000-0000-000096030000}"/>
    <cellStyle name="Note 2 5" xfId="824" xr:uid="{00000000-0005-0000-0000-000097030000}"/>
    <cellStyle name="Note 2 5 2" xfId="986" xr:uid="{00000000-0005-0000-0000-000098030000}"/>
    <cellStyle name="Note 2 6" xfId="978" xr:uid="{00000000-0005-0000-0000-000099030000}"/>
    <cellStyle name="Note 3" xfId="177" xr:uid="{00000000-0005-0000-0000-00009A030000}"/>
    <cellStyle name="Note 3 2" xfId="358" xr:uid="{00000000-0005-0000-0000-00009B030000}"/>
    <cellStyle name="Note 3 2 2" xfId="825" xr:uid="{00000000-0005-0000-0000-00009C030000}"/>
    <cellStyle name="Note 3 2 2 2" xfId="989" xr:uid="{00000000-0005-0000-0000-00009D030000}"/>
    <cellStyle name="Note 3 2 3" xfId="826" xr:uid="{00000000-0005-0000-0000-00009E030000}"/>
    <cellStyle name="Note 3 2 3 2" xfId="990" xr:uid="{00000000-0005-0000-0000-00009F030000}"/>
    <cellStyle name="Note 3 2 4" xfId="988" xr:uid="{00000000-0005-0000-0000-0000A0030000}"/>
    <cellStyle name="Note 3 3" xfId="371" xr:uid="{00000000-0005-0000-0000-0000A1030000}"/>
    <cellStyle name="Note 3 3 2" xfId="827" xr:uid="{00000000-0005-0000-0000-0000A2030000}"/>
    <cellStyle name="Note 3 3 2 2" xfId="992" xr:uid="{00000000-0005-0000-0000-0000A3030000}"/>
    <cellStyle name="Note 3 3 3" xfId="828" xr:uid="{00000000-0005-0000-0000-0000A4030000}"/>
    <cellStyle name="Note 3 3 3 2" xfId="993" xr:uid="{00000000-0005-0000-0000-0000A5030000}"/>
    <cellStyle name="Note 3 3 4" xfId="991" xr:uid="{00000000-0005-0000-0000-0000A6030000}"/>
    <cellStyle name="Note 3 4" xfId="829" xr:uid="{00000000-0005-0000-0000-0000A7030000}"/>
    <cellStyle name="Note 3 4 2" xfId="994" xr:uid="{00000000-0005-0000-0000-0000A8030000}"/>
    <cellStyle name="Note 3 5" xfId="830" xr:uid="{00000000-0005-0000-0000-0000A9030000}"/>
    <cellStyle name="Note 3 5 2" xfId="995" xr:uid="{00000000-0005-0000-0000-0000AA030000}"/>
    <cellStyle name="Note 3 6" xfId="987" xr:uid="{00000000-0005-0000-0000-0000AB030000}"/>
    <cellStyle name="Output 2" xfId="178" xr:uid="{00000000-0005-0000-0000-0000AC030000}"/>
    <cellStyle name="Output 2 2" xfId="359" xr:uid="{00000000-0005-0000-0000-0000AD030000}"/>
    <cellStyle name="Output 2 2 2" xfId="831" xr:uid="{00000000-0005-0000-0000-0000AE030000}"/>
    <cellStyle name="Output 2 2 2 2" xfId="998" xr:uid="{00000000-0005-0000-0000-0000AF030000}"/>
    <cellStyle name="Output 2 2 3" xfId="832" xr:uid="{00000000-0005-0000-0000-0000B0030000}"/>
    <cellStyle name="Output 2 2 3 2" xfId="999" xr:uid="{00000000-0005-0000-0000-0000B1030000}"/>
    <cellStyle name="Output 2 2 4" xfId="997" xr:uid="{00000000-0005-0000-0000-0000B2030000}"/>
    <cellStyle name="Output 2 3" xfId="372" xr:uid="{00000000-0005-0000-0000-0000B3030000}"/>
    <cellStyle name="Output 2 3 2" xfId="833" xr:uid="{00000000-0005-0000-0000-0000B4030000}"/>
    <cellStyle name="Output 2 3 2 2" xfId="1001" xr:uid="{00000000-0005-0000-0000-0000B5030000}"/>
    <cellStyle name="Output 2 3 3" xfId="834" xr:uid="{00000000-0005-0000-0000-0000B6030000}"/>
    <cellStyle name="Output 2 3 3 2" xfId="1002" xr:uid="{00000000-0005-0000-0000-0000B7030000}"/>
    <cellStyle name="Output 2 3 4" xfId="1000" xr:uid="{00000000-0005-0000-0000-0000B8030000}"/>
    <cellStyle name="Output 2 4" xfId="835" xr:uid="{00000000-0005-0000-0000-0000B9030000}"/>
    <cellStyle name="Output 2 4 2" xfId="1003" xr:uid="{00000000-0005-0000-0000-0000BA030000}"/>
    <cellStyle name="Output 2 5" xfId="836" xr:uid="{00000000-0005-0000-0000-0000BB030000}"/>
    <cellStyle name="Output 2 5 2" xfId="1004" xr:uid="{00000000-0005-0000-0000-0000BC030000}"/>
    <cellStyle name="Output 2 6" xfId="996" xr:uid="{00000000-0005-0000-0000-0000BD030000}"/>
    <cellStyle name="Output 3" xfId="179" xr:uid="{00000000-0005-0000-0000-0000BE030000}"/>
    <cellStyle name="Output 3 2" xfId="360" xr:uid="{00000000-0005-0000-0000-0000BF030000}"/>
    <cellStyle name="Output 3 2 2" xfId="837" xr:uid="{00000000-0005-0000-0000-0000C0030000}"/>
    <cellStyle name="Output 3 2 2 2" xfId="1007" xr:uid="{00000000-0005-0000-0000-0000C1030000}"/>
    <cellStyle name="Output 3 2 3" xfId="838" xr:uid="{00000000-0005-0000-0000-0000C2030000}"/>
    <cellStyle name="Output 3 2 3 2" xfId="1008" xr:uid="{00000000-0005-0000-0000-0000C3030000}"/>
    <cellStyle name="Output 3 2 4" xfId="1006" xr:uid="{00000000-0005-0000-0000-0000C4030000}"/>
    <cellStyle name="Output 3 3" xfId="373" xr:uid="{00000000-0005-0000-0000-0000C5030000}"/>
    <cellStyle name="Output 3 3 2" xfId="839" xr:uid="{00000000-0005-0000-0000-0000C6030000}"/>
    <cellStyle name="Output 3 3 2 2" xfId="1010" xr:uid="{00000000-0005-0000-0000-0000C7030000}"/>
    <cellStyle name="Output 3 3 3" xfId="840" xr:uid="{00000000-0005-0000-0000-0000C8030000}"/>
    <cellStyle name="Output 3 3 3 2" xfId="1011" xr:uid="{00000000-0005-0000-0000-0000C9030000}"/>
    <cellStyle name="Output 3 3 4" xfId="1009" xr:uid="{00000000-0005-0000-0000-0000CA030000}"/>
    <cellStyle name="Output 3 4" xfId="841" xr:uid="{00000000-0005-0000-0000-0000CB030000}"/>
    <cellStyle name="Output 3 4 2" xfId="1012" xr:uid="{00000000-0005-0000-0000-0000CC030000}"/>
    <cellStyle name="Output 3 5" xfId="842" xr:uid="{00000000-0005-0000-0000-0000CD030000}"/>
    <cellStyle name="Output 3 5 2" xfId="1013" xr:uid="{00000000-0005-0000-0000-0000CE030000}"/>
    <cellStyle name="Output 3 6" xfId="1005" xr:uid="{00000000-0005-0000-0000-0000CF030000}"/>
    <cellStyle name="Percent" xfId="22" builtinId="5"/>
    <cellStyle name="Percent 2" xfId="20" xr:uid="{00000000-0005-0000-0000-0000D1030000}"/>
    <cellStyle name="Percent 2 2" xfId="843" xr:uid="{00000000-0005-0000-0000-0000D2030000}"/>
    <cellStyle name="Percent 2 3" xfId="844" xr:uid="{00000000-0005-0000-0000-0000D3030000}"/>
    <cellStyle name="Percent 2 4" xfId="866" xr:uid="{00000000-0005-0000-0000-0000D4030000}"/>
    <cellStyle name="Percent 3" xfId="21" xr:uid="{00000000-0005-0000-0000-0000D5030000}"/>
    <cellStyle name="Percent 4" xfId="845" xr:uid="{00000000-0005-0000-0000-0000D6030000}"/>
    <cellStyle name="Percent 5" xfId="846" xr:uid="{00000000-0005-0000-0000-0000D7030000}"/>
    <cellStyle name="Percent 6" xfId="847" xr:uid="{00000000-0005-0000-0000-0000D8030000}"/>
    <cellStyle name="Percent 7" xfId="848" xr:uid="{00000000-0005-0000-0000-0000D9030000}"/>
    <cellStyle name="Percent 8" xfId="849" xr:uid="{00000000-0005-0000-0000-0000DA030000}"/>
    <cellStyle name="Percent 9" xfId="850" xr:uid="{00000000-0005-0000-0000-0000DB030000}"/>
    <cellStyle name="Pivot Table Value" xfId="278" xr:uid="{00000000-0005-0000-0000-0000DC030000}"/>
    <cellStyle name="Status 1" xfId="292" xr:uid="{00000000-0005-0000-0000-0000DD030000}"/>
    <cellStyle name="TableStyleLight1" xfId="309" xr:uid="{00000000-0005-0000-0000-0000DE030000}"/>
    <cellStyle name="TableStyleLight1 2" xfId="1014" xr:uid="{00000000-0005-0000-0000-0000DF030000}"/>
    <cellStyle name="Text 1" xfId="293" xr:uid="{00000000-0005-0000-0000-0000E0030000}"/>
    <cellStyle name="Title 2" xfId="180" xr:uid="{00000000-0005-0000-0000-0000E1030000}"/>
    <cellStyle name="Title 2 2" xfId="1015" xr:uid="{00000000-0005-0000-0000-0000E2030000}"/>
    <cellStyle name="Title 3" xfId="181" xr:uid="{00000000-0005-0000-0000-0000E3030000}"/>
    <cellStyle name="Title 3 2" xfId="1016" xr:uid="{00000000-0005-0000-0000-0000E4030000}"/>
    <cellStyle name="Total 2" xfId="182" xr:uid="{00000000-0005-0000-0000-0000E5030000}"/>
    <cellStyle name="Total 2 2" xfId="361" xr:uid="{00000000-0005-0000-0000-0000E6030000}"/>
    <cellStyle name="Total 2 2 2" xfId="851" xr:uid="{00000000-0005-0000-0000-0000E7030000}"/>
    <cellStyle name="Total 2 2 2 2" xfId="1019" xr:uid="{00000000-0005-0000-0000-0000E8030000}"/>
    <cellStyle name="Total 2 2 3" xfId="852" xr:uid="{00000000-0005-0000-0000-0000E9030000}"/>
    <cellStyle name="Total 2 2 3 2" xfId="1020" xr:uid="{00000000-0005-0000-0000-0000EA030000}"/>
    <cellStyle name="Total 2 2 4" xfId="1018" xr:uid="{00000000-0005-0000-0000-0000EB030000}"/>
    <cellStyle name="Total 2 3" xfId="374" xr:uid="{00000000-0005-0000-0000-0000EC030000}"/>
    <cellStyle name="Total 2 3 2" xfId="853" xr:uid="{00000000-0005-0000-0000-0000ED030000}"/>
    <cellStyle name="Total 2 3 2 2" xfId="1022" xr:uid="{00000000-0005-0000-0000-0000EE030000}"/>
    <cellStyle name="Total 2 3 3" xfId="854" xr:uid="{00000000-0005-0000-0000-0000EF030000}"/>
    <cellStyle name="Total 2 3 3 2" xfId="1023" xr:uid="{00000000-0005-0000-0000-0000F0030000}"/>
    <cellStyle name="Total 2 3 4" xfId="1021" xr:uid="{00000000-0005-0000-0000-0000F1030000}"/>
    <cellStyle name="Total 2 4" xfId="855" xr:uid="{00000000-0005-0000-0000-0000F2030000}"/>
    <cellStyle name="Total 2 4 2" xfId="1024" xr:uid="{00000000-0005-0000-0000-0000F3030000}"/>
    <cellStyle name="Total 2 5" xfId="856" xr:uid="{00000000-0005-0000-0000-0000F4030000}"/>
    <cellStyle name="Total 2 5 2" xfId="1025" xr:uid="{00000000-0005-0000-0000-0000F5030000}"/>
    <cellStyle name="Total 2 6" xfId="1017" xr:uid="{00000000-0005-0000-0000-0000F6030000}"/>
    <cellStyle name="Total 3" xfId="183" xr:uid="{00000000-0005-0000-0000-0000F7030000}"/>
    <cellStyle name="Total 3 2" xfId="362" xr:uid="{00000000-0005-0000-0000-0000F8030000}"/>
    <cellStyle name="Total 3 2 2" xfId="857" xr:uid="{00000000-0005-0000-0000-0000F9030000}"/>
    <cellStyle name="Total 3 2 2 2" xfId="1028" xr:uid="{00000000-0005-0000-0000-0000FA030000}"/>
    <cellStyle name="Total 3 2 3" xfId="858" xr:uid="{00000000-0005-0000-0000-0000FB030000}"/>
    <cellStyle name="Total 3 2 3 2" xfId="1029" xr:uid="{00000000-0005-0000-0000-0000FC030000}"/>
    <cellStyle name="Total 3 2 4" xfId="1027" xr:uid="{00000000-0005-0000-0000-0000FD030000}"/>
    <cellStyle name="Total 3 3" xfId="375" xr:uid="{00000000-0005-0000-0000-0000FE030000}"/>
    <cellStyle name="Total 3 3 2" xfId="859" xr:uid="{00000000-0005-0000-0000-0000FF030000}"/>
    <cellStyle name="Total 3 3 2 2" xfId="1031" xr:uid="{00000000-0005-0000-0000-000000040000}"/>
    <cellStyle name="Total 3 3 3" xfId="860" xr:uid="{00000000-0005-0000-0000-000001040000}"/>
    <cellStyle name="Total 3 3 3 2" xfId="1032" xr:uid="{00000000-0005-0000-0000-000002040000}"/>
    <cellStyle name="Total 3 3 4" xfId="1030" xr:uid="{00000000-0005-0000-0000-000003040000}"/>
    <cellStyle name="Total 3 4" xfId="861" xr:uid="{00000000-0005-0000-0000-000004040000}"/>
    <cellStyle name="Total 3 4 2" xfId="1033" xr:uid="{00000000-0005-0000-0000-000005040000}"/>
    <cellStyle name="Total 3 5" xfId="862" xr:uid="{00000000-0005-0000-0000-000006040000}"/>
    <cellStyle name="Total 3 5 2" xfId="1034" xr:uid="{00000000-0005-0000-0000-000007040000}"/>
    <cellStyle name="Total 3 6" xfId="1026" xr:uid="{00000000-0005-0000-0000-000008040000}"/>
    <cellStyle name="Warning 1" xfId="294" xr:uid="{00000000-0005-0000-0000-000009040000}"/>
    <cellStyle name="Warning Text 2" xfId="184" xr:uid="{00000000-0005-0000-0000-00000A040000}"/>
    <cellStyle name="Warning Text 3" xfId="185" xr:uid="{00000000-0005-0000-0000-00000B040000}"/>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Medium9"/>
  <colors>
    <mruColors>
      <color rgb="FFDAEEF3"/>
      <color rgb="FFF6BCF6"/>
      <color rgb="FFFFFF66"/>
      <color rgb="FFCCC0DA"/>
      <color rgb="FFCC99FF"/>
      <color rgb="FFFCD5B4"/>
      <color rgb="FFD8E4BC"/>
      <color rgb="FFCC98B4"/>
      <color rgb="FFCCC000"/>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Iaj%20Despatch%20SuII"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RCL1432/Downloads/Summarized%20Monthly%20Report%202025-26%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aj Despatch SuII"/>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 Production Summ"/>
      <sheetName val="Maj Despatch Summ"/>
      <sheetName val="Maj Techno Summ"/>
      <sheetName val="Major techno all dept"/>
      <sheetName val="Direct sales IPT details"/>
      <sheetName val="Coal to Hot Metal"/>
      <sheetName val="DETAIL DESP  "/>
      <sheetName val="Raw Mat Received"/>
      <sheetName val="COKE OVENS"/>
      <sheetName val="RMHP"/>
      <sheetName val="SINTER"/>
      <sheetName val="B-FCE"/>
      <sheetName val="SMS"/>
      <sheetName val="WRM"/>
      <sheetName val="BM"/>
      <sheetName val="USM"/>
      <sheetName val="with diff nomenclature"/>
      <sheetName val="GRD SUMM RCL 150X150 "/>
      <sheetName val="GRD SUMM RCL CASTER 3"/>
      <sheetName val="150x150 saleable grades"/>
      <sheetName val="Value added steel "/>
      <sheetName val="POWER DISTRIBUTION"/>
      <sheetName val="PBS"/>
      <sheetName val="ECD"/>
      <sheetName val="EMD"/>
      <sheetName val="LDCP"/>
      <sheetName val="OXY PL"/>
      <sheetName val="SEQR  Prod &amp; Dispatch"/>
      <sheetName val="High carbon grades"/>
      <sheetName val="SHOPS"/>
      <sheetName val="Quality"/>
      <sheetName val="Slag Rate and IOF"/>
      <sheetName val="Special steel "/>
      <sheetName val="shopwise make up water"/>
      <sheetName val="Slag Analysis"/>
      <sheetName val="Shopwise Refractory consumption"/>
      <sheetName val="Delay Analysis"/>
      <sheetName val="Sheet1"/>
      <sheetName val="Sheet2"/>
      <sheetName val="Capital Repair"/>
      <sheetName val="Sheet3"/>
      <sheetName val="Sheet4"/>
      <sheetName val="Sheet5"/>
      <sheetName val="Sheet6"/>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03">
          <cell r="D103">
            <v>55.430739802849317</v>
          </cell>
        </row>
        <row r="105">
          <cell r="D105">
            <v>5.3691091749165931</v>
          </cell>
        </row>
        <row r="106">
          <cell r="D106">
            <v>2.7277716029417967</v>
          </cell>
        </row>
        <row r="109">
          <cell r="D109">
            <v>1.7221171729653546</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00B050"/>
    <pageSetUpPr fitToPage="1"/>
  </sheetPr>
  <dimension ref="A1:BY67"/>
  <sheetViews>
    <sheetView zoomScale="115" zoomScaleNormal="115" workbookViewId="0">
      <pane xSplit="4" topLeftCell="H1" activePane="topRight" state="frozen"/>
      <selection pane="topRight" activeCell="BI20" sqref="BI20"/>
    </sheetView>
  </sheetViews>
  <sheetFormatPr defaultColWidth="9.109375" defaultRowHeight="14.4" x14ac:dyDescent="0.3"/>
  <cols>
    <col min="1" max="1" width="2.6640625" customWidth="1"/>
    <col min="2" max="2" width="51.5546875" customWidth="1"/>
    <col min="3" max="3" width="12" customWidth="1"/>
    <col min="4" max="4" width="13.6640625" bestFit="1" customWidth="1"/>
    <col min="5" max="10" width="10.6640625" customWidth="1"/>
    <col min="11" max="58" width="10.6640625" hidden="1" customWidth="1"/>
    <col min="59" max="59" width="3.109375" customWidth="1"/>
    <col min="60" max="60" width="10.6640625" hidden="1" customWidth="1"/>
    <col min="61" max="61" width="10.6640625" customWidth="1"/>
    <col min="62" max="62" width="11.33203125" hidden="1" customWidth="1"/>
    <col min="63" max="63" width="11.33203125" customWidth="1"/>
    <col min="64" max="64" width="11.33203125" hidden="1" customWidth="1"/>
    <col min="65" max="65" width="11.33203125" customWidth="1"/>
    <col min="66" max="72" width="11.33203125" hidden="1" customWidth="1"/>
    <col min="73" max="73" width="21" hidden="1" customWidth="1"/>
    <col min="74" max="74" width="15.33203125" customWidth="1"/>
    <col min="75" max="85" width="9.109375" customWidth="1"/>
  </cols>
  <sheetData>
    <row r="1" spans="1:77" ht="17.399999999999999" x14ac:dyDescent="0.3">
      <c r="B1" s="2499" t="s">
        <v>336</v>
      </c>
      <c r="C1" s="3741"/>
      <c r="D1" s="3743">
        <v>340</v>
      </c>
      <c r="E1" s="3743">
        <v>26</v>
      </c>
      <c r="F1" s="3742">
        <f>F2-'B-FCE'!F3</f>
        <v>29.538194444444446</v>
      </c>
      <c r="G1" s="3743">
        <v>20</v>
      </c>
      <c r="H1" s="3743">
        <f>H2-'B-FCE'!H3-3</f>
        <v>14.055555555555557</v>
      </c>
      <c r="I1" s="3743">
        <f>E1+G1</f>
        <v>46</v>
      </c>
      <c r="J1" s="3743">
        <f>F1+H1</f>
        <v>43.59375</v>
      </c>
      <c r="K1" s="3743">
        <v>29</v>
      </c>
      <c r="L1" s="3742">
        <f>L2-'B-FCE'!L3</f>
        <v>29.611249999999998</v>
      </c>
      <c r="M1" s="3743">
        <f>+E1+G1+K1</f>
        <v>75</v>
      </c>
      <c r="N1" s="3743">
        <f>+F1+H1+L1</f>
        <v>73.204999999999998</v>
      </c>
      <c r="O1" s="3743">
        <v>30</v>
      </c>
      <c r="P1" s="3743">
        <f>P2-'B-FCE'!P3</f>
        <v>31</v>
      </c>
      <c r="Q1" s="3743">
        <f>+M1+O1</f>
        <v>105</v>
      </c>
      <c r="R1" s="3743">
        <f>+N1+P1</f>
        <v>104.205</v>
      </c>
      <c r="S1" s="3743">
        <v>30</v>
      </c>
      <c r="T1" s="3743">
        <f>T2-'B-FCE'!T3</f>
        <v>30.024305555555554</v>
      </c>
      <c r="U1" s="3743">
        <f>+Q1+S1</f>
        <v>135</v>
      </c>
      <c r="V1" s="3743">
        <f>+R1+T1</f>
        <v>134.22930555555556</v>
      </c>
      <c r="W1" s="3743">
        <v>17.016867469879518</v>
      </c>
      <c r="X1" s="3743">
        <f>X2-'B-FCE'!X3</f>
        <v>29.673749999999998</v>
      </c>
      <c r="Y1" s="3743">
        <f>+O1+S1+W1</f>
        <v>77.016867469879514</v>
      </c>
      <c r="Z1" s="3743">
        <f>+P1+T1+X1</f>
        <v>90.698055555555555</v>
      </c>
      <c r="AA1" s="3743">
        <f>+U1+W1</f>
        <v>152.01686746987951</v>
      </c>
      <c r="AB1" s="3743">
        <f>+V1+X1</f>
        <v>163.90305555555557</v>
      </c>
      <c r="AC1" s="3743">
        <v>30</v>
      </c>
      <c r="AD1" s="3812">
        <f>AD2-'B-FCE'!AD3-2</f>
        <v>24.930555555555557</v>
      </c>
      <c r="AE1" s="3743">
        <f>AA1+AC1</f>
        <v>182.01686746987951</v>
      </c>
      <c r="AF1" s="3743">
        <f>AB1+AD1</f>
        <v>188.83361111111111</v>
      </c>
      <c r="AG1" s="3743">
        <v>29</v>
      </c>
      <c r="AH1" s="3743">
        <f>AH2-'B-FCE'!AH3</f>
        <v>29.107500000000002</v>
      </c>
      <c r="AI1" s="3743">
        <f>AE1+AG1</f>
        <v>211.01686746987951</v>
      </c>
      <c r="AJ1" s="3743">
        <f>AF1+AH1</f>
        <v>217.94111111111113</v>
      </c>
      <c r="AK1" s="61">
        <v>30</v>
      </c>
      <c r="AL1" s="61">
        <f>31-'B-FCE'!AL3</f>
        <v>30.697916666666668</v>
      </c>
      <c r="AM1" s="61">
        <f>+AC1+AG1+AK1</f>
        <v>89</v>
      </c>
      <c r="AN1" s="61">
        <f>+AD1+AH1+AL1</f>
        <v>84.73597222222223</v>
      </c>
      <c r="AO1" s="61">
        <f>AI1+AK1</f>
        <v>241.01686746987951</v>
      </c>
      <c r="AP1" s="61">
        <f>AJ1+AL1</f>
        <v>248.63902777777778</v>
      </c>
      <c r="AQ1" s="61">
        <v>30</v>
      </c>
      <c r="AR1" s="3994">
        <f>31-'B-FCE'!AR3</f>
        <v>30.413194444444446</v>
      </c>
      <c r="AS1" s="61">
        <f>AO1+AQ1</f>
        <v>271.01686746987951</v>
      </c>
      <c r="AT1" s="61">
        <f>AP1+AR1</f>
        <v>279.05222222222221</v>
      </c>
      <c r="AU1" s="61">
        <v>27</v>
      </c>
      <c r="AV1" s="2281">
        <f>28-'B-FCE'!AV3</f>
        <v>27.576250000000002</v>
      </c>
      <c r="AW1" s="61">
        <f>AS1+AU1</f>
        <v>298.01686746987951</v>
      </c>
      <c r="AX1" s="61">
        <f>AT1+AV1</f>
        <v>306.62847222222223</v>
      </c>
      <c r="AY1" s="61">
        <v>30</v>
      </c>
      <c r="AZ1" s="2281">
        <f>31-'B-FCE'!AZ3</f>
        <v>29.972222222222221</v>
      </c>
      <c r="BA1" s="61">
        <f>+AQ1+AU1+AY1</f>
        <v>87</v>
      </c>
      <c r="BB1" s="61">
        <f>+AR1+AV1+AZ1</f>
        <v>87.961666666666673</v>
      </c>
      <c r="BC1" s="61">
        <f>+AM1+BA1</f>
        <v>176</v>
      </c>
      <c r="BD1" s="61">
        <f>+AN1+BB1</f>
        <v>172.69763888888889</v>
      </c>
      <c r="BE1" s="61">
        <f>AW1+AY1</f>
        <v>328.01686746987951</v>
      </c>
      <c r="BF1" s="61">
        <f>AX1+AZ1</f>
        <v>336.60069444444446</v>
      </c>
      <c r="BH1" s="61"/>
      <c r="BI1" s="61"/>
      <c r="BJ1" s="61"/>
      <c r="BK1" s="4592"/>
      <c r="BL1" s="61"/>
      <c r="BM1" s="61"/>
      <c r="BN1" s="1316"/>
      <c r="BO1" s="189"/>
      <c r="BP1" s="189"/>
      <c r="BQ1" s="189"/>
      <c r="BR1" s="189"/>
      <c r="BS1" s="189"/>
      <c r="BT1" s="189"/>
    </row>
    <row r="2" spans="1:77" ht="16.5" customHeight="1" thickBot="1" x14ac:dyDescent="0.35">
      <c r="A2">
        <v>1000</v>
      </c>
      <c r="B2" s="4"/>
      <c r="C2" s="3741"/>
      <c r="D2" s="3744">
        <v>365</v>
      </c>
      <c r="E2" s="3744">
        <v>30</v>
      </c>
      <c r="F2" s="3744">
        <v>30</v>
      </c>
      <c r="G2" s="3744">
        <v>31</v>
      </c>
      <c r="H2" s="3744">
        <v>31</v>
      </c>
      <c r="I2" s="3744">
        <f>+E2+G2</f>
        <v>61</v>
      </c>
      <c r="J2" s="3744">
        <f>+F2+H2</f>
        <v>61</v>
      </c>
      <c r="K2" s="3744">
        <v>30</v>
      </c>
      <c r="L2" s="3744">
        <v>30</v>
      </c>
      <c r="M2" s="3744">
        <f>+I2+K2</f>
        <v>91</v>
      </c>
      <c r="N2" s="3744">
        <f>+J2+L2</f>
        <v>91</v>
      </c>
      <c r="O2" s="3745">
        <v>31</v>
      </c>
      <c r="P2" s="3744">
        <v>31</v>
      </c>
      <c r="Q2" s="3744">
        <f>+M2+O2</f>
        <v>122</v>
      </c>
      <c r="R2" s="3744">
        <f>+N2+P2</f>
        <v>122</v>
      </c>
      <c r="S2" s="3744">
        <v>31</v>
      </c>
      <c r="T2" s="3744">
        <v>31</v>
      </c>
      <c r="U2" s="3744">
        <f>+Q2+S2</f>
        <v>153</v>
      </c>
      <c r="V2" s="3744">
        <f>+R2+T2</f>
        <v>153</v>
      </c>
      <c r="W2" s="3744">
        <v>30</v>
      </c>
      <c r="X2" s="3744">
        <v>30</v>
      </c>
      <c r="Y2" s="3744">
        <f>+O2+S2+W2</f>
        <v>92</v>
      </c>
      <c r="Z2" s="3744">
        <f>+P2+T2+X2</f>
        <v>92</v>
      </c>
      <c r="AA2" s="3744">
        <f>+U2+W2</f>
        <v>183</v>
      </c>
      <c r="AB2" s="3744">
        <f>+V2+X2</f>
        <v>183</v>
      </c>
      <c r="AC2" s="3744">
        <v>31</v>
      </c>
      <c r="AD2" s="3744">
        <v>31</v>
      </c>
      <c r="AE2" s="3744">
        <f>AA2+AC2</f>
        <v>214</v>
      </c>
      <c r="AF2" s="3744">
        <f>AB2+AD2</f>
        <v>214</v>
      </c>
      <c r="AG2" s="3744">
        <v>30</v>
      </c>
      <c r="AH2" s="3744">
        <v>30</v>
      </c>
      <c r="AI2" s="3744">
        <f>AE2+AG2</f>
        <v>244</v>
      </c>
      <c r="AJ2" s="3744">
        <f>AF2+AH2</f>
        <v>244</v>
      </c>
      <c r="AK2" s="189">
        <v>31</v>
      </c>
      <c r="AL2" s="189">
        <v>31</v>
      </c>
      <c r="AM2" s="189">
        <f>+AC2+AG2+AK2</f>
        <v>92</v>
      </c>
      <c r="AN2" s="189">
        <f>+AD2+AH2+AL2</f>
        <v>92</v>
      </c>
      <c r="AO2" s="189">
        <f>AI2+AK2</f>
        <v>275</v>
      </c>
      <c r="AP2" s="189">
        <f>AJ2+AL2</f>
        <v>275</v>
      </c>
      <c r="AQ2" s="189">
        <v>31</v>
      </c>
      <c r="AR2" s="189">
        <v>31</v>
      </c>
      <c r="AS2" s="189">
        <f>AO2+AQ2</f>
        <v>306</v>
      </c>
      <c r="AT2" s="189">
        <f>AP2+AR2</f>
        <v>306</v>
      </c>
      <c r="AU2" s="189">
        <v>28</v>
      </c>
      <c r="AV2" s="189">
        <v>28</v>
      </c>
      <c r="AW2" s="189">
        <f>AS2+AU2</f>
        <v>334</v>
      </c>
      <c r="AX2" s="189">
        <f>AT2+AV2</f>
        <v>334</v>
      </c>
      <c r="AY2" s="189">
        <v>31</v>
      </c>
      <c r="AZ2" s="189">
        <v>31</v>
      </c>
      <c r="BA2" s="189">
        <f>+AQ2+AU2+AY2</f>
        <v>90</v>
      </c>
      <c r="BB2" s="189">
        <f>+AR2+AV2+AZ2</f>
        <v>90</v>
      </c>
      <c r="BC2" s="189">
        <f>+AM2+BA2</f>
        <v>182</v>
      </c>
      <c r="BD2" s="189">
        <f>+AN2+BB2</f>
        <v>182</v>
      </c>
      <c r="BE2" s="189">
        <f>AW2+AY2</f>
        <v>365</v>
      </c>
      <c r="BF2" s="189">
        <f>AX2+AZ2</f>
        <v>365</v>
      </c>
      <c r="BH2" s="189"/>
      <c r="BI2" s="189"/>
      <c r="BJ2" s="189"/>
      <c r="BK2" s="189"/>
      <c r="BL2" s="189"/>
      <c r="BM2" s="189"/>
      <c r="BN2" s="189"/>
      <c r="BO2" s="189"/>
      <c r="BP2" s="189"/>
      <c r="BQ2" s="189">
        <v>365</v>
      </c>
      <c r="BR2" s="189">
        <v>365</v>
      </c>
      <c r="BS2" s="189">
        <v>366</v>
      </c>
      <c r="BT2" s="189">
        <v>366</v>
      </c>
    </row>
    <row r="3" spans="1:77" ht="18.75" customHeight="1" thickBot="1" x14ac:dyDescent="0.35">
      <c r="A3">
        <v>1000</v>
      </c>
      <c r="B3" s="5833" t="s">
        <v>170</v>
      </c>
      <c r="C3" s="5835" t="s">
        <v>171</v>
      </c>
      <c r="D3" s="5837" t="s">
        <v>2212</v>
      </c>
      <c r="E3" s="5818" t="s">
        <v>2211</v>
      </c>
      <c r="F3" s="5819"/>
      <c r="G3" s="5818" t="s">
        <v>2260</v>
      </c>
      <c r="H3" s="5819"/>
      <c r="I3" s="5820" t="s">
        <v>14</v>
      </c>
      <c r="J3" s="5821"/>
      <c r="K3" s="5841" t="s">
        <v>1963</v>
      </c>
      <c r="L3" s="5842"/>
      <c r="M3" s="5839" t="s">
        <v>604</v>
      </c>
      <c r="N3" s="5840"/>
      <c r="O3" s="5818" t="s">
        <v>1985</v>
      </c>
      <c r="P3" s="5819"/>
      <c r="Q3" s="5820" t="s">
        <v>17</v>
      </c>
      <c r="R3" s="5821"/>
      <c r="S3" s="5818" t="s">
        <v>1988</v>
      </c>
      <c r="T3" s="5819"/>
      <c r="U3" s="5820" t="s">
        <v>18</v>
      </c>
      <c r="V3" s="5821"/>
      <c r="W3" s="5844" t="s">
        <v>2019</v>
      </c>
      <c r="X3" s="5845"/>
      <c r="Y3" s="5846" t="s">
        <v>797</v>
      </c>
      <c r="Z3" s="5846"/>
      <c r="AA3" s="5832" t="s">
        <v>623</v>
      </c>
      <c r="AB3" s="5832"/>
      <c r="AC3" s="5818" t="s">
        <v>2043</v>
      </c>
      <c r="AD3" s="5819"/>
      <c r="AE3" s="5820" t="s">
        <v>24</v>
      </c>
      <c r="AF3" s="5821"/>
      <c r="AG3" s="5818" t="s">
        <v>2064</v>
      </c>
      <c r="AH3" s="5819"/>
      <c r="AI3" s="5820" t="s">
        <v>27</v>
      </c>
      <c r="AJ3" s="5821"/>
      <c r="AK3" s="5844" t="s">
        <v>2088</v>
      </c>
      <c r="AL3" s="5845"/>
      <c r="AM3" s="5846" t="s">
        <v>1564</v>
      </c>
      <c r="AN3" s="5846"/>
      <c r="AO3" s="5820" t="s">
        <v>1565</v>
      </c>
      <c r="AP3" s="5821"/>
      <c r="AQ3" s="5818" t="s">
        <v>2099</v>
      </c>
      <c r="AR3" s="5819"/>
      <c r="AS3" s="5820" t="s">
        <v>28</v>
      </c>
      <c r="AT3" s="5821"/>
      <c r="AU3" s="5818" t="s">
        <v>2136</v>
      </c>
      <c r="AV3" s="5819"/>
      <c r="AW3" s="5820" t="s">
        <v>30</v>
      </c>
      <c r="AX3" s="5821"/>
      <c r="AY3" s="5818" t="s">
        <v>2154</v>
      </c>
      <c r="AZ3" s="5819"/>
      <c r="BA3" s="5846" t="s">
        <v>1600</v>
      </c>
      <c r="BB3" s="5846"/>
      <c r="BC3" s="5832" t="s">
        <v>634</v>
      </c>
      <c r="BD3" s="5832"/>
      <c r="BE3" s="5820" t="s">
        <v>2258</v>
      </c>
      <c r="BF3" s="5821"/>
      <c r="BH3" s="5825" t="s">
        <v>1961</v>
      </c>
      <c r="BI3" s="5827"/>
      <c r="BJ3" s="5825" t="s">
        <v>1621</v>
      </c>
      <c r="BK3" s="5827"/>
      <c r="BL3" s="5825" t="s">
        <v>1330</v>
      </c>
      <c r="BM3" s="5826"/>
      <c r="BN3" s="5527" t="s">
        <v>1199</v>
      </c>
      <c r="BO3" s="5816" t="s">
        <v>900</v>
      </c>
      <c r="BP3" s="5816"/>
      <c r="BQ3" s="5816" t="s">
        <v>642</v>
      </c>
      <c r="BR3" s="5816"/>
      <c r="BS3" s="5816" t="s">
        <v>632</v>
      </c>
      <c r="BT3" s="5828"/>
    </row>
    <row r="4" spans="1:77" ht="23.25" customHeight="1" thickBot="1" x14ac:dyDescent="0.35">
      <c r="B4" s="5834"/>
      <c r="C4" s="5836"/>
      <c r="D4" s="5838"/>
      <c r="E4" s="1796" t="s">
        <v>172</v>
      </c>
      <c r="F4" s="1797" t="s">
        <v>173</v>
      </c>
      <c r="G4" s="1796" t="s">
        <v>172</v>
      </c>
      <c r="H4" s="1797" t="s">
        <v>173</v>
      </c>
      <c r="I4" s="1801" t="s">
        <v>172</v>
      </c>
      <c r="J4" s="1764" t="s">
        <v>173</v>
      </c>
      <c r="K4" s="1803" t="s">
        <v>172</v>
      </c>
      <c r="L4" s="1804" t="s">
        <v>173</v>
      </c>
      <c r="M4" s="1805" t="s">
        <v>172</v>
      </c>
      <c r="N4" s="1806" t="s">
        <v>173</v>
      </c>
      <c r="O4" s="1803" t="s">
        <v>172</v>
      </c>
      <c r="P4" s="1797" t="s">
        <v>173</v>
      </c>
      <c r="Q4" s="1801" t="s">
        <v>172</v>
      </c>
      <c r="R4" s="1764" t="s">
        <v>173</v>
      </c>
      <c r="S4" s="1796" t="s">
        <v>172</v>
      </c>
      <c r="T4" s="1797" t="s">
        <v>173</v>
      </c>
      <c r="U4" s="1801" t="s">
        <v>172</v>
      </c>
      <c r="V4" s="1764" t="s">
        <v>173</v>
      </c>
      <c r="W4" s="1563" t="s">
        <v>172</v>
      </c>
      <c r="X4" s="651" t="s">
        <v>173</v>
      </c>
      <c r="Y4" s="653" t="s">
        <v>172</v>
      </c>
      <c r="Z4" s="653" t="s">
        <v>173</v>
      </c>
      <c r="AA4" s="733" t="s">
        <v>172</v>
      </c>
      <c r="AB4" s="733" t="s">
        <v>173</v>
      </c>
      <c r="AC4" s="1796" t="s">
        <v>172</v>
      </c>
      <c r="AD4" s="1797" t="s">
        <v>173</v>
      </c>
      <c r="AE4" s="1801" t="s">
        <v>172</v>
      </c>
      <c r="AF4" s="1764" t="s">
        <v>173</v>
      </c>
      <c r="AG4" s="1796" t="s">
        <v>172</v>
      </c>
      <c r="AH4" s="1797" t="s">
        <v>173</v>
      </c>
      <c r="AI4" s="1801" t="s">
        <v>172</v>
      </c>
      <c r="AJ4" s="1764" t="s">
        <v>173</v>
      </c>
      <c r="AK4" s="1563" t="s">
        <v>172</v>
      </c>
      <c r="AL4" s="651" t="s">
        <v>173</v>
      </c>
      <c r="AM4" s="653" t="s">
        <v>172</v>
      </c>
      <c r="AN4" s="653" t="s">
        <v>173</v>
      </c>
      <c r="AO4" s="1801" t="s">
        <v>172</v>
      </c>
      <c r="AP4" s="1764" t="s">
        <v>173</v>
      </c>
      <c r="AQ4" s="1796" t="s">
        <v>172</v>
      </c>
      <c r="AR4" s="1797" t="s">
        <v>173</v>
      </c>
      <c r="AS4" s="1801" t="s">
        <v>172</v>
      </c>
      <c r="AT4" s="1764" t="s">
        <v>173</v>
      </c>
      <c r="AU4" s="1796" t="s">
        <v>172</v>
      </c>
      <c r="AV4" s="1797" t="s">
        <v>173</v>
      </c>
      <c r="AW4" s="1801" t="s">
        <v>172</v>
      </c>
      <c r="AX4" s="1764" t="s">
        <v>173</v>
      </c>
      <c r="AY4" s="1796" t="s">
        <v>172</v>
      </c>
      <c r="AZ4" s="1797" t="s">
        <v>173</v>
      </c>
      <c r="BA4" s="653" t="s">
        <v>172</v>
      </c>
      <c r="BB4" s="653" t="s">
        <v>173</v>
      </c>
      <c r="BC4" s="733" t="s">
        <v>172</v>
      </c>
      <c r="BD4" s="733" t="s">
        <v>173</v>
      </c>
      <c r="BE4" s="1801" t="s">
        <v>172</v>
      </c>
      <c r="BF4" s="1764" t="s">
        <v>173</v>
      </c>
      <c r="BH4" s="5762" t="s">
        <v>172</v>
      </c>
      <c r="BI4" s="5762" t="s">
        <v>173</v>
      </c>
      <c r="BJ4" s="5762" t="s">
        <v>172</v>
      </c>
      <c r="BK4" s="5762" t="s">
        <v>173</v>
      </c>
      <c r="BL4" s="5762" t="s">
        <v>172</v>
      </c>
      <c r="BM4" s="5762" t="s">
        <v>173</v>
      </c>
      <c r="BN4" s="1035" t="s">
        <v>173</v>
      </c>
      <c r="BO4" s="1035" t="s">
        <v>172</v>
      </c>
      <c r="BP4" s="1035" t="s">
        <v>173</v>
      </c>
      <c r="BQ4" s="1035" t="s">
        <v>172</v>
      </c>
      <c r="BR4" s="1035" t="s">
        <v>173</v>
      </c>
      <c r="BS4" s="1035" t="s">
        <v>172</v>
      </c>
      <c r="BT4" s="1813" t="s">
        <v>173</v>
      </c>
    </row>
    <row r="5" spans="1:77" ht="15" customHeight="1" x14ac:dyDescent="0.3">
      <c r="A5" s="137"/>
      <c r="B5" s="1783" t="s">
        <v>342</v>
      </c>
      <c r="C5" s="1765"/>
      <c r="D5" s="2264"/>
      <c r="E5" s="818"/>
      <c r="F5" s="2265"/>
      <c r="G5" s="818"/>
      <c r="H5" s="2265"/>
      <c r="I5" s="818"/>
      <c r="J5" s="2265"/>
      <c r="K5" s="818"/>
      <c r="L5" s="2265"/>
      <c r="M5" s="818"/>
      <c r="N5" s="2265"/>
      <c r="O5" s="818"/>
      <c r="P5" s="2265"/>
      <c r="Q5" s="818"/>
      <c r="R5" s="2265"/>
      <c r="S5" s="818"/>
      <c r="T5" s="2265"/>
      <c r="U5" s="818"/>
      <c r="V5" s="2265"/>
      <c r="W5" s="1531"/>
      <c r="X5" s="790"/>
      <c r="Y5" s="790"/>
      <c r="Z5" s="790"/>
      <c r="AA5" s="790"/>
      <c r="AB5" s="790"/>
      <c r="AC5" s="818"/>
      <c r="AD5" s="2265"/>
      <c r="AE5" s="818"/>
      <c r="AF5" s="2265"/>
      <c r="AG5" s="818"/>
      <c r="AH5" s="2265"/>
      <c r="AI5" s="818"/>
      <c r="AJ5" s="2265"/>
      <c r="AK5" s="1531"/>
      <c r="AL5" s="790"/>
      <c r="AM5" s="790"/>
      <c r="AN5" s="790"/>
      <c r="AO5" s="818"/>
      <c r="AP5" s="2265"/>
      <c r="AQ5" s="818"/>
      <c r="AR5" s="2265"/>
      <c r="AS5" s="818"/>
      <c r="AT5" s="2265"/>
      <c r="AU5" s="818"/>
      <c r="AV5" s="2265"/>
      <c r="AW5" s="818"/>
      <c r="AX5" s="2265"/>
      <c r="AY5" s="818"/>
      <c r="AZ5" s="2265"/>
      <c r="BA5" s="790"/>
      <c r="BB5" s="790"/>
      <c r="BC5" s="790"/>
      <c r="BD5" s="790"/>
      <c r="BE5" s="818"/>
      <c r="BF5" s="2265"/>
      <c r="BH5" s="241"/>
      <c r="BI5" s="241"/>
      <c r="BJ5" s="241"/>
      <c r="BK5" s="241"/>
      <c r="BL5" s="241"/>
      <c r="BM5" s="241"/>
      <c r="BN5" s="241"/>
      <c r="BO5" s="241"/>
      <c r="BP5" s="241"/>
      <c r="BQ5" s="241"/>
      <c r="BR5" s="241"/>
      <c r="BS5" s="241"/>
      <c r="BT5" s="1564"/>
    </row>
    <row r="6" spans="1:77" ht="15" customHeight="1" x14ac:dyDescent="0.3">
      <c r="B6" s="1784" t="s">
        <v>346</v>
      </c>
      <c r="C6" s="1758" t="s">
        <v>350</v>
      </c>
      <c r="D6" s="2262">
        <v>96.509589041095893</v>
      </c>
      <c r="E6" s="143">
        <v>98</v>
      </c>
      <c r="F6" s="95">
        <f>+F9/F2</f>
        <v>98</v>
      </c>
      <c r="G6" s="143">
        <v>98</v>
      </c>
      <c r="H6" s="95">
        <f>+H9/H2</f>
        <v>97.064516129032256</v>
      </c>
      <c r="I6" s="49">
        <f>+((E6*$E$2)+(G6*$G$2))/$I$2</f>
        <v>98</v>
      </c>
      <c r="J6" s="101">
        <f>+((F6*$F$2)+(H6*$H$2))/$J$2</f>
        <v>97.52459016393442</v>
      </c>
      <c r="K6" s="143">
        <v>94</v>
      </c>
      <c r="L6" s="95">
        <f>+L9/L2</f>
        <v>96.066666666666663</v>
      </c>
      <c r="M6" s="73">
        <f>+((E6*$E$2)+(G6*$G$2)+(K6*$K$2))/$M$2</f>
        <v>96.681318681318686</v>
      </c>
      <c r="N6" s="107">
        <f>+((F6*$F$2)+(H6*$H$2)+(L6*$L$2))/$N$2</f>
        <v>97.043956043956044</v>
      </c>
      <c r="O6" s="143">
        <v>94</v>
      </c>
      <c r="P6" s="95">
        <f>+P9/P2</f>
        <v>95.41935483870968</v>
      </c>
      <c r="Q6" s="49">
        <f>+((M6*M$2)+(O6*O$2))/Q$2</f>
        <v>96</v>
      </c>
      <c r="R6" s="101">
        <f>+((N6*N$2)+(P6*P$2))/R$2</f>
        <v>96.631147540983605</v>
      </c>
      <c r="S6" s="143">
        <v>94</v>
      </c>
      <c r="T6" s="95">
        <f>+T9/T2</f>
        <v>98</v>
      </c>
      <c r="U6" s="49">
        <f>+((Q6*Q$2)+(S6*S$2))/U$2</f>
        <v>95.59477124183006</v>
      </c>
      <c r="V6" s="101">
        <f>+((R6*R$2)+(T6*T$2))/V$2</f>
        <v>96.908496732026137</v>
      </c>
      <c r="W6" s="143">
        <v>92.1</v>
      </c>
      <c r="X6" s="95">
        <f>+X9/X2</f>
        <v>98</v>
      </c>
      <c r="Y6" s="322">
        <f>+((O$6*O$2)+(S$6*S$2)+(W$6*W$2))/Y$2</f>
        <v>93.380434782608702</v>
      </c>
      <c r="Z6" s="322">
        <f>+((P$6*P$2)+(T$6*T$2)+(X$6*X$2))/Z$2</f>
        <v>97.130434782608702</v>
      </c>
      <c r="AA6" s="430">
        <f>+((M6*M$2)+(Y6*Y$2))/AA$2</f>
        <v>95.021857923497265</v>
      </c>
      <c r="AB6" s="430">
        <f>+((N6*N$2)+(Z6*Z$2))/AB$2</f>
        <v>97.087431693989075</v>
      </c>
      <c r="AC6" s="143">
        <v>94</v>
      </c>
      <c r="AD6" s="95">
        <f>+AD9/AD2</f>
        <v>96.548387096774192</v>
      </c>
      <c r="AE6" s="49">
        <f>+((AA6*$AA$2)+(AC6*$AC$2))/$AE$2</f>
        <v>94.873831775700936</v>
      </c>
      <c r="AF6" s="101">
        <f>+((AB6*$AB$2)+(AD6*$AD$2))/$AF$2</f>
        <v>97.00934579439253</v>
      </c>
      <c r="AG6" s="710">
        <v>94</v>
      </c>
      <c r="AH6" s="95">
        <f>+AH9/AH2</f>
        <v>94.233333333333334</v>
      </c>
      <c r="AI6" s="49">
        <f>+((AE6*$AE$2)+(AG6*$AG$2))/$AI$2</f>
        <v>94.766393442622956</v>
      </c>
      <c r="AJ6" s="49">
        <f>+((AF6*$AF$2)+(AH6*$AH$2))/$AJ$2</f>
        <v>96.668032786885249</v>
      </c>
      <c r="AK6" s="710">
        <v>94</v>
      </c>
      <c r="AL6" s="95">
        <f>+AL9/AL2</f>
        <v>94.096774193548384</v>
      </c>
      <c r="AM6" s="322">
        <f>+((AC$6*AC$2)+(AG$6*AG$2)+(AK$6*AK$2))/AM$2</f>
        <v>94</v>
      </c>
      <c r="AN6" s="322">
        <f>+((AD$6*AD$2)+(AH$6*AH$2)+(AL$6*AL$2))/AN$2</f>
        <v>94.967391304347828</v>
      </c>
      <c r="AO6" s="49">
        <f>+((AK6*$AK$2)+(AI6*$AI$2))/$AO$2</f>
        <v>94.68</v>
      </c>
      <c r="AP6" s="49">
        <f>+((AL6*$AL$2)+(AJ6*$AJ$2))/$AP$2</f>
        <v>96.378181818181815</v>
      </c>
      <c r="AQ6" s="710">
        <v>94</v>
      </c>
      <c r="AR6" s="95">
        <f>+AR9/AR2</f>
        <v>94.838709677419359</v>
      </c>
      <c r="AS6" s="49">
        <f>+((AO6*$AO$2)+(AQ6*$AQ$2))/$AS$2</f>
        <v>94.611111111111128</v>
      </c>
      <c r="AT6" s="49">
        <f>+((AP6*$AP$2)+(AR6*$AR$2))/$AT$2</f>
        <v>96.222222222222229</v>
      </c>
      <c r="AU6" s="710">
        <v>94</v>
      </c>
      <c r="AV6" s="95">
        <f>+AV9/AV2</f>
        <v>94.428571428571431</v>
      </c>
      <c r="AW6" s="49">
        <f>+((AS6*$AS$2)+(AU6*$AU$2))/$AW$2</f>
        <v>94.559880239520965</v>
      </c>
      <c r="AX6" s="49">
        <f>+((AT6*$AT$2)+(AV6*$AV$2))/$AX$2</f>
        <v>96.071856287425163</v>
      </c>
      <c r="AY6" s="710">
        <v>94</v>
      </c>
      <c r="AZ6" s="95">
        <f>+AZ9/AZ2</f>
        <v>98</v>
      </c>
      <c r="BA6" s="322">
        <f>+((AQ$6*AQ$2)+(AU$6*AU$2)+(AY$6*AY$2))/BA$2</f>
        <v>94</v>
      </c>
      <c r="BB6" s="322">
        <f>+((AR$6*AR$2)+(AV$6*AV$2)+(AZ$6*AZ$2))/BB$2</f>
        <v>95.8</v>
      </c>
      <c r="BC6" s="429">
        <f>+((AM6*AM$2)+(BA6*BA$2))/BC$2</f>
        <v>94</v>
      </c>
      <c r="BD6" s="429">
        <f>+((AN6*AN$2)+(BB6*BB$2))/BD$2</f>
        <v>95.379120879120876</v>
      </c>
      <c r="BE6" s="49">
        <f>+((AW6*$AW$2)+(AY6*$AY$2))/$BE$2</f>
        <v>94.512328767123293</v>
      </c>
      <c r="BF6" s="49">
        <f>+((AZ6*$AZ$2)+(AX6*$AX$2))/$BF$2</f>
        <v>96.235616438356161</v>
      </c>
      <c r="BH6" s="1102">
        <v>94.512328767123293</v>
      </c>
      <c r="BI6" s="1102">
        <v>96.216438356164389</v>
      </c>
      <c r="BJ6" s="1102">
        <v>96.420547945205485</v>
      </c>
      <c r="BK6" s="1102">
        <v>97.709589041095896</v>
      </c>
      <c r="BL6" s="1102">
        <v>99</v>
      </c>
      <c r="BM6" s="1102">
        <v>98.976067110347017</v>
      </c>
      <c r="BN6" s="1102">
        <v>98.783561643835611</v>
      </c>
      <c r="BO6" s="1102">
        <v>99</v>
      </c>
      <c r="BP6" s="1102">
        <v>97.824657534246569</v>
      </c>
      <c r="BQ6" s="1102">
        <v>95.547945205479451</v>
      </c>
      <c r="BR6" s="1102">
        <v>95.342465753424662</v>
      </c>
      <c r="BS6" s="1102">
        <v>97</v>
      </c>
      <c r="BT6" s="1090">
        <v>97.109590163934413</v>
      </c>
      <c r="BU6" s="3464"/>
      <c r="BV6" s="23"/>
      <c r="BW6" s="23"/>
      <c r="BX6" s="491"/>
      <c r="BY6" s="491"/>
    </row>
    <row r="7" spans="1:77" ht="15" customHeight="1" x14ac:dyDescent="0.3">
      <c r="B7" s="1784" t="s">
        <v>347</v>
      </c>
      <c r="C7" s="1758" t="s">
        <v>350</v>
      </c>
      <c r="D7" s="2262">
        <v>97.71761643835616</v>
      </c>
      <c r="E7" s="143">
        <v>96.6</v>
      </c>
      <c r="F7" s="95">
        <f>+F10/F2</f>
        <v>98.433333333333337</v>
      </c>
      <c r="G7" s="143">
        <v>96.03</v>
      </c>
      <c r="H7" s="95">
        <f>+H10/H2</f>
        <v>93.677419354838705</v>
      </c>
      <c r="I7" s="49">
        <f>+((E7*$E$2)+(G7*$G$2))/$I$2</f>
        <v>96.310327868852468</v>
      </c>
      <c r="J7" s="101">
        <f>+((F7*$F$2)+(H7*$H$2))/$J$2</f>
        <v>96.016393442622956</v>
      </c>
      <c r="K7" s="143">
        <v>98</v>
      </c>
      <c r="L7" s="95">
        <f>+L10/L2</f>
        <v>98.466666666666669</v>
      </c>
      <c r="M7" s="73">
        <f>+((E7*$E$2)+(G7*$G$2)+(K7*$K$2))/$M$2</f>
        <v>96.867362637362646</v>
      </c>
      <c r="N7" s="107">
        <f>+((F7*$F$2)+(H7*$H$2)+(L7*$L$2))/$N$2</f>
        <v>96.824175824175825</v>
      </c>
      <c r="O7" s="143">
        <v>98</v>
      </c>
      <c r="P7" s="95">
        <f>+P10/P2</f>
        <v>99</v>
      </c>
      <c r="Q7" s="49">
        <f>+((M7*M$2)+(O7*O$2))/Q$2</f>
        <v>97.155163934426227</v>
      </c>
      <c r="R7" s="101">
        <f>+((N7*N$2)+(P7*P$2))/R$2</f>
        <v>97.377049180327873</v>
      </c>
      <c r="S7" s="143">
        <v>98</v>
      </c>
      <c r="T7" s="95">
        <f>+T10/T2</f>
        <v>98.516129032258064</v>
      </c>
      <c r="U7" s="49">
        <f>+((Q7*Q$2)+(S7*S$2))/U$2</f>
        <v>97.326339869281043</v>
      </c>
      <c r="V7" s="101">
        <f>+((R7*R$2)+(T7*T$2))/V$2</f>
        <v>97.607843137254903</v>
      </c>
      <c r="W7" s="143">
        <v>93.5</v>
      </c>
      <c r="X7" s="95">
        <f>+X10/X2</f>
        <v>98.766666666666666</v>
      </c>
      <c r="Y7" s="322">
        <f>((O7*O2)+(S7*S2)+(W7*W2))/Y2</f>
        <v>96.532608695652172</v>
      </c>
      <c r="Z7" s="322">
        <f>+((P$7*P$2)+(T$7*T$2)+(X$7*X$2))/Z$2</f>
        <v>98.760869565217391</v>
      </c>
      <c r="AA7" s="430">
        <f>+((M7*M$2)+(Y7*Y$2))/AA$2</f>
        <v>96.699071038251361</v>
      </c>
      <c r="AB7" s="430">
        <f>+((N7*N$2)+(Z7*Z$2))/AB$2</f>
        <v>97.797814207650276</v>
      </c>
      <c r="AC7" s="143">
        <v>98</v>
      </c>
      <c r="AD7" s="95">
        <f>+AD10/AD2</f>
        <v>97.193548387096769</v>
      </c>
      <c r="AE7" s="49">
        <f>+((AA7*$AA$2)+(AC7*$AC$2))/$AE$2</f>
        <v>96.887523364485986</v>
      </c>
      <c r="AF7" s="101">
        <f>+((AB7*$AB$2)+(AD7*$AD$2))/$AF$2</f>
        <v>97.710280373831779</v>
      </c>
      <c r="AG7" s="710">
        <v>98</v>
      </c>
      <c r="AH7" s="95">
        <f>+AH10/AH2</f>
        <v>98.666666666666671</v>
      </c>
      <c r="AI7" s="49">
        <f>+((AE7*$AE$2)+(AG7*$AG$2))/$AI$2</f>
        <v>97.024303278688521</v>
      </c>
      <c r="AJ7" s="49">
        <f>+((AF7*$AF$2)+(AH7*$AH$2))/$AJ$2</f>
        <v>97.827868852459019</v>
      </c>
      <c r="AK7" s="710">
        <v>98</v>
      </c>
      <c r="AL7" s="95">
        <f>+AL10/AL2</f>
        <v>98.741935483870961</v>
      </c>
      <c r="AM7" s="322">
        <f>+((AC$7*AC$2)+(AG$7*AG$2)+(AK$7*AK$2))/AM$2</f>
        <v>98</v>
      </c>
      <c r="AN7" s="322">
        <f>+((AD$7*AD$2)+(AH$7*AH$2)+(AL$7*AL$2))/AN$2</f>
        <v>98.195652173913047</v>
      </c>
      <c r="AO7" s="49">
        <f>+((AK7*$AK$2)+(AI7*$AI$2))/$AO$2</f>
        <v>97.134290909090907</v>
      </c>
      <c r="AP7" s="49">
        <f>+((AL7*$AL$2)+(AJ7*$AJ$2))/$AP$2</f>
        <v>97.930909090909097</v>
      </c>
      <c r="AQ7" s="710">
        <v>98</v>
      </c>
      <c r="AR7" s="95">
        <f>+AR10/AR2</f>
        <v>97.870967741935488</v>
      </c>
      <c r="AS7" s="49">
        <f>+((AO7*$AO$2)+(AQ7*$AQ$2))/$AS$2</f>
        <v>97.221993464052289</v>
      </c>
      <c r="AT7" s="49">
        <f>+((AP7*$AP$2)+(AR7*$AR$2))/$AT$2</f>
        <v>97.924836601307192</v>
      </c>
      <c r="AU7" s="710">
        <v>98</v>
      </c>
      <c r="AV7" s="95">
        <f>+AV10/AV2</f>
        <v>98.035714285714292</v>
      </c>
      <c r="AW7" s="49">
        <f>+((AS7*$AS$2)+(AU7*$AU$2))/$AW$2</f>
        <v>97.28721556886228</v>
      </c>
      <c r="AX7" s="49">
        <f>+((AT7*$AT$2)+(AV7*$AV$2))/$AX$2</f>
        <v>97.93413173652695</v>
      </c>
      <c r="AY7" s="710">
        <v>98</v>
      </c>
      <c r="AZ7" s="95">
        <f>+AZ10/AZ2</f>
        <v>98.677419354838705</v>
      </c>
      <c r="BA7" s="322">
        <f>+((AQ$7*AQ$2)+(AU$7*AU$2)+(AY$7*AY$2))/BA$2</f>
        <v>98</v>
      </c>
      <c r="BB7" s="322">
        <f>+((AR$7*AR$2)+(AV$7*AV$2)+(AZ$7*AZ$2))/BB$2</f>
        <v>98.2</v>
      </c>
      <c r="BC7" s="429">
        <f>+((AM7*AM$2)+(BA7*BA$2))/BC$2</f>
        <v>98</v>
      </c>
      <c r="BD7" s="429">
        <f>+((AN7*AN$2)+(BB7*BB$2))/BD$2</f>
        <v>98.197802197802204</v>
      </c>
      <c r="BE7" s="49">
        <f>+((AW7*$AW$2)+(AY7*$AY$2))/$BE$2</f>
        <v>97.34775342465754</v>
      </c>
      <c r="BF7" s="49">
        <f>+((AZ7*$AZ$2)+(AX7*$AX$2))/$BF$2</f>
        <v>97.9972602739726</v>
      </c>
      <c r="BH7" s="1102">
        <v>97.630136986301366</v>
      </c>
      <c r="BI7" s="1102">
        <v>98.210958904109589</v>
      </c>
      <c r="BJ7" s="1102">
        <v>98.1676712328767</v>
      </c>
      <c r="BK7" s="1102">
        <v>97.991780821917814</v>
      </c>
      <c r="BL7" s="1102">
        <v>98.000061398661487</v>
      </c>
      <c r="BM7" s="1102">
        <v>96.670250945044899</v>
      </c>
      <c r="BN7" s="1102">
        <v>92.210958904109589</v>
      </c>
      <c r="BO7" s="1102">
        <v>99</v>
      </c>
      <c r="BP7" s="1102">
        <v>96.816438356164383</v>
      </c>
      <c r="BQ7" s="1102">
        <v>94.2</v>
      </c>
      <c r="BR7" s="1102">
        <v>90.778082191780825</v>
      </c>
      <c r="BS7" s="1102">
        <v>97</v>
      </c>
      <c r="BT7" s="1090">
        <v>95.71024590163934</v>
      </c>
      <c r="BU7" s="3464"/>
      <c r="BV7" s="23"/>
      <c r="BW7" s="23"/>
      <c r="BX7" s="491"/>
      <c r="BY7" s="491"/>
    </row>
    <row r="8" spans="1:77" ht="15" customHeight="1" x14ac:dyDescent="0.3">
      <c r="B8" s="1785" t="s">
        <v>79</v>
      </c>
      <c r="C8" s="1759" t="s">
        <v>350</v>
      </c>
      <c r="D8" s="2480">
        <f t="shared" ref="D8:L8" si="0">+D6+(D7*(31.55/17.2))</f>
        <v>275.7532401242434</v>
      </c>
      <c r="E8" s="4839">
        <f t="shared" si="0"/>
        <v>275.19360465116279</v>
      </c>
      <c r="F8" s="2267">
        <f t="shared" si="0"/>
        <v>278.556492248062</v>
      </c>
      <c r="G8" s="4839">
        <f t="shared" ref="G8:H8" si="1">+G6+(G7*(31.55/17.2))</f>
        <v>274.14805232558138</v>
      </c>
      <c r="H8" s="2267">
        <f t="shared" si="1"/>
        <v>268.89722430607651</v>
      </c>
      <c r="I8" s="2268">
        <f t="shared" si="0"/>
        <v>274.66225838734277</v>
      </c>
      <c r="J8" s="2269">
        <f t="shared" si="0"/>
        <v>273.64768394967598</v>
      </c>
      <c r="K8" s="2266">
        <f t="shared" si="0"/>
        <v>273.76162790697674</v>
      </c>
      <c r="L8" s="2267">
        <f t="shared" si="0"/>
        <v>276.68430232558137</v>
      </c>
      <c r="M8" s="1838">
        <f t="shared" ref="M8" si="2">+M6+(M7*(31.55/17.2))</f>
        <v>274.36534723996937</v>
      </c>
      <c r="N8" s="1839">
        <f t="shared" ref="N8:P8" si="3">+N6+(N7*(31.55/17.2))</f>
        <v>274.6487669307437</v>
      </c>
      <c r="O8" s="2266">
        <f t="shared" si="3"/>
        <v>273.76162790697674</v>
      </c>
      <c r="P8" s="2267">
        <f t="shared" si="3"/>
        <v>277.01528507126784</v>
      </c>
      <c r="Q8" s="1846">
        <f t="shared" ref="Q8" si="4">+Q6+(Q7*(31.55/17.2))</f>
        <v>274.21194314715979</v>
      </c>
      <c r="R8" s="1847">
        <f t="shared" ref="R8:T8" si="5">+R6+(R7*(31.55/17.2))</f>
        <v>275.25009531071294</v>
      </c>
      <c r="S8" s="2266">
        <f t="shared" si="5"/>
        <v>273.76162790697674</v>
      </c>
      <c r="T8" s="2267">
        <f t="shared" si="5"/>
        <v>278.70836459114781</v>
      </c>
      <c r="U8" s="1846">
        <f t="shared" ref="U8:X8" si="6">+U6+(U7*(31.55/17.2))</f>
        <v>274.12070280437757</v>
      </c>
      <c r="V8" s="3046">
        <f t="shared" si="6"/>
        <v>275.95079039367687</v>
      </c>
      <c r="W8" s="2266">
        <f t="shared" si="6"/>
        <v>263.60726744186047</v>
      </c>
      <c r="X8" s="2267">
        <f t="shared" si="6"/>
        <v>279.16792635658919</v>
      </c>
      <c r="Y8" s="346">
        <f>Y6+(Y7*31.55/17.2)</f>
        <v>270.45042340748233</v>
      </c>
      <c r="Z8" s="346">
        <f>Z6+(Z7*31.55/17.2)</f>
        <v>278.28772750252779</v>
      </c>
      <c r="AA8" s="502">
        <f>AA6+(AA7*31.55/17.2)</f>
        <v>272.39718881052227</v>
      </c>
      <c r="AB8" s="502">
        <f>AB6+(AB7*31.55/17.2)</f>
        <v>276.47818973185923</v>
      </c>
      <c r="AC8" s="2266">
        <f t="shared" ref="AC8:AD8" si="7">+AC6+(AC7*(31.55/17.2))</f>
        <v>273.76162790697674</v>
      </c>
      <c r="AD8" s="2267">
        <f t="shared" si="7"/>
        <v>274.83073893473369</v>
      </c>
      <c r="AE8" s="2268">
        <f t="shared" ref="AE8:AH8" si="8">+AE6+(AE7*(31.55/17.2))</f>
        <v>272.59484120299936</v>
      </c>
      <c r="AF8" s="2269">
        <f t="shared" si="8"/>
        <v>276.23954031732234</v>
      </c>
      <c r="AG8" s="2266">
        <f t="shared" si="8"/>
        <v>273.76162790697674</v>
      </c>
      <c r="AH8" s="2267">
        <f t="shared" si="8"/>
        <v>275.21782945736436</v>
      </c>
      <c r="AI8" s="2268">
        <f t="shared" ref="AI8:AL8" si="9">+AI6+(AI7*(31.55/17.2))</f>
        <v>272.73829858463591</v>
      </c>
      <c r="AJ8" s="2269">
        <f t="shared" si="9"/>
        <v>276.11392012962256</v>
      </c>
      <c r="AK8" s="2266">
        <f t="shared" si="9"/>
        <v>273.76162790697674</v>
      </c>
      <c r="AL8" s="2267">
        <f t="shared" si="9"/>
        <v>275.21933608402099</v>
      </c>
      <c r="AM8" s="346">
        <f>AM6+(AM7*31.55/17.2)</f>
        <v>273.76162790697674</v>
      </c>
      <c r="AN8" s="346">
        <f>AN6+(AN7*31.55/17.2)</f>
        <v>275.08790444893833</v>
      </c>
      <c r="AO8" s="2268">
        <f t="shared" ref="AO8:AT8" si="10">+AO6+(AO7*(31.55/17.2))</f>
        <v>272.85365570824524</v>
      </c>
      <c r="AP8" s="2269">
        <f t="shared" si="10"/>
        <v>276.01307610993661</v>
      </c>
      <c r="AQ8" s="4839">
        <f t="shared" si="10"/>
        <v>273.76162790697674</v>
      </c>
      <c r="AR8" s="4840">
        <f t="shared" si="10"/>
        <v>274.3636534133534</v>
      </c>
      <c r="AS8" s="2268">
        <f t="shared" si="10"/>
        <v>272.94563981988148</v>
      </c>
      <c r="AT8" s="2269">
        <f t="shared" si="10"/>
        <v>275.8459777321782</v>
      </c>
      <c r="AU8" s="4839">
        <f t="shared" ref="AU8:AV8" si="11">+AU6+(AU7*(31.55/17.2))</f>
        <v>273.76162790697674</v>
      </c>
      <c r="AV8" s="4840">
        <f t="shared" si="11"/>
        <v>274.25571013289039</v>
      </c>
      <c r="AW8" s="2268">
        <f t="shared" ref="AW8:AZ8" si="12">+AW6+(AW7*(31.55/17.2))</f>
        <v>273.01404600682361</v>
      </c>
      <c r="AX8" s="4097">
        <f t="shared" si="12"/>
        <v>275.7126618855313</v>
      </c>
      <c r="AY8" s="4839">
        <f t="shared" si="12"/>
        <v>273.76162790697674</v>
      </c>
      <c r="AZ8" s="4840">
        <f t="shared" si="12"/>
        <v>279.00421980495128</v>
      </c>
      <c r="BA8" s="346">
        <f>BA6+(BA7*31.55/17.2)</f>
        <v>273.76162790697674</v>
      </c>
      <c r="BB8" s="346">
        <f>BB6+(BB7*31.55/17.2)</f>
        <v>275.92848837209306</v>
      </c>
      <c r="BC8" s="502">
        <f>BC6+(BC7*31.55/17.2)</f>
        <v>273.76162790697674</v>
      </c>
      <c r="BD8" s="502">
        <f>BD6+(BD7*31.55/17.2)</f>
        <v>275.50357781753132</v>
      </c>
      <c r="BE8" s="4096">
        <f t="shared" ref="BE8:BF8" si="13">+BE6+(BE7*(31.55/17.2))</f>
        <v>273.07753926409686</v>
      </c>
      <c r="BF8" s="4097">
        <f t="shared" si="13"/>
        <v>275.99221885950942</v>
      </c>
      <c r="BH8" s="1371">
        <v>273.59551608792611</v>
      </c>
      <c r="BI8" s="1371">
        <v>276.3650286715515</v>
      </c>
      <c r="BJ8" s="1371">
        <v>276.48973558458107</v>
      </c>
      <c r="BK8" s="1371">
        <v>277.45614049060214</v>
      </c>
      <c r="BL8" s="1371">
        <v>278.76174053068428</v>
      </c>
      <c r="BM8" s="1371">
        <v>276.29853323338</v>
      </c>
      <c r="BN8" s="1371">
        <v>267.92633800573469</v>
      </c>
      <c r="BO8" s="1036">
        <v>280.5959302325586</v>
      </c>
      <c r="BP8" s="1371">
        <v>275.41527556546714</v>
      </c>
      <c r="BQ8" s="1036">
        <v>268.33922427524732</v>
      </c>
      <c r="BR8" s="1371">
        <v>261.85691302962772</v>
      </c>
      <c r="BS8" s="1036">
        <v>274.92732558139579</v>
      </c>
      <c r="BT8" s="1814">
        <v>272.67111680327912</v>
      </c>
      <c r="BU8" s="3464"/>
      <c r="BV8" s="23"/>
      <c r="BW8" s="23"/>
      <c r="BX8" s="491"/>
      <c r="BY8" s="491"/>
    </row>
    <row r="9" spans="1:77" ht="15" customHeight="1" x14ac:dyDescent="0.3">
      <c r="B9" s="1784" t="s">
        <v>346</v>
      </c>
      <c r="C9" s="1758" t="s">
        <v>643</v>
      </c>
      <c r="D9" s="1762">
        <f>+D6*D2</f>
        <v>35226</v>
      </c>
      <c r="E9" s="143">
        <f>+E6*E2</f>
        <v>2940</v>
      </c>
      <c r="F9" s="168">
        <v>2940</v>
      </c>
      <c r="G9" s="143">
        <f>+G6*G2</f>
        <v>3038</v>
      </c>
      <c r="H9" s="168">
        <v>3009</v>
      </c>
      <c r="I9" s="57">
        <f>+I6*I2</f>
        <v>5978</v>
      </c>
      <c r="J9" s="35">
        <f>+F9+H9</f>
        <v>5949</v>
      </c>
      <c r="K9" s="143">
        <f>+K6*K2</f>
        <v>2820</v>
      </c>
      <c r="L9" s="168">
        <v>2882</v>
      </c>
      <c r="M9" s="68">
        <f>+E9+G9+K9</f>
        <v>8798</v>
      </c>
      <c r="N9" s="65">
        <f>+F9+H9+L9</f>
        <v>8831</v>
      </c>
      <c r="O9" s="143">
        <f>+O6*O2</f>
        <v>2914</v>
      </c>
      <c r="P9" s="168">
        <v>2958</v>
      </c>
      <c r="Q9" s="57">
        <f>+M9+O9</f>
        <v>11712</v>
      </c>
      <c r="R9" s="35">
        <f>+N9+P9</f>
        <v>11789</v>
      </c>
      <c r="S9" s="143">
        <f>+S6*S2</f>
        <v>2914</v>
      </c>
      <c r="T9" s="168">
        <v>3038</v>
      </c>
      <c r="U9" s="57">
        <f>+Q9+S9</f>
        <v>14626</v>
      </c>
      <c r="V9" s="35">
        <f>+R9+T9</f>
        <v>14827</v>
      </c>
      <c r="W9" s="143">
        <f>+W6*W2</f>
        <v>2763</v>
      </c>
      <c r="X9" s="168">
        <v>2940</v>
      </c>
      <c r="Y9" s="717">
        <f>+O9+S9+W9</f>
        <v>8591</v>
      </c>
      <c r="Z9" s="717">
        <f>+P9+T9+X9</f>
        <v>8936</v>
      </c>
      <c r="AA9" s="429">
        <f>M9+Y9</f>
        <v>17389</v>
      </c>
      <c r="AB9" s="429">
        <f>+N9+Z9</f>
        <v>17767</v>
      </c>
      <c r="AC9" s="143">
        <f>+AC6*AC2</f>
        <v>2914</v>
      </c>
      <c r="AD9" s="168">
        <v>2993</v>
      </c>
      <c r="AE9" s="57">
        <f>+AE6*AE2</f>
        <v>20303</v>
      </c>
      <c r="AF9" s="35">
        <f>+AB9+AD9</f>
        <v>20760</v>
      </c>
      <c r="AG9" s="143">
        <f>+AG6*AG2</f>
        <v>2820</v>
      </c>
      <c r="AH9" s="168">
        <v>2827</v>
      </c>
      <c r="AI9" s="57">
        <f>+AI6*AI2</f>
        <v>23123</v>
      </c>
      <c r="AJ9" s="35">
        <f>+AF9+AH9</f>
        <v>23587</v>
      </c>
      <c r="AK9" s="143">
        <f>+AK6*AK2</f>
        <v>2914</v>
      </c>
      <c r="AL9" s="168">
        <v>2917</v>
      </c>
      <c r="AM9" s="717">
        <f>+AC9+AG9+AK9</f>
        <v>8648</v>
      </c>
      <c r="AN9" s="717">
        <f>+AD9+AH9+AL9</f>
        <v>8737</v>
      </c>
      <c r="AO9" s="57">
        <f>AI9+AK9</f>
        <v>26037</v>
      </c>
      <c r="AP9" s="57">
        <f>AJ9+AL9</f>
        <v>26504</v>
      </c>
      <c r="AQ9" s="143">
        <f>+AQ6*AQ2</f>
        <v>2914</v>
      </c>
      <c r="AR9" s="168">
        <v>2940</v>
      </c>
      <c r="AS9" s="57">
        <f>+AS6*AS2</f>
        <v>28951.000000000004</v>
      </c>
      <c r="AT9" s="35">
        <f>+AP9+AR9</f>
        <v>29444</v>
      </c>
      <c r="AU9" s="143">
        <f>+AU6*AU2</f>
        <v>2632</v>
      </c>
      <c r="AV9" s="168">
        <v>2644</v>
      </c>
      <c r="AW9" s="57">
        <f>+AW6*AW2</f>
        <v>31583.000000000004</v>
      </c>
      <c r="AX9" s="35">
        <f>+AT9+AV9</f>
        <v>32088</v>
      </c>
      <c r="AY9" s="143">
        <f>+AY6*AY2</f>
        <v>2914</v>
      </c>
      <c r="AZ9" s="168">
        <v>3038</v>
      </c>
      <c r="BA9" s="717">
        <f>+AQ9+AU9+AY9</f>
        <v>8460</v>
      </c>
      <c r="BB9" s="717">
        <f>+AR9+AV9+AZ9</f>
        <v>8622</v>
      </c>
      <c r="BC9" s="429">
        <f>AM9+BA9</f>
        <v>17108</v>
      </c>
      <c r="BD9" s="429">
        <f t="shared" ref="BD9" si="14">AN9+BB9</f>
        <v>17359</v>
      </c>
      <c r="BE9" s="57">
        <f>AW9+AY9</f>
        <v>34497</v>
      </c>
      <c r="BF9" s="57">
        <f>AX9+AZ9</f>
        <v>35126</v>
      </c>
      <c r="BH9" s="1372">
        <v>34497</v>
      </c>
      <c r="BI9" s="1372">
        <v>35119</v>
      </c>
      <c r="BJ9" s="1372">
        <v>35193.5</v>
      </c>
      <c r="BK9" s="1372">
        <v>35664</v>
      </c>
      <c r="BL9" s="1372">
        <v>36234</v>
      </c>
      <c r="BM9" s="1372">
        <v>36225</v>
      </c>
      <c r="BN9" s="1372">
        <v>36056</v>
      </c>
      <c r="BO9" s="1590">
        <v>36135</v>
      </c>
      <c r="BP9" s="1372">
        <v>35706</v>
      </c>
      <c r="BQ9" s="1590">
        <v>34875</v>
      </c>
      <c r="BR9" s="1372">
        <v>34800</v>
      </c>
      <c r="BS9" s="1590">
        <v>35502</v>
      </c>
      <c r="BT9" s="1815">
        <v>35543</v>
      </c>
      <c r="BU9" s="3464"/>
      <c r="BV9" s="23"/>
      <c r="BW9" s="23"/>
      <c r="BX9" s="491"/>
      <c r="BY9" s="491"/>
    </row>
    <row r="10" spans="1:77" ht="15" customHeight="1" x14ac:dyDescent="0.3">
      <c r="B10" s="1784" t="s">
        <v>347</v>
      </c>
      <c r="C10" s="1758" t="s">
        <v>643</v>
      </c>
      <c r="D10" s="1762">
        <f>+D7*D2</f>
        <v>35666.93</v>
      </c>
      <c r="E10" s="1223">
        <f>+E7*E2</f>
        <v>2898</v>
      </c>
      <c r="F10" s="168">
        <v>2953</v>
      </c>
      <c r="G10" s="143">
        <f>+G7*G2</f>
        <v>2976.93</v>
      </c>
      <c r="H10" s="168">
        <v>2904</v>
      </c>
      <c r="I10" s="57">
        <f>+I7*I2</f>
        <v>5874.93</v>
      </c>
      <c r="J10" s="35">
        <f>+F10+H10</f>
        <v>5857</v>
      </c>
      <c r="K10" s="1223">
        <f>+K7*K2</f>
        <v>2940</v>
      </c>
      <c r="L10" s="168">
        <v>2954</v>
      </c>
      <c r="M10" s="68">
        <f>+E10+G10+K10</f>
        <v>8814.93</v>
      </c>
      <c r="N10" s="65">
        <f>+F10+H10+L10</f>
        <v>8811</v>
      </c>
      <c r="O10" s="1223">
        <f>+O7*O2</f>
        <v>3038</v>
      </c>
      <c r="P10" s="168">
        <v>3069</v>
      </c>
      <c r="Q10" s="57">
        <f>+M10+O10</f>
        <v>11852.93</v>
      </c>
      <c r="R10" s="35">
        <f>+N10+P10</f>
        <v>11880</v>
      </c>
      <c r="S10" s="1223">
        <f>+S7*S2</f>
        <v>3038</v>
      </c>
      <c r="T10" s="168">
        <v>3054</v>
      </c>
      <c r="U10" s="57">
        <f>+Q10+S10</f>
        <v>14890.93</v>
      </c>
      <c r="V10" s="35">
        <f>+R10+T10</f>
        <v>14934</v>
      </c>
      <c r="W10" s="1223">
        <f>+W7*W2</f>
        <v>2805</v>
      </c>
      <c r="X10" s="168">
        <v>2963</v>
      </c>
      <c r="Y10" s="717">
        <f>+O10+S10+W10</f>
        <v>8881</v>
      </c>
      <c r="Z10" s="717">
        <f>+P10+T10+X10</f>
        <v>9086</v>
      </c>
      <c r="AA10" s="429">
        <f>+M10+Y10</f>
        <v>17695.93</v>
      </c>
      <c r="AB10" s="429">
        <f>+N10+Z10</f>
        <v>17897</v>
      </c>
      <c r="AC10" s="1223">
        <f>+AC7*AC2</f>
        <v>3038</v>
      </c>
      <c r="AD10" s="168">
        <v>3013</v>
      </c>
      <c r="AE10" s="57">
        <f>+AE7*AE2</f>
        <v>20733.93</v>
      </c>
      <c r="AF10" s="35">
        <f>+AB10+AD10</f>
        <v>20910</v>
      </c>
      <c r="AG10" s="1223">
        <f>+AG7*AG2</f>
        <v>2940</v>
      </c>
      <c r="AH10" s="168">
        <v>2960</v>
      </c>
      <c r="AI10" s="57">
        <f>+AI7*AI2</f>
        <v>23673.93</v>
      </c>
      <c r="AJ10" s="35">
        <f>+AF10+AH10</f>
        <v>23870</v>
      </c>
      <c r="AK10" s="1223">
        <f>+AK7*AK2</f>
        <v>3038</v>
      </c>
      <c r="AL10" s="168">
        <v>3061</v>
      </c>
      <c r="AM10" s="717">
        <f>+AC10+AG10+AK10</f>
        <v>9016</v>
      </c>
      <c r="AN10" s="717">
        <f>+AD10+AH10+AL10</f>
        <v>9034</v>
      </c>
      <c r="AO10" s="57">
        <f>AI10+AK10</f>
        <v>26711.93</v>
      </c>
      <c r="AP10" s="57">
        <f>AJ10+AL10</f>
        <v>26931</v>
      </c>
      <c r="AQ10" s="1223">
        <f>+AQ7*AQ2</f>
        <v>3038</v>
      </c>
      <c r="AR10" s="168">
        <v>3034</v>
      </c>
      <c r="AS10" s="57">
        <f>+AS7*AS2</f>
        <v>29749.93</v>
      </c>
      <c r="AT10" s="35">
        <f>+AP10+AR10</f>
        <v>29965</v>
      </c>
      <c r="AU10" s="1223">
        <f>+AU7*AU2</f>
        <v>2744</v>
      </c>
      <c r="AV10" s="168">
        <v>2745</v>
      </c>
      <c r="AW10" s="57">
        <f>+AW7*AW2</f>
        <v>32493.93</v>
      </c>
      <c r="AX10" s="35">
        <f>+AT10+AV10</f>
        <v>32710</v>
      </c>
      <c r="AY10" s="1223">
        <f>+AY7*AY2</f>
        <v>3038</v>
      </c>
      <c r="AZ10" s="168">
        <v>3059</v>
      </c>
      <c r="BA10" s="717">
        <f>+AQ10+AU10+AY10</f>
        <v>8820</v>
      </c>
      <c r="BB10" s="717">
        <f>+AR10+AV10+AZ10</f>
        <v>8838</v>
      </c>
      <c r="BC10" s="429">
        <f>AM10+BA10</f>
        <v>17836</v>
      </c>
      <c r="BD10" s="429">
        <f t="shared" ref="BD10" si="15">AN10+BB10</f>
        <v>17872</v>
      </c>
      <c r="BE10" s="57">
        <f>AW10+AY10</f>
        <v>35531.93</v>
      </c>
      <c r="BF10" s="57">
        <f>AX10+AZ10</f>
        <v>35769</v>
      </c>
      <c r="BH10" s="1372">
        <v>35635</v>
      </c>
      <c r="BI10" s="1372">
        <v>35847</v>
      </c>
      <c r="BJ10" s="1372">
        <v>35831.199999999997</v>
      </c>
      <c r="BK10" s="1372">
        <v>35767</v>
      </c>
      <c r="BL10" s="1372">
        <v>35868.022471910102</v>
      </c>
      <c r="BM10" s="1372">
        <v>35382</v>
      </c>
      <c r="BN10" s="1372">
        <v>33657</v>
      </c>
      <c r="BO10" s="1590">
        <v>36135</v>
      </c>
      <c r="BP10" s="1372">
        <v>35338</v>
      </c>
      <c r="BQ10" s="1590">
        <v>34383</v>
      </c>
      <c r="BR10" s="1372">
        <v>33134</v>
      </c>
      <c r="BS10" s="1590">
        <v>35502</v>
      </c>
      <c r="BT10" s="1815">
        <v>35030</v>
      </c>
      <c r="BU10" s="3464"/>
      <c r="BV10" s="23"/>
      <c r="BW10" s="23"/>
      <c r="BX10" s="491"/>
      <c r="BY10" s="491"/>
    </row>
    <row r="11" spans="1:77" ht="15" customHeight="1" thickBot="1" x14ac:dyDescent="0.35">
      <c r="B11" s="1786" t="s">
        <v>644</v>
      </c>
      <c r="C11" s="1766" t="s">
        <v>643</v>
      </c>
      <c r="D11" s="2270">
        <f t="shared" ref="D11:L11" si="16">+D9+(D10*(31.55/17.2))</f>
        <v>100649.93264534885</v>
      </c>
      <c r="E11" s="2271">
        <f t="shared" si="16"/>
        <v>8255.8081395348854</v>
      </c>
      <c r="F11" s="2272">
        <f t="shared" si="16"/>
        <v>8356.6947674418607</v>
      </c>
      <c r="G11" s="2271">
        <f t="shared" ref="G11:H11" si="17">+G9+(G10*(31.55/17.2))</f>
        <v>8498.5896220930226</v>
      </c>
      <c r="H11" s="2272">
        <f t="shared" si="17"/>
        <v>8335.8139534883721</v>
      </c>
      <c r="I11" s="2273">
        <f t="shared" si="16"/>
        <v>16754.397761627908</v>
      </c>
      <c r="J11" s="2274">
        <f t="shared" si="16"/>
        <v>16692.508720930233</v>
      </c>
      <c r="K11" s="2271">
        <f t="shared" si="16"/>
        <v>8212.8488372093016</v>
      </c>
      <c r="L11" s="2272">
        <f t="shared" si="16"/>
        <v>8300.5290697674427</v>
      </c>
      <c r="M11" s="1810">
        <f t="shared" ref="M11" si="18">+M9+(M10*(31.55/17.2))</f>
        <v>24967.246598837213</v>
      </c>
      <c r="N11" s="1811">
        <f t="shared" ref="N11:P11" si="19">+N9+(N10*(31.55/17.2))</f>
        <v>24993.037790697676</v>
      </c>
      <c r="O11" s="2271">
        <f t="shared" si="19"/>
        <v>8486.6104651162786</v>
      </c>
      <c r="P11" s="2272">
        <f t="shared" si="19"/>
        <v>8587.4738372093016</v>
      </c>
      <c r="Q11" s="1802">
        <f t="shared" ref="Q11" si="20">+Q9+(Q10*(31.55/17.2))</f>
        <v>33453.857063953488</v>
      </c>
      <c r="R11" s="1772">
        <f t="shared" ref="R11:U11" si="21">+R9+(R10*(31.55/17.2))</f>
        <v>33580.511627906977</v>
      </c>
      <c r="S11" s="2271">
        <f t="shared" si="21"/>
        <v>8486.6104651162786</v>
      </c>
      <c r="T11" s="2272">
        <f t="shared" si="21"/>
        <v>8639.959302325582</v>
      </c>
      <c r="U11" s="1802">
        <f t="shared" si="21"/>
        <v>41940.467529069771</v>
      </c>
      <c r="V11" s="1772">
        <f t="shared" ref="V11:X11" si="22">+V9+(V10*(31.55/17.2))</f>
        <v>42220.470930232565</v>
      </c>
      <c r="W11" s="2271">
        <f t="shared" si="22"/>
        <v>7908.2180232558139</v>
      </c>
      <c r="X11" s="2272">
        <f t="shared" si="22"/>
        <v>8375.0377906976755</v>
      </c>
      <c r="Y11" s="346">
        <f>Y9+(Y10*31.55/17.2)</f>
        <v>24881.438953488374</v>
      </c>
      <c r="Z11" s="346">
        <f>Z9+(Z10*31.55/17.2)</f>
        <v>25602.470930232557</v>
      </c>
      <c r="AA11" s="502">
        <f>AA9+(AA10*31.55/17.2)</f>
        <v>49848.68555232558</v>
      </c>
      <c r="AB11" s="502">
        <f>AB9+(AB10*31.55/17.2)</f>
        <v>50595.508720930229</v>
      </c>
      <c r="AC11" s="2271">
        <f t="shared" ref="AC11:AD11" si="23">+AC9+(AC10*(31.55/17.2))</f>
        <v>8486.6104651162786</v>
      </c>
      <c r="AD11" s="2272">
        <f t="shared" si="23"/>
        <v>8519.7529069767443</v>
      </c>
      <c r="AE11" s="2273">
        <f t="shared" ref="AE11:AH11" si="24">+AE9+(AE10*(31.55/17.2))</f>
        <v>58335.296017441862</v>
      </c>
      <c r="AF11" s="2274">
        <f t="shared" si="24"/>
        <v>59115.261627906977</v>
      </c>
      <c r="AG11" s="2271">
        <f t="shared" si="24"/>
        <v>8212.8488372093016</v>
      </c>
      <c r="AH11" s="2272">
        <f t="shared" si="24"/>
        <v>8256.5348837209312</v>
      </c>
      <c r="AI11" s="2273">
        <f t="shared" ref="AI11:AL11" si="25">+AI9+(AI10*(31.55/17.2))</f>
        <v>66548.144854651167</v>
      </c>
      <c r="AJ11" s="2274">
        <f t="shared" si="25"/>
        <v>67371.796511627908</v>
      </c>
      <c r="AK11" s="2271">
        <f t="shared" si="25"/>
        <v>8486.6104651162786</v>
      </c>
      <c r="AL11" s="2272">
        <f t="shared" si="25"/>
        <v>8531.7994186046526</v>
      </c>
      <c r="AM11" s="346">
        <f>AM9+(AM10*31.55/17.2)</f>
        <v>25186.069767441859</v>
      </c>
      <c r="AN11" s="346">
        <f>AN9+(AN10*31.55/17.2)</f>
        <v>25308.087209302328</v>
      </c>
      <c r="AO11" s="2273">
        <f t="shared" ref="AO11:AT11" si="26">+AO9+(AO10*(31.55/17.2))</f>
        <v>75034.755319767457</v>
      </c>
      <c r="AP11" s="2274">
        <f t="shared" si="26"/>
        <v>75903.595930232565</v>
      </c>
      <c r="AQ11" s="2271">
        <f t="shared" si="26"/>
        <v>8486.6104651162786</v>
      </c>
      <c r="AR11" s="2272">
        <f t="shared" si="26"/>
        <v>8505.2732558139542</v>
      </c>
      <c r="AS11" s="2273">
        <f t="shared" si="26"/>
        <v>83521.365784883732</v>
      </c>
      <c r="AT11" s="2274">
        <f t="shared" si="26"/>
        <v>84408.869186046519</v>
      </c>
      <c r="AU11" s="2271">
        <f t="shared" ref="AU11:AV11" si="27">+AU9+(AU10*(31.55/17.2))</f>
        <v>7665.3255813953492</v>
      </c>
      <c r="AV11" s="2272">
        <f t="shared" si="27"/>
        <v>7679.1598837209303</v>
      </c>
      <c r="AW11" s="2273">
        <f t="shared" ref="AW11:AZ11" si="28">+AW9+(AW10*(31.55/17.2))</f>
        <v>91186.691366279076</v>
      </c>
      <c r="AX11" s="2274">
        <f t="shared" si="28"/>
        <v>92088.02906976745</v>
      </c>
      <c r="AY11" s="2271">
        <f t="shared" si="28"/>
        <v>8486.6104651162786</v>
      </c>
      <c r="AZ11" s="2272">
        <f t="shared" si="28"/>
        <v>8649.1308139534885</v>
      </c>
      <c r="BA11" s="346">
        <f>BA9+(BA10*31.55/17.2)</f>
        <v>24638.546511627908</v>
      </c>
      <c r="BB11" s="346">
        <f>BB9+(BB10*31.55/17.2)</f>
        <v>24833.563953488374</v>
      </c>
      <c r="BC11" s="502">
        <f>BC9+(BC10*31.55/17.2)</f>
        <v>49824.616279069771</v>
      </c>
      <c r="BD11" s="502">
        <f>BD9+(BD10*31.55/17.2)</f>
        <v>50141.651162790695</v>
      </c>
      <c r="BE11" s="2273">
        <f t="shared" ref="BE11:BF11" si="29">+BE9+(BE10*(31.55/17.2))</f>
        <v>99673.301831395365</v>
      </c>
      <c r="BF11" s="2274">
        <f t="shared" si="29"/>
        <v>100737.15988372093</v>
      </c>
      <c r="BH11" s="1036">
        <v>99862.363372093037</v>
      </c>
      <c r="BI11" s="1036">
        <v>100873.23546511629</v>
      </c>
      <c r="BJ11" s="1036">
        <v>100918.75348837209</v>
      </c>
      <c r="BK11" s="1036">
        <v>101271.49127906977</v>
      </c>
      <c r="BL11" s="1036">
        <v>102026.79703423046</v>
      </c>
      <c r="BM11" s="1036">
        <v>101126.28488372095</v>
      </c>
      <c r="BN11" s="1036">
        <v>97793.113372093183</v>
      </c>
      <c r="BO11" s="1036">
        <v>102417.51453488389</v>
      </c>
      <c r="BP11" s="1036">
        <v>100526.5755813955</v>
      </c>
      <c r="BQ11" s="1036">
        <v>97943.816860465275</v>
      </c>
      <c r="BR11" s="1036">
        <v>95577.7732558141</v>
      </c>
      <c r="BS11" s="1036">
        <v>100623.40116279086</v>
      </c>
      <c r="BT11" s="1816">
        <v>99798.61046511645</v>
      </c>
      <c r="BW11" s="23"/>
      <c r="BX11" s="491"/>
      <c r="BY11" s="491"/>
    </row>
    <row r="12" spans="1:77" ht="15" hidden="1" customHeight="1" x14ac:dyDescent="0.3">
      <c r="A12" s="137"/>
      <c r="B12" s="1787" t="s">
        <v>339</v>
      </c>
      <c r="C12" s="23"/>
      <c r="D12" s="2263"/>
      <c r="E12" s="2263"/>
      <c r="F12" s="2263"/>
      <c r="G12" s="2263"/>
      <c r="H12" s="2263"/>
      <c r="I12" s="2263"/>
      <c r="J12" s="2263"/>
      <c r="K12" s="2263"/>
      <c r="L12" s="2263"/>
      <c r="M12" s="2263"/>
      <c r="N12" s="2263"/>
      <c r="O12" s="2263"/>
      <c r="P12" s="2263"/>
      <c r="Q12" s="2263"/>
      <c r="R12" s="2263"/>
      <c r="S12" s="2263"/>
      <c r="T12" s="2263"/>
      <c r="U12" s="2263"/>
      <c r="V12" s="2263"/>
      <c r="W12" s="2263"/>
      <c r="X12" s="2263"/>
      <c r="Y12" s="2263"/>
      <c r="Z12" s="2263"/>
      <c r="AA12" s="2263"/>
      <c r="AB12" s="2263"/>
      <c r="AC12" s="2263"/>
      <c r="AD12" s="2263"/>
      <c r="AE12" s="2263"/>
      <c r="AF12" s="2263"/>
      <c r="AG12" s="2263"/>
      <c r="AH12" s="2263"/>
      <c r="AI12" s="2263"/>
      <c r="AJ12" s="2263"/>
      <c r="AK12" s="2263"/>
      <c r="AL12" s="2263"/>
      <c r="AM12" s="2263"/>
      <c r="AN12" s="2263"/>
      <c r="AO12" s="2263"/>
      <c r="AP12" s="2263"/>
      <c r="AQ12" s="2263"/>
      <c r="AR12" s="2263"/>
      <c r="AS12" s="2263"/>
      <c r="AT12" s="2263"/>
      <c r="AU12" s="2263"/>
      <c r="AV12" s="2263"/>
      <c r="AW12" s="2263"/>
      <c r="AX12" s="2263"/>
      <c r="AY12" s="2263"/>
      <c r="AZ12" s="2263"/>
      <c r="BA12" s="2263"/>
      <c r="BB12" s="2263"/>
      <c r="BC12" s="2263"/>
      <c r="BD12" s="2263"/>
      <c r="BE12" s="2263"/>
      <c r="BF12" s="2263"/>
      <c r="BH12" s="5759"/>
      <c r="BI12" s="5759"/>
      <c r="BJ12" s="23"/>
      <c r="BK12" s="23"/>
      <c r="BL12" s="23"/>
      <c r="BM12" s="23"/>
      <c r="BN12" s="23"/>
      <c r="BO12" s="23"/>
      <c r="BP12" s="23"/>
      <c r="BQ12" s="23"/>
      <c r="BR12" s="23"/>
      <c r="BS12" s="23"/>
      <c r="BT12" s="1817"/>
      <c r="BW12" s="23"/>
      <c r="BX12" s="491"/>
      <c r="BY12" s="491"/>
    </row>
    <row r="13" spans="1:77" ht="15" hidden="1" customHeight="1" x14ac:dyDescent="0.3">
      <c r="B13" s="1788" t="s">
        <v>145</v>
      </c>
      <c r="C13" s="1758" t="s">
        <v>50</v>
      </c>
      <c r="D13" s="1762">
        <f>+D9*0.7*17.2</f>
        <v>424121.03999999992</v>
      </c>
      <c r="E13" s="143">
        <f>+E9*0.7*17.2</f>
        <v>35397.599999999999</v>
      </c>
      <c r="F13" s="17">
        <f>'COKE OVENS'!F21</f>
        <v>35144.759999999995</v>
      </c>
      <c r="G13" s="143">
        <f>+G9*0.7*17.2</f>
        <v>36577.519999999997</v>
      </c>
      <c r="H13" s="17">
        <f>'COKE OVENS'!H21</f>
        <v>35969.585999999996</v>
      </c>
      <c r="I13" s="57">
        <f>+E13+G13</f>
        <v>71975.12</v>
      </c>
      <c r="J13" s="35">
        <f>+F13+H13</f>
        <v>71114.34599999999</v>
      </c>
      <c r="K13" s="143">
        <f>+K9*0.7*17.2</f>
        <v>33952.799999999996</v>
      </c>
      <c r="L13" s="17">
        <f>'COKE OVENS'!L21</f>
        <v>34699.279999999999</v>
      </c>
      <c r="M13" s="68">
        <f>+E13+G13+K13</f>
        <v>105927.91999999998</v>
      </c>
      <c r="N13" s="65">
        <f>+F13+H13+L13</f>
        <v>105813.62599999999</v>
      </c>
      <c r="O13" s="143">
        <f>+O9*0.7*17.2</f>
        <v>35084.559999999998</v>
      </c>
      <c r="P13" s="17">
        <f>'COKE OVENS'!P21</f>
        <v>35614.32</v>
      </c>
      <c r="Q13" s="57">
        <f>+M13+O13</f>
        <v>141012.47999999998</v>
      </c>
      <c r="R13" s="35">
        <f>+N13+P13</f>
        <v>141427.946</v>
      </c>
      <c r="S13" s="143">
        <f>+S9*0.7*17.2</f>
        <v>35084.559999999998</v>
      </c>
      <c r="T13" s="17">
        <f>'COKE OVENS'!T21</f>
        <v>36577.519999999997</v>
      </c>
      <c r="U13" s="57">
        <f>+Q13+S13</f>
        <v>176097.03999999998</v>
      </c>
      <c r="V13" s="35">
        <f>+R13+T13</f>
        <v>178005.46599999999</v>
      </c>
      <c r="W13" s="143">
        <f>+W9*0.7*17.2</f>
        <v>33266.519999999997</v>
      </c>
      <c r="X13" s="17">
        <f>'COKE OVENS'!X21</f>
        <v>35397.599999999999</v>
      </c>
      <c r="Y13" s="717">
        <f>+O13+S13+W13</f>
        <v>103435.63999999998</v>
      </c>
      <c r="Z13" s="717">
        <f>+P13+T13+X13</f>
        <v>107589.44</v>
      </c>
      <c r="AA13" s="429">
        <f>+M13+Y13</f>
        <v>209363.55999999997</v>
      </c>
      <c r="AB13" s="429">
        <f>+N13+Z13</f>
        <v>213403.06599999999</v>
      </c>
      <c r="AC13" s="143">
        <f>+AC9*0.7*17.2</f>
        <v>35084.559999999998</v>
      </c>
      <c r="AD13" s="17">
        <f>'COKE OVENS'!AD21</f>
        <v>35881.281200000005</v>
      </c>
      <c r="AE13" s="57">
        <f>+AA13+AC13</f>
        <v>244448.11999999997</v>
      </c>
      <c r="AF13" s="35">
        <f>+AB13+AD13</f>
        <v>249284.34719999999</v>
      </c>
      <c r="AG13" s="143">
        <f>+AG9*0.7*17.2</f>
        <v>33952.799999999996</v>
      </c>
      <c r="AH13" s="17">
        <f>'COKE OVENS'!AH21</f>
        <v>33793.957999999999</v>
      </c>
      <c r="AI13" s="57">
        <f>+AE13+AG13</f>
        <v>278400.92</v>
      </c>
      <c r="AJ13" s="35">
        <f>+AF13+AH13</f>
        <v>283078.3052</v>
      </c>
      <c r="AK13" s="143">
        <f>+AK9*0.7*17.2</f>
        <v>35084.559999999998</v>
      </c>
      <c r="AL13" s="17">
        <f>'COKE OVENS'!AL21</f>
        <v>34869.817999999999</v>
      </c>
      <c r="AM13" s="717">
        <f>+AC13+AG13+AK13</f>
        <v>104121.91999999998</v>
      </c>
      <c r="AN13" s="717">
        <f>+AD13+AH13+AL13</f>
        <v>104545.05720000001</v>
      </c>
      <c r="AO13" s="57">
        <f>AI13+AK13</f>
        <v>313485.48</v>
      </c>
      <c r="AP13" s="57">
        <f>AJ13+AL13</f>
        <v>317948.12320000003</v>
      </c>
      <c r="AQ13" s="143">
        <f>+AQ9*0.7*17.2</f>
        <v>35084.559999999998</v>
      </c>
      <c r="AR13" s="17">
        <f>'COKE OVENS'!AR21</f>
        <v>35144.759999999995</v>
      </c>
      <c r="AS13" s="57">
        <f>+AO13+AQ13</f>
        <v>348570.04</v>
      </c>
      <c r="AT13" s="35">
        <f>+AP13+AR13</f>
        <v>353092.88320000004</v>
      </c>
      <c r="AU13" s="143">
        <f>+AU9*0.7*17.2</f>
        <v>31689.279999999995</v>
      </c>
      <c r="AV13" s="17">
        <f>'COKE OVENS'!AV21</f>
        <v>31606.375999999993</v>
      </c>
      <c r="AW13" s="57">
        <f>+AS13+AU13</f>
        <v>380259.31999999995</v>
      </c>
      <c r="AX13" s="35">
        <f>+AT13+AV13</f>
        <v>384699.25920000003</v>
      </c>
      <c r="AY13" s="143">
        <f>+AY9*0.7*17.2</f>
        <v>35084.559999999998</v>
      </c>
      <c r="AZ13" s="17">
        <f>'COKE OVENS'!AZ21</f>
        <v>36316.251999999993</v>
      </c>
      <c r="BA13" s="717">
        <f>+AQ13+AU13+AY13</f>
        <v>101858.4</v>
      </c>
      <c r="BB13" s="717">
        <f>+AR13+AV13+AZ13</f>
        <v>103067.38799999998</v>
      </c>
      <c r="BC13" s="429">
        <f>AM13+BA13</f>
        <v>205980.31999999998</v>
      </c>
      <c r="BD13" s="429">
        <f t="shared" ref="BD13:BD14" si="30">AN13+BB13</f>
        <v>207612.44519999999</v>
      </c>
      <c r="BE13" s="57">
        <f>AW13+AY13</f>
        <v>415343.87999999995</v>
      </c>
      <c r="BF13" s="57">
        <f>AX13+AZ13</f>
        <v>421015.51120000001</v>
      </c>
      <c r="BH13" s="1590">
        <v>415343.87999999995</v>
      </c>
      <c r="BI13" s="1590">
        <v>421442.84519999992</v>
      </c>
      <c r="BJ13" s="1590">
        <v>423729.73999999993</v>
      </c>
      <c r="BK13" s="1590">
        <v>431508.83856714121</v>
      </c>
      <c r="BL13" s="1590">
        <v>433141.23599999998</v>
      </c>
      <c r="BM13" s="1590">
        <v>432382.84677469998</v>
      </c>
      <c r="BN13" s="1590">
        <v>430769.03254755842</v>
      </c>
      <c r="BO13" s="1590">
        <v>438172.79000000004</v>
      </c>
      <c r="BP13" s="1590">
        <v>428806</v>
      </c>
      <c r="BQ13" s="1590">
        <v>425506</v>
      </c>
      <c r="BR13" s="1590">
        <v>430922.2</v>
      </c>
      <c r="BS13" s="1590">
        <v>406071.87599999999</v>
      </c>
      <c r="BT13" s="998">
        <v>412610.14</v>
      </c>
      <c r="BW13" s="23"/>
      <c r="BX13" s="491"/>
      <c r="BY13" s="491"/>
    </row>
    <row r="14" spans="1:77" ht="15" hidden="1" customHeight="1" x14ac:dyDescent="0.3">
      <c r="B14" s="1788" t="s">
        <v>146</v>
      </c>
      <c r="C14" s="1758" t="s">
        <v>50</v>
      </c>
      <c r="D14" s="1762">
        <f>+D10*0.7*31.55</f>
        <v>787704.14905000001</v>
      </c>
      <c r="E14" s="143">
        <f>+E10*31.55*0.7</f>
        <v>64002.33</v>
      </c>
      <c r="F14" s="17">
        <f>'COKE OVENS'!F22</f>
        <v>64751.169249999999</v>
      </c>
      <c r="G14" s="143">
        <f>+G10*31.55*0.7</f>
        <v>65745.499049999999</v>
      </c>
      <c r="H14" s="17">
        <f>'COKE OVENS'!H22</f>
        <v>63676.733999999997</v>
      </c>
      <c r="I14" s="57">
        <f>+E14+G14</f>
        <v>129747.82905</v>
      </c>
      <c r="J14" s="35">
        <f>+F14+H14</f>
        <v>128427.90325</v>
      </c>
      <c r="K14" s="143">
        <f>+K10*31.55*0.7</f>
        <v>64929.899999999994</v>
      </c>
      <c r="L14" s="17">
        <f>'COKE OVENS'!L22</f>
        <v>65239.09</v>
      </c>
      <c r="M14" s="68">
        <f>+E14+G14+K14</f>
        <v>194677.72904999999</v>
      </c>
      <c r="N14" s="65">
        <f>+F14+H14+L14</f>
        <v>193666.99325</v>
      </c>
      <c r="O14" s="143">
        <f>+O10*31.55*0.7</f>
        <v>67094.23</v>
      </c>
      <c r="P14" s="17">
        <f>'COKE OVENS'!P22</f>
        <v>67778.864999999991</v>
      </c>
      <c r="Q14" s="57">
        <f>+M14+O14</f>
        <v>261771.95905</v>
      </c>
      <c r="R14" s="35">
        <f>+N14+P14</f>
        <v>261445.85824999999</v>
      </c>
      <c r="S14" s="143">
        <f>+S10*31.55*0.7</f>
        <v>67094.23</v>
      </c>
      <c r="T14" s="17">
        <f>'COKE OVENS'!T22</f>
        <v>67447.59</v>
      </c>
      <c r="U14" s="57">
        <f>+Q14+S14</f>
        <v>328866.18904999999</v>
      </c>
      <c r="V14" s="35">
        <f>+R14+T14</f>
        <v>328893.44825000002</v>
      </c>
      <c r="W14" s="143">
        <f>+W10*31.55*0.7</f>
        <v>61948.424999999996</v>
      </c>
      <c r="X14" s="17">
        <f>'COKE OVENS'!X22</f>
        <v>64963.855000000003</v>
      </c>
      <c r="Y14" s="717">
        <f>+O14+S14+W14</f>
        <v>196136.88499999998</v>
      </c>
      <c r="Z14" s="717">
        <f>+P14+T14+X14</f>
        <v>200190.31</v>
      </c>
      <c r="AA14" s="429">
        <f>+M14+Y14</f>
        <v>390814.61404999997</v>
      </c>
      <c r="AB14" s="429">
        <f>+N14+Z14</f>
        <v>393857.30325</v>
      </c>
      <c r="AC14" s="143">
        <f>+AC10*31.55*0.7</f>
        <v>67094.23</v>
      </c>
      <c r="AD14" s="17">
        <f>'COKE OVENS'!AD22</f>
        <v>66256.924550000011</v>
      </c>
      <c r="AE14" s="57">
        <f>+AA14+AC14</f>
        <v>457908.84404999996</v>
      </c>
      <c r="AF14" s="35">
        <f>+AB14+AD14</f>
        <v>460114.22779999999</v>
      </c>
      <c r="AG14" s="143">
        <f>+AG10*31.55*0.7</f>
        <v>64929.899999999994</v>
      </c>
      <c r="AH14" s="17">
        <f>'COKE OVENS'!AH22</f>
        <v>64904.659999999996</v>
      </c>
      <c r="AI14" s="57">
        <f>+AE14+AG14</f>
        <v>522838.74404999998</v>
      </c>
      <c r="AJ14" s="35">
        <f>+AF14+AH14</f>
        <v>525018.88780000003</v>
      </c>
      <c r="AK14" s="143">
        <f>+AK10*31.55*0.7</f>
        <v>67094.23</v>
      </c>
      <c r="AL14" s="17">
        <f>'COKE OVENS'!AL22</f>
        <v>67119.312250000003</v>
      </c>
      <c r="AM14" s="717">
        <f>+AC14+AG14+AK14</f>
        <v>199118.36</v>
      </c>
      <c r="AN14" s="717">
        <f>+AD14+AH14+AL14</f>
        <v>198280.89679999999</v>
      </c>
      <c r="AO14" s="57">
        <f>AI14+AK14</f>
        <v>589932.97404999996</v>
      </c>
      <c r="AP14" s="57">
        <f>AJ14+AL14</f>
        <v>592138.20004999998</v>
      </c>
      <c r="AQ14" s="143">
        <f>+AQ10*31.55*0.7</f>
        <v>67094.23</v>
      </c>
      <c r="AR14" s="17">
        <f>'COKE OVENS'!AR22</f>
        <v>66527.276499999993</v>
      </c>
      <c r="AS14" s="57">
        <f>+AO14+AQ14</f>
        <v>657027.20404999994</v>
      </c>
      <c r="AT14" s="35">
        <f>+AP14+AR14</f>
        <v>658665.47655000002</v>
      </c>
      <c r="AU14" s="143">
        <f>+AU10*31.55*0.7</f>
        <v>60601.239999999991</v>
      </c>
      <c r="AV14" s="17">
        <f>'COKE OVENS'!AV22</f>
        <v>60190.301249999997</v>
      </c>
      <c r="AW14" s="57">
        <f>+AS14+AU14</f>
        <v>717628.44404999993</v>
      </c>
      <c r="AX14" s="35">
        <f>+AT14+AV14</f>
        <v>718855.77780000004</v>
      </c>
      <c r="AY14" s="143">
        <f>+AY10*31.55*0.7</f>
        <v>67094.23</v>
      </c>
      <c r="AZ14" s="17">
        <f>'COKE OVENS'!AZ22</f>
        <v>67075.457749999987</v>
      </c>
      <c r="BA14" s="717">
        <f>+AQ14+AU14+AY14</f>
        <v>194789.69999999998</v>
      </c>
      <c r="BB14" s="717">
        <f>+AR14+AV14+AZ14</f>
        <v>193793.0355</v>
      </c>
      <c r="BC14" s="429">
        <f>AM14+BA14</f>
        <v>393908.05999999994</v>
      </c>
      <c r="BD14" s="429">
        <f t="shared" si="30"/>
        <v>392073.93229999999</v>
      </c>
      <c r="BE14" s="57">
        <f>AW14+AY14</f>
        <v>784722.67404999991</v>
      </c>
      <c r="BF14" s="57">
        <f>AX14+AZ14</f>
        <v>785931.23554999998</v>
      </c>
      <c r="BH14" s="1590">
        <v>786998.97499999986</v>
      </c>
      <c r="BI14" s="1590">
        <v>788577.80729999999</v>
      </c>
      <c r="BJ14" s="1590">
        <v>791332.05199999991</v>
      </c>
      <c r="BK14" s="1590">
        <v>793765.3142773587</v>
      </c>
      <c r="BL14" s="1590">
        <v>786486.60299999989</v>
      </c>
      <c r="BM14" s="1590">
        <v>774691.64970837045</v>
      </c>
      <c r="BN14" s="1590">
        <v>737579.37599844171</v>
      </c>
      <c r="BO14" s="1590">
        <v>803741.80374999996</v>
      </c>
      <c r="BP14" s="1590">
        <v>778192</v>
      </c>
      <c r="BQ14" s="1590">
        <v>770203</v>
      </c>
      <c r="BR14" s="1590">
        <v>752591.4</v>
      </c>
      <c r="BS14" s="1590">
        <v>744858.58650000009</v>
      </c>
      <c r="BT14" s="998">
        <v>745859.84</v>
      </c>
      <c r="BW14" s="23"/>
      <c r="BX14" s="491"/>
      <c r="BY14" s="491"/>
    </row>
    <row r="15" spans="1:77" ht="15" hidden="1" customHeight="1" thickBot="1" x14ac:dyDescent="0.35">
      <c r="B15" s="1786" t="s">
        <v>1487</v>
      </c>
      <c r="C15" s="1766" t="s">
        <v>50</v>
      </c>
      <c r="D15" s="1763">
        <f t="shared" ref="D15:N15" si="31">SUM(D13:D14)</f>
        <v>1211825.1890499999</v>
      </c>
      <c r="E15" s="1567">
        <f t="shared" si="31"/>
        <v>99399.93</v>
      </c>
      <c r="F15" s="1800">
        <f t="shared" si="31"/>
        <v>99895.929249999986</v>
      </c>
      <c r="G15" s="1567">
        <f t="shared" ref="G15:H15" si="32">SUM(G13:G14)</f>
        <v>102323.01905</v>
      </c>
      <c r="H15" s="1800">
        <f t="shared" si="32"/>
        <v>99646.319999999992</v>
      </c>
      <c r="I15" s="2275">
        <f t="shared" si="31"/>
        <v>201722.94905</v>
      </c>
      <c r="J15" s="2276">
        <f t="shared" si="31"/>
        <v>199542.24924999999</v>
      </c>
      <c r="K15" s="1567">
        <f t="shared" ref="K15:L15" si="33">SUM(K13:K14)</f>
        <v>98882.699999999983</v>
      </c>
      <c r="L15" s="1800">
        <f t="shared" si="33"/>
        <v>99938.37</v>
      </c>
      <c r="M15" s="1810">
        <f t="shared" si="31"/>
        <v>300605.64905000001</v>
      </c>
      <c r="N15" s="1811">
        <f t="shared" si="31"/>
        <v>299480.61924999999</v>
      </c>
      <c r="O15" s="1567">
        <f t="shared" ref="O15:P15" si="34">SUM(O13:O14)</f>
        <v>102178.79</v>
      </c>
      <c r="P15" s="1800">
        <f t="shared" si="34"/>
        <v>103393.185</v>
      </c>
      <c r="Q15" s="1802">
        <f>SUM(Q13:Q14)</f>
        <v>402784.43904999999</v>
      </c>
      <c r="R15" s="1772">
        <f>SUM(R13:R14)</f>
        <v>402873.80424999999</v>
      </c>
      <c r="S15" s="1567">
        <f t="shared" ref="S15:T15" si="35">SUM(S13:S14)</f>
        <v>102178.79</v>
      </c>
      <c r="T15" s="1800">
        <f t="shared" si="35"/>
        <v>104025.10999999999</v>
      </c>
      <c r="U15" s="1802">
        <f t="shared" ref="U15:X15" si="36">SUM(U13:U14)</f>
        <v>504963.22904999997</v>
      </c>
      <c r="V15" s="1772">
        <f t="shared" si="36"/>
        <v>506898.91425000003</v>
      </c>
      <c r="W15" s="1567">
        <f t="shared" si="36"/>
        <v>95214.944999999992</v>
      </c>
      <c r="X15" s="1800">
        <f t="shared" si="36"/>
        <v>100361.455</v>
      </c>
      <c r="Y15" s="346">
        <f t="shared" ref="Y15:AD15" si="37">SUM(Y13:Y14)</f>
        <v>299572.52499999997</v>
      </c>
      <c r="Z15" s="346">
        <f t="shared" si="37"/>
        <v>307779.75</v>
      </c>
      <c r="AA15" s="502">
        <f t="shared" si="37"/>
        <v>600178.17404999991</v>
      </c>
      <c r="AB15" s="502">
        <f t="shared" si="37"/>
        <v>607260.36924999999</v>
      </c>
      <c r="AC15" s="1567">
        <f t="shared" si="37"/>
        <v>102178.79</v>
      </c>
      <c r="AD15" s="1800">
        <f t="shared" si="37"/>
        <v>102138.20575000002</v>
      </c>
      <c r="AE15" s="2275">
        <f t="shared" ref="AE15:AH15" si="38">SUM(AE13:AE14)</f>
        <v>702356.96404999995</v>
      </c>
      <c r="AF15" s="2276">
        <f t="shared" si="38"/>
        <v>709398.57499999995</v>
      </c>
      <c r="AG15" s="1567">
        <f t="shared" si="38"/>
        <v>98882.699999999983</v>
      </c>
      <c r="AH15" s="1800">
        <f t="shared" si="38"/>
        <v>98698.617999999988</v>
      </c>
      <c r="AI15" s="2275">
        <f t="shared" ref="AI15:AN15" si="39">SUM(AI13:AI14)</f>
        <v>801239.66405000002</v>
      </c>
      <c r="AJ15" s="2276">
        <f t="shared" si="39"/>
        <v>808097.19299999997</v>
      </c>
      <c r="AK15" s="1567">
        <f t="shared" si="39"/>
        <v>102178.79</v>
      </c>
      <c r="AL15" s="1800">
        <f t="shared" si="39"/>
        <v>101989.13025</v>
      </c>
      <c r="AM15" s="346">
        <f t="shared" si="39"/>
        <v>303240.27999999997</v>
      </c>
      <c r="AN15" s="346">
        <f t="shared" si="39"/>
        <v>302825.95400000003</v>
      </c>
      <c r="AO15" s="2275">
        <f t="shared" ref="AO15:AT15" si="40">SUM(AO13:AO14)</f>
        <v>903418.45404999994</v>
      </c>
      <c r="AP15" s="2276">
        <f t="shared" si="40"/>
        <v>910086.32325000002</v>
      </c>
      <c r="AQ15" s="1567">
        <f t="shared" si="40"/>
        <v>102178.79</v>
      </c>
      <c r="AR15" s="1800">
        <f t="shared" si="40"/>
        <v>101672.03649999999</v>
      </c>
      <c r="AS15" s="2275">
        <f t="shared" si="40"/>
        <v>1005597.2440499999</v>
      </c>
      <c r="AT15" s="2276">
        <f t="shared" si="40"/>
        <v>1011758.3597500001</v>
      </c>
      <c r="AU15" s="1567">
        <f t="shared" ref="AU15:AV15" si="41">SUM(AU13:AU14)</f>
        <v>92290.51999999999</v>
      </c>
      <c r="AV15" s="1800">
        <f t="shared" si="41"/>
        <v>91796.677249999993</v>
      </c>
      <c r="AW15" s="2275">
        <f t="shared" ref="AW15:BF15" si="42">SUM(AW13:AW14)</f>
        <v>1097887.7640499999</v>
      </c>
      <c r="AX15" s="2276">
        <f t="shared" si="42"/>
        <v>1103555.037</v>
      </c>
      <c r="AY15" s="1567">
        <f t="shared" si="42"/>
        <v>102178.79</v>
      </c>
      <c r="AZ15" s="1800">
        <f t="shared" si="42"/>
        <v>103391.70974999998</v>
      </c>
      <c r="BA15" s="346">
        <f t="shared" si="42"/>
        <v>296648.09999999998</v>
      </c>
      <c r="BB15" s="346">
        <f t="shared" si="42"/>
        <v>296860.42349999998</v>
      </c>
      <c r="BC15" s="502">
        <f t="shared" si="42"/>
        <v>599888.37999999989</v>
      </c>
      <c r="BD15" s="502">
        <f t="shared" si="42"/>
        <v>599686.37749999994</v>
      </c>
      <c r="BE15" s="2275">
        <f t="shared" si="42"/>
        <v>1200066.5540499999</v>
      </c>
      <c r="BF15" s="2276">
        <f t="shared" si="42"/>
        <v>1206946.7467499999</v>
      </c>
      <c r="BH15" s="1036">
        <v>1202342.8549999997</v>
      </c>
      <c r="BI15" s="1036">
        <v>1210020.6524999999</v>
      </c>
      <c r="BJ15" s="1036">
        <v>1215061.7919999999</v>
      </c>
      <c r="BK15" s="1036">
        <v>1225274.1528444998</v>
      </c>
      <c r="BL15" s="1036">
        <v>1219627.8389999999</v>
      </c>
      <c r="BM15" s="1036">
        <v>1207074.4964830703</v>
      </c>
      <c r="BN15" s="1036">
        <v>1168348.4085460003</v>
      </c>
      <c r="BO15" s="1036">
        <v>1241914.59375</v>
      </c>
      <c r="BP15" s="1036">
        <v>1206998</v>
      </c>
      <c r="BQ15" s="1036">
        <v>1195709</v>
      </c>
      <c r="BR15" s="1036">
        <v>1183513.6000000001</v>
      </c>
      <c r="BS15" s="1036">
        <v>1150930.4625000001</v>
      </c>
      <c r="BT15" s="1816">
        <v>1158469.98</v>
      </c>
      <c r="BW15" s="23"/>
      <c r="BX15" s="491"/>
      <c r="BY15" s="491"/>
    </row>
    <row r="16" spans="1:77" ht="15" customHeight="1" thickBot="1" x14ac:dyDescent="0.35">
      <c r="B16" s="1789" t="s">
        <v>344</v>
      </c>
      <c r="C16" s="1767" t="s">
        <v>50</v>
      </c>
      <c r="D16" s="1768">
        <v>4206886.3689415557</v>
      </c>
      <c r="E16" s="1627">
        <v>291677.4549132812</v>
      </c>
      <c r="F16" s="1798">
        <v>353508</v>
      </c>
      <c r="G16" s="1627">
        <v>262229.25033069029</v>
      </c>
      <c r="H16" s="1798">
        <v>154593</v>
      </c>
      <c r="I16" s="1629">
        <f t="shared" ref="I16:J18" si="43">+E16+G16</f>
        <v>553906.70524397143</v>
      </c>
      <c r="J16" s="1630">
        <f t="shared" si="43"/>
        <v>508101</v>
      </c>
      <c r="K16" s="1627">
        <f>372.191438188584*1000</f>
        <v>372191.438188584</v>
      </c>
      <c r="L16" s="1798">
        <v>376274</v>
      </c>
      <c r="M16" s="1631">
        <f t="shared" ref="M16:N20" si="44">+E16+G16+K16</f>
        <v>926098.14343255549</v>
      </c>
      <c r="N16" s="1809">
        <f t="shared" si="44"/>
        <v>884375</v>
      </c>
      <c r="O16" s="1627">
        <f>376.384193405115*1000</f>
        <v>376384.19340511499</v>
      </c>
      <c r="P16" s="1798">
        <v>397960</v>
      </c>
      <c r="Q16" s="1629">
        <f t="shared" ref="Q16:R18" si="45">+M16+O16</f>
        <v>1302482.3368376705</v>
      </c>
      <c r="R16" s="1630">
        <f t="shared" si="45"/>
        <v>1282335</v>
      </c>
      <c r="S16" s="1627">
        <f>376.384193405115*1000</f>
        <v>376384.19340511499</v>
      </c>
      <c r="T16" s="1798">
        <v>383179</v>
      </c>
      <c r="U16" s="1629">
        <f t="shared" ref="U16:U17" si="46">+Q16+S16</f>
        <v>1678866.5302427856</v>
      </c>
      <c r="V16" s="1630">
        <f t="shared" ref="V16" si="47">+R16+T16</f>
        <v>1665514</v>
      </c>
      <c r="W16" s="1627">
        <f>207.661910104769*1000</f>
        <v>207661.91010476899</v>
      </c>
      <c r="X16" s="1798">
        <v>374784</v>
      </c>
      <c r="Y16" s="717">
        <f t="shared" ref="Y16:Z18" si="48">+O16+S16+W16</f>
        <v>960430.29691499891</v>
      </c>
      <c r="Z16" s="717">
        <f t="shared" si="48"/>
        <v>1155923</v>
      </c>
      <c r="AA16" s="429">
        <f t="shared" ref="AA16:AB18" si="49">+M16+Y16</f>
        <v>1886528.4403475544</v>
      </c>
      <c r="AB16" s="429">
        <f t="shared" si="49"/>
        <v>2040298</v>
      </c>
      <c r="AC16" s="1627">
        <f>383.372118766*1000</f>
        <v>383372.11876600003</v>
      </c>
      <c r="AD16" s="1798">
        <v>301448</v>
      </c>
      <c r="AE16" s="1629">
        <f t="shared" ref="AE16:AE18" si="50">+AA16+AC16</f>
        <v>2269900.5591135547</v>
      </c>
      <c r="AF16" s="1630">
        <f t="shared" ref="AF16" si="51">+AB16+AD16</f>
        <v>2341746</v>
      </c>
      <c r="AG16" s="1627">
        <f>376.191438188584*1000</f>
        <v>376191.438188584</v>
      </c>
      <c r="AH16" s="1798">
        <v>366206</v>
      </c>
      <c r="AI16" s="1629">
        <f t="shared" ref="AI16:AI18" si="52">+AE16+AG16</f>
        <v>2646091.9973021387</v>
      </c>
      <c r="AJ16" s="1630">
        <f t="shared" ref="AJ16" si="53">+AF16+AH16</f>
        <v>2707952</v>
      </c>
      <c r="AK16" s="1627">
        <f>387.372118766*1000</f>
        <v>387372.11876600003</v>
      </c>
      <c r="AL16" s="1798">
        <v>360713</v>
      </c>
      <c r="AM16" s="717">
        <f t="shared" ref="AM16:AM18" si="54">+AC16+AG16+AK16</f>
        <v>1146935.6757205841</v>
      </c>
      <c r="AN16" s="717">
        <f t="shared" ref="AN16:AN18" si="55">+AD16+AH16+AL16</f>
        <v>1028367</v>
      </c>
      <c r="AO16" s="57">
        <f t="shared" ref="AO16:AP18" si="56">AI16+AK16</f>
        <v>3033464.1160681387</v>
      </c>
      <c r="AP16" s="57">
        <f t="shared" si="56"/>
        <v>3068665</v>
      </c>
      <c r="AQ16" s="1627">
        <v>388962.4590547072</v>
      </c>
      <c r="AR16" s="1798">
        <v>366580</v>
      </c>
      <c r="AS16" s="1629">
        <f t="shared" ref="AS16:AS18" si="57">+AO16+AQ16</f>
        <v>3422426.5751228458</v>
      </c>
      <c r="AT16" s="1630">
        <f t="shared" ref="AT16" si="58">+AP16+AR16</f>
        <v>3435245</v>
      </c>
      <c r="AU16" s="1627">
        <v>349830.07703375345</v>
      </c>
      <c r="AV16" s="1798">
        <v>314846</v>
      </c>
      <c r="AW16" s="1629">
        <f t="shared" ref="AW16:AW18" si="59">+AS16+AU16</f>
        <v>3772256.6521565993</v>
      </c>
      <c r="AX16" s="1630">
        <f t="shared" ref="AX16:AX18" si="60">+AT16+AV16</f>
        <v>3750091</v>
      </c>
      <c r="AY16" s="1627">
        <v>388962.4590547072</v>
      </c>
      <c r="AZ16" s="1798">
        <v>379828</v>
      </c>
      <c r="BA16" s="717">
        <f t="shared" ref="BA16:BA20" si="61">+AQ16+AU16+AY16</f>
        <v>1127754.9951431677</v>
      </c>
      <c r="BB16" s="717">
        <f t="shared" ref="BB16:BB20" si="62">+AR16+AV16+AZ16</f>
        <v>1061254</v>
      </c>
      <c r="BC16" s="429">
        <f t="shared" ref="BC16:BC20" si="63">AM16+BA16</f>
        <v>2274690.6708637518</v>
      </c>
      <c r="BD16" s="429">
        <f t="shared" ref="BD16:BD20" si="64">AN16+BB16</f>
        <v>2089621</v>
      </c>
      <c r="BE16" s="57">
        <f t="shared" ref="BE16:BE18" si="65">AW16+AY16</f>
        <v>4161219.1112113064</v>
      </c>
      <c r="BF16" s="57">
        <f t="shared" ref="BF16:BF18" si="66">AX16+AZ16</f>
        <v>4129919</v>
      </c>
      <c r="BH16" s="1590">
        <v>4362875.9629219193</v>
      </c>
      <c r="BI16" s="1590">
        <v>4298954</v>
      </c>
      <c r="BJ16" s="1590">
        <v>4387544.4524744106</v>
      </c>
      <c r="BK16" s="1590">
        <v>3980714</v>
      </c>
      <c r="BL16" s="1590">
        <v>4499999.9123089341</v>
      </c>
      <c r="BM16" s="1590">
        <v>4398445</v>
      </c>
      <c r="BN16" s="1590">
        <v>4395665</v>
      </c>
      <c r="BO16" s="1590">
        <v>4183927.7727635596</v>
      </c>
      <c r="BP16" s="1590">
        <v>4277831</v>
      </c>
      <c r="BQ16" s="1590">
        <v>3665891.272345175</v>
      </c>
      <c r="BR16" s="1590">
        <v>3629577</v>
      </c>
      <c r="BS16" s="1590">
        <v>3903932.5274391733</v>
      </c>
      <c r="BT16" s="998">
        <v>3709525</v>
      </c>
      <c r="BW16" s="23"/>
      <c r="BX16" s="491"/>
      <c r="BY16" s="491"/>
    </row>
    <row r="17" spans="1:77" ht="15" customHeight="1" thickBot="1" x14ac:dyDescent="0.35">
      <c r="A17" s="172"/>
      <c r="B17" s="1789" t="s">
        <v>337</v>
      </c>
      <c r="C17" s="1767" t="s">
        <v>50</v>
      </c>
      <c r="D17" s="1768">
        <v>3000000</v>
      </c>
      <c r="E17" s="1627">
        <v>208000</v>
      </c>
      <c r="F17" s="1798">
        <v>237076.80000000005</v>
      </c>
      <c r="G17" s="1627">
        <v>187000</v>
      </c>
      <c r="H17" s="1798">
        <v>110658.09999999999</v>
      </c>
      <c r="I17" s="1629">
        <f t="shared" si="43"/>
        <v>395000</v>
      </c>
      <c r="J17" s="1630">
        <f t="shared" si="43"/>
        <v>347734.9</v>
      </c>
      <c r="K17" s="1627">
        <f>252*1000</f>
        <v>252000</v>
      </c>
      <c r="L17" s="1798">
        <v>261489.89999999997</v>
      </c>
      <c r="M17" s="1631">
        <f t="shared" si="44"/>
        <v>647000</v>
      </c>
      <c r="N17" s="1809">
        <f t="shared" si="44"/>
        <v>609224.80000000005</v>
      </c>
      <c r="O17" s="1627">
        <v>255000</v>
      </c>
      <c r="P17" s="1798">
        <v>268142.30000000005</v>
      </c>
      <c r="Q17" s="1629">
        <f t="shared" si="45"/>
        <v>902000</v>
      </c>
      <c r="R17" s="1630">
        <f>+N17+P17</f>
        <v>877367.10000000009</v>
      </c>
      <c r="S17" s="1627">
        <v>255000</v>
      </c>
      <c r="T17" s="1798">
        <v>253263.6</v>
      </c>
      <c r="U17" s="1629">
        <f t="shared" si="46"/>
        <v>1157000</v>
      </c>
      <c r="V17" s="1630">
        <f>+R17+T17</f>
        <v>1130630.7000000002</v>
      </c>
      <c r="W17" s="1627">
        <v>140000</v>
      </c>
      <c r="X17" s="1798">
        <v>243297.40000000002</v>
      </c>
      <c r="Y17" s="717">
        <f t="shared" si="48"/>
        <v>650000</v>
      </c>
      <c r="Z17" s="717">
        <f t="shared" si="48"/>
        <v>764703.3</v>
      </c>
      <c r="AA17" s="429">
        <f t="shared" si="49"/>
        <v>1297000</v>
      </c>
      <c r="AB17" s="429">
        <f t="shared" si="49"/>
        <v>1373928.1</v>
      </c>
      <c r="AC17" s="1627">
        <v>260000</v>
      </c>
      <c r="AD17" s="1798">
        <v>202962.09999999998</v>
      </c>
      <c r="AE17" s="1629">
        <f t="shared" si="50"/>
        <v>1557000</v>
      </c>
      <c r="AF17" s="1630">
        <f>+AB17+AD17</f>
        <v>1576890.2000000002</v>
      </c>
      <c r="AG17" s="1627">
        <v>252000</v>
      </c>
      <c r="AH17" s="1798">
        <v>244148.19999999998</v>
      </c>
      <c r="AI17" s="1629">
        <f t="shared" si="52"/>
        <v>1809000</v>
      </c>
      <c r="AJ17" s="1630">
        <f>+AF17+AH17</f>
        <v>1821038.4000000001</v>
      </c>
      <c r="AK17" s="1627">
        <v>260000</v>
      </c>
      <c r="AL17" s="1798">
        <v>251560.99999999997</v>
      </c>
      <c r="AM17" s="717">
        <f t="shared" si="54"/>
        <v>772000</v>
      </c>
      <c r="AN17" s="717">
        <f t="shared" si="55"/>
        <v>698671.29999999993</v>
      </c>
      <c r="AO17" s="57">
        <f t="shared" si="56"/>
        <v>2069000</v>
      </c>
      <c r="AP17" s="57">
        <f t="shared" si="56"/>
        <v>2072599.4000000001</v>
      </c>
      <c r="AQ17" s="1627">
        <v>264000</v>
      </c>
      <c r="AR17" s="1798">
        <v>244851.4</v>
      </c>
      <c r="AS17" s="1629">
        <f t="shared" si="57"/>
        <v>2333000</v>
      </c>
      <c r="AT17" s="1630">
        <f>+AP17+AR17</f>
        <v>2317450.8000000003</v>
      </c>
      <c r="AU17" s="1627">
        <v>236000</v>
      </c>
      <c r="AV17" s="1798">
        <v>196575.3</v>
      </c>
      <c r="AW17" s="1629">
        <f t="shared" si="59"/>
        <v>2569000</v>
      </c>
      <c r="AX17" s="1630">
        <f t="shared" si="60"/>
        <v>2514026.1</v>
      </c>
      <c r="AY17" s="1627">
        <v>264000</v>
      </c>
      <c r="AZ17" s="1798">
        <v>251871.70000000004</v>
      </c>
      <c r="BA17" s="717">
        <f t="shared" si="61"/>
        <v>764000</v>
      </c>
      <c r="BB17" s="717">
        <f t="shared" si="62"/>
        <v>693298.4</v>
      </c>
      <c r="BC17" s="429">
        <f t="shared" si="63"/>
        <v>1536000</v>
      </c>
      <c r="BD17" s="429">
        <f t="shared" si="64"/>
        <v>1391969.7</v>
      </c>
      <c r="BE17" s="57">
        <f t="shared" si="65"/>
        <v>2833000</v>
      </c>
      <c r="BF17" s="57">
        <f t="shared" si="66"/>
        <v>2765897.8000000003</v>
      </c>
      <c r="BH17" s="1590">
        <v>2950000</v>
      </c>
      <c r="BI17" s="1590">
        <v>2900019.3999999994</v>
      </c>
      <c r="BJ17" s="1590">
        <v>2650000</v>
      </c>
      <c r="BK17" s="1590">
        <v>2622585.6999999997</v>
      </c>
      <c r="BL17" s="1590">
        <v>2800000</v>
      </c>
      <c r="BM17" s="1590">
        <v>2721268.1</v>
      </c>
      <c r="BN17" s="1590">
        <v>2592119.6</v>
      </c>
      <c r="BO17" s="1590">
        <v>2650000.9700000002</v>
      </c>
      <c r="BP17" s="1590">
        <v>2406785.7000000002</v>
      </c>
      <c r="BQ17" s="1590">
        <v>2496672.1533415001</v>
      </c>
      <c r="BR17" s="1590">
        <v>2092798</v>
      </c>
      <c r="BS17" s="1590">
        <v>2700000</v>
      </c>
      <c r="BT17" s="4876">
        <v>2505193</v>
      </c>
      <c r="BW17" s="23"/>
      <c r="BX17" s="491"/>
      <c r="BY17" s="491"/>
    </row>
    <row r="18" spans="1:77" ht="16.2" thickBot="1" x14ac:dyDescent="0.35">
      <c r="B18" s="1790" t="s">
        <v>338</v>
      </c>
      <c r="C18" s="1767" t="s">
        <v>50</v>
      </c>
      <c r="D18" s="1768">
        <v>2817514.1242937851</v>
      </c>
      <c r="E18" s="1627">
        <v>193691.14877589454</v>
      </c>
      <c r="F18" s="1798">
        <v>223226</v>
      </c>
      <c r="G18" s="1627">
        <v>170903.95480225986</v>
      </c>
      <c r="H18" s="1798">
        <v>97961</v>
      </c>
      <c r="I18" s="1629">
        <f t="shared" si="43"/>
        <v>364595.10357815441</v>
      </c>
      <c r="J18" s="1630">
        <f t="shared" si="43"/>
        <v>321187</v>
      </c>
      <c r="K18" s="1627">
        <f>237.110481586402*1000</f>
        <v>237110.48158640199</v>
      </c>
      <c r="L18" s="1798">
        <v>243453</v>
      </c>
      <c r="M18" s="1631">
        <f t="shared" si="44"/>
        <v>601705.5851645564</v>
      </c>
      <c r="N18" s="1809">
        <f t="shared" si="44"/>
        <v>564640</v>
      </c>
      <c r="O18" s="1627">
        <f>239.943342776204*1000</f>
        <v>239943.34277620399</v>
      </c>
      <c r="P18" s="1798">
        <v>253662</v>
      </c>
      <c r="Q18" s="1629">
        <f>+M18+O18</f>
        <v>841648.92794076039</v>
      </c>
      <c r="R18" s="1630">
        <f t="shared" si="45"/>
        <v>818302</v>
      </c>
      <c r="S18" s="1627">
        <f>239.943342776204*1000</f>
        <v>239943.34277620399</v>
      </c>
      <c r="T18" s="1798">
        <v>237622</v>
      </c>
      <c r="U18" s="1629">
        <f>+Q18+S18</f>
        <v>1081592.2707169643</v>
      </c>
      <c r="V18" s="1630">
        <f t="shared" ref="V18:V20" si="67">+R18+T18</f>
        <v>1055924</v>
      </c>
      <c r="W18" s="1627">
        <f>125.920679886686*1000</f>
        <v>125920.679886686</v>
      </c>
      <c r="X18" s="1798">
        <v>226847</v>
      </c>
      <c r="Y18" s="717">
        <f t="shared" si="48"/>
        <v>605807.36543909402</v>
      </c>
      <c r="Z18" s="717">
        <f t="shared" si="48"/>
        <v>718131</v>
      </c>
      <c r="AA18" s="429">
        <f t="shared" si="49"/>
        <v>1207512.9506036504</v>
      </c>
      <c r="AB18" s="429">
        <f t="shared" si="49"/>
        <v>1282771</v>
      </c>
      <c r="AC18" s="1627">
        <f>244.66477809254*1000</f>
        <v>244664.77809253999</v>
      </c>
      <c r="AD18" s="1798">
        <v>179201</v>
      </c>
      <c r="AE18" s="1629">
        <f t="shared" si="50"/>
        <v>1452177.7286961903</v>
      </c>
      <c r="AF18" s="1630">
        <f t="shared" ref="AF18:AF20" si="68">+AB18+AD18</f>
        <v>1461972</v>
      </c>
      <c r="AG18" s="1627">
        <f>237.110481586402*1000</f>
        <v>237110.48158640199</v>
      </c>
      <c r="AH18" s="1798">
        <v>229502</v>
      </c>
      <c r="AI18" s="1629">
        <f t="shared" si="52"/>
        <v>1689288.2102825923</v>
      </c>
      <c r="AJ18" s="1630">
        <f t="shared" ref="AJ18" si="69">+AF18+AH18</f>
        <v>1691474</v>
      </c>
      <c r="AK18" s="1627">
        <f>244.66477809254*1000</f>
        <v>244664.77809253999</v>
      </c>
      <c r="AL18" s="1798">
        <v>234365</v>
      </c>
      <c r="AM18" s="717">
        <f t="shared" si="54"/>
        <v>726440.03777148202</v>
      </c>
      <c r="AN18" s="717">
        <f t="shared" si="55"/>
        <v>643068</v>
      </c>
      <c r="AO18" s="57">
        <f t="shared" si="56"/>
        <v>1933952.9883751324</v>
      </c>
      <c r="AP18" s="57">
        <f t="shared" si="56"/>
        <v>1925839</v>
      </c>
      <c r="AQ18" s="1627">
        <v>248441.92634560907</v>
      </c>
      <c r="AR18" s="1798">
        <v>228047</v>
      </c>
      <c r="AS18" s="1629">
        <f t="shared" si="57"/>
        <v>2182394.9147207416</v>
      </c>
      <c r="AT18" s="1630">
        <f t="shared" ref="AT18:AT20" si="70">+AP18+AR18</f>
        <v>2153886</v>
      </c>
      <c r="AU18" s="1627">
        <v>222001.88857412653</v>
      </c>
      <c r="AV18" s="1798">
        <v>185016</v>
      </c>
      <c r="AW18" s="1629">
        <f t="shared" si="59"/>
        <v>2404396.8032948682</v>
      </c>
      <c r="AX18" s="1630">
        <f t="shared" si="60"/>
        <v>2338902</v>
      </c>
      <c r="AY18" s="1627">
        <v>248441.92634560907</v>
      </c>
      <c r="AZ18" s="1798">
        <v>241240</v>
      </c>
      <c r="BA18" s="717">
        <f t="shared" si="61"/>
        <v>718885.74126534467</v>
      </c>
      <c r="BB18" s="717">
        <f t="shared" si="62"/>
        <v>654303</v>
      </c>
      <c r="BC18" s="429">
        <f t="shared" si="63"/>
        <v>1445325.7790368267</v>
      </c>
      <c r="BD18" s="429">
        <f t="shared" si="64"/>
        <v>1297371</v>
      </c>
      <c r="BE18" s="57">
        <f t="shared" si="65"/>
        <v>2652838.7296404773</v>
      </c>
      <c r="BF18" s="57">
        <f t="shared" si="66"/>
        <v>2580142</v>
      </c>
      <c r="BH18" s="1590">
        <v>2770018.885741265</v>
      </c>
      <c r="BI18" s="1590">
        <v>2702613</v>
      </c>
      <c r="BJ18" s="1590">
        <v>2489528.3018867923</v>
      </c>
      <c r="BK18" s="1590">
        <v>2436959</v>
      </c>
      <c r="BL18" s="1590">
        <v>2620075.4716981109</v>
      </c>
      <c r="BM18" s="1590">
        <v>2528925</v>
      </c>
      <c r="BN18" s="1590">
        <v>2422324.3024999998</v>
      </c>
      <c r="BO18" s="1590">
        <v>2451737.723004695</v>
      </c>
      <c r="BP18" s="1590">
        <v>2227867</v>
      </c>
      <c r="BQ18" s="1590">
        <v>2297163.5</v>
      </c>
      <c r="BR18" s="1590">
        <v>1847433</v>
      </c>
      <c r="BS18" s="1590">
        <v>2500000</v>
      </c>
      <c r="BT18" s="4876">
        <v>2083412</v>
      </c>
      <c r="BW18" s="23"/>
      <c r="BX18" s="491"/>
      <c r="BY18" s="491"/>
    </row>
    <row r="19" spans="1:77" ht="16.2" thickBot="1" x14ac:dyDescent="0.35">
      <c r="B19" s="2498" t="s">
        <v>1626</v>
      </c>
      <c r="C19" s="1767" t="s">
        <v>50</v>
      </c>
      <c r="D19" s="1768">
        <v>1920416.0909301967</v>
      </c>
      <c r="E19" s="1627">
        <f>SMS!E29</f>
        <v>134587.972999641</v>
      </c>
      <c r="F19" s="1798">
        <f>SMS!F37</f>
        <v>166745.16999999998</v>
      </c>
      <c r="G19" s="1627">
        <f>SMS!G29</f>
        <v>108106.986396983</v>
      </c>
      <c r="H19" s="1798">
        <f>SMS!H37</f>
        <v>76500.33</v>
      </c>
      <c r="I19" s="1629">
        <f>+E19+G19</f>
        <v>242694.95939662401</v>
      </c>
      <c r="J19" s="1630">
        <f>SMS!J37</f>
        <v>243245.5</v>
      </c>
      <c r="K19" s="1627">
        <f>SMS!K29</f>
        <v>171147.420900386</v>
      </c>
      <c r="L19" s="1798">
        <f>SMS!L37</f>
        <v>182735</v>
      </c>
      <c r="M19" s="1631">
        <f t="shared" si="44"/>
        <v>413842.38029701001</v>
      </c>
      <c r="N19" s="1631">
        <f t="shared" si="44"/>
        <v>425980.5</v>
      </c>
      <c r="O19" s="1627">
        <f>SMS!O29</f>
        <v>171341.75966274799</v>
      </c>
      <c r="P19" s="1798">
        <f>SMS!P37</f>
        <v>189077</v>
      </c>
      <c r="Q19" s="1629">
        <f t="shared" ref="Q19:Q20" si="71">+M19+O19</f>
        <v>585184.13995975803</v>
      </c>
      <c r="R19" s="1630">
        <f t="shared" ref="R19:R20" si="72">+N19+P19</f>
        <v>615057.5</v>
      </c>
      <c r="S19" s="1627">
        <f>SMS!S29</f>
        <v>171341.75966274799</v>
      </c>
      <c r="T19" s="1798">
        <f>SMS!T37</f>
        <v>179543</v>
      </c>
      <c r="U19" s="1629">
        <f t="shared" ref="U19:U20" si="73">+Q19+S19</f>
        <v>756525.899622506</v>
      </c>
      <c r="V19" s="1630">
        <f t="shared" si="67"/>
        <v>794600.5</v>
      </c>
      <c r="W19" s="1627">
        <f>SMS!W29</f>
        <v>90564.479358981</v>
      </c>
      <c r="X19" s="1798">
        <f>SMS!X37</f>
        <v>172339.6</v>
      </c>
      <c r="Y19" s="717">
        <f t="shared" ref="Y19:Y20" si="74">+O19+S19+W19</f>
        <v>433247.998684477</v>
      </c>
      <c r="Z19" s="717">
        <f t="shared" ref="Z19:Z20" si="75">+P19+T19+X19</f>
        <v>540959.6</v>
      </c>
      <c r="AA19" s="429">
        <f t="shared" ref="AA19:AA20" si="76">+M19+Y19</f>
        <v>847090.37898148701</v>
      </c>
      <c r="AB19" s="429">
        <f t="shared" ref="AB19:AB20" si="77">+N19+Z19</f>
        <v>966940.1</v>
      </c>
      <c r="AC19" s="1627">
        <f>SMS!AC29</f>
        <v>173952.38</v>
      </c>
      <c r="AD19" s="1798">
        <f>SMS!AD37</f>
        <v>135241</v>
      </c>
      <c r="AE19" s="1629">
        <f t="shared" ref="AE19:AE20" si="78">+AA19+AC19</f>
        <v>1021042.758981487</v>
      </c>
      <c r="AF19" s="1630">
        <f t="shared" si="68"/>
        <v>1102181.1000000001</v>
      </c>
      <c r="AG19" s="1627">
        <f>SMS!AG29</f>
        <v>168508.89847294599</v>
      </c>
      <c r="AH19" s="1798">
        <f>SMS!AH37</f>
        <v>178010.44</v>
      </c>
      <c r="AI19" s="1629">
        <f>SMS!AI29</f>
        <v>1189551.6574544329</v>
      </c>
      <c r="AJ19" s="1630">
        <f>SMS!AJ37</f>
        <v>1280191.54</v>
      </c>
      <c r="AK19" s="1627">
        <f>SMS!AK29</f>
        <v>173424.67255164299</v>
      </c>
      <c r="AL19" s="1798">
        <f>SMS!AL37</f>
        <v>168781</v>
      </c>
      <c r="AM19" s="717">
        <f>SMS!AM29</f>
        <v>515885.95102458901</v>
      </c>
      <c r="AN19" s="717">
        <f>SMS!AN37</f>
        <v>482032.44</v>
      </c>
      <c r="AO19" s="57">
        <f>SMS!AO29</f>
        <v>1362976.330006076</v>
      </c>
      <c r="AP19" s="57">
        <f>SMS!AP37</f>
        <v>1448972.54</v>
      </c>
      <c r="AQ19" s="1627">
        <f>SMS!AQ29</f>
        <v>176674.11631922389</v>
      </c>
      <c r="AR19" s="1798">
        <f>SMS!AR37</f>
        <v>164934.28000000003</v>
      </c>
      <c r="AS19" s="1629">
        <f t="shared" ref="AS19:AS20" si="79">+AO19+AQ19</f>
        <v>1539650.4463252998</v>
      </c>
      <c r="AT19" s="1630">
        <f t="shared" si="70"/>
        <v>1613906.82</v>
      </c>
      <c r="AU19" s="1627">
        <f>SMS!AU29</f>
        <v>157621.94134457508</v>
      </c>
      <c r="AV19" s="1798">
        <f>SMS!AV37</f>
        <v>135607.79</v>
      </c>
      <c r="AW19" s="1629">
        <f t="shared" ref="AW19:AW20" si="80">+AS19+AU19</f>
        <v>1697272.3876698748</v>
      </c>
      <c r="AX19" s="1630">
        <f t="shared" ref="AX19:AX20" si="81">+AT19+AV19</f>
        <v>1749514.61</v>
      </c>
      <c r="AY19" s="1627">
        <f>SMS!AY29</f>
        <v>176146.41183373574</v>
      </c>
      <c r="AZ19" s="1798">
        <f>SMS!AZ37</f>
        <v>176644.91</v>
      </c>
      <c r="BA19" s="717">
        <f t="shared" si="61"/>
        <v>510442.46949753468</v>
      </c>
      <c r="BB19" s="717">
        <f t="shared" si="62"/>
        <v>477186.9800000001</v>
      </c>
      <c r="BC19" s="429">
        <f t="shared" si="63"/>
        <v>1026328.4205221237</v>
      </c>
      <c r="BD19" s="429">
        <f t="shared" si="64"/>
        <v>959219.42000000016</v>
      </c>
      <c r="BE19" s="57">
        <f t="shared" ref="BE19:BE20" si="82">AW19+AY19</f>
        <v>1873418.7995036105</v>
      </c>
      <c r="BF19" s="57">
        <f t="shared" ref="BF19:BF20" si="83">AX19+AZ19</f>
        <v>1926159.52</v>
      </c>
      <c r="BH19" s="2497">
        <v>1978462.1604719451</v>
      </c>
      <c r="BI19" s="1590">
        <v>2007374.5599999998</v>
      </c>
      <c r="BJ19" s="2500">
        <v>1880445.45</v>
      </c>
      <c r="BK19" s="1590">
        <v>1818588.73</v>
      </c>
      <c r="BL19" s="2500"/>
      <c r="BM19" s="1590">
        <v>1922629.6</v>
      </c>
      <c r="BN19" s="1590">
        <v>1903696</v>
      </c>
      <c r="BO19" s="2500"/>
      <c r="BP19" s="1590">
        <v>1777963.7499999998</v>
      </c>
      <c r="BQ19" s="2500"/>
      <c r="BR19" s="2500"/>
      <c r="BS19" s="2497"/>
      <c r="BT19" s="998"/>
      <c r="BW19" s="23"/>
      <c r="BX19" s="491"/>
      <c r="BY19" s="491"/>
    </row>
    <row r="20" spans="1:77" ht="16.2" thickBot="1" x14ac:dyDescent="0.35">
      <c r="B20" s="2498" t="s">
        <v>1625</v>
      </c>
      <c r="C20" s="1767" t="s">
        <v>50</v>
      </c>
      <c r="D20" s="1768">
        <v>897098.03336358827</v>
      </c>
      <c r="E20" s="1627">
        <f>SMS!E38</f>
        <v>59103.175776253302</v>
      </c>
      <c r="F20" s="1798">
        <f>SMS!F46</f>
        <v>56481.07</v>
      </c>
      <c r="G20" s="1627">
        <f>SMS!G38</f>
        <v>62796.968405277046</v>
      </c>
      <c r="H20" s="1798">
        <f>SMS!H46</f>
        <v>21460.42</v>
      </c>
      <c r="I20" s="1629">
        <f>+E20+G20</f>
        <v>121900.14418153034</v>
      </c>
      <c r="J20" s="1630">
        <f>SMS!J46</f>
        <v>77941.489999999991</v>
      </c>
      <c r="K20" s="1627">
        <f>SMS!K38</f>
        <v>65963.060686015902</v>
      </c>
      <c r="L20" s="1798">
        <f>SMS!L46</f>
        <v>60718.3</v>
      </c>
      <c r="M20" s="1631">
        <f t="shared" si="44"/>
        <v>187863.20486754624</v>
      </c>
      <c r="N20" s="1631">
        <f t="shared" si="44"/>
        <v>138659.78999999998</v>
      </c>
      <c r="O20" s="1627">
        <f>SMS!O38</f>
        <v>68601.583113456407</v>
      </c>
      <c r="P20" s="1798">
        <f>SMS!P46</f>
        <v>64584.79</v>
      </c>
      <c r="Q20" s="1629">
        <f t="shared" si="71"/>
        <v>256464.78798100265</v>
      </c>
      <c r="R20" s="1630">
        <f t="shared" si="72"/>
        <v>203244.58</v>
      </c>
      <c r="S20" s="1627">
        <f>SMS!S38</f>
        <v>68601.583113456407</v>
      </c>
      <c r="T20" s="1798">
        <f>SMS!T46</f>
        <v>58078.79</v>
      </c>
      <c r="U20" s="1629">
        <f t="shared" si="73"/>
        <v>325066.37109445909</v>
      </c>
      <c r="V20" s="1630">
        <f t="shared" si="67"/>
        <v>261323.37</v>
      </c>
      <c r="W20" s="1627">
        <f>SMS!W38</f>
        <v>35356.200527704597</v>
      </c>
      <c r="X20" s="1798">
        <f>SMS!X46</f>
        <v>54507.000000000007</v>
      </c>
      <c r="Y20" s="717">
        <f t="shared" si="74"/>
        <v>172559.36675461743</v>
      </c>
      <c r="Z20" s="717">
        <f t="shared" si="75"/>
        <v>177170.58000000002</v>
      </c>
      <c r="AA20" s="429">
        <f t="shared" si="76"/>
        <v>360422.57162216364</v>
      </c>
      <c r="AB20" s="429">
        <f t="shared" si="77"/>
        <v>315830.37</v>
      </c>
      <c r="AC20" s="1627">
        <f>SMS!AC38</f>
        <v>70712.399999999994</v>
      </c>
      <c r="AD20" s="1798">
        <f>SMS!AD46</f>
        <v>43960.31</v>
      </c>
      <c r="AE20" s="1629">
        <f t="shared" si="78"/>
        <v>431134.97162216366</v>
      </c>
      <c r="AF20" s="1630">
        <f t="shared" si="68"/>
        <v>359790.68</v>
      </c>
      <c r="AG20" s="1627">
        <f>SMS!AG38</f>
        <v>68601.583113456494</v>
      </c>
      <c r="AH20" s="1798">
        <f>SMS!AH46</f>
        <v>51491.21</v>
      </c>
      <c r="AI20" s="1629">
        <f>SMS!AI38</f>
        <v>499736.55473562016</v>
      </c>
      <c r="AJ20" s="1630">
        <f>SMS!AJ46</f>
        <v>411281.88999999996</v>
      </c>
      <c r="AK20" s="1627">
        <f>SMS!AK38</f>
        <v>71240.105540897101</v>
      </c>
      <c r="AL20" s="1798">
        <f>SMS!AL46</f>
        <v>65584.38</v>
      </c>
      <c r="AM20" s="717">
        <f>SMS!AM38</f>
        <v>210554.0886543536</v>
      </c>
      <c r="AN20" s="717">
        <f>SMS!AN46</f>
        <v>161035.9</v>
      </c>
      <c r="AO20" s="57">
        <f>SMS!AO38</f>
        <v>570976.66027651727</v>
      </c>
      <c r="AP20" s="57">
        <f>SMS!AP46</f>
        <v>476866.26999999996</v>
      </c>
      <c r="AQ20" s="1627">
        <f>SMS!AQ38</f>
        <v>71767.810026385181</v>
      </c>
      <c r="AR20" s="1798">
        <f>SMS!AR46</f>
        <v>63113.100000000006</v>
      </c>
      <c r="AS20" s="1629">
        <f t="shared" si="79"/>
        <v>642744.47030290239</v>
      </c>
      <c r="AT20" s="1630">
        <f t="shared" si="70"/>
        <v>539979.37</v>
      </c>
      <c r="AU20" s="1627">
        <f>SMS!AU38</f>
        <v>64379.947229551442</v>
      </c>
      <c r="AV20" s="1798">
        <f>SMS!AV46</f>
        <v>49408.38</v>
      </c>
      <c r="AW20" s="1629">
        <f t="shared" si="80"/>
        <v>707124.41753245378</v>
      </c>
      <c r="AX20" s="1630">
        <f t="shared" si="81"/>
        <v>589387.75</v>
      </c>
      <c r="AY20" s="1627">
        <f>SMS!AY38</f>
        <v>72295.514511873334</v>
      </c>
      <c r="AZ20" s="1798">
        <f>SMS!AZ46</f>
        <v>64595.039999999994</v>
      </c>
      <c r="BA20" s="717">
        <f t="shared" si="61"/>
        <v>208443.27176780996</v>
      </c>
      <c r="BB20" s="717">
        <f t="shared" si="62"/>
        <v>177116.52000000002</v>
      </c>
      <c r="BC20" s="429">
        <f t="shared" si="63"/>
        <v>418997.36042216356</v>
      </c>
      <c r="BD20" s="429">
        <f t="shared" si="64"/>
        <v>338152.42000000004</v>
      </c>
      <c r="BE20" s="57">
        <f t="shared" si="82"/>
        <v>779419.93204432714</v>
      </c>
      <c r="BF20" s="57">
        <f t="shared" si="83"/>
        <v>653982.79</v>
      </c>
      <c r="BH20" s="2497">
        <v>791556.72717678116</v>
      </c>
      <c r="BI20" s="1590">
        <v>695238.43</v>
      </c>
      <c r="BJ20" s="2500">
        <v>609083.06980830187</v>
      </c>
      <c r="BK20" s="1590">
        <v>618370.32000000007</v>
      </c>
      <c r="BL20" s="2500"/>
      <c r="BM20" s="1590">
        <v>606294.79</v>
      </c>
      <c r="BN20" s="1590">
        <v>518629.33</v>
      </c>
      <c r="BO20" s="2500"/>
      <c r="BP20" s="1590">
        <v>449903.88033333333</v>
      </c>
      <c r="BQ20" s="2500"/>
      <c r="BR20" s="2500"/>
      <c r="BS20" s="2497"/>
      <c r="BT20" s="998"/>
      <c r="BW20" s="23"/>
      <c r="BX20" s="491"/>
      <c r="BY20" s="491"/>
    </row>
    <row r="21" spans="1:77" ht="16.5" customHeight="1" thickBot="1" x14ac:dyDescent="0.35">
      <c r="B21" s="1791" t="s">
        <v>491</v>
      </c>
      <c r="C21" s="1769" t="s">
        <v>444</v>
      </c>
      <c r="D21" s="1768">
        <f>D53/D1</f>
        <v>53.120552871300617</v>
      </c>
      <c r="E21" s="2277">
        <f t="shared" ref="E21:T21" si="84">+E53/E1</f>
        <v>47.75422800194638</v>
      </c>
      <c r="F21" s="1203">
        <f t="shared" si="84"/>
        <v>48.005642412131181</v>
      </c>
      <c r="G21" s="2277">
        <f t="shared" ref="G21:H21" si="85">+G53/G1</f>
        <v>54.776908590467905</v>
      </c>
      <c r="H21" s="1203">
        <f t="shared" si="85"/>
        <v>44.679841897233196</v>
      </c>
      <c r="I21" s="2277">
        <f t="shared" si="84"/>
        <v>50.80756738826009</v>
      </c>
      <c r="J21" s="1203">
        <f t="shared" si="84"/>
        <v>46.93333333333333</v>
      </c>
      <c r="K21" s="2277">
        <f t="shared" si="84"/>
        <v>54.508156686529261</v>
      </c>
      <c r="L21" s="1203">
        <f t="shared" si="84"/>
        <v>52.547595930600707</v>
      </c>
      <c r="M21" s="2277">
        <f t="shared" si="84"/>
        <v>52.238461916924173</v>
      </c>
      <c r="N21" s="1203">
        <f t="shared" si="84"/>
        <v>49.20428932449969</v>
      </c>
      <c r="O21" s="2277">
        <f t="shared" ref="O21:P21" si="86">+O53/O1</f>
        <v>53.320742839156438</v>
      </c>
      <c r="P21" s="1203">
        <f t="shared" si="86"/>
        <v>51.935483870967744</v>
      </c>
      <c r="Q21" s="2277">
        <f t="shared" si="84"/>
        <v>52.547685037561962</v>
      </c>
      <c r="R21" s="1203">
        <f t="shared" si="84"/>
        <v>50.016793819874287</v>
      </c>
      <c r="S21" s="2277">
        <f t="shared" si="84"/>
        <v>53.320742839156438</v>
      </c>
      <c r="T21" s="1203">
        <f t="shared" si="84"/>
        <v>50.459118769515442</v>
      </c>
      <c r="U21" s="2277">
        <f t="shared" ref="U21:X21" si="87">+U53/U1</f>
        <v>52.719475660138514</v>
      </c>
      <c r="V21" s="1203">
        <f t="shared" si="87"/>
        <v>50.11573271691995</v>
      </c>
      <c r="W21" s="2277">
        <f t="shared" si="87"/>
        <v>49.331711652010291</v>
      </c>
      <c r="X21" s="1203">
        <f t="shared" si="87"/>
        <v>48.797337714309791</v>
      </c>
      <c r="Y21" s="421">
        <f t="shared" ref="Y21:AD21" si="88">+Y53/Y1</f>
        <v>52.439366885097684</v>
      </c>
      <c r="Z21" s="421">
        <f t="shared" si="88"/>
        <v>50.420044531151902</v>
      </c>
      <c r="AA21" s="421">
        <f t="shared" si="88"/>
        <v>52.3402471435598</v>
      </c>
      <c r="AB21" s="421">
        <f t="shared" si="88"/>
        <v>49.877044526659553</v>
      </c>
      <c r="AC21" s="2277">
        <f t="shared" si="88"/>
        <v>54.369951111111114</v>
      </c>
      <c r="AD21" s="1203">
        <f t="shared" si="88"/>
        <v>45.927576601671305</v>
      </c>
      <c r="AE21" s="2277">
        <f t="shared" ref="AE21:AH21" si="89">+AE53/AE1</f>
        <v>52.674782727393065</v>
      </c>
      <c r="AF21" s="1203">
        <f t="shared" si="89"/>
        <v>49.355620247690133</v>
      </c>
      <c r="AG21" s="2277">
        <f t="shared" si="89"/>
        <v>54.508156686529261</v>
      </c>
      <c r="AH21" s="1203">
        <f t="shared" si="89"/>
        <v>50.055827535858455</v>
      </c>
      <c r="AI21" s="2277">
        <f t="shared" ref="AI21:AN21" si="90">+AI53/AI1</f>
        <v>52.92674289272221</v>
      </c>
      <c r="AJ21" s="1203">
        <f>+AJ53/AJ1</f>
        <v>49.449137636568487</v>
      </c>
      <c r="AK21" s="2277">
        <f t="shared" ref="AK21:AL21" si="91">+AK53/AK1</f>
        <v>54.369950687231139</v>
      </c>
      <c r="AL21" s="1203">
        <f t="shared" si="91"/>
        <v>48.993552765524257</v>
      </c>
      <c r="AM21" s="421">
        <f t="shared" si="90"/>
        <v>54.414984245613667</v>
      </c>
      <c r="AN21" s="421">
        <f t="shared" si="90"/>
        <v>48.456398059986981</v>
      </c>
      <c r="AO21" s="2277">
        <f t="shared" ref="AO21:AT21" si="92">+AO53/AO1</f>
        <v>53.10638274237165</v>
      </c>
      <c r="AP21" s="1203">
        <f t="shared" si="92"/>
        <v>49.392889401804602</v>
      </c>
      <c r="AQ21" s="2277">
        <f t="shared" si="92"/>
        <v>55.20931696569091</v>
      </c>
      <c r="AR21" s="1203">
        <f t="shared" si="92"/>
        <v>48.03836054344103</v>
      </c>
      <c r="AS21" s="2277">
        <f t="shared" si="92"/>
        <v>53.339165400102679</v>
      </c>
      <c r="AT21" s="1203">
        <f t="shared" si="92"/>
        <v>49.245262734573778</v>
      </c>
      <c r="AU21" s="2277">
        <f t="shared" ref="AU21:AV21" si="93">+AU53/AU1</f>
        <v>54.815281129413961</v>
      </c>
      <c r="AV21" s="1203">
        <f t="shared" si="93"/>
        <v>42.97176011966819</v>
      </c>
      <c r="AW21" s="2277">
        <f t="shared" ref="AW21:BF21" si="94">+AW53/AW1</f>
        <v>53.472899859597433</v>
      </c>
      <c r="AX21" s="1203">
        <f t="shared" si="94"/>
        <v>48.681063085302746</v>
      </c>
      <c r="AY21" s="2277">
        <f t="shared" si="94"/>
        <v>55.20931696569091</v>
      </c>
      <c r="AZ21" s="1203">
        <f t="shared" si="94"/>
        <v>50.91380908248378</v>
      </c>
      <c r="BA21" s="421">
        <f t="shared" si="94"/>
        <v>55.087029982018748</v>
      </c>
      <c r="BB21" s="421">
        <f t="shared" si="94"/>
        <v>47.429751596339308</v>
      </c>
      <c r="BC21" s="421">
        <f t="shared" si="94"/>
        <v>54.74718867213209</v>
      </c>
      <c r="BD21" s="421">
        <f t="shared" si="94"/>
        <v>47.933486834327496</v>
      </c>
      <c r="BE21" s="2277">
        <f t="shared" si="94"/>
        <v>53.631710330487593</v>
      </c>
      <c r="BF21" s="1203">
        <f t="shared" si="94"/>
        <v>48.87987538812267</v>
      </c>
      <c r="BH21" s="1036">
        <v>54.152138342411838</v>
      </c>
      <c r="BI21" s="1036">
        <v>49.349681060350129</v>
      </c>
      <c r="BJ21" s="1036">
        <v>51.463117269757682</v>
      </c>
      <c r="BK21" s="1036">
        <v>49.27054583050262</v>
      </c>
      <c r="BL21" s="1036">
        <v>50.337665162307644</v>
      </c>
      <c r="BM21" s="1036">
        <v>48.13036797026696</v>
      </c>
      <c r="BN21" s="1036">
        <v>45.269662921348313</v>
      </c>
      <c r="BO21" s="1036">
        <v>44.780041074452797</v>
      </c>
      <c r="BP21" s="1036">
        <v>40.065753424657537</v>
      </c>
      <c r="BQ21" s="1036">
        <v>41.920045662100456</v>
      </c>
      <c r="BR21" s="1036">
        <v>33.30958904109589</v>
      </c>
      <c r="BS21" s="1036">
        <v>47.014645250053974</v>
      </c>
      <c r="BT21" s="1816">
        <v>38.66393442622951</v>
      </c>
      <c r="BW21" s="23"/>
      <c r="BX21" s="491"/>
      <c r="BY21" s="491"/>
    </row>
    <row r="22" spans="1:77" ht="15" customHeight="1" x14ac:dyDescent="0.3">
      <c r="B22" t="s">
        <v>234</v>
      </c>
    </row>
    <row r="23" spans="1:77" ht="15" customHeight="1" x14ac:dyDescent="0.3">
      <c r="B23" s="1784" t="s">
        <v>20</v>
      </c>
      <c r="C23" s="1758" t="s">
        <v>50</v>
      </c>
      <c r="D23" s="2262">
        <v>3420</v>
      </c>
      <c r="E23" s="143">
        <v>1620</v>
      </c>
      <c r="F23" s="17">
        <v>246.31997000000001</v>
      </c>
      <c r="G23" s="143">
        <v>1800</v>
      </c>
      <c r="H23" s="17">
        <v>1995.0164700000003</v>
      </c>
      <c r="I23" s="57">
        <f t="shared" ref="I23:J25" si="95">+E23+G23</f>
        <v>3420</v>
      </c>
      <c r="J23" s="35">
        <f t="shared" si="95"/>
        <v>2241.33644</v>
      </c>
      <c r="K23" s="143">
        <f>0.81*1000</f>
        <v>810</v>
      </c>
      <c r="L23" s="17">
        <v>902.97845999999993</v>
      </c>
      <c r="M23" s="68">
        <f t="shared" ref="M23:N25" si="96">+E23+G23+K23</f>
        <v>4230</v>
      </c>
      <c r="N23" s="65">
        <f t="shared" si="96"/>
        <v>3144.3148999999999</v>
      </c>
      <c r="O23" s="143">
        <v>810</v>
      </c>
      <c r="P23" s="17">
        <v>0</v>
      </c>
      <c r="Q23" s="57">
        <f t="shared" ref="Q23:R25" si="97">+M23+O23</f>
        <v>5040</v>
      </c>
      <c r="R23" s="35">
        <f t="shared" si="97"/>
        <v>3144.3148999999999</v>
      </c>
      <c r="S23" s="143">
        <f>0.81*1000</f>
        <v>810</v>
      </c>
      <c r="T23" s="17">
        <v>144.06922</v>
      </c>
      <c r="U23" s="57">
        <f t="shared" ref="U23:U25" si="98">+Q23+S23</f>
        <v>5850</v>
      </c>
      <c r="V23" s="35">
        <f t="shared" ref="V23:V25" si="99">+R23+T23</f>
        <v>3288.3841199999997</v>
      </c>
      <c r="W23" s="143">
        <f>5360-1625</f>
        <v>3735</v>
      </c>
      <c r="X23" s="17">
        <v>256.58677999999998</v>
      </c>
      <c r="Y23" s="717">
        <f t="shared" ref="Y23:Z25" si="100">+O23+S23+W23</f>
        <v>5355</v>
      </c>
      <c r="Z23" s="717">
        <f t="shared" si="100"/>
        <v>400.65599999999995</v>
      </c>
      <c r="AA23" s="429">
        <f t="shared" ref="AA23:AB25" si="101">+M23+Y23</f>
        <v>9585</v>
      </c>
      <c r="AB23" s="429">
        <f t="shared" si="101"/>
        <v>3544.9708999999998</v>
      </c>
      <c r="AC23" s="143">
        <v>810</v>
      </c>
      <c r="AD23" s="17">
        <v>3014.2686399999998</v>
      </c>
      <c r="AE23" s="57">
        <f t="shared" ref="AE23:AE25" si="102">+AA23+AC23</f>
        <v>10395</v>
      </c>
      <c r="AF23" s="35">
        <f t="shared" ref="AF23:AF25" si="103">+AB23+AD23</f>
        <v>6559.2395399999996</v>
      </c>
      <c r="AG23" s="143">
        <v>810</v>
      </c>
      <c r="AH23" s="17">
        <v>135.13793000000001</v>
      </c>
      <c r="AI23" s="57">
        <f t="shared" ref="AI23:AI25" si="104">+AE23+AG23</f>
        <v>11205</v>
      </c>
      <c r="AJ23" s="35">
        <f t="shared" ref="AJ23:AJ24" si="105">+AF23+AH23</f>
        <v>6694.3774699999994</v>
      </c>
      <c r="AK23" s="143">
        <v>810</v>
      </c>
      <c r="AL23" s="17">
        <v>35.725159999999995</v>
      </c>
      <c r="AM23" s="717">
        <f t="shared" ref="AM23:AM25" si="106">+AC23+AG23+AK23</f>
        <v>2430</v>
      </c>
      <c r="AN23" s="717">
        <f t="shared" ref="AN23:AN24" si="107">+AD23+AH23+AL23</f>
        <v>3185.1317299999996</v>
      </c>
      <c r="AO23" s="57">
        <f>AI23+AK23</f>
        <v>12015</v>
      </c>
      <c r="AP23" s="57">
        <f>AJ23+AL23</f>
        <v>6730.1026299999994</v>
      </c>
      <c r="AQ23" s="143">
        <v>810</v>
      </c>
      <c r="AR23" s="17">
        <v>662.91874000000007</v>
      </c>
      <c r="AS23" s="57">
        <f t="shared" ref="AS23:AS25" si="108">+AO23+AQ23</f>
        <v>12825</v>
      </c>
      <c r="AT23" s="35">
        <f t="shared" ref="AT23:AT25" si="109">+AP23+AR23</f>
        <v>7393.0213699999995</v>
      </c>
      <c r="AU23" s="143">
        <v>810</v>
      </c>
      <c r="AV23" s="17">
        <v>0</v>
      </c>
      <c r="AW23" s="57">
        <f t="shared" ref="AW23:AW25" si="110">+AS23+AU23</f>
        <v>13635</v>
      </c>
      <c r="AX23" s="35">
        <f t="shared" ref="AX23:AX25" si="111">+AT23+AV23</f>
        <v>7393.0213699999995</v>
      </c>
      <c r="AY23" s="143">
        <v>810</v>
      </c>
      <c r="AZ23" s="17">
        <v>80.298139999999989</v>
      </c>
      <c r="BA23" s="717">
        <f t="shared" ref="BA23:BA25" si="112">+AQ23+AU23+AY23</f>
        <v>2430</v>
      </c>
      <c r="BB23" s="717">
        <f t="shared" ref="BB23:BB25" si="113">+AR23+AV23+AZ23</f>
        <v>743.21688000000006</v>
      </c>
      <c r="BC23" s="429">
        <f t="shared" ref="BC23:BC25" si="114">AM23+BA23</f>
        <v>4860</v>
      </c>
      <c r="BD23" s="429">
        <f t="shared" ref="BD23:BD25" si="115">AN23+BB23</f>
        <v>3928.3486099999996</v>
      </c>
      <c r="BE23" s="57">
        <f>AW23+AY23</f>
        <v>14445</v>
      </c>
      <c r="BF23" s="57">
        <f>AX23+AZ23</f>
        <v>7473.3195099999994</v>
      </c>
      <c r="BH23" s="1590">
        <v>12645</v>
      </c>
      <c r="BI23" s="1590">
        <v>11530.128450000002</v>
      </c>
      <c r="BJ23" s="1590">
        <v>7740</v>
      </c>
      <c r="BK23" s="1590">
        <v>12917.885679999999</v>
      </c>
      <c r="BL23" s="1590">
        <v>19561.099796333998</v>
      </c>
      <c r="BM23" s="1590">
        <v>7548.2755700000007</v>
      </c>
      <c r="BN23" s="1590">
        <v>9129.3344199999992</v>
      </c>
      <c r="BO23" s="1590">
        <v>19735.515274949088</v>
      </c>
      <c r="BP23" s="1590">
        <v>22361.07245</v>
      </c>
      <c r="BQ23" s="1590">
        <v>20755.018447889259</v>
      </c>
      <c r="BR23" s="1590">
        <v>58220.700000000004</v>
      </c>
      <c r="BS23" s="1590">
        <v>29957.855711422799</v>
      </c>
      <c r="BT23" s="998">
        <v>134629.17781999998</v>
      </c>
      <c r="BW23" s="23"/>
      <c r="BX23" s="491"/>
      <c r="BY23" s="491"/>
    </row>
    <row r="24" spans="1:77" ht="15" customHeight="1" x14ac:dyDescent="0.3">
      <c r="B24" s="1784" t="s">
        <v>113</v>
      </c>
      <c r="C24" s="1758" t="s">
        <v>50</v>
      </c>
      <c r="D24" s="2262">
        <v>0</v>
      </c>
      <c r="E24" s="143">
        <v>0</v>
      </c>
      <c r="F24" s="17">
        <v>34.774583999999997</v>
      </c>
      <c r="G24" s="143">
        <v>0</v>
      </c>
      <c r="H24" s="17">
        <v>281.649384</v>
      </c>
      <c r="I24" s="57">
        <f t="shared" si="95"/>
        <v>0</v>
      </c>
      <c r="J24" s="35">
        <f t="shared" si="95"/>
        <v>316.423968</v>
      </c>
      <c r="K24" s="143">
        <v>0</v>
      </c>
      <c r="L24" s="17">
        <v>127.47931200000001</v>
      </c>
      <c r="M24" s="68">
        <f t="shared" si="96"/>
        <v>0</v>
      </c>
      <c r="N24" s="65">
        <f t="shared" si="96"/>
        <v>443.90328</v>
      </c>
      <c r="O24" s="143">
        <v>0</v>
      </c>
      <c r="P24" s="17">
        <v>0</v>
      </c>
      <c r="Q24" s="57">
        <f t="shared" si="97"/>
        <v>0</v>
      </c>
      <c r="R24" s="35">
        <f t="shared" si="97"/>
        <v>443.90328</v>
      </c>
      <c r="S24" s="143">
        <v>0</v>
      </c>
      <c r="T24" s="17">
        <v>20.339184000000003</v>
      </c>
      <c r="U24" s="57">
        <f t="shared" si="98"/>
        <v>0</v>
      </c>
      <c r="V24" s="35">
        <f t="shared" si="99"/>
        <v>464.24246399999998</v>
      </c>
      <c r="W24" s="143">
        <v>0</v>
      </c>
      <c r="X24" s="17">
        <v>36.224015999999999</v>
      </c>
      <c r="Y24" s="717">
        <f t="shared" si="100"/>
        <v>0</v>
      </c>
      <c r="Z24" s="717">
        <f t="shared" si="100"/>
        <v>56.563200000000002</v>
      </c>
      <c r="AA24" s="429">
        <f t="shared" si="101"/>
        <v>0</v>
      </c>
      <c r="AB24" s="429">
        <f t="shared" si="101"/>
        <v>500.46647999999999</v>
      </c>
      <c r="AC24" s="143">
        <v>0</v>
      </c>
      <c r="AD24" s="17">
        <v>426</v>
      </c>
      <c r="AE24" s="57">
        <f t="shared" si="102"/>
        <v>0</v>
      </c>
      <c r="AF24" s="35">
        <f t="shared" si="103"/>
        <v>926.46648000000005</v>
      </c>
      <c r="AG24" s="143">
        <v>0</v>
      </c>
      <c r="AH24" s="17">
        <v>19.078296000000002</v>
      </c>
      <c r="AI24" s="57">
        <f t="shared" si="104"/>
        <v>0</v>
      </c>
      <c r="AJ24" s="35">
        <f t="shared" si="105"/>
        <v>945.54477600000007</v>
      </c>
      <c r="AK24" s="143">
        <v>0</v>
      </c>
      <c r="AL24" s="17">
        <v>5</v>
      </c>
      <c r="AM24" s="717">
        <f t="shared" si="106"/>
        <v>0</v>
      </c>
      <c r="AN24" s="717">
        <f t="shared" si="107"/>
        <v>450.07829600000002</v>
      </c>
      <c r="AO24" s="57">
        <f t="shared" ref="AO24:AP27" si="116">AI24+AK24</f>
        <v>0</v>
      </c>
      <c r="AP24" s="57">
        <f t="shared" ref="AP24:AP25" si="117">AJ24+AL24</f>
        <v>950.54477600000007</v>
      </c>
      <c r="AQ24" s="143">
        <v>0</v>
      </c>
      <c r="AR24" s="17">
        <v>93.588527999999997</v>
      </c>
      <c r="AS24" s="57">
        <f t="shared" si="108"/>
        <v>0</v>
      </c>
      <c r="AT24" s="35">
        <f t="shared" si="109"/>
        <v>1044.133304</v>
      </c>
      <c r="AU24" s="143">
        <v>0</v>
      </c>
      <c r="AV24" s="17">
        <v>0</v>
      </c>
      <c r="AW24" s="57">
        <f t="shared" si="110"/>
        <v>0</v>
      </c>
      <c r="AX24" s="35">
        <f t="shared" si="111"/>
        <v>1044.133304</v>
      </c>
      <c r="AY24" s="143">
        <v>0</v>
      </c>
      <c r="AZ24" s="17">
        <v>11.336208000000001</v>
      </c>
      <c r="BA24" s="717">
        <f t="shared" si="112"/>
        <v>0</v>
      </c>
      <c r="BB24" s="717">
        <f t="shared" si="113"/>
        <v>104.924736</v>
      </c>
      <c r="BC24" s="429">
        <f t="shared" si="114"/>
        <v>0</v>
      </c>
      <c r="BD24" s="429">
        <f t="shared" si="115"/>
        <v>555.00303200000008</v>
      </c>
      <c r="BE24" s="57">
        <f t="shared" ref="BE24:BE25" si="118">AW24+AY24</f>
        <v>0</v>
      </c>
      <c r="BF24" s="57">
        <f t="shared" ref="BF24:BF25" si="119">AX24+AZ24</f>
        <v>1055.4695119999999</v>
      </c>
      <c r="BH24" s="1590">
        <v>0</v>
      </c>
      <c r="BI24" s="1590">
        <v>1628.1954799999999</v>
      </c>
      <c r="BJ24" s="1590">
        <v>0</v>
      </c>
      <c r="BK24" s="1590">
        <v>1823.765584</v>
      </c>
      <c r="BL24" s="1590">
        <v>0</v>
      </c>
      <c r="BM24" s="1590">
        <v>1026.6220800000001</v>
      </c>
      <c r="BN24" s="1590">
        <v>2541.6495199999999</v>
      </c>
      <c r="BO24" s="1590">
        <v>0</v>
      </c>
      <c r="BP24" s="1590">
        <v>2774.7649000000001</v>
      </c>
      <c r="BQ24" s="1590">
        <v>392</v>
      </c>
      <c r="BR24" s="1590">
        <v>3852.3</v>
      </c>
      <c r="BS24" s="1590">
        <v>1419.0563231726583</v>
      </c>
      <c r="BT24" s="998">
        <v>8272.9782799999994</v>
      </c>
      <c r="BW24" s="23"/>
      <c r="BX24" s="491"/>
      <c r="BY24" s="491"/>
    </row>
    <row r="25" spans="1:77" ht="20.25" customHeight="1" x14ac:dyDescent="0.3">
      <c r="B25" s="1792" t="s">
        <v>1627</v>
      </c>
      <c r="C25" s="1758" t="s">
        <v>50</v>
      </c>
      <c r="D25" s="2262">
        <v>2600</v>
      </c>
      <c r="E25" s="143">
        <v>325</v>
      </c>
      <c r="F25" s="17">
        <v>190</v>
      </c>
      <c r="G25" s="143">
        <v>2275</v>
      </c>
      <c r="H25" s="17">
        <v>4005</v>
      </c>
      <c r="I25" s="57">
        <f t="shared" si="95"/>
        <v>2600</v>
      </c>
      <c r="J25" s="35">
        <f t="shared" si="95"/>
        <v>4195</v>
      </c>
      <c r="K25" s="1223">
        <v>0</v>
      </c>
      <c r="L25" s="17">
        <v>0</v>
      </c>
      <c r="M25" s="68">
        <f t="shared" si="96"/>
        <v>2600</v>
      </c>
      <c r="N25" s="65">
        <f t="shared" si="96"/>
        <v>4195</v>
      </c>
      <c r="O25" s="1223">
        <v>0</v>
      </c>
      <c r="P25" s="17">
        <v>0</v>
      </c>
      <c r="Q25" s="57">
        <f t="shared" si="97"/>
        <v>2600</v>
      </c>
      <c r="R25" s="35">
        <f t="shared" si="97"/>
        <v>4195</v>
      </c>
      <c r="S25" s="1223">
        <v>0</v>
      </c>
      <c r="T25" s="17">
        <v>0</v>
      </c>
      <c r="U25" s="57">
        <f t="shared" si="98"/>
        <v>2600</v>
      </c>
      <c r="V25" s="35">
        <f t="shared" si="99"/>
        <v>4195</v>
      </c>
      <c r="W25" s="1223">
        <f>2500*0.65</f>
        <v>1625</v>
      </c>
      <c r="X25" s="17">
        <v>0</v>
      </c>
      <c r="Y25" s="717">
        <f t="shared" si="100"/>
        <v>1625</v>
      </c>
      <c r="Z25" s="717">
        <f t="shared" si="100"/>
        <v>0</v>
      </c>
      <c r="AA25" s="429">
        <f t="shared" si="101"/>
        <v>4225</v>
      </c>
      <c r="AB25" s="429">
        <f t="shared" si="101"/>
        <v>4195</v>
      </c>
      <c r="AC25" s="1223">
        <v>0</v>
      </c>
      <c r="AD25" s="17">
        <v>5603</v>
      </c>
      <c r="AE25" s="57">
        <f t="shared" si="102"/>
        <v>4225</v>
      </c>
      <c r="AF25" s="35">
        <f t="shared" si="103"/>
        <v>9798</v>
      </c>
      <c r="AG25" s="1223">
        <v>0</v>
      </c>
      <c r="AH25" s="17">
        <v>0</v>
      </c>
      <c r="AI25" s="57">
        <f t="shared" si="104"/>
        <v>4225</v>
      </c>
      <c r="AJ25" s="35">
        <f>+AF25+AH25</f>
        <v>9798</v>
      </c>
      <c r="AK25" s="1223">
        <v>0</v>
      </c>
      <c r="AL25" s="17">
        <v>0</v>
      </c>
      <c r="AM25" s="717">
        <f t="shared" si="106"/>
        <v>0</v>
      </c>
      <c r="AN25" s="717">
        <f>+AD25+AH25+AL25</f>
        <v>5603</v>
      </c>
      <c r="AO25" s="57">
        <f t="shared" si="116"/>
        <v>4225</v>
      </c>
      <c r="AP25" s="57">
        <f t="shared" si="117"/>
        <v>9798</v>
      </c>
      <c r="AQ25" s="1223">
        <v>0</v>
      </c>
      <c r="AR25" s="17">
        <v>800.6</v>
      </c>
      <c r="AS25" s="57">
        <f t="shared" si="108"/>
        <v>4225</v>
      </c>
      <c r="AT25" s="35">
        <f t="shared" si="109"/>
        <v>10598.6</v>
      </c>
      <c r="AU25" s="1223">
        <v>0</v>
      </c>
      <c r="AV25" s="17">
        <v>920</v>
      </c>
      <c r="AW25" s="57">
        <f t="shared" si="110"/>
        <v>4225</v>
      </c>
      <c r="AX25" s="35">
        <f t="shared" si="111"/>
        <v>11518.6</v>
      </c>
      <c r="AY25" s="1223">
        <v>0</v>
      </c>
      <c r="AZ25" s="17">
        <v>310</v>
      </c>
      <c r="BA25" s="717">
        <f t="shared" si="112"/>
        <v>0</v>
      </c>
      <c r="BB25" s="717">
        <f t="shared" si="113"/>
        <v>2030.6</v>
      </c>
      <c r="BC25" s="429">
        <f t="shared" si="114"/>
        <v>0</v>
      </c>
      <c r="BD25" s="429">
        <f t="shared" si="115"/>
        <v>7633.6</v>
      </c>
      <c r="BE25" s="57">
        <f t="shared" si="118"/>
        <v>4225</v>
      </c>
      <c r="BF25" s="57">
        <f t="shared" si="119"/>
        <v>11828.6</v>
      </c>
      <c r="BH25" s="1590">
        <v>1625</v>
      </c>
      <c r="BI25" s="1590">
        <v>8058.2000000000007</v>
      </c>
      <c r="BJ25" s="1590">
        <v>1625</v>
      </c>
      <c r="BK25" s="1590">
        <v>11114.8</v>
      </c>
      <c r="BL25" s="1590">
        <v>2000</v>
      </c>
      <c r="BM25" s="1590">
        <v>5022</v>
      </c>
      <c r="BN25" s="1590">
        <v>4664.8</v>
      </c>
      <c r="BO25" s="1590">
        <v>14800</v>
      </c>
      <c r="BP25" s="1590">
        <v>9214.4</v>
      </c>
      <c r="BQ25" s="1590">
        <v>0</v>
      </c>
      <c r="BR25" s="1590">
        <v>0</v>
      </c>
      <c r="BS25" s="1590">
        <v>0</v>
      </c>
      <c r="BT25" s="998">
        <v>26220.800000000003</v>
      </c>
      <c r="BU25" s="3464"/>
      <c r="BV25" s="23"/>
      <c r="BW25" s="23"/>
      <c r="BX25" s="491"/>
      <c r="BY25" s="491"/>
    </row>
    <row r="26" spans="1:77" ht="15" customHeight="1" thickBot="1" x14ac:dyDescent="0.35">
      <c r="B26" s="1793" t="s">
        <v>675</v>
      </c>
      <c r="C26" s="1770" t="s">
        <v>50</v>
      </c>
      <c r="D26" s="2278">
        <f t="shared" ref="D26:R26" si="120">SUM(D23:D25)</f>
        <v>6020</v>
      </c>
      <c r="E26" s="1567">
        <f t="shared" si="120"/>
        <v>1945</v>
      </c>
      <c r="F26" s="2279">
        <f t="shared" si="120"/>
        <v>471.09455400000002</v>
      </c>
      <c r="G26" s="1567">
        <f t="shared" ref="G26:H26" si="121">SUM(G23:G25)</f>
        <v>4075</v>
      </c>
      <c r="H26" s="2279">
        <f t="shared" si="121"/>
        <v>6281.6658540000008</v>
      </c>
      <c r="I26" s="1802">
        <f t="shared" si="120"/>
        <v>6020</v>
      </c>
      <c r="J26" s="1772">
        <f t="shared" si="120"/>
        <v>6752.7604080000001</v>
      </c>
      <c r="K26" s="1567">
        <f t="shared" ref="K26:L26" si="122">SUM(K23:K25)</f>
        <v>810</v>
      </c>
      <c r="L26" s="2279">
        <f t="shared" si="122"/>
        <v>1030.457772</v>
      </c>
      <c r="M26" s="1810">
        <f t="shared" si="120"/>
        <v>6830</v>
      </c>
      <c r="N26" s="1811">
        <f t="shared" si="120"/>
        <v>7783.2181799999998</v>
      </c>
      <c r="O26" s="1567">
        <f t="shared" ref="O26:P26" si="123">SUM(O23:O25)</f>
        <v>810</v>
      </c>
      <c r="P26" s="2279">
        <f t="shared" si="123"/>
        <v>0</v>
      </c>
      <c r="Q26" s="1802">
        <f t="shared" si="120"/>
        <v>7640</v>
      </c>
      <c r="R26" s="1772">
        <f t="shared" si="120"/>
        <v>7783.2181799999998</v>
      </c>
      <c r="S26" s="1567">
        <f t="shared" ref="S26:T26" si="124">SUM(S23:S25)</f>
        <v>810</v>
      </c>
      <c r="T26" s="2279">
        <f t="shared" si="124"/>
        <v>164.40840400000002</v>
      </c>
      <c r="U26" s="1802">
        <f t="shared" ref="U26:X26" si="125">SUM(U23:U25)</f>
        <v>8450</v>
      </c>
      <c r="V26" s="1772">
        <f t="shared" si="125"/>
        <v>7947.6265839999996</v>
      </c>
      <c r="W26" s="1567">
        <f t="shared" si="125"/>
        <v>5360</v>
      </c>
      <c r="X26" s="2279">
        <f t="shared" si="125"/>
        <v>292.81079599999998</v>
      </c>
      <c r="Y26" s="346">
        <f t="shared" ref="Y26:Z26" si="126">SUM(Y23:Y25)</f>
        <v>6980</v>
      </c>
      <c r="Z26" s="346">
        <f t="shared" si="126"/>
        <v>457.21919999999994</v>
      </c>
      <c r="AA26" s="502">
        <f t="shared" ref="AA26:AD26" si="127">SUM(AA23:AA25)</f>
        <v>13810</v>
      </c>
      <c r="AB26" s="502">
        <f t="shared" si="127"/>
        <v>8240.4373799999994</v>
      </c>
      <c r="AC26" s="1567">
        <f t="shared" si="127"/>
        <v>810</v>
      </c>
      <c r="AD26" s="2279">
        <f t="shared" si="127"/>
        <v>9043.2686400000002</v>
      </c>
      <c r="AE26" s="1802">
        <f t="shared" ref="AE26:AH26" si="128">SUM(AE23:AE25)</f>
        <v>14620</v>
      </c>
      <c r="AF26" s="1772">
        <f t="shared" si="128"/>
        <v>17283.706019999998</v>
      </c>
      <c r="AG26" s="1567">
        <f t="shared" si="128"/>
        <v>810</v>
      </c>
      <c r="AH26" s="2279">
        <f t="shared" si="128"/>
        <v>154.21622600000001</v>
      </c>
      <c r="AI26" s="1802">
        <f t="shared" ref="AI26:AL26" si="129">SUM(AI23:AI25)</f>
        <v>15430</v>
      </c>
      <c r="AJ26" s="1772">
        <f t="shared" si="129"/>
        <v>17437.922245999998</v>
      </c>
      <c r="AK26" s="1567">
        <f t="shared" si="129"/>
        <v>810</v>
      </c>
      <c r="AL26" s="2279">
        <f t="shared" si="129"/>
        <v>40.725159999999995</v>
      </c>
      <c r="AM26" s="346">
        <f t="shared" ref="AM26:AR26" si="130">SUM(AM23:AM25)</f>
        <v>2430</v>
      </c>
      <c r="AN26" s="346">
        <f t="shared" si="130"/>
        <v>9238.2100260000007</v>
      </c>
      <c r="AO26" s="1802">
        <f t="shared" si="130"/>
        <v>16240</v>
      </c>
      <c r="AP26" s="1772">
        <f t="shared" si="130"/>
        <v>17478.647406</v>
      </c>
      <c r="AQ26" s="1567">
        <f t="shared" si="130"/>
        <v>810</v>
      </c>
      <c r="AR26" s="2279">
        <f t="shared" si="130"/>
        <v>1557.1072680000002</v>
      </c>
      <c r="AS26" s="1802">
        <f t="shared" ref="AS26:AV26" si="131">SUM(AS23:AS25)</f>
        <v>17050</v>
      </c>
      <c r="AT26" s="1772">
        <f t="shared" si="131"/>
        <v>19035.754674</v>
      </c>
      <c r="AU26" s="1567">
        <f t="shared" si="131"/>
        <v>810</v>
      </c>
      <c r="AV26" s="2279">
        <f t="shared" si="131"/>
        <v>920</v>
      </c>
      <c r="AW26" s="1802">
        <f t="shared" ref="AW26:AZ26" si="132">SUM(AW23:AW25)</f>
        <v>17860</v>
      </c>
      <c r="AX26" s="1772">
        <f t="shared" si="132"/>
        <v>19955.754674</v>
      </c>
      <c r="AY26" s="1567">
        <f t="shared" si="132"/>
        <v>810</v>
      </c>
      <c r="AZ26" s="2279">
        <f t="shared" si="132"/>
        <v>401.63434799999999</v>
      </c>
      <c r="BA26" s="346">
        <f t="shared" ref="BA26:BF26" si="133">SUM(BA23:BA25)</f>
        <v>2430</v>
      </c>
      <c r="BB26" s="346">
        <f t="shared" si="133"/>
        <v>2878.7416160000002</v>
      </c>
      <c r="BC26" s="502">
        <f t="shared" si="133"/>
        <v>4860</v>
      </c>
      <c r="BD26" s="502">
        <f t="shared" si="133"/>
        <v>12116.951642</v>
      </c>
      <c r="BE26" s="1802">
        <f t="shared" si="133"/>
        <v>18670</v>
      </c>
      <c r="BF26" s="1772">
        <f t="shared" si="133"/>
        <v>20357.389021999999</v>
      </c>
      <c r="BH26" s="1037">
        <v>14270</v>
      </c>
      <c r="BI26" s="1037">
        <v>21216.523930000003</v>
      </c>
      <c r="BJ26" s="1037">
        <v>9365</v>
      </c>
      <c r="BK26" s="1037">
        <v>25856.451263999999</v>
      </c>
      <c r="BL26" s="1037">
        <v>21561.099796333998</v>
      </c>
      <c r="BM26" s="1037">
        <v>13596.897650000001</v>
      </c>
      <c r="BN26" s="1037">
        <v>16335.783939999998</v>
      </c>
      <c r="BO26" s="1037">
        <v>34535.515274949088</v>
      </c>
      <c r="BP26" s="1037">
        <v>34350.237350000003</v>
      </c>
      <c r="BQ26" s="1037">
        <v>21147.018447889259</v>
      </c>
      <c r="BR26" s="1037">
        <v>62073.000000000007</v>
      </c>
      <c r="BS26" s="1037">
        <v>31376.912034595443</v>
      </c>
      <c r="BT26" s="1818">
        <v>169122.95610000001</v>
      </c>
      <c r="BU26" s="3464"/>
      <c r="BV26" s="23"/>
      <c r="BW26" s="23"/>
      <c r="BX26" s="491"/>
      <c r="BY26" s="491"/>
    </row>
    <row r="27" spans="1:77" ht="15" customHeight="1" thickBot="1" x14ac:dyDescent="0.35">
      <c r="B27" s="1794" t="s">
        <v>671</v>
      </c>
      <c r="C27" s="1767" t="s">
        <v>50</v>
      </c>
      <c r="D27" s="4308">
        <v>5103</v>
      </c>
      <c r="E27" s="484">
        <v>644.51199999999994</v>
      </c>
      <c r="F27" s="1799">
        <v>160.65</v>
      </c>
      <c r="G27" s="484">
        <v>2598.518</v>
      </c>
      <c r="H27" s="1799">
        <v>162.36500000000001</v>
      </c>
      <c r="I27" s="1629">
        <f>+E27+G27</f>
        <v>3243.0299999999997</v>
      </c>
      <c r="J27" s="1630">
        <f>+F27+H27</f>
        <v>323.01499999999999</v>
      </c>
      <c r="K27" s="484">
        <v>273.99599999999998</v>
      </c>
      <c r="L27" s="1799">
        <v>0</v>
      </c>
      <c r="M27" s="1631">
        <f>+E27+G27+K27</f>
        <v>3517.0259999999998</v>
      </c>
      <c r="N27" s="1809">
        <f>+F27+H27+L27</f>
        <v>323.01499999999999</v>
      </c>
      <c r="O27" s="484">
        <v>276.24</v>
      </c>
      <c r="P27" s="1799">
        <v>0</v>
      </c>
      <c r="Q27" s="1629">
        <f>+M27+O27</f>
        <v>3793.2659999999996</v>
      </c>
      <c r="R27" s="1630">
        <f>+N27+P27</f>
        <v>323.01499999999999</v>
      </c>
      <c r="S27" s="484">
        <v>276.24</v>
      </c>
      <c r="T27" s="1799">
        <v>0</v>
      </c>
      <c r="U27" s="1629">
        <f>+Q27+S27</f>
        <v>4069.5059999999994</v>
      </c>
      <c r="V27" s="1630">
        <f>+R27+T27</f>
        <v>323.01499999999999</v>
      </c>
      <c r="W27" s="484">
        <v>498.97</v>
      </c>
      <c r="X27" s="1799">
        <v>0</v>
      </c>
      <c r="Y27" s="717">
        <f>+O27+S27+W27</f>
        <v>1051.45</v>
      </c>
      <c r="Z27" s="717">
        <f>+P27+T27+X27</f>
        <v>0</v>
      </c>
      <c r="AA27" s="429">
        <f>+M27+Y27</f>
        <v>4568.4759999999997</v>
      </c>
      <c r="AB27" s="429">
        <f>+N27+Z27</f>
        <v>323.01499999999999</v>
      </c>
      <c r="AC27" s="484">
        <v>279.98</v>
      </c>
      <c r="AD27" s="1799">
        <v>549.08699999999999</v>
      </c>
      <c r="AE27" s="1629">
        <f>+AA27+AC27</f>
        <v>4848.4560000000001</v>
      </c>
      <c r="AF27" s="1630">
        <f>+AB27+AD27</f>
        <v>872.10199999999998</v>
      </c>
      <c r="AG27" s="484">
        <v>273.99599999999998</v>
      </c>
      <c r="AH27" s="1799">
        <v>833.46900000000005</v>
      </c>
      <c r="AI27" s="1629">
        <f>+AE27+AG27</f>
        <v>5122.4520000000002</v>
      </c>
      <c r="AJ27" s="1630">
        <f>+AF27+AH27</f>
        <v>1705.5709999999999</v>
      </c>
      <c r="AK27" s="484">
        <v>279.98</v>
      </c>
      <c r="AL27" s="1799">
        <v>1510.7470000000001</v>
      </c>
      <c r="AM27" s="717">
        <f>+AC27+AG27+AK27</f>
        <v>833.95600000000002</v>
      </c>
      <c r="AN27" s="717">
        <f>+AD27+AH27+AL27</f>
        <v>2893.3029999999999</v>
      </c>
      <c r="AO27" s="57">
        <f t="shared" si="116"/>
        <v>5402.4320000000007</v>
      </c>
      <c r="AP27" s="57">
        <f t="shared" si="116"/>
        <v>3216.3180000000002</v>
      </c>
      <c r="AQ27" s="484">
        <v>282.97199999999998</v>
      </c>
      <c r="AR27" s="1799">
        <v>1549.45</v>
      </c>
      <c r="AS27" s="1629">
        <f>+AO27+AQ27</f>
        <v>5685.4040000000005</v>
      </c>
      <c r="AT27" s="1630">
        <f>+AP27+AR27</f>
        <v>4765.768</v>
      </c>
      <c r="AU27" s="484">
        <v>262.02800000000002</v>
      </c>
      <c r="AV27" s="1799">
        <v>755.40500000000009</v>
      </c>
      <c r="AW27" s="1629">
        <f>+AS27+AU27</f>
        <v>5947.4320000000007</v>
      </c>
      <c r="AX27" s="1630">
        <f>+AT27+AV27</f>
        <v>5521.1729999999998</v>
      </c>
      <c r="AY27" s="484">
        <v>282.97199999999998</v>
      </c>
      <c r="AZ27" s="1799">
        <v>209.86</v>
      </c>
      <c r="BA27" s="717">
        <f t="shared" ref="BA27:BA28" si="134">+AQ27+AU27+AY27</f>
        <v>827.97199999999998</v>
      </c>
      <c r="BB27" s="717">
        <f t="shared" ref="BB27:BB28" si="135">+AR27+AV27+AZ27</f>
        <v>2514.7150000000001</v>
      </c>
      <c r="BC27" s="429">
        <f t="shared" ref="BC27:BC28" si="136">AM27+BA27</f>
        <v>1661.9279999999999</v>
      </c>
      <c r="BD27" s="429">
        <f t="shared" ref="BD27:BD28" si="137">AN27+BB27</f>
        <v>5408.018</v>
      </c>
      <c r="BE27" s="57">
        <f t="shared" ref="BE27:BE28" si="138">AW27+AY27</f>
        <v>6230.4040000000005</v>
      </c>
      <c r="BF27" s="57">
        <f t="shared" ref="BF27:BF28" si="139">AX27+AZ27</f>
        <v>5731.0329999999994</v>
      </c>
      <c r="BH27" s="1590">
        <v>3541.3500000000004</v>
      </c>
      <c r="BI27" s="1590">
        <v>6386.3799999999992</v>
      </c>
      <c r="BJ27" s="1590">
        <v>2831.4999999999995</v>
      </c>
      <c r="BK27" s="1590">
        <v>7991.4859999999999</v>
      </c>
      <c r="BL27" s="1590">
        <v>2377.8719999999994</v>
      </c>
      <c r="BM27" s="1590">
        <v>6141.3949999999995</v>
      </c>
      <c r="BN27" s="1590">
        <v>5885.7340000000004</v>
      </c>
      <c r="BO27" s="1590">
        <v>2398.5599999999995</v>
      </c>
      <c r="BP27" s="1590">
        <v>13377.679</v>
      </c>
      <c r="BQ27" s="1590">
        <v>11568.989680591383</v>
      </c>
      <c r="BR27" s="1590">
        <v>41093.9</v>
      </c>
      <c r="BS27" s="1590">
        <v>0</v>
      </c>
      <c r="BT27" s="998">
        <v>44255.19</v>
      </c>
      <c r="BU27" s="3464"/>
      <c r="BV27" s="23"/>
      <c r="BW27" s="23"/>
      <c r="BX27" s="491"/>
      <c r="BY27" s="491"/>
    </row>
    <row r="28" spans="1:77" ht="15" customHeight="1" thickBot="1" x14ac:dyDescent="0.35">
      <c r="B28" s="1795" t="s">
        <v>345</v>
      </c>
      <c r="C28" s="1767" t="s">
        <v>50</v>
      </c>
      <c r="D28" s="1768">
        <v>1049580</v>
      </c>
      <c r="E28" s="1627">
        <v>72770.880000000005</v>
      </c>
      <c r="F28" s="1798">
        <v>73016.796365999995</v>
      </c>
      <c r="G28" s="1627">
        <v>63421.05</v>
      </c>
      <c r="H28" s="1798">
        <v>34000.934215000001</v>
      </c>
      <c r="I28" s="1629">
        <f>+E28+G28</f>
        <v>136191.93</v>
      </c>
      <c r="J28" s="1630">
        <f>+F28+H28</f>
        <v>107017.730581</v>
      </c>
      <c r="K28" s="1627">
        <v>92363.04</v>
      </c>
      <c r="L28" s="1798">
        <v>72846.055192</v>
      </c>
      <c r="M28" s="1631">
        <f>+E28+G28+K28</f>
        <v>228554.96999999997</v>
      </c>
      <c r="N28" s="1809">
        <f>+F28+H28+L28</f>
        <v>179863.78577299998</v>
      </c>
      <c r="O28" s="1627">
        <v>93462.6</v>
      </c>
      <c r="P28" s="1798">
        <v>75682.969600000011</v>
      </c>
      <c r="Q28" s="1629">
        <f>+M28+O28</f>
        <v>322017.56999999995</v>
      </c>
      <c r="R28" s="1630">
        <f>+N28+P28</f>
        <v>255546.75537299999</v>
      </c>
      <c r="S28" s="1627">
        <v>93462.6</v>
      </c>
      <c r="T28" s="1798">
        <v>80832.023354799981</v>
      </c>
      <c r="U28" s="1629">
        <f>+Q28+S28</f>
        <v>415480.16999999993</v>
      </c>
      <c r="V28" s="1630">
        <f>+R28+T28</f>
        <v>336378.7787278</v>
      </c>
      <c r="W28" s="1627">
        <v>51312.800000000003</v>
      </c>
      <c r="X28" s="1798">
        <v>79584.048650599972</v>
      </c>
      <c r="Y28" s="717">
        <f>+O28+S28+W28</f>
        <v>238238</v>
      </c>
      <c r="Z28" s="717">
        <f>+P28+T28+X28</f>
        <v>236099.04160539998</v>
      </c>
      <c r="AA28" s="429">
        <f>+M28+Y28</f>
        <v>466792.97</v>
      </c>
      <c r="AB28" s="429">
        <f>+N28+Z28</f>
        <v>415962.82737839996</v>
      </c>
      <c r="AC28" s="1627">
        <v>95295.2</v>
      </c>
      <c r="AD28" s="1798">
        <v>63840.921898000001</v>
      </c>
      <c r="AE28" s="1629">
        <f>+AA28+AC28</f>
        <v>562088.16999999993</v>
      </c>
      <c r="AF28" s="1630">
        <f>+AB28+AD28</f>
        <v>479803.74927639996</v>
      </c>
      <c r="AG28" s="1627">
        <v>92363.04</v>
      </c>
      <c r="AH28" s="1798">
        <v>88321.763468000005</v>
      </c>
      <c r="AI28" s="1629">
        <f>+AE28+AG28</f>
        <v>654451.21</v>
      </c>
      <c r="AJ28" s="1630">
        <f>+AF28+AH28</f>
        <v>568125.51274439995</v>
      </c>
      <c r="AK28" s="1627">
        <v>95295.2</v>
      </c>
      <c r="AL28" s="1798">
        <v>84104.854628999979</v>
      </c>
      <c r="AM28" s="717">
        <f>+AC28+AG28+AK28</f>
        <v>282953.44</v>
      </c>
      <c r="AN28" s="717">
        <f>+AD28+AH28+AL28</f>
        <v>236267.53999499997</v>
      </c>
      <c r="AO28" s="57">
        <f t="shared" ref="AO28:AP30" si="140">AI28+AK28</f>
        <v>749746.40999999992</v>
      </c>
      <c r="AP28" s="57">
        <f t="shared" ref="AP28" si="141">AJ28+AL28</f>
        <v>652230.3673733999</v>
      </c>
      <c r="AQ28" s="1627">
        <v>96761.279999999999</v>
      </c>
      <c r="AR28" s="1798">
        <v>81040.671480000005</v>
      </c>
      <c r="AS28" s="1629">
        <f>+AO28+AQ28</f>
        <v>846507.69</v>
      </c>
      <c r="AT28" s="1630">
        <f>+AP28+AR28</f>
        <v>733271.03885339992</v>
      </c>
      <c r="AU28" s="1627">
        <v>86498.72</v>
      </c>
      <c r="AV28" s="1798">
        <v>67236.848248000024</v>
      </c>
      <c r="AW28" s="1629">
        <f>+AS28+AU28</f>
        <v>933006.40999999992</v>
      </c>
      <c r="AX28" s="1630">
        <f>+AT28+AV28</f>
        <v>800507.88710139995</v>
      </c>
      <c r="AY28" s="1627">
        <v>96761.279999999999</v>
      </c>
      <c r="AZ28" s="1798">
        <v>71373.051535000021</v>
      </c>
      <c r="BA28" s="717">
        <f t="shared" si="134"/>
        <v>280021.28000000003</v>
      </c>
      <c r="BB28" s="717">
        <f t="shared" si="135"/>
        <v>219650.57126300008</v>
      </c>
      <c r="BC28" s="429">
        <f t="shared" si="136"/>
        <v>562974.71999999997</v>
      </c>
      <c r="BD28" s="429">
        <f t="shared" si="137"/>
        <v>455918.11125800002</v>
      </c>
      <c r="BE28" s="57">
        <f t="shared" si="138"/>
        <v>1029767.69</v>
      </c>
      <c r="BF28" s="57">
        <f t="shared" si="139"/>
        <v>871880.93863639992</v>
      </c>
      <c r="BH28" s="1590">
        <v>1081234</v>
      </c>
      <c r="BI28" s="1590">
        <v>911237.58508839994</v>
      </c>
      <c r="BJ28" s="1590">
        <v>987899.89462592197</v>
      </c>
      <c r="BK28" s="1590">
        <v>899258.75527899992</v>
      </c>
      <c r="BL28" s="1590">
        <v>1063046.9968387778</v>
      </c>
      <c r="BM28" s="1590">
        <v>1075244.6396029999</v>
      </c>
      <c r="BN28" s="1590">
        <v>1065593.0052819999</v>
      </c>
      <c r="BO28" s="1590">
        <v>157305.11720405263</v>
      </c>
      <c r="BP28" s="1590">
        <v>920129.29913014814</v>
      </c>
      <c r="BQ28" s="1590">
        <v>882599.96545301133</v>
      </c>
      <c r="BR28" s="1590">
        <v>776699</v>
      </c>
      <c r="BS28" s="1590">
        <v>854657.99999999988</v>
      </c>
      <c r="BT28" s="998">
        <v>809638.20576449996</v>
      </c>
      <c r="BU28" s="3464"/>
      <c r="BV28" s="23"/>
      <c r="BW28" s="23"/>
      <c r="BX28" s="491"/>
      <c r="BY28" s="491"/>
    </row>
    <row r="29" spans="1:77" ht="15" customHeight="1" x14ac:dyDescent="0.3">
      <c r="B29" t="s">
        <v>31</v>
      </c>
    </row>
    <row r="30" spans="1:77" ht="15" customHeight="1" x14ac:dyDescent="0.3">
      <c r="B30" s="1776" t="s">
        <v>34</v>
      </c>
      <c r="C30" s="1758" t="s">
        <v>50</v>
      </c>
      <c r="D30" s="2262">
        <v>520000</v>
      </c>
      <c r="E30" s="1225">
        <v>36500</v>
      </c>
      <c r="F30" s="17">
        <f>+WRM!F159</f>
        <v>41532.999999999985</v>
      </c>
      <c r="G30" s="1225">
        <v>37500</v>
      </c>
      <c r="H30" s="17">
        <f>+WRM!H159</f>
        <v>21522.950000000004</v>
      </c>
      <c r="I30" s="57">
        <f t="shared" ref="I30:J32" si="142">+E30+G30</f>
        <v>74000</v>
      </c>
      <c r="J30" s="35">
        <f t="shared" si="142"/>
        <v>63055.94999999999</v>
      </c>
      <c r="K30" s="1225">
        <v>42500</v>
      </c>
      <c r="L30" s="17">
        <f>+WRM!L159</f>
        <v>38291.349999999991</v>
      </c>
      <c r="M30" s="68">
        <f t="shared" ref="M30:N32" si="143">+E30+G30+K30</f>
        <v>116500</v>
      </c>
      <c r="N30" s="65">
        <f t="shared" si="143"/>
        <v>101347.29999999999</v>
      </c>
      <c r="O30" s="1225">
        <v>44000</v>
      </c>
      <c r="P30" s="17">
        <f>+WRM!P159</f>
        <v>47063.899999999994</v>
      </c>
      <c r="Q30" s="57">
        <f t="shared" ref="Q30:R32" si="144">+M30+O30</f>
        <v>160500</v>
      </c>
      <c r="R30" s="35">
        <f t="shared" si="144"/>
        <v>148411.19999999998</v>
      </c>
      <c r="S30" s="1225">
        <v>44000</v>
      </c>
      <c r="T30" s="17">
        <f>+WRM!T159</f>
        <v>38718.350000000006</v>
      </c>
      <c r="U30" s="57">
        <f t="shared" ref="U30:U32" si="145">+Q30+S30</f>
        <v>204500</v>
      </c>
      <c r="V30" s="35">
        <f t="shared" ref="V30:V32" si="146">+R30+T30</f>
        <v>187129.55</v>
      </c>
      <c r="W30" s="1225">
        <v>25000</v>
      </c>
      <c r="X30" s="17">
        <f>+WRM!X159</f>
        <v>41006.150000000009</v>
      </c>
      <c r="Y30" s="717">
        <f t="shared" ref="Y30:Z32" si="147">+O30+S30+W30</f>
        <v>113000</v>
      </c>
      <c r="Z30" s="717">
        <f t="shared" si="147"/>
        <v>126788.40000000001</v>
      </c>
      <c r="AA30" s="429">
        <f t="shared" ref="AA30:AB32" si="148">+M30+Y30</f>
        <v>229500</v>
      </c>
      <c r="AB30" s="429">
        <f t="shared" si="148"/>
        <v>228135.7</v>
      </c>
      <c r="AC30" s="1225">
        <v>42500</v>
      </c>
      <c r="AD30" s="17">
        <f>+WRM!AD159</f>
        <v>30034.550000000003</v>
      </c>
      <c r="AE30" s="57">
        <f t="shared" ref="AE30:AE32" si="149">+AA30+AC30</f>
        <v>272000</v>
      </c>
      <c r="AF30" s="35">
        <f t="shared" ref="AF30:AF32" si="150">+AB30+AD30</f>
        <v>258170.25</v>
      </c>
      <c r="AG30" s="1225">
        <v>42500</v>
      </c>
      <c r="AH30" s="17">
        <f>+WRM!AH159</f>
        <v>34614.250000000007</v>
      </c>
      <c r="AI30" s="57">
        <f t="shared" ref="AI30:AI32" si="151">+AE30+AG30</f>
        <v>314500</v>
      </c>
      <c r="AJ30" s="35">
        <f t="shared" ref="AJ30:AJ32" si="152">+AF30+AH30</f>
        <v>292784.5</v>
      </c>
      <c r="AK30" s="1225">
        <v>44000</v>
      </c>
      <c r="AL30" s="17">
        <f>+WRM!AL159</f>
        <v>44007.350000000013</v>
      </c>
      <c r="AM30" s="717">
        <f t="shared" ref="AM30:AM32" si="153">+AC30+AG30+AK30</f>
        <v>129000</v>
      </c>
      <c r="AN30" s="717">
        <f t="shared" ref="AN30:AN32" si="154">+AD30+AH30+AL30</f>
        <v>108656.15000000002</v>
      </c>
      <c r="AO30" s="57">
        <f t="shared" si="140"/>
        <v>358500</v>
      </c>
      <c r="AP30" s="57">
        <f t="shared" si="140"/>
        <v>336791.85000000003</v>
      </c>
      <c r="AQ30" s="1225">
        <v>44500</v>
      </c>
      <c r="AR30" s="17">
        <f>+WRM!AR159</f>
        <v>44589.550000000017</v>
      </c>
      <c r="AS30" s="57">
        <f t="shared" ref="AS30:AS32" si="155">+AO30+AQ30</f>
        <v>403000</v>
      </c>
      <c r="AT30" s="35">
        <f t="shared" ref="AT30:AT32" si="156">+AP30+AR30</f>
        <v>381381.4</v>
      </c>
      <c r="AU30" s="1225">
        <v>40000</v>
      </c>
      <c r="AV30" s="17">
        <f>+WRM!AV159</f>
        <v>37420.700000000019</v>
      </c>
      <c r="AW30" s="57">
        <f t="shared" ref="AW30:AW32" si="157">+AS30+AU30</f>
        <v>443000</v>
      </c>
      <c r="AX30" s="35">
        <f t="shared" ref="AX30:AX32" si="158">+AT30+AV30</f>
        <v>418802.10000000003</v>
      </c>
      <c r="AY30" s="1225">
        <v>44500</v>
      </c>
      <c r="AZ30" s="17">
        <f>+WRM!AZ159</f>
        <v>46692.85</v>
      </c>
      <c r="BA30" s="717">
        <f t="shared" ref="BA30:BA32" si="159">+AQ30+AU30+AY30</f>
        <v>129000</v>
      </c>
      <c r="BB30" s="717">
        <f t="shared" ref="BB30:BB32" si="160">+AR30+AV30+AZ30</f>
        <v>128703.10000000003</v>
      </c>
      <c r="BC30" s="429">
        <f t="shared" ref="BC30:BC32" si="161">AM30+BA30</f>
        <v>258000</v>
      </c>
      <c r="BD30" s="429">
        <f t="shared" ref="BD30:BD32" si="162">AN30+BB30</f>
        <v>237359.25000000006</v>
      </c>
      <c r="BE30" s="57">
        <f t="shared" ref="BE30:BE32" si="163">AW30+AY30</f>
        <v>487500</v>
      </c>
      <c r="BF30" s="57">
        <f t="shared" ref="BF30:BF32" si="164">AX30+AZ30</f>
        <v>465494.95</v>
      </c>
      <c r="BH30" s="1590">
        <v>500000</v>
      </c>
      <c r="BI30" s="1590">
        <v>478532.93</v>
      </c>
      <c r="BJ30" s="1590">
        <v>500000</v>
      </c>
      <c r="BK30" s="1590">
        <v>459030.64</v>
      </c>
      <c r="BL30" s="1590">
        <v>500000</v>
      </c>
      <c r="BM30" s="1590">
        <v>478528.38500000013</v>
      </c>
      <c r="BN30" s="1590">
        <v>466114.65</v>
      </c>
      <c r="BO30" s="1590">
        <v>500000</v>
      </c>
      <c r="BP30" s="1590">
        <v>465343.766</v>
      </c>
      <c r="BQ30" s="1590">
        <v>435965.96179320005</v>
      </c>
      <c r="BR30" s="1590">
        <v>356518.65800000005</v>
      </c>
      <c r="BS30" s="1590">
        <v>500000</v>
      </c>
      <c r="BT30" s="998">
        <v>412025.22</v>
      </c>
      <c r="BU30" s="3464"/>
      <c r="BV30" s="23"/>
      <c r="BW30" s="23"/>
      <c r="BX30" s="491"/>
      <c r="BY30" s="491"/>
    </row>
    <row r="31" spans="1:77" ht="15" customHeight="1" x14ac:dyDescent="0.3">
      <c r="B31" s="1776" t="s">
        <v>343</v>
      </c>
      <c r="C31" s="1758" t="s">
        <v>50</v>
      </c>
      <c r="D31" s="2262">
        <v>990000</v>
      </c>
      <c r="E31" s="1225">
        <v>68500</v>
      </c>
      <c r="F31" s="17">
        <f>+BM!F56</f>
        <v>74661.040000000066</v>
      </c>
      <c r="G31" s="1225">
        <v>71000</v>
      </c>
      <c r="H31" s="17">
        <f>+BM!H56</f>
        <v>33192.920000000035</v>
      </c>
      <c r="I31" s="57">
        <f t="shared" si="142"/>
        <v>139500</v>
      </c>
      <c r="J31" s="35">
        <f t="shared" si="142"/>
        <v>107853.96000000011</v>
      </c>
      <c r="K31" s="1225">
        <v>76000</v>
      </c>
      <c r="L31" s="17">
        <f>+BM!L56</f>
        <v>73644.015000000058</v>
      </c>
      <c r="M31" s="68">
        <f t="shared" si="143"/>
        <v>215500</v>
      </c>
      <c r="N31" s="65">
        <f t="shared" si="143"/>
        <v>181497.97500000015</v>
      </c>
      <c r="O31" s="1225">
        <v>79000</v>
      </c>
      <c r="P31" s="17">
        <f>+BM!P56</f>
        <v>88056.490000000107</v>
      </c>
      <c r="Q31" s="57">
        <f t="shared" si="144"/>
        <v>294500</v>
      </c>
      <c r="R31" s="35">
        <f t="shared" si="144"/>
        <v>269554.46500000026</v>
      </c>
      <c r="S31" s="1225">
        <v>79000</v>
      </c>
      <c r="T31" s="17">
        <f>+BM!T56</f>
        <v>75853.695000000036</v>
      </c>
      <c r="U31" s="57">
        <f t="shared" si="145"/>
        <v>373500</v>
      </c>
      <c r="V31" s="35">
        <f t="shared" si="146"/>
        <v>345408.16000000027</v>
      </c>
      <c r="W31" s="1225">
        <f>47.5*1000</f>
        <v>47500</v>
      </c>
      <c r="X31" s="17">
        <f>+BM!X56</f>
        <v>76319.035000000062</v>
      </c>
      <c r="Y31" s="717">
        <f t="shared" si="147"/>
        <v>205500</v>
      </c>
      <c r="Z31" s="717">
        <f t="shared" si="147"/>
        <v>240229.2200000002</v>
      </c>
      <c r="AA31" s="429">
        <f t="shared" si="148"/>
        <v>421000</v>
      </c>
      <c r="AB31" s="429">
        <f t="shared" si="148"/>
        <v>421727.19500000036</v>
      </c>
      <c r="AC31" s="1225">
        <v>78000</v>
      </c>
      <c r="AD31" s="17">
        <f>+BM!AD56</f>
        <v>50950.275000000081</v>
      </c>
      <c r="AE31" s="57">
        <f t="shared" si="149"/>
        <v>499000</v>
      </c>
      <c r="AF31" s="35">
        <f t="shared" si="150"/>
        <v>472677.47000000044</v>
      </c>
      <c r="AG31" s="1225">
        <v>76000</v>
      </c>
      <c r="AH31" s="17">
        <f>+BM!AH56</f>
        <v>69720.765000000058</v>
      </c>
      <c r="AI31" s="57">
        <f t="shared" si="151"/>
        <v>575000</v>
      </c>
      <c r="AJ31" s="35">
        <f t="shared" si="152"/>
        <v>542398.23500000045</v>
      </c>
      <c r="AK31" s="1225">
        <v>79000</v>
      </c>
      <c r="AL31" s="17">
        <f>+BM!AL56</f>
        <v>81616.765000000145</v>
      </c>
      <c r="AM31" s="717">
        <f t="shared" si="153"/>
        <v>233000</v>
      </c>
      <c r="AN31" s="717">
        <f t="shared" si="154"/>
        <v>202287.80500000028</v>
      </c>
      <c r="AO31" s="57">
        <f t="shared" ref="AO31:AP34" si="165">AI31+AK31</f>
        <v>654000</v>
      </c>
      <c r="AP31" s="57">
        <f t="shared" ref="AP31:AP32" si="166">AJ31+AL31</f>
        <v>624015.00000000058</v>
      </c>
      <c r="AQ31" s="1225">
        <v>79000</v>
      </c>
      <c r="AR31" s="17">
        <f>+BM!AR56</f>
        <v>85804.600000000122</v>
      </c>
      <c r="AS31" s="57">
        <f t="shared" si="155"/>
        <v>733000</v>
      </c>
      <c r="AT31" s="35">
        <f t="shared" si="156"/>
        <v>709819.60000000068</v>
      </c>
      <c r="AU31" s="1225">
        <v>71500</v>
      </c>
      <c r="AV31" s="17">
        <f>+BM!AV56</f>
        <v>74058.320000000094</v>
      </c>
      <c r="AW31" s="57">
        <f t="shared" si="157"/>
        <v>804500</v>
      </c>
      <c r="AX31" s="35">
        <f t="shared" si="158"/>
        <v>783877.92000000074</v>
      </c>
      <c r="AY31" s="1225">
        <v>80000</v>
      </c>
      <c r="AZ31" s="17">
        <f>+BM!AZ56</f>
        <v>81200</v>
      </c>
      <c r="BA31" s="717">
        <f t="shared" si="159"/>
        <v>230500</v>
      </c>
      <c r="BB31" s="717">
        <f t="shared" si="160"/>
        <v>241062.92000000022</v>
      </c>
      <c r="BC31" s="429">
        <f t="shared" si="161"/>
        <v>463500</v>
      </c>
      <c r="BD31" s="429">
        <f t="shared" si="162"/>
        <v>443350.7250000005</v>
      </c>
      <c r="BE31" s="57">
        <f t="shared" si="163"/>
        <v>884500</v>
      </c>
      <c r="BF31" s="57">
        <f t="shared" si="164"/>
        <v>865077.92000000074</v>
      </c>
      <c r="BH31" s="1590">
        <v>900000</v>
      </c>
      <c r="BI31" s="1590">
        <v>900295.05000000075</v>
      </c>
      <c r="BJ31" s="1590">
        <v>870000</v>
      </c>
      <c r="BK31" s="1590">
        <v>750867.84800000093</v>
      </c>
      <c r="BL31" s="1590">
        <v>850000</v>
      </c>
      <c r="BM31" s="1590">
        <v>795322.27300000074</v>
      </c>
      <c r="BN31" s="1590">
        <v>775906.62549999985</v>
      </c>
      <c r="BO31" s="1590">
        <v>750000</v>
      </c>
      <c r="BP31" s="1590">
        <v>649840.96399999992</v>
      </c>
      <c r="BQ31" s="1590">
        <v>674875.14</v>
      </c>
      <c r="BR31" s="1590">
        <v>440547.26999999996</v>
      </c>
      <c r="BS31" s="1590">
        <v>800000</v>
      </c>
      <c r="BT31" s="998">
        <v>632220.18000000005</v>
      </c>
      <c r="BU31" s="3464"/>
      <c r="BV31" s="23"/>
      <c r="BW31" s="23"/>
      <c r="BX31" s="491"/>
      <c r="BY31" s="491"/>
    </row>
    <row r="32" spans="1:77" ht="15" customHeight="1" x14ac:dyDescent="0.3">
      <c r="B32" s="1776" t="s">
        <v>109</v>
      </c>
      <c r="C32" s="1758" t="s">
        <v>50</v>
      </c>
      <c r="D32" s="2262">
        <v>850000</v>
      </c>
      <c r="E32" s="1225">
        <v>56000</v>
      </c>
      <c r="F32" s="17">
        <f>+USM!G121</f>
        <v>52520.054000000011</v>
      </c>
      <c r="G32" s="1225">
        <v>59500</v>
      </c>
      <c r="H32" s="17">
        <f>+USM!I121</f>
        <v>10535.918</v>
      </c>
      <c r="I32" s="57">
        <f t="shared" si="142"/>
        <v>115500</v>
      </c>
      <c r="J32" s="35">
        <f t="shared" si="142"/>
        <v>63055.972000000009</v>
      </c>
      <c r="K32" s="1225">
        <v>62500</v>
      </c>
      <c r="L32" s="17">
        <f>+USM!M121</f>
        <v>58674.632999999994</v>
      </c>
      <c r="M32" s="68">
        <f t="shared" si="143"/>
        <v>178000</v>
      </c>
      <c r="N32" s="65">
        <f t="shared" si="143"/>
        <v>121730.60500000001</v>
      </c>
      <c r="O32" s="1225">
        <v>65000</v>
      </c>
      <c r="P32" s="17">
        <f>+USM!Q121</f>
        <v>57327.387000000002</v>
      </c>
      <c r="Q32" s="57">
        <f t="shared" si="144"/>
        <v>243000</v>
      </c>
      <c r="R32" s="35">
        <f t="shared" si="144"/>
        <v>179057.99200000003</v>
      </c>
      <c r="S32" s="1225">
        <v>65000</v>
      </c>
      <c r="T32" s="17">
        <f>+USM!U121</f>
        <v>44406.292999999998</v>
      </c>
      <c r="U32" s="57">
        <f t="shared" si="145"/>
        <v>308000</v>
      </c>
      <c r="V32" s="35">
        <f t="shared" si="146"/>
        <v>223464.28500000003</v>
      </c>
      <c r="W32" s="1225">
        <v>33500</v>
      </c>
      <c r="X32" s="17">
        <f>+USM!Y121</f>
        <v>49996.715999999993</v>
      </c>
      <c r="Y32" s="717">
        <f t="shared" si="147"/>
        <v>163500</v>
      </c>
      <c r="Z32" s="717">
        <f t="shared" si="147"/>
        <v>151730.39599999998</v>
      </c>
      <c r="AA32" s="429">
        <f t="shared" si="148"/>
        <v>341500</v>
      </c>
      <c r="AB32" s="429">
        <f t="shared" si="148"/>
        <v>273461.00099999999</v>
      </c>
      <c r="AC32" s="1225">
        <v>67000</v>
      </c>
      <c r="AD32" s="17">
        <f>+USM!AE121</f>
        <v>29659.897000000008</v>
      </c>
      <c r="AE32" s="57">
        <f t="shared" si="149"/>
        <v>408500</v>
      </c>
      <c r="AF32" s="35">
        <f t="shared" si="150"/>
        <v>303120.89799999999</v>
      </c>
      <c r="AG32" s="1225">
        <v>65000</v>
      </c>
      <c r="AH32" s="17">
        <f>+USM!AI121</f>
        <v>49060.044000000016</v>
      </c>
      <c r="AI32" s="57">
        <f t="shared" si="151"/>
        <v>473500</v>
      </c>
      <c r="AJ32" s="35">
        <f t="shared" si="152"/>
        <v>352180.94199999998</v>
      </c>
      <c r="AK32" s="1225">
        <f>67.5*1000</f>
        <v>67500</v>
      </c>
      <c r="AL32" s="17">
        <f>+USM!AM121</f>
        <v>52987.18</v>
      </c>
      <c r="AM32" s="717">
        <f t="shared" si="153"/>
        <v>199500</v>
      </c>
      <c r="AN32" s="717">
        <f t="shared" si="154"/>
        <v>131707.12100000001</v>
      </c>
      <c r="AO32" s="57">
        <f t="shared" si="165"/>
        <v>541000</v>
      </c>
      <c r="AP32" s="57">
        <f t="shared" si="166"/>
        <v>405168.12199999997</v>
      </c>
      <c r="AQ32" s="1225">
        <v>68000</v>
      </c>
      <c r="AR32" s="17">
        <f>+USM!AS121</f>
        <v>56169.977999999988</v>
      </c>
      <c r="AS32" s="57">
        <f t="shared" si="155"/>
        <v>609000</v>
      </c>
      <c r="AT32" s="35">
        <f t="shared" si="156"/>
        <v>461338.1</v>
      </c>
      <c r="AU32" s="1225">
        <v>61000</v>
      </c>
      <c r="AV32" s="17">
        <f>+USM!AW121</f>
        <v>54279.397999999994</v>
      </c>
      <c r="AW32" s="57">
        <f t="shared" si="157"/>
        <v>670000</v>
      </c>
      <c r="AX32" s="35">
        <f t="shared" si="158"/>
        <v>515617.49799999996</v>
      </c>
      <c r="AY32" s="1225">
        <v>68500</v>
      </c>
      <c r="AZ32" s="17">
        <f>+USM!BA121</f>
        <v>63120.145999999993</v>
      </c>
      <c r="BA32" s="717">
        <f t="shared" si="159"/>
        <v>197500</v>
      </c>
      <c r="BB32" s="717">
        <f t="shared" si="160"/>
        <v>173569.522</v>
      </c>
      <c r="BC32" s="429">
        <f t="shared" si="161"/>
        <v>397000</v>
      </c>
      <c r="BD32" s="429">
        <f t="shared" si="162"/>
        <v>305276.64300000004</v>
      </c>
      <c r="BE32" s="57">
        <f t="shared" si="163"/>
        <v>738500</v>
      </c>
      <c r="BF32" s="57">
        <f t="shared" si="164"/>
        <v>578737.64399999997</v>
      </c>
      <c r="BH32" s="1590">
        <v>750000</v>
      </c>
      <c r="BI32" s="1590">
        <v>622444.59299999988</v>
      </c>
      <c r="BJ32" s="1590">
        <v>560000</v>
      </c>
      <c r="BK32" s="1590">
        <v>499887.228</v>
      </c>
      <c r="BL32" s="1590">
        <v>525000</v>
      </c>
      <c r="BM32" s="1590">
        <v>459141.95204</v>
      </c>
      <c r="BN32" s="1590">
        <v>361987.55812</v>
      </c>
      <c r="BO32" s="1590">
        <v>450000</v>
      </c>
      <c r="BP32" s="1590">
        <v>213226.16405321387</v>
      </c>
      <c r="BQ32" s="1590">
        <v>220000</v>
      </c>
      <c r="BR32" s="1590">
        <v>88943.894138990887</v>
      </c>
      <c r="BS32" s="1590">
        <v>535000</v>
      </c>
      <c r="BT32" s="998">
        <v>171634.81128897145</v>
      </c>
      <c r="BU32" s="3464"/>
      <c r="BV32" s="23"/>
      <c r="BW32" s="23"/>
      <c r="BX32" s="491"/>
      <c r="BY32" s="491"/>
    </row>
    <row r="33" spans="1:77" ht="15" customHeight="1" thickBot="1" x14ac:dyDescent="0.35">
      <c r="B33" s="1777" t="s">
        <v>645</v>
      </c>
      <c r="C33" s="1771" t="s">
        <v>50</v>
      </c>
      <c r="D33" s="1763">
        <f t="shared" ref="D33:N33" si="167">SUM(D30:D32)</f>
        <v>2360000</v>
      </c>
      <c r="E33" s="1567">
        <f t="shared" si="167"/>
        <v>161000</v>
      </c>
      <c r="F33" s="1800">
        <f t="shared" si="167"/>
        <v>168714.09400000007</v>
      </c>
      <c r="G33" s="1567">
        <f t="shared" ref="G33:H33" si="168">SUM(G30:G32)</f>
        <v>168000</v>
      </c>
      <c r="H33" s="1800">
        <f t="shared" si="168"/>
        <v>65251.788000000037</v>
      </c>
      <c r="I33" s="1802">
        <f t="shared" si="167"/>
        <v>329000</v>
      </c>
      <c r="J33" s="1772">
        <f t="shared" si="167"/>
        <v>233965.8820000001</v>
      </c>
      <c r="K33" s="1567">
        <f t="shared" ref="K33:L33" si="169">SUM(K30:K32)</f>
        <v>181000</v>
      </c>
      <c r="L33" s="1800">
        <f t="shared" si="169"/>
        <v>170609.99800000005</v>
      </c>
      <c r="M33" s="1810">
        <f t="shared" si="167"/>
        <v>510000</v>
      </c>
      <c r="N33" s="1811">
        <f t="shared" si="167"/>
        <v>404575.88000000012</v>
      </c>
      <c r="O33" s="1567">
        <f t="shared" ref="O33:P33" si="170">SUM(O30:O32)</f>
        <v>188000</v>
      </c>
      <c r="P33" s="1800">
        <f t="shared" si="170"/>
        <v>192447.77700000012</v>
      </c>
      <c r="Q33" s="1802">
        <f>SUM(Q30:Q32)</f>
        <v>698000</v>
      </c>
      <c r="R33" s="1772">
        <f>SUM(R30:R32)</f>
        <v>597023.65700000036</v>
      </c>
      <c r="S33" s="1567">
        <f t="shared" ref="S33:T33" si="171">SUM(S30:S32)</f>
        <v>188000</v>
      </c>
      <c r="T33" s="1800">
        <f t="shared" si="171"/>
        <v>158978.33800000005</v>
      </c>
      <c r="U33" s="1802">
        <f t="shared" ref="U33:X33" si="172">SUM(U30:U32)</f>
        <v>886000</v>
      </c>
      <c r="V33" s="1772">
        <f t="shared" si="172"/>
        <v>756001.99500000023</v>
      </c>
      <c r="W33" s="1567">
        <f t="shared" si="172"/>
        <v>106000</v>
      </c>
      <c r="X33" s="1800">
        <f t="shared" si="172"/>
        <v>167321.90100000007</v>
      </c>
      <c r="Y33" s="346">
        <f>SUM(Y30:Y32)</f>
        <v>482000</v>
      </c>
      <c r="Z33" s="346">
        <f>SUM(Z30:Z32)</f>
        <v>518748.01600000018</v>
      </c>
      <c r="AA33" s="502">
        <f>SUM(AA30:AA32)</f>
        <v>992000</v>
      </c>
      <c r="AB33" s="502">
        <f>SUM(AB30:AB32)</f>
        <v>923323.89600000042</v>
      </c>
      <c r="AC33" s="1567">
        <f t="shared" ref="AC33:AD33" si="173">SUM(AC30:AC32)</f>
        <v>187500</v>
      </c>
      <c r="AD33" s="1800">
        <f t="shared" si="173"/>
        <v>110644.7220000001</v>
      </c>
      <c r="AE33" s="1802">
        <f t="shared" ref="AE33:AH33" si="174">SUM(AE30:AE32)</f>
        <v>1179500</v>
      </c>
      <c r="AF33" s="1772">
        <f t="shared" si="174"/>
        <v>1033968.6180000005</v>
      </c>
      <c r="AG33" s="1567">
        <f t="shared" si="174"/>
        <v>183500</v>
      </c>
      <c r="AH33" s="1800">
        <f t="shared" si="174"/>
        <v>153395.0590000001</v>
      </c>
      <c r="AI33" s="1802">
        <f t="shared" ref="AI33:AL33" si="175">SUM(AI30:AI32)</f>
        <v>1363000</v>
      </c>
      <c r="AJ33" s="1772">
        <f t="shared" si="175"/>
        <v>1187363.6770000004</v>
      </c>
      <c r="AK33" s="1567">
        <f t="shared" si="175"/>
        <v>190500</v>
      </c>
      <c r="AL33" s="1800">
        <f t="shared" si="175"/>
        <v>178611.29500000016</v>
      </c>
      <c r="AM33" s="346">
        <f t="shared" ref="AM33:AN33" si="176">SUM(AM30:AM32)</f>
        <v>561500</v>
      </c>
      <c r="AN33" s="346">
        <f t="shared" si="176"/>
        <v>442651.07600000035</v>
      </c>
      <c r="AO33" s="1802">
        <f t="shared" ref="AO33:AT33" si="177">SUM(AO30:AO32)</f>
        <v>1553500</v>
      </c>
      <c r="AP33" s="1772">
        <f t="shared" si="177"/>
        <v>1365974.9720000005</v>
      </c>
      <c r="AQ33" s="1567">
        <f t="shared" si="177"/>
        <v>191500</v>
      </c>
      <c r="AR33" s="1800">
        <f t="shared" si="177"/>
        <v>186564.12800000014</v>
      </c>
      <c r="AS33" s="1802">
        <f t="shared" si="177"/>
        <v>1745000</v>
      </c>
      <c r="AT33" s="1772">
        <f t="shared" si="177"/>
        <v>1552539.1000000006</v>
      </c>
      <c r="AU33" s="1567">
        <f t="shared" ref="AU33:AV33" si="178">SUM(AU30:AU32)</f>
        <v>172500</v>
      </c>
      <c r="AV33" s="1800">
        <f t="shared" si="178"/>
        <v>165758.41800000009</v>
      </c>
      <c r="AW33" s="1802">
        <f t="shared" ref="AW33:AZ33" si="179">SUM(AW30:AW32)</f>
        <v>1917500</v>
      </c>
      <c r="AX33" s="1772">
        <f t="shared" si="179"/>
        <v>1718297.5180000006</v>
      </c>
      <c r="AY33" s="1567">
        <f t="shared" si="179"/>
        <v>193000</v>
      </c>
      <c r="AZ33" s="1800">
        <f t="shared" si="179"/>
        <v>191012.99599999998</v>
      </c>
      <c r="BA33" s="346">
        <f t="shared" ref="BA33:BD33" si="180">SUM(BA30:BA32)</f>
        <v>557000</v>
      </c>
      <c r="BB33" s="346">
        <f t="shared" si="180"/>
        <v>543335.54200000025</v>
      </c>
      <c r="BC33" s="502">
        <f t="shared" si="180"/>
        <v>1118500</v>
      </c>
      <c r="BD33" s="502">
        <f t="shared" si="180"/>
        <v>985986.6180000006</v>
      </c>
      <c r="BE33" s="1802">
        <f t="shared" ref="BE33:BF33" si="181">SUM(BE30:BE32)</f>
        <v>2110500</v>
      </c>
      <c r="BF33" s="1772">
        <f t="shared" si="181"/>
        <v>1909310.5140000009</v>
      </c>
      <c r="BH33" s="1373">
        <v>2150000</v>
      </c>
      <c r="BI33" s="1373">
        <v>2001272.5730000006</v>
      </c>
      <c r="BJ33" s="1373">
        <v>1930000</v>
      </c>
      <c r="BK33" s="1373">
        <v>1709785.7160000009</v>
      </c>
      <c r="BL33" s="1373">
        <v>1875000</v>
      </c>
      <c r="BM33" s="1373">
        <v>1732992.6100400006</v>
      </c>
      <c r="BN33" s="1373">
        <v>1604008.8336199999</v>
      </c>
      <c r="BO33" s="1373">
        <v>1700000</v>
      </c>
      <c r="BP33" s="1373">
        <v>1328410.8940532138</v>
      </c>
      <c r="BQ33" s="1373">
        <v>1330841.1017932</v>
      </c>
      <c r="BR33" s="1373">
        <v>886009.82213899097</v>
      </c>
      <c r="BS33" s="1373">
        <f>SUM(BS30:BS32)</f>
        <v>1835000</v>
      </c>
      <c r="BT33" s="4811">
        <f>SUM(BT30:BT32)</f>
        <v>1215880.2112889714</v>
      </c>
      <c r="BU33" s="3464"/>
      <c r="BV33" s="23"/>
      <c r="BW33" s="23"/>
      <c r="BX33" s="491"/>
      <c r="BY33" s="491"/>
    </row>
    <row r="34" spans="1:77" ht="15" customHeight="1" x14ac:dyDescent="0.3">
      <c r="B34" s="1775" t="s">
        <v>646</v>
      </c>
      <c r="C34" s="1773" t="s">
        <v>50</v>
      </c>
      <c r="D34" s="1774">
        <v>349999.98851223482</v>
      </c>
      <c r="E34" s="337">
        <v>20999.683707758697</v>
      </c>
      <c r="F34" s="83">
        <f>38395.02-12</f>
        <v>38383.019999999997</v>
      </c>
      <c r="G34" s="337">
        <v>0.35686330405587796</v>
      </c>
      <c r="H34" s="83">
        <f>19481.02-67</f>
        <v>19414.02</v>
      </c>
      <c r="I34" s="657">
        <f>+E34+G34</f>
        <v>21000.040571062753</v>
      </c>
      <c r="J34" s="39">
        <f>+F34+H34</f>
        <v>57797.039999999994</v>
      </c>
      <c r="K34" s="337">
        <f>48.0001108831152*1000</f>
        <v>48000.110883115201</v>
      </c>
      <c r="L34" s="83">
        <v>56218</v>
      </c>
      <c r="M34" s="658">
        <f>+E34+G34+K34</f>
        <v>69000.151454177947</v>
      </c>
      <c r="N34" s="69">
        <f>+F34+H34+L34</f>
        <v>114015.03999999999</v>
      </c>
      <c r="O34" s="337">
        <f>43.5001413553209*1000</f>
        <v>43500.141355320899</v>
      </c>
      <c r="P34" s="83">
        <v>50303</v>
      </c>
      <c r="Q34" s="657">
        <f>+M34+O34</f>
        <v>112500.29280949885</v>
      </c>
      <c r="R34" s="39">
        <f>+N34+P34</f>
        <v>164318.03999999998</v>
      </c>
      <c r="S34" s="337">
        <f>43.5001413553209*1000</f>
        <v>43500.141355320899</v>
      </c>
      <c r="T34" s="83">
        <v>51235.42</v>
      </c>
      <c r="U34" s="657">
        <f>+Q34+S34</f>
        <v>156000.43416481974</v>
      </c>
      <c r="V34" s="39">
        <f>+R34+T34</f>
        <v>215553.45999999996</v>
      </c>
      <c r="W34" s="337">
        <f>15.3000147648532*1000</f>
        <v>15300.0147648532</v>
      </c>
      <c r="X34" s="83">
        <v>54076</v>
      </c>
      <c r="Y34" s="717">
        <f>+O34+S34+W34</f>
        <v>102300.297475495</v>
      </c>
      <c r="Z34" s="717">
        <f>+P34+T34+X34</f>
        <v>155614.41999999998</v>
      </c>
      <c r="AA34" s="429">
        <f>+M34+Y34</f>
        <v>171300.44892967294</v>
      </c>
      <c r="AB34" s="429">
        <f>+N34+Z34</f>
        <v>269629.45999999996</v>
      </c>
      <c r="AC34" s="337">
        <f>48.9995281597563*1000</f>
        <v>48999.528159756301</v>
      </c>
      <c r="AD34" s="83">
        <v>54595</v>
      </c>
      <c r="AE34" s="657">
        <f>+AA34+AC34</f>
        <v>220299.97708942925</v>
      </c>
      <c r="AF34" s="39">
        <f>+AB34+AD34</f>
        <v>324224.45999999996</v>
      </c>
      <c r="AG34" s="337">
        <f>45.4995884556746*1000</f>
        <v>45499.588455674595</v>
      </c>
      <c r="AH34" s="83">
        <v>61080</v>
      </c>
      <c r="AI34" s="657">
        <f>+AE34+AG34</f>
        <v>265799.56554510386</v>
      </c>
      <c r="AJ34" s="39">
        <f>+AF34+AH34</f>
        <v>385304.45999999996</v>
      </c>
      <c r="AK34" s="337">
        <f>46.0000542442164*1000</f>
        <v>46000.054244216401</v>
      </c>
      <c r="AL34" s="83">
        <v>52347.66</v>
      </c>
      <c r="AM34" s="717">
        <f>+AC34+AG34+AK34</f>
        <v>140499.17085964727</v>
      </c>
      <c r="AN34" s="717">
        <f>+AD34+AH34+AL34</f>
        <v>168022.66</v>
      </c>
      <c r="AO34" s="57">
        <f t="shared" si="165"/>
        <v>311799.61978932028</v>
      </c>
      <c r="AP34" s="57">
        <f t="shared" si="165"/>
        <v>437652.12</v>
      </c>
      <c r="AQ34" s="337">
        <v>48499.664678463945</v>
      </c>
      <c r="AR34" s="83">
        <v>30958</v>
      </c>
      <c r="AS34" s="657">
        <f>+AO34+AQ34</f>
        <v>360299.28446778422</v>
      </c>
      <c r="AT34" s="39">
        <f>+AP34+AR34</f>
        <v>468610.12</v>
      </c>
      <c r="AU34" s="337">
        <v>41500.010429203743</v>
      </c>
      <c r="AV34" s="83">
        <v>16550</v>
      </c>
      <c r="AW34" s="657">
        <f>+AS34+AU34</f>
        <v>401799.29489698797</v>
      </c>
      <c r="AX34" s="39">
        <f>+AT34+AV34</f>
        <v>485160.12</v>
      </c>
      <c r="AY34" s="337">
        <v>46999.690762923987</v>
      </c>
      <c r="AZ34" s="83">
        <f>38139.639-111</f>
        <v>38028.639000000003</v>
      </c>
      <c r="BA34" s="717">
        <f t="shared" ref="BA34:BA35" si="182">+AQ34+AU34+AY34</f>
        <v>136999.36587059166</v>
      </c>
      <c r="BB34" s="717">
        <f t="shared" ref="BB34:BB35" si="183">+AR34+AV34+AZ34</f>
        <v>85536.638999999996</v>
      </c>
      <c r="BC34" s="429">
        <f t="shared" ref="BC34:BC35" si="184">AM34+BA34</f>
        <v>277498.53673023893</v>
      </c>
      <c r="BD34" s="429">
        <f t="shared" ref="BD34:BD35" si="185">AN34+BB34</f>
        <v>253559.299</v>
      </c>
      <c r="BE34" s="57">
        <f t="shared" ref="BE34:BE35" si="186">AW34+AY34</f>
        <v>448798.98565991194</v>
      </c>
      <c r="BF34" s="57">
        <f t="shared" ref="BF34:BF35" si="187">AX34+AZ34</f>
        <v>523188.75900000002</v>
      </c>
      <c r="BH34" s="1590">
        <v>524798.33712910966</v>
      </c>
      <c r="BI34" s="1590">
        <v>563564.30699999991</v>
      </c>
      <c r="BJ34" s="1590">
        <v>461999.55998512253</v>
      </c>
      <c r="BK34" s="1590">
        <v>558374.44999999995</v>
      </c>
      <c r="BL34" s="1590">
        <v>592000.00027062534</v>
      </c>
      <c r="BM34" s="1590">
        <v>574823.37</v>
      </c>
      <c r="BN34" s="1590">
        <v>595119.90700000001</v>
      </c>
      <c r="BO34" s="1590">
        <v>516406.76683937816</v>
      </c>
      <c r="BP34" s="1590">
        <v>627684.57297577348</v>
      </c>
      <c r="BQ34" s="1590">
        <v>533055.8167946114</v>
      </c>
      <c r="BR34" s="1590">
        <v>608495.73</v>
      </c>
      <c r="BS34" s="1590">
        <v>304999.74093264237</v>
      </c>
      <c r="BT34" s="998">
        <v>629438.95550700894</v>
      </c>
      <c r="BU34" s="3464"/>
      <c r="BV34" s="23"/>
      <c r="BW34" s="23"/>
      <c r="BX34" s="491"/>
      <c r="BY34" s="491"/>
    </row>
    <row r="35" spans="1:77" ht="15" customHeight="1" x14ac:dyDescent="0.3">
      <c r="B35" s="1776" t="s">
        <v>647</v>
      </c>
      <c r="C35" s="1758" t="s">
        <v>50</v>
      </c>
      <c r="D35" s="2262">
        <v>0.40803377302654559</v>
      </c>
      <c r="E35" s="143">
        <v>0.27340158309380058</v>
      </c>
      <c r="F35" s="17">
        <v>1625.08</v>
      </c>
      <c r="G35" s="143">
        <v>0.1346321899764007</v>
      </c>
      <c r="H35" s="17">
        <f>3617.44+67</f>
        <v>3684.44</v>
      </c>
      <c r="I35" s="57">
        <f>+E35+G35</f>
        <v>0.40803377307020128</v>
      </c>
      <c r="J35" s="35">
        <f>+F35+H35</f>
        <v>5309.52</v>
      </c>
      <c r="K35" s="143">
        <v>0</v>
      </c>
      <c r="L35" s="17">
        <v>1066</v>
      </c>
      <c r="M35" s="68">
        <f>+E35+G35+K35</f>
        <v>0.40803377307020128</v>
      </c>
      <c r="N35" s="65">
        <f>+F35+H35+L35</f>
        <v>6375.52</v>
      </c>
      <c r="O35" s="143">
        <v>0</v>
      </c>
      <c r="P35" s="17">
        <v>463</v>
      </c>
      <c r="Q35" s="57">
        <f>+M35+O35</f>
        <v>0.40803377307020128</v>
      </c>
      <c r="R35" s="35">
        <f>+N35+P35</f>
        <v>6838.52</v>
      </c>
      <c r="S35" s="143">
        <v>0</v>
      </c>
      <c r="T35" s="17">
        <v>8811.77</v>
      </c>
      <c r="U35" s="57">
        <f>+Q35+S35</f>
        <v>0.40803377307020128</v>
      </c>
      <c r="V35" s="35">
        <f>+R35+T35</f>
        <v>15650.29</v>
      </c>
      <c r="W35" s="143">
        <v>0</v>
      </c>
      <c r="X35" s="17">
        <v>1414</v>
      </c>
      <c r="Y35" s="717">
        <f>+O35+S35+W35</f>
        <v>0</v>
      </c>
      <c r="Z35" s="717">
        <f>+P35+T35+X35</f>
        <v>10688.77</v>
      </c>
      <c r="AA35" s="429">
        <f>+M35+Y35</f>
        <v>0.40803377307020128</v>
      </c>
      <c r="AB35" s="429">
        <f>+N35+Z35</f>
        <v>17064.29</v>
      </c>
      <c r="AC35" s="143">
        <v>0</v>
      </c>
      <c r="AD35" s="17">
        <f>11175+37</f>
        <v>11212</v>
      </c>
      <c r="AE35" s="57">
        <f>+AA35+AC35</f>
        <v>0.40803377307020128</v>
      </c>
      <c r="AF35" s="35">
        <f>+AB35+AD35</f>
        <v>28276.29</v>
      </c>
      <c r="AG35" s="143">
        <v>0</v>
      </c>
      <c r="AH35" s="17">
        <v>0</v>
      </c>
      <c r="AI35" s="57">
        <f>+AE35+AG35</f>
        <v>0.40803377307020128</v>
      </c>
      <c r="AJ35" s="35">
        <f>+AF35+AH35</f>
        <v>28276.29</v>
      </c>
      <c r="AK35" s="143">
        <v>0</v>
      </c>
      <c r="AL35" s="17">
        <v>703.34</v>
      </c>
      <c r="AM35" s="717">
        <f>+AC35+AG35+AK35</f>
        <v>0</v>
      </c>
      <c r="AN35" s="717">
        <f>+AD35+AH35+AL35</f>
        <v>11915.34</v>
      </c>
      <c r="AO35" s="57">
        <f t="shared" ref="AO35" si="188">AI35+AK35</f>
        <v>0.40803377307020128</v>
      </c>
      <c r="AP35" s="57">
        <f t="shared" ref="AP35" si="189">AJ35+AL35</f>
        <v>28979.63</v>
      </c>
      <c r="AQ35" s="143">
        <v>0</v>
      </c>
      <c r="AR35" s="17">
        <v>7040</v>
      </c>
      <c r="AS35" s="57">
        <f>+AO35+AQ35</f>
        <v>0.40803377307020128</v>
      </c>
      <c r="AT35" s="35">
        <f>+AP35+AR35</f>
        <v>36019.630000000005</v>
      </c>
      <c r="AU35" s="143">
        <v>0</v>
      </c>
      <c r="AV35" s="17">
        <v>1892</v>
      </c>
      <c r="AW35" s="57">
        <f>+AS35+AU35</f>
        <v>0.40803377307020128</v>
      </c>
      <c r="AX35" s="35">
        <f>+AT35+AV35</f>
        <v>37911.630000000005</v>
      </c>
      <c r="AY35" s="143">
        <v>0</v>
      </c>
      <c r="AZ35" s="17">
        <f>4180.26+111</f>
        <v>4291.26</v>
      </c>
      <c r="BA35" s="717">
        <f t="shared" si="182"/>
        <v>0</v>
      </c>
      <c r="BB35" s="717">
        <f t="shared" si="183"/>
        <v>13223.26</v>
      </c>
      <c r="BC35" s="429">
        <f t="shared" si="184"/>
        <v>0</v>
      </c>
      <c r="BD35" s="429">
        <f t="shared" si="185"/>
        <v>25138.6</v>
      </c>
      <c r="BE35" s="57">
        <f t="shared" si="186"/>
        <v>0.40803377307020128</v>
      </c>
      <c r="BF35" s="57">
        <f t="shared" si="187"/>
        <v>42202.890000000007</v>
      </c>
      <c r="BH35" s="1590">
        <v>0</v>
      </c>
      <c r="BI35" s="1590">
        <v>39893.370000000003</v>
      </c>
      <c r="BJ35" s="1590">
        <v>17999.996415592192</v>
      </c>
      <c r="BK35" s="1590">
        <v>63663.849200000004</v>
      </c>
      <c r="BL35" s="1590">
        <v>57999.916142557566</v>
      </c>
      <c r="BM35" s="1590">
        <v>101828.14418</v>
      </c>
      <c r="BN35" s="1590">
        <v>116079.049</v>
      </c>
      <c r="BO35" s="1590">
        <v>153592.3419429849</v>
      </c>
      <c r="BP35" s="1590">
        <v>204330.35166666663</v>
      </c>
      <c r="BQ35" s="1590">
        <v>371378.00888192269</v>
      </c>
      <c r="BR35" s="1590">
        <v>329378.80290000001</v>
      </c>
      <c r="BS35" s="1590">
        <v>267000</v>
      </c>
      <c r="BT35" s="998">
        <v>248401</v>
      </c>
      <c r="BU35" s="3464"/>
      <c r="BV35" s="23"/>
      <c r="BW35" s="23"/>
      <c r="BX35" s="491"/>
      <c r="BY35" s="491"/>
    </row>
    <row r="36" spans="1:77" ht="15" customHeight="1" thickBot="1" x14ac:dyDescent="0.35">
      <c r="B36" s="1777" t="s">
        <v>648</v>
      </c>
      <c r="C36" s="1771" t="s">
        <v>50</v>
      </c>
      <c r="D36" s="1763">
        <f t="shared" ref="D36:N36" si="190">SUM(D34:D35)</f>
        <v>350000.39654600783</v>
      </c>
      <c r="E36" s="1567">
        <f t="shared" si="190"/>
        <v>20999.957109341791</v>
      </c>
      <c r="F36" s="1800">
        <f t="shared" si="190"/>
        <v>40008.1</v>
      </c>
      <c r="G36" s="1567">
        <f t="shared" ref="G36:H36" si="191">SUM(G34:G35)</f>
        <v>0.49149549403227866</v>
      </c>
      <c r="H36" s="1800">
        <f t="shared" si="191"/>
        <v>23098.46</v>
      </c>
      <c r="I36" s="1802">
        <f t="shared" si="190"/>
        <v>21000.448604835823</v>
      </c>
      <c r="J36" s="1772">
        <f t="shared" si="190"/>
        <v>63106.559999999998</v>
      </c>
      <c r="K36" s="1567">
        <f t="shared" ref="K36:L36" si="192">SUM(K34:K35)</f>
        <v>48000.110883115201</v>
      </c>
      <c r="L36" s="1800">
        <f t="shared" si="192"/>
        <v>57284</v>
      </c>
      <c r="M36" s="1810">
        <f t="shared" si="190"/>
        <v>69000.559487951017</v>
      </c>
      <c r="N36" s="1811">
        <f t="shared" si="190"/>
        <v>120390.56</v>
      </c>
      <c r="O36" s="1567">
        <f t="shared" ref="O36:P36" si="193">SUM(O34:O35)</f>
        <v>43500.141355320899</v>
      </c>
      <c r="P36" s="1800">
        <f t="shared" si="193"/>
        <v>50766</v>
      </c>
      <c r="Q36" s="1802">
        <f>SUM(Q34:Q35)</f>
        <v>112500.70084327192</v>
      </c>
      <c r="R36" s="1772">
        <f>SUM(R34:R35)</f>
        <v>171156.55999999997</v>
      </c>
      <c r="S36" s="1567">
        <f t="shared" ref="S36:T36" si="194">SUM(S34:S35)</f>
        <v>43500.141355320899</v>
      </c>
      <c r="T36" s="1800">
        <f t="shared" si="194"/>
        <v>60047.19</v>
      </c>
      <c r="U36" s="1802">
        <f t="shared" ref="U36:X36" si="195">SUM(U34:U35)</f>
        <v>156000.84219859281</v>
      </c>
      <c r="V36" s="1772">
        <f t="shared" si="195"/>
        <v>231203.74999999997</v>
      </c>
      <c r="W36" s="1567">
        <f t="shared" si="195"/>
        <v>15300.0147648532</v>
      </c>
      <c r="X36" s="1800">
        <f t="shared" si="195"/>
        <v>55490</v>
      </c>
      <c r="Y36" s="346">
        <f>SUM(Y34:Y35)</f>
        <v>102300.297475495</v>
      </c>
      <c r="Z36" s="346">
        <f>SUM(Z34:Z35)</f>
        <v>166303.18999999997</v>
      </c>
      <c r="AA36" s="502">
        <f>SUM(AA34:AA35)</f>
        <v>171300.85696344601</v>
      </c>
      <c r="AB36" s="502">
        <f>SUM(AB34:AB35)</f>
        <v>286693.74999999994</v>
      </c>
      <c r="AC36" s="1567">
        <f t="shared" ref="AC36:AD36" si="196">SUM(AC34:AC35)</f>
        <v>48999.528159756301</v>
      </c>
      <c r="AD36" s="1800">
        <f t="shared" si="196"/>
        <v>65807</v>
      </c>
      <c r="AE36" s="1567">
        <f t="shared" ref="AE36:AH36" si="197">SUM(AE34:AE35)</f>
        <v>220300.38512320232</v>
      </c>
      <c r="AF36" s="1800">
        <f t="shared" si="197"/>
        <v>352500.74999999994</v>
      </c>
      <c r="AG36" s="1567">
        <f t="shared" si="197"/>
        <v>45499.588455674595</v>
      </c>
      <c r="AH36" s="1800">
        <f t="shared" si="197"/>
        <v>61080</v>
      </c>
      <c r="AI36" s="1802">
        <f t="shared" ref="AI36:AL36" si="198">SUM(AI34:AI35)</f>
        <v>265799.97357887693</v>
      </c>
      <c r="AJ36" s="1772">
        <f t="shared" si="198"/>
        <v>413580.74999999994</v>
      </c>
      <c r="AK36" s="1567">
        <f t="shared" si="198"/>
        <v>46000.054244216401</v>
      </c>
      <c r="AL36" s="1800">
        <f t="shared" si="198"/>
        <v>53051</v>
      </c>
      <c r="AM36" s="346">
        <f t="shared" ref="AM36:AN36" si="199">SUM(AM34:AM35)</f>
        <v>140499.17085964727</v>
      </c>
      <c r="AN36" s="346">
        <f t="shared" si="199"/>
        <v>179938</v>
      </c>
      <c r="AO36" s="1802">
        <f t="shared" ref="AO36:AT36" si="200">SUM(AO34:AO35)</f>
        <v>311800.02782309335</v>
      </c>
      <c r="AP36" s="1772">
        <f t="shared" si="200"/>
        <v>466631.75</v>
      </c>
      <c r="AQ36" s="1567">
        <f t="shared" si="200"/>
        <v>48499.664678463945</v>
      </c>
      <c r="AR36" s="1800">
        <f t="shared" si="200"/>
        <v>37998</v>
      </c>
      <c r="AS36" s="1567">
        <f t="shared" si="200"/>
        <v>360299.69250155729</v>
      </c>
      <c r="AT36" s="1800">
        <f t="shared" si="200"/>
        <v>504629.75</v>
      </c>
      <c r="AU36" s="1567">
        <f t="shared" ref="AU36:AV36" si="201">SUM(AU34:AU35)</f>
        <v>41500.010429203743</v>
      </c>
      <c r="AV36" s="1800">
        <f t="shared" si="201"/>
        <v>18442</v>
      </c>
      <c r="AW36" s="1567">
        <f t="shared" ref="AW36:AZ36" si="202">SUM(AW34:AW35)</f>
        <v>401799.70293076104</v>
      </c>
      <c r="AX36" s="1800">
        <f t="shared" si="202"/>
        <v>523071.75</v>
      </c>
      <c r="AY36" s="1567">
        <f t="shared" si="202"/>
        <v>46999.690762923987</v>
      </c>
      <c r="AZ36" s="1800">
        <f t="shared" si="202"/>
        <v>42319.899000000005</v>
      </c>
      <c r="BA36" s="346">
        <f t="shared" ref="BA36:BD36" si="203">SUM(BA34:BA35)</f>
        <v>136999.36587059166</v>
      </c>
      <c r="BB36" s="346">
        <f t="shared" si="203"/>
        <v>98759.89899999999</v>
      </c>
      <c r="BC36" s="502">
        <f t="shared" si="203"/>
        <v>277498.53673023893</v>
      </c>
      <c r="BD36" s="502">
        <f t="shared" si="203"/>
        <v>278697.89899999998</v>
      </c>
      <c r="BE36" s="57">
        <f t="shared" ref="BE36:BF36" si="204">SUM(BE34:BE35)</f>
        <v>448799.39369368501</v>
      </c>
      <c r="BF36" s="57">
        <f t="shared" si="204"/>
        <v>565391.64899999998</v>
      </c>
      <c r="BH36" s="1373">
        <v>524798.33712910966</v>
      </c>
      <c r="BI36" s="1373">
        <v>603457.67699999991</v>
      </c>
      <c r="BJ36" s="1373">
        <v>479999.55640071473</v>
      </c>
      <c r="BK36" s="1373">
        <v>622038.29920000001</v>
      </c>
      <c r="BL36" s="1373">
        <v>649999.91641318286</v>
      </c>
      <c r="BM36" s="1373">
        <v>676651.51417999994</v>
      </c>
      <c r="BN36" s="1373">
        <v>711198.95600000001</v>
      </c>
      <c r="BO36" s="1373">
        <v>669999.10878236312</v>
      </c>
      <c r="BP36" s="1373">
        <v>832014.92464244016</v>
      </c>
      <c r="BQ36" s="1373">
        <v>904433.82567653409</v>
      </c>
      <c r="BR36" s="1373">
        <v>937874.53289999999</v>
      </c>
      <c r="BS36" s="1373">
        <f>SUM(BS34:BS35)</f>
        <v>571999.74093264237</v>
      </c>
      <c r="BT36" s="4811">
        <f>SUM(BT34:BT35)</f>
        <v>877839.95550700894</v>
      </c>
      <c r="BU36" s="3464"/>
      <c r="BV36" s="23"/>
      <c r="BW36" s="23"/>
      <c r="BX36" s="491"/>
      <c r="BY36" s="491"/>
    </row>
    <row r="37" spans="1:77" ht="15" customHeight="1" thickBot="1" x14ac:dyDescent="0.35">
      <c r="B37" s="1778" t="s">
        <v>1486</v>
      </c>
      <c r="C37" s="1721" t="s">
        <v>50</v>
      </c>
      <c r="D37" s="1768">
        <f t="shared" ref="D37:N37" si="205">+D33+D36</f>
        <v>2710000.3965460081</v>
      </c>
      <c r="E37" s="2277">
        <f t="shared" si="205"/>
        <v>181999.95710934181</v>
      </c>
      <c r="F37" s="1203">
        <f t="shared" si="205"/>
        <v>208722.19400000008</v>
      </c>
      <c r="G37" s="2277">
        <f t="shared" ref="G37:H37" si="206">+G33+G36</f>
        <v>168000.49149549403</v>
      </c>
      <c r="H37" s="1203">
        <f t="shared" si="206"/>
        <v>88350.248000000036</v>
      </c>
      <c r="I37" s="1025">
        <f t="shared" si="205"/>
        <v>350000.44860483584</v>
      </c>
      <c r="J37" s="1026">
        <f t="shared" si="205"/>
        <v>297072.4420000001</v>
      </c>
      <c r="K37" s="2277">
        <f t="shared" si="205"/>
        <v>229000.11088311521</v>
      </c>
      <c r="L37" s="1203">
        <f t="shared" si="205"/>
        <v>227893.99800000005</v>
      </c>
      <c r="M37" s="703">
        <f t="shared" si="205"/>
        <v>579000.55948795099</v>
      </c>
      <c r="N37" s="159">
        <f t="shared" si="205"/>
        <v>524966.44000000018</v>
      </c>
      <c r="O37" s="2277">
        <f t="shared" ref="O37:P37" si="207">+O33+O36</f>
        <v>231500.1413553209</v>
      </c>
      <c r="P37" s="1203">
        <f t="shared" si="207"/>
        <v>243213.77700000012</v>
      </c>
      <c r="Q37" s="1025">
        <f>+Q33+Q36</f>
        <v>810500.70084327192</v>
      </c>
      <c r="R37" s="1026">
        <f>+R33+R36</f>
        <v>768180.2170000003</v>
      </c>
      <c r="S37" s="2277">
        <f t="shared" ref="S37:T37" si="208">+S33+S36</f>
        <v>231500.1413553209</v>
      </c>
      <c r="T37" s="1203">
        <f t="shared" si="208"/>
        <v>219025.52800000005</v>
      </c>
      <c r="U37" s="1025">
        <f t="shared" ref="U37:X37" si="209">+U33+U36</f>
        <v>1042000.8421985928</v>
      </c>
      <c r="V37" s="1026">
        <f t="shared" si="209"/>
        <v>987205.74500000023</v>
      </c>
      <c r="W37" s="2277">
        <f t="shared" si="209"/>
        <v>121300.0147648532</v>
      </c>
      <c r="X37" s="1203">
        <f t="shared" si="209"/>
        <v>222811.90100000007</v>
      </c>
      <c r="Y37" s="346">
        <f t="shared" ref="Y37:AD37" si="210">+Y33+Y36</f>
        <v>584300.29747549503</v>
      </c>
      <c r="Z37" s="346">
        <f t="shared" si="210"/>
        <v>685051.20600000012</v>
      </c>
      <c r="AA37" s="502">
        <f t="shared" si="210"/>
        <v>1163300.8569634459</v>
      </c>
      <c r="AB37" s="502">
        <f t="shared" si="210"/>
        <v>1210017.6460000004</v>
      </c>
      <c r="AC37" s="2277">
        <f t="shared" si="210"/>
        <v>236499.5281597563</v>
      </c>
      <c r="AD37" s="1203">
        <f t="shared" si="210"/>
        <v>176451.7220000001</v>
      </c>
      <c r="AE37" s="2277">
        <f t="shared" ref="AE37:AH37" si="211">+AE33+AE36</f>
        <v>1399800.3851232023</v>
      </c>
      <c r="AF37" s="1203">
        <f t="shared" si="211"/>
        <v>1386469.3680000005</v>
      </c>
      <c r="AG37" s="2277">
        <f t="shared" si="211"/>
        <v>228999.58845567459</v>
      </c>
      <c r="AH37" s="1203">
        <f t="shared" si="211"/>
        <v>214475.0590000001</v>
      </c>
      <c r="AI37" s="1025">
        <f t="shared" ref="AI37:AN37" si="212">+AI33+AI36</f>
        <v>1628799.9735788768</v>
      </c>
      <c r="AJ37" s="1026">
        <f t="shared" si="212"/>
        <v>1600944.4270000004</v>
      </c>
      <c r="AK37" s="2277">
        <f t="shared" si="212"/>
        <v>236500.05424421642</v>
      </c>
      <c r="AL37" s="1203">
        <f t="shared" si="212"/>
        <v>231662.29500000016</v>
      </c>
      <c r="AM37" s="346">
        <f t="shared" si="212"/>
        <v>701999.17085964722</v>
      </c>
      <c r="AN37" s="346">
        <f t="shared" si="212"/>
        <v>622589.07600000035</v>
      </c>
      <c r="AO37" s="1025">
        <f t="shared" ref="AO37:AT37" si="213">+AO33+AO36</f>
        <v>1865300.0278230933</v>
      </c>
      <c r="AP37" s="1026">
        <f t="shared" si="213"/>
        <v>1832606.7220000005</v>
      </c>
      <c r="AQ37" s="2277">
        <f t="shared" si="213"/>
        <v>239999.66467846395</v>
      </c>
      <c r="AR37" s="1203">
        <f t="shared" si="213"/>
        <v>224562.12800000014</v>
      </c>
      <c r="AS37" s="2277">
        <f t="shared" si="213"/>
        <v>2105299.6925015571</v>
      </c>
      <c r="AT37" s="1203">
        <f t="shared" si="213"/>
        <v>2057168.8500000006</v>
      </c>
      <c r="AU37" s="2277">
        <f t="shared" ref="AU37:AV37" si="214">+AU33+AU36</f>
        <v>214000.01042920374</v>
      </c>
      <c r="AV37" s="1203">
        <f t="shared" si="214"/>
        <v>184200.41800000009</v>
      </c>
      <c r="AW37" s="2277">
        <f t="shared" ref="AW37:BF37" si="215">+AW33+AW36</f>
        <v>2319299.702930761</v>
      </c>
      <c r="AX37" s="1203">
        <f t="shared" si="215"/>
        <v>2241369.2680000006</v>
      </c>
      <c r="AY37" s="2277">
        <f t="shared" si="215"/>
        <v>239999.69076292397</v>
      </c>
      <c r="AZ37" s="1203">
        <f t="shared" si="215"/>
        <v>233332.89499999999</v>
      </c>
      <c r="BA37" s="346">
        <f t="shared" si="215"/>
        <v>693999.36587059172</v>
      </c>
      <c r="BB37" s="346">
        <f t="shared" si="215"/>
        <v>642095.44100000022</v>
      </c>
      <c r="BC37" s="502">
        <f t="shared" si="215"/>
        <v>1395998.5367302389</v>
      </c>
      <c r="BD37" s="502">
        <f t="shared" si="215"/>
        <v>1264684.5170000005</v>
      </c>
      <c r="BE37" s="2277">
        <f t="shared" si="215"/>
        <v>2559299.3936936851</v>
      </c>
      <c r="BF37" s="1203">
        <f t="shared" si="215"/>
        <v>2474702.1630000006</v>
      </c>
      <c r="BH37" s="1037">
        <v>2674798.3371291095</v>
      </c>
      <c r="BI37" s="1037">
        <v>2604730.2500000005</v>
      </c>
      <c r="BJ37" s="1037">
        <v>2409999.5564007149</v>
      </c>
      <c r="BK37" s="1037">
        <v>2331824.0152000012</v>
      </c>
      <c r="BL37" s="1037">
        <v>2524999.9164131829</v>
      </c>
      <c r="BM37" s="1037">
        <v>2409644.1242200006</v>
      </c>
      <c r="BN37" s="1037">
        <v>2315207.7896199999</v>
      </c>
      <c r="BO37" s="1037">
        <v>2369999.1087823631</v>
      </c>
      <c r="BP37" s="1037">
        <v>2160425.8186956542</v>
      </c>
      <c r="BQ37" s="1037">
        <v>2235274.9274697341</v>
      </c>
      <c r="BR37" s="1037">
        <v>1823884.355038991</v>
      </c>
      <c r="BS37" s="1037">
        <f>+BS33+BS36</f>
        <v>2406999.7409326425</v>
      </c>
      <c r="BT37" s="4812">
        <f>+BT33+BT36</f>
        <v>2093720.1667959802</v>
      </c>
      <c r="BU37" s="3464"/>
      <c r="BV37" s="23"/>
      <c r="BW37" s="23"/>
      <c r="BX37" s="491"/>
      <c r="BY37" s="491"/>
    </row>
    <row r="38" spans="1:77" ht="15" customHeight="1" x14ac:dyDescent="0.3">
      <c r="B38" t="s">
        <v>3</v>
      </c>
    </row>
    <row r="39" spans="1:77" ht="15" customHeight="1" x14ac:dyDescent="0.3">
      <c r="B39" s="1782" t="s">
        <v>649</v>
      </c>
      <c r="C39" s="1758" t="s">
        <v>50</v>
      </c>
      <c r="D39" s="5843">
        <f>+D30</f>
        <v>520000</v>
      </c>
      <c r="E39" s="5822">
        <f>+E30</f>
        <v>36500</v>
      </c>
      <c r="F39" s="17">
        <f>+WRM!F199</f>
        <v>41532.999999999985</v>
      </c>
      <c r="G39" s="5822">
        <f>+G30</f>
        <v>37500</v>
      </c>
      <c r="H39" s="17">
        <f>+WRM!H199</f>
        <v>21522.950000000004</v>
      </c>
      <c r="I39" s="5823">
        <f>+E39+G39</f>
        <v>74000</v>
      </c>
      <c r="J39" s="35">
        <f>+F39+H39</f>
        <v>63055.94999999999</v>
      </c>
      <c r="K39" s="5822">
        <f>+K30</f>
        <v>42500</v>
      </c>
      <c r="L39" s="17">
        <f>+WRM!L199</f>
        <v>28929.599999999991</v>
      </c>
      <c r="M39" s="5829">
        <f>+E39+G39+K39</f>
        <v>116500</v>
      </c>
      <c r="N39" s="65">
        <f>+F39+H39+L39</f>
        <v>91985.549999999988</v>
      </c>
      <c r="O39" s="5822">
        <f>+O30</f>
        <v>44000</v>
      </c>
      <c r="P39" s="17">
        <f>+WRM!P199</f>
        <v>35815.549999999988</v>
      </c>
      <c r="Q39" s="5830">
        <f>+M39+O39</f>
        <v>160500</v>
      </c>
      <c r="R39" s="35">
        <f t="shared" ref="Q39:R43" si="216">+N39+P39</f>
        <v>127801.09999999998</v>
      </c>
      <c r="S39" s="5822">
        <f>+S30</f>
        <v>44000</v>
      </c>
      <c r="T39" s="17">
        <f>+WRM!T199</f>
        <v>38718.350000000006</v>
      </c>
      <c r="U39" s="5830">
        <f>+Q39+S39</f>
        <v>204500</v>
      </c>
      <c r="V39" s="35">
        <f t="shared" ref="V39:V43" si="217">+R39+T39</f>
        <v>166519.44999999998</v>
      </c>
      <c r="W39" s="5822">
        <f>+W30</f>
        <v>25000</v>
      </c>
      <c r="X39" s="17">
        <f>+WRM!X199</f>
        <v>41006.150000000009</v>
      </c>
      <c r="Y39" s="5848">
        <f>+O39+S39+W39</f>
        <v>113000</v>
      </c>
      <c r="Z39" s="717">
        <f t="shared" ref="Z39:Z47" si="218">+P39+T39+X39</f>
        <v>115540.05</v>
      </c>
      <c r="AA39" s="5847">
        <f>+M39+Y39</f>
        <v>229500</v>
      </c>
      <c r="AB39" s="429">
        <f>+N39+Z39</f>
        <v>207525.59999999998</v>
      </c>
      <c r="AC39" s="5822">
        <f>+AC30</f>
        <v>42500</v>
      </c>
      <c r="AD39" s="17">
        <f>+WRM!AD199</f>
        <v>30034.55</v>
      </c>
      <c r="AE39" s="5823">
        <f>+AA39+AC39</f>
        <v>272000</v>
      </c>
      <c r="AF39" s="35">
        <f>+AB39+AD39</f>
        <v>237560.14999999997</v>
      </c>
      <c r="AG39" s="5822">
        <f>+AG30</f>
        <v>42500</v>
      </c>
      <c r="AH39" s="17">
        <f>+WRM!AH199</f>
        <v>34614.25</v>
      </c>
      <c r="AI39" s="5823">
        <f>+AE39+AG39</f>
        <v>314500</v>
      </c>
      <c r="AJ39" s="35">
        <f>+AF39+AH39</f>
        <v>272174.39999999997</v>
      </c>
      <c r="AK39" s="5822">
        <f>+AK30</f>
        <v>44000</v>
      </c>
      <c r="AL39" s="17">
        <f>+WRM!AL199</f>
        <v>44007.350000000013</v>
      </c>
      <c r="AM39" s="5824">
        <f>+AC39+AG39+AK39</f>
        <v>129000</v>
      </c>
      <c r="AN39" s="717">
        <f t="shared" ref="AN39:AN47" si="219">+AD39+AH39+AL39</f>
        <v>108656.15000000002</v>
      </c>
      <c r="AO39" s="5823">
        <f>AI39+AK39</f>
        <v>358500</v>
      </c>
      <c r="AP39" s="57">
        <f t="shared" ref="AP39:AP53" si="220">AJ39+AL39</f>
        <v>316181.75</v>
      </c>
      <c r="AQ39" s="5822">
        <f>+AQ30</f>
        <v>44500</v>
      </c>
      <c r="AR39" s="17">
        <f>+WRM!AR199</f>
        <v>44589.55000000001</v>
      </c>
      <c r="AS39" s="5823">
        <f>+AO39+AQ39</f>
        <v>403000</v>
      </c>
      <c r="AT39" s="35">
        <f>+AP39+AR39</f>
        <v>360771.3</v>
      </c>
      <c r="AU39" s="5822">
        <f>+AU30</f>
        <v>40000</v>
      </c>
      <c r="AV39" s="17">
        <f>+WRM!AV199</f>
        <v>37420.700000000019</v>
      </c>
      <c r="AW39" s="5823">
        <f>+AS39+AU39</f>
        <v>443000</v>
      </c>
      <c r="AX39" s="35">
        <f>+AT39+AV39</f>
        <v>398192</v>
      </c>
      <c r="AY39" s="5822">
        <f>+AY30</f>
        <v>44500</v>
      </c>
      <c r="AZ39" s="17">
        <f>+WRM!AZ199</f>
        <v>46692.85</v>
      </c>
      <c r="BA39" s="5824">
        <f t="shared" ref="BA39:BA48" si="221">+AQ39+AU39+AY39</f>
        <v>129000</v>
      </c>
      <c r="BB39" s="717">
        <f t="shared" ref="BB39:BB48" si="222">+AR39+AV39+AZ39</f>
        <v>128703.10000000003</v>
      </c>
      <c r="BC39" s="5847">
        <f t="shared" ref="BC39:BC48" si="223">AM39+BA39</f>
        <v>258000</v>
      </c>
      <c r="BD39" s="429">
        <f t="shared" ref="BD39:BD48" si="224">AN39+BB39</f>
        <v>237359.25000000006</v>
      </c>
      <c r="BE39" s="5823">
        <f>AW39+AY39</f>
        <v>487500</v>
      </c>
      <c r="BF39" s="57">
        <f t="shared" ref="BF39:BF48" si="225">AX39+AZ39</f>
        <v>444884.85</v>
      </c>
      <c r="BH39" s="1590">
        <v>500000</v>
      </c>
      <c r="BI39" s="1590">
        <v>457922.83</v>
      </c>
      <c r="BJ39" s="1590">
        <v>500000</v>
      </c>
      <c r="BK39" s="1590">
        <v>459030.63999999996</v>
      </c>
      <c r="BL39" s="1590">
        <v>500000</v>
      </c>
      <c r="BM39" s="1590">
        <v>471802.33500000008</v>
      </c>
      <c r="BN39" s="1590">
        <v>410762.6</v>
      </c>
      <c r="BO39" s="5817">
        <f>+BO30</f>
        <v>500000</v>
      </c>
      <c r="BP39" s="1590">
        <v>456374.83600000001</v>
      </c>
      <c r="BQ39" s="5817">
        <f>+BQ30</f>
        <v>435965.96179320005</v>
      </c>
      <c r="BR39" s="1590">
        <v>333534.61200000002</v>
      </c>
      <c r="BS39" s="5817">
        <v>500000</v>
      </c>
      <c r="BT39" s="998">
        <v>270654.57</v>
      </c>
      <c r="BU39" s="3464"/>
      <c r="BV39" s="23"/>
      <c r="BW39" s="23"/>
      <c r="BX39" s="491"/>
      <c r="BY39" s="491"/>
    </row>
    <row r="40" spans="1:77" ht="15" customHeight="1" x14ac:dyDescent="0.3">
      <c r="B40" s="1782" t="s">
        <v>598</v>
      </c>
      <c r="C40" s="1758" t="s">
        <v>50</v>
      </c>
      <c r="D40" s="5843"/>
      <c r="E40" s="5822"/>
      <c r="F40" s="17">
        <f>+WRM!F200</f>
        <v>0</v>
      </c>
      <c r="G40" s="5822"/>
      <c r="H40" s="17">
        <f>+WRM!H200</f>
        <v>0</v>
      </c>
      <c r="I40" s="5823"/>
      <c r="J40" s="35">
        <f t="shared" ref="J40:J46" si="226">+F40+H40</f>
        <v>0</v>
      </c>
      <c r="K40" s="5822"/>
      <c r="L40" s="17">
        <f>+WRM!L200</f>
        <v>9361.75</v>
      </c>
      <c r="M40" s="5829"/>
      <c r="N40" s="65">
        <f t="shared" ref="N40:N48" si="227">+F40+H40+L40</f>
        <v>9361.75</v>
      </c>
      <c r="O40" s="5822"/>
      <c r="P40" s="17">
        <f>+WRM!P200</f>
        <v>11248.350000000006</v>
      </c>
      <c r="Q40" s="5831"/>
      <c r="R40" s="35">
        <f t="shared" si="216"/>
        <v>20610.100000000006</v>
      </c>
      <c r="S40" s="5822"/>
      <c r="T40" s="17">
        <f>+WRM!T200</f>
        <v>0</v>
      </c>
      <c r="U40" s="5831"/>
      <c r="V40" s="35">
        <f t="shared" si="217"/>
        <v>20610.100000000006</v>
      </c>
      <c r="W40" s="5822"/>
      <c r="X40" s="17">
        <f>+WRM!X200</f>
        <v>0</v>
      </c>
      <c r="Y40" s="5849"/>
      <c r="Z40" s="717">
        <f t="shared" si="218"/>
        <v>11248.350000000006</v>
      </c>
      <c r="AA40" s="5847"/>
      <c r="AB40" s="429">
        <f t="shared" ref="AB40:AB48" si="228">+N40+Z40</f>
        <v>20610.100000000006</v>
      </c>
      <c r="AC40" s="5822"/>
      <c r="AD40" s="17">
        <f>+WRM!AD200</f>
        <v>0</v>
      </c>
      <c r="AE40" s="5823"/>
      <c r="AF40" s="35">
        <f t="shared" ref="AF40:AF47" si="229">+AB40+AD40</f>
        <v>20610.100000000006</v>
      </c>
      <c r="AG40" s="5822"/>
      <c r="AH40" s="17">
        <f>+WRM!AH200</f>
        <v>0</v>
      </c>
      <c r="AI40" s="5823"/>
      <c r="AJ40" s="35">
        <f t="shared" ref="AJ40:AJ47" si="230">+AF40+AH40</f>
        <v>20610.100000000006</v>
      </c>
      <c r="AK40" s="5822"/>
      <c r="AL40" s="17">
        <f>+WRM!AL200</f>
        <v>0</v>
      </c>
      <c r="AM40" s="5824"/>
      <c r="AN40" s="717">
        <f t="shared" si="219"/>
        <v>0</v>
      </c>
      <c r="AO40" s="5823"/>
      <c r="AP40" s="57">
        <f t="shared" si="220"/>
        <v>20610.100000000006</v>
      </c>
      <c r="AQ40" s="5822"/>
      <c r="AR40" s="17">
        <f>+WRM!AR200</f>
        <v>0</v>
      </c>
      <c r="AS40" s="5823"/>
      <c r="AT40" s="35">
        <f t="shared" ref="AT40:AT47" si="231">+AP40+AR40</f>
        <v>20610.100000000006</v>
      </c>
      <c r="AU40" s="5822"/>
      <c r="AV40" s="17">
        <f>+WRM!AV200</f>
        <v>0</v>
      </c>
      <c r="AW40" s="5823"/>
      <c r="AX40" s="35">
        <f t="shared" ref="AX40:AX47" si="232">+AT40+AV40</f>
        <v>20610.100000000006</v>
      </c>
      <c r="AY40" s="5822"/>
      <c r="AZ40" s="17">
        <f>+WRM!AZ200</f>
        <v>0</v>
      </c>
      <c r="BA40" s="5824">
        <f t="shared" si="221"/>
        <v>0</v>
      </c>
      <c r="BB40" s="717">
        <f t="shared" si="222"/>
        <v>0</v>
      </c>
      <c r="BC40" s="5847">
        <f t="shared" si="223"/>
        <v>0</v>
      </c>
      <c r="BD40" s="429">
        <f t="shared" si="224"/>
        <v>0</v>
      </c>
      <c r="BE40" s="5823"/>
      <c r="BF40" s="57">
        <f t="shared" si="225"/>
        <v>20610.100000000006</v>
      </c>
      <c r="BH40" s="1590"/>
      <c r="BI40" s="1590">
        <v>20610.100000000006</v>
      </c>
      <c r="BJ40" s="1590"/>
      <c r="BK40" s="1590">
        <v>0</v>
      </c>
      <c r="BL40" s="1590"/>
      <c r="BM40" s="1590">
        <v>6726.0499999999956</v>
      </c>
      <c r="BN40" s="1590">
        <v>55352.050000000025</v>
      </c>
      <c r="BO40" s="5817"/>
      <c r="BP40" s="1590">
        <v>8968.93</v>
      </c>
      <c r="BQ40" s="5817"/>
      <c r="BR40" s="1590">
        <v>22983.766</v>
      </c>
      <c r="BS40" s="5817"/>
      <c r="BT40" s="998">
        <v>141370.65</v>
      </c>
      <c r="BU40" s="3464"/>
      <c r="BV40" s="23"/>
      <c r="BW40" s="23"/>
      <c r="BX40" s="491"/>
      <c r="BY40" s="491"/>
    </row>
    <row r="41" spans="1:77" ht="15" customHeight="1" x14ac:dyDescent="0.3">
      <c r="B41" s="1782" t="s">
        <v>597</v>
      </c>
      <c r="C41" s="1758" t="s">
        <v>50</v>
      </c>
      <c r="D41" s="2262">
        <f>+D31</f>
        <v>990000</v>
      </c>
      <c r="E41" s="143">
        <f>+E31</f>
        <v>68500</v>
      </c>
      <c r="F41" s="17">
        <f>+F31</f>
        <v>74661.040000000066</v>
      </c>
      <c r="G41" s="143">
        <f>+G31</f>
        <v>71000</v>
      </c>
      <c r="H41" s="17">
        <f>+H31</f>
        <v>33192.920000000035</v>
      </c>
      <c r="I41" s="57">
        <f>+E41+G41</f>
        <v>139500</v>
      </c>
      <c r="J41" s="35">
        <f t="shared" si="226"/>
        <v>107853.96000000011</v>
      </c>
      <c r="K41" s="143">
        <f>+K31</f>
        <v>76000</v>
      </c>
      <c r="L41" s="17">
        <f>+L31</f>
        <v>73644.015000000058</v>
      </c>
      <c r="M41" s="68">
        <f>+E41+G41+K41</f>
        <v>215500</v>
      </c>
      <c r="N41" s="65">
        <f t="shared" si="227"/>
        <v>181497.97500000015</v>
      </c>
      <c r="O41" s="143">
        <f>+O31</f>
        <v>79000</v>
      </c>
      <c r="P41" s="17">
        <f>+P31</f>
        <v>88056.490000000107</v>
      </c>
      <c r="Q41" s="57">
        <f t="shared" si="216"/>
        <v>294500</v>
      </c>
      <c r="R41" s="35">
        <f t="shared" si="216"/>
        <v>269554.46500000026</v>
      </c>
      <c r="S41" s="143">
        <f>+S31</f>
        <v>79000</v>
      </c>
      <c r="T41" s="17">
        <f>+T31</f>
        <v>75853.695000000036</v>
      </c>
      <c r="U41" s="57">
        <f t="shared" ref="U41" si="233">+Q41+S41</f>
        <v>373500</v>
      </c>
      <c r="V41" s="35">
        <f t="shared" si="217"/>
        <v>345408.16000000027</v>
      </c>
      <c r="W41" s="143">
        <f>+W31</f>
        <v>47500</v>
      </c>
      <c r="X41" s="17">
        <f>+X31</f>
        <v>76319.035000000062</v>
      </c>
      <c r="Y41" s="717">
        <f>+O41+S41+W41</f>
        <v>205500</v>
      </c>
      <c r="Z41" s="717">
        <f t="shared" si="218"/>
        <v>240229.2200000002</v>
      </c>
      <c r="AA41" s="429">
        <f>+M41+Y41</f>
        <v>421000</v>
      </c>
      <c r="AB41" s="429">
        <f t="shared" si="228"/>
        <v>421727.19500000036</v>
      </c>
      <c r="AC41" s="143">
        <f>+AC31</f>
        <v>78000</v>
      </c>
      <c r="AD41" s="17">
        <f>+AD31</f>
        <v>50950.275000000081</v>
      </c>
      <c r="AE41" s="57">
        <f>+AA41+AC41</f>
        <v>499000</v>
      </c>
      <c r="AF41" s="35">
        <f t="shared" si="229"/>
        <v>472677.47000000044</v>
      </c>
      <c r="AG41" s="143">
        <f>+AG31</f>
        <v>76000</v>
      </c>
      <c r="AH41" s="17">
        <f>+AH31</f>
        <v>69720.765000000058</v>
      </c>
      <c r="AI41" s="57">
        <f>+AE41+AG41</f>
        <v>575000</v>
      </c>
      <c r="AJ41" s="35">
        <f t="shared" si="230"/>
        <v>542398.23500000045</v>
      </c>
      <c r="AK41" s="143">
        <f>+AK31</f>
        <v>79000</v>
      </c>
      <c r="AL41" s="17">
        <f>+AL31</f>
        <v>81616.765000000145</v>
      </c>
      <c r="AM41" s="717">
        <f>+AC41+AG41+AK41</f>
        <v>233000</v>
      </c>
      <c r="AN41" s="717">
        <f t="shared" si="219"/>
        <v>202287.80500000028</v>
      </c>
      <c r="AO41" s="57">
        <f>AI41+AK41</f>
        <v>654000</v>
      </c>
      <c r="AP41" s="57">
        <f t="shared" si="220"/>
        <v>624015.00000000058</v>
      </c>
      <c r="AQ41" s="143">
        <f>+AQ31</f>
        <v>79000</v>
      </c>
      <c r="AR41" s="17">
        <f>+AR31</f>
        <v>85804.600000000122</v>
      </c>
      <c r="AS41" s="57">
        <f>+AO41+AQ41</f>
        <v>733000</v>
      </c>
      <c r="AT41" s="35">
        <f t="shared" si="231"/>
        <v>709819.60000000068</v>
      </c>
      <c r="AU41" s="143">
        <f>+AU31</f>
        <v>71500</v>
      </c>
      <c r="AV41" s="17">
        <f>+AV31</f>
        <v>74058.320000000094</v>
      </c>
      <c r="AW41" s="57">
        <f>+AS41+AU41</f>
        <v>804500</v>
      </c>
      <c r="AX41" s="35">
        <f t="shared" si="232"/>
        <v>783877.92000000074</v>
      </c>
      <c r="AY41" s="143">
        <f>+AY31</f>
        <v>80000</v>
      </c>
      <c r="AZ41" s="17">
        <f>+AZ31</f>
        <v>81200</v>
      </c>
      <c r="BA41" s="717">
        <f t="shared" si="221"/>
        <v>230500</v>
      </c>
      <c r="BB41" s="717">
        <f t="shared" si="222"/>
        <v>241062.92000000022</v>
      </c>
      <c r="BC41" s="429">
        <f t="shared" si="223"/>
        <v>463500</v>
      </c>
      <c r="BD41" s="429">
        <f t="shared" si="224"/>
        <v>443350.7250000005</v>
      </c>
      <c r="BE41" s="57">
        <f>AW41+AY41</f>
        <v>884500</v>
      </c>
      <c r="BF41" s="57">
        <f t="shared" si="225"/>
        <v>865077.92000000074</v>
      </c>
      <c r="BH41" s="1590">
        <v>900000</v>
      </c>
      <c r="BI41" s="1590">
        <v>900295.05000000075</v>
      </c>
      <c r="BJ41" s="1590">
        <v>870000</v>
      </c>
      <c r="BK41" s="1590">
        <v>750867.84800000093</v>
      </c>
      <c r="BL41" s="1590">
        <v>850000</v>
      </c>
      <c r="BM41" s="1590">
        <v>795322.27300000074</v>
      </c>
      <c r="BN41" s="1590">
        <v>775906.62549999985</v>
      </c>
      <c r="BO41" s="1590">
        <v>750000</v>
      </c>
      <c r="BP41" s="1590">
        <v>649840.96399999992</v>
      </c>
      <c r="BQ41" s="1590">
        <f>+BQ31</f>
        <v>674875.14</v>
      </c>
      <c r="BR41" s="1590">
        <v>440547.14499999996</v>
      </c>
      <c r="BS41" s="1590">
        <v>800000</v>
      </c>
      <c r="BT41" s="998">
        <v>632220.18000000005</v>
      </c>
      <c r="BU41" s="3464"/>
      <c r="BV41" s="23"/>
      <c r="BW41" s="23"/>
      <c r="BX41" s="491"/>
      <c r="BY41" s="491"/>
    </row>
    <row r="42" spans="1:77" ht="15" customHeight="1" x14ac:dyDescent="0.3">
      <c r="B42" s="1782" t="s">
        <v>1128</v>
      </c>
      <c r="C42" s="1758" t="s">
        <v>50</v>
      </c>
      <c r="D42" s="5811">
        <f>+D32</f>
        <v>850000</v>
      </c>
      <c r="E42" s="5812">
        <f>+E32</f>
        <v>56000</v>
      </c>
      <c r="F42" s="17">
        <f>+USM!G162</f>
        <v>35837.255000000005</v>
      </c>
      <c r="G42" s="5812">
        <f>+G32</f>
        <v>59500</v>
      </c>
      <c r="H42" s="17">
        <f>+USM!I162</f>
        <v>3259.2440000000006</v>
      </c>
      <c r="I42" s="5823">
        <f>+G42+E42</f>
        <v>115500</v>
      </c>
      <c r="J42" s="35">
        <f t="shared" si="226"/>
        <v>39096.499000000003</v>
      </c>
      <c r="K42" s="5812">
        <f>+K32</f>
        <v>62500</v>
      </c>
      <c r="L42" s="17">
        <f>+USM!M162</f>
        <v>41676.830999999998</v>
      </c>
      <c r="M42" s="5829">
        <f>+K42+G42+E42</f>
        <v>178000</v>
      </c>
      <c r="N42" s="65">
        <f t="shared" si="227"/>
        <v>80773.33</v>
      </c>
      <c r="O42" s="5812">
        <f>+O32</f>
        <v>65000</v>
      </c>
      <c r="P42" s="17">
        <f>+USM!Q162</f>
        <v>39505.72800000001</v>
      </c>
      <c r="Q42" s="1021">
        <f>+M42+O42</f>
        <v>243000</v>
      </c>
      <c r="R42" s="35">
        <f t="shared" si="216"/>
        <v>120279.05800000002</v>
      </c>
      <c r="S42" s="5812">
        <f>+S32</f>
        <v>65000</v>
      </c>
      <c r="T42" s="17">
        <f>+USM!U162</f>
        <v>30061.677999999996</v>
      </c>
      <c r="U42" s="1021">
        <f>+Q42+S42</f>
        <v>308000</v>
      </c>
      <c r="V42" s="35">
        <f t="shared" si="217"/>
        <v>150340.736</v>
      </c>
      <c r="W42" s="5812">
        <f>+W32</f>
        <v>33500</v>
      </c>
      <c r="X42" s="17">
        <f>+USM!Y162</f>
        <v>32261.593999999997</v>
      </c>
      <c r="Y42" s="5848">
        <f>+W42+S42+O42</f>
        <v>163500</v>
      </c>
      <c r="Z42" s="717">
        <f t="shared" si="218"/>
        <v>101829</v>
      </c>
      <c r="AA42" s="5813">
        <f>+M42+Y42</f>
        <v>341500</v>
      </c>
      <c r="AB42" s="429">
        <f t="shared" si="228"/>
        <v>182602.33000000002</v>
      </c>
      <c r="AC42" s="5812">
        <f>+AC32</f>
        <v>67000</v>
      </c>
      <c r="AD42" s="17">
        <f>+USM!AE162</f>
        <v>26347.059000000005</v>
      </c>
      <c r="AE42" s="5823">
        <f>+AC42+AA42</f>
        <v>408500</v>
      </c>
      <c r="AF42" s="35">
        <f t="shared" si="229"/>
        <v>208949.38900000002</v>
      </c>
      <c r="AG42" s="5812">
        <f>+AG32</f>
        <v>65000</v>
      </c>
      <c r="AH42" s="17">
        <f>+USM!AI162</f>
        <v>33174.987000000001</v>
      </c>
      <c r="AI42" s="5823">
        <f>+AG42+AE42</f>
        <v>473500</v>
      </c>
      <c r="AJ42" s="35">
        <f t="shared" si="230"/>
        <v>242124.37600000002</v>
      </c>
      <c r="AK42" s="5812">
        <f>+AK32</f>
        <v>67500</v>
      </c>
      <c r="AL42" s="17">
        <f>+USM!AM162</f>
        <v>34992.377999999997</v>
      </c>
      <c r="AM42" s="5824">
        <f>+AK42+AG42+AC42</f>
        <v>199500</v>
      </c>
      <c r="AN42" s="717">
        <f t="shared" si="219"/>
        <v>94514.423999999999</v>
      </c>
      <c r="AO42" s="5823">
        <f>AI42+AK42</f>
        <v>541000</v>
      </c>
      <c r="AP42" s="57">
        <f t="shared" si="220"/>
        <v>277116.75400000002</v>
      </c>
      <c r="AQ42" s="5812">
        <f>+AQ32</f>
        <v>68000</v>
      </c>
      <c r="AR42" s="17">
        <f>+USM!AS162</f>
        <v>35829.667000000001</v>
      </c>
      <c r="AS42" s="5823">
        <f>+AQ42+AO42</f>
        <v>609000</v>
      </c>
      <c r="AT42" s="35">
        <f t="shared" si="231"/>
        <v>312946.42100000003</v>
      </c>
      <c r="AU42" s="5812">
        <f>+AU32</f>
        <v>61000</v>
      </c>
      <c r="AV42" s="17">
        <f>+USM!AW162</f>
        <v>43359.470999999998</v>
      </c>
      <c r="AW42" s="5823">
        <f>+AU42+AS42</f>
        <v>670000</v>
      </c>
      <c r="AX42" s="35">
        <f t="shared" si="232"/>
        <v>356305.89200000005</v>
      </c>
      <c r="AY42" s="5812">
        <f>+AY32</f>
        <v>68500</v>
      </c>
      <c r="AZ42" s="17">
        <f>+USM!BA162</f>
        <v>50048.392999999989</v>
      </c>
      <c r="BA42" s="5824">
        <f t="shared" si="221"/>
        <v>197500</v>
      </c>
      <c r="BB42" s="717">
        <f t="shared" si="222"/>
        <v>129237.53099999999</v>
      </c>
      <c r="BC42" s="5813">
        <f t="shared" si="223"/>
        <v>397000</v>
      </c>
      <c r="BD42" s="429">
        <f t="shared" si="224"/>
        <v>223751.95499999999</v>
      </c>
      <c r="BE42" s="5823">
        <f>AW42+AY42</f>
        <v>738500</v>
      </c>
      <c r="BF42" s="57">
        <f t="shared" si="225"/>
        <v>406354.28500000003</v>
      </c>
      <c r="BH42" s="1719">
        <v>750000</v>
      </c>
      <c r="BI42" s="1719">
        <v>448592.32300000003</v>
      </c>
      <c r="BJ42" s="1719">
        <v>560000</v>
      </c>
      <c r="BK42" s="1719">
        <v>369513.92899999995</v>
      </c>
      <c r="BL42" s="1719">
        <v>525000</v>
      </c>
      <c r="BM42" s="1719">
        <v>322948.41899999994</v>
      </c>
      <c r="BN42" s="1719">
        <v>273627.652</v>
      </c>
      <c r="BO42" s="5817">
        <f>+BO32</f>
        <v>450000</v>
      </c>
      <c r="BP42" s="5853">
        <v>168119.5</v>
      </c>
      <c r="BQ42" s="5817">
        <f>+BQ32</f>
        <v>220000</v>
      </c>
      <c r="BR42" s="5853">
        <v>78790</v>
      </c>
      <c r="BS42" s="5817">
        <v>535000</v>
      </c>
      <c r="BT42" s="5850">
        <f>+BT32</f>
        <v>171634.81128897145</v>
      </c>
      <c r="BU42" s="3464"/>
      <c r="BV42" s="23"/>
      <c r="BW42" s="23"/>
      <c r="BX42" s="491"/>
      <c r="BY42" s="491"/>
    </row>
    <row r="43" spans="1:77" ht="15" customHeight="1" x14ac:dyDescent="0.3">
      <c r="B43" s="1782" t="s">
        <v>1129</v>
      </c>
      <c r="C43" s="1758" t="s">
        <v>50</v>
      </c>
      <c r="D43" s="5811"/>
      <c r="E43" s="5812"/>
      <c r="F43" s="17">
        <f>+USM!G163</f>
        <v>8136.5259999999989</v>
      </c>
      <c r="G43" s="5812"/>
      <c r="H43" s="17">
        <f>+USM!I163</f>
        <v>2879.5259999999994</v>
      </c>
      <c r="I43" s="5823">
        <f>+E43+G43</f>
        <v>0</v>
      </c>
      <c r="J43" s="35">
        <f t="shared" si="226"/>
        <v>11016.051999999998</v>
      </c>
      <c r="K43" s="5812"/>
      <c r="L43" s="17">
        <f>+USM!M163</f>
        <v>5963.7650000000003</v>
      </c>
      <c r="M43" s="5829"/>
      <c r="N43" s="65">
        <f t="shared" si="227"/>
        <v>16979.816999999999</v>
      </c>
      <c r="O43" s="5812"/>
      <c r="P43" s="17">
        <f>+USM!Q163</f>
        <v>6848.3829999999998</v>
      </c>
      <c r="Q43" s="1908">
        <f>+M43+O43</f>
        <v>0</v>
      </c>
      <c r="R43" s="35">
        <f t="shared" si="216"/>
        <v>23828.199999999997</v>
      </c>
      <c r="S43" s="5812"/>
      <c r="T43" s="17">
        <f>+USM!U163</f>
        <v>1438.2529999999997</v>
      </c>
      <c r="U43" s="1908">
        <f>+Q43+S43</f>
        <v>0</v>
      </c>
      <c r="V43" s="35">
        <f t="shared" si="217"/>
        <v>25266.452999999998</v>
      </c>
      <c r="W43" s="5812"/>
      <c r="X43" s="17">
        <f>+USM!Y163</f>
        <v>5720.8829999999998</v>
      </c>
      <c r="Y43" s="5855"/>
      <c r="Z43" s="717">
        <f t="shared" si="218"/>
        <v>14007.518999999998</v>
      </c>
      <c r="AA43" s="5814"/>
      <c r="AB43" s="429">
        <f t="shared" si="228"/>
        <v>30987.335999999996</v>
      </c>
      <c r="AC43" s="5812"/>
      <c r="AD43" s="17">
        <f>+USM!AE163</f>
        <v>0</v>
      </c>
      <c r="AE43" s="5823">
        <f>+AA43+AC43</f>
        <v>0</v>
      </c>
      <c r="AF43" s="35">
        <f t="shared" si="229"/>
        <v>30987.335999999996</v>
      </c>
      <c r="AG43" s="5812"/>
      <c r="AH43" s="17">
        <f>+USM!AI163</f>
        <v>6170.5360000000001</v>
      </c>
      <c r="AI43" s="5823">
        <f>+AE43+AG43</f>
        <v>0</v>
      </c>
      <c r="AJ43" s="35">
        <f t="shared" si="230"/>
        <v>37157.871999999996</v>
      </c>
      <c r="AK43" s="5812"/>
      <c r="AL43" s="17">
        <f>+USM!AM163</f>
        <v>4072.8229999999994</v>
      </c>
      <c r="AM43" s="5824"/>
      <c r="AN43" s="717">
        <f t="shared" si="219"/>
        <v>10243.359</v>
      </c>
      <c r="AO43" s="5823">
        <f>+AK43+AM43</f>
        <v>0</v>
      </c>
      <c r="AP43" s="57">
        <f t="shared" si="220"/>
        <v>41230.694999999992</v>
      </c>
      <c r="AQ43" s="5812"/>
      <c r="AR43" s="17">
        <f>+USM!AS163</f>
        <v>5596.3930000000018</v>
      </c>
      <c r="AS43" s="5823">
        <f>+AO43+AQ43</f>
        <v>0</v>
      </c>
      <c r="AT43" s="35">
        <f t="shared" si="231"/>
        <v>46827.087999999996</v>
      </c>
      <c r="AU43" s="5812"/>
      <c r="AV43" s="17">
        <f>+USM!AW163</f>
        <v>3073.86</v>
      </c>
      <c r="AW43" s="5823">
        <f>+AS43+AU43</f>
        <v>0</v>
      </c>
      <c r="AX43" s="35">
        <f t="shared" si="232"/>
        <v>49900.947999999997</v>
      </c>
      <c r="AY43" s="5812"/>
      <c r="AZ43" s="17">
        <f>+USM!BA163</f>
        <v>4775.8689999999997</v>
      </c>
      <c r="BA43" s="5824">
        <f t="shared" si="221"/>
        <v>0</v>
      </c>
      <c r="BB43" s="717">
        <f t="shared" si="222"/>
        <v>13446.122000000003</v>
      </c>
      <c r="BC43" s="5814">
        <f t="shared" si="223"/>
        <v>0</v>
      </c>
      <c r="BD43" s="429">
        <f t="shared" si="224"/>
        <v>23689.481000000003</v>
      </c>
      <c r="BE43" s="5823">
        <f>+AY43+BA43</f>
        <v>0</v>
      </c>
      <c r="BF43" s="57">
        <f t="shared" si="225"/>
        <v>54676.816999999995</v>
      </c>
      <c r="BH43" s="1720">
        <v>0</v>
      </c>
      <c r="BI43" s="1720">
        <v>56928.031999999999</v>
      </c>
      <c r="BJ43" s="1720">
        <v>0</v>
      </c>
      <c r="BK43" s="1720">
        <v>47628.758000000002</v>
      </c>
      <c r="BL43" s="1720">
        <v>0</v>
      </c>
      <c r="BM43" s="1720">
        <v>47288.060999999994</v>
      </c>
      <c r="BN43" s="1720">
        <v>21791.11</v>
      </c>
      <c r="BO43" s="5817"/>
      <c r="BP43" s="5854"/>
      <c r="BQ43" s="5817"/>
      <c r="BR43" s="5854"/>
      <c r="BS43" s="5817"/>
      <c r="BT43" s="5851"/>
      <c r="BU43" s="3464"/>
      <c r="BV43" s="23"/>
      <c r="BW43" s="23"/>
      <c r="BX43" s="491"/>
      <c r="BY43" s="491"/>
    </row>
    <row r="44" spans="1:77" ht="15" customHeight="1" x14ac:dyDescent="0.3">
      <c r="B44" s="1782" t="s">
        <v>893</v>
      </c>
      <c r="C44" s="1758" t="s">
        <v>50</v>
      </c>
      <c r="D44" s="5811"/>
      <c r="E44" s="5812"/>
      <c r="F44" s="17">
        <f>+USM!G164</f>
        <v>3735.1699999999992</v>
      </c>
      <c r="G44" s="5812"/>
      <c r="H44" s="17">
        <f>+USM!I164</f>
        <v>4397.1480000000001</v>
      </c>
      <c r="I44" s="5823">
        <f>+E44+G44</f>
        <v>0</v>
      </c>
      <c r="J44" s="35">
        <f t="shared" si="226"/>
        <v>8132.3179999999993</v>
      </c>
      <c r="K44" s="5812"/>
      <c r="L44" s="17">
        <f>+USM!M164</f>
        <v>6391.5139999999974</v>
      </c>
      <c r="M44" s="5829"/>
      <c r="N44" s="65">
        <f t="shared" si="227"/>
        <v>14523.831999999997</v>
      </c>
      <c r="O44" s="5812"/>
      <c r="P44" s="17">
        <f>+USM!Q164</f>
        <v>8126.5689999999968</v>
      </c>
      <c r="Q44" s="1908">
        <f>+M44+O44</f>
        <v>0</v>
      </c>
      <c r="R44" s="35">
        <f>+N44+P44</f>
        <v>22650.400999999994</v>
      </c>
      <c r="S44" s="5812"/>
      <c r="T44" s="17">
        <f>+USM!U164</f>
        <v>9825.4939999999988</v>
      </c>
      <c r="U44" s="1908">
        <f>+Q44+S44</f>
        <v>0</v>
      </c>
      <c r="V44" s="35">
        <f>+R44+T44</f>
        <v>32475.894999999993</v>
      </c>
      <c r="W44" s="5812"/>
      <c r="X44" s="17">
        <f>+USM!Y164</f>
        <v>9271.39</v>
      </c>
      <c r="Y44" s="5855"/>
      <c r="Z44" s="717">
        <f t="shared" si="218"/>
        <v>27223.452999999994</v>
      </c>
      <c r="AA44" s="5814"/>
      <c r="AB44" s="429">
        <f t="shared" si="228"/>
        <v>41747.284999999989</v>
      </c>
      <c r="AC44" s="5812"/>
      <c r="AD44" s="17">
        <f>+USM!AE164</f>
        <v>2320.6020000000003</v>
      </c>
      <c r="AE44" s="5823">
        <f>+AA44+AC44</f>
        <v>0</v>
      </c>
      <c r="AF44" s="35">
        <f t="shared" si="229"/>
        <v>44067.886999999988</v>
      </c>
      <c r="AG44" s="5812"/>
      <c r="AH44" s="17">
        <f>+USM!AI164</f>
        <v>6989.3249999999998</v>
      </c>
      <c r="AI44" s="5823">
        <f>+AE44+AG44</f>
        <v>0</v>
      </c>
      <c r="AJ44" s="35">
        <f t="shared" si="230"/>
        <v>51057.211999999985</v>
      </c>
      <c r="AK44" s="5812"/>
      <c r="AL44" s="17">
        <f>+USM!AM164</f>
        <v>10163.959000000003</v>
      </c>
      <c r="AM44" s="5824"/>
      <c r="AN44" s="717">
        <f t="shared" si="219"/>
        <v>19473.886000000002</v>
      </c>
      <c r="AO44" s="5823">
        <f>+AK44+AM44</f>
        <v>0</v>
      </c>
      <c r="AP44" s="57">
        <f t="shared" si="220"/>
        <v>61221.170999999988</v>
      </c>
      <c r="AQ44" s="5812"/>
      <c r="AR44" s="17">
        <f>+USM!AS164</f>
        <v>7822.952000000003</v>
      </c>
      <c r="AS44" s="5823">
        <f>+AO44+AQ44</f>
        <v>0</v>
      </c>
      <c r="AT44" s="35">
        <f t="shared" si="231"/>
        <v>69044.122999999992</v>
      </c>
      <c r="AU44" s="5812"/>
      <c r="AV44" s="17">
        <f>+USM!AW164</f>
        <v>7846.0670000000009</v>
      </c>
      <c r="AW44" s="5823">
        <f>+AS44+AU44</f>
        <v>0</v>
      </c>
      <c r="AX44" s="35">
        <f t="shared" si="232"/>
        <v>76890.189999999988</v>
      </c>
      <c r="AY44" s="5812"/>
      <c r="AZ44" s="17">
        <f>+USM!BA164</f>
        <v>4314.1299999999992</v>
      </c>
      <c r="BA44" s="5824">
        <f t="shared" si="221"/>
        <v>0</v>
      </c>
      <c r="BB44" s="717">
        <f t="shared" si="222"/>
        <v>19983.149000000005</v>
      </c>
      <c r="BC44" s="5814">
        <f t="shared" si="223"/>
        <v>0</v>
      </c>
      <c r="BD44" s="429">
        <f t="shared" si="224"/>
        <v>39457.035000000003</v>
      </c>
      <c r="BE44" s="5823">
        <f>+AY44+BA44</f>
        <v>0</v>
      </c>
      <c r="BF44" s="57">
        <f t="shared" si="225"/>
        <v>81204.319999999992</v>
      </c>
      <c r="BH44" s="1590">
        <v>0</v>
      </c>
      <c r="BI44" s="1590">
        <v>85233.118999999992</v>
      </c>
      <c r="BJ44" s="1590">
        <v>0</v>
      </c>
      <c r="BK44" s="1590">
        <v>81214.697000000015</v>
      </c>
      <c r="BL44" s="1590">
        <v>0</v>
      </c>
      <c r="BM44" s="1590">
        <v>86018.164000000004</v>
      </c>
      <c r="BN44" s="1590">
        <v>62409.791000000005</v>
      </c>
      <c r="BO44" s="5817"/>
      <c r="BP44" s="1590">
        <v>44187.109898457304</v>
      </c>
      <c r="BQ44" s="5817"/>
      <c r="BR44" s="1590">
        <v>4414.2190468179997</v>
      </c>
      <c r="BS44" s="5817"/>
      <c r="BT44" s="5851"/>
      <c r="BU44" s="3464"/>
      <c r="BV44" s="23"/>
      <c r="BW44" s="23"/>
      <c r="BX44" s="491"/>
      <c r="BY44" s="491"/>
    </row>
    <row r="45" spans="1:77" ht="15" customHeight="1" x14ac:dyDescent="0.3">
      <c r="A45" s="23"/>
      <c r="B45" s="1782" t="s">
        <v>650</v>
      </c>
      <c r="C45" s="1758" t="s">
        <v>50</v>
      </c>
      <c r="D45" s="5811"/>
      <c r="E45" s="5812"/>
      <c r="F45" s="17">
        <f>+USM!G165</f>
        <v>2238.9240000000004</v>
      </c>
      <c r="G45" s="5812"/>
      <c r="H45" s="17">
        <f>+USM!I165</f>
        <v>0</v>
      </c>
      <c r="I45" s="5823">
        <f>+E45+G45</f>
        <v>0</v>
      </c>
      <c r="J45" s="35">
        <f t="shared" si="226"/>
        <v>2238.9240000000004</v>
      </c>
      <c r="K45" s="5812"/>
      <c r="L45" s="17">
        <f>+USM!M165</f>
        <v>1992.848</v>
      </c>
      <c r="M45" s="5829"/>
      <c r="N45" s="65">
        <f t="shared" si="227"/>
        <v>4231.7720000000008</v>
      </c>
      <c r="O45" s="5812"/>
      <c r="P45" s="17">
        <f>+USM!Q165</f>
        <v>0</v>
      </c>
      <c r="Q45" s="663">
        <f>+M45+O45</f>
        <v>0</v>
      </c>
      <c r="R45" s="35">
        <f>+N45+P45</f>
        <v>4231.7720000000008</v>
      </c>
      <c r="S45" s="5812"/>
      <c r="T45" s="17">
        <f>+USM!U165</f>
        <v>468.21000000000004</v>
      </c>
      <c r="U45" s="663">
        <f>+Q45+S45</f>
        <v>0</v>
      </c>
      <c r="V45" s="35">
        <f>+R45+T45</f>
        <v>4699.9820000000009</v>
      </c>
      <c r="W45" s="5812"/>
      <c r="X45" s="17">
        <f>+USM!Y165</f>
        <v>0</v>
      </c>
      <c r="Y45" s="5849"/>
      <c r="Z45" s="717">
        <f t="shared" si="218"/>
        <v>468.21000000000004</v>
      </c>
      <c r="AA45" s="5815"/>
      <c r="AB45" s="429">
        <f t="shared" si="228"/>
        <v>4699.9820000000009</v>
      </c>
      <c r="AC45" s="5812"/>
      <c r="AD45" s="17">
        <f>+USM!AE165</f>
        <v>0</v>
      </c>
      <c r="AE45" s="5823">
        <f>+AA45+AC45</f>
        <v>0</v>
      </c>
      <c r="AF45" s="35">
        <f t="shared" si="229"/>
        <v>4699.9820000000009</v>
      </c>
      <c r="AG45" s="5812"/>
      <c r="AH45" s="17">
        <f>+USM!AI165</f>
        <v>0</v>
      </c>
      <c r="AI45" s="5823">
        <f>+AE45+AG45</f>
        <v>0</v>
      </c>
      <c r="AJ45" s="35">
        <f t="shared" si="230"/>
        <v>4699.9820000000009</v>
      </c>
      <c r="AK45" s="5812"/>
      <c r="AL45" s="17">
        <f>+USM!AM165</f>
        <v>0</v>
      </c>
      <c r="AM45" s="5824"/>
      <c r="AN45" s="717">
        <f t="shared" si="219"/>
        <v>0</v>
      </c>
      <c r="AO45" s="5823">
        <f>+AK45+AM45</f>
        <v>0</v>
      </c>
      <c r="AP45" s="57">
        <f t="shared" si="220"/>
        <v>4699.9820000000009</v>
      </c>
      <c r="AQ45" s="5812"/>
      <c r="AR45" s="17">
        <f>+USM!AS165</f>
        <v>0</v>
      </c>
      <c r="AS45" s="5823">
        <f>+AO45+AQ45</f>
        <v>0</v>
      </c>
      <c r="AT45" s="35">
        <f t="shared" si="231"/>
        <v>4699.9820000000009</v>
      </c>
      <c r="AU45" s="5812"/>
      <c r="AV45" s="17">
        <f>+USM!AW165</f>
        <v>0</v>
      </c>
      <c r="AW45" s="5823">
        <f>+AS45+AU45</f>
        <v>0</v>
      </c>
      <c r="AX45" s="35">
        <f t="shared" si="232"/>
        <v>4699.9820000000009</v>
      </c>
      <c r="AY45" s="5812"/>
      <c r="AZ45" s="17">
        <f>+USM!BA165</f>
        <v>0</v>
      </c>
      <c r="BA45" s="5824">
        <f t="shared" si="221"/>
        <v>0</v>
      </c>
      <c r="BB45" s="717">
        <f t="shared" si="222"/>
        <v>0</v>
      </c>
      <c r="BC45" s="5815">
        <f t="shared" si="223"/>
        <v>0</v>
      </c>
      <c r="BD45" s="429">
        <f t="shared" si="224"/>
        <v>0</v>
      </c>
      <c r="BE45" s="5823">
        <f>+AY45+BA45</f>
        <v>0</v>
      </c>
      <c r="BF45" s="57">
        <f t="shared" si="225"/>
        <v>4699.9820000000009</v>
      </c>
      <c r="BH45" s="1590">
        <v>0</v>
      </c>
      <c r="BI45" s="1590">
        <v>2461.058</v>
      </c>
      <c r="BJ45" s="1590">
        <v>0</v>
      </c>
      <c r="BK45" s="1590">
        <v>1529.8440000000001</v>
      </c>
      <c r="BL45" s="1590">
        <v>0</v>
      </c>
      <c r="BM45" s="1590">
        <v>2887.3210000000004</v>
      </c>
      <c r="BN45" s="1590">
        <v>4159.1839999999993</v>
      </c>
      <c r="BO45" s="5817"/>
      <c r="BP45" s="1590">
        <v>919.55454499999996</v>
      </c>
      <c r="BQ45" s="5817"/>
      <c r="BR45" s="1590">
        <v>5739.5256319888003</v>
      </c>
      <c r="BS45" s="5817"/>
      <c r="BT45" s="5852"/>
      <c r="BU45" s="3464"/>
      <c r="BV45" s="23"/>
      <c r="BW45" s="23"/>
      <c r="BX45" s="491"/>
      <c r="BY45" s="491"/>
    </row>
    <row r="46" spans="1:77" ht="15" customHeight="1" x14ac:dyDescent="0.3">
      <c r="A46" s="23"/>
      <c r="B46" s="4468" t="s">
        <v>1989</v>
      </c>
      <c r="C46" s="1758" t="s">
        <v>50</v>
      </c>
      <c r="D46" s="4469"/>
      <c r="E46" s="4470"/>
      <c r="F46" s="17">
        <f>+USM!G166</f>
        <v>1617.4609999999998</v>
      </c>
      <c r="G46" s="4470"/>
      <c r="H46" s="17">
        <f>+USM!I166</f>
        <v>0</v>
      </c>
      <c r="I46" s="4471"/>
      <c r="J46" s="35">
        <f t="shared" si="226"/>
        <v>1617.4609999999998</v>
      </c>
      <c r="K46" s="4470"/>
      <c r="L46" s="17">
        <f>+USM!M166</f>
        <v>0</v>
      </c>
      <c r="M46" s="4472"/>
      <c r="N46" s="65">
        <f t="shared" si="227"/>
        <v>1617.4609999999998</v>
      </c>
      <c r="O46" s="4470"/>
      <c r="P46" s="17">
        <f>+USM!Q166</f>
        <v>15.712999999999999</v>
      </c>
      <c r="Q46" s="663"/>
      <c r="R46" s="35">
        <f t="shared" ref="R46:R47" si="234">+N46+P46</f>
        <v>1633.1739999999998</v>
      </c>
      <c r="S46" s="4470"/>
      <c r="T46" s="17">
        <f>+USM!U166</f>
        <v>0</v>
      </c>
      <c r="U46" s="663"/>
      <c r="V46" s="35">
        <f t="shared" ref="V46:V47" si="235">+R46+T46</f>
        <v>1633.1739999999998</v>
      </c>
      <c r="W46" s="4470"/>
      <c r="X46" s="17">
        <f>+USM!Y166</f>
        <v>1199.047</v>
      </c>
      <c r="Y46" s="420"/>
      <c r="Z46" s="717">
        <f t="shared" si="218"/>
        <v>1214.76</v>
      </c>
      <c r="AA46" s="1471"/>
      <c r="AB46" s="429">
        <f t="shared" si="228"/>
        <v>2832.2209999999995</v>
      </c>
      <c r="AC46" s="4470"/>
      <c r="AD46" s="17">
        <f>+USM!AE166</f>
        <v>992.23599999999988</v>
      </c>
      <c r="AE46" s="4471"/>
      <c r="AF46" s="35">
        <f t="shared" si="229"/>
        <v>3824.4569999999994</v>
      </c>
      <c r="AG46" s="4470"/>
      <c r="AH46" s="17">
        <f>+USM!AI166</f>
        <v>1383.221</v>
      </c>
      <c r="AI46" s="4471"/>
      <c r="AJ46" s="35">
        <f t="shared" si="230"/>
        <v>5207.6779999999999</v>
      </c>
      <c r="AK46" s="4470"/>
      <c r="AL46" s="17">
        <f>+USM!AM166</f>
        <v>3758.0199999999995</v>
      </c>
      <c r="AM46" s="4434"/>
      <c r="AN46" s="717">
        <f t="shared" si="219"/>
        <v>6133.476999999999</v>
      </c>
      <c r="AO46" s="4471"/>
      <c r="AP46" s="57">
        <f t="shared" si="220"/>
        <v>8965.6980000000003</v>
      </c>
      <c r="AQ46" s="4470"/>
      <c r="AR46" s="17">
        <f>+USM!AS166</f>
        <v>2622.34</v>
      </c>
      <c r="AS46" s="4471"/>
      <c r="AT46" s="35">
        <f t="shared" si="231"/>
        <v>11588.038</v>
      </c>
      <c r="AU46" s="4470"/>
      <c r="AV46" s="17">
        <f>+USM!AW166</f>
        <v>0</v>
      </c>
      <c r="AW46" s="4471"/>
      <c r="AX46" s="35">
        <f t="shared" si="232"/>
        <v>11588.038</v>
      </c>
      <c r="AY46" s="4470"/>
      <c r="AZ46" s="17">
        <f>+USM!BA166</f>
        <v>1750.001</v>
      </c>
      <c r="BA46" s="4434">
        <f t="shared" si="221"/>
        <v>0</v>
      </c>
      <c r="BB46" s="4434">
        <f t="shared" si="222"/>
        <v>4372.3410000000003</v>
      </c>
      <c r="BC46" s="1471">
        <f t="shared" si="223"/>
        <v>0</v>
      </c>
      <c r="BD46" s="4439">
        <f t="shared" si="224"/>
        <v>10505.817999999999</v>
      </c>
      <c r="BE46" s="4471">
        <f t="shared" ref="BE46:BE47" si="236">AW46+AY46</f>
        <v>0</v>
      </c>
      <c r="BF46" s="4471">
        <f t="shared" ref="BF46:BF47" si="237">AX46+AZ46</f>
        <v>13338.039000000001</v>
      </c>
      <c r="BH46" s="4473">
        <v>0</v>
      </c>
      <c r="BI46" s="4473">
        <v>11720.578</v>
      </c>
      <c r="BJ46" s="4473"/>
      <c r="BK46" s="4473"/>
      <c r="BL46" s="4473"/>
      <c r="BM46" s="4473"/>
      <c r="BN46" s="4473"/>
      <c r="BO46" s="4473"/>
      <c r="BP46" s="4473"/>
      <c r="BQ46" s="4473"/>
      <c r="BR46" s="4473"/>
      <c r="BS46" s="4473"/>
      <c r="BT46" s="3442"/>
      <c r="BU46" s="3464"/>
      <c r="BV46" s="23"/>
      <c r="BW46" s="23"/>
      <c r="BX46" s="491"/>
      <c r="BY46" s="491"/>
    </row>
    <row r="47" spans="1:77" ht="15" customHeight="1" x14ac:dyDescent="0.3">
      <c r="A47" s="23"/>
      <c r="B47" s="4468" t="s">
        <v>1970</v>
      </c>
      <c r="C47" s="1758" t="s">
        <v>50</v>
      </c>
      <c r="D47" s="4469"/>
      <c r="E47" s="4470"/>
      <c r="F47" s="17">
        <f>+USM!G167</f>
        <v>954.71799999999985</v>
      </c>
      <c r="G47" s="4470"/>
      <c r="H47" s="17">
        <f>+USM!I167</f>
        <v>0</v>
      </c>
      <c r="I47" s="4471"/>
      <c r="J47" s="4063">
        <f>+USM!K167</f>
        <v>954.71799999999985</v>
      </c>
      <c r="K47" s="4470"/>
      <c r="L47" s="4448">
        <f>+USM!M167</f>
        <v>2649.6750000000002</v>
      </c>
      <c r="M47" s="4472"/>
      <c r="N47" s="4450">
        <f>+USM!O167</f>
        <v>3604.393</v>
      </c>
      <c r="O47" s="4470"/>
      <c r="P47" s="4448">
        <f>+USM!Q167</f>
        <v>2830.9939999999997</v>
      </c>
      <c r="Q47" s="663"/>
      <c r="R47" s="35">
        <f t="shared" si="234"/>
        <v>6435.3869999999997</v>
      </c>
      <c r="S47" s="4470"/>
      <c r="T47" s="4448">
        <f>+USM!U167</f>
        <v>2612.6579999999994</v>
      </c>
      <c r="U47" s="663"/>
      <c r="V47" s="35">
        <f t="shared" si="235"/>
        <v>9048.0449999999983</v>
      </c>
      <c r="W47" s="4470"/>
      <c r="X47" s="4448">
        <f>+USM!Y167</f>
        <v>1543.8019999999997</v>
      </c>
      <c r="Y47" s="420"/>
      <c r="Z47" s="717">
        <f t="shared" si="218"/>
        <v>6987.4539999999988</v>
      </c>
      <c r="AA47" s="1471"/>
      <c r="AB47" s="429">
        <f t="shared" si="228"/>
        <v>10591.846999999998</v>
      </c>
      <c r="AC47" s="4470"/>
      <c r="AD47" s="4448">
        <f>+USM!AE167</f>
        <v>0</v>
      </c>
      <c r="AE47" s="4471"/>
      <c r="AF47" s="35">
        <f t="shared" si="229"/>
        <v>10591.846999999998</v>
      </c>
      <c r="AG47" s="4470"/>
      <c r="AH47" s="4448">
        <f>+USM!AI167</f>
        <v>1341.9749999999999</v>
      </c>
      <c r="AI47" s="4471"/>
      <c r="AJ47" s="35">
        <f t="shared" si="230"/>
        <v>11933.821999999998</v>
      </c>
      <c r="AK47" s="4470"/>
      <c r="AL47" s="4448">
        <f>+USM!AM167</f>
        <v>0</v>
      </c>
      <c r="AM47" s="4434"/>
      <c r="AN47" s="717">
        <f t="shared" si="219"/>
        <v>1341.9749999999999</v>
      </c>
      <c r="AO47" s="4471"/>
      <c r="AP47" s="57">
        <f t="shared" si="220"/>
        <v>11933.821999999998</v>
      </c>
      <c r="AQ47" s="4470"/>
      <c r="AR47" s="4448">
        <f>+USM!AS167</f>
        <v>4298.6260000000002</v>
      </c>
      <c r="AS47" s="4471"/>
      <c r="AT47" s="35">
        <f t="shared" si="231"/>
        <v>16232.447999999999</v>
      </c>
      <c r="AU47" s="4470"/>
      <c r="AV47" s="4448">
        <f>+USM!AW167</f>
        <v>0</v>
      </c>
      <c r="AW47" s="4471"/>
      <c r="AX47" s="35">
        <f t="shared" si="232"/>
        <v>16232.447999999999</v>
      </c>
      <c r="AY47" s="4470"/>
      <c r="AZ47" s="4448">
        <f>+USM!BA167</f>
        <v>2231.7529999999997</v>
      </c>
      <c r="BA47" s="4434">
        <f t="shared" si="221"/>
        <v>0</v>
      </c>
      <c r="BB47" s="4434">
        <f t="shared" si="222"/>
        <v>6530.3789999999999</v>
      </c>
      <c r="BC47" s="1471">
        <f t="shared" si="223"/>
        <v>0</v>
      </c>
      <c r="BD47" s="4439">
        <f t="shared" si="224"/>
        <v>7872.3539999999994</v>
      </c>
      <c r="BE47" s="4471">
        <f t="shared" si="236"/>
        <v>0</v>
      </c>
      <c r="BF47" s="4471">
        <f t="shared" si="237"/>
        <v>18464.200999999997</v>
      </c>
      <c r="BH47" s="4473">
        <v>0</v>
      </c>
      <c r="BI47" s="4473">
        <v>17509.483</v>
      </c>
      <c r="BJ47" s="4473"/>
      <c r="BK47" s="4473"/>
      <c r="BL47" s="4473"/>
      <c r="BM47" s="4473"/>
      <c r="BN47" s="4473"/>
      <c r="BO47" s="4473"/>
      <c r="BP47" s="4473"/>
      <c r="BQ47" s="4473"/>
      <c r="BR47" s="4473"/>
      <c r="BS47" s="4473"/>
      <c r="BT47" s="3442"/>
      <c r="BU47" s="3464"/>
      <c r="BV47" s="23"/>
      <c r="BW47" s="23"/>
      <c r="BX47" s="491"/>
      <c r="BY47" s="491"/>
    </row>
    <row r="48" spans="1:77" ht="15" customHeight="1" x14ac:dyDescent="0.3">
      <c r="B48" s="1782" t="s">
        <v>651</v>
      </c>
      <c r="C48" s="1758" t="s">
        <v>50</v>
      </c>
      <c r="D48" s="2262">
        <f t="shared" ref="D48:L48" si="238">+D36</f>
        <v>350000.39654600783</v>
      </c>
      <c r="E48" s="143">
        <f t="shared" si="238"/>
        <v>20999.957109341791</v>
      </c>
      <c r="F48" s="168">
        <f t="shared" si="238"/>
        <v>40008.1</v>
      </c>
      <c r="G48" s="143">
        <f t="shared" ref="G48:H48" si="239">+G36</f>
        <v>0.49149549403227866</v>
      </c>
      <c r="H48" s="168">
        <f t="shared" si="239"/>
        <v>23098.46</v>
      </c>
      <c r="I48" s="57">
        <f t="shared" si="238"/>
        <v>21000.448604835823</v>
      </c>
      <c r="J48" s="35">
        <f t="shared" si="238"/>
        <v>63106.559999999998</v>
      </c>
      <c r="K48" s="143">
        <f t="shared" si="238"/>
        <v>48000.110883115201</v>
      </c>
      <c r="L48" s="168">
        <f t="shared" si="238"/>
        <v>57284</v>
      </c>
      <c r="M48" s="68">
        <f>+E48+G48+K48</f>
        <v>69000.559487951017</v>
      </c>
      <c r="N48" s="65">
        <f t="shared" si="227"/>
        <v>120390.56</v>
      </c>
      <c r="O48" s="143">
        <f t="shared" ref="O48:P48" si="240">+O36</f>
        <v>43500.141355320899</v>
      </c>
      <c r="P48" s="168">
        <f t="shared" si="240"/>
        <v>50766</v>
      </c>
      <c r="Q48" s="57">
        <f t="shared" ref="Q48:AA48" si="241">+Q36</f>
        <v>112500.70084327192</v>
      </c>
      <c r="R48" s="35">
        <f t="shared" si="241"/>
        <v>171156.55999999997</v>
      </c>
      <c r="S48" s="143">
        <f t="shared" si="241"/>
        <v>43500.141355320899</v>
      </c>
      <c r="T48" s="168">
        <f t="shared" si="241"/>
        <v>60047.19</v>
      </c>
      <c r="U48" s="57">
        <f t="shared" ref="U48:X48" si="242">+U36</f>
        <v>156000.84219859281</v>
      </c>
      <c r="V48" s="35">
        <f t="shared" si="242"/>
        <v>231203.74999999997</v>
      </c>
      <c r="W48" s="143">
        <f t="shared" si="242"/>
        <v>15300.0147648532</v>
      </c>
      <c r="X48" s="168">
        <f t="shared" si="242"/>
        <v>55490</v>
      </c>
      <c r="Y48" s="717">
        <f t="shared" si="241"/>
        <v>102300.297475495</v>
      </c>
      <c r="Z48" s="717">
        <f t="shared" si="241"/>
        <v>166303.18999999997</v>
      </c>
      <c r="AA48" s="429">
        <f t="shared" si="241"/>
        <v>171300.85696344601</v>
      </c>
      <c r="AB48" s="429">
        <f t="shared" si="228"/>
        <v>286693.75</v>
      </c>
      <c r="AC48" s="143">
        <f t="shared" ref="AC48:AD48" si="243">+AC36</f>
        <v>48999.528159756301</v>
      </c>
      <c r="AD48" s="168">
        <f t="shared" si="243"/>
        <v>65807</v>
      </c>
      <c r="AE48" s="57">
        <f t="shared" ref="AE48:AH48" si="244">+AE36</f>
        <v>220300.38512320232</v>
      </c>
      <c r="AF48" s="35">
        <f t="shared" si="244"/>
        <v>352500.74999999994</v>
      </c>
      <c r="AG48" s="143">
        <f t="shared" si="244"/>
        <v>45499.588455674595</v>
      </c>
      <c r="AH48" s="168">
        <f t="shared" si="244"/>
        <v>61080</v>
      </c>
      <c r="AI48" s="57">
        <f t="shared" ref="AI48:AN48" si="245">+AI36</f>
        <v>265799.97357887693</v>
      </c>
      <c r="AJ48" s="35">
        <f t="shared" si="245"/>
        <v>413580.74999999994</v>
      </c>
      <c r="AK48" s="143">
        <f t="shared" si="245"/>
        <v>46000.054244216401</v>
      </c>
      <c r="AL48" s="168">
        <f t="shared" si="245"/>
        <v>53051</v>
      </c>
      <c r="AM48" s="717">
        <f t="shared" si="245"/>
        <v>140499.17085964727</v>
      </c>
      <c r="AN48" s="717">
        <f t="shared" si="245"/>
        <v>179938</v>
      </c>
      <c r="AO48" s="57">
        <f>AI48+AK48</f>
        <v>311800.02782309335</v>
      </c>
      <c r="AP48" s="57">
        <f t="shared" si="220"/>
        <v>466631.74999999994</v>
      </c>
      <c r="AQ48" s="143">
        <f t="shared" ref="AQ48:AR48" si="246">+AQ36</f>
        <v>48499.664678463945</v>
      </c>
      <c r="AR48" s="168">
        <f t="shared" si="246"/>
        <v>37998</v>
      </c>
      <c r="AS48" s="57">
        <f t="shared" ref="AS48:AV48" si="247">+AS36</f>
        <v>360299.69250155729</v>
      </c>
      <c r="AT48" s="35">
        <f t="shared" si="247"/>
        <v>504629.75</v>
      </c>
      <c r="AU48" s="143">
        <f t="shared" si="247"/>
        <v>41500.010429203743</v>
      </c>
      <c r="AV48" s="168">
        <f t="shared" si="247"/>
        <v>18442</v>
      </c>
      <c r="AW48" s="57">
        <f t="shared" ref="AW48:AZ48" si="248">+AW36</f>
        <v>401799.70293076104</v>
      </c>
      <c r="AX48" s="35">
        <f t="shared" si="248"/>
        <v>523071.75</v>
      </c>
      <c r="AY48" s="143">
        <f t="shared" si="248"/>
        <v>46999.690762923987</v>
      </c>
      <c r="AZ48" s="168">
        <f t="shared" si="248"/>
        <v>42319.899000000005</v>
      </c>
      <c r="BA48" s="717">
        <f t="shared" si="221"/>
        <v>136999.36587059166</v>
      </c>
      <c r="BB48" s="717">
        <f t="shared" si="222"/>
        <v>98759.899000000005</v>
      </c>
      <c r="BC48" s="429">
        <f t="shared" si="223"/>
        <v>277498.53673023893</v>
      </c>
      <c r="BD48" s="429">
        <f t="shared" si="224"/>
        <v>278697.89899999998</v>
      </c>
      <c r="BE48" s="57">
        <f>AW48+AY48</f>
        <v>448799.39369368501</v>
      </c>
      <c r="BF48" s="57">
        <f t="shared" si="225"/>
        <v>565391.64899999998</v>
      </c>
      <c r="BH48" s="1590">
        <v>524798.33712910966</v>
      </c>
      <c r="BI48" s="1590">
        <v>603457.67699999991</v>
      </c>
      <c r="BJ48" s="1590">
        <v>479999.55640071473</v>
      </c>
      <c r="BK48" s="1590">
        <v>622038.29920000001</v>
      </c>
      <c r="BL48" s="1590">
        <v>649999.91641318286</v>
      </c>
      <c r="BM48" s="1590">
        <v>676651.51417999994</v>
      </c>
      <c r="BN48" s="1590">
        <v>711198.95600000001</v>
      </c>
      <c r="BO48" s="1590">
        <v>669999.10878236312</v>
      </c>
      <c r="BP48" s="1590">
        <v>832014.92464244016</v>
      </c>
      <c r="BQ48" s="1590">
        <f>+BQ36</f>
        <v>904433.82567653409</v>
      </c>
      <c r="BR48" s="1590">
        <v>937874.53289999999</v>
      </c>
      <c r="BS48" s="1590">
        <v>571999.74093264237</v>
      </c>
      <c r="BT48" s="998">
        <f>+BT36</f>
        <v>877839.95550700894</v>
      </c>
      <c r="BU48" s="3464"/>
      <c r="BV48" s="23"/>
      <c r="BW48" s="23"/>
      <c r="BX48" s="491"/>
      <c r="BY48" s="491"/>
    </row>
    <row r="49" spans="1:77" ht="15" customHeight="1" x14ac:dyDescent="0.3">
      <c r="B49" s="1781" t="s">
        <v>1486</v>
      </c>
      <c r="C49" s="1760" t="s">
        <v>50</v>
      </c>
      <c r="D49" s="2262">
        <f t="shared" ref="D49:R49" si="249">SUM(D39:D48)</f>
        <v>2710000.3965460081</v>
      </c>
      <c r="E49" s="1225">
        <f t="shared" si="249"/>
        <v>181999.95710934181</v>
      </c>
      <c r="F49" s="1038">
        <f t="shared" si="249"/>
        <v>208722.19400000008</v>
      </c>
      <c r="G49" s="1225">
        <f t="shared" ref="G49:H49" si="250">SUM(G39:G48)</f>
        <v>168000.49149549403</v>
      </c>
      <c r="H49" s="1038">
        <f t="shared" si="250"/>
        <v>88350.248000000036</v>
      </c>
      <c r="I49" s="1846">
        <f t="shared" si="249"/>
        <v>350000.44860483584</v>
      </c>
      <c r="J49" s="1847">
        <f t="shared" si="249"/>
        <v>297072.4420000001</v>
      </c>
      <c r="K49" s="1225">
        <f t="shared" ref="K49:L49" si="251">SUM(K39:K48)</f>
        <v>229000.11088311521</v>
      </c>
      <c r="L49" s="1038">
        <f t="shared" si="251"/>
        <v>227893.99800000005</v>
      </c>
      <c r="M49" s="1838">
        <f t="shared" si="249"/>
        <v>579000.55948795099</v>
      </c>
      <c r="N49" s="1839">
        <f t="shared" si="249"/>
        <v>524966.44000000018</v>
      </c>
      <c r="O49" s="1225">
        <f t="shared" ref="O49:P49" si="252">SUM(O39:O48)</f>
        <v>231500.1413553209</v>
      </c>
      <c r="P49" s="1038">
        <f t="shared" si="252"/>
        <v>243213.77700000009</v>
      </c>
      <c r="Q49" s="1846">
        <f t="shared" si="249"/>
        <v>810500.70084327192</v>
      </c>
      <c r="R49" s="1847">
        <f t="shared" si="249"/>
        <v>768180.21700000006</v>
      </c>
      <c r="S49" s="1225">
        <f t="shared" ref="S49:T49" si="253">SUM(S39:S48)</f>
        <v>231500.1413553209</v>
      </c>
      <c r="T49" s="1038">
        <f t="shared" si="253"/>
        <v>219025.52800000002</v>
      </c>
      <c r="U49" s="1846">
        <f t="shared" ref="U49:X49" si="254">SUM(U39:U48)</f>
        <v>1042000.8421985928</v>
      </c>
      <c r="V49" s="1847">
        <f t="shared" si="254"/>
        <v>987205.74500000023</v>
      </c>
      <c r="W49" s="1225">
        <f t="shared" si="254"/>
        <v>121300.0147648532</v>
      </c>
      <c r="X49" s="1038">
        <f t="shared" si="254"/>
        <v>222811.90100000007</v>
      </c>
      <c r="Y49" s="346">
        <f t="shared" ref="Y49:AD49" si="255">SUM(Y39:Y48)</f>
        <v>584300.29747549503</v>
      </c>
      <c r="Z49" s="346">
        <f t="shared" si="255"/>
        <v>685051.20600000024</v>
      </c>
      <c r="AA49" s="502">
        <f t="shared" si="255"/>
        <v>1163300.8569634459</v>
      </c>
      <c r="AB49" s="502">
        <f t="shared" si="255"/>
        <v>1210017.6460000002</v>
      </c>
      <c r="AC49" s="1225">
        <f t="shared" si="255"/>
        <v>236499.5281597563</v>
      </c>
      <c r="AD49" s="1038">
        <f t="shared" si="255"/>
        <v>176451.7220000001</v>
      </c>
      <c r="AE49" s="1846">
        <f t="shared" ref="AE49:AH49" si="256">SUM(AE39:AE48)</f>
        <v>1399800.3851232023</v>
      </c>
      <c r="AF49" s="1847">
        <f t="shared" si="256"/>
        <v>1386469.3680000002</v>
      </c>
      <c r="AG49" s="1225">
        <f t="shared" si="256"/>
        <v>228999.58845567459</v>
      </c>
      <c r="AH49" s="1038">
        <f t="shared" si="256"/>
        <v>214475.05900000007</v>
      </c>
      <c r="AI49" s="1846">
        <f t="shared" ref="AI49:AL49" si="257">SUM(AI39:AI48)</f>
        <v>1628799.9735788768</v>
      </c>
      <c r="AJ49" s="1847">
        <f t="shared" si="257"/>
        <v>1600944.4270000006</v>
      </c>
      <c r="AK49" s="1225">
        <f t="shared" si="257"/>
        <v>236500.05424421642</v>
      </c>
      <c r="AL49" s="1038">
        <f t="shared" si="257"/>
        <v>231662.29500000016</v>
      </c>
      <c r="AM49" s="346">
        <f t="shared" ref="AM49:AR49" si="258">SUM(AM39:AM48)</f>
        <v>701999.17085964722</v>
      </c>
      <c r="AN49" s="346">
        <f t="shared" si="258"/>
        <v>622589.07600000035</v>
      </c>
      <c r="AO49" s="1846">
        <f t="shared" si="258"/>
        <v>1865300.0278230933</v>
      </c>
      <c r="AP49" s="1847">
        <f t="shared" si="258"/>
        <v>1832606.7220000008</v>
      </c>
      <c r="AQ49" s="1225">
        <f t="shared" si="258"/>
        <v>239999.66467846395</v>
      </c>
      <c r="AR49" s="1038">
        <f t="shared" si="258"/>
        <v>224562.12800000014</v>
      </c>
      <c r="AS49" s="1846">
        <f t="shared" ref="AS49:AV49" si="259">SUM(AS39:AS48)</f>
        <v>2105299.6925015571</v>
      </c>
      <c r="AT49" s="1847">
        <f t="shared" si="259"/>
        <v>2057168.8500000008</v>
      </c>
      <c r="AU49" s="1225">
        <f t="shared" si="259"/>
        <v>214000.01042920374</v>
      </c>
      <c r="AV49" s="1038">
        <f t="shared" si="259"/>
        <v>184200.41800000009</v>
      </c>
      <c r="AW49" s="1846">
        <f t="shared" ref="AW49:AZ49" si="260">SUM(AW39:AW48)</f>
        <v>2319299.702930761</v>
      </c>
      <c r="AX49" s="1847">
        <f t="shared" si="260"/>
        <v>2241369.2680000011</v>
      </c>
      <c r="AY49" s="1225">
        <f t="shared" si="260"/>
        <v>239999.69076292397</v>
      </c>
      <c r="AZ49" s="1038">
        <f t="shared" si="260"/>
        <v>233332.89499999999</v>
      </c>
      <c r="BA49" s="346">
        <f t="shared" ref="BA49:BF49" si="261">SUM(BA39:BA48)</f>
        <v>693999.36587059172</v>
      </c>
      <c r="BB49" s="346">
        <f t="shared" si="261"/>
        <v>642095.44100000011</v>
      </c>
      <c r="BC49" s="502">
        <f t="shared" si="261"/>
        <v>1395998.5367302389</v>
      </c>
      <c r="BD49" s="502">
        <f t="shared" si="261"/>
        <v>1264684.5170000005</v>
      </c>
      <c r="BE49" s="1846">
        <f t="shared" si="261"/>
        <v>2559299.3936936851</v>
      </c>
      <c r="BF49" s="1847">
        <f t="shared" si="261"/>
        <v>2474702.1630000006</v>
      </c>
      <c r="BH49" s="1037">
        <v>2674798.3371291095</v>
      </c>
      <c r="BI49" s="1037">
        <v>2604730.2500000009</v>
      </c>
      <c r="BJ49" s="1037">
        <v>2409999.5564007149</v>
      </c>
      <c r="BK49" s="1037">
        <v>2331824.0152000007</v>
      </c>
      <c r="BL49" s="1037">
        <v>2524999.9164131829</v>
      </c>
      <c r="BM49" s="1037">
        <v>2409644.1371800005</v>
      </c>
      <c r="BN49" s="1037">
        <v>2315207.9685</v>
      </c>
      <c r="BO49" s="1037">
        <f t="shared" ref="BO49:BT49" si="262">SUM(BO39:BO48)</f>
        <v>2369999.1087823631</v>
      </c>
      <c r="BP49" s="1037">
        <f t="shared" si="262"/>
        <v>2160425.8190858974</v>
      </c>
      <c r="BQ49" s="1037">
        <f t="shared" si="262"/>
        <v>2235274.9274697341</v>
      </c>
      <c r="BR49" s="1037">
        <f t="shared" si="262"/>
        <v>1823883.8005788068</v>
      </c>
      <c r="BS49" s="1037">
        <f t="shared" si="262"/>
        <v>2406999.7409326425</v>
      </c>
      <c r="BT49" s="1818">
        <f t="shared" si="262"/>
        <v>2093720.1667959802</v>
      </c>
      <c r="BU49" s="3464"/>
      <c r="BV49" s="23"/>
      <c r="BW49" s="23"/>
      <c r="BX49" s="491"/>
      <c r="BY49" s="491"/>
    </row>
    <row r="50" spans="1:77" ht="15" customHeight="1" x14ac:dyDescent="0.3">
      <c r="B50" s="1780" t="s">
        <v>340</v>
      </c>
      <c r="C50" s="1758" t="s">
        <v>50</v>
      </c>
      <c r="D50" s="2262">
        <v>42110.938016750006</v>
      </c>
      <c r="E50" s="143">
        <v>3555.1788667500005</v>
      </c>
      <c r="F50" s="17">
        <v>3446.42</v>
      </c>
      <c r="G50" s="143">
        <v>3555.1788667500005</v>
      </c>
      <c r="H50" s="17">
        <v>3428.96</v>
      </c>
      <c r="I50" s="57">
        <f>+E50+G50</f>
        <v>7110.3577335000009</v>
      </c>
      <c r="J50" s="35">
        <f>+F50+H50</f>
        <v>6875.38</v>
      </c>
      <c r="K50" s="143">
        <v>3531.5250000000001</v>
      </c>
      <c r="L50" s="17">
        <v>3463.0699999999997</v>
      </c>
      <c r="M50" s="68">
        <f>+E50+G50+K50</f>
        <v>10641.882733500001</v>
      </c>
      <c r="N50" s="65">
        <f>+F50+H50+L50</f>
        <v>10338.450000000001</v>
      </c>
      <c r="O50" s="143">
        <v>3649.2424999999998</v>
      </c>
      <c r="P50" s="17">
        <v>3586.12</v>
      </c>
      <c r="Q50" s="57">
        <f>+M50+O50</f>
        <v>14291.125233500001</v>
      </c>
      <c r="R50" s="35">
        <f>+N50+P50</f>
        <v>13924.57</v>
      </c>
      <c r="S50" s="143">
        <v>3649.2424999999998</v>
      </c>
      <c r="T50" s="17">
        <v>3608.6899999999996</v>
      </c>
      <c r="U50" s="57">
        <f>+Q50+S50</f>
        <v>17940.367733499999</v>
      </c>
      <c r="V50" s="35">
        <f>+R50+T50</f>
        <v>17533.259999999998</v>
      </c>
      <c r="W50" s="143">
        <v>3400.5337499999996</v>
      </c>
      <c r="X50" s="17">
        <v>3497.87</v>
      </c>
      <c r="Y50" s="717">
        <f>+O50+S50+W50</f>
        <v>10699.018749999999</v>
      </c>
      <c r="Z50" s="717">
        <f>+P50+T50+X50</f>
        <v>10692.68</v>
      </c>
      <c r="AA50" s="429">
        <f>+M50+Y50</f>
        <v>21340.901483499998</v>
      </c>
      <c r="AB50" s="429">
        <f>+N50+Z50</f>
        <v>21031.13</v>
      </c>
      <c r="AC50" s="143">
        <v>3649.2424999999998</v>
      </c>
      <c r="AD50" s="17">
        <v>3405.82</v>
      </c>
      <c r="AE50" s="57">
        <f>+AA50+AC50</f>
        <v>24990.143983499998</v>
      </c>
      <c r="AF50" s="35">
        <f>+AB50+AD50</f>
        <v>24436.95</v>
      </c>
      <c r="AG50" s="143">
        <v>3531.5250000000001</v>
      </c>
      <c r="AH50" s="17">
        <v>3215</v>
      </c>
      <c r="AI50" s="57">
        <f>+AE50+AG50</f>
        <v>28521.6689835</v>
      </c>
      <c r="AJ50" s="35">
        <f>+AF50+AH50</f>
        <v>27651.95</v>
      </c>
      <c r="AK50" s="143">
        <v>3649.2424999999998</v>
      </c>
      <c r="AL50" s="17">
        <v>3251.75</v>
      </c>
      <c r="AM50" s="717">
        <f>+AC50+AG50+AK50</f>
        <v>10830.01</v>
      </c>
      <c r="AN50" s="717">
        <f>+AD50+AH50+AL50</f>
        <v>9872.57</v>
      </c>
      <c r="AO50" s="57">
        <f>AI50+AK50</f>
        <v>32170.9114835</v>
      </c>
      <c r="AP50" s="57">
        <f t="shared" si="220"/>
        <v>30903.7</v>
      </c>
      <c r="AQ50" s="143">
        <v>3649.2424999999998</v>
      </c>
      <c r="AR50" s="17">
        <v>3434.6800000000003</v>
      </c>
      <c r="AS50" s="57">
        <f>+AO50+AQ50</f>
        <v>35820.1539835</v>
      </c>
      <c r="AT50" s="35">
        <f>+AP50+AR50</f>
        <v>34338.380000000005</v>
      </c>
      <c r="AU50" s="143">
        <v>3296.09</v>
      </c>
      <c r="AV50" s="17">
        <v>3170.67</v>
      </c>
      <c r="AW50" s="57">
        <f>+AS50+AU50</f>
        <v>39116.243983499997</v>
      </c>
      <c r="AX50" s="35">
        <f>+AT50+AV50</f>
        <v>37509.050000000003</v>
      </c>
      <c r="AY50" s="143">
        <v>3649.2424999999998</v>
      </c>
      <c r="AZ50" s="17">
        <v>3562.08</v>
      </c>
      <c r="BA50" s="717">
        <f t="shared" ref="BA50:BA51" si="263">+AQ50+AU50+AY50</f>
        <v>10594.575000000001</v>
      </c>
      <c r="BB50" s="717">
        <f t="shared" ref="BB50:BB51" si="264">+AR50+AV50+AZ50</f>
        <v>10167.43</v>
      </c>
      <c r="BC50" s="429">
        <f t="shared" ref="BC50:BC51" si="265">AM50+BA50</f>
        <v>21424.584999999999</v>
      </c>
      <c r="BD50" s="429">
        <f t="shared" ref="BD50:BD51" si="266">AN50+BB50</f>
        <v>20040</v>
      </c>
      <c r="BE50" s="57">
        <f>AW50+AY50</f>
        <v>42765.486483499997</v>
      </c>
      <c r="BF50" s="57">
        <f t="shared" ref="BF50:BF51" si="267">AX50+AZ50</f>
        <v>41071.130000000005</v>
      </c>
      <c r="BH50" s="1590">
        <v>42940.816249999996</v>
      </c>
      <c r="BI50" s="1590">
        <v>41221.32</v>
      </c>
      <c r="BJ50" s="1590">
        <v>46866.669119999991</v>
      </c>
      <c r="BK50" s="1590">
        <v>43164.837499999994</v>
      </c>
      <c r="BL50" s="1590">
        <v>50890.945799999994</v>
      </c>
      <c r="BM50" s="1590">
        <v>44869.641499999998</v>
      </c>
      <c r="BN50" s="1590">
        <v>48878.170000000006</v>
      </c>
      <c r="BO50" s="1590">
        <v>51086.382800000007</v>
      </c>
      <c r="BP50" s="1590">
        <v>49592.549999999996</v>
      </c>
      <c r="BQ50" s="1590">
        <v>48584.311000000002</v>
      </c>
      <c r="BR50" s="1590">
        <v>46678.95</v>
      </c>
      <c r="BS50" s="1590">
        <v>46118.873100000012</v>
      </c>
      <c r="BT50" s="998">
        <v>49237.57</v>
      </c>
      <c r="BU50" s="3464"/>
      <c r="BV50" s="23"/>
      <c r="BW50" s="23"/>
      <c r="BX50" s="491"/>
      <c r="BY50" s="491"/>
    </row>
    <row r="51" spans="1:77" ht="15" customHeight="1" x14ac:dyDescent="0.3">
      <c r="B51" s="1780" t="s">
        <v>341</v>
      </c>
      <c r="C51" s="1758" t="s">
        <v>50</v>
      </c>
      <c r="D51" s="2262">
        <v>10785.096894299999</v>
      </c>
      <c r="E51" s="143">
        <v>917.00899430000004</v>
      </c>
      <c r="F51" s="17">
        <v>553</v>
      </c>
      <c r="G51" s="143">
        <v>917.00899430000004</v>
      </c>
      <c r="H51" s="17">
        <v>667.8</v>
      </c>
      <c r="I51" s="57">
        <f>+E51+G51</f>
        <v>1834.0179886000001</v>
      </c>
      <c r="J51" s="35">
        <f>+F51+H51</f>
        <v>1220.8</v>
      </c>
      <c r="K51" s="143">
        <v>816.31144000000006</v>
      </c>
      <c r="L51" s="17">
        <v>494.65</v>
      </c>
      <c r="M51" s="68">
        <f>+E51+G51+K51</f>
        <v>2650.3294286</v>
      </c>
      <c r="N51" s="65">
        <f>+F51+H51+L51</f>
        <v>1715.4499999999998</v>
      </c>
      <c r="O51" s="143">
        <v>845.46541999999999</v>
      </c>
      <c r="P51" s="17">
        <v>717.5</v>
      </c>
      <c r="Q51" s="57">
        <f>+M51+O51</f>
        <v>3495.7948486</v>
      </c>
      <c r="R51" s="35">
        <f>+N51+P51</f>
        <v>2432.9499999999998</v>
      </c>
      <c r="S51" s="143">
        <v>845.46541999999999</v>
      </c>
      <c r="T51" s="17">
        <v>586.54999999999995</v>
      </c>
      <c r="U51" s="57">
        <f>+Q51+S51</f>
        <v>4341.2602686</v>
      </c>
      <c r="V51" s="35">
        <f>+R51+T51</f>
        <v>3019.5</v>
      </c>
      <c r="W51" s="143">
        <v>790.46478000000002</v>
      </c>
      <c r="X51" s="17">
        <v>519.6</v>
      </c>
      <c r="Y51" s="717">
        <f>+O51+S51+W51</f>
        <v>2481.3956200000002</v>
      </c>
      <c r="Z51" s="717">
        <f>+P51+T51+X51</f>
        <v>1823.65</v>
      </c>
      <c r="AA51" s="429">
        <f>+M51+Y51</f>
        <v>5131.7250486000003</v>
      </c>
      <c r="AB51" s="429">
        <f>+N51+Z51</f>
        <v>3539.1</v>
      </c>
      <c r="AC51" s="143">
        <v>376.59342000000004</v>
      </c>
      <c r="AD51" s="17">
        <v>502.5</v>
      </c>
      <c r="AE51" s="57">
        <f>+AA51+AC51</f>
        <v>5508.3184686000004</v>
      </c>
      <c r="AF51" s="35">
        <f>+AB51+AD51</f>
        <v>4041.6</v>
      </c>
      <c r="AG51" s="143">
        <v>452.70400000000001</v>
      </c>
      <c r="AH51" s="17">
        <v>384</v>
      </c>
      <c r="AI51" s="57">
        <f>+AE51+AG51</f>
        <v>5961.0224686000001</v>
      </c>
      <c r="AJ51" s="35">
        <f>+AF51+AH51</f>
        <v>4425.6000000000004</v>
      </c>
      <c r="AK51" s="143">
        <v>845.46541999999999</v>
      </c>
      <c r="AL51" s="17">
        <v>573.79999999999995</v>
      </c>
      <c r="AM51" s="717">
        <f>+AC51+AG51+AK51</f>
        <v>1674.7628400000001</v>
      </c>
      <c r="AN51" s="717">
        <f>+AD51+AH51+AL51</f>
        <v>1460.3</v>
      </c>
      <c r="AO51" s="57">
        <f>AI51+AK51</f>
        <v>6806.4878886000006</v>
      </c>
      <c r="AP51" s="57">
        <f t="shared" si="220"/>
        <v>4999.4000000000005</v>
      </c>
      <c r="AQ51" s="143">
        <v>845.46541999999999</v>
      </c>
      <c r="AR51" s="17">
        <v>682.35</v>
      </c>
      <c r="AS51" s="57">
        <f>+AO51+AQ51</f>
        <v>7651.953308600001</v>
      </c>
      <c r="AT51" s="35">
        <f>+AP51+AR51</f>
        <v>5681.7500000000009</v>
      </c>
      <c r="AU51" s="143">
        <v>758.00348000000008</v>
      </c>
      <c r="AV51" s="17">
        <v>478.4</v>
      </c>
      <c r="AW51" s="57">
        <f>+AS51+AU51</f>
        <v>8409.9567886000004</v>
      </c>
      <c r="AX51" s="35">
        <f>+AT51+AV51</f>
        <v>6160.1500000000005</v>
      </c>
      <c r="AY51" s="143">
        <v>845.46541999999999</v>
      </c>
      <c r="AZ51" s="17">
        <v>412.2</v>
      </c>
      <c r="BA51" s="717">
        <f t="shared" si="263"/>
        <v>2448.9343200000003</v>
      </c>
      <c r="BB51" s="717">
        <f t="shared" si="264"/>
        <v>1572.95</v>
      </c>
      <c r="BC51" s="429">
        <f t="shared" si="265"/>
        <v>4123.6971600000006</v>
      </c>
      <c r="BD51" s="429">
        <f t="shared" si="266"/>
        <v>3033.25</v>
      </c>
      <c r="BE51" s="57">
        <f>AW51+AY51</f>
        <v>9255.4222086000009</v>
      </c>
      <c r="BF51" s="57">
        <f t="shared" si="267"/>
        <v>6572.35</v>
      </c>
      <c r="BH51" s="1590">
        <v>9122.3970800000006</v>
      </c>
      <c r="BI51" s="1590">
        <v>6514.05</v>
      </c>
      <c r="BJ51" s="1590">
        <v>9348.2025633333342</v>
      </c>
      <c r="BK51" s="1590">
        <v>4897.75</v>
      </c>
      <c r="BL51" s="1590">
        <v>8145.2</v>
      </c>
      <c r="BM51" s="1590">
        <v>16578.809000000001</v>
      </c>
      <c r="BN51" s="1590">
        <v>8876.9</v>
      </c>
      <c r="BO51" s="1590">
        <v>21728.852072500002</v>
      </c>
      <c r="BP51" s="1590">
        <v>10510.61</v>
      </c>
      <c r="BQ51" s="1590">
        <v>15654.414839999999</v>
      </c>
      <c r="BR51" s="998">
        <v>12312.800000000001</v>
      </c>
      <c r="BS51" s="2436"/>
      <c r="BT51" s="2436"/>
      <c r="BU51" s="3464"/>
      <c r="BV51" s="23"/>
      <c r="BW51" s="23"/>
      <c r="BX51" s="491"/>
      <c r="BY51" s="491"/>
    </row>
    <row r="52" spans="1:77" ht="15" customHeight="1" x14ac:dyDescent="0.3">
      <c r="A52" s="137"/>
      <c r="B52" s="1820"/>
      <c r="C52" s="23"/>
      <c r="D52" s="2263"/>
      <c r="E52" s="2263"/>
      <c r="F52" s="2263"/>
      <c r="G52" s="2263"/>
      <c r="H52" s="2263"/>
      <c r="I52" s="2263"/>
      <c r="J52" s="2263"/>
      <c r="K52" s="2263"/>
      <c r="L52" s="2263"/>
      <c r="M52" s="2263"/>
      <c r="N52" s="2263"/>
      <c r="O52" s="2263"/>
      <c r="P52" s="2263"/>
      <c r="Q52" s="2263"/>
      <c r="R52" s="2263"/>
      <c r="S52" s="2263"/>
      <c r="T52" s="2263"/>
      <c r="U52" s="2263"/>
      <c r="V52" s="2263"/>
      <c r="W52" s="2263"/>
      <c r="X52" s="2263"/>
      <c r="Y52" s="2263"/>
      <c r="Z52" s="2263"/>
      <c r="AA52" s="2263"/>
      <c r="AB52" s="2263"/>
      <c r="AC52" s="2263"/>
      <c r="AD52" s="2263"/>
      <c r="AE52" s="2263"/>
      <c r="AF52" s="2263"/>
      <c r="AG52" s="2263"/>
      <c r="AH52" s="2263"/>
      <c r="AI52" s="2263"/>
      <c r="AJ52" s="2263"/>
      <c r="AK52" s="2263"/>
      <c r="AL52" s="2263"/>
      <c r="AM52" s="2263"/>
      <c r="AN52" s="2263"/>
      <c r="AO52" s="2263"/>
      <c r="AP52" s="2263"/>
      <c r="AQ52" s="2263"/>
      <c r="AR52" s="2263"/>
      <c r="AS52" s="2263"/>
      <c r="AT52" s="2263"/>
      <c r="AU52" s="2263"/>
      <c r="AV52" s="2263"/>
      <c r="AW52" s="2263"/>
      <c r="AX52" s="2263"/>
      <c r="AY52" s="2263"/>
      <c r="AZ52" s="2263"/>
      <c r="BA52" s="2263"/>
      <c r="BB52" s="2263"/>
      <c r="BC52" s="2263"/>
      <c r="BD52" s="2263"/>
      <c r="BE52" s="2263"/>
      <c r="BF52" s="2263"/>
      <c r="BH52" s="5759"/>
      <c r="BJ52" s="23"/>
      <c r="BK52" s="23"/>
      <c r="BL52" s="23"/>
      <c r="BM52" s="23"/>
      <c r="BN52" s="23"/>
      <c r="BO52" s="23"/>
      <c r="BP52" s="23"/>
      <c r="BQ52" s="23"/>
      <c r="BR52" s="1817"/>
      <c r="BS52" s="2436"/>
      <c r="BT52" s="2436"/>
      <c r="BU52" s="3464"/>
      <c r="BV52" s="23"/>
      <c r="BW52" s="23"/>
      <c r="BX52" s="491"/>
      <c r="BY52" s="491"/>
    </row>
    <row r="53" spans="1:77" ht="15" thickBot="1" x14ac:dyDescent="0.35">
      <c r="B53" s="1779" t="s">
        <v>672</v>
      </c>
      <c r="C53" s="1761" t="s">
        <v>673</v>
      </c>
      <c r="D53" s="1763">
        <v>18060.98797624221</v>
      </c>
      <c r="E53" s="665">
        <v>1241.609928050606</v>
      </c>
      <c r="F53" s="34">
        <v>1418</v>
      </c>
      <c r="G53" s="665">
        <v>1095.5381718093581</v>
      </c>
      <c r="H53" s="34">
        <v>628</v>
      </c>
      <c r="I53" s="666">
        <f>+E53+G53</f>
        <v>2337.1480998599641</v>
      </c>
      <c r="J53" s="40">
        <f>+F53+H53</f>
        <v>2046</v>
      </c>
      <c r="K53" s="665">
        <v>1580.7365439093485</v>
      </c>
      <c r="L53" s="34">
        <v>1556</v>
      </c>
      <c r="M53" s="1410">
        <f>+E53+G53+K53</f>
        <v>3917.8846437693128</v>
      </c>
      <c r="N53" s="70">
        <f>+F53+H53+L53</f>
        <v>3602</v>
      </c>
      <c r="O53" s="665">
        <v>1599.6222851746932</v>
      </c>
      <c r="P53" s="34">
        <v>1610</v>
      </c>
      <c r="Q53" s="666">
        <f>+M53+O53</f>
        <v>5517.5069289440062</v>
      </c>
      <c r="R53" s="40">
        <f>+N53+P53</f>
        <v>5212</v>
      </c>
      <c r="S53" s="665">
        <v>1599.6222851746932</v>
      </c>
      <c r="T53" s="34">
        <v>1515</v>
      </c>
      <c r="U53" s="666">
        <f>+Q53+S53</f>
        <v>7117.1292141186996</v>
      </c>
      <c r="V53" s="40">
        <f>+R53+T53</f>
        <v>6727</v>
      </c>
      <c r="W53" s="665">
        <v>839.47119924457036</v>
      </c>
      <c r="X53" s="34">
        <v>1448</v>
      </c>
      <c r="Y53" s="452">
        <f>+O53+S53+W53</f>
        <v>4038.7157695939568</v>
      </c>
      <c r="Z53" s="452">
        <f>+P53+T53+X53</f>
        <v>4573</v>
      </c>
      <c r="AA53" s="1040">
        <f>+M53+Y53</f>
        <v>7956.6004133632696</v>
      </c>
      <c r="AB53" s="1040">
        <f>+N53+Z53</f>
        <v>8175</v>
      </c>
      <c r="AC53" s="665">
        <v>1631.0985333333333</v>
      </c>
      <c r="AD53" s="34">
        <v>1145</v>
      </c>
      <c r="AE53" s="666">
        <f>+AA53+AC53</f>
        <v>9587.6989466966024</v>
      </c>
      <c r="AF53" s="40">
        <f>+AB53+AD53</f>
        <v>9320</v>
      </c>
      <c r="AG53" s="665">
        <v>1580.7365439093485</v>
      </c>
      <c r="AH53" s="34">
        <v>1457</v>
      </c>
      <c r="AI53" s="666">
        <f>+AE53+AG53</f>
        <v>11168.435490605951</v>
      </c>
      <c r="AJ53" s="40">
        <f>+AF53+AH53</f>
        <v>10777</v>
      </c>
      <c r="AK53" s="665">
        <v>1631.0985206169341</v>
      </c>
      <c r="AL53" s="34">
        <v>1504</v>
      </c>
      <c r="AM53" s="452">
        <f>+AC53+AG53+AK53</f>
        <v>4842.9335978596164</v>
      </c>
      <c r="AN53" s="452">
        <f>+AD53+AH53+AL53</f>
        <v>4106</v>
      </c>
      <c r="AO53" s="57">
        <f>AI53+AK53</f>
        <v>12799.534011222884</v>
      </c>
      <c r="AP53" s="57">
        <f t="shared" si="220"/>
        <v>12281</v>
      </c>
      <c r="AQ53" s="665">
        <v>1656.2795089707272</v>
      </c>
      <c r="AR53" s="34">
        <v>1461</v>
      </c>
      <c r="AS53" s="666">
        <f>+AO53+AQ53</f>
        <v>14455.813520193611</v>
      </c>
      <c r="AT53" s="40">
        <f>+AP53+AR53</f>
        <v>13742</v>
      </c>
      <c r="AU53" s="665">
        <v>1480.0125904941769</v>
      </c>
      <c r="AV53" s="34">
        <v>1185</v>
      </c>
      <c r="AW53" s="666">
        <f>+AS53+AU53</f>
        <v>15935.826110687787</v>
      </c>
      <c r="AX53" s="40">
        <f>+AT53+AV53</f>
        <v>14927</v>
      </c>
      <c r="AY53" s="665">
        <v>1656.2795089707272</v>
      </c>
      <c r="AZ53" s="34">
        <v>1526</v>
      </c>
      <c r="BA53" s="452">
        <f>+AQ53+AU53+AY53</f>
        <v>4792.5716084356309</v>
      </c>
      <c r="BB53" s="452">
        <f>+AR53+AV53+AZ53</f>
        <v>4172</v>
      </c>
      <c r="BC53" s="429">
        <f>AM53+BA53</f>
        <v>9635.5052062952473</v>
      </c>
      <c r="BD53" s="429">
        <f t="shared" ref="BD53" si="268">AN53+BB53</f>
        <v>8278</v>
      </c>
      <c r="BE53" s="57">
        <f>AW53+AY53</f>
        <v>17592.105619658516</v>
      </c>
      <c r="BF53" s="57">
        <f t="shared" ref="BF53" si="269">AX53+AZ53</f>
        <v>16453</v>
      </c>
      <c r="BH53" s="1041">
        <v>18466.792584324838</v>
      </c>
      <c r="BI53" s="1041">
        <v>17246</v>
      </c>
      <c r="BJ53" s="1041">
        <v>16596.855319496852</v>
      </c>
      <c r="BK53" s="1041">
        <v>15925</v>
      </c>
      <c r="BL53" s="1041">
        <v>16116</v>
      </c>
      <c r="BM53" s="1041">
        <v>16344.714992175272</v>
      </c>
      <c r="BN53" s="1041">
        <v>14624</v>
      </c>
      <c r="BO53" s="1041">
        <v>15300.816666666668</v>
      </c>
      <c r="BP53" s="1041">
        <v>12158</v>
      </c>
      <c r="BQ53" s="1041">
        <v>16891.891891891893</v>
      </c>
      <c r="BR53" s="1000">
        <v>14151</v>
      </c>
      <c r="BS53" s="2436"/>
      <c r="BT53" s="2436"/>
      <c r="BU53" s="3464"/>
      <c r="BV53" s="23"/>
      <c r="BW53" s="23"/>
      <c r="BX53" s="491"/>
      <c r="BY53" s="491"/>
    </row>
    <row r="54" spans="1:77" x14ac:dyDescent="0.3">
      <c r="E54" s="82"/>
      <c r="F54" s="88"/>
      <c r="G54" s="82"/>
      <c r="H54" s="88"/>
      <c r="I54" s="82"/>
      <c r="J54" s="88"/>
      <c r="K54" s="82"/>
      <c r="L54" s="88"/>
      <c r="M54" s="82"/>
      <c r="N54" s="88"/>
      <c r="O54" s="82"/>
      <c r="P54" s="88"/>
      <c r="Q54" s="82"/>
      <c r="R54" s="88"/>
      <c r="S54" s="82"/>
      <c r="T54" s="88"/>
      <c r="U54" s="82"/>
      <c r="V54" s="88"/>
      <c r="W54" s="82"/>
      <c r="X54" s="88"/>
      <c r="Z54" s="88"/>
      <c r="AC54" s="82"/>
      <c r="AD54" s="88"/>
      <c r="AE54" s="82"/>
      <c r="AF54" s="88"/>
      <c r="AG54" s="82"/>
      <c r="AH54" s="88"/>
      <c r="AI54" s="82"/>
      <c r="AJ54" s="88"/>
      <c r="AK54" s="82"/>
      <c r="AL54" s="88"/>
      <c r="AN54" s="88"/>
      <c r="AO54" s="82"/>
      <c r="AP54" s="88"/>
      <c r="AQ54" s="82"/>
      <c r="AR54" s="88"/>
      <c r="AS54" s="82"/>
      <c r="AT54" s="88"/>
      <c r="AU54" s="82"/>
      <c r="AV54" s="88"/>
      <c r="AW54" s="82"/>
      <c r="AX54" s="88"/>
      <c r="AY54" s="82"/>
      <c r="AZ54" s="88"/>
      <c r="BB54" s="88"/>
      <c r="BE54" s="82"/>
      <c r="BF54" s="88"/>
      <c r="BH54" s="5760"/>
      <c r="BI54" s="137"/>
      <c r="BS54" s="3670"/>
      <c r="BT54" s="3670"/>
      <c r="BU54" s="3464"/>
    </row>
    <row r="55" spans="1:77" ht="15" customHeight="1" x14ac:dyDescent="0.3">
      <c r="E55" s="1232">
        <f t="shared" ref="E55:R55" si="270">+E37-E49</f>
        <v>0</v>
      </c>
      <c r="F55" s="1232">
        <f t="shared" si="270"/>
        <v>0</v>
      </c>
      <c r="G55" s="1232">
        <f t="shared" ref="G55:H55" si="271">+G37-G49</f>
        <v>0</v>
      </c>
      <c r="H55" s="1232">
        <f t="shared" si="271"/>
        <v>0</v>
      </c>
      <c r="I55" s="1232">
        <f t="shared" si="270"/>
        <v>0</v>
      </c>
      <c r="J55" s="1232">
        <f t="shared" si="270"/>
        <v>0</v>
      </c>
      <c r="K55" s="1232">
        <f t="shared" ref="K55:L55" si="272">+K37-K49</f>
        <v>0</v>
      </c>
      <c r="L55" s="1232">
        <f t="shared" si="272"/>
        <v>0</v>
      </c>
      <c r="M55" s="1232">
        <f t="shared" si="270"/>
        <v>0</v>
      </c>
      <c r="N55" s="1232">
        <f t="shared" si="270"/>
        <v>0</v>
      </c>
      <c r="O55" s="1232">
        <f t="shared" si="270"/>
        <v>0</v>
      </c>
      <c r="P55" s="1232">
        <f t="shared" si="270"/>
        <v>0</v>
      </c>
      <c r="Q55" s="1232">
        <f t="shared" si="270"/>
        <v>0</v>
      </c>
      <c r="R55" s="1232">
        <f t="shared" si="270"/>
        <v>0</v>
      </c>
      <c r="S55" s="1232">
        <f t="shared" ref="S55:T55" si="273">+S37-S49</f>
        <v>0</v>
      </c>
      <c r="T55" s="1232">
        <f t="shared" si="273"/>
        <v>0</v>
      </c>
      <c r="U55" s="1232">
        <f t="shared" ref="U55:X55" si="274">+U37-U49</f>
        <v>0</v>
      </c>
      <c r="V55" s="1232">
        <f t="shared" si="274"/>
        <v>0</v>
      </c>
      <c r="W55" s="1232">
        <f t="shared" si="274"/>
        <v>0</v>
      </c>
      <c r="X55" s="1232">
        <f t="shared" si="274"/>
        <v>0</v>
      </c>
      <c r="Y55" s="1232">
        <f t="shared" ref="Y55:AD55" si="275">+Y37-Y49</f>
        <v>0</v>
      </c>
      <c r="Z55" s="1232">
        <f t="shared" si="275"/>
        <v>0</v>
      </c>
      <c r="AA55" s="1232">
        <f t="shared" si="275"/>
        <v>0</v>
      </c>
      <c r="AB55" s="1232">
        <f t="shared" si="275"/>
        <v>0</v>
      </c>
      <c r="AC55" s="1232">
        <f t="shared" si="275"/>
        <v>0</v>
      </c>
      <c r="AD55" s="1232">
        <f t="shared" si="275"/>
        <v>0</v>
      </c>
      <c r="AE55" s="1232">
        <f t="shared" ref="AE55:AH55" si="276">+AE37-AE49</f>
        <v>0</v>
      </c>
      <c r="AF55" s="1232">
        <f t="shared" si="276"/>
        <v>0</v>
      </c>
      <c r="AG55" s="1232">
        <f t="shared" si="276"/>
        <v>0</v>
      </c>
      <c r="AH55" s="1232">
        <f t="shared" si="276"/>
        <v>0</v>
      </c>
      <c r="AI55" s="1232">
        <f t="shared" ref="AI55:AN55" si="277">+AI37-AI49</f>
        <v>0</v>
      </c>
      <c r="AJ55" s="1232">
        <f t="shared" si="277"/>
        <v>0</v>
      </c>
      <c r="AK55" s="1232">
        <f t="shared" si="277"/>
        <v>0</v>
      </c>
      <c r="AL55" s="1232">
        <f t="shared" si="277"/>
        <v>0</v>
      </c>
      <c r="AM55" s="1232">
        <f t="shared" si="277"/>
        <v>0</v>
      </c>
      <c r="AN55" s="1232">
        <f t="shared" si="277"/>
        <v>0</v>
      </c>
      <c r="AO55" s="1232">
        <f t="shared" ref="AO55:AT55" si="278">+AO37-AO49</f>
        <v>0</v>
      </c>
      <c r="AP55" s="1232">
        <f t="shared" si="278"/>
        <v>0</v>
      </c>
      <c r="AQ55" s="1232">
        <f t="shared" si="278"/>
        <v>0</v>
      </c>
      <c r="AR55" s="1232">
        <f t="shared" si="278"/>
        <v>0</v>
      </c>
      <c r="AS55" s="1232">
        <f t="shared" si="278"/>
        <v>0</v>
      </c>
      <c r="AT55" s="1232">
        <f t="shared" si="278"/>
        <v>0</v>
      </c>
      <c r="AU55" s="1232">
        <f t="shared" ref="AU55:AV55" si="279">+AU37-AU49</f>
        <v>0</v>
      </c>
      <c r="AV55" s="1232">
        <f t="shared" si="279"/>
        <v>0</v>
      </c>
      <c r="AW55" s="1232">
        <f t="shared" ref="AW55:BF55" si="280">+AW37-AW49</f>
        <v>0</v>
      </c>
      <c r="AX55" s="1232">
        <f t="shared" si="280"/>
        <v>0</v>
      </c>
      <c r="AY55" s="1232">
        <f t="shared" si="280"/>
        <v>0</v>
      </c>
      <c r="AZ55" s="1232">
        <f t="shared" si="280"/>
        <v>0</v>
      </c>
      <c r="BA55" s="1232">
        <f t="shared" si="280"/>
        <v>0</v>
      </c>
      <c r="BB55" s="1232">
        <f t="shared" si="280"/>
        <v>0</v>
      </c>
      <c r="BC55" s="1232">
        <f t="shared" si="280"/>
        <v>0</v>
      </c>
      <c r="BD55" s="1232">
        <f t="shared" si="280"/>
        <v>0</v>
      </c>
      <c r="BE55" s="1232">
        <f t="shared" si="280"/>
        <v>0</v>
      </c>
      <c r="BF55" s="1232">
        <f t="shared" si="280"/>
        <v>0</v>
      </c>
      <c r="BH55" s="5761">
        <v>0</v>
      </c>
      <c r="BI55" s="5474">
        <v>0</v>
      </c>
      <c r="BJ55" s="1232">
        <v>0</v>
      </c>
      <c r="BK55" s="1232">
        <v>0</v>
      </c>
      <c r="BL55" s="1232">
        <v>-1.2959999963641167E-2</v>
      </c>
      <c r="BM55" s="1232">
        <f t="shared" ref="BM55:BR55" si="281">+BO37-BO49</f>
        <v>0</v>
      </c>
      <c r="BN55" s="1232">
        <f t="shared" si="281"/>
        <v>-3.9024325087666512E-4</v>
      </c>
      <c r="BO55" s="1232">
        <f t="shared" si="281"/>
        <v>0</v>
      </c>
      <c r="BP55" s="1232">
        <f t="shared" si="281"/>
        <v>0.55446018418297172</v>
      </c>
      <c r="BQ55" s="1232">
        <f t="shared" si="281"/>
        <v>0</v>
      </c>
      <c r="BR55" s="1232">
        <f t="shared" si="281"/>
        <v>0</v>
      </c>
      <c r="BS55" s="3670"/>
      <c r="BT55" s="3670"/>
      <c r="BU55" s="3464"/>
    </row>
    <row r="56" spans="1:77" x14ac:dyDescent="0.3">
      <c r="E56" s="23"/>
      <c r="F56" s="23"/>
      <c r="S56" s="23"/>
      <c r="T56" s="23"/>
      <c r="AL56" s="23"/>
    </row>
    <row r="57" spans="1:77" x14ac:dyDescent="0.3">
      <c r="AG57" s="23"/>
      <c r="AV57" s="23"/>
    </row>
    <row r="58" spans="1:77" x14ac:dyDescent="0.3">
      <c r="AH58" s="2232"/>
      <c r="AL58" s="23"/>
      <c r="AM58" s="23"/>
      <c r="AN58" s="23"/>
      <c r="AO58" s="4793"/>
      <c r="AP58" s="23"/>
    </row>
    <row r="59" spans="1:77" x14ac:dyDescent="0.3">
      <c r="AH59" s="2232"/>
      <c r="AO59" s="2232"/>
    </row>
    <row r="60" spans="1:77" x14ac:dyDescent="0.3">
      <c r="AH60" s="2232"/>
      <c r="AO60" s="2232"/>
      <c r="AZ60" s="23"/>
    </row>
    <row r="61" spans="1:77" x14ac:dyDescent="0.3">
      <c r="X61" s="23"/>
      <c r="AH61" s="2232"/>
      <c r="AZ61" s="23"/>
    </row>
    <row r="62" spans="1:77" x14ac:dyDescent="0.3">
      <c r="X62" s="23"/>
      <c r="AZ62" s="23"/>
    </row>
    <row r="63" spans="1:77" x14ac:dyDescent="0.3">
      <c r="X63" s="23"/>
    </row>
    <row r="64" spans="1:77" x14ac:dyDescent="0.3">
      <c r="AO64" s="172"/>
      <c r="AZ64" s="23"/>
    </row>
    <row r="65" spans="41:41" x14ac:dyDescent="0.3">
      <c r="AO65" s="172"/>
    </row>
    <row r="66" spans="41:41" x14ac:dyDescent="0.3">
      <c r="AO66" s="2232"/>
    </row>
    <row r="67" spans="41:41" x14ac:dyDescent="0.3">
      <c r="AO67" s="2232"/>
    </row>
  </sheetData>
  <mergeCells count="99">
    <mergeCell ref="BA42:BA45"/>
    <mergeCell ref="BE42:BE45"/>
    <mergeCell ref="AQ3:AR3"/>
    <mergeCell ref="AS3:AT3"/>
    <mergeCell ref="AQ39:AQ40"/>
    <mergeCell ref="AS39:AS40"/>
    <mergeCell ref="AQ42:AQ45"/>
    <mergeCell ref="AS42:AS45"/>
    <mergeCell ref="BC3:BD3"/>
    <mergeCell ref="BC39:BC40"/>
    <mergeCell ref="BC42:BC45"/>
    <mergeCell ref="AY3:AZ3"/>
    <mergeCell ref="BA3:BB3"/>
    <mergeCell ref="BE3:BF3"/>
    <mergeCell ref="AY39:AY40"/>
    <mergeCell ref="AW42:AW45"/>
    <mergeCell ref="AC42:AC45"/>
    <mergeCell ref="AE42:AE45"/>
    <mergeCell ref="AO42:AO45"/>
    <mergeCell ref="AG42:AG45"/>
    <mergeCell ref="AI42:AI45"/>
    <mergeCell ref="BT42:BT45"/>
    <mergeCell ref="I42:I45"/>
    <mergeCell ref="M42:M45"/>
    <mergeCell ref="BO42:BO45"/>
    <mergeCell ref="BQ42:BQ45"/>
    <mergeCell ref="BS42:BS45"/>
    <mergeCell ref="BR42:BR43"/>
    <mergeCell ref="BP42:BP43"/>
    <mergeCell ref="O42:O45"/>
    <mergeCell ref="S42:S45"/>
    <mergeCell ref="W42:W45"/>
    <mergeCell ref="Y42:Y45"/>
    <mergeCell ref="AY42:AY45"/>
    <mergeCell ref="AU42:AU45"/>
    <mergeCell ref="AK42:AK45"/>
    <mergeCell ref="AM42:AM45"/>
    <mergeCell ref="D39:D40"/>
    <mergeCell ref="AK3:AL3"/>
    <mergeCell ref="AM3:AN3"/>
    <mergeCell ref="AK39:AK40"/>
    <mergeCell ref="AM39:AM40"/>
    <mergeCell ref="AC3:AD3"/>
    <mergeCell ref="AE3:AF3"/>
    <mergeCell ref="AC39:AC40"/>
    <mergeCell ref="AE39:AE40"/>
    <mergeCell ref="Q39:Q40"/>
    <mergeCell ref="AA39:AA40"/>
    <mergeCell ref="Y39:Y40"/>
    <mergeCell ref="W39:W40"/>
    <mergeCell ref="W3:X3"/>
    <mergeCell ref="Y3:Z3"/>
    <mergeCell ref="E39:E40"/>
    <mergeCell ref="M3:N3"/>
    <mergeCell ref="O3:P3"/>
    <mergeCell ref="O39:O40"/>
    <mergeCell ref="K39:K40"/>
    <mergeCell ref="K3:L3"/>
    <mergeCell ref="B3:B4"/>
    <mergeCell ref="C3:C4"/>
    <mergeCell ref="E3:F3"/>
    <mergeCell ref="G3:H3"/>
    <mergeCell ref="I3:J3"/>
    <mergeCell ref="D3:D4"/>
    <mergeCell ref="BS3:BT3"/>
    <mergeCell ref="G39:G40"/>
    <mergeCell ref="BS39:BS40"/>
    <mergeCell ref="I39:I40"/>
    <mergeCell ref="M39:M40"/>
    <mergeCell ref="S3:T3"/>
    <mergeCell ref="U3:V3"/>
    <mergeCell ref="S39:S40"/>
    <mergeCell ref="U39:U40"/>
    <mergeCell ref="BO3:BP3"/>
    <mergeCell ref="BO39:BO40"/>
    <mergeCell ref="Q3:R3"/>
    <mergeCell ref="AA3:AB3"/>
    <mergeCell ref="AW3:AX3"/>
    <mergeCell ref="AU39:AU40"/>
    <mergeCell ref="AW39:AW40"/>
    <mergeCell ref="BQ3:BR3"/>
    <mergeCell ref="BQ39:BQ40"/>
    <mergeCell ref="AG3:AH3"/>
    <mergeCell ref="AI3:AJ3"/>
    <mergeCell ref="AG39:AG40"/>
    <mergeCell ref="AI39:AI40"/>
    <mergeCell ref="AU3:AV3"/>
    <mergeCell ref="AO3:AP3"/>
    <mergeCell ref="AO39:AO40"/>
    <mergeCell ref="BA39:BA40"/>
    <mergeCell ref="BE39:BE40"/>
    <mergeCell ref="BL3:BM3"/>
    <mergeCell ref="BJ3:BK3"/>
    <mergeCell ref="BH3:BI3"/>
    <mergeCell ref="D42:D45"/>
    <mergeCell ref="E42:E45"/>
    <mergeCell ref="G42:G45"/>
    <mergeCell ref="K42:K45"/>
    <mergeCell ref="AA42:AA45"/>
  </mergeCells>
  <printOptions horizontalCentered="1" verticalCentered="1"/>
  <pageMargins left="0" right="0" top="0" bottom="0" header="0" footer="0"/>
  <pageSetup paperSize="9" scale="88" orientation="landscape" verticalDpi="300" r:id="rId1"/>
  <ignoredErrors>
    <ignoredError sqref="J9:J10 I15:J15 M15:N15" formula="1"/>
  </ignoredErrors>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7030A0"/>
    <pageSetUpPr fitToPage="1"/>
  </sheetPr>
  <dimension ref="A1:BU46"/>
  <sheetViews>
    <sheetView workbookViewId="0">
      <pane xSplit="4" topLeftCell="E1" activePane="topRight" state="frozen"/>
      <selection pane="topRight" activeCell="B26" sqref="B26"/>
    </sheetView>
  </sheetViews>
  <sheetFormatPr defaultColWidth="9.109375" defaultRowHeight="14.4" x14ac:dyDescent="0.3"/>
  <cols>
    <col min="1" max="1" width="3.44140625" style="4" customWidth="1"/>
    <col min="2" max="2" width="57.88671875" style="4" customWidth="1"/>
    <col min="3" max="3" width="12.44140625" style="4" customWidth="1"/>
    <col min="4" max="4" width="13.6640625" style="4" bestFit="1" customWidth="1"/>
    <col min="5" max="5" width="12.109375" style="4" customWidth="1"/>
    <col min="6" max="6" width="10.33203125" style="4" customWidth="1"/>
    <col min="7" max="7" width="12.5546875" style="4" customWidth="1"/>
    <col min="8" max="8" width="8.6640625" style="4" bestFit="1" customWidth="1"/>
    <col min="9" max="9" width="10.44140625" style="4" customWidth="1"/>
    <col min="10" max="10" width="9.88671875" style="4" customWidth="1"/>
    <col min="11" max="11" width="7.88671875" style="4" hidden="1" customWidth="1"/>
    <col min="12" max="12" width="9.88671875" style="4" hidden="1" customWidth="1"/>
    <col min="13" max="13" width="7.88671875" style="4" hidden="1" customWidth="1"/>
    <col min="14" max="14" width="11.33203125" style="4" hidden="1" customWidth="1"/>
    <col min="15" max="15" width="7.88671875" style="4" hidden="1" customWidth="1"/>
    <col min="16" max="16" width="9.88671875" style="4" hidden="1" customWidth="1"/>
    <col min="17" max="17" width="9.5546875" style="4" hidden="1" customWidth="1"/>
    <col min="18" max="18" width="11.33203125" style="4" hidden="1" customWidth="1"/>
    <col min="19" max="19" width="12.109375" style="4" hidden="1" customWidth="1"/>
    <col min="20" max="20" width="9.88671875" style="4" hidden="1" customWidth="1"/>
    <col min="21" max="21" width="9" style="4" hidden="1" customWidth="1"/>
    <col min="22" max="22" width="11.33203125" style="4" hidden="1" customWidth="1"/>
    <col min="23" max="24" width="9.88671875" style="4" hidden="1" customWidth="1"/>
    <col min="25" max="25" width="9.109375" style="4" hidden="1" customWidth="1"/>
    <col min="26" max="26" width="11.33203125" style="4" hidden="1" customWidth="1"/>
    <col min="27" max="27" width="9.109375" style="4" hidden="1" customWidth="1"/>
    <col min="28" max="58" width="11.33203125" style="4" hidden="1" customWidth="1"/>
    <col min="59" max="59" width="4.33203125" customWidth="1"/>
    <col min="60" max="60" width="11.33203125" style="4" hidden="1" customWidth="1"/>
    <col min="61" max="61" width="11.33203125" style="4" customWidth="1"/>
    <col min="62" max="62" width="11.33203125" style="4" hidden="1" customWidth="1"/>
    <col min="63" max="63" width="11.33203125" style="4" customWidth="1"/>
    <col min="64" max="64" width="11.33203125" style="4" hidden="1" customWidth="1"/>
    <col min="65" max="65" width="11.33203125" style="4" customWidth="1"/>
    <col min="66" max="66" width="9.109375" style="4" hidden="1" customWidth="1"/>
    <col min="67" max="67" width="13" style="4" hidden="1" customWidth="1"/>
    <col min="68" max="68" width="11.33203125" style="4" hidden="1" customWidth="1"/>
    <col min="69" max="69" width="13.5546875" style="4" hidden="1" customWidth="1"/>
    <col min="70" max="70" width="9" style="4" hidden="1" customWidth="1"/>
    <col min="71" max="71" width="13.6640625" style="4" hidden="1" customWidth="1"/>
    <col min="72" max="73" width="9" style="4" hidden="1" customWidth="1"/>
    <col min="74" max="16384" width="9.109375" style="4"/>
  </cols>
  <sheetData>
    <row r="1" spans="1:73" ht="22.8" x14ac:dyDescent="0.4">
      <c r="B1" s="357" t="s">
        <v>1903</v>
      </c>
      <c r="C1" s="357"/>
      <c r="D1" s="357"/>
      <c r="E1" s="357"/>
      <c r="F1" s="357"/>
      <c r="G1" s="357"/>
      <c r="H1" s="357"/>
      <c r="I1" s="357"/>
      <c r="J1" s="357"/>
      <c r="K1" s="357"/>
      <c r="L1" s="357"/>
      <c r="M1" s="357"/>
      <c r="N1" s="357"/>
      <c r="O1" s="728"/>
      <c r="P1" s="357"/>
      <c r="Q1" s="357"/>
      <c r="R1" s="357"/>
      <c r="S1" s="357"/>
      <c r="T1" s="357"/>
      <c r="U1" s="357"/>
      <c r="V1" s="357"/>
      <c r="W1" s="357"/>
      <c r="X1" s="357"/>
      <c r="Y1" s="357"/>
      <c r="Z1" s="357"/>
      <c r="AA1" s="357"/>
      <c r="AB1" s="357"/>
      <c r="AC1" s="357"/>
      <c r="AD1" s="357"/>
      <c r="AE1" s="357"/>
      <c r="AF1" s="357"/>
      <c r="AG1" s="357"/>
      <c r="AH1" s="357"/>
      <c r="AI1" s="357"/>
      <c r="AJ1" s="357"/>
      <c r="AK1" s="357"/>
      <c r="AL1" s="357"/>
      <c r="AM1" s="357"/>
      <c r="AN1" s="357"/>
      <c r="AO1" s="357"/>
      <c r="AP1" s="357"/>
      <c r="AQ1" s="357"/>
      <c r="AR1" s="357"/>
      <c r="AS1" s="357"/>
      <c r="AT1" s="357"/>
      <c r="AU1" s="357"/>
      <c r="AV1" s="357"/>
      <c r="AW1" s="357"/>
      <c r="AX1" s="357"/>
      <c r="AY1" s="357"/>
      <c r="AZ1" s="357"/>
      <c r="BA1" s="357"/>
      <c r="BB1" s="357"/>
      <c r="BC1" s="357"/>
      <c r="BD1" s="357"/>
      <c r="BE1" s="357"/>
      <c r="BF1" s="357"/>
      <c r="BH1" s="357"/>
      <c r="BI1" s="357"/>
      <c r="BJ1" s="357"/>
      <c r="BK1" s="357"/>
      <c r="BL1" s="357"/>
      <c r="BM1" s="357"/>
      <c r="BN1" s="357"/>
      <c r="BO1" s="357"/>
      <c r="BP1" s="357"/>
      <c r="BQ1" s="357"/>
      <c r="BR1" s="357"/>
      <c r="BS1" s="357"/>
      <c r="BT1" s="357"/>
      <c r="BU1" s="357"/>
    </row>
    <row r="2" spans="1:73" ht="15" thickBot="1" x14ac:dyDescent="0.35">
      <c r="B2" s="668"/>
      <c r="C2" s="41"/>
      <c r="D2" s="41"/>
      <c r="E2" s="189">
        <v>30</v>
      </c>
      <c r="F2" s="189">
        <v>30</v>
      </c>
      <c r="G2" s="189">
        <v>31</v>
      </c>
      <c r="H2" s="189">
        <v>31</v>
      </c>
      <c r="I2" s="189">
        <f>+G2+E2</f>
        <v>61</v>
      </c>
      <c r="J2" s="189">
        <f>+H2+F2</f>
        <v>61</v>
      </c>
      <c r="K2" s="189">
        <v>30</v>
      </c>
      <c r="L2" s="189">
        <v>30</v>
      </c>
      <c r="M2" s="189">
        <f>+E2+G2+K2</f>
        <v>91</v>
      </c>
      <c r="N2" s="189">
        <f>+F2+H2+L2</f>
        <v>91</v>
      </c>
      <c r="O2" s="597">
        <v>31</v>
      </c>
      <c r="P2" s="189">
        <v>31</v>
      </c>
      <c r="Q2" s="189">
        <f>+M2+O2</f>
        <v>122</v>
      </c>
      <c r="R2" s="189">
        <f>+N2+P2</f>
        <v>122</v>
      </c>
      <c r="S2" s="189">
        <v>31</v>
      </c>
      <c r="T2" s="189">
        <v>31</v>
      </c>
      <c r="U2" s="189">
        <f>+Q2+S2</f>
        <v>153</v>
      </c>
      <c r="V2" s="189">
        <f>+R2+T2</f>
        <v>153</v>
      </c>
      <c r="W2" s="189">
        <v>30</v>
      </c>
      <c r="X2" s="189">
        <v>30</v>
      </c>
      <c r="Y2" s="189">
        <f>+O2+S2+W2</f>
        <v>92</v>
      </c>
      <c r="Z2" s="189">
        <f>+P2+T2+X2</f>
        <v>92</v>
      </c>
      <c r="AA2" s="189">
        <f>+M2+Y2</f>
        <v>183</v>
      </c>
      <c r="AB2" s="189">
        <f>+N2+Z2</f>
        <v>183</v>
      </c>
      <c r="AC2" s="189">
        <v>31</v>
      </c>
      <c r="AD2" s="189">
        <v>31</v>
      </c>
      <c r="AE2" s="189">
        <f>AA2+AC2</f>
        <v>214</v>
      </c>
      <c r="AF2" s="189">
        <f>AB2+AD2</f>
        <v>214</v>
      </c>
      <c r="AG2" s="189">
        <v>30</v>
      </c>
      <c r="AH2" s="189">
        <v>30</v>
      </c>
      <c r="AI2" s="189">
        <f>AE2+AG2</f>
        <v>244</v>
      </c>
      <c r="AJ2" s="189">
        <f>AF2+AH2</f>
        <v>244</v>
      </c>
      <c r="AK2" s="189">
        <v>31</v>
      </c>
      <c r="AL2" s="189">
        <v>31</v>
      </c>
      <c r="AM2" s="189">
        <f>+AC2+AG2+AK2</f>
        <v>92</v>
      </c>
      <c r="AN2" s="189">
        <f>+AD2+AH2+AL2</f>
        <v>92</v>
      </c>
      <c r="AO2" s="189">
        <f>AI2+AK2</f>
        <v>275</v>
      </c>
      <c r="AP2" s="189">
        <f>AJ2+AL2</f>
        <v>275</v>
      </c>
      <c r="AQ2" s="189">
        <v>31</v>
      </c>
      <c r="AR2" s="189">
        <v>31</v>
      </c>
      <c r="AS2" s="189">
        <f>AO2+AQ2</f>
        <v>306</v>
      </c>
      <c r="AT2" s="189">
        <f>AP2+AR2</f>
        <v>306</v>
      </c>
      <c r="AU2" s="189">
        <v>28</v>
      </c>
      <c r="AV2" s="189">
        <v>28</v>
      </c>
      <c r="AW2" s="189">
        <f>AS2+AU2</f>
        <v>334</v>
      </c>
      <c r="AX2" s="189">
        <f>AT2+AV2</f>
        <v>334</v>
      </c>
      <c r="AY2" s="189">
        <v>31</v>
      </c>
      <c r="AZ2" s="189">
        <v>31</v>
      </c>
      <c r="BA2" s="189">
        <f>+AQ2+AU2+AY2</f>
        <v>90</v>
      </c>
      <c r="BB2" s="189">
        <f>+AR2+AV2+AZ2</f>
        <v>90</v>
      </c>
      <c r="BC2" s="189">
        <f>AM2+BA2</f>
        <v>182</v>
      </c>
      <c r="BD2" s="189">
        <f>AN2+BB2</f>
        <v>182</v>
      </c>
      <c r="BE2" s="189">
        <f>AW2+AY2</f>
        <v>365</v>
      </c>
      <c r="BF2" s="189">
        <f>AX2+AZ2</f>
        <v>365</v>
      </c>
      <c r="BH2" s="189"/>
      <c r="BI2" s="189"/>
      <c r="BJ2" s="189"/>
      <c r="BK2" s="189"/>
      <c r="BL2" s="189"/>
      <c r="BM2" s="189"/>
      <c r="BN2" s="189"/>
      <c r="BO2" s="189"/>
      <c r="BP2" s="189"/>
      <c r="BQ2" s="189"/>
      <c r="BR2" s="189">
        <v>365</v>
      </c>
      <c r="BS2" s="189">
        <v>365</v>
      </c>
      <c r="BT2" s="28">
        <v>366</v>
      </c>
      <c r="BU2" s="28">
        <v>366</v>
      </c>
    </row>
    <row r="3" spans="1:73" ht="15" customHeight="1" thickBot="1" x14ac:dyDescent="0.35">
      <c r="B3" s="5885" t="s">
        <v>170</v>
      </c>
      <c r="C3" s="5887" t="s">
        <v>171</v>
      </c>
      <c r="D3" s="5890" t="s">
        <v>2212</v>
      </c>
      <c r="E3" s="5880" t="s">
        <v>2211</v>
      </c>
      <c r="F3" s="5889"/>
      <c r="G3" s="5880" t="s">
        <v>2260</v>
      </c>
      <c r="H3" s="5880"/>
      <c r="I3" s="5878" t="s">
        <v>14</v>
      </c>
      <c r="J3" s="5879"/>
      <c r="K3" s="5892" t="s">
        <v>1963</v>
      </c>
      <c r="L3" s="5889"/>
      <c r="M3" s="5893" t="s">
        <v>604</v>
      </c>
      <c r="N3" s="5882"/>
      <c r="O3" s="5880" t="s">
        <v>1985</v>
      </c>
      <c r="P3" s="5880"/>
      <c r="Q3" s="5878" t="s">
        <v>17</v>
      </c>
      <c r="R3" s="5879"/>
      <c r="S3" s="5880" t="s">
        <v>1988</v>
      </c>
      <c r="T3" s="5880"/>
      <c r="U3" s="5878" t="s">
        <v>18</v>
      </c>
      <c r="V3" s="5879"/>
      <c r="W3" s="5880" t="s">
        <v>2019</v>
      </c>
      <c r="X3" s="5880"/>
      <c r="Y3" s="5881" t="s">
        <v>625</v>
      </c>
      <c r="Z3" s="5882"/>
      <c r="AA3" s="5883" t="s">
        <v>623</v>
      </c>
      <c r="AB3" s="5884"/>
      <c r="AC3" s="5880" t="s">
        <v>2043</v>
      </c>
      <c r="AD3" s="5880"/>
      <c r="AE3" s="5878" t="s">
        <v>24</v>
      </c>
      <c r="AF3" s="5879"/>
      <c r="AG3" s="5880" t="s">
        <v>2064</v>
      </c>
      <c r="AH3" s="5880"/>
      <c r="AI3" s="5878" t="s">
        <v>27</v>
      </c>
      <c r="AJ3" s="5879"/>
      <c r="AK3" s="5880" t="s">
        <v>2088</v>
      </c>
      <c r="AL3" s="5880"/>
      <c r="AM3" s="5881" t="s">
        <v>627</v>
      </c>
      <c r="AN3" s="5882"/>
      <c r="AO3" s="5878" t="s">
        <v>1565</v>
      </c>
      <c r="AP3" s="5879"/>
      <c r="AQ3" s="5880" t="s">
        <v>2099</v>
      </c>
      <c r="AR3" s="5880"/>
      <c r="AS3" s="5878" t="s">
        <v>28</v>
      </c>
      <c r="AT3" s="5879"/>
      <c r="AU3" s="5880" t="s">
        <v>2136</v>
      </c>
      <c r="AV3" s="5880"/>
      <c r="AW3" s="5878" t="s">
        <v>30</v>
      </c>
      <c r="AX3" s="5879"/>
      <c r="AY3" s="5892" t="s">
        <v>2154</v>
      </c>
      <c r="AZ3" s="5880"/>
      <c r="BA3" s="5881" t="s">
        <v>628</v>
      </c>
      <c r="BB3" s="5882"/>
      <c r="BC3" s="5883" t="s">
        <v>634</v>
      </c>
      <c r="BD3" s="5884"/>
      <c r="BE3" s="5878" t="s">
        <v>2258</v>
      </c>
      <c r="BF3" s="5879"/>
      <c r="BH3" s="5894" t="s">
        <v>1961</v>
      </c>
      <c r="BI3" s="5895"/>
      <c r="BJ3" s="5894" t="s">
        <v>1621</v>
      </c>
      <c r="BK3" s="5895"/>
      <c r="BL3" s="5894" t="s">
        <v>1330</v>
      </c>
      <c r="BM3" s="5895"/>
      <c r="BN3" s="5894" t="s">
        <v>1199</v>
      </c>
      <c r="BO3" s="5895"/>
      <c r="BP3" s="5894" t="s">
        <v>900</v>
      </c>
      <c r="BQ3" s="5895"/>
      <c r="BR3" s="5894" t="s">
        <v>642</v>
      </c>
      <c r="BS3" s="5895"/>
      <c r="BT3" s="5894" t="s">
        <v>616</v>
      </c>
      <c r="BU3" s="5895"/>
    </row>
    <row r="4" spans="1:73" ht="15" customHeight="1" thickBot="1" x14ac:dyDescent="0.35">
      <c r="B4" s="5886"/>
      <c r="C4" s="5888"/>
      <c r="D4" s="5891"/>
      <c r="E4" s="2953" t="s">
        <v>172</v>
      </c>
      <c r="F4" s="1293" t="s">
        <v>173</v>
      </c>
      <c r="G4" s="504" t="s">
        <v>172</v>
      </c>
      <c r="H4" s="165" t="s">
        <v>173</v>
      </c>
      <c r="I4" s="134" t="s">
        <v>172</v>
      </c>
      <c r="J4" s="150" t="s">
        <v>173</v>
      </c>
      <c r="K4" s="166" t="s">
        <v>172</v>
      </c>
      <c r="L4" s="165" t="s">
        <v>173</v>
      </c>
      <c r="M4" s="649" t="s">
        <v>172</v>
      </c>
      <c r="N4" s="157" t="s">
        <v>173</v>
      </c>
      <c r="O4" s="208" t="s">
        <v>172</v>
      </c>
      <c r="P4" s="165" t="s">
        <v>173</v>
      </c>
      <c r="Q4" s="134" t="s">
        <v>172</v>
      </c>
      <c r="R4" s="150" t="s">
        <v>173</v>
      </c>
      <c r="S4" s="504" t="s">
        <v>172</v>
      </c>
      <c r="T4" s="165" t="s">
        <v>173</v>
      </c>
      <c r="U4" s="134" t="s">
        <v>172</v>
      </c>
      <c r="V4" s="150" t="s">
        <v>173</v>
      </c>
      <c r="W4" s="504" t="s">
        <v>172</v>
      </c>
      <c r="X4" s="165" t="s">
        <v>173</v>
      </c>
      <c r="Y4" s="648" t="s">
        <v>172</v>
      </c>
      <c r="Z4" s="157" t="s">
        <v>173</v>
      </c>
      <c r="AA4" s="650" t="s">
        <v>172</v>
      </c>
      <c r="AB4" s="431" t="s">
        <v>173</v>
      </c>
      <c r="AC4" s="504" t="s">
        <v>172</v>
      </c>
      <c r="AD4" s="165" t="s">
        <v>173</v>
      </c>
      <c r="AE4" s="134" t="s">
        <v>172</v>
      </c>
      <c r="AF4" s="150" t="s">
        <v>173</v>
      </c>
      <c r="AG4" s="504" t="s">
        <v>172</v>
      </c>
      <c r="AH4" s="165" t="s">
        <v>173</v>
      </c>
      <c r="AI4" s="134" t="s">
        <v>172</v>
      </c>
      <c r="AJ4" s="150" t="s">
        <v>173</v>
      </c>
      <c r="AK4" s="504" t="s">
        <v>172</v>
      </c>
      <c r="AL4" s="165" t="s">
        <v>173</v>
      </c>
      <c r="AM4" s="648" t="s">
        <v>172</v>
      </c>
      <c r="AN4" s="157" t="s">
        <v>173</v>
      </c>
      <c r="AO4" s="134" t="s">
        <v>172</v>
      </c>
      <c r="AP4" s="150" t="s">
        <v>173</v>
      </c>
      <c r="AQ4" s="504" t="s">
        <v>172</v>
      </c>
      <c r="AR4" s="165" t="s">
        <v>173</v>
      </c>
      <c r="AS4" s="134" t="s">
        <v>172</v>
      </c>
      <c r="AT4" s="150" t="s">
        <v>173</v>
      </c>
      <c r="AU4" s="504" t="s">
        <v>172</v>
      </c>
      <c r="AV4" s="165" t="s">
        <v>173</v>
      </c>
      <c r="AW4" s="134" t="s">
        <v>172</v>
      </c>
      <c r="AX4" s="150" t="s">
        <v>173</v>
      </c>
      <c r="AY4" s="504" t="s">
        <v>172</v>
      </c>
      <c r="AZ4" s="165" t="s">
        <v>173</v>
      </c>
      <c r="BA4" s="648" t="s">
        <v>172</v>
      </c>
      <c r="BB4" s="157" t="s">
        <v>173</v>
      </c>
      <c r="BC4" s="650" t="s">
        <v>172</v>
      </c>
      <c r="BD4" s="431" t="s">
        <v>173</v>
      </c>
      <c r="BE4" s="134" t="s">
        <v>172</v>
      </c>
      <c r="BF4" s="150" t="s">
        <v>173</v>
      </c>
      <c r="BH4" s="5528" t="s">
        <v>172</v>
      </c>
      <c r="BI4" s="5763" t="s">
        <v>173</v>
      </c>
      <c r="BJ4" s="993" t="s">
        <v>172</v>
      </c>
      <c r="BK4" s="5763" t="s">
        <v>173</v>
      </c>
      <c r="BL4" s="993" t="s">
        <v>172</v>
      </c>
      <c r="BM4" s="5763" t="s">
        <v>173</v>
      </c>
      <c r="BN4" s="993" t="s">
        <v>172</v>
      </c>
      <c r="BO4" s="5763" t="s">
        <v>173</v>
      </c>
      <c r="BP4" s="993" t="s">
        <v>172</v>
      </c>
      <c r="BQ4" s="5763" t="s">
        <v>173</v>
      </c>
      <c r="BR4" s="993" t="s">
        <v>172</v>
      </c>
      <c r="BS4" s="5763" t="s">
        <v>173</v>
      </c>
      <c r="BT4" s="993" t="s">
        <v>172</v>
      </c>
      <c r="BU4" s="5763" t="s">
        <v>173</v>
      </c>
    </row>
    <row r="5" spans="1:73" customFormat="1" ht="15" customHeight="1" x14ac:dyDescent="0.3">
      <c r="B5" t="s">
        <v>139</v>
      </c>
      <c r="BH5" s="2515"/>
      <c r="BU5" s="1597"/>
    </row>
    <row r="6" spans="1:73" ht="15" customHeight="1" x14ac:dyDescent="0.3">
      <c r="B6" s="4323" t="s">
        <v>1133</v>
      </c>
      <c r="C6" s="4324" t="s">
        <v>351</v>
      </c>
      <c r="D6" s="1745">
        <v>16000</v>
      </c>
      <c r="E6" s="4335">
        <v>83</v>
      </c>
      <c r="F6" s="4342">
        <v>5965.35</v>
      </c>
      <c r="G6" s="4335">
        <v>83</v>
      </c>
      <c r="H6" s="4342">
        <v>1783.23</v>
      </c>
      <c r="I6" s="402">
        <f t="shared" ref="I6:J11" si="0">+E6+G6</f>
        <v>166</v>
      </c>
      <c r="J6" s="35">
        <f t="shared" si="0"/>
        <v>7748.58</v>
      </c>
      <c r="K6" s="4335">
        <v>2083.3333333333335</v>
      </c>
      <c r="L6" s="4342">
        <v>6803.8099999999995</v>
      </c>
      <c r="M6" s="64">
        <f t="shared" ref="M6:N11" si="1">+E6+G6+K6</f>
        <v>2249.3333333333335</v>
      </c>
      <c r="N6" s="64">
        <f t="shared" si="1"/>
        <v>14552.39</v>
      </c>
      <c r="O6" s="4335">
        <v>2083.3333333333335</v>
      </c>
      <c r="P6" s="4342">
        <v>3865.3599999999997</v>
      </c>
      <c r="Q6" s="402">
        <f t="shared" ref="Q6:Q11" si="2">+M6+O6</f>
        <v>4332.666666666667</v>
      </c>
      <c r="R6" s="35">
        <f t="shared" ref="R6:R11" si="3">+N6+P6</f>
        <v>18417.75</v>
      </c>
      <c r="S6" s="4335">
        <v>2083.3333333333335</v>
      </c>
      <c r="T6" s="4342">
        <v>6257.93</v>
      </c>
      <c r="U6" s="402">
        <f t="shared" ref="U6:U11" si="4">+Q6+S6</f>
        <v>6416</v>
      </c>
      <c r="V6" s="35">
        <f t="shared" ref="V6:V11" si="5">+R6+T6</f>
        <v>24675.68</v>
      </c>
      <c r="W6" s="4335">
        <v>2083</v>
      </c>
      <c r="X6" s="4342">
        <v>5182.59</v>
      </c>
      <c r="Y6" s="64">
        <f t="shared" ref="Y6:Z6" si="6">+O6+S6+W6</f>
        <v>6249.666666666667</v>
      </c>
      <c r="Z6" s="65">
        <f t="shared" si="6"/>
        <v>15305.880000000001</v>
      </c>
      <c r="AA6" s="596">
        <f>+M6+Y6</f>
        <v>8499</v>
      </c>
      <c r="AB6" s="596">
        <f>+N6+Z6</f>
        <v>29858.27</v>
      </c>
      <c r="AC6" s="4335">
        <f>83.3333333333333+2000</f>
        <v>2083.3333333333335</v>
      </c>
      <c r="AD6" s="4342">
        <v>5221.92</v>
      </c>
      <c r="AE6" s="402">
        <f t="shared" ref="AE6:AE11" si="7">+AA6+AC6</f>
        <v>10582.333333333334</v>
      </c>
      <c r="AF6" s="35">
        <f t="shared" ref="AF6:AF11" si="8">+AB6+AD6</f>
        <v>35080.19</v>
      </c>
      <c r="AG6" s="4335">
        <v>2083.3333333333335</v>
      </c>
      <c r="AH6" s="4342">
        <v>0</v>
      </c>
      <c r="AI6" s="402">
        <f t="shared" ref="AI6:AI11" si="9">+AE6+AG6</f>
        <v>12665.666666666668</v>
      </c>
      <c r="AJ6" s="35">
        <f t="shared" ref="AJ6:AJ11" si="10">+AF6+AH6</f>
        <v>35080.19</v>
      </c>
      <c r="AK6" s="4335">
        <v>2083.3333299999999</v>
      </c>
      <c r="AL6" s="4342">
        <v>2960.7299999999996</v>
      </c>
      <c r="AM6" s="64">
        <f t="shared" ref="AM6:AM11" si="11">+AC6+AG6+AK6</f>
        <v>6249.9999966666674</v>
      </c>
      <c r="AN6" s="65">
        <f t="shared" ref="AN6:AN11" si="12">+AD6+AH6+AL6</f>
        <v>8182.65</v>
      </c>
      <c r="AO6" s="402">
        <f>AI6+AK6</f>
        <v>14748.999996666667</v>
      </c>
      <c r="AP6" s="402">
        <f>AJ6+AL6</f>
        <v>38040.92</v>
      </c>
      <c r="AQ6" s="4335">
        <v>2083.3333299999999</v>
      </c>
      <c r="AR6" s="4342">
        <v>6204.6100000000015</v>
      </c>
      <c r="AS6" s="402">
        <f t="shared" ref="AS6:AS11" si="13">+AO6+AQ6</f>
        <v>16832.333326666667</v>
      </c>
      <c r="AT6" s="35">
        <f t="shared" ref="AT6:AT11" si="14">+AP6+AR6</f>
        <v>44245.53</v>
      </c>
      <c r="AU6" s="4335">
        <v>2083.3333299999999</v>
      </c>
      <c r="AV6" s="4342">
        <v>3912.1499999999996</v>
      </c>
      <c r="AW6" s="402">
        <f t="shared" ref="AW6:AW11" si="15">+AS6+AU6</f>
        <v>18915.666656666668</v>
      </c>
      <c r="AX6" s="35">
        <f t="shared" ref="AX6:AX11" si="16">+AT6+AV6</f>
        <v>48157.68</v>
      </c>
      <c r="AY6" s="4335">
        <v>2083.3333299999999</v>
      </c>
      <c r="AZ6" s="4342">
        <v>3740.4</v>
      </c>
      <c r="BA6" s="64">
        <f t="shared" ref="BA6:BA11" si="17">+AQ6+AU6+AY6</f>
        <v>6249.9999900000003</v>
      </c>
      <c r="BB6" s="65">
        <f t="shared" ref="BB6:BB11" si="18">+AR6+AV6+AZ6</f>
        <v>13857.160000000002</v>
      </c>
      <c r="BC6" s="596">
        <f>AM6+BA6</f>
        <v>12499.999986666668</v>
      </c>
      <c r="BD6" s="596">
        <f t="shared" ref="BD6:BD11" si="19">AN6+BB6</f>
        <v>22039.81</v>
      </c>
      <c r="BE6" s="402">
        <f t="shared" ref="BE6:BE11" si="20">+AW6+AY6</f>
        <v>20998.999986666669</v>
      </c>
      <c r="BF6" s="35">
        <f t="shared" ref="BF6:BF11" si="21">+AX6+AZ6</f>
        <v>51898.080000000002</v>
      </c>
      <c r="BH6" s="5764">
        <v>24999.666653333341</v>
      </c>
      <c r="BI6" s="4708">
        <v>47950.34</v>
      </c>
      <c r="BJ6" s="4708">
        <v>21500</v>
      </c>
      <c r="BK6" s="4708">
        <v>53987.54</v>
      </c>
      <c r="BL6" s="4708">
        <v>21500</v>
      </c>
      <c r="BM6" s="4708">
        <v>30649.839999999997</v>
      </c>
      <c r="BN6" s="4708">
        <v>25500</v>
      </c>
      <c r="BO6" s="4708">
        <v>34807.22</v>
      </c>
      <c r="BP6" s="4708">
        <v>16050</v>
      </c>
      <c r="BQ6" s="5765">
        <v>33201.15</v>
      </c>
      <c r="BR6" s="4708">
        <v>0</v>
      </c>
      <c r="BS6" s="5765">
        <v>35268.25</v>
      </c>
      <c r="BT6" s="4708">
        <v>2000</v>
      </c>
      <c r="BU6" s="5765">
        <v>28405.85</v>
      </c>
    </row>
    <row r="7" spans="1:73" ht="15" customHeight="1" x14ac:dyDescent="0.3">
      <c r="B7" s="4323" t="s">
        <v>77</v>
      </c>
      <c r="C7" s="4324" t="s">
        <v>351</v>
      </c>
      <c r="D7" s="1746">
        <v>0</v>
      </c>
      <c r="E7" s="125">
        <v>0</v>
      </c>
      <c r="F7" s="4342">
        <v>0</v>
      </c>
      <c r="G7" s="125">
        <v>0</v>
      </c>
      <c r="H7" s="4342">
        <v>3857.66</v>
      </c>
      <c r="I7" s="402">
        <f t="shared" si="0"/>
        <v>0</v>
      </c>
      <c r="J7" s="35">
        <f t="shared" si="0"/>
        <v>3857.66</v>
      </c>
      <c r="K7" s="125">
        <v>0</v>
      </c>
      <c r="L7" s="4342">
        <v>0</v>
      </c>
      <c r="M7" s="64">
        <f t="shared" si="1"/>
        <v>0</v>
      </c>
      <c r="N7" s="64">
        <f t="shared" si="1"/>
        <v>3857.66</v>
      </c>
      <c r="O7" s="125">
        <v>0</v>
      </c>
      <c r="P7" s="4342">
        <v>64.099999999999994</v>
      </c>
      <c r="Q7" s="402">
        <f t="shared" si="2"/>
        <v>0</v>
      </c>
      <c r="R7" s="35">
        <f t="shared" si="3"/>
        <v>3921.7599999999998</v>
      </c>
      <c r="S7" s="125">
        <v>0</v>
      </c>
      <c r="T7" s="4342">
        <v>1485.1599999999999</v>
      </c>
      <c r="U7" s="402">
        <f t="shared" si="4"/>
        <v>0</v>
      </c>
      <c r="V7" s="35">
        <f t="shared" si="5"/>
        <v>5406.92</v>
      </c>
      <c r="W7" s="125">
        <v>0</v>
      </c>
      <c r="X7" s="4342">
        <v>694</v>
      </c>
      <c r="Y7" s="64">
        <f t="shared" ref="Y7:Y11" si="22">+O7+S7+W7</f>
        <v>0</v>
      </c>
      <c r="Z7" s="65">
        <f t="shared" ref="Z7:Z11" si="23">+P7+T7+X7</f>
        <v>2243.2599999999998</v>
      </c>
      <c r="AA7" s="596">
        <f t="shared" ref="AA7:AA11" si="24">+M7+Y7</f>
        <v>0</v>
      </c>
      <c r="AB7" s="596">
        <f t="shared" ref="AB7:AB11" si="25">+N7+Z7</f>
        <v>6100.92</v>
      </c>
      <c r="AC7" s="125">
        <v>0</v>
      </c>
      <c r="AD7" s="4342">
        <v>747.82</v>
      </c>
      <c r="AE7" s="402">
        <f t="shared" si="7"/>
        <v>0</v>
      </c>
      <c r="AF7" s="35">
        <f t="shared" si="8"/>
        <v>6848.74</v>
      </c>
      <c r="AG7" s="125">
        <v>0</v>
      </c>
      <c r="AH7" s="4342">
        <v>0</v>
      </c>
      <c r="AI7" s="402">
        <f t="shared" si="9"/>
        <v>0</v>
      </c>
      <c r="AJ7" s="35">
        <f t="shared" si="10"/>
        <v>6848.74</v>
      </c>
      <c r="AK7" s="125">
        <v>0</v>
      </c>
      <c r="AL7" s="4342">
        <v>244.1</v>
      </c>
      <c r="AM7" s="64">
        <f t="shared" si="11"/>
        <v>0</v>
      </c>
      <c r="AN7" s="65">
        <f t="shared" si="12"/>
        <v>991.92000000000007</v>
      </c>
      <c r="AO7" s="402">
        <f t="shared" ref="AO7:AO11" si="26">AI7+AK7</f>
        <v>0</v>
      </c>
      <c r="AP7" s="402">
        <f t="shared" ref="AP7:AP11" si="27">AJ7+AL7</f>
        <v>7092.84</v>
      </c>
      <c r="AQ7" s="125">
        <v>0</v>
      </c>
      <c r="AR7" s="4342">
        <v>0</v>
      </c>
      <c r="AS7" s="402">
        <f t="shared" si="13"/>
        <v>0</v>
      </c>
      <c r="AT7" s="35">
        <f t="shared" si="14"/>
        <v>7092.84</v>
      </c>
      <c r="AU7" s="125">
        <v>0</v>
      </c>
      <c r="AV7" s="4342">
        <v>2333.6400000000003</v>
      </c>
      <c r="AW7" s="402">
        <f t="shared" si="15"/>
        <v>0</v>
      </c>
      <c r="AX7" s="35">
        <f t="shared" si="16"/>
        <v>9426.48</v>
      </c>
      <c r="AY7" s="125">
        <v>0</v>
      </c>
      <c r="AZ7" s="4342">
        <v>2066.9</v>
      </c>
      <c r="BA7" s="64">
        <f t="shared" si="17"/>
        <v>0</v>
      </c>
      <c r="BB7" s="65">
        <f t="shared" si="18"/>
        <v>4400.5400000000009</v>
      </c>
      <c r="BC7" s="596">
        <f t="shared" ref="BC7:BC11" si="28">AM7+BA7</f>
        <v>0</v>
      </c>
      <c r="BD7" s="596">
        <f t="shared" si="19"/>
        <v>5392.4600000000009</v>
      </c>
      <c r="BE7" s="402">
        <f t="shared" si="20"/>
        <v>0</v>
      </c>
      <c r="BF7" s="35">
        <f t="shared" si="21"/>
        <v>11493.38</v>
      </c>
      <c r="BH7" s="5764">
        <v>0</v>
      </c>
      <c r="BI7" s="4708">
        <v>7635.7199999999993</v>
      </c>
      <c r="BJ7" s="4708">
        <v>0</v>
      </c>
      <c r="BK7" s="4708">
        <v>322.72000000000003</v>
      </c>
      <c r="BL7" s="4708">
        <v>0</v>
      </c>
      <c r="BM7" s="4708">
        <v>3076.2</v>
      </c>
      <c r="BN7" s="4708">
        <v>123000</v>
      </c>
      <c r="BO7" s="4708">
        <v>42263.08</v>
      </c>
      <c r="BP7" s="4708">
        <v>0</v>
      </c>
      <c r="BQ7" s="5765">
        <v>71707.420000000013</v>
      </c>
      <c r="BR7" s="4708">
        <v>10800</v>
      </c>
      <c r="BS7" s="5765">
        <v>9758.5099999999966</v>
      </c>
      <c r="BT7" s="4708">
        <v>24210</v>
      </c>
      <c r="BU7" s="5765">
        <v>5928.0949999999839</v>
      </c>
    </row>
    <row r="8" spans="1:73" ht="15" customHeight="1" x14ac:dyDescent="0.3">
      <c r="B8" s="4323" t="s">
        <v>540</v>
      </c>
      <c r="C8" s="4324" t="s">
        <v>351</v>
      </c>
      <c r="D8" s="4325">
        <v>519000</v>
      </c>
      <c r="E8" s="4336">
        <v>36417</v>
      </c>
      <c r="F8" s="4343">
        <v>41076.229999999996</v>
      </c>
      <c r="G8" s="4336">
        <v>37417</v>
      </c>
      <c r="H8" s="4343">
        <v>28878.061999999998</v>
      </c>
      <c r="I8" s="402">
        <f t="shared" si="0"/>
        <v>73834</v>
      </c>
      <c r="J8" s="35">
        <f t="shared" si="0"/>
        <v>69954.291999999987</v>
      </c>
      <c r="K8" s="4336">
        <v>42416.666666666664</v>
      </c>
      <c r="L8" s="4343">
        <v>37508.06</v>
      </c>
      <c r="M8" s="64">
        <f t="shared" si="1"/>
        <v>116250.66666666666</v>
      </c>
      <c r="N8" s="64">
        <f t="shared" si="1"/>
        <v>107462.35199999998</v>
      </c>
      <c r="O8" s="4336">
        <v>43916.666666666664</v>
      </c>
      <c r="P8" s="4343">
        <v>44133.19</v>
      </c>
      <c r="Q8" s="402">
        <f t="shared" si="2"/>
        <v>160167.33333333331</v>
      </c>
      <c r="R8" s="35">
        <f t="shared" si="3"/>
        <v>151595.54199999999</v>
      </c>
      <c r="S8" s="4336">
        <v>43916.666666666664</v>
      </c>
      <c r="T8" s="4343">
        <v>40726.54</v>
      </c>
      <c r="U8" s="402">
        <f t="shared" si="4"/>
        <v>204083.99999999997</v>
      </c>
      <c r="V8" s="35">
        <f t="shared" si="5"/>
        <v>192322.08199999999</v>
      </c>
      <c r="W8" s="4336">
        <v>24916.666666666668</v>
      </c>
      <c r="X8" s="4343">
        <v>36332.970000000008</v>
      </c>
      <c r="Y8" s="64">
        <f t="shared" si="22"/>
        <v>112750</v>
      </c>
      <c r="Z8" s="65">
        <f t="shared" si="23"/>
        <v>121192.70000000001</v>
      </c>
      <c r="AA8" s="596">
        <f t="shared" si="24"/>
        <v>229000.66666666666</v>
      </c>
      <c r="AB8" s="596">
        <f t="shared" si="25"/>
        <v>228655.052</v>
      </c>
      <c r="AC8" s="4336">
        <v>42416.666666666664</v>
      </c>
      <c r="AD8" s="4343">
        <v>31032.3</v>
      </c>
      <c r="AE8" s="402">
        <f t="shared" si="7"/>
        <v>271417.33333333331</v>
      </c>
      <c r="AF8" s="35">
        <f t="shared" si="8"/>
        <v>259687.35199999998</v>
      </c>
      <c r="AG8" s="4336">
        <v>42416.666666666664</v>
      </c>
      <c r="AH8" s="4343">
        <v>38334.735999999997</v>
      </c>
      <c r="AI8" s="402">
        <f t="shared" si="9"/>
        <v>313834</v>
      </c>
      <c r="AJ8" s="35">
        <f t="shared" si="10"/>
        <v>298022.08799999999</v>
      </c>
      <c r="AK8" s="4336">
        <v>43916.666666666664</v>
      </c>
      <c r="AL8" s="4343">
        <v>41187.810000000005</v>
      </c>
      <c r="AM8" s="64">
        <f t="shared" si="11"/>
        <v>128750</v>
      </c>
      <c r="AN8" s="65">
        <f t="shared" si="12"/>
        <v>110554.84599999999</v>
      </c>
      <c r="AO8" s="402">
        <f t="shared" si="26"/>
        <v>357750.66666666669</v>
      </c>
      <c r="AP8" s="402">
        <f t="shared" si="27"/>
        <v>339209.89799999999</v>
      </c>
      <c r="AQ8" s="4336">
        <v>44416.666666666664</v>
      </c>
      <c r="AR8" s="4343">
        <v>39752.560999999994</v>
      </c>
      <c r="AS8" s="402">
        <f t="shared" si="13"/>
        <v>402167.33333333337</v>
      </c>
      <c r="AT8" s="35">
        <f t="shared" si="14"/>
        <v>378962.45899999997</v>
      </c>
      <c r="AU8" s="4336">
        <v>39916.666666666664</v>
      </c>
      <c r="AV8" s="4343">
        <v>41871.839999999997</v>
      </c>
      <c r="AW8" s="402">
        <f t="shared" si="15"/>
        <v>442084.00000000006</v>
      </c>
      <c r="AX8" s="35">
        <f t="shared" si="16"/>
        <v>420834.299</v>
      </c>
      <c r="AY8" s="4336">
        <v>44416.666666666664</v>
      </c>
      <c r="AZ8" s="4343">
        <v>48073.319999999992</v>
      </c>
      <c r="BA8" s="64">
        <f t="shared" si="17"/>
        <v>128750</v>
      </c>
      <c r="BB8" s="65">
        <f t="shared" si="18"/>
        <v>129697.72099999998</v>
      </c>
      <c r="BC8" s="596">
        <f t="shared" si="28"/>
        <v>257500</v>
      </c>
      <c r="BD8" s="596">
        <f t="shared" si="19"/>
        <v>240252.56699999998</v>
      </c>
      <c r="BE8" s="402">
        <f t="shared" si="20"/>
        <v>486500.66666666674</v>
      </c>
      <c r="BF8" s="35">
        <f t="shared" si="21"/>
        <v>468907.61900000001</v>
      </c>
      <c r="BH8" s="5764">
        <v>499000.00000000012</v>
      </c>
      <c r="BI8" s="4708">
        <v>471653.14699999994</v>
      </c>
      <c r="BJ8" s="4708">
        <v>498500</v>
      </c>
      <c r="BK8" s="4708">
        <v>459216.41</v>
      </c>
      <c r="BL8" s="4708">
        <v>498500</v>
      </c>
      <c r="BM8" s="4708">
        <v>473494.20999999996</v>
      </c>
      <c r="BN8" s="4708">
        <v>498500</v>
      </c>
      <c r="BO8" s="4708">
        <v>453432.75</v>
      </c>
      <c r="BP8" s="4708">
        <v>498500</v>
      </c>
      <c r="BQ8" s="5765">
        <v>467953.64</v>
      </c>
      <c r="BR8" s="4708">
        <v>435166.28679320007</v>
      </c>
      <c r="BS8" s="5765">
        <v>351267.01600000006</v>
      </c>
      <c r="BT8" s="4708">
        <v>498000</v>
      </c>
      <c r="BU8" s="5765">
        <v>399090.26199999993</v>
      </c>
    </row>
    <row r="9" spans="1:73" ht="15" customHeight="1" x14ac:dyDescent="0.3">
      <c r="B9" s="4323" t="s">
        <v>541</v>
      </c>
      <c r="C9" s="4324" t="s">
        <v>351</v>
      </c>
      <c r="D9" s="4325">
        <v>990000</v>
      </c>
      <c r="E9" s="4336">
        <v>68500</v>
      </c>
      <c r="F9" s="4344">
        <v>78698.73000000001</v>
      </c>
      <c r="G9" s="4336">
        <v>71000</v>
      </c>
      <c r="H9" s="4344">
        <v>35387.670000000013</v>
      </c>
      <c r="I9" s="402">
        <f t="shared" si="0"/>
        <v>139500</v>
      </c>
      <c r="J9" s="35">
        <f t="shared" si="0"/>
        <v>114086.40000000002</v>
      </c>
      <c r="K9" s="4336">
        <v>76000</v>
      </c>
      <c r="L9" s="4344">
        <v>73175.62999999999</v>
      </c>
      <c r="M9" s="64">
        <f t="shared" si="1"/>
        <v>215500</v>
      </c>
      <c r="N9" s="64">
        <f t="shared" si="1"/>
        <v>187262.03000000003</v>
      </c>
      <c r="O9" s="4336">
        <v>79000</v>
      </c>
      <c r="P9" s="4344">
        <v>84102.500000000015</v>
      </c>
      <c r="Q9" s="402">
        <f t="shared" si="2"/>
        <v>294500</v>
      </c>
      <c r="R9" s="35">
        <f t="shared" si="3"/>
        <v>271364.53000000003</v>
      </c>
      <c r="S9" s="4336">
        <v>79000</v>
      </c>
      <c r="T9" s="4344">
        <v>86905.93</v>
      </c>
      <c r="U9" s="402">
        <f t="shared" si="4"/>
        <v>373500</v>
      </c>
      <c r="V9" s="35">
        <f t="shared" si="5"/>
        <v>358270.46</v>
      </c>
      <c r="W9" s="4336">
        <v>47500</v>
      </c>
      <c r="X9" s="4344">
        <v>68689.990000000005</v>
      </c>
      <c r="Y9" s="64">
        <f t="shared" si="22"/>
        <v>205500</v>
      </c>
      <c r="Z9" s="65">
        <f t="shared" si="23"/>
        <v>239698.41999999998</v>
      </c>
      <c r="AA9" s="596">
        <f t="shared" si="24"/>
        <v>421000</v>
      </c>
      <c r="AB9" s="596">
        <f t="shared" si="25"/>
        <v>426960.45</v>
      </c>
      <c r="AC9" s="4336">
        <v>78000</v>
      </c>
      <c r="AD9" s="4344">
        <v>52260.41</v>
      </c>
      <c r="AE9" s="402">
        <f t="shared" si="7"/>
        <v>499000</v>
      </c>
      <c r="AF9" s="35">
        <f t="shared" si="8"/>
        <v>479220.86</v>
      </c>
      <c r="AG9" s="4336">
        <v>76000</v>
      </c>
      <c r="AH9" s="4344">
        <v>70091.169000000009</v>
      </c>
      <c r="AI9" s="402">
        <f t="shared" si="9"/>
        <v>575000</v>
      </c>
      <c r="AJ9" s="35">
        <f t="shared" si="10"/>
        <v>549312.02899999998</v>
      </c>
      <c r="AK9" s="4336">
        <v>79000</v>
      </c>
      <c r="AL9" s="4344">
        <v>83237.279999999999</v>
      </c>
      <c r="AM9" s="64">
        <f t="shared" si="11"/>
        <v>233000</v>
      </c>
      <c r="AN9" s="65">
        <f t="shared" si="12"/>
        <v>205588.859</v>
      </c>
      <c r="AO9" s="402">
        <f t="shared" si="26"/>
        <v>654000</v>
      </c>
      <c r="AP9" s="402">
        <f t="shared" si="27"/>
        <v>632549.30900000001</v>
      </c>
      <c r="AQ9" s="4336">
        <v>79000</v>
      </c>
      <c r="AR9" s="4344">
        <v>79536.070000000007</v>
      </c>
      <c r="AS9" s="402">
        <f t="shared" si="13"/>
        <v>733000</v>
      </c>
      <c r="AT9" s="35">
        <f t="shared" si="14"/>
        <v>712085.37899999996</v>
      </c>
      <c r="AU9" s="4336">
        <v>71500</v>
      </c>
      <c r="AV9" s="4344">
        <v>77559.290000000008</v>
      </c>
      <c r="AW9" s="402">
        <f t="shared" si="15"/>
        <v>804500</v>
      </c>
      <c r="AX9" s="35">
        <f t="shared" si="16"/>
        <v>789644.66899999999</v>
      </c>
      <c r="AY9" s="4336">
        <v>80000</v>
      </c>
      <c r="AZ9" s="4344">
        <v>81642.31</v>
      </c>
      <c r="BA9" s="64">
        <f t="shared" si="17"/>
        <v>230500</v>
      </c>
      <c r="BB9" s="65">
        <f t="shared" si="18"/>
        <v>238737.67</v>
      </c>
      <c r="BC9" s="596">
        <f t="shared" si="28"/>
        <v>463500</v>
      </c>
      <c r="BD9" s="596">
        <f t="shared" si="19"/>
        <v>444326.52899999998</v>
      </c>
      <c r="BE9" s="402">
        <f t="shared" si="20"/>
        <v>884500</v>
      </c>
      <c r="BF9" s="35">
        <f t="shared" si="21"/>
        <v>871286.97900000005</v>
      </c>
      <c r="BH9" s="5764">
        <v>900000</v>
      </c>
      <c r="BI9" s="4708">
        <v>884559.68900000001</v>
      </c>
      <c r="BJ9" s="4708">
        <v>870000</v>
      </c>
      <c r="BK9" s="4708">
        <v>750184.19</v>
      </c>
      <c r="BL9" s="4708">
        <v>850000</v>
      </c>
      <c r="BM9" s="4708">
        <v>781402.45000000007</v>
      </c>
      <c r="BN9" s="4708">
        <v>780000</v>
      </c>
      <c r="BO9" s="4708">
        <v>768402.31</v>
      </c>
      <c r="BP9" s="4708">
        <v>750000</v>
      </c>
      <c r="BQ9" s="5765">
        <v>648761.89</v>
      </c>
      <c r="BR9" s="4708">
        <v>674874.74</v>
      </c>
      <c r="BS9" s="5765">
        <v>436958.46299999999</v>
      </c>
      <c r="BT9" s="4708">
        <v>800000</v>
      </c>
      <c r="BU9" s="5765">
        <v>612890.54699999979</v>
      </c>
    </row>
    <row r="10" spans="1:73" ht="15" customHeight="1" x14ac:dyDescent="0.3">
      <c r="B10" s="4323" t="s">
        <v>542</v>
      </c>
      <c r="C10" s="4324" t="s">
        <v>351</v>
      </c>
      <c r="D10" s="4325">
        <v>850000</v>
      </c>
      <c r="E10" s="4336">
        <v>56000</v>
      </c>
      <c r="F10" s="4344">
        <v>50540.922999999988</v>
      </c>
      <c r="G10" s="4336">
        <v>59500</v>
      </c>
      <c r="H10" s="4344">
        <v>28795.448999999997</v>
      </c>
      <c r="I10" s="402">
        <f t="shared" si="0"/>
        <v>115500</v>
      </c>
      <c r="J10" s="35">
        <f t="shared" si="0"/>
        <v>79336.371999999988</v>
      </c>
      <c r="K10" s="4336">
        <v>62500</v>
      </c>
      <c r="L10" s="4344">
        <v>56720.68</v>
      </c>
      <c r="M10" s="64">
        <f t="shared" si="1"/>
        <v>178000</v>
      </c>
      <c r="N10" s="64">
        <f t="shared" si="1"/>
        <v>136057.052</v>
      </c>
      <c r="O10" s="4336">
        <v>65000</v>
      </c>
      <c r="P10" s="4344">
        <v>57264.83</v>
      </c>
      <c r="Q10" s="402">
        <f t="shared" si="2"/>
        <v>243000</v>
      </c>
      <c r="R10" s="35">
        <f t="shared" si="3"/>
        <v>193321.88199999998</v>
      </c>
      <c r="S10" s="4336">
        <v>65000</v>
      </c>
      <c r="T10" s="4344">
        <v>47224.14</v>
      </c>
      <c r="U10" s="402">
        <f t="shared" si="4"/>
        <v>308000</v>
      </c>
      <c r="V10" s="35">
        <f t="shared" si="5"/>
        <v>240546.022</v>
      </c>
      <c r="W10" s="4336">
        <v>33500</v>
      </c>
      <c r="X10" s="4344">
        <v>45948.119999999995</v>
      </c>
      <c r="Y10" s="64">
        <f t="shared" si="22"/>
        <v>163500</v>
      </c>
      <c r="Z10" s="65">
        <f t="shared" si="23"/>
        <v>150437.09</v>
      </c>
      <c r="AA10" s="596">
        <f t="shared" si="24"/>
        <v>341500</v>
      </c>
      <c r="AB10" s="596">
        <f t="shared" si="25"/>
        <v>286494.14199999999</v>
      </c>
      <c r="AC10" s="4336">
        <v>67000</v>
      </c>
      <c r="AD10" s="4344">
        <v>30215.879999999997</v>
      </c>
      <c r="AE10" s="402">
        <f t="shared" si="7"/>
        <v>408500</v>
      </c>
      <c r="AF10" s="35">
        <f t="shared" si="8"/>
        <v>316710.022</v>
      </c>
      <c r="AG10" s="4336">
        <v>65000</v>
      </c>
      <c r="AH10" s="4344">
        <v>49444.75</v>
      </c>
      <c r="AI10" s="402">
        <f t="shared" si="9"/>
        <v>473500</v>
      </c>
      <c r="AJ10" s="35">
        <f t="shared" si="10"/>
        <v>366154.772</v>
      </c>
      <c r="AK10" s="4336">
        <v>67500</v>
      </c>
      <c r="AL10" s="4344">
        <v>51538.880999999994</v>
      </c>
      <c r="AM10" s="64">
        <f t="shared" si="11"/>
        <v>199500</v>
      </c>
      <c r="AN10" s="65">
        <f t="shared" si="12"/>
        <v>131199.511</v>
      </c>
      <c r="AO10" s="402">
        <f t="shared" si="26"/>
        <v>541000</v>
      </c>
      <c r="AP10" s="402">
        <f t="shared" si="27"/>
        <v>417693.65299999999</v>
      </c>
      <c r="AQ10" s="4336">
        <v>68000</v>
      </c>
      <c r="AR10" s="4344">
        <v>55396.94</v>
      </c>
      <c r="AS10" s="402">
        <f t="shared" si="13"/>
        <v>609000</v>
      </c>
      <c r="AT10" s="35">
        <f t="shared" si="14"/>
        <v>473090.59299999999</v>
      </c>
      <c r="AU10" s="4336">
        <v>61000</v>
      </c>
      <c r="AV10" s="4344">
        <v>53071.489999999991</v>
      </c>
      <c r="AW10" s="402">
        <f t="shared" si="15"/>
        <v>670000</v>
      </c>
      <c r="AX10" s="35">
        <f t="shared" si="16"/>
        <v>526162.08299999998</v>
      </c>
      <c r="AY10" s="4336">
        <v>68500</v>
      </c>
      <c r="AZ10" s="4344">
        <v>58800.212</v>
      </c>
      <c r="BA10" s="64">
        <f t="shared" si="17"/>
        <v>197500</v>
      </c>
      <c r="BB10" s="65">
        <f t="shared" si="18"/>
        <v>167268.64199999999</v>
      </c>
      <c r="BC10" s="596">
        <f t="shared" si="28"/>
        <v>397000</v>
      </c>
      <c r="BD10" s="596">
        <f t="shared" si="19"/>
        <v>298468.15299999999</v>
      </c>
      <c r="BE10" s="402">
        <f t="shared" si="20"/>
        <v>738500</v>
      </c>
      <c r="BF10" s="35">
        <f t="shared" si="21"/>
        <v>584962.29499999993</v>
      </c>
      <c r="BH10" s="5764">
        <v>750000</v>
      </c>
      <c r="BI10" s="4708">
        <v>607464.62299999991</v>
      </c>
      <c r="BJ10" s="4708">
        <v>560000</v>
      </c>
      <c r="BK10" s="4708">
        <v>502052.01</v>
      </c>
      <c r="BL10" s="4708">
        <v>525000</v>
      </c>
      <c r="BM10" s="4708">
        <v>452802.58999999997</v>
      </c>
      <c r="BN10" s="4708">
        <v>470000</v>
      </c>
      <c r="BO10" s="4708">
        <v>357334.79000000004</v>
      </c>
      <c r="BP10" s="4708">
        <v>445000</v>
      </c>
      <c r="BQ10" s="5765">
        <v>214319.65000000002</v>
      </c>
      <c r="BR10" s="4708">
        <v>220000</v>
      </c>
      <c r="BS10" s="5765">
        <v>100400.402</v>
      </c>
      <c r="BT10" s="4708">
        <v>535000</v>
      </c>
      <c r="BU10" s="5765">
        <v>167166.99200000003</v>
      </c>
    </row>
    <row r="11" spans="1:73" ht="15" customHeight="1" thickBot="1" x14ac:dyDescent="0.35">
      <c r="B11" s="4326" t="s">
        <v>626</v>
      </c>
      <c r="C11" s="4327" t="s">
        <v>351</v>
      </c>
      <c r="D11" s="4328">
        <v>334999.98851223482</v>
      </c>
      <c r="E11" s="4337">
        <v>20999.683707758697</v>
      </c>
      <c r="F11" s="4345">
        <v>26141.360000000001</v>
      </c>
      <c r="G11" s="4337">
        <v>0</v>
      </c>
      <c r="H11" s="4345">
        <v>20761.050000000003</v>
      </c>
      <c r="I11" s="402">
        <f t="shared" si="0"/>
        <v>20999.683707758697</v>
      </c>
      <c r="J11" s="35">
        <f t="shared" si="0"/>
        <v>46902.41</v>
      </c>
      <c r="K11" s="4337">
        <v>46000.110883115281</v>
      </c>
      <c r="L11" s="4345">
        <v>44296.209999999992</v>
      </c>
      <c r="M11" s="64">
        <f t="shared" si="1"/>
        <v>66999.794590873978</v>
      </c>
      <c r="N11" s="64">
        <f t="shared" si="1"/>
        <v>91198.62</v>
      </c>
      <c r="O11" s="4337">
        <v>41500.141355320884</v>
      </c>
      <c r="P11" s="4345">
        <v>54193.850000000006</v>
      </c>
      <c r="Q11" s="402">
        <f t="shared" si="2"/>
        <v>108499.93594619486</v>
      </c>
      <c r="R11" s="35">
        <f t="shared" si="3"/>
        <v>145392.47</v>
      </c>
      <c r="S11" s="4337">
        <v>41500.141355320884</v>
      </c>
      <c r="T11" s="4345">
        <v>63719.03</v>
      </c>
      <c r="U11" s="402">
        <f t="shared" si="4"/>
        <v>150000.07730151573</v>
      </c>
      <c r="V11" s="35">
        <f t="shared" si="5"/>
        <v>209111.5</v>
      </c>
      <c r="W11" s="4337">
        <v>13300.014764853251</v>
      </c>
      <c r="X11" s="4345">
        <v>50417.94000000001</v>
      </c>
      <c r="Y11" s="64">
        <f t="shared" si="22"/>
        <v>96300.297475495026</v>
      </c>
      <c r="Z11" s="65">
        <f t="shared" si="23"/>
        <v>168330.82</v>
      </c>
      <c r="AA11" s="596">
        <f t="shared" si="24"/>
        <v>163300.09206636902</v>
      </c>
      <c r="AB11" s="596">
        <f t="shared" si="25"/>
        <v>259529.44</v>
      </c>
      <c r="AC11" s="4337">
        <v>46999.528159756359</v>
      </c>
      <c r="AD11" s="4345">
        <v>54079.359999999986</v>
      </c>
      <c r="AE11" s="402">
        <f t="shared" si="7"/>
        <v>210299.62022612538</v>
      </c>
      <c r="AF11" s="35">
        <f t="shared" si="8"/>
        <v>313608.8</v>
      </c>
      <c r="AG11" s="4337">
        <v>43499.588455674646</v>
      </c>
      <c r="AH11" s="4345">
        <v>63043.03</v>
      </c>
      <c r="AI11" s="402">
        <f t="shared" si="9"/>
        <v>253799.20868180002</v>
      </c>
      <c r="AJ11" s="35">
        <f t="shared" si="10"/>
        <v>376651.82999999996</v>
      </c>
      <c r="AK11" s="4337">
        <v>44000.054244216415</v>
      </c>
      <c r="AL11" s="4345">
        <v>51546.680000000008</v>
      </c>
      <c r="AM11" s="64">
        <f t="shared" si="11"/>
        <v>134499.17085964742</v>
      </c>
      <c r="AN11" s="65">
        <f t="shared" si="12"/>
        <v>168669.07</v>
      </c>
      <c r="AO11" s="402">
        <f t="shared" si="26"/>
        <v>297799.26292601647</v>
      </c>
      <c r="AP11" s="402">
        <f t="shared" si="27"/>
        <v>428198.50999999995</v>
      </c>
      <c r="AQ11" s="4337">
        <v>46499.664678463945</v>
      </c>
      <c r="AR11" s="4345">
        <v>35800.429999999993</v>
      </c>
      <c r="AS11" s="402">
        <f t="shared" si="13"/>
        <v>344298.92760448041</v>
      </c>
      <c r="AT11" s="35">
        <f t="shared" si="14"/>
        <v>463998.93999999994</v>
      </c>
      <c r="AU11" s="4337">
        <v>39500.010429203743</v>
      </c>
      <c r="AV11" s="4345">
        <v>12710.87</v>
      </c>
      <c r="AW11" s="402">
        <f t="shared" si="15"/>
        <v>383798.93803368416</v>
      </c>
      <c r="AX11" s="35">
        <f t="shared" si="16"/>
        <v>476709.80999999994</v>
      </c>
      <c r="AY11" s="4337">
        <v>45000</v>
      </c>
      <c r="AZ11" s="4345">
        <v>37056.46</v>
      </c>
      <c r="BA11" s="64">
        <f t="shared" si="17"/>
        <v>130999.67510766769</v>
      </c>
      <c r="BB11" s="65">
        <f t="shared" si="18"/>
        <v>85567.76</v>
      </c>
      <c r="BC11" s="596">
        <f t="shared" si="28"/>
        <v>265498.84596731514</v>
      </c>
      <c r="BD11" s="596">
        <f t="shared" si="19"/>
        <v>254236.83000000002</v>
      </c>
      <c r="BE11" s="402">
        <f t="shared" si="20"/>
        <v>428798.93803368416</v>
      </c>
      <c r="BF11" s="35">
        <f t="shared" si="21"/>
        <v>513766.26999999996</v>
      </c>
      <c r="BH11" s="5764">
        <v>500798.64636618592</v>
      </c>
      <c r="BI11" s="4708">
        <v>554522.41999999993</v>
      </c>
      <c r="BJ11" s="4708">
        <v>459999.54066167952</v>
      </c>
      <c r="BK11" s="4708">
        <v>584980.47</v>
      </c>
      <c r="BL11" s="4708">
        <v>630000.01444664178</v>
      </c>
      <c r="BM11" s="4708">
        <v>623466.16999999993</v>
      </c>
      <c r="BN11" s="4708">
        <v>513000.01387175487</v>
      </c>
      <c r="BO11" s="4708">
        <v>641816.63</v>
      </c>
      <c r="BP11" s="4708">
        <v>659950.1509075613</v>
      </c>
      <c r="BQ11" s="5765">
        <v>742311.7699999999</v>
      </c>
      <c r="BR11" s="4708">
        <v>893633.77567653405</v>
      </c>
      <c r="BS11" s="5765">
        <v>944002.20799999987</v>
      </c>
      <c r="BT11" s="4708">
        <v>547789.74093264237</v>
      </c>
      <c r="BU11" s="5765">
        <v>836451.00399999984</v>
      </c>
    </row>
    <row r="12" spans="1:73" ht="15" customHeight="1" thickBot="1" x14ac:dyDescent="0.35">
      <c r="A12" s="1166"/>
      <c r="B12" s="1742" t="s">
        <v>2</v>
      </c>
      <c r="C12" s="675" t="s">
        <v>351</v>
      </c>
      <c r="D12" s="656">
        <f>SUM(D6:D11)</f>
        <v>2709999.9885122348</v>
      </c>
      <c r="E12" s="1274">
        <f>SUM(E6:E11)</f>
        <v>181999.6837077587</v>
      </c>
      <c r="F12" s="1273">
        <f>SUM(F6:F11)</f>
        <v>202422.59299999999</v>
      </c>
      <c r="G12" s="1274">
        <f>SUM(G6:G11)</f>
        <v>168000</v>
      </c>
      <c r="H12" s="1273">
        <f>SUM(H6:H11)</f>
        <v>119463.121</v>
      </c>
      <c r="I12" s="419">
        <f t="shared" ref="I12:J12" si="29">SUM(I6:I11)</f>
        <v>349999.68370775867</v>
      </c>
      <c r="J12" s="369">
        <f t="shared" si="29"/>
        <v>321885.71400000004</v>
      </c>
      <c r="K12" s="1274">
        <f>SUM(K6:K11)</f>
        <v>229000.11088311527</v>
      </c>
      <c r="L12" s="1273">
        <f>SUM(L6:L11)</f>
        <v>218504.38999999998</v>
      </c>
      <c r="M12" s="419">
        <f t="shared" ref="M12:N12" si="30">SUM(M6:M11)</f>
        <v>578999.79459087399</v>
      </c>
      <c r="N12" s="369">
        <f t="shared" si="30"/>
        <v>540390.10400000005</v>
      </c>
      <c r="O12" s="1274">
        <f>SUM(O6:O11)</f>
        <v>231500.14135532087</v>
      </c>
      <c r="P12" s="1273">
        <f>SUM(P6:P11)</f>
        <v>243623.83000000005</v>
      </c>
      <c r="Q12" s="419">
        <f t="shared" ref="Q12:R12" si="31">SUM(Q6:Q11)</f>
        <v>810499.93594619492</v>
      </c>
      <c r="R12" s="369">
        <f t="shared" si="31"/>
        <v>784013.93400000001</v>
      </c>
      <c r="S12" s="1274">
        <f>SUM(S6:S11)</f>
        <v>231500.14135532087</v>
      </c>
      <c r="T12" s="1273">
        <f>SUM(T6:T11)</f>
        <v>246318.73</v>
      </c>
      <c r="U12" s="419">
        <f t="shared" ref="U12:V12" si="32">SUM(U6:U11)</f>
        <v>1042000.0773015157</v>
      </c>
      <c r="V12" s="369">
        <f t="shared" si="32"/>
        <v>1030332.664</v>
      </c>
      <c r="W12" s="1274">
        <f>SUM(W6:W11)</f>
        <v>121299.68143151992</v>
      </c>
      <c r="X12" s="1273">
        <f>SUM(X6:X11)</f>
        <v>207265.61000000002</v>
      </c>
      <c r="Y12" s="419">
        <f t="shared" ref="Y12:Z12" si="33">SUM(Y6:Y11)</f>
        <v>584299.96414216165</v>
      </c>
      <c r="Z12" s="369">
        <f t="shared" si="33"/>
        <v>697208.16999999993</v>
      </c>
      <c r="AA12" s="419">
        <f t="shared" ref="AA12:AB12" si="34">SUM(AA6:AA11)</f>
        <v>1163299.7587330355</v>
      </c>
      <c r="AB12" s="369">
        <f t="shared" si="34"/>
        <v>1237598.274</v>
      </c>
      <c r="AC12" s="1274">
        <f>SUM(AC6:AC11)</f>
        <v>236499.52815975636</v>
      </c>
      <c r="AD12" s="1273">
        <f>SUM(AD6:AD11)</f>
        <v>173557.69</v>
      </c>
      <c r="AE12" s="419">
        <f t="shared" ref="AE12:AF12" si="35">SUM(AE6:AE11)</f>
        <v>1399799.286892792</v>
      </c>
      <c r="AF12" s="369">
        <f t="shared" si="35"/>
        <v>1411155.9639999999</v>
      </c>
      <c r="AG12" s="1274">
        <f>SUM(AG6:AG11)</f>
        <v>228999.58845567465</v>
      </c>
      <c r="AH12" s="1273">
        <f>SUM(AH6:AH11)</f>
        <v>220913.685</v>
      </c>
      <c r="AI12" s="419">
        <f t="shared" ref="AI12:AN12" si="36">SUM(AI6:AI11)</f>
        <v>1628798.8753484667</v>
      </c>
      <c r="AJ12" s="369">
        <f t="shared" si="36"/>
        <v>1632069.6490000002</v>
      </c>
      <c r="AK12" s="1274">
        <f>SUM(AK6:AK11)</f>
        <v>236500.0542408831</v>
      </c>
      <c r="AL12" s="1273">
        <f>SUM(AL6:AL11)</f>
        <v>230715.48100000003</v>
      </c>
      <c r="AM12" s="419">
        <f t="shared" si="36"/>
        <v>701999.17085631413</v>
      </c>
      <c r="AN12" s="369">
        <f t="shared" si="36"/>
        <v>625186.85600000003</v>
      </c>
      <c r="AO12" s="419">
        <f t="shared" ref="AO12:AP12" si="37">SUM(AO6:AO11)</f>
        <v>1865298.9295893498</v>
      </c>
      <c r="AP12" s="369">
        <f t="shared" si="37"/>
        <v>1862785.13</v>
      </c>
      <c r="AQ12" s="1274">
        <f>SUM(AQ6:AQ11)</f>
        <v>239999.66467513063</v>
      </c>
      <c r="AR12" s="1273">
        <f>SUM(AR6:AR11)</f>
        <v>216690.611</v>
      </c>
      <c r="AS12" s="419">
        <f t="shared" ref="AS12:AT12" si="38">SUM(AS6:AS11)</f>
        <v>2105298.5942644803</v>
      </c>
      <c r="AT12" s="369">
        <f t="shared" si="38"/>
        <v>2079475.7409999999</v>
      </c>
      <c r="AU12" s="1274">
        <f>SUM(AU6:AU11)</f>
        <v>214000.01042587042</v>
      </c>
      <c r="AV12" s="1273">
        <f>SUM(AV6:AV11)</f>
        <v>191459.28</v>
      </c>
      <c r="AW12" s="419">
        <f t="shared" ref="AW12:AX12" si="39">SUM(AW6:AW11)</f>
        <v>2319298.6046903506</v>
      </c>
      <c r="AX12" s="369">
        <f t="shared" si="39"/>
        <v>2270935.0210000002</v>
      </c>
      <c r="AY12" s="1274">
        <f>SUM(AY6:AY11)</f>
        <v>239999.99999666668</v>
      </c>
      <c r="AZ12" s="1273">
        <f>SUM(AZ6:AZ11)</f>
        <v>231379.60199999998</v>
      </c>
      <c r="BA12" s="419">
        <f t="shared" ref="BA12:BD12" si="40">SUM(BA6:BA11)</f>
        <v>693999.67509766773</v>
      </c>
      <c r="BB12" s="369">
        <f t="shared" si="40"/>
        <v>639529.49300000002</v>
      </c>
      <c r="BC12" s="419">
        <f t="shared" si="40"/>
        <v>1395998.8459539819</v>
      </c>
      <c r="BD12" s="369">
        <f t="shared" si="40"/>
        <v>1264716.3489999999</v>
      </c>
      <c r="BE12" s="419">
        <f t="shared" ref="BE12:BF12" si="41">SUM(BE6:BE11)</f>
        <v>2559298.6046870174</v>
      </c>
      <c r="BF12" s="369">
        <f t="shared" si="41"/>
        <v>2502314.6230000001</v>
      </c>
      <c r="BH12" s="419">
        <v>2674798.3130195192</v>
      </c>
      <c r="BI12" s="1274">
        <v>2573785.9389999998</v>
      </c>
      <c r="BJ12" s="419">
        <v>2409999.5406616796</v>
      </c>
      <c r="BK12" s="1274">
        <v>2350743.34</v>
      </c>
      <c r="BL12" s="419">
        <v>2525000.0144466418</v>
      </c>
      <c r="BM12" s="1274">
        <v>2364891.46</v>
      </c>
      <c r="BN12" s="419">
        <v>2410000.013871755</v>
      </c>
      <c r="BO12" s="1274">
        <v>2298056.7800000003</v>
      </c>
      <c r="BP12" s="419">
        <v>2369500.1509075612</v>
      </c>
      <c r="BQ12" s="369">
        <v>2178255.52</v>
      </c>
      <c r="BR12" s="419">
        <v>2234474.8024697341</v>
      </c>
      <c r="BS12" s="369">
        <v>1877654.8489999999</v>
      </c>
      <c r="BT12" s="419">
        <v>2406999.7409326425</v>
      </c>
      <c r="BU12" s="369">
        <v>2049932.7499999995</v>
      </c>
    </row>
    <row r="13" spans="1:73" ht="96.75" hidden="1" customHeight="1" thickBot="1" x14ac:dyDescent="0.35">
      <c r="A13" s="1166"/>
      <c r="B13" s="4329" t="s">
        <v>1070</v>
      </c>
      <c r="C13" s="486"/>
      <c r="D13" s="4330" t="s">
        <v>1130</v>
      </c>
      <c r="E13" s="4330" t="s">
        <v>1131</v>
      </c>
      <c r="F13" s="4346"/>
      <c r="G13" s="4330" t="s">
        <v>1131</v>
      </c>
      <c r="H13" s="4346"/>
      <c r="I13" s="486"/>
      <c r="J13" s="486"/>
      <c r="K13" s="4330" t="s">
        <v>1131</v>
      </c>
      <c r="L13" s="4346"/>
      <c r="M13" s="486"/>
      <c r="N13" s="486"/>
      <c r="O13" s="4330" t="s">
        <v>1131</v>
      </c>
      <c r="P13" s="4346"/>
      <c r="Q13" s="486"/>
      <c r="R13" s="486"/>
      <c r="S13" s="4330" t="s">
        <v>1131</v>
      </c>
      <c r="T13" s="4346"/>
      <c r="U13" s="486"/>
      <c r="V13" s="486"/>
      <c r="W13" s="4330" t="s">
        <v>1131</v>
      </c>
      <c r="X13" s="4346"/>
      <c r="Y13" s="486"/>
      <c r="Z13" s="486"/>
      <c r="AA13" s="486"/>
      <c r="AB13" s="654"/>
      <c r="AC13" s="4330" t="s">
        <v>1131</v>
      </c>
      <c r="AD13" s="4346"/>
      <c r="AE13" s="486"/>
      <c r="AF13" s="486"/>
      <c r="AG13" s="4330" t="s">
        <v>1131</v>
      </c>
      <c r="AH13" s="4346"/>
      <c r="AI13" s="486"/>
      <c r="AJ13" s="486"/>
      <c r="AK13" s="4330" t="s">
        <v>1131</v>
      </c>
      <c r="AL13" s="4346"/>
      <c r="AM13" s="486"/>
      <c r="AN13" s="486"/>
      <c r="AO13" s="486"/>
      <c r="AP13" s="486"/>
      <c r="AQ13" s="4330" t="s">
        <v>1131</v>
      </c>
      <c r="AR13" s="4346"/>
      <c r="AS13" s="486"/>
      <c r="AT13" s="486"/>
      <c r="AU13" s="4330" t="s">
        <v>1131</v>
      </c>
      <c r="AV13" s="4346"/>
      <c r="AW13" s="486"/>
      <c r="AX13" s="486"/>
      <c r="AY13" s="4330" t="s">
        <v>1131</v>
      </c>
      <c r="AZ13" s="4346"/>
      <c r="BA13" s="486"/>
      <c r="BB13" s="486"/>
      <c r="BC13" s="486"/>
      <c r="BD13" s="654"/>
      <c r="BE13" s="486"/>
      <c r="BF13" s="486"/>
      <c r="BH13" s="5766"/>
      <c r="BI13" s="486"/>
      <c r="BJ13" s="486"/>
      <c r="BK13" s="486"/>
      <c r="BL13" s="486"/>
      <c r="BM13" s="486"/>
      <c r="BN13" s="486"/>
      <c r="BO13" s="486"/>
      <c r="BP13" s="486"/>
      <c r="BQ13" s="486"/>
      <c r="BR13" s="486"/>
      <c r="BS13" s="486"/>
      <c r="BT13" s="486"/>
      <c r="BU13" s="5767"/>
    </row>
    <row r="14" spans="1:73" ht="15" customHeight="1" thickBot="1" x14ac:dyDescent="0.35">
      <c r="A14" s="1166"/>
      <c r="B14" s="1743" t="s">
        <v>348</v>
      </c>
      <c r="C14" s="1733"/>
      <c r="D14" s="174"/>
      <c r="E14" s="175"/>
      <c r="F14" s="1862"/>
      <c r="G14" s="175"/>
      <c r="H14" s="1862"/>
      <c r="I14" s="175"/>
      <c r="J14" s="175"/>
      <c r="K14" s="175"/>
      <c r="L14" s="1862"/>
      <c r="M14" s="175"/>
      <c r="N14" s="175"/>
      <c r="O14" s="175"/>
      <c r="P14" s="1862"/>
      <c r="Q14" s="175"/>
      <c r="R14" s="175"/>
      <c r="S14" s="175"/>
      <c r="T14" s="1862"/>
      <c r="U14" s="175"/>
      <c r="V14" s="175"/>
      <c r="W14" s="175"/>
      <c r="X14" s="1862"/>
      <c r="Y14" s="175"/>
      <c r="Z14" s="175"/>
      <c r="AA14" s="175"/>
      <c r="AB14" s="175"/>
      <c r="AC14" s="175"/>
      <c r="AD14" s="1862"/>
      <c r="AE14" s="175"/>
      <c r="AF14" s="175"/>
      <c r="AG14" s="175"/>
      <c r="AH14" s="1862"/>
      <c r="AI14" s="175"/>
      <c r="AJ14" s="175"/>
      <c r="AK14" s="175"/>
      <c r="AL14" s="1862"/>
      <c r="AM14" s="175"/>
      <c r="AN14" s="175"/>
      <c r="AO14" s="175"/>
      <c r="AP14" s="175"/>
      <c r="AQ14" s="175"/>
      <c r="AR14" s="1862"/>
      <c r="AS14" s="175"/>
      <c r="AT14" s="175"/>
      <c r="AU14" s="175"/>
      <c r="AV14" s="1862"/>
      <c r="AW14" s="175"/>
      <c r="AX14" s="175"/>
      <c r="AY14" s="175"/>
      <c r="AZ14" s="1862"/>
      <c r="BA14" s="175"/>
      <c r="BB14" s="175"/>
      <c r="BC14" s="175"/>
      <c r="BD14" s="175"/>
      <c r="BE14" s="175"/>
      <c r="BF14" s="1516"/>
      <c r="BH14" s="1677"/>
      <c r="BI14" s="175"/>
      <c r="BJ14" s="175"/>
      <c r="BK14" s="175"/>
      <c r="BL14" s="175"/>
      <c r="BM14" s="175"/>
      <c r="BN14" s="175"/>
      <c r="BO14" s="175"/>
      <c r="BP14" s="1516"/>
      <c r="BQ14" s="175"/>
      <c r="BR14" s="175"/>
      <c r="BS14" s="175"/>
      <c r="BT14" s="175"/>
      <c r="BU14" s="1851"/>
    </row>
    <row r="15" spans="1:73" ht="15" customHeight="1" thickBot="1" x14ac:dyDescent="0.35">
      <c r="B15" s="1744" t="s">
        <v>77</v>
      </c>
      <c r="C15" s="695" t="s">
        <v>351</v>
      </c>
      <c r="D15" s="5863">
        <f>+D12</f>
        <v>2709999.9885122348</v>
      </c>
      <c r="E15" s="5858">
        <f>+E12</f>
        <v>181999.6837077587</v>
      </c>
      <c r="F15" s="4347">
        <f>+F7</f>
        <v>0</v>
      </c>
      <c r="G15" s="5858">
        <f>+G12</f>
        <v>168000</v>
      </c>
      <c r="H15" s="4347">
        <f>+H7</f>
        <v>3857.66</v>
      </c>
      <c r="I15" s="5860">
        <f>+E15+G15</f>
        <v>349999.68370775867</v>
      </c>
      <c r="J15" s="1734">
        <f>+F15+H15</f>
        <v>3857.66</v>
      </c>
      <c r="K15" s="5858">
        <f>+K12</f>
        <v>229000.11088311527</v>
      </c>
      <c r="L15" s="4347">
        <f>+L7</f>
        <v>0</v>
      </c>
      <c r="M15" s="5875">
        <f>+E15+G15+K15</f>
        <v>578999.79459087388</v>
      </c>
      <c r="N15" s="1735">
        <f>+F15+H15+L15</f>
        <v>3857.66</v>
      </c>
      <c r="O15" s="5858">
        <f>+O12</f>
        <v>231500.14135532087</v>
      </c>
      <c r="P15" s="4347">
        <f>+P7</f>
        <v>64.099999999999994</v>
      </c>
      <c r="Q15" s="5860">
        <f>+M15+O15</f>
        <v>810499.93594619469</v>
      </c>
      <c r="R15" s="1734">
        <f>+N15+P15</f>
        <v>3921.7599999999998</v>
      </c>
      <c r="S15" s="5858">
        <f>+S12</f>
        <v>231500.14135532087</v>
      </c>
      <c r="T15" s="4347">
        <f>+T7</f>
        <v>1485.1599999999999</v>
      </c>
      <c r="U15" s="5860">
        <f>+Q15+S15</f>
        <v>1042000.0773015155</v>
      </c>
      <c r="V15" s="1734">
        <f>+R15+T15</f>
        <v>5406.92</v>
      </c>
      <c r="W15" s="5858">
        <f>+W12</f>
        <v>121299.68143151992</v>
      </c>
      <c r="X15" s="4347">
        <f>+X7</f>
        <v>694</v>
      </c>
      <c r="Y15" s="5869">
        <f>+O15+S15+W15</f>
        <v>584299.96414216165</v>
      </c>
      <c r="Z15" s="69">
        <f>+P15+T15+X15</f>
        <v>2243.2599999999998</v>
      </c>
      <c r="AA15" s="5872">
        <f>+M15+Y15</f>
        <v>1163299.7587330355</v>
      </c>
      <c r="AB15" s="659">
        <f>+N15+Z15</f>
        <v>6100.92</v>
      </c>
      <c r="AC15" s="5858">
        <f>+AC12</f>
        <v>236499.52815975636</v>
      </c>
      <c r="AD15" s="4347">
        <f>+AD7</f>
        <v>747.82</v>
      </c>
      <c r="AE15" s="5860">
        <f>+AA15+AC15</f>
        <v>1399799.286892792</v>
      </c>
      <c r="AF15" s="1734">
        <f>+AB15+AD15</f>
        <v>6848.74</v>
      </c>
      <c r="AG15" s="5858">
        <f>+AG12</f>
        <v>228999.58845567465</v>
      </c>
      <c r="AH15" s="4347">
        <f>+AH7</f>
        <v>0</v>
      </c>
      <c r="AI15" s="5860">
        <f>+AE15+AG15</f>
        <v>1628798.8753484667</v>
      </c>
      <c r="AJ15" s="1734">
        <f>+AF15+AH15</f>
        <v>6848.74</v>
      </c>
      <c r="AK15" s="5858">
        <f>+AK12</f>
        <v>236500.0542408831</v>
      </c>
      <c r="AL15" s="4347">
        <f>+AL7</f>
        <v>244.1</v>
      </c>
      <c r="AM15" s="5869">
        <f>+AC15+AG15+AK15</f>
        <v>701999.17085631413</v>
      </c>
      <c r="AN15" s="69">
        <f>+AD15+AH15+AL15</f>
        <v>991.92000000000007</v>
      </c>
      <c r="AO15" s="5860">
        <f>AI15+AK15</f>
        <v>1865298.9295893498</v>
      </c>
      <c r="AP15" s="402">
        <f t="shared" ref="AP15:AP19" si="42">AJ15+AL15</f>
        <v>7092.84</v>
      </c>
      <c r="AQ15" s="5858">
        <f>+AQ12</f>
        <v>239999.66467513063</v>
      </c>
      <c r="AR15" s="4347">
        <f>+AR7</f>
        <v>0</v>
      </c>
      <c r="AS15" s="5860">
        <f>+AO15+AQ15</f>
        <v>2105298.5942644803</v>
      </c>
      <c r="AT15" s="1734">
        <f>+AP15+AR15</f>
        <v>7092.84</v>
      </c>
      <c r="AU15" s="5858">
        <f>+AU12</f>
        <v>214000.01042587042</v>
      </c>
      <c r="AV15" s="4347">
        <f>+AV7</f>
        <v>2333.6400000000003</v>
      </c>
      <c r="AW15" s="5860">
        <f>+AS15+AU15</f>
        <v>2319298.6046903506</v>
      </c>
      <c r="AX15" s="1734">
        <f>+AT15+AV15</f>
        <v>9426.48</v>
      </c>
      <c r="AY15" s="5858">
        <f>+AY12</f>
        <v>239999.99999666668</v>
      </c>
      <c r="AZ15" s="4347">
        <f>+AZ7</f>
        <v>2066.9</v>
      </c>
      <c r="BA15" s="5869">
        <f>+AQ15+AU15+AY15</f>
        <v>693999.67509766773</v>
      </c>
      <c r="BB15" s="69">
        <f>+AR15+AV15+AZ15</f>
        <v>4400.5400000000009</v>
      </c>
      <c r="BC15" s="5872">
        <f>+AM15+BA15</f>
        <v>1395998.8459539819</v>
      </c>
      <c r="BD15" s="596">
        <f t="shared" ref="BD15:BD19" si="43">AN15+BB15</f>
        <v>5392.4600000000009</v>
      </c>
      <c r="BE15" s="5860">
        <f>+AW15+AY15</f>
        <v>2559298.6046870174</v>
      </c>
      <c r="BF15" s="1734">
        <f>+AX15+AZ15</f>
        <v>11493.38</v>
      </c>
      <c r="BH15" s="5907">
        <v>2674798.3130195192</v>
      </c>
      <c r="BI15" s="5770">
        <v>7635.7199999999993</v>
      </c>
      <c r="BJ15" s="5896">
        <v>2409999.5406616796</v>
      </c>
      <c r="BK15" s="1723">
        <v>322.72000000000003</v>
      </c>
      <c r="BL15" s="5896">
        <v>2525000.0144466418</v>
      </c>
      <c r="BM15" s="1723">
        <v>3076.2</v>
      </c>
      <c r="BN15" s="5896">
        <v>2410000.013871755</v>
      </c>
      <c r="BO15" s="1723">
        <v>42263.08</v>
      </c>
      <c r="BP15" s="5905">
        <v>2369500.1509075612</v>
      </c>
      <c r="BQ15" s="1723">
        <v>71707.420000000013</v>
      </c>
      <c r="BR15" s="5899">
        <v>2234474.8024697341</v>
      </c>
      <c r="BS15" s="1723">
        <v>9758.5099999999966</v>
      </c>
      <c r="BT15" s="5899">
        <f>+BT12</f>
        <v>2406999.7409326425</v>
      </c>
      <c r="BU15" s="1723">
        <v>5928.2490000000007</v>
      </c>
    </row>
    <row r="16" spans="1:73" ht="15" customHeight="1" thickBot="1" x14ac:dyDescent="0.35">
      <c r="B16" s="4323" t="s">
        <v>75</v>
      </c>
      <c r="C16" s="4331" t="s">
        <v>351</v>
      </c>
      <c r="D16" s="5864"/>
      <c r="E16" s="5859"/>
      <c r="F16" s="4344">
        <v>118626.72</v>
      </c>
      <c r="G16" s="5859"/>
      <c r="H16" s="4344">
        <v>56864.990000000005</v>
      </c>
      <c r="I16" s="5861"/>
      <c r="J16" s="487">
        <f>+F16+H16</f>
        <v>175491.71000000002</v>
      </c>
      <c r="K16" s="5859"/>
      <c r="L16" s="4344">
        <v>120386.73999999999</v>
      </c>
      <c r="M16" s="5876"/>
      <c r="N16" s="1731">
        <f>+F16+H16+L16</f>
        <v>295878.45</v>
      </c>
      <c r="O16" s="5859"/>
      <c r="P16" s="4344">
        <v>136780.81</v>
      </c>
      <c r="Q16" s="5861"/>
      <c r="R16" s="487">
        <f>+N16+P16</f>
        <v>432659.26</v>
      </c>
      <c r="S16" s="5859"/>
      <c r="T16" s="4344">
        <v>149407.49</v>
      </c>
      <c r="U16" s="5861"/>
      <c r="V16" s="487">
        <f>+R16+T16</f>
        <v>582066.75</v>
      </c>
      <c r="W16" s="5859"/>
      <c r="X16" s="4344">
        <v>118171.66000000002</v>
      </c>
      <c r="Y16" s="5870"/>
      <c r="Z16" s="69">
        <f t="shared" ref="Z16:Z19" si="44">+P16+T16+X16</f>
        <v>404359.96</v>
      </c>
      <c r="AA16" s="5873"/>
      <c r="AB16" s="659">
        <f t="shared" ref="AB16:AB19" si="45">+N16+Z16</f>
        <v>700238.41</v>
      </c>
      <c r="AC16" s="5859"/>
      <c r="AD16" s="4344">
        <v>102074.34</v>
      </c>
      <c r="AE16" s="5861"/>
      <c r="AF16" s="487">
        <f>+AB16+AD16</f>
        <v>802312.75</v>
      </c>
      <c r="AG16" s="5859"/>
      <c r="AH16" s="4344">
        <v>144101.09</v>
      </c>
      <c r="AI16" s="5861"/>
      <c r="AJ16" s="487">
        <f>+AF16+AH16</f>
        <v>946413.84</v>
      </c>
      <c r="AK16" s="5859"/>
      <c r="AL16" s="4344">
        <v>155324.22999999998</v>
      </c>
      <c r="AM16" s="5870"/>
      <c r="AN16" s="69">
        <f t="shared" ref="AN16:AN19" si="46">+AD16+AH16+AL16</f>
        <v>401499.66</v>
      </c>
      <c r="AO16" s="5861"/>
      <c r="AP16" s="402">
        <f t="shared" si="42"/>
        <v>1101738.0699999998</v>
      </c>
      <c r="AQ16" s="5859"/>
      <c r="AR16" s="4344">
        <v>154023.1</v>
      </c>
      <c r="AS16" s="5861"/>
      <c r="AT16" s="487">
        <f>+AP16+AR16</f>
        <v>1255761.17</v>
      </c>
      <c r="AU16" s="5859"/>
      <c r="AV16" s="4344">
        <v>143472.91</v>
      </c>
      <c r="AW16" s="5861"/>
      <c r="AX16" s="487">
        <f>+AT16+AV16</f>
        <v>1399234.0799999998</v>
      </c>
      <c r="AY16" s="5859"/>
      <c r="AZ16" s="4344">
        <v>163014.04</v>
      </c>
      <c r="BA16" s="5870"/>
      <c r="BB16" s="69">
        <f t="shared" ref="BB16:BB19" si="47">+AR16+AV16+AZ16</f>
        <v>460510.05000000005</v>
      </c>
      <c r="BC16" s="5873"/>
      <c r="BD16" s="596">
        <f t="shared" si="43"/>
        <v>862009.71</v>
      </c>
      <c r="BE16" s="5861"/>
      <c r="BF16" s="487">
        <f>+AX16+AZ16</f>
        <v>1562248.1199999999</v>
      </c>
      <c r="BH16" s="5908"/>
      <c r="BI16" s="4876">
        <v>1647383.22</v>
      </c>
      <c r="BJ16" s="5897"/>
      <c r="BK16" s="5768">
        <v>1620104.8800000001</v>
      </c>
      <c r="BL16" s="5897"/>
      <c r="BM16" s="5768">
        <v>1443296.0299999998</v>
      </c>
      <c r="BN16" s="5897"/>
      <c r="BO16" s="5768">
        <v>1325226.6500000001</v>
      </c>
      <c r="BP16" s="5906"/>
      <c r="BQ16" s="5768">
        <v>1097093.1499999999</v>
      </c>
      <c r="BR16" s="5900"/>
      <c r="BS16" s="5768">
        <v>691326.51799999992</v>
      </c>
      <c r="BT16" s="5900"/>
      <c r="BU16" s="5768">
        <v>569419.82700000005</v>
      </c>
    </row>
    <row r="17" spans="2:73" ht="15" customHeight="1" thickBot="1" x14ac:dyDescent="0.35">
      <c r="B17" s="4323" t="s">
        <v>76</v>
      </c>
      <c r="C17" s="4331" t="s">
        <v>351</v>
      </c>
      <c r="D17" s="5864"/>
      <c r="E17" s="5859"/>
      <c r="F17" s="4344">
        <v>74831.493000000002</v>
      </c>
      <c r="G17" s="5859"/>
      <c r="H17" s="4344">
        <v>53166.081000000006</v>
      </c>
      <c r="I17" s="5861"/>
      <c r="J17" s="487">
        <f>+F17+H17</f>
        <v>127997.57400000001</v>
      </c>
      <c r="K17" s="5859"/>
      <c r="L17" s="4344">
        <v>91277.939999999973</v>
      </c>
      <c r="M17" s="5876"/>
      <c r="N17" s="1731">
        <f>+F17+H17+L17</f>
        <v>219275.51399999997</v>
      </c>
      <c r="O17" s="5859"/>
      <c r="P17" s="4344">
        <v>102874.62000000002</v>
      </c>
      <c r="Q17" s="5861"/>
      <c r="R17" s="487">
        <f>+N17+P17</f>
        <v>322150.13399999996</v>
      </c>
      <c r="S17" s="5859"/>
      <c r="T17" s="4344">
        <v>89009.359999999986</v>
      </c>
      <c r="U17" s="5861"/>
      <c r="V17" s="487">
        <f>+R17+T17</f>
        <v>411159.49399999995</v>
      </c>
      <c r="W17" s="5859"/>
      <c r="X17" s="4344">
        <v>83127.569999999992</v>
      </c>
      <c r="Y17" s="5870"/>
      <c r="Z17" s="69">
        <f t="shared" si="44"/>
        <v>275011.55</v>
      </c>
      <c r="AA17" s="5873"/>
      <c r="AB17" s="659">
        <f t="shared" si="45"/>
        <v>494287.06399999995</v>
      </c>
      <c r="AC17" s="5859"/>
      <c r="AD17" s="4344">
        <v>62676.91</v>
      </c>
      <c r="AE17" s="5861"/>
      <c r="AF17" s="487">
        <f>+AB17+AD17</f>
        <v>556963.97399999993</v>
      </c>
      <c r="AG17" s="5859"/>
      <c r="AH17" s="4344">
        <v>73868.744999999995</v>
      </c>
      <c r="AI17" s="5861"/>
      <c r="AJ17" s="487">
        <f>+AF17+AH17</f>
        <v>630832.71899999992</v>
      </c>
      <c r="AK17" s="5859"/>
      <c r="AL17" s="4344">
        <v>69474.281000000017</v>
      </c>
      <c r="AM17" s="5870"/>
      <c r="AN17" s="69">
        <f t="shared" si="46"/>
        <v>206019.93600000002</v>
      </c>
      <c r="AO17" s="5861"/>
      <c r="AP17" s="402">
        <f t="shared" si="42"/>
        <v>700307</v>
      </c>
      <c r="AQ17" s="5859"/>
      <c r="AR17" s="4344">
        <v>53620.361000000012</v>
      </c>
      <c r="AS17" s="5861"/>
      <c r="AT17" s="487">
        <f>+AP17+AR17</f>
        <v>753927.36100000003</v>
      </c>
      <c r="AU17" s="5859"/>
      <c r="AV17" s="4344">
        <v>41740.58</v>
      </c>
      <c r="AW17" s="5861"/>
      <c r="AX17" s="487">
        <f>+AT17+AV17</f>
        <v>795667.94099999999</v>
      </c>
      <c r="AY17" s="5859"/>
      <c r="AZ17" s="4344">
        <v>59773.861999999994</v>
      </c>
      <c r="BA17" s="5870"/>
      <c r="BB17" s="69">
        <f t="shared" si="47"/>
        <v>155134.80300000001</v>
      </c>
      <c r="BC17" s="5873"/>
      <c r="BD17" s="596">
        <f t="shared" si="43"/>
        <v>361154.73900000006</v>
      </c>
      <c r="BE17" s="5861"/>
      <c r="BF17" s="487">
        <f>+AX17+AZ17</f>
        <v>855441.80299999996</v>
      </c>
      <c r="BH17" s="5908"/>
      <c r="BI17" s="4876">
        <v>849060.91899999988</v>
      </c>
      <c r="BJ17" s="5897"/>
      <c r="BK17" s="5768">
        <v>662107.03</v>
      </c>
      <c r="BL17" s="5897"/>
      <c r="BM17" s="5768">
        <v>829404.40000000014</v>
      </c>
      <c r="BN17" s="5897"/>
      <c r="BO17" s="5768">
        <v>809005.30999999994</v>
      </c>
      <c r="BP17" s="5906"/>
      <c r="BQ17" s="5768">
        <v>567271.22</v>
      </c>
      <c r="BR17" s="5900"/>
      <c r="BS17" s="5768">
        <v>479205.15300000005</v>
      </c>
      <c r="BT17" s="5900"/>
      <c r="BU17" s="5768">
        <v>909567.00199999986</v>
      </c>
    </row>
    <row r="18" spans="2:73" ht="15" customHeight="1" thickBot="1" x14ac:dyDescent="0.35">
      <c r="B18" s="4326" t="s">
        <v>1702</v>
      </c>
      <c r="C18" s="4331" t="s">
        <v>351</v>
      </c>
      <c r="D18" s="5864"/>
      <c r="E18" s="5859"/>
      <c r="F18" s="4344">
        <f>+F6</f>
        <v>5965.35</v>
      </c>
      <c r="G18" s="5859"/>
      <c r="H18" s="4344">
        <f>+H6</f>
        <v>1783.23</v>
      </c>
      <c r="I18" s="5861"/>
      <c r="J18" s="487">
        <f>+F18+H18</f>
        <v>7748.58</v>
      </c>
      <c r="K18" s="5859"/>
      <c r="L18" s="4344">
        <f>+L6</f>
        <v>6803.8099999999995</v>
      </c>
      <c r="M18" s="5876"/>
      <c r="N18" s="1731">
        <f>+F18+H18+L18</f>
        <v>14552.39</v>
      </c>
      <c r="O18" s="5859"/>
      <c r="P18" s="4344">
        <f>+P6</f>
        <v>3865.3599999999997</v>
      </c>
      <c r="Q18" s="5861"/>
      <c r="R18" s="487">
        <f>+N18+P18</f>
        <v>18417.75</v>
      </c>
      <c r="S18" s="5859"/>
      <c r="T18" s="4344">
        <f>+T6</f>
        <v>6257.93</v>
      </c>
      <c r="U18" s="5861"/>
      <c r="V18" s="487">
        <f>+R18+T18</f>
        <v>24675.68</v>
      </c>
      <c r="W18" s="5859"/>
      <c r="X18" s="4344">
        <f>+X6</f>
        <v>5182.59</v>
      </c>
      <c r="Y18" s="5870"/>
      <c r="Z18" s="69">
        <f t="shared" si="44"/>
        <v>15305.880000000001</v>
      </c>
      <c r="AA18" s="5873"/>
      <c r="AB18" s="659">
        <f t="shared" si="45"/>
        <v>29858.27</v>
      </c>
      <c r="AC18" s="5859"/>
      <c r="AD18" s="4344">
        <f>+AD6</f>
        <v>5221.92</v>
      </c>
      <c r="AE18" s="5861"/>
      <c r="AF18" s="487">
        <f>+AB18+AD18</f>
        <v>35080.19</v>
      </c>
      <c r="AG18" s="5859"/>
      <c r="AH18" s="4344">
        <f>+AH6</f>
        <v>0</v>
      </c>
      <c r="AI18" s="5861"/>
      <c r="AJ18" s="487">
        <f>+AF18+AH18</f>
        <v>35080.19</v>
      </c>
      <c r="AK18" s="5859"/>
      <c r="AL18" s="4344">
        <f>+AL6</f>
        <v>2960.7299999999996</v>
      </c>
      <c r="AM18" s="5870"/>
      <c r="AN18" s="69">
        <f t="shared" si="46"/>
        <v>8182.65</v>
      </c>
      <c r="AO18" s="5861"/>
      <c r="AP18" s="402">
        <f t="shared" si="42"/>
        <v>38040.92</v>
      </c>
      <c r="AQ18" s="5859"/>
      <c r="AR18" s="4344">
        <f>+AR6</f>
        <v>6204.6100000000015</v>
      </c>
      <c r="AS18" s="5861"/>
      <c r="AT18" s="487">
        <f>+AP18+AR18</f>
        <v>44245.53</v>
      </c>
      <c r="AU18" s="5859"/>
      <c r="AV18" s="4344">
        <f>+AV6</f>
        <v>3912.1499999999996</v>
      </c>
      <c r="AW18" s="5861"/>
      <c r="AX18" s="487">
        <f>+AT18+AV18</f>
        <v>48157.68</v>
      </c>
      <c r="AY18" s="5859"/>
      <c r="AZ18" s="4344">
        <f>+AZ6</f>
        <v>3740.4</v>
      </c>
      <c r="BA18" s="5870"/>
      <c r="BB18" s="69">
        <f t="shared" si="47"/>
        <v>13857.160000000002</v>
      </c>
      <c r="BC18" s="5873"/>
      <c r="BD18" s="596">
        <f t="shared" si="43"/>
        <v>22039.81</v>
      </c>
      <c r="BE18" s="5861"/>
      <c r="BF18" s="487">
        <f>+AX18+AZ18</f>
        <v>51898.080000000002</v>
      </c>
      <c r="BH18" s="5908"/>
      <c r="BI18" s="4876">
        <v>47950.34</v>
      </c>
      <c r="BJ18" s="5897"/>
      <c r="BK18" s="5768">
        <v>53987.54</v>
      </c>
      <c r="BL18" s="5897"/>
      <c r="BM18" s="5768">
        <v>30649.839999999997</v>
      </c>
      <c r="BN18" s="5897"/>
      <c r="BO18" s="5768">
        <v>34807.22</v>
      </c>
      <c r="BP18" s="5906"/>
      <c r="BQ18" s="5768">
        <v>33201.15</v>
      </c>
      <c r="BR18" s="5900"/>
      <c r="BS18" s="5768">
        <v>35268.25</v>
      </c>
      <c r="BT18" s="5900"/>
      <c r="BU18" s="5768">
        <v>28405.85</v>
      </c>
    </row>
    <row r="19" spans="2:73" ht="15" customHeight="1" thickBot="1" x14ac:dyDescent="0.35">
      <c r="B19" s="4326" t="s">
        <v>1132</v>
      </c>
      <c r="C19" s="4332" t="s">
        <v>351</v>
      </c>
      <c r="D19" s="5865"/>
      <c r="E19" s="5866"/>
      <c r="F19" s="4344">
        <v>2999.0299999999993</v>
      </c>
      <c r="G19" s="5866"/>
      <c r="H19" s="4344">
        <v>3791.1600000000008</v>
      </c>
      <c r="I19" s="5861"/>
      <c r="J19" s="487">
        <f>+F19+H19</f>
        <v>6790.1900000000005</v>
      </c>
      <c r="K19" s="5866"/>
      <c r="L19" s="4344">
        <v>35.9</v>
      </c>
      <c r="M19" s="5877"/>
      <c r="N19" s="1731">
        <f>+F19+H19+L19</f>
        <v>6826.09</v>
      </c>
      <c r="O19" s="5866"/>
      <c r="P19" s="4344">
        <v>38.94</v>
      </c>
      <c r="Q19" s="5861"/>
      <c r="R19" s="487">
        <f>+N19+P19</f>
        <v>6865.03</v>
      </c>
      <c r="S19" s="5866"/>
      <c r="T19" s="4344">
        <v>158.79</v>
      </c>
      <c r="U19" s="5861"/>
      <c r="V19" s="487">
        <f>+R19+T19</f>
        <v>7023.82</v>
      </c>
      <c r="W19" s="5866"/>
      <c r="X19" s="4344">
        <v>89.79</v>
      </c>
      <c r="Y19" s="5870"/>
      <c r="Z19" s="69">
        <f t="shared" si="44"/>
        <v>287.52</v>
      </c>
      <c r="AA19" s="5873"/>
      <c r="AB19" s="659">
        <f t="shared" si="45"/>
        <v>7113.6100000000006</v>
      </c>
      <c r="AC19" s="5866"/>
      <c r="AD19" s="4344">
        <v>2836.7</v>
      </c>
      <c r="AE19" s="5861"/>
      <c r="AF19" s="487">
        <f>+AB19+AD19</f>
        <v>9950.3100000000013</v>
      </c>
      <c r="AG19" s="5866"/>
      <c r="AH19" s="4344">
        <v>2943.85</v>
      </c>
      <c r="AI19" s="5861"/>
      <c r="AJ19" s="487">
        <f>+AF19+AH19</f>
        <v>12894.160000000002</v>
      </c>
      <c r="AK19" s="5866"/>
      <c r="AL19" s="4344">
        <v>2712.14</v>
      </c>
      <c r="AM19" s="5870"/>
      <c r="AN19" s="69">
        <f t="shared" si="46"/>
        <v>8492.6899999999987</v>
      </c>
      <c r="AO19" s="5861"/>
      <c r="AP19" s="402">
        <f t="shared" si="42"/>
        <v>15606.300000000001</v>
      </c>
      <c r="AQ19" s="5866"/>
      <c r="AR19" s="4344">
        <v>2842.54</v>
      </c>
      <c r="AS19" s="5861"/>
      <c r="AT19" s="487">
        <f>+AP19+AR19</f>
        <v>18448.84</v>
      </c>
      <c r="AU19" s="5866"/>
      <c r="AV19" s="4344">
        <v>0</v>
      </c>
      <c r="AW19" s="5861"/>
      <c r="AX19" s="487">
        <f>+AT19+AV19</f>
        <v>18448.84</v>
      </c>
      <c r="AY19" s="5866"/>
      <c r="AZ19" s="4344">
        <v>2784.3999999999996</v>
      </c>
      <c r="BA19" s="5870"/>
      <c r="BB19" s="69">
        <f t="shared" si="47"/>
        <v>5626.94</v>
      </c>
      <c r="BC19" s="5873"/>
      <c r="BD19" s="596">
        <f t="shared" si="43"/>
        <v>14119.629999999997</v>
      </c>
      <c r="BE19" s="5861"/>
      <c r="BF19" s="487">
        <f>+AX19+AZ19</f>
        <v>21233.239999999998</v>
      </c>
      <c r="BH19" s="5908"/>
      <c r="BI19" s="4876">
        <v>21755.739999999998</v>
      </c>
      <c r="BJ19" s="5898"/>
      <c r="BK19" s="5768">
        <v>14221</v>
      </c>
      <c r="BL19" s="5898"/>
      <c r="BM19" s="5768">
        <v>58464.989999999991</v>
      </c>
      <c r="BN19" s="5898"/>
      <c r="BO19" s="5768">
        <v>86754.520000000019</v>
      </c>
      <c r="BP19" s="5906"/>
      <c r="BQ19" s="5768">
        <v>408982.57999999996</v>
      </c>
      <c r="BR19" s="5900"/>
      <c r="BS19" s="5768">
        <v>662096.97799999977</v>
      </c>
      <c r="BT19" s="5900"/>
      <c r="BU19" s="5768">
        <v>536611.97599999979</v>
      </c>
    </row>
    <row r="20" spans="2:73" ht="15" customHeight="1" thickBot="1" x14ac:dyDescent="0.35">
      <c r="B20" s="250" t="s">
        <v>1368</v>
      </c>
      <c r="C20" s="98" t="s">
        <v>49</v>
      </c>
      <c r="D20" s="1729"/>
      <c r="E20" s="4338"/>
      <c r="F20" s="4348">
        <f>+((F16+F18+F15+F19)/F12)*100</f>
        <v>63.032045044497586</v>
      </c>
      <c r="G20" s="4338"/>
      <c r="H20" s="4348">
        <f>+((H16+H18+H15+H19)/H12)*100</f>
        <v>55.495821174804242</v>
      </c>
      <c r="I20" s="5862"/>
      <c r="J20" s="1732">
        <f>+((+J15+J16+J18+J19)/J12)*100</f>
        <v>60.235087040861956</v>
      </c>
      <c r="K20" s="4338"/>
      <c r="L20" s="4348">
        <f>+((L16+L18+L15+L19)/L12)*100</f>
        <v>58.226038387604021</v>
      </c>
      <c r="M20" s="1737"/>
      <c r="N20" s="67">
        <f>+((+N15+N16+N18+N19)/N12)*100</f>
        <v>59.422736949305786</v>
      </c>
      <c r="O20" s="4338"/>
      <c r="P20" s="4348">
        <f>+((P16+P18+P15+P19)/P12)*100</f>
        <v>57.773170219021665</v>
      </c>
      <c r="Q20" s="5862"/>
      <c r="R20" s="1732">
        <f>+((+R15+R16+R18+R19)/R12)*100</f>
        <v>58.910151971865346</v>
      </c>
      <c r="S20" s="4338"/>
      <c r="T20" s="4348">
        <f>+((T16+T18+T15+T19)/T12)*100</f>
        <v>63.864152758501149</v>
      </c>
      <c r="U20" s="5862"/>
      <c r="V20" s="1732">
        <f>+((+V15+V16+V18+V19)/V12)*100</f>
        <v>60.094490996356498</v>
      </c>
      <c r="W20" s="4338"/>
      <c r="X20" s="4348">
        <f>+((X16+X18+X15+X19)/X12)*100</f>
        <v>59.893216245570116</v>
      </c>
      <c r="Y20" s="5871"/>
      <c r="Z20" s="1472">
        <f>+((Z16+Z18+Z15+Z19)/Z12)*100</f>
        <v>60.555317359519769</v>
      </c>
      <c r="AA20" s="5874"/>
      <c r="AB20" s="1473">
        <f>+((AB16+AB18+AB15+AB19)/AB12)*100</f>
        <v>60.060782696275808</v>
      </c>
      <c r="AC20" s="4338"/>
      <c r="AD20" s="4348">
        <f>+((AD16+AD18+AD15+AD19)/AD12)*100</f>
        <v>63.886987663871295</v>
      </c>
      <c r="AE20" s="5862"/>
      <c r="AF20" s="1732">
        <f>+((+AF15+AF16+AF18+AF19)/AF12)*100</f>
        <v>60.531366609452967</v>
      </c>
      <c r="AG20" s="4338"/>
      <c r="AH20" s="4348">
        <f>+((AH16+AH18+AH15+AH19)/AH12)*100</f>
        <v>66.562168839834442</v>
      </c>
      <c r="AI20" s="5862"/>
      <c r="AJ20" s="1732">
        <f>+((+AJ15+AJ16+AJ18+AJ19)/AJ12)*100</f>
        <v>61.347683943113381</v>
      </c>
      <c r="AK20" s="4338"/>
      <c r="AL20" s="4348">
        <f>+((AL16+AL18+AL15+AL19)/AL12)*100</f>
        <v>69.887464552064444</v>
      </c>
      <c r="AM20" s="5871"/>
      <c r="AN20" s="1472">
        <f>+((AN16+AN18+AN15+AN19)/AN12)*100</f>
        <v>67.046662286194959</v>
      </c>
      <c r="AO20" s="5862"/>
      <c r="AP20" s="1732">
        <f>+((+AP15+AP16+AP18+AP19)/AP12)*100</f>
        <v>62.405379519000128</v>
      </c>
      <c r="AQ20" s="4338"/>
      <c r="AR20" s="4348">
        <f>+((AR16+AR18+AR15+AR19)/AR12)*100</f>
        <v>75.254875717711656</v>
      </c>
      <c r="AS20" s="5862"/>
      <c r="AT20" s="1732">
        <f>+((+AT15+AT16+AT18+AT19)/AT12)*100</f>
        <v>63.744354111222123</v>
      </c>
      <c r="AU20" s="4338"/>
      <c r="AV20" s="4348">
        <f>+((AV16+AV18+AV15+AV19)/AV12)*100</f>
        <v>78.198716719294055</v>
      </c>
      <c r="AW20" s="5862"/>
      <c r="AX20" s="1732">
        <f>+((+AX15+AX16+AX18+AX19)/AX12)*100</f>
        <v>64.962980726342849</v>
      </c>
      <c r="AY20" s="4338"/>
      <c r="AZ20" s="4348">
        <f>+((AZ16+AZ18+AZ15+AZ19)/AZ12)*100</f>
        <v>74.166321714046347</v>
      </c>
      <c r="BA20" s="5871"/>
      <c r="BB20" s="1472">
        <f>+((BB16+BB18+BB15+BB19)/BB12)*100</f>
        <v>75.742353605574834</v>
      </c>
      <c r="BC20" s="5874"/>
      <c r="BD20" s="1473">
        <f>+((BD16+BD18+BD15+BD19)/BD12)*100</f>
        <v>71.44381510640217</v>
      </c>
      <c r="BE20" s="5862"/>
      <c r="BF20" s="1732">
        <f>+((+BF15+BF16+BF18+BF19)/BF12)*100</f>
        <v>65.81397898021234</v>
      </c>
      <c r="BH20" s="5909"/>
      <c r="BI20" s="5771">
        <v>67.011206871000013</v>
      </c>
      <c r="BJ20" s="1730"/>
      <c r="BK20" s="1728">
        <v>71.834134814564663</v>
      </c>
      <c r="BL20" s="1730"/>
      <c r="BM20" s="1728">
        <v>64.928436927079929</v>
      </c>
      <c r="BN20" s="1730"/>
      <c r="BO20" s="1728">
        <v>64.796113088206639</v>
      </c>
      <c r="BP20" s="5901"/>
      <c r="BQ20" s="1722">
        <v>70.665579215426476</v>
      </c>
      <c r="BR20" s="5901"/>
      <c r="BS20" s="1722">
        <f>+((BS16+BS18+BS15+BS19)/BS12)*100</f>
        <v>74.478558013193179</v>
      </c>
      <c r="BT20" s="5901"/>
      <c r="BU20" s="1736">
        <f>+((BU16+BU18+BU15+BU19)/BU12)*100</f>
        <v>55.629429892273293</v>
      </c>
    </row>
    <row r="21" spans="2:73" ht="15" customHeight="1" thickBot="1" x14ac:dyDescent="0.35">
      <c r="B21" s="1743" t="s">
        <v>140</v>
      </c>
      <c r="C21" s="1733"/>
      <c r="D21" s="174"/>
      <c r="E21" s="175"/>
      <c r="F21" s="4349"/>
      <c r="G21" s="175"/>
      <c r="H21" s="4349"/>
      <c r="I21" s="1753"/>
      <c r="J21" s="1753"/>
      <c r="K21" s="175"/>
      <c r="L21" s="4349"/>
      <c r="M21" s="1753"/>
      <c r="N21" s="1753"/>
      <c r="O21" s="175"/>
      <c r="P21" s="4349"/>
      <c r="Q21" s="1753"/>
      <c r="R21" s="1753"/>
      <c r="S21" s="175"/>
      <c r="T21" s="4349"/>
      <c r="U21" s="1753"/>
      <c r="V21" s="1753"/>
      <c r="W21" s="175"/>
      <c r="X21" s="4349"/>
      <c r="Y21" s="1753"/>
      <c r="Z21" s="1753"/>
      <c r="AA21" s="1753"/>
      <c r="AB21" s="1753"/>
      <c r="AC21" s="175"/>
      <c r="AD21" s="4349"/>
      <c r="AE21" s="1753"/>
      <c r="AF21" s="1753"/>
      <c r="AG21" s="175"/>
      <c r="AH21" s="4349"/>
      <c r="AI21" s="1753"/>
      <c r="AJ21" s="1753"/>
      <c r="AK21" s="175"/>
      <c r="AL21" s="4349"/>
      <c r="AM21" s="1753"/>
      <c r="AN21" s="1753"/>
      <c r="AO21" s="1753"/>
      <c r="AP21" s="1753"/>
      <c r="AQ21" s="175"/>
      <c r="AR21" s="4349"/>
      <c r="AS21" s="1753"/>
      <c r="AT21" s="1753"/>
      <c r="AU21" s="175"/>
      <c r="AV21" s="4349"/>
      <c r="AW21" s="1753"/>
      <c r="AX21" s="1753"/>
      <c r="AY21" s="175"/>
      <c r="AZ21" s="4349"/>
      <c r="BA21" s="1753"/>
      <c r="BB21" s="1753"/>
      <c r="BC21" s="1753"/>
      <c r="BD21" s="1753"/>
      <c r="BE21" s="1753"/>
      <c r="BF21" s="1753"/>
      <c r="BH21" s="5773"/>
      <c r="BI21" s="5772"/>
      <c r="BJ21" s="225"/>
      <c r="BK21" s="225"/>
      <c r="BL21" s="225"/>
      <c r="BM21" s="225"/>
      <c r="BN21" s="225"/>
      <c r="BO21" s="225"/>
      <c r="BP21" s="174"/>
      <c r="BQ21" s="175"/>
      <c r="BR21" s="174"/>
      <c r="BS21" s="175"/>
      <c r="BT21" s="174"/>
      <c r="BU21" s="1851"/>
    </row>
    <row r="22" spans="2:73" ht="15" customHeight="1" x14ac:dyDescent="0.3">
      <c r="B22" s="1756" t="s">
        <v>22</v>
      </c>
      <c r="C22" s="695" t="s">
        <v>351</v>
      </c>
      <c r="D22" s="5856">
        <f>+D12</f>
        <v>2709999.9885122348</v>
      </c>
      <c r="E22" s="5858">
        <f>+E12</f>
        <v>181999.6837077587</v>
      </c>
      <c r="F22" s="4347">
        <v>164894.72300000003</v>
      </c>
      <c r="G22" s="5858">
        <f>+G12</f>
        <v>168000</v>
      </c>
      <c r="H22" s="4347">
        <v>97343.181000000011</v>
      </c>
      <c r="I22" s="5867">
        <f>+I12</f>
        <v>349999.68370775867</v>
      </c>
      <c r="J22" s="39">
        <f>+F22+H22</f>
        <v>262237.90400000004</v>
      </c>
      <c r="K22" s="5858">
        <f>+K12</f>
        <v>229000.11088311527</v>
      </c>
      <c r="L22" s="4347">
        <v>185082.04</v>
      </c>
      <c r="M22" s="5875">
        <f>+M12</f>
        <v>578999.79459087399</v>
      </c>
      <c r="N22" s="661">
        <f>+F22+H22+L22</f>
        <v>447319.94400000002</v>
      </c>
      <c r="O22" s="5858">
        <f>+O12</f>
        <v>231500.14135532087</v>
      </c>
      <c r="P22" s="4347">
        <v>192470.12000000002</v>
      </c>
      <c r="Q22" s="5867">
        <f>+Q12</f>
        <v>810499.93594619492</v>
      </c>
      <c r="R22" s="39">
        <f>+N22+P22</f>
        <v>639790.06400000001</v>
      </c>
      <c r="S22" s="5858">
        <f>+S12</f>
        <v>231500.14135532087</v>
      </c>
      <c r="T22" s="4347">
        <v>199128.92</v>
      </c>
      <c r="U22" s="5867">
        <f>+U12</f>
        <v>1042000.0773015157</v>
      </c>
      <c r="V22" s="39">
        <f>+R22+T22</f>
        <v>838918.98400000005</v>
      </c>
      <c r="W22" s="5858">
        <f>+W12</f>
        <v>121299.68143151992</v>
      </c>
      <c r="X22" s="4347">
        <v>164143.06000000003</v>
      </c>
      <c r="Y22" s="5869">
        <f>+Y12</f>
        <v>584299.96414216165</v>
      </c>
      <c r="Z22" s="69">
        <f>+P22+T22+X22</f>
        <v>555742.10000000009</v>
      </c>
      <c r="AA22" s="5872">
        <f>+AA12</f>
        <v>1163299.7587330355</v>
      </c>
      <c r="AB22" s="596">
        <f>+N22+Z22</f>
        <v>1003062.0440000001</v>
      </c>
      <c r="AC22" s="5858">
        <f>+AC12</f>
        <v>236499.52815975636</v>
      </c>
      <c r="AD22" s="4347">
        <v>145794.66000000003</v>
      </c>
      <c r="AE22" s="5867">
        <f>+AE12</f>
        <v>1399799.286892792</v>
      </c>
      <c r="AF22" s="39">
        <f>+AB22+AD22</f>
        <v>1148856.7040000001</v>
      </c>
      <c r="AG22" s="5858">
        <f>+AG12</f>
        <v>228999.58845567465</v>
      </c>
      <c r="AH22" s="4347">
        <v>168162.38500000001</v>
      </c>
      <c r="AI22" s="5867">
        <f>+AI12</f>
        <v>1628798.8753484667</v>
      </c>
      <c r="AJ22" s="39">
        <f>+AF22+AH22</f>
        <v>1317019.0890000002</v>
      </c>
      <c r="AK22" s="5858">
        <f>+AK12</f>
        <v>236500.0542408831</v>
      </c>
      <c r="AL22" s="4347">
        <v>173711.40100000001</v>
      </c>
      <c r="AM22" s="5869">
        <f>+AM12</f>
        <v>701999.17085631413</v>
      </c>
      <c r="AN22" s="69">
        <f>+AD22+AH22+AL22</f>
        <v>487668.44600000005</v>
      </c>
      <c r="AO22" s="5867">
        <f>AI22+AK22</f>
        <v>1865298.9295893498</v>
      </c>
      <c r="AP22" s="402">
        <f t="shared" ref="AP22:AP23" si="48">AJ22+AL22</f>
        <v>1490730.4900000002</v>
      </c>
      <c r="AQ22" s="5858">
        <f>+AQ12</f>
        <v>239999.66467513063</v>
      </c>
      <c r="AR22" s="4347">
        <v>175869.74100000004</v>
      </c>
      <c r="AS22" s="5867">
        <f>+AS12</f>
        <v>2105298.5942644803</v>
      </c>
      <c r="AT22" s="39">
        <f>+AP22+AR22</f>
        <v>1666600.2310000001</v>
      </c>
      <c r="AU22" s="5858">
        <f>+AU12</f>
        <v>214000.01042587042</v>
      </c>
      <c r="AV22" s="4347">
        <v>153661.51999999999</v>
      </c>
      <c r="AW22" s="5867">
        <f>+AW12</f>
        <v>2319298.6046903506</v>
      </c>
      <c r="AX22" s="39">
        <f>+AT22+AV22</f>
        <v>1820261.7510000002</v>
      </c>
      <c r="AY22" s="5858">
        <f>+AY12</f>
        <v>239999.99999666668</v>
      </c>
      <c r="AZ22" s="4347">
        <v>193134.932</v>
      </c>
      <c r="BA22" s="5869">
        <f>+BA12</f>
        <v>693999.67509766773</v>
      </c>
      <c r="BB22" s="69">
        <f>+AR22+AV22+AZ22</f>
        <v>522666.19300000009</v>
      </c>
      <c r="BC22" s="5872">
        <f>+BC12</f>
        <v>1395998.8459539819</v>
      </c>
      <c r="BD22" s="596">
        <f t="shared" ref="BD22:BD23" si="49">AN22+BB22</f>
        <v>1010334.6390000002</v>
      </c>
      <c r="BE22" s="5867">
        <f>+BE12</f>
        <v>2559298.6046870174</v>
      </c>
      <c r="BF22" s="39">
        <f>+AX22+AZ22</f>
        <v>2013396.6830000002</v>
      </c>
      <c r="BH22" s="5907">
        <f>+BH15</f>
        <v>2674798.3130195192</v>
      </c>
      <c r="BI22" s="3760">
        <v>2068091.3990000007</v>
      </c>
      <c r="BJ22" s="5896">
        <v>2409999.5406616796</v>
      </c>
      <c r="BK22" s="1757">
        <v>1898390.98</v>
      </c>
      <c r="BL22" s="5896">
        <v>2525000.0144466418</v>
      </c>
      <c r="BM22" s="1757">
        <v>1848504.2699999998</v>
      </c>
      <c r="BN22" s="5896">
        <v>2410000.013871755</v>
      </c>
      <c r="BO22" s="1757">
        <v>1959110.71</v>
      </c>
      <c r="BP22" s="5899">
        <v>2369500.1509075612</v>
      </c>
      <c r="BQ22" s="1723">
        <v>1882591.37</v>
      </c>
      <c r="BR22" s="5902">
        <v>2234474.8024697341</v>
      </c>
      <c r="BS22" s="1723">
        <v>1557181.9489999996</v>
      </c>
      <c r="BT22" s="5902">
        <f>+BT12</f>
        <v>2406999.7409326425</v>
      </c>
      <c r="BU22" s="1723">
        <v>1655527.3639999998</v>
      </c>
    </row>
    <row r="23" spans="2:73" ht="15" customHeight="1" thickBot="1" x14ac:dyDescent="0.35">
      <c r="B23" s="4333" t="s">
        <v>23</v>
      </c>
      <c r="C23" s="4332" t="s">
        <v>351</v>
      </c>
      <c r="D23" s="5857"/>
      <c r="E23" s="5859"/>
      <c r="F23" s="4342">
        <v>37527.87000000001</v>
      </c>
      <c r="G23" s="5859"/>
      <c r="H23" s="4342">
        <v>22119.880000000005</v>
      </c>
      <c r="I23" s="5868"/>
      <c r="J23" s="35">
        <f>+F23+H23</f>
        <v>59647.750000000015</v>
      </c>
      <c r="K23" s="5859"/>
      <c r="L23" s="4342">
        <v>33422.350000000006</v>
      </c>
      <c r="M23" s="5876"/>
      <c r="N23" s="64">
        <f>+F23+H23+L23</f>
        <v>93070.10000000002</v>
      </c>
      <c r="O23" s="5859"/>
      <c r="P23" s="4342">
        <v>51153.710000000021</v>
      </c>
      <c r="Q23" s="5868"/>
      <c r="R23" s="35">
        <f>+N23+P23</f>
        <v>144223.81000000006</v>
      </c>
      <c r="S23" s="5859"/>
      <c r="T23" s="4342">
        <v>47189.729999999996</v>
      </c>
      <c r="U23" s="5868"/>
      <c r="V23" s="35">
        <f>+R23+T23</f>
        <v>191413.54000000004</v>
      </c>
      <c r="W23" s="5859"/>
      <c r="X23" s="4342">
        <v>43122.55000000001</v>
      </c>
      <c r="Y23" s="5870"/>
      <c r="Z23" s="65">
        <f>+P23+T23+X23</f>
        <v>141465.99000000002</v>
      </c>
      <c r="AA23" s="5873"/>
      <c r="AB23" s="596">
        <f>+N23+Z23</f>
        <v>234536.09000000003</v>
      </c>
      <c r="AC23" s="5859"/>
      <c r="AD23" s="4342">
        <v>27763.029999999992</v>
      </c>
      <c r="AE23" s="5868"/>
      <c r="AF23" s="35">
        <f>+AB23+AD23</f>
        <v>262299.12</v>
      </c>
      <c r="AG23" s="5859"/>
      <c r="AH23" s="4342">
        <v>52751.30000000001</v>
      </c>
      <c r="AI23" s="5868"/>
      <c r="AJ23" s="35">
        <f>+AF23+AH23</f>
        <v>315050.42</v>
      </c>
      <c r="AK23" s="5859"/>
      <c r="AL23" s="4342">
        <v>57004.079999999987</v>
      </c>
      <c r="AM23" s="5870"/>
      <c r="AN23" s="65">
        <f>+AD23+AH23+AL23</f>
        <v>137518.40999999997</v>
      </c>
      <c r="AO23" s="5868"/>
      <c r="AP23" s="402">
        <f t="shared" si="48"/>
        <v>372054.5</v>
      </c>
      <c r="AQ23" s="5859"/>
      <c r="AR23" s="4342">
        <v>40820.869999999988</v>
      </c>
      <c r="AS23" s="5868"/>
      <c r="AT23" s="35">
        <f>+AP23+AR23</f>
        <v>412875.37</v>
      </c>
      <c r="AU23" s="5859"/>
      <c r="AV23" s="4342">
        <v>37797.760000000017</v>
      </c>
      <c r="AW23" s="5868"/>
      <c r="AX23" s="35">
        <f>+AT23+AV23</f>
        <v>450673.13</v>
      </c>
      <c r="AY23" s="5859"/>
      <c r="AZ23" s="4342">
        <v>38244.770000000004</v>
      </c>
      <c r="BA23" s="5870"/>
      <c r="BB23" s="65">
        <f>+AR23+AV23+AZ23</f>
        <v>116863.40000000001</v>
      </c>
      <c r="BC23" s="5873"/>
      <c r="BD23" s="596">
        <f t="shared" si="49"/>
        <v>254381.81</v>
      </c>
      <c r="BE23" s="5868"/>
      <c r="BF23" s="35">
        <f>+AX23+AZ23</f>
        <v>488917.9</v>
      </c>
      <c r="BH23" s="5908"/>
      <c r="BI23" s="5765">
        <v>505694.56000000006</v>
      </c>
      <c r="BJ23" s="5897"/>
      <c r="BK23" s="5769">
        <v>452352.24000000011</v>
      </c>
      <c r="BL23" s="5897"/>
      <c r="BM23" s="5769">
        <v>516386.89</v>
      </c>
      <c r="BN23" s="5897"/>
      <c r="BO23" s="5769">
        <v>338946.25000000006</v>
      </c>
      <c r="BP23" s="5900"/>
      <c r="BQ23" s="1724">
        <v>295664.13</v>
      </c>
      <c r="BR23" s="5903"/>
      <c r="BS23" s="1724">
        <v>320472.90000000002</v>
      </c>
      <c r="BT23" s="5903"/>
      <c r="BU23" s="1724">
        <v>394405.53999999992</v>
      </c>
    </row>
    <row r="24" spans="2:73" ht="15" customHeight="1" thickBot="1" x14ac:dyDescent="0.35">
      <c r="B24" s="1741" t="s">
        <v>2</v>
      </c>
      <c r="C24" s="459" t="s">
        <v>351</v>
      </c>
      <c r="D24" s="5857"/>
      <c r="E24" s="5859"/>
      <c r="F24" s="711">
        <f>SUM(F22:F23)</f>
        <v>202422.59300000005</v>
      </c>
      <c r="G24" s="5859"/>
      <c r="H24" s="711">
        <f>SUM(H22:H23)</f>
        <v>119463.06100000002</v>
      </c>
      <c r="I24" s="5868"/>
      <c r="J24" s="37">
        <f>SUM(J22:J23)</f>
        <v>321885.65400000004</v>
      </c>
      <c r="K24" s="5859"/>
      <c r="L24" s="711">
        <f>SUM(L22:L23)</f>
        <v>218504.39</v>
      </c>
      <c r="M24" s="5877"/>
      <c r="N24" s="1374">
        <f>SUM(N22:N23)</f>
        <v>540390.04399999999</v>
      </c>
      <c r="O24" s="5859"/>
      <c r="P24" s="711">
        <f>SUM(P22:P23)</f>
        <v>243623.83000000005</v>
      </c>
      <c r="Q24" s="5868"/>
      <c r="R24" s="37">
        <f>SUM(R22:R23)</f>
        <v>784013.87400000007</v>
      </c>
      <c r="S24" s="5859"/>
      <c r="T24" s="711">
        <f>SUM(T22:T23)</f>
        <v>246318.65000000002</v>
      </c>
      <c r="U24" s="5868"/>
      <c r="V24" s="37">
        <f>SUM(V22:V23)</f>
        <v>1030332.5240000001</v>
      </c>
      <c r="W24" s="5859"/>
      <c r="X24" s="711">
        <f>SUM(X22:X23)</f>
        <v>207265.61000000004</v>
      </c>
      <c r="Y24" s="5870"/>
      <c r="Z24" s="63">
        <f>SUM(Z22:Z23)</f>
        <v>697208.09000000008</v>
      </c>
      <c r="AA24" s="5873"/>
      <c r="AB24" s="424">
        <f>SUM(AB22:AB23)</f>
        <v>1237598.1340000001</v>
      </c>
      <c r="AC24" s="5859"/>
      <c r="AD24" s="711">
        <f>SUM(AD22:AD23)</f>
        <v>173557.69000000003</v>
      </c>
      <c r="AE24" s="5868"/>
      <c r="AF24" s="37">
        <f>SUM(AF22:AF23)</f>
        <v>1411155.824</v>
      </c>
      <c r="AG24" s="5859"/>
      <c r="AH24" s="711">
        <f>SUM(AH22:AH23)</f>
        <v>220913.68500000003</v>
      </c>
      <c r="AI24" s="5868"/>
      <c r="AJ24" s="37">
        <f>SUM(AJ22:AJ23)</f>
        <v>1632069.5090000001</v>
      </c>
      <c r="AK24" s="5859"/>
      <c r="AL24" s="711">
        <f>SUM(AL22:AL23)</f>
        <v>230715.481</v>
      </c>
      <c r="AM24" s="5870"/>
      <c r="AN24" s="63">
        <f>SUM(AN22:AN23)</f>
        <v>625186.85600000003</v>
      </c>
      <c r="AO24" s="5868"/>
      <c r="AP24" s="37">
        <f>SUM(AP22:AP23)</f>
        <v>1862784.9900000002</v>
      </c>
      <c r="AQ24" s="5859"/>
      <c r="AR24" s="711">
        <f>SUM(AR22:AR23)</f>
        <v>216690.61100000003</v>
      </c>
      <c r="AS24" s="5868"/>
      <c r="AT24" s="37">
        <f>SUM(AT22:AT23)</f>
        <v>2079475.6010000003</v>
      </c>
      <c r="AU24" s="5859"/>
      <c r="AV24" s="711">
        <f>SUM(AV22:AV23)</f>
        <v>191459.28</v>
      </c>
      <c r="AW24" s="5868"/>
      <c r="AX24" s="37">
        <f>SUM(AX22:AX23)</f>
        <v>2270934.8810000001</v>
      </c>
      <c r="AY24" s="5859"/>
      <c r="AZ24" s="711">
        <f>SUM(AZ22:AZ23)</f>
        <v>231379.70199999999</v>
      </c>
      <c r="BA24" s="5870"/>
      <c r="BB24" s="63">
        <f>SUM(BB22:BB23)</f>
        <v>639529.59300000011</v>
      </c>
      <c r="BC24" s="5873"/>
      <c r="BD24" s="424">
        <f>SUM(BD22:BD23)</f>
        <v>1264716.4490000003</v>
      </c>
      <c r="BE24" s="5868"/>
      <c r="BF24" s="37">
        <f>SUM(BF22:BF23)</f>
        <v>2502314.5830000001</v>
      </c>
      <c r="BH24" s="5908"/>
      <c r="BI24" s="996">
        <v>2573785.9590000007</v>
      </c>
      <c r="BJ24" s="5898"/>
      <c r="BK24" s="1754">
        <v>2350743.2200000002</v>
      </c>
      <c r="BL24" s="5898"/>
      <c r="BM24" s="1754">
        <v>2364891.1599999997</v>
      </c>
      <c r="BN24" s="5898"/>
      <c r="BO24" s="1754">
        <v>2298056.96</v>
      </c>
      <c r="BP24" s="5903"/>
      <c r="BQ24" s="1725">
        <f>SUM(BQ22:BQ23)</f>
        <v>2178255.5</v>
      </c>
      <c r="BR24" s="5903"/>
      <c r="BS24" s="1725">
        <v>1877654.8489999995</v>
      </c>
      <c r="BT24" s="5903"/>
      <c r="BU24" s="1725">
        <f>SUM(BU22:BU23)</f>
        <v>2049932.9039999996</v>
      </c>
    </row>
    <row r="25" spans="2:73" ht="15" customHeight="1" thickBot="1" x14ac:dyDescent="0.35">
      <c r="B25" s="1740" t="s">
        <v>622</v>
      </c>
      <c r="C25" s="459" t="s">
        <v>49</v>
      </c>
      <c r="D25" s="1747"/>
      <c r="E25" s="1747"/>
      <c r="F25" s="4350">
        <f>+F23/F24*100</f>
        <v>18.539368280891452</v>
      </c>
      <c r="G25" s="1747"/>
      <c r="H25" s="4350">
        <f>+H23/H24*100</f>
        <v>18.516083394179898</v>
      </c>
      <c r="I25" s="5862"/>
      <c r="J25" s="1732">
        <f>+J23/J24*100</f>
        <v>18.530726442378199</v>
      </c>
      <c r="K25" s="1747"/>
      <c r="L25" s="4350">
        <f>+L23/L24*100</f>
        <v>15.295962703541107</v>
      </c>
      <c r="M25" s="1752"/>
      <c r="N25" s="1748">
        <f>+N23/N24*100</f>
        <v>17.222763637740155</v>
      </c>
      <c r="O25" s="1747"/>
      <c r="P25" s="4350">
        <f>+P23/P24*100</f>
        <v>20.997005916867824</v>
      </c>
      <c r="Q25" s="5862"/>
      <c r="R25" s="1732">
        <f>+R23/R24*100</f>
        <v>18.395568596787363</v>
      </c>
      <c r="S25" s="1747"/>
      <c r="T25" s="4350">
        <f>+T23/T24*100</f>
        <v>19.158001231331852</v>
      </c>
      <c r="U25" s="5862"/>
      <c r="V25" s="1732">
        <f>+V23/V24*100</f>
        <v>18.577841186346944</v>
      </c>
      <c r="W25" s="1747"/>
      <c r="X25" s="4350">
        <f>+X23/X24*100</f>
        <v>20.805453446908054</v>
      </c>
      <c r="Y25" s="5871"/>
      <c r="Z25" s="67">
        <f>+Z23/Z24*100</f>
        <v>20.290354060578959</v>
      </c>
      <c r="AA25" s="5874"/>
      <c r="AB25" s="425">
        <f>+AB23/AB24*100</f>
        <v>18.950908502258617</v>
      </c>
      <c r="AC25" s="1747"/>
      <c r="AD25" s="4350">
        <f>+AD23/AD24*100</f>
        <v>15.996427470312602</v>
      </c>
      <c r="AE25" s="5862"/>
      <c r="AF25" s="1732">
        <f>+AF23/AF24*100</f>
        <v>18.587537643893818</v>
      </c>
      <c r="AG25" s="1747"/>
      <c r="AH25" s="4350">
        <f>+AH23/AH24*100</f>
        <v>23.878692712042717</v>
      </c>
      <c r="AI25" s="5862"/>
      <c r="AJ25" s="1732">
        <f>+AJ23/AJ24*100</f>
        <v>19.303737877747459</v>
      </c>
      <c r="AK25" s="1747"/>
      <c r="AL25" s="4350">
        <f>+AL23/AL24*100</f>
        <v>24.707522769137448</v>
      </c>
      <c r="AM25" s="5871"/>
      <c r="AN25" s="67">
        <f>+AN23/AN24*100</f>
        <v>21.9963693542527</v>
      </c>
      <c r="AO25" s="5862"/>
      <c r="AP25" s="1732">
        <f>+AP23/AP24*100</f>
        <v>19.973024369280534</v>
      </c>
      <c r="AQ25" s="1747"/>
      <c r="AR25" s="4350">
        <f>+AR23/AR24*100</f>
        <v>18.8383196722815</v>
      </c>
      <c r="AS25" s="5862"/>
      <c r="AT25" s="1732">
        <f>+AT23/AT24*100</f>
        <v>19.854783090575918</v>
      </c>
      <c r="AU25" s="1747"/>
      <c r="AV25" s="4350">
        <f>+AV23/AV24*100</f>
        <v>19.741931548055554</v>
      </c>
      <c r="AW25" s="5862"/>
      <c r="AX25" s="1732">
        <f>+AX23/AX24*100</f>
        <v>19.845268738025077</v>
      </c>
      <c r="AY25" s="1747"/>
      <c r="AZ25" s="4350">
        <f>+AZ23/AZ24*100</f>
        <v>16.529008235994706</v>
      </c>
      <c r="BA25" s="5871"/>
      <c r="BB25" s="67">
        <f>+BB23/BB24*100</f>
        <v>18.273337352818945</v>
      </c>
      <c r="BC25" s="5874"/>
      <c r="BD25" s="425">
        <f>+BD23/BD24*100</f>
        <v>20.11374250735312</v>
      </c>
      <c r="BE25" s="5862"/>
      <c r="BF25" s="1732">
        <f>+BF23/BF24*100</f>
        <v>19.538626490912314</v>
      </c>
      <c r="BH25" s="5909"/>
      <c r="BI25" s="5771">
        <v>19.64788712253597</v>
      </c>
      <c r="BJ25" s="1749"/>
      <c r="BK25" s="1751">
        <v>19.24294564167668</v>
      </c>
      <c r="BL25" s="1749"/>
      <c r="BM25" s="1751">
        <v>21.835545700124317</v>
      </c>
      <c r="BN25" s="1749"/>
      <c r="BO25" s="1751">
        <v>14.749253647742485</v>
      </c>
      <c r="BP25" s="5901"/>
      <c r="BQ25" s="1726">
        <v>13.573437879389068</v>
      </c>
      <c r="BR25" s="5904"/>
      <c r="BS25" s="1750">
        <f>+BS23/BS24*100</f>
        <v>17.06772148090355</v>
      </c>
      <c r="BT25" s="5904"/>
      <c r="BU25" s="1750">
        <f>+BU23/BU24*100</f>
        <v>19.239924352177724</v>
      </c>
    </row>
    <row r="26" spans="2:73" x14ac:dyDescent="0.3">
      <c r="B26" s="1575" t="s">
        <v>603</v>
      </c>
      <c r="C26" s="15" t="s">
        <v>351</v>
      </c>
      <c r="D26" s="4325">
        <f>+'Maj Production Summ'!D26</f>
        <v>6020</v>
      </c>
      <c r="E26" s="4339">
        <f>+'Maj Production Summ'!E26</f>
        <v>1945</v>
      </c>
      <c r="F26" s="4342">
        <f>'Direct sales IPT details'!E102</f>
        <v>296.7</v>
      </c>
      <c r="G26" s="4339">
        <f>+'Maj Production Summ'!G26</f>
        <v>4075</v>
      </c>
      <c r="H26" s="4342">
        <f>'Direct sales IPT details'!G102</f>
        <v>0</v>
      </c>
      <c r="I26" s="663">
        <f t="shared" ref="I26:J27" si="50">+E26+G26</f>
        <v>6020</v>
      </c>
      <c r="J26" s="58">
        <f t="shared" si="50"/>
        <v>296.7</v>
      </c>
      <c r="K26" s="4339">
        <f>+'Maj Production Summ'!K26</f>
        <v>810</v>
      </c>
      <c r="L26" s="4342">
        <v>996.79</v>
      </c>
      <c r="M26" s="420">
        <f t="shared" ref="M26:N27" si="51">+E26+G26+K26</f>
        <v>6830</v>
      </c>
      <c r="N26" s="420">
        <f t="shared" si="51"/>
        <v>1293.49</v>
      </c>
      <c r="O26" s="4339">
        <f>+'Maj Production Summ'!O26</f>
        <v>810</v>
      </c>
      <c r="P26" s="4342">
        <v>900.29000000000019</v>
      </c>
      <c r="Q26" s="663">
        <f t="shared" ref="Q26:Q27" si="52">+M26+O26</f>
        <v>7640</v>
      </c>
      <c r="R26" s="58">
        <f t="shared" ref="R26:R27" si="53">+N26+P26</f>
        <v>2193.7800000000002</v>
      </c>
      <c r="S26" s="4339">
        <f>+'Maj Production Summ'!S26</f>
        <v>810</v>
      </c>
      <c r="T26" s="4342">
        <v>98.82</v>
      </c>
      <c r="U26" s="663">
        <f t="shared" ref="U26:U27" si="54">+Q26+S26</f>
        <v>8450</v>
      </c>
      <c r="V26" s="58">
        <f t="shared" ref="V26:V27" si="55">+R26+T26</f>
        <v>2292.6000000000004</v>
      </c>
      <c r="W26" s="4339">
        <f>+'Maj Production Summ'!W26</f>
        <v>5360</v>
      </c>
      <c r="X26" s="4342">
        <v>199.97</v>
      </c>
      <c r="Y26" s="1020">
        <f t="shared" ref="Y26:Z27" si="56">+O26+S26+W26</f>
        <v>6980</v>
      </c>
      <c r="Z26" s="79">
        <f t="shared" si="56"/>
        <v>1199.0800000000002</v>
      </c>
      <c r="AA26" s="731">
        <f t="shared" ref="AA26:AB27" si="57">+M26+Y26</f>
        <v>13810</v>
      </c>
      <c r="AB26" s="731">
        <f t="shared" si="57"/>
        <v>2492.5700000000002</v>
      </c>
      <c r="AC26" s="4339">
        <f>+'Maj Production Summ'!AC26</f>
        <v>810</v>
      </c>
      <c r="AD26" s="4342">
        <v>696.92</v>
      </c>
      <c r="AE26" s="663">
        <f t="shared" ref="AE26:AE27" si="58">+AA26+AC26</f>
        <v>14620</v>
      </c>
      <c r="AF26" s="58">
        <f t="shared" ref="AF26:AF27" si="59">+AB26+AD26</f>
        <v>3189.4900000000002</v>
      </c>
      <c r="AG26" s="4339">
        <f>+'Maj Production Summ'!AG26</f>
        <v>810</v>
      </c>
      <c r="AH26" s="4342">
        <v>1596.1</v>
      </c>
      <c r="AI26" s="663">
        <f t="shared" ref="AI26:AI27" si="60">+AE26+AG26</f>
        <v>15430</v>
      </c>
      <c r="AJ26" s="58">
        <f t="shared" ref="AJ26:AJ27" si="61">+AF26+AH26</f>
        <v>4785.59</v>
      </c>
      <c r="AK26" s="4339">
        <f>+'Maj Production Summ'!AK26</f>
        <v>810</v>
      </c>
      <c r="AL26" s="4342">
        <v>298.72000000000003</v>
      </c>
      <c r="AM26" s="1020">
        <f t="shared" ref="AM26:AM27" si="62">+AC26+AG26+AK26</f>
        <v>2430</v>
      </c>
      <c r="AN26" s="79">
        <f t="shared" ref="AN26:AN27" si="63">+AD26+AH26+AL26</f>
        <v>2591.7399999999998</v>
      </c>
      <c r="AO26" s="402">
        <f t="shared" ref="AO26:AO27" si="64">AI26+AK26</f>
        <v>16240</v>
      </c>
      <c r="AP26" s="402">
        <f t="shared" ref="AP26:AP28" si="65">AJ26+AL26</f>
        <v>5084.3100000000004</v>
      </c>
      <c r="AQ26" s="4339">
        <f>+'Maj Production Summ'!AQ26</f>
        <v>810</v>
      </c>
      <c r="AR26" s="4342">
        <v>99.25</v>
      </c>
      <c r="AS26" s="663">
        <f t="shared" ref="AS26:AS27" si="66">+AO26+AQ26</f>
        <v>17050</v>
      </c>
      <c r="AT26" s="58">
        <f t="shared" ref="AT26:AT27" si="67">+AP26+AR26</f>
        <v>5183.5600000000004</v>
      </c>
      <c r="AU26" s="4339">
        <f>+'Maj Production Summ'!AU26</f>
        <v>810</v>
      </c>
      <c r="AV26" s="4342">
        <v>647.95000000000016</v>
      </c>
      <c r="AW26" s="663">
        <f t="shared" ref="AW26:AW27" si="68">+AS26+AU26</f>
        <v>17860</v>
      </c>
      <c r="AX26" s="58">
        <f t="shared" ref="AX26:AX27" si="69">+AT26+AV26</f>
        <v>5831.51</v>
      </c>
      <c r="AY26" s="4339">
        <f>+'Maj Production Summ'!AY26</f>
        <v>810</v>
      </c>
      <c r="AZ26" s="4342">
        <v>99.5</v>
      </c>
      <c r="BA26" s="1020">
        <f t="shared" ref="BA26:BA27" si="70">+AQ26+AU26+AY26</f>
        <v>2430</v>
      </c>
      <c r="BB26" s="79">
        <f t="shared" ref="BB26:BB27" si="71">+AR26+AV26+AZ26</f>
        <v>846.70000000000016</v>
      </c>
      <c r="BC26" s="596">
        <f t="shared" ref="BC26:BD28" si="72">AM26+BA26</f>
        <v>4860</v>
      </c>
      <c r="BD26" s="596">
        <f t="shared" ref="BD26:BD27" si="73">AN26+BB26</f>
        <v>3438.44</v>
      </c>
      <c r="BE26" s="663">
        <f t="shared" ref="BE26:BE27" si="74">+AW26+AY26</f>
        <v>18670</v>
      </c>
      <c r="BF26" s="58">
        <f t="shared" ref="BF26:BF27" si="75">+AX26+AZ26</f>
        <v>5931.01</v>
      </c>
      <c r="BH26" s="1088">
        <v>14270</v>
      </c>
      <c r="BI26" s="3442">
        <v>11725.78</v>
      </c>
      <c r="BJ26" s="1088">
        <v>9365</v>
      </c>
      <c r="BK26" s="1727">
        <v>8679.7900000000009</v>
      </c>
      <c r="BL26" s="1088">
        <v>20742.20366598777</v>
      </c>
      <c r="BM26" s="1727">
        <v>7537.0999999999985</v>
      </c>
      <c r="BN26" s="1088">
        <v>16929.735234215885</v>
      </c>
      <c r="BO26" s="1727">
        <v>8801.7400000000016</v>
      </c>
      <c r="BP26" s="1755">
        <v>19251.63543788188</v>
      </c>
      <c r="BQ26" s="1724">
        <v>20488.86</v>
      </c>
      <c r="BR26" s="1755">
        <v>20754.644854293481</v>
      </c>
      <c r="BS26" s="1724">
        <v>80002.179999999993</v>
      </c>
      <c r="BT26" s="1755">
        <v>29958.27154308611</v>
      </c>
      <c r="BU26" s="1724">
        <v>124050.80000000006</v>
      </c>
    </row>
    <row r="27" spans="2:73" ht="15" customHeight="1" thickBot="1" x14ac:dyDescent="0.35">
      <c r="B27" s="4334" t="s">
        <v>1288</v>
      </c>
      <c r="C27" s="4324" t="s">
        <v>351</v>
      </c>
      <c r="D27" s="4325">
        <f>+'Maj Production Summ'!D27</f>
        <v>5103</v>
      </c>
      <c r="E27" s="4340">
        <f>+'Maj Production Summ'!E27</f>
        <v>644.51199999999994</v>
      </c>
      <c r="F27" s="4342">
        <f>'Direct sales IPT details'!E50</f>
        <v>499.25</v>
      </c>
      <c r="G27" s="4340">
        <f>+'Maj Production Summ'!G27</f>
        <v>2598.518</v>
      </c>
      <c r="H27" s="4342">
        <f>'Direct sales IPT details'!G50</f>
        <v>0</v>
      </c>
      <c r="I27" s="57">
        <f t="shared" si="50"/>
        <v>3243.0299999999997</v>
      </c>
      <c r="J27" s="35">
        <f t="shared" si="50"/>
        <v>499.25</v>
      </c>
      <c r="K27" s="4340">
        <f>+'Maj Production Summ'!K27</f>
        <v>273.99599999999998</v>
      </c>
      <c r="L27" s="4342">
        <v>0</v>
      </c>
      <c r="M27" s="64">
        <f t="shared" si="51"/>
        <v>3517.0259999999998</v>
      </c>
      <c r="N27" s="64">
        <f t="shared" si="51"/>
        <v>499.25</v>
      </c>
      <c r="O27" s="4340">
        <f>+'Maj Production Summ'!O27</f>
        <v>276.24</v>
      </c>
      <c r="P27" s="4342">
        <v>996.4</v>
      </c>
      <c r="Q27" s="57">
        <f t="shared" si="52"/>
        <v>3793.2659999999996</v>
      </c>
      <c r="R27" s="35">
        <f t="shared" si="53"/>
        <v>1495.65</v>
      </c>
      <c r="S27" s="4340">
        <f>+'Maj Production Summ'!S27</f>
        <v>276.24</v>
      </c>
      <c r="T27" s="4342">
        <v>496.32</v>
      </c>
      <c r="U27" s="57">
        <f t="shared" si="54"/>
        <v>4069.5059999999994</v>
      </c>
      <c r="V27" s="35">
        <f t="shared" si="55"/>
        <v>1991.97</v>
      </c>
      <c r="W27" s="4340">
        <f>+'Maj Production Summ'!W27</f>
        <v>498.97</v>
      </c>
      <c r="X27" s="4342">
        <v>335.17</v>
      </c>
      <c r="Y27" s="68">
        <f t="shared" si="56"/>
        <v>1051.45</v>
      </c>
      <c r="Z27" s="65">
        <f t="shared" si="56"/>
        <v>1827.89</v>
      </c>
      <c r="AA27" s="596">
        <f t="shared" si="57"/>
        <v>4568.4759999999997</v>
      </c>
      <c r="AB27" s="596">
        <f t="shared" si="57"/>
        <v>2327.1400000000003</v>
      </c>
      <c r="AC27" s="4340">
        <f>+'Maj Production Summ'!AC27</f>
        <v>279.98</v>
      </c>
      <c r="AD27" s="4342">
        <v>162.11000000000001</v>
      </c>
      <c r="AE27" s="57">
        <f t="shared" si="58"/>
        <v>4848.4560000000001</v>
      </c>
      <c r="AF27" s="35">
        <f t="shared" si="59"/>
        <v>2489.2500000000005</v>
      </c>
      <c r="AG27" s="4340">
        <f>+'Maj Production Summ'!AG27</f>
        <v>273.99599999999998</v>
      </c>
      <c r="AH27" s="4342">
        <v>498.65</v>
      </c>
      <c r="AI27" s="57">
        <f t="shared" si="60"/>
        <v>5122.4520000000002</v>
      </c>
      <c r="AJ27" s="35">
        <f t="shared" si="61"/>
        <v>2987.9000000000005</v>
      </c>
      <c r="AK27" s="4340">
        <f>+'Maj Production Summ'!AK27</f>
        <v>279.98</v>
      </c>
      <c r="AL27" s="4342">
        <v>1493.55</v>
      </c>
      <c r="AM27" s="68">
        <f t="shared" si="62"/>
        <v>833.95600000000002</v>
      </c>
      <c r="AN27" s="65">
        <f t="shared" si="63"/>
        <v>2154.31</v>
      </c>
      <c r="AO27" s="402">
        <f t="shared" si="64"/>
        <v>5402.4320000000007</v>
      </c>
      <c r="AP27" s="402">
        <f t="shared" si="65"/>
        <v>4481.4500000000007</v>
      </c>
      <c r="AQ27" s="4340">
        <f>+'Maj Production Summ'!AQ27</f>
        <v>282.97199999999998</v>
      </c>
      <c r="AR27" s="4342">
        <v>1497.07</v>
      </c>
      <c r="AS27" s="57">
        <f t="shared" si="66"/>
        <v>5685.4040000000005</v>
      </c>
      <c r="AT27" s="35">
        <f t="shared" si="67"/>
        <v>5978.52</v>
      </c>
      <c r="AU27" s="4340">
        <f>+'Maj Production Summ'!AU27</f>
        <v>262.02800000000002</v>
      </c>
      <c r="AV27" s="4342">
        <v>499.07000000000005</v>
      </c>
      <c r="AW27" s="57">
        <f t="shared" si="68"/>
        <v>5947.4320000000007</v>
      </c>
      <c r="AX27" s="35">
        <f t="shared" si="69"/>
        <v>6477.59</v>
      </c>
      <c r="AY27" s="4340">
        <f>+'Maj Production Summ'!AY27</f>
        <v>282.97199999999998</v>
      </c>
      <c r="AZ27" s="4342">
        <v>499.56</v>
      </c>
      <c r="BA27" s="68">
        <f t="shared" si="70"/>
        <v>827.97199999999998</v>
      </c>
      <c r="BB27" s="65">
        <f t="shared" si="71"/>
        <v>2495.6999999999998</v>
      </c>
      <c r="BC27" s="596">
        <f t="shared" si="72"/>
        <v>1661.9279999999999</v>
      </c>
      <c r="BD27" s="596">
        <f t="shared" si="73"/>
        <v>4650.01</v>
      </c>
      <c r="BE27" s="57">
        <f t="shared" si="74"/>
        <v>6230.4040000000005</v>
      </c>
      <c r="BF27" s="35">
        <f t="shared" si="75"/>
        <v>6977.1500000000005</v>
      </c>
      <c r="BH27" s="5764">
        <v>3541.3500000000004</v>
      </c>
      <c r="BI27" s="5765">
        <v>7477.21</v>
      </c>
      <c r="BJ27" s="5764">
        <v>2831.4999999999995</v>
      </c>
      <c r="BK27" s="4708">
        <v>5762.5199999999995</v>
      </c>
      <c r="BL27" s="5764">
        <v>2236.7519999999995</v>
      </c>
      <c r="BM27" s="4708">
        <v>5991.8400000000011</v>
      </c>
      <c r="BN27" s="5764">
        <v>2057.5999999999995</v>
      </c>
      <c r="BO27" s="4708">
        <v>5429.83</v>
      </c>
      <c r="BP27" s="5764">
        <v>2163.56</v>
      </c>
      <c r="BQ27" s="5765">
        <v>17862.580000000002</v>
      </c>
      <c r="BR27" s="5764">
        <v>6973.7102305913804</v>
      </c>
      <c r="BS27" s="5765">
        <v>29483.779999999995</v>
      </c>
      <c r="BT27" s="5764">
        <v>8472.5250501001919</v>
      </c>
      <c r="BU27" s="5765">
        <v>59555.1</v>
      </c>
    </row>
    <row r="28" spans="2:73" ht="15" customHeight="1" thickBot="1" x14ac:dyDescent="0.35">
      <c r="B28" s="1738" t="s">
        <v>349</v>
      </c>
      <c r="C28" s="14" t="s">
        <v>351</v>
      </c>
      <c r="D28" s="495">
        <f>SUM(D26:D27)</f>
        <v>11123</v>
      </c>
      <c r="E28" s="4341">
        <f t="shared" ref="E28:AB28" si="76">SUM(E26:E27)</f>
        <v>2589.5119999999997</v>
      </c>
      <c r="F28" s="711">
        <f t="shared" si="76"/>
        <v>795.95</v>
      </c>
      <c r="G28" s="4341">
        <f t="shared" ref="G28:H28" si="77">SUM(G26:G27)</f>
        <v>6673.518</v>
      </c>
      <c r="H28" s="711">
        <f t="shared" si="77"/>
        <v>0</v>
      </c>
      <c r="I28" s="670">
        <f t="shared" si="76"/>
        <v>9263.0299999999988</v>
      </c>
      <c r="J28" s="37">
        <f t="shared" si="76"/>
        <v>795.95</v>
      </c>
      <c r="K28" s="4341">
        <f t="shared" ref="K28:L28" si="78">SUM(K26:K27)</f>
        <v>1083.9960000000001</v>
      </c>
      <c r="L28" s="711">
        <f t="shared" si="78"/>
        <v>996.79</v>
      </c>
      <c r="M28" s="671">
        <f t="shared" si="76"/>
        <v>10347.026</v>
      </c>
      <c r="N28" s="63">
        <f t="shared" si="76"/>
        <v>1792.74</v>
      </c>
      <c r="O28" s="4341">
        <f t="shared" ref="O28:P28" si="79">SUM(O26:O27)</f>
        <v>1086.24</v>
      </c>
      <c r="P28" s="711">
        <f t="shared" si="79"/>
        <v>1896.69</v>
      </c>
      <c r="Q28" s="670">
        <f t="shared" ref="Q28:T28" si="80">SUM(Q26:Q27)</f>
        <v>11433.266</v>
      </c>
      <c r="R28" s="37">
        <f t="shared" si="80"/>
        <v>3689.4300000000003</v>
      </c>
      <c r="S28" s="4341">
        <f t="shared" si="80"/>
        <v>1086.24</v>
      </c>
      <c r="T28" s="711">
        <f t="shared" si="80"/>
        <v>595.14</v>
      </c>
      <c r="U28" s="670">
        <f t="shared" ref="U28:X28" si="81">SUM(U26:U27)</f>
        <v>12519.505999999999</v>
      </c>
      <c r="V28" s="37">
        <f t="shared" si="81"/>
        <v>4284.5700000000006</v>
      </c>
      <c r="W28" s="4341">
        <f t="shared" si="81"/>
        <v>5858.97</v>
      </c>
      <c r="X28" s="711">
        <f t="shared" si="81"/>
        <v>535.14</v>
      </c>
      <c r="Y28" s="323">
        <f t="shared" si="76"/>
        <v>8031.45</v>
      </c>
      <c r="Z28" s="63">
        <f t="shared" si="76"/>
        <v>3026.9700000000003</v>
      </c>
      <c r="AA28" s="672">
        <f t="shared" si="76"/>
        <v>18378.475999999999</v>
      </c>
      <c r="AB28" s="424">
        <f t="shared" si="76"/>
        <v>4819.7100000000009</v>
      </c>
      <c r="AC28" s="4341">
        <f t="shared" ref="AC28:AD28" si="82">SUM(AC26:AC27)</f>
        <v>1089.98</v>
      </c>
      <c r="AD28" s="711">
        <f t="shared" si="82"/>
        <v>859.03</v>
      </c>
      <c r="AE28" s="670">
        <f t="shared" ref="AE28:AH28" si="83">SUM(AE26:AE27)</f>
        <v>19468.455999999998</v>
      </c>
      <c r="AF28" s="37">
        <f t="shared" si="83"/>
        <v>5678.7400000000007</v>
      </c>
      <c r="AG28" s="4341">
        <f t="shared" si="83"/>
        <v>1083.9960000000001</v>
      </c>
      <c r="AH28" s="711">
        <f t="shared" si="83"/>
        <v>2094.75</v>
      </c>
      <c r="AI28" s="670">
        <f t="shared" ref="AI28:AL28" si="84">SUM(AI26:AI27)</f>
        <v>20552.452000000001</v>
      </c>
      <c r="AJ28" s="37">
        <f t="shared" si="84"/>
        <v>7773.4900000000007</v>
      </c>
      <c r="AK28" s="4341">
        <f t="shared" si="84"/>
        <v>1089.98</v>
      </c>
      <c r="AL28" s="711">
        <f t="shared" si="84"/>
        <v>1792.27</v>
      </c>
      <c r="AM28" s="323">
        <f t="shared" ref="AM28:AN28" si="85">SUM(AM26:AM27)</f>
        <v>3263.9560000000001</v>
      </c>
      <c r="AN28" s="63">
        <f t="shared" si="85"/>
        <v>4746.0499999999993</v>
      </c>
      <c r="AO28" s="670">
        <f t="shared" ref="AO28" si="86">SUM(AO26:AO27)</f>
        <v>21642.432000000001</v>
      </c>
      <c r="AP28" s="37">
        <f t="shared" si="65"/>
        <v>9565.76</v>
      </c>
      <c r="AQ28" s="4341">
        <f t="shared" ref="AQ28:AR28" si="87">SUM(AQ26:AQ27)</f>
        <v>1092.972</v>
      </c>
      <c r="AR28" s="711">
        <f t="shared" si="87"/>
        <v>1596.32</v>
      </c>
      <c r="AS28" s="670">
        <f t="shared" ref="AS28:AV28" si="88">SUM(AS26:AS27)</f>
        <v>22735.404000000002</v>
      </c>
      <c r="AT28" s="37">
        <f t="shared" si="88"/>
        <v>11162.080000000002</v>
      </c>
      <c r="AU28" s="4341">
        <f t="shared" si="88"/>
        <v>1072.028</v>
      </c>
      <c r="AV28" s="711">
        <f t="shared" si="88"/>
        <v>1147.0200000000002</v>
      </c>
      <c r="AW28" s="670">
        <f t="shared" ref="AW28:AZ28" si="89">SUM(AW26:AW27)</f>
        <v>23807.432000000001</v>
      </c>
      <c r="AX28" s="37">
        <f t="shared" si="89"/>
        <v>12309.1</v>
      </c>
      <c r="AY28" s="4341">
        <f t="shared" si="89"/>
        <v>1092.972</v>
      </c>
      <c r="AZ28" s="711">
        <f t="shared" si="89"/>
        <v>599.05999999999995</v>
      </c>
      <c r="BA28" s="323">
        <f t="shared" ref="BA28:BB28" si="90">SUM(BA26:BA27)</f>
        <v>3257.9719999999998</v>
      </c>
      <c r="BB28" s="63">
        <f t="shared" si="90"/>
        <v>3342.4</v>
      </c>
      <c r="BC28" s="596">
        <f t="shared" si="72"/>
        <v>6521.9279999999999</v>
      </c>
      <c r="BD28" s="596">
        <f t="shared" si="72"/>
        <v>8088.4499999999989</v>
      </c>
      <c r="BE28" s="670">
        <f t="shared" ref="BE28:BF28" si="91">SUM(BE26:BE27)</f>
        <v>24900.404000000002</v>
      </c>
      <c r="BF28" s="37">
        <f t="shared" si="91"/>
        <v>12908.16</v>
      </c>
      <c r="BH28" s="995">
        <v>17811.349999999999</v>
      </c>
      <c r="BI28" s="996">
        <v>19202.990000000002</v>
      </c>
      <c r="BJ28" s="995">
        <v>12196.5</v>
      </c>
      <c r="BK28" s="2199">
        <v>14442.310000000001</v>
      </c>
      <c r="BL28" s="995">
        <v>22978.955665987771</v>
      </c>
      <c r="BM28" s="2199">
        <v>13528.939999999999</v>
      </c>
      <c r="BN28" s="995">
        <v>18987.335234215883</v>
      </c>
      <c r="BO28" s="2199">
        <v>14231.570000000002</v>
      </c>
      <c r="BP28" s="995">
        <v>21415.195437881881</v>
      </c>
      <c r="BQ28" s="996">
        <v>38351.440000000002</v>
      </c>
      <c r="BR28" s="995">
        <v>27728.355084884861</v>
      </c>
      <c r="BS28" s="996">
        <v>109485.95999999999</v>
      </c>
      <c r="BT28" s="995">
        <f>SUM(BT26:BT27)</f>
        <v>38430.7965931863</v>
      </c>
      <c r="BU28" s="996">
        <f>SUM(BU26:BU27)</f>
        <v>183605.90000000005</v>
      </c>
    </row>
    <row r="29" spans="2:73" ht="15" customHeight="1" x14ac:dyDescent="0.3">
      <c r="B29" s="3237"/>
      <c r="D29" s="2961"/>
      <c r="I29" s="105"/>
      <c r="J29" s="41"/>
      <c r="O29" s="1166"/>
    </row>
    <row r="30" spans="2:73" ht="15" customHeight="1" x14ac:dyDescent="0.3">
      <c r="E30" s="3238"/>
      <c r="F30" s="3238"/>
      <c r="G30" s="3238"/>
      <c r="H30" s="3238"/>
      <c r="I30" s="3238"/>
      <c r="J30" s="3238"/>
      <c r="K30" s="3238"/>
      <c r="L30" s="3238"/>
      <c r="M30" s="3238"/>
      <c r="N30" s="3238"/>
      <c r="O30" s="3238"/>
      <c r="P30" s="3238"/>
      <c r="Q30" s="3238"/>
      <c r="R30" s="3238"/>
      <c r="S30" s="3238"/>
      <c r="T30" s="3238"/>
      <c r="U30" s="2263"/>
      <c r="V30" s="3238"/>
      <c r="W30" s="3238"/>
      <c r="X30" s="3238"/>
      <c r="Y30" s="3238"/>
      <c r="Z30" s="3238"/>
      <c r="AA30" s="3238"/>
      <c r="AB30" s="3238"/>
      <c r="AC30" s="3238"/>
      <c r="AD30" s="3238"/>
      <c r="AE30" s="3238"/>
      <c r="AF30" s="3238"/>
      <c r="AG30" s="3238"/>
      <c r="AH30" s="3238"/>
      <c r="AI30" s="3238"/>
      <c r="AJ30" s="3238"/>
      <c r="AK30" s="3238"/>
      <c r="AL30" s="3238"/>
      <c r="AM30" s="3238"/>
      <c r="AN30" s="3238"/>
      <c r="AO30" s="3238"/>
      <c r="AP30" s="3238"/>
      <c r="AQ30" s="3238"/>
      <c r="AR30" s="3238"/>
      <c r="AS30" s="3238"/>
      <c r="AT30" s="3238"/>
      <c r="AU30" s="3238"/>
      <c r="AV30" s="3238"/>
    </row>
    <row r="31" spans="2:73" ht="15" customHeight="1" x14ac:dyDescent="0.3"/>
    <row r="32" spans="2:73" ht="15" customHeight="1" x14ac:dyDescent="0.3">
      <c r="BF32" s="2263"/>
      <c r="BH32" s="2263"/>
      <c r="BI32" s="2263"/>
      <c r="BJ32" s="2263"/>
      <c r="BK32" s="2263"/>
      <c r="BL32" s="2263"/>
      <c r="BM32" s="2263"/>
    </row>
    <row r="33" spans="36:36" ht="15" customHeight="1" x14ac:dyDescent="0.3">
      <c r="AJ33" s="2263"/>
    </row>
    <row r="34" spans="36:36" ht="15" customHeight="1" x14ac:dyDescent="0.3"/>
    <row r="35" spans="36:36" ht="15" customHeight="1" x14ac:dyDescent="0.3"/>
    <row r="36" spans="36:36" ht="15" customHeight="1" x14ac:dyDescent="0.3"/>
    <row r="37" spans="36:36" ht="15" customHeight="1" x14ac:dyDescent="0.3"/>
    <row r="38" spans="36:36" ht="15" customHeight="1" x14ac:dyDescent="0.3"/>
    <row r="39" spans="36:36" ht="15" customHeight="1" x14ac:dyDescent="0.3"/>
    <row r="40" spans="36:36" ht="15" customHeight="1" x14ac:dyDescent="0.3"/>
    <row r="41" spans="36:36" ht="15" customHeight="1" x14ac:dyDescent="0.3"/>
    <row r="42" spans="36:36" ht="15" customHeight="1" x14ac:dyDescent="0.3"/>
    <row r="43" spans="36:36" ht="15" customHeight="1" x14ac:dyDescent="0.3"/>
    <row r="44" spans="36:36" ht="15" customHeight="1" x14ac:dyDescent="0.3"/>
    <row r="45" spans="36:36" ht="15" customHeight="1" x14ac:dyDescent="0.3"/>
    <row r="46" spans="36:36" ht="15" customHeight="1" x14ac:dyDescent="0.3"/>
  </sheetData>
  <mergeCells count="107">
    <mergeCell ref="BT3:BU3"/>
    <mergeCell ref="BT15:BT20"/>
    <mergeCell ref="BT22:BT25"/>
    <mergeCell ref="BR22:BR25"/>
    <mergeCell ref="BP3:BQ3"/>
    <mergeCell ref="BP15:BP20"/>
    <mergeCell ref="AY22:AY24"/>
    <mergeCell ref="AU15:AU19"/>
    <mergeCell ref="AU22:AU24"/>
    <mergeCell ref="BA22:BA25"/>
    <mergeCell ref="BC3:BD3"/>
    <mergeCell ref="BC15:BC20"/>
    <mergeCell ref="BC22:BC25"/>
    <mergeCell ref="BR3:BS3"/>
    <mergeCell ref="BR15:BR20"/>
    <mergeCell ref="BP22:BP25"/>
    <mergeCell ref="BJ3:BK3"/>
    <mergeCell ref="BJ15:BJ19"/>
    <mergeCell ref="BJ22:BJ24"/>
    <mergeCell ref="BH3:BI3"/>
    <mergeCell ref="BH15:BH20"/>
    <mergeCell ref="BH22:BH25"/>
    <mergeCell ref="U3:V3"/>
    <mergeCell ref="W3:X3"/>
    <mergeCell ref="U15:U20"/>
    <mergeCell ref="W15:W19"/>
    <mergeCell ref="Q3:R3"/>
    <mergeCell ref="AS22:AS25"/>
    <mergeCell ref="BN3:BO3"/>
    <mergeCell ref="BN22:BN24"/>
    <mergeCell ref="BN15:BN19"/>
    <mergeCell ref="AU3:AV3"/>
    <mergeCell ref="AW3:AX3"/>
    <mergeCell ref="AW15:AW20"/>
    <mergeCell ref="AW22:AW25"/>
    <mergeCell ref="BL3:BM3"/>
    <mergeCell ref="BL15:BL19"/>
    <mergeCell ref="BL22:BL24"/>
    <mergeCell ref="AY3:AZ3"/>
    <mergeCell ref="BE3:BF3"/>
    <mergeCell ref="AS15:AS20"/>
    <mergeCell ref="BE15:BE20"/>
    <mergeCell ref="BE22:BE25"/>
    <mergeCell ref="BA3:BB3"/>
    <mergeCell ref="BA15:BA20"/>
    <mergeCell ref="AY15:AY19"/>
    <mergeCell ref="AA3:AB3"/>
    <mergeCell ref="AC3:AD3"/>
    <mergeCell ref="AE3:AF3"/>
    <mergeCell ref="AE15:AE20"/>
    <mergeCell ref="AA22:AA25"/>
    <mergeCell ref="AQ15:AQ19"/>
    <mergeCell ref="B3:B4"/>
    <mergeCell ref="C3:C4"/>
    <mergeCell ref="E3:F3"/>
    <mergeCell ref="G3:H3"/>
    <mergeCell ref="I3:J3"/>
    <mergeCell ref="D3:D4"/>
    <mergeCell ref="O15:O19"/>
    <mergeCell ref="S15:S19"/>
    <mergeCell ref="Y3:Z3"/>
    <mergeCell ref="Y15:Y20"/>
    <mergeCell ref="G15:G19"/>
    <mergeCell ref="K3:L3"/>
    <mergeCell ref="M3:N3"/>
    <mergeCell ref="I15:I20"/>
    <mergeCell ref="K15:K19"/>
    <mergeCell ref="M15:M19"/>
    <mergeCell ref="O3:P3"/>
    <mergeCell ref="S3:T3"/>
    <mergeCell ref="AO3:AP3"/>
    <mergeCell ref="AO15:AO20"/>
    <mergeCell ref="AO22:AO25"/>
    <mergeCell ref="AS3:AT3"/>
    <mergeCell ref="AQ3:AR3"/>
    <mergeCell ref="AC15:AC19"/>
    <mergeCell ref="AC22:AC24"/>
    <mergeCell ref="AG22:AG24"/>
    <mergeCell ref="AK3:AL3"/>
    <mergeCell ref="AM3:AN3"/>
    <mergeCell ref="AM15:AM20"/>
    <mergeCell ref="AI15:AI20"/>
    <mergeCell ref="AI22:AI25"/>
    <mergeCell ref="AM22:AM25"/>
    <mergeCell ref="AG3:AH3"/>
    <mergeCell ref="AI3:AJ3"/>
    <mergeCell ref="AQ22:AQ24"/>
    <mergeCell ref="AK15:AK19"/>
    <mergeCell ref="AK22:AK24"/>
    <mergeCell ref="D22:D24"/>
    <mergeCell ref="E22:E24"/>
    <mergeCell ref="G22:G24"/>
    <mergeCell ref="Q15:Q20"/>
    <mergeCell ref="D15:D19"/>
    <mergeCell ref="E15:E19"/>
    <mergeCell ref="AG15:AG19"/>
    <mergeCell ref="K22:K24"/>
    <mergeCell ref="I22:I25"/>
    <mergeCell ref="Y22:Y25"/>
    <mergeCell ref="AA15:AA20"/>
    <mergeCell ref="M22:M24"/>
    <mergeCell ref="U22:U25"/>
    <mergeCell ref="AE22:AE25"/>
    <mergeCell ref="W22:W24"/>
    <mergeCell ref="O22:O24"/>
    <mergeCell ref="S22:S24"/>
    <mergeCell ref="Q22:Q25"/>
  </mergeCells>
  <printOptions horizontalCentered="1" verticalCentered="1"/>
  <pageMargins left="0" right="0" top="0" bottom="0" header="0" footer="0"/>
  <pageSetup scale="54" orientation="landscape" verticalDpi="300"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3" tint="0.39997558519241921"/>
    <pageSetUpPr fitToPage="1"/>
  </sheetPr>
  <dimension ref="A1:BV84"/>
  <sheetViews>
    <sheetView tabSelected="1" topLeftCell="A17" zoomScaleNormal="100" workbookViewId="0">
      <pane xSplit="4" topLeftCell="E1" activePane="topRight" state="frozen"/>
      <selection pane="topRight" activeCell="D28" sqref="D28"/>
    </sheetView>
  </sheetViews>
  <sheetFormatPr defaultRowHeight="14.4" x14ac:dyDescent="0.3"/>
  <cols>
    <col min="1" max="1" width="3.88671875" customWidth="1"/>
    <col min="2" max="2" width="51.88671875" customWidth="1"/>
    <col min="3" max="3" width="32.5546875" bestFit="1" customWidth="1"/>
    <col min="4" max="4" width="11.33203125" customWidth="1"/>
    <col min="5" max="10" width="13.6640625" customWidth="1"/>
    <col min="11" max="11" width="8.33203125" hidden="1" customWidth="1"/>
    <col min="12" max="12" width="8.44140625" hidden="1" customWidth="1"/>
    <col min="13" max="15" width="8.33203125" hidden="1" customWidth="1"/>
    <col min="16" max="16" width="8.44140625" hidden="1" customWidth="1"/>
    <col min="17" max="17" width="7.109375" hidden="1" customWidth="1"/>
    <col min="18" max="18" width="8.33203125" hidden="1" customWidth="1"/>
    <col min="19" max="19" width="7.109375" hidden="1" customWidth="1"/>
    <col min="20" max="20" width="8.44140625" hidden="1" customWidth="1"/>
    <col min="21" max="21" width="7.109375" hidden="1" customWidth="1"/>
    <col min="22" max="22" width="8.33203125" hidden="1" customWidth="1"/>
    <col min="23" max="23" width="6.6640625" hidden="1" customWidth="1"/>
    <col min="24" max="24" width="8.44140625" hidden="1" customWidth="1"/>
    <col min="25" max="25" width="8.33203125" hidden="1" customWidth="1"/>
    <col min="26" max="26" width="7.109375" hidden="1" customWidth="1"/>
    <col min="27" max="27" width="8" hidden="1" customWidth="1"/>
    <col min="28" max="29" width="8.33203125" hidden="1" customWidth="1"/>
    <col min="30" max="30" width="8.44140625" hidden="1" customWidth="1"/>
    <col min="31" max="31" width="8.109375" hidden="1" customWidth="1"/>
    <col min="32" max="32" width="8.33203125" hidden="1" customWidth="1"/>
    <col min="33" max="33" width="7.109375" hidden="1" customWidth="1"/>
    <col min="34" max="34" width="8.44140625" hidden="1" customWidth="1"/>
    <col min="35" max="35" width="8.109375" hidden="1" customWidth="1"/>
    <col min="36" max="37" width="8.33203125" hidden="1" customWidth="1"/>
    <col min="38" max="38" width="8.44140625" hidden="1" customWidth="1"/>
    <col min="39" max="40" width="7.109375" hidden="1" customWidth="1"/>
    <col min="41" max="41" width="8.109375" hidden="1" customWidth="1"/>
    <col min="42" max="42" width="8.33203125" hidden="1" customWidth="1"/>
    <col min="43" max="43" width="8.6640625" hidden="1" customWidth="1"/>
    <col min="44" max="44" width="7.109375" hidden="1" customWidth="1"/>
    <col min="45" max="45" width="8.109375" hidden="1" customWidth="1"/>
    <col min="46" max="46" width="8.33203125" hidden="1" customWidth="1"/>
    <col min="47" max="47" width="7.109375" hidden="1" customWidth="1"/>
    <col min="48" max="48" width="8.44140625" hidden="1" customWidth="1"/>
    <col min="49" max="50" width="8.33203125" hidden="1" customWidth="1"/>
    <col min="51" max="51" width="7" hidden="1" customWidth="1"/>
    <col min="52" max="52" width="8.44140625" hidden="1" customWidth="1"/>
    <col min="53" max="54" width="7.109375" hidden="1" customWidth="1"/>
    <col min="55" max="57" width="8.109375" hidden="1" customWidth="1"/>
    <col min="58" max="58" width="8.33203125" hidden="1" customWidth="1"/>
    <col min="59" max="59" width="8.33203125" style="137" customWidth="1"/>
    <col min="60" max="60" width="8.33203125" hidden="1" customWidth="1"/>
    <col min="61" max="61" width="12.6640625" customWidth="1"/>
    <col min="62" max="62" width="8.33203125" hidden="1" customWidth="1"/>
    <col min="63" max="63" width="10.109375" customWidth="1"/>
    <col min="64" max="64" width="8.109375" hidden="1" customWidth="1"/>
    <col min="65" max="65" width="11.33203125" customWidth="1"/>
    <col min="66" max="66" width="8.109375" hidden="1" customWidth="1"/>
    <col min="67" max="67" width="10.88671875" hidden="1" customWidth="1"/>
    <col min="68" max="68" width="12.33203125" hidden="1" customWidth="1"/>
    <col min="69" max="69" width="8.109375" hidden="1" customWidth="1"/>
    <col min="70" max="70" width="8.5546875" hidden="1" customWidth="1"/>
    <col min="71" max="71" width="7.109375" hidden="1" customWidth="1"/>
    <col min="72" max="72" width="6.6640625" hidden="1" customWidth="1"/>
    <col min="73" max="73" width="6.5546875" hidden="1" customWidth="1"/>
    <col min="74" max="74" width="8.5546875" hidden="1" customWidth="1"/>
    <col min="75" max="75" width="9.109375" customWidth="1"/>
  </cols>
  <sheetData>
    <row r="1" spans="1:74" ht="22.8" x14ac:dyDescent="0.3">
      <c r="A1" s="88"/>
      <c r="B1" s="5925" t="s">
        <v>1902</v>
      </c>
      <c r="C1" s="5925"/>
      <c r="D1" s="5925"/>
      <c r="E1" s="5925"/>
      <c r="F1" s="5925"/>
      <c r="G1" s="5925"/>
      <c r="H1" s="5925"/>
      <c r="I1" s="5925"/>
      <c r="J1" s="5925"/>
      <c r="K1" s="5925"/>
      <c r="L1" s="5925"/>
      <c r="M1" s="5925"/>
      <c r="N1" s="5925"/>
      <c r="O1" s="5925"/>
      <c r="P1" s="5925"/>
      <c r="Q1" s="5925"/>
      <c r="R1" s="5925"/>
      <c r="S1" s="5925"/>
      <c r="T1" s="5925"/>
      <c r="U1" s="5925"/>
      <c r="V1" s="5925"/>
      <c r="W1" s="5925"/>
      <c r="X1" s="5925"/>
      <c r="Y1" s="5925"/>
      <c r="Z1" s="5925"/>
      <c r="AA1" s="5925"/>
      <c r="AB1" s="5925"/>
      <c r="AC1" s="5925"/>
      <c r="AD1" s="5925"/>
      <c r="AE1" s="5925"/>
      <c r="AF1" s="5925"/>
      <c r="AG1" s="5925"/>
      <c r="AH1" s="5925"/>
      <c r="AI1" s="5925"/>
      <c r="AJ1" s="5925"/>
      <c r="AK1" s="5925"/>
      <c r="AL1" s="5925"/>
      <c r="AM1" s="5925"/>
      <c r="AN1" s="5925"/>
      <c r="AO1" s="5925"/>
      <c r="AP1" s="5925"/>
      <c r="AQ1" s="5925"/>
      <c r="AR1" s="5925"/>
      <c r="AS1" s="5925"/>
      <c r="AT1" s="5925"/>
      <c r="AU1" s="5925"/>
      <c r="AV1" s="5925"/>
      <c r="AW1" s="5925"/>
      <c r="AX1" s="5925"/>
      <c r="AY1" s="5925"/>
      <c r="AZ1" s="5925"/>
      <c r="BA1" s="5925"/>
      <c r="BB1" s="5925"/>
      <c r="BC1" s="5925"/>
      <c r="BD1" s="5925"/>
      <c r="BE1" s="5925"/>
      <c r="BF1" s="5925"/>
      <c r="BG1" s="5925"/>
      <c r="BH1" s="5925"/>
      <c r="BI1" s="5925"/>
      <c r="BJ1" s="5925"/>
      <c r="BK1" s="5925"/>
      <c r="BL1" s="5925"/>
      <c r="BM1" s="5925"/>
      <c r="BN1" s="5925"/>
      <c r="BO1" s="5925"/>
      <c r="BP1" s="5925"/>
      <c r="BQ1" s="5925"/>
      <c r="BR1" s="5925"/>
      <c r="BS1" s="5925"/>
      <c r="BT1" s="5925"/>
      <c r="BU1" s="5925"/>
      <c r="BV1" s="5925"/>
    </row>
    <row r="2" spans="1:74" ht="18.600000000000001" thickBot="1" x14ac:dyDescent="0.4">
      <c r="A2" s="88"/>
      <c r="B2" s="2019"/>
      <c r="C2" s="2317"/>
      <c r="D2" s="2282">
        <v>365</v>
      </c>
      <c r="E2" s="2282">
        <v>30</v>
      </c>
      <c r="F2" s="2282">
        <v>30</v>
      </c>
      <c r="G2" s="2282">
        <v>31</v>
      </c>
      <c r="H2" s="2282">
        <v>31</v>
      </c>
      <c r="I2" s="2282">
        <f>+E2+G2</f>
        <v>61</v>
      </c>
      <c r="J2" s="2282">
        <f>+F2+H2</f>
        <v>61</v>
      </c>
      <c r="K2" s="2283">
        <v>30</v>
      </c>
      <c r="L2" s="2283">
        <v>30</v>
      </c>
      <c r="M2" s="2284">
        <f>+I2+K2</f>
        <v>91</v>
      </c>
      <c r="N2" s="2284">
        <f>+J2+L2</f>
        <v>91</v>
      </c>
      <c r="O2" s="2283">
        <v>31</v>
      </c>
      <c r="P2" s="2282">
        <v>31</v>
      </c>
      <c r="Q2" s="2285">
        <f>+M2+O2</f>
        <v>122</v>
      </c>
      <c r="R2" s="2285">
        <f>+N2+P2</f>
        <v>122</v>
      </c>
      <c r="S2" s="2285">
        <v>31</v>
      </c>
      <c r="T2" s="2285">
        <v>31</v>
      </c>
      <c r="U2" s="2285">
        <f>+Q2+S2</f>
        <v>153</v>
      </c>
      <c r="V2" s="2285">
        <f>+R2+T2</f>
        <v>153</v>
      </c>
      <c r="W2" s="2285">
        <v>30</v>
      </c>
      <c r="X2" s="2285">
        <v>30</v>
      </c>
      <c r="Y2" s="2285">
        <f>+O2+S2+W2</f>
        <v>92</v>
      </c>
      <c r="Z2" s="2285">
        <f>+P2+T2+X2</f>
        <v>92</v>
      </c>
      <c r="AA2" s="2285">
        <f>+U2+W2</f>
        <v>183</v>
      </c>
      <c r="AB2" s="2285">
        <f>+V2+X2</f>
        <v>183</v>
      </c>
      <c r="AC2" s="2285">
        <v>31</v>
      </c>
      <c r="AD2" s="2285">
        <v>31</v>
      </c>
      <c r="AE2" s="2285">
        <f>+AA2+AC2</f>
        <v>214</v>
      </c>
      <c r="AF2" s="2285">
        <f>+AB2+AD2</f>
        <v>214</v>
      </c>
      <c r="AG2" s="2285">
        <v>30</v>
      </c>
      <c r="AH2" s="2285">
        <v>30</v>
      </c>
      <c r="AI2" s="2285">
        <f>+AE2+AG2</f>
        <v>244</v>
      </c>
      <c r="AJ2" s="2285">
        <f>+AF2+AH2</f>
        <v>244</v>
      </c>
      <c r="AK2" s="2285">
        <v>31</v>
      </c>
      <c r="AL2" s="2285">
        <v>31</v>
      </c>
      <c r="AM2" s="2285">
        <f>+AC2+AG2+AK2</f>
        <v>92</v>
      </c>
      <c r="AN2" s="2285">
        <f>+AD2+AH2+AL2</f>
        <v>92</v>
      </c>
      <c r="AO2" s="2285">
        <f>+AI2+AK2</f>
        <v>275</v>
      </c>
      <c r="AP2" s="2285">
        <f>+AJ2+AL2</f>
        <v>275</v>
      </c>
      <c r="AQ2" s="2285">
        <v>31</v>
      </c>
      <c r="AR2" s="2285">
        <v>31</v>
      </c>
      <c r="AS2" s="2285">
        <f>+AO2+AQ2</f>
        <v>306</v>
      </c>
      <c r="AT2" s="2285">
        <f>+AP2+AR2</f>
        <v>306</v>
      </c>
      <c r="AU2" s="2285">
        <v>28</v>
      </c>
      <c r="AV2" s="2285">
        <v>28</v>
      </c>
      <c r="AW2" s="2285">
        <f>+AS2+AU2</f>
        <v>334</v>
      </c>
      <c r="AX2" s="2285">
        <f>+AT2+AV2</f>
        <v>334</v>
      </c>
      <c r="AY2" s="2285">
        <v>31</v>
      </c>
      <c r="AZ2" s="2285">
        <v>31</v>
      </c>
      <c r="BA2" s="2285">
        <f>+AQ2+AU2+AY2</f>
        <v>90</v>
      </c>
      <c r="BB2" s="2285">
        <f>+AR2+AV2+AZ2</f>
        <v>90</v>
      </c>
      <c r="BC2" s="2285">
        <f>+AM2+BA2</f>
        <v>182</v>
      </c>
      <c r="BD2" s="2285">
        <f>+AN2+BB2</f>
        <v>182</v>
      </c>
      <c r="BE2" s="2285">
        <f>+AW2+AY2</f>
        <v>365</v>
      </c>
      <c r="BF2" s="2285">
        <f>+AX2+AZ2</f>
        <v>365</v>
      </c>
      <c r="BG2" s="2284"/>
      <c r="BH2" s="2285"/>
      <c r="BI2" s="2285"/>
      <c r="BJ2" s="2285"/>
      <c r="BK2" s="2285"/>
      <c r="BL2" s="2285"/>
      <c r="BM2" s="2285"/>
      <c r="BN2" s="2285"/>
      <c r="BO2" s="2285"/>
      <c r="BP2" s="2285"/>
      <c r="BQ2" s="2285"/>
      <c r="BR2" s="2285">
        <v>365</v>
      </c>
      <c r="BS2" s="2286">
        <v>365</v>
      </c>
      <c r="BT2" s="136">
        <v>366</v>
      </c>
      <c r="BU2" s="136">
        <v>366</v>
      </c>
      <c r="BV2" s="136">
        <v>365</v>
      </c>
    </row>
    <row r="3" spans="1:74" ht="18" thickBot="1" x14ac:dyDescent="0.35">
      <c r="A3" s="88"/>
      <c r="B3" s="5924" t="s">
        <v>170</v>
      </c>
      <c r="C3" s="5924" t="s">
        <v>171</v>
      </c>
      <c r="D3" s="5930" t="s">
        <v>2213</v>
      </c>
      <c r="E3" s="5919" t="s">
        <v>2211</v>
      </c>
      <c r="F3" s="5919"/>
      <c r="G3" s="5919" t="s">
        <v>2260</v>
      </c>
      <c r="H3" s="5919"/>
      <c r="I3" s="5918" t="s">
        <v>14</v>
      </c>
      <c r="J3" s="5918"/>
      <c r="K3" s="5926" t="s">
        <v>1963</v>
      </c>
      <c r="L3" s="5926"/>
      <c r="M3" s="5921" t="s">
        <v>604</v>
      </c>
      <c r="N3" s="5921"/>
      <c r="O3" s="5919" t="s">
        <v>1985</v>
      </c>
      <c r="P3" s="5919"/>
      <c r="Q3" s="5918" t="s">
        <v>17</v>
      </c>
      <c r="R3" s="5918"/>
      <c r="S3" s="5919" t="s">
        <v>1988</v>
      </c>
      <c r="T3" s="5919"/>
      <c r="U3" s="5918" t="s">
        <v>18</v>
      </c>
      <c r="V3" s="5918"/>
      <c r="W3" s="5919" t="s">
        <v>2019</v>
      </c>
      <c r="X3" s="5919"/>
      <c r="Y3" s="5921" t="s">
        <v>625</v>
      </c>
      <c r="Z3" s="5921"/>
      <c r="AA3" s="5920" t="s">
        <v>623</v>
      </c>
      <c r="AB3" s="5920"/>
      <c r="AC3" s="5919" t="s">
        <v>2043</v>
      </c>
      <c r="AD3" s="5919"/>
      <c r="AE3" s="5918" t="s">
        <v>24</v>
      </c>
      <c r="AF3" s="5918"/>
      <c r="AG3" s="5919" t="s">
        <v>2064</v>
      </c>
      <c r="AH3" s="5919"/>
      <c r="AI3" s="5918" t="s">
        <v>27</v>
      </c>
      <c r="AJ3" s="5918"/>
      <c r="AK3" s="5919" t="s">
        <v>2088</v>
      </c>
      <c r="AL3" s="5919"/>
      <c r="AM3" s="5921" t="s">
        <v>627</v>
      </c>
      <c r="AN3" s="5921"/>
      <c r="AO3" s="5918" t="s">
        <v>872</v>
      </c>
      <c r="AP3" s="5918"/>
      <c r="AQ3" s="5919" t="s">
        <v>2099</v>
      </c>
      <c r="AR3" s="5919"/>
      <c r="AS3" s="5918" t="s">
        <v>28</v>
      </c>
      <c r="AT3" s="5918"/>
      <c r="AU3" s="5919" t="s">
        <v>2136</v>
      </c>
      <c r="AV3" s="5919"/>
      <c r="AW3" s="5918" t="s">
        <v>30</v>
      </c>
      <c r="AX3" s="5918"/>
      <c r="AY3" s="5919" t="s">
        <v>2154</v>
      </c>
      <c r="AZ3" s="5919"/>
      <c r="BA3" s="5921" t="s">
        <v>628</v>
      </c>
      <c r="BB3" s="5921"/>
      <c r="BC3" s="5920" t="s">
        <v>634</v>
      </c>
      <c r="BD3" s="5920"/>
      <c r="BE3" s="5918" t="s">
        <v>2258</v>
      </c>
      <c r="BF3" s="5918"/>
      <c r="BG3"/>
      <c r="BH3" s="5910" t="s">
        <v>1961</v>
      </c>
      <c r="BI3" s="5911"/>
      <c r="BJ3" s="5911" t="s">
        <v>1621</v>
      </c>
      <c r="BK3" s="5911"/>
      <c r="BL3" s="5911" t="s">
        <v>1330</v>
      </c>
      <c r="BM3" s="5914"/>
      <c r="BN3" s="5912" t="s">
        <v>1199</v>
      </c>
      <c r="BO3" s="5913"/>
      <c r="BP3" s="5929" t="s">
        <v>900</v>
      </c>
      <c r="BQ3" s="5928"/>
      <c r="BR3" s="5927" t="s">
        <v>642</v>
      </c>
      <c r="BS3" s="5928"/>
      <c r="BT3" s="5894" t="s">
        <v>632</v>
      </c>
      <c r="BU3" s="5895"/>
      <c r="BV3" s="1084" t="s">
        <v>596</v>
      </c>
    </row>
    <row r="4" spans="1:74" ht="18" thickBot="1" x14ac:dyDescent="0.35">
      <c r="A4" s="88"/>
      <c r="B4" s="5924"/>
      <c r="C4" s="5924"/>
      <c r="D4" s="5930"/>
      <c r="E4" s="4718" t="s">
        <v>172</v>
      </c>
      <c r="F4" s="4718" t="s">
        <v>173</v>
      </c>
      <c r="G4" s="4718" t="s">
        <v>172</v>
      </c>
      <c r="H4" s="4718" t="s">
        <v>173</v>
      </c>
      <c r="I4" s="4719" t="s">
        <v>172</v>
      </c>
      <c r="J4" s="4719" t="s">
        <v>173</v>
      </c>
      <c r="K4" s="4720" t="s">
        <v>172</v>
      </c>
      <c r="L4" s="4720" t="s">
        <v>173</v>
      </c>
      <c r="M4" s="4721" t="s">
        <v>172</v>
      </c>
      <c r="N4" s="4721" t="s">
        <v>173</v>
      </c>
      <c r="O4" s="4720" t="s">
        <v>172</v>
      </c>
      <c r="P4" s="4718" t="s">
        <v>173</v>
      </c>
      <c r="Q4" s="4719" t="s">
        <v>172</v>
      </c>
      <c r="R4" s="4719" t="s">
        <v>173</v>
      </c>
      <c r="S4" s="4718" t="s">
        <v>172</v>
      </c>
      <c r="T4" s="4718" t="s">
        <v>173</v>
      </c>
      <c r="U4" s="4719" t="s">
        <v>172</v>
      </c>
      <c r="V4" s="4719" t="s">
        <v>173</v>
      </c>
      <c r="W4" s="4718" t="s">
        <v>172</v>
      </c>
      <c r="X4" s="4718" t="s">
        <v>173</v>
      </c>
      <c r="Y4" s="4721" t="s">
        <v>172</v>
      </c>
      <c r="Z4" s="4721" t="s">
        <v>173</v>
      </c>
      <c r="AA4" s="4722" t="s">
        <v>172</v>
      </c>
      <c r="AB4" s="4722" t="s">
        <v>173</v>
      </c>
      <c r="AC4" s="4718" t="s">
        <v>172</v>
      </c>
      <c r="AD4" s="4718" t="s">
        <v>173</v>
      </c>
      <c r="AE4" s="4719" t="s">
        <v>172</v>
      </c>
      <c r="AF4" s="4719" t="s">
        <v>173</v>
      </c>
      <c r="AG4" s="4718" t="s">
        <v>172</v>
      </c>
      <c r="AH4" s="4718" t="s">
        <v>173</v>
      </c>
      <c r="AI4" s="4719" t="s">
        <v>172</v>
      </c>
      <c r="AJ4" s="4719" t="s">
        <v>173</v>
      </c>
      <c r="AK4" s="4718" t="s">
        <v>172</v>
      </c>
      <c r="AL4" s="4718" t="s">
        <v>173</v>
      </c>
      <c r="AM4" s="4721" t="s">
        <v>172</v>
      </c>
      <c r="AN4" s="4721" t="s">
        <v>173</v>
      </c>
      <c r="AO4" s="4719" t="s">
        <v>172</v>
      </c>
      <c r="AP4" s="4719" t="s">
        <v>173</v>
      </c>
      <c r="AQ4" s="4718" t="s">
        <v>172</v>
      </c>
      <c r="AR4" s="4718" t="s">
        <v>173</v>
      </c>
      <c r="AS4" s="4719" t="s">
        <v>172</v>
      </c>
      <c r="AT4" s="4719" t="s">
        <v>173</v>
      </c>
      <c r="AU4" s="4718" t="s">
        <v>172</v>
      </c>
      <c r="AV4" s="4718" t="s">
        <v>173</v>
      </c>
      <c r="AW4" s="4719" t="s">
        <v>172</v>
      </c>
      <c r="AX4" s="4719" t="s">
        <v>173</v>
      </c>
      <c r="AY4" s="4718" t="s">
        <v>172</v>
      </c>
      <c r="AZ4" s="4718" t="s">
        <v>173</v>
      </c>
      <c r="BA4" s="4721" t="s">
        <v>172</v>
      </c>
      <c r="BB4" s="4721" t="s">
        <v>173</v>
      </c>
      <c r="BC4" s="4722" t="s">
        <v>172</v>
      </c>
      <c r="BD4" s="4722" t="s">
        <v>173</v>
      </c>
      <c r="BE4" s="4719" t="s">
        <v>172</v>
      </c>
      <c r="BF4" s="4719" t="s">
        <v>173</v>
      </c>
      <c r="BG4"/>
      <c r="BH4" s="5784" t="s">
        <v>172</v>
      </c>
      <c r="BI4" s="4723" t="s">
        <v>173</v>
      </c>
      <c r="BJ4" s="4723" t="s">
        <v>172</v>
      </c>
      <c r="BK4" s="4723" t="s">
        <v>173</v>
      </c>
      <c r="BL4" s="4723" t="s">
        <v>172</v>
      </c>
      <c r="BM4" s="5785" t="s">
        <v>173</v>
      </c>
      <c r="BN4" s="5775" t="s">
        <v>172</v>
      </c>
      <c r="BO4" s="4723" t="s">
        <v>173</v>
      </c>
      <c r="BP4" s="2288" t="s">
        <v>172</v>
      </c>
      <c r="BQ4" s="2287" t="s">
        <v>173</v>
      </c>
      <c r="BR4" s="2288" t="s">
        <v>172</v>
      </c>
      <c r="BS4" s="2287" t="s">
        <v>173</v>
      </c>
      <c r="BT4" s="993" t="s">
        <v>172</v>
      </c>
      <c r="BU4" s="994" t="s">
        <v>173</v>
      </c>
      <c r="BV4" s="994" t="s">
        <v>173</v>
      </c>
    </row>
    <row r="5" spans="1:74" ht="18" x14ac:dyDescent="0.3">
      <c r="A5" s="88"/>
      <c r="B5" s="4724" t="s">
        <v>358</v>
      </c>
      <c r="C5" s="4725" t="s">
        <v>49</v>
      </c>
      <c r="D5" s="4047">
        <v>69.500000000000014</v>
      </c>
      <c r="E5" s="4726">
        <f>+$D$5</f>
        <v>69.500000000000014</v>
      </c>
      <c r="F5" s="4727">
        <f>('Maj Production Summ'!F14*100)/('Maj Production Summ'!F10*31.55)</f>
        <v>69.499999999999986</v>
      </c>
      <c r="G5" s="4726">
        <f>+$D$5</f>
        <v>69.500000000000014</v>
      </c>
      <c r="H5" s="4727">
        <f>('Maj Production Summ'!H14*100)/('Maj Production Summ'!H10*31.55)</f>
        <v>69.5</v>
      </c>
      <c r="I5" s="4728">
        <f>+$D$5</f>
        <v>69.500000000000014</v>
      </c>
      <c r="J5" s="4728">
        <f>('Maj Production Summ'!J14*100)/('Maj Production Summ'!J10*31.55)</f>
        <v>69.5</v>
      </c>
      <c r="K5" s="4726">
        <f>+$D$5</f>
        <v>69.500000000000014</v>
      </c>
      <c r="L5" s="4727">
        <f>('Maj Production Summ'!L14*100)/('Maj Production Summ'!L10*31.55)</f>
        <v>70</v>
      </c>
      <c r="M5" s="4729">
        <f>+$D$5</f>
        <v>69.500000000000014</v>
      </c>
      <c r="N5" s="4729">
        <f>('Maj Production Summ'!N14*100)/('Maj Production Summ'!N10*31.55)</f>
        <v>69.667631369878563</v>
      </c>
      <c r="O5" s="4726">
        <f>+$D$5</f>
        <v>69.500000000000014</v>
      </c>
      <c r="P5" s="4727">
        <f>('Maj Production Summ'!P14*100)/('Maj Production Summ'!P10*31.55)</f>
        <v>69.999999999999986</v>
      </c>
      <c r="Q5" s="4728">
        <f>+$D$5</f>
        <v>69.500000000000014</v>
      </c>
      <c r="R5" s="4728">
        <f>('Maj Production Summ'!R14*100)/('Maj Production Summ'!R10*31.55)</f>
        <v>69.753493265993271</v>
      </c>
      <c r="S5" s="4726">
        <f>+$D$5</f>
        <v>69.500000000000014</v>
      </c>
      <c r="T5" s="4727">
        <f>('Maj Production Summ'!T14*100)/('Maj Production Summ'!T10*31.55)</f>
        <v>70</v>
      </c>
      <c r="U5" s="4728">
        <f>+$D$5</f>
        <v>69.500000000000014</v>
      </c>
      <c r="V5" s="4728">
        <f>('Maj Production Summ'!V14*100)/('Maj Production Summ'!V10*31.55)</f>
        <v>69.803903843578411</v>
      </c>
      <c r="W5" s="4726">
        <f>+$D$5</f>
        <v>69.500000000000014</v>
      </c>
      <c r="X5" s="4727">
        <f>('Maj Production Summ'!X14*100)/('Maj Production Summ'!X10*31.55)</f>
        <v>69.49295404013472</v>
      </c>
      <c r="Y5" s="4729">
        <f>+$D$5</f>
        <v>69.500000000000014</v>
      </c>
      <c r="Z5" s="4729">
        <f>('Maj Production Summ'!Z14*100)/('Maj Production Summ'!Z10*31.55)</f>
        <v>69.834649220880394</v>
      </c>
      <c r="AA5" s="4730">
        <f>+$D$5</f>
        <v>69.500000000000014</v>
      </c>
      <c r="AB5" s="4730">
        <f>('Maj Production Summ'!AB14*100)/('Maj Production Summ'!AB10*31.55)</f>
        <v>69.752423468789146</v>
      </c>
      <c r="AC5" s="4726">
        <f>+$D$5</f>
        <v>69.500000000000014</v>
      </c>
      <c r="AD5" s="4727">
        <f>('Maj Production Summ'!AD14*100)/('Maj Production Summ'!AD10*31.55)</f>
        <v>69.7</v>
      </c>
      <c r="AE5" s="4728">
        <f>+$D$5</f>
        <v>69.500000000000014</v>
      </c>
      <c r="AF5" s="4728">
        <f>('Maj Production Summ'!AF14*100)/('Maj Production Summ'!AF10*31.55)</f>
        <v>69.744869575366778</v>
      </c>
      <c r="AG5" s="4726">
        <f>+$D$5</f>
        <v>69.500000000000014</v>
      </c>
      <c r="AH5" s="4727">
        <f>('Maj Production Summ'!AH14*100)/('Maj Production Summ'!AH10*31.55)</f>
        <v>69.5</v>
      </c>
      <c r="AI5" s="4728">
        <f>+$D$5</f>
        <v>69.500000000000014</v>
      </c>
      <c r="AJ5" s="4728">
        <f>('Maj Production Summ'!AJ14*100)/('Maj Production Summ'!AJ10*31.55)</f>
        <v>69.714504517005409</v>
      </c>
      <c r="AK5" s="4726">
        <f>+$D$5</f>
        <v>69.500000000000014</v>
      </c>
      <c r="AL5" s="4727">
        <f>('Maj Production Summ'!AL14*100)/('Maj Production Summ'!AL10*31.55)</f>
        <v>69.5</v>
      </c>
      <c r="AM5" s="4729">
        <f>+$D$5</f>
        <v>69.500000000000014</v>
      </c>
      <c r="AN5" s="4729">
        <f>('Maj Production Summ'!AN14*100)/('Maj Production Summ'!AN10*31.55)</f>
        <v>69.56670356431259</v>
      </c>
      <c r="AO5" s="4728">
        <f>+$D$5</f>
        <v>69.500000000000014</v>
      </c>
      <c r="AP5" s="4748">
        <f>('Maj Production Summ'!AP14*100)/('Maj Production Summ'!AP10*31.55)</f>
        <v>69.690123754072218</v>
      </c>
      <c r="AQ5" s="4726">
        <f>+$D$5</f>
        <v>69.500000000000014</v>
      </c>
      <c r="AR5" s="4727">
        <f>('Maj Production Summ'!AR14*100)/('Maj Production Summ'!AR10*31.55)</f>
        <v>69.5</v>
      </c>
      <c r="AS5" s="4728">
        <f>+$D$5</f>
        <v>69.500000000000014</v>
      </c>
      <c r="AT5" s="4728">
        <f>('Maj Production Summ'!AT14*100)/('Maj Production Summ'!AT10*31.55)</f>
        <v>69.670873446384761</v>
      </c>
      <c r="AU5" s="4726">
        <f>+$D$5</f>
        <v>69.500000000000014</v>
      </c>
      <c r="AV5" s="4727">
        <f>('Maj Production Summ'!AV14*100)/('Maj Production Summ'!AV10*31.55)</f>
        <v>69.5</v>
      </c>
      <c r="AW5" s="4728">
        <f>+$D$5</f>
        <v>69.500000000000014</v>
      </c>
      <c r="AX5" s="4748">
        <f>('Maj Production Summ'!AX14*100)/('Maj Production Summ'!AX10*31.55)</f>
        <v>69.656533867958402</v>
      </c>
      <c r="AY5" s="4726">
        <f>+$D$5</f>
        <v>69.500000000000014</v>
      </c>
      <c r="AZ5" s="4727">
        <f>('Maj Production Summ'!AZ14*100)/('Maj Production Summ'!AZ10*31.55)</f>
        <v>69.499999999999986</v>
      </c>
      <c r="BA5" s="4729">
        <f>+$D$5</f>
        <v>69.500000000000014</v>
      </c>
      <c r="BB5" s="4729">
        <f>('Maj Production Summ'!BB14*100)/('Maj Production Summ'!BB10*31.55)</f>
        <v>69.5</v>
      </c>
      <c r="BC5" s="4730">
        <f>+$D$5</f>
        <v>69.500000000000014</v>
      </c>
      <c r="BD5" s="4730">
        <f>('Maj Production Summ'!BD14*100)/('Maj Production Summ'!BD10*31.55)</f>
        <v>69.53371754700089</v>
      </c>
      <c r="BE5" s="4728">
        <f>+$D$5</f>
        <v>69.500000000000014</v>
      </c>
      <c r="BF5" s="4728">
        <f>('Maj Production Summ'!BF14*100)/('Maj Production Summ'!BF10*31.55)</f>
        <v>69.643146937876907</v>
      </c>
      <c r="BG5"/>
      <c r="BH5" s="5786">
        <v>70</v>
      </c>
      <c r="BI5" s="4731">
        <v>69.72561784308084</v>
      </c>
      <c r="BJ5" s="4731">
        <v>70</v>
      </c>
      <c r="BK5" s="4731">
        <v>70.341275484250673</v>
      </c>
      <c r="BL5" s="4731">
        <v>69.500000000000028</v>
      </c>
      <c r="BM5" s="5787">
        <v>69.398028518298972</v>
      </c>
      <c r="BN5" s="4715">
        <v>69.5</v>
      </c>
      <c r="BO5" s="4731">
        <v>69.459875135267765</v>
      </c>
      <c r="BP5" s="4707">
        <v>70.500002850729032</v>
      </c>
      <c r="BQ5" s="1086">
        <v>69.798394297532738</v>
      </c>
      <c r="BR5" s="2289">
        <v>70.99978732308368</v>
      </c>
      <c r="BS5" s="2290">
        <v>72.813877092165015</v>
      </c>
      <c r="BT5" s="1085">
        <v>66.5</v>
      </c>
      <c r="BU5" s="1086">
        <v>67.485669750420143</v>
      </c>
      <c r="BV5" s="1086">
        <v>67.015011462089603</v>
      </c>
    </row>
    <row r="6" spans="1:74" ht="15" customHeight="1" x14ac:dyDescent="0.3">
      <c r="A6" s="142"/>
      <c r="B6" s="4732" t="s">
        <v>356</v>
      </c>
      <c r="C6" s="4733"/>
      <c r="D6" s="4047"/>
      <c r="E6" s="4734"/>
      <c r="F6" s="4734"/>
      <c r="G6" s="4734"/>
      <c r="H6" s="4734"/>
      <c r="I6" s="4734"/>
      <c r="J6" s="4734"/>
      <c r="K6" s="4734"/>
      <c r="L6" s="4734"/>
      <c r="M6" s="4704"/>
      <c r="N6" s="4026"/>
      <c r="O6" s="4734"/>
      <c r="P6" s="4734"/>
      <c r="Q6" s="4734"/>
      <c r="R6" s="4047"/>
      <c r="S6" s="4734"/>
      <c r="T6" s="4734"/>
      <c r="U6" s="4734"/>
      <c r="V6" s="4047"/>
      <c r="W6" s="4734"/>
      <c r="X6" s="4734"/>
      <c r="Y6" s="4704"/>
      <c r="Z6" s="4026"/>
      <c r="AA6" s="4760"/>
      <c r="AB6" s="4736"/>
      <c r="AC6" s="4734"/>
      <c r="AD6" s="4734"/>
      <c r="AE6" s="4734"/>
      <c r="AF6" s="4047"/>
      <c r="AG6" s="4734"/>
      <c r="AH6" s="4734"/>
      <c r="AI6" s="4705"/>
      <c r="AJ6" s="4024"/>
      <c r="AK6" s="4734"/>
      <c r="AL6" s="4734"/>
      <c r="AM6" s="4734"/>
      <c r="AN6" s="4047"/>
      <c r="AO6" s="4734"/>
      <c r="AP6" s="4047"/>
      <c r="AQ6" s="4734"/>
      <c r="AR6" s="4734"/>
      <c r="AS6" s="4734"/>
      <c r="AT6" s="4047"/>
      <c r="AU6" s="4734"/>
      <c r="AV6" s="4734"/>
      <c r="AW6" s="4734"/>
      <c r="AX6" s="4047"/>
      <c r="AY6" s="4734"/>
      <c r="AZ6" s="4734"/>
      <c r="BA6" s="4734"/>
      <c r="BB6" s="4047"/>
      <c r="BC6" s="4734"/>
      <c r="BD6" s="4047"/>
      <c r="BE6" s="4734"/>
      <c r="BF6" s="4734"/>
      <c r="BG6"/>
      <c r="BH6" s="5788"/>
      <c r="BI6" s="4734"/>
      <c r="BJ6" s="4734"/>
      <c r="BK6" s="4734"/>
      <c r="BL6" s="4734"/>
      <c r="BM6" s="5789"/>
      <c r="BN6" s="5776"/>
      <c r="BO6" s="4734"/>
      <c r="BP6" s="3624"/>
      <c r="BQ6" s="3624"/>
      <c r="BR6" s="3444"/>
      <c r="BS6" s="3444"/>
      <c r="BT6" s="3445"/>
      <c r="BU6" s="3445"/>
      <c r="BV6" s="3446"/>
    </row>
    <row r="7" spans="1:74" ht="18" x14ac:dyDescent="0.3">
      <c r="A7" s="88"/>
      <c r="B7" s="4724" t="s">
        <v>346</v>
      </c>
      <c r="C7" s="4725" t="s">
        <v>49</v>
      </c>
      <c r="D7" s="4726">
        <v>89</v>
      </c>
      <c r="E7" s="4726">
        <f>+$D$7</f>
        <v>89</v>
      </c>
      <c r="F7" s="4727">
        <f>'COKE OVENS'!F146</f>
        <v>89</v>
      </c>
      <c r="G7" s="4726">
        <f>+$D$7</f>
        <v>89</v>
      </c>
      <c r="H7" s="4727">
        <f>'COKE OVENS'!H146</f>
        <v>89</v>
      </c>
      <c r="I7" s="4728">
        <f>+$D$7</f>
        <v>89</v>
      </c>
      <c r="J7" s="4728">
        <f>'COKE OVENS'!J146</f>
        <v>89</v>
      </c>
      <c r="K7" s="4726">
        <f>+$D$7</f>
        <v>89</v>
      </c>
      <c r="L7" s="4727" t="e">
        <f>'COKE OVENS'!L146</f>
        <v>#REF!</v>
      </c>
      <c r="M7" s="4729">
        <f>+$D$7</f>
        <v>89</v>
      </c>
      <c r="N7" s="4729" t="e">
        <f>'COKE OVENS'!N146</f>
        <v>#REF!</v>
      </c>
      <c r="O7" s="4726">
        <f>+$D$7</f>
        <v>89</v>
      </c>
      <c r="P7" s="4727" t="e">
        <f>'COKE OVENS'!P146</f>
        <v>#REF!</v>
      </c>
      <c r="Q7" s="4728">
        <f>+$D$7</f>
        <v>89</v>
      </c>
      <c r="R7" s="4728" t="e">
        <f>'COKE OVENS'!R146</f>
        <v>#REF!</v>
      </c>
      <c r="S7" s="4726">
        <f>+$D$7</f>
        <v>89</v>
      </c>
      <c r="T7" s="4727" t="e">
        <f>'COKE OVENS'!T146</f>
        <v>#REF!</v>
      </c>
      <c r="U7" s="4728">
        <f>+$D$7</f>
        <v>89</v>
      </c>
      <c r="V7" s="4728" t="e">
        <f>'COKE OVENS'!V146</f>
        <v>#REF!</v>
      </c>
      <c r="W7" s="4726">
        <f>+$D$7</f>
        <v>89</v>
      </c>
      <c r="X7" s="4727" t="e">
        <f>'COKE OVENS'!X146</f>
        <v>#REF!</v>
      </c>
      <c r="Y7" s="4729">
        <f>+$D$7</f>
        <v>89</v>
      </c>
      <c r="Z7" s="4729" t="e">
        <f>'COKE OVENS'!Z146</f>
        <v>#REF!</v>
      </c>
      <c r="AA7" s="4730">
        <f>+$D$7</f>
        <v>89</v>
      </c>
      <c r="AB7" s="4730" t="e">
        <f>'COKE OVENS'!AB146</f>
        <v>#REF!</v>
      </c>
      <c r="AC7" s="4726">
        <f>+$D$7</f>
        <v>89</v>
      </c>
      <c r="AD7" s="4727" t="e">
        <f>'COKE OVENS'!AD146</f>
        <v>#REF!</v>
      </c>
      <c r="AE7" s="4728">
        <f>+$D$7</f>
        <v>89</v>
      </c>
      <c r="AF7" s="4728" t="e">
        <f>'COKE OVENS'!AF146</f>
        <v>#REF!</v>
      </c>
      <c r="AG7" s="4726">
        <f>+$D$7</f>
        <v>89</v>
      </c>
      <c r="AH7" s="4727" t="e">
        <f>'COKE OVENS'!AH146</f>
        <v>#REF!</v>
      </c>
      <c r="AI7" s="4728">
        <f>+$D$7</f>
        <v>89</v>
      </c>
      <c r="AJ7" s="4728" t="e">
        <f>'COKE OVENS'!AJ146</f>
        <v>#REF!</v>
      </c>
      <c r="AK7" s="4726">
        <f>+$D$7</f>
        <v>89</v>
      </c>
      <c r="AL7" s="4727" t="e">
        <f>'COKE OVENS'!AL146</f>
        <v>#REF!</v>
      </c>
      <c r="AM7" s="4729">
        <f>+$D$7</f>
        <v>89</v>
      </c>
      <c r="AN7" s="4729" t="e">
        <f>'COKE OVENS'!AN146</f>
        <v>#REF!</v>
      </c>
      <c r="AO7" s="4728">
        <f>+$D$7</f>
        <v>89</v>
      </c>
      <c r="AP7" s="4728" t="e">
        <f>'COKE OVENS'!AP146</f>
        <v>#REF!</v>
      </c>
      <c r="AQ7" s="4726">
        <f>+$D$7</f>
        <v>89</v>
      </c>
      <c r="AR7" s="4727" t="e">
        <f>'COKE OVENS'!AR146</f>
        <v>#REF!</v>
      </c>
      <c r="AS7" s="4728">
        <f>+$D$7</f>
        <v>89</v>
      </c>
      <c r="AT7" s="4748" t="e">
        <f>'COKE OVENS'!AT146</f>
        <v>#REF!</v>
      </c>
      <c r="AU7" s="4726">
        <f>+$D$7</f>
        <v>89</v>
      </c>
      <c r="AV7" s="4727" t="e">
        <f>'COKE OVENS'!AV146</f>
        <v>#REF!</v>
      </c>
      <c r="AW7" s="4728">
        <f>+$D$7</f>
        <v>89</v>
      </c>
      <c r="AX7" s="4728" t="e">
        <f>'COKE OVENS'!AX146</f>
        <v>#REF!</v>
      </c>
      <c r="AY7" s="4726">
        <f>+$D$7</f>
        <v>89</v>
      </c>
      <c r="AZ7" s="4727" t="e">
        <f>'COKE OVENS'!AZ146</f>
        <v>#REF!</v>
      </c>
      <c r="BA7" s="4729">
        <f>+$D$7</f>
        <v>89</v>
      </c>
      <c r="BB7" s="4729" t="e">
        <f>'COKE OVENS'!BB146</f>
        <v>#REF!</v>
      </c>
      <c r="BC7" s="4730">
        <f>+$D$7</f>
        <v>89</v>
      </c>
      <c r="BD7" s="4730" t="e">
        <f>'COKE OVENS'!BD146</f>
        <v>#REF!</v>
      </c>
      <c r="BE7" s="4728">
        <f>+$D$7</f>
        <v>89</v>
      </c>
      <c r="BF7" s="4728" t="e">
        <f>'COKE OVENS'!BF146</f>
        <v>#REF!</v>
      </c>
      <c r="BG7"/>
      <c r="BH7" s="5764">
        <v>92</v>
      </c>
      <c r="BI7" s="4731">
        <v>89.787074869717628</v>
      </c>
      <c r="BJ7" s="4735">
        <v>95</v>
      </c>
      <c r="BK7" s="4731">
        <v>92.468483882270078</v>
      </c>
      <c r="BL7" s="4735">
        <v>92</v>
      </c>
      <c r="BM7" s="5787">
        <v>90.939873157833944</v>
      </c>
      <c r="BN7" s="4708">
        <v>92</v>
      </c>
      <c r="BO7" s="4731">
        <v>89.651305773130588</v>
      </c>
      <c r="BP7" s="4708">
        <v>95</v>
      </c>
      <c r="BQ7" s="1087">
        <v>93.865971705137753</v>
      </c>
      <c r="BR7" s="2293">
        <v>94.377234802612818</v>
      </c>
      <c r="BS7" s="2294">
        <v>94.023330283623039</v>
      </c>
      <c r="BT7" s="999">
        <v>90</v>
      </c>
      <c r="BU7" s="1087">
        <v>91.425994537590384</v>
      </c>
      <c r="BV7" s="1087">
        <v>91.808305695910761</v>
      </c>
    </row>
    <row r="8" spans="1:74" ht="18.600000000000001" thickBot="1" x14ac:dyDescent="0.35">
      <c r="A8" s="88"/>
      <c r="B8" s="4724" t="s">
        <v>357</v>
      </c>
      <c r="C8" s="4725" t="s">
        <v>49</v>
      </c>
      <c r="D8" s="4726">
        <v>95</v>
      </c>
      <c r="E8" s="4726">
        <f>+$D$8</f>
        <v>95</v>
      </c>
      <c r="F8" s="4727">
        <f>'COKE OVENS'!F174</f>
        <v>94.999999609300659</v>
      </c>
      <c r="G8" s="4726">
        <f>+$D$8</f>
        <v>95</v>
      </c>
      <c r="H8" s="4727">
        <f>'COKE OVENS'!H174</f>
        <v>95.000000148984398</v>
      </c>
      <c r="I8" s="4728">
        <f>+$D$8</f>
        <v>95</v>
      </c>
      <c r="J8" s="4728">
        <f>'COKE OVENS'!J174</f>
        <v>94.97636984790573</v>
      </c>
      <c r="K8" s="4726">
        <f>+$D$8</f>
        <v>95</v>
      </c>
      <c r="L8" s="4727">
        <f>'COKE OVENS'!L174</f>
        <v>94.999999511791174</v>
      </c>
      <c r="M8" s="4729">
        <f>+$D$8</f>
        <v>95</v>
      </c>
      <c r="N8" s="4729">
        <f>'COKE OVENS'!N174</f>
        <v>94.984316842607086</v>
      </c>
      <c r="O8" s="4726">
        <f>+$D$8</f>
        <v>95</v>
      </c>
      <c r="P8" s="4727">
        <f>'COKE OVENS'!P174</f>
        <v>95.000001409744897</v>
      </c>
      <c r="Q8" s="4728">
        <f>+$D$8</f>
        <v>95</v>
      </c>
      <c r="R8" s="4728">
        <f>'COKE OVENS'!R174</f>
        <v>94.988378107142893</v>
      </c>
      <c r="S8" s="4726">
        <f>+$D$8</f>
        <v>95</v>
      </c>
      <c r="T8" s="4727">
        <f>'COKE OVENS'!T174</f>
        <v>95</v>
      </c>
      <c r="U8" s="4728">
        <f>+$D$8</f>
        <v>95</v>
      </c>
      <c r="V8" s="4728">
        <f>'COKE OVENS'!V174</f>
        <v>94.990759174384905</v>
      </c>
      <c r="W8" s="4726">
        <f>+$D$8</f>
        <v>95</v>
      </c>
      <c r="X8" s="4727">
        <f>'COKE OVENS'!X174</f>
        <v>94.999999513274034</v>
      </c>
      <c r="Y8" s="4729">
        <f>+$D$8</f>
        <v>95</v>
      </c>
      <c r="Z8" s="4729">
        <f>'COKE OVENS'!Z174</f>
        <v>95.000000317448595</v>
      </c>
      <c r="AA8" s="4730">
        <f>+$D$8</f>
        <v>95</v>
      </c>
      <c r="AB8" s="4730">
        <f>'COKE OVENS'!AB174</f>
        <v>94.992291349325271</v>
      </c>
      <c r="AC8" s="4726">
        <f>+$D$8</f>
        <v>95</v>
      </c>
      <c r="AD8" s="4727">
        <f>'COKE OVENS'!AD174</f>
        <v>94.999999521351143</v>
      </c>
      <c r="AE8" s="4728">
        <f>+$D$8</f>
        <v>95</v>
      </c>
      <c r="AF8" s="4728">
        <f>'COKE OVENS'!AF174</f>
        <v>94.993403513934709</v>
      </c>
      <c r="AG8" s="4726">
        <f>+$D$8</f>
        <v>95</v>
      </c>
      <c r="AH8" s="4727">
        <f>'COKE OVENS'!AH174</f>
        <v>95</v>
      </c>
      <c r="AI8" s="4728">
        <f>+$D$8</f>
        <v>95</v>
      </c>
      <c r="AJ8" s="4728">
        <f>'COKE OVENS'!AJ174</f>
        <v>94.994222456552208</v>
      </c>
      <c r="AK8" s="4726">
        <f>+$D$8</f>
        <v>95</v>
      </c>
      <c r="AL8" s="4727">
        <f>'COKE OVENS'!AL174</f>
        <v>95</v>
      </c>
      <c r="AM8" s="4729">
        <f>+$D$8</f>
        <v>95</v>
      </c>
      <c r="AN8" s="4729">
        <f>'COKE OVENS'!AN174</f>
        <v>94.999999840362591</v>
      </c>
      <c r="AO8" s="4728">
        <f>+$D$8</f>
        <v>95</v>
      </c>
      <c r="AP8" s="4728">
        <f>'COKE OVENS'!AP174</f>
        <v>94.994879814967192</v>
      </c>
      <c r="AQ8" s="4726">
        <f>+$D$8</f>
        <v>95</v>
      </c>
      <c r="AR8" s="4727">
        <f>'COKE OVENS'!AR174</f>
        <v>95.000000047533575</v>
      </c>
      <c r="AS8" s="4728">
        <f>+$D$8</f>
        <v>95</v>
      </c>
      <c r="AT8" s="4748">
        <f>'COKE OVENS'!AT174</f>
        <v>94.995398722570158</v>
      </c>
      <c r="AU8" s="4726">
        <f>+$D$8</f>
        <v>95</v>
      </c>
      <c r="AV8" s="4727">
        <f>'COKE OVENS'!AV174</f>
        <v>94.999999527157698</v>
      </c>
      <c r="AW8" s="4728">
        <f>+$D$8</f>
        <v>95</v>
      </c>
      <c r="AX8" s="4728">
        <f>'COKE OVENS'!AX174</f>
        <v>94.99578514394598</v>
      </c>
      <c r="AY8" s="4726">
        <f>+$D$8</f>
        <v>95</v>
      </c>
      <c r="AZ8" s="4727">
        <f>'COKE OVENS'!AZ174</f>
        <v>94.999999528548869</v>
      </c>
      <c r="BA8" s="4729">
        <f>+$D$8</f>
        <v>95</v>
      </c>
      <c r="BB8" s="4729">
        <f>'COKE OVENS'!BB174</f>
        <v>94.999999706279226</v>
      </c>
      <c r="BC8" s="4730">
        <f>+$D$8</f>
        <v>95</v>
      </c>
      <c r="BD8" s="4730">
        <f>'COKE OVENS'!BD174</f>
        <v>94.999999774056249</v>
      </c>
      <c r="BE8" s="4728">
        <f>+$D$8</f>
        <v>95</v>
      </c>
      <c r="BF8" s="4728">
        <f>'COKE OVENS'!BF174</f>
        <v>94.99614583977197</v>
      </c>
      <c r="BG8"/>
      <c r="BH8" s="5764">
        <v>97</v>
      </c>
      <c r="BI8" s="4731">
        <v>94.966858905317054</v>
      </c>
      <c r="BJ8" s="4735">
        <v>100</v>
      </c>
      <c r="BK8" s="4731">
        <v>97.818139447003276</v>
      </c>
      <c r="BL8" s="4735">
        <v>94</v>
      </c>
      <c r="BM8" s="5787">
        <v>93.889003787888356</v>
      </c>
      <c r="BN8" s="4708">
        <v>94</v>
      </c>
      <c r="BO8" s="4731">
        <v>92.198587038217795</v>
      </c>
      <c r="BP8" s="4699">
        <v>95</v>
      </c>
      <c r="BQ8" s="1097">
        <v>94.753433109833978</v>
      </c>
      <c r="BR8" s="2295">
        <v>94.836589147670892</v>
      </c>
      <c r="BS8" s="2296">
        <v>95.080612657941344</v>
      </c>
      <c r="BT8" s="1529">
        <v>90</v>
      </c>
      <c r="BU8" s="1097">
        <v>96.370934540963361</v>
      </c>
      <c r="BV8" s="1097">
        <v>94.117212910536992</v>
      </c>
    </row>
    <row r="9" spans="1:74" ht="18.600000000000001" thickBot="1" x14ac:dyDescent="0.35">
      <c r="A9" s="88"/>
      <c r="B9" s="4724" t="s">
        <v>355</v>
      </c>
      <c r="C9" s="4725" t="s">
        <v>49</v>
      </c>
      <c r="D9" s="4727">
        <v>92.972626196286924</v>
      </c>
      <c r="E9" s="4727">
        <f>+$D$9</f>
        <v>92.972626196286924</v>
      </c>
      <c r="F9" s="4727">
        <f>'COKE OVENS'!F216</f>
        <v>92.88918390296584</v>
      </c>
      <c r="G9" s="4727">
        <f>+$D$9</f>
        <v>92.972626196286924</v>
      </c>
      <c r="H9" s="4727">
        <f>'COKE OVENS'!H216</f>
        <v>92.834232158451641</v>
      </c>
      <c r="I9" s="4728">
        <f>+$D$9</f>
        <v>92.972626196286924</v>
      </c>
      <c r="J9" s="4728">
        <f>'COKE OVENS'!J216</f>
        <v>92.861742406563536</v>
      </c>
      <c r="K9" s="4727">
        <f>+$D$9</f>
        <v>92.972626196286924</v>
      </c>
      <c r="L9" s="4727">
        <f>'COKE OVENS'!L216</f>
        <v>93.437618856972875</v>
      </c>
      <c r="M9" s="4729">
        <f>+$D$9</f>
        <v>92.972626196286924</v>
      </c>
      <c r="N9" s="4729">
        <f>'COKE OVENS'!N216</f>
        <v>92.549762922136381</v>
      </c>
      <c r="O9" s="4727">
        <f>+$D$9</f>
        <v>92.972626196286924</v>
      </c>
      <c r="P9" s="4727">
        <f>'COKE OVENS'!P216</f>
        <v>104.58172648485035</v>
      </c>
      <c r="Q9" s="4728">
        <f>+$D$9</f>
        <v>92.972626196286924</v>
      </c>
      <c r="R9" s="4728">
        <f>'COKE OVENS'!R216</f>
        <v>95.789545652290627</v>
      </c>
      <c r="S9" s="4727">
        <f>+$D$9</f>
        <v>92.972626196286924</v>
      </c>
      <c r="T9" s="4727">
        <f>'COKE OVENS'!T216</f>
        <v>100.75072207425359</v>
      </c>
      <c r="U9" s="4728">
        <f>+$D$9</f>
        <v>92.972626196286924</v>
      </c>
      <c r="V9" s="4728">
        <f>'COKE OVENS'!V216</f>
        <v>96.847081937059414</v>
      </c>
      <c r="W9" s="4727">
        <f>+$D$9</f>
        <v>92.972626196286924</v>
      </c>
      <c r="X9" s="4727">
        <f>'COKE OVENS'!X216</f>
        <v>105.92803518716721</v>
      </c>
      <c r="Y9" s="4729">
        <f>+$D$9</f>
        <v>92.972626196286924</v>
      </c>
      <c r="Z9" s="4729">
        <f>'COKE OVENS'!Z216</f>
        <v>103.72929482141987</v>
      </c>
      <c r="AA9" s="4730">
        <f>+$D$9</f>
        <v>92.972626196286924</v>
      </c>
      <c r="AB9" s="4730">
        <f>'COKE OVENS'!AB216</f>
        <v>98.402130175156557</v>
      </c>
      <c r="AC9" s="4727">
        <f>+$D$9</f>
        <v>92.972626196286924</v>
      </c>
      <c r="AD9" s="4727">
        <f>'COKE OVENS'!AD216</f>
        <v>102.81573552024409</v>
      </c>
      <c r="AE9" s="4728">
        <f>+$D$9</f>
        <v>92.972626196286924</v>
      </c>
      <c r="AF9" s="4728">
        <f>'COKE OVENS'!AF216</f>
        <v>99.056922318300764</v>
      </c>
      <c r="AG9" s="4727">
        <f>+$D$9</f>
        <v>92.972626196286924</v>
      </c>
      <c r="AH9" s="4727">
        <f>'COKE OVENS'!AH216</f>
        <v>99.873119154648862</v>
      </c>
      <c r="AI9" s="4728">
        <f>+$D$9</f>
        <v>92.972626196286924</v>
      </c>
      <c r="AJ9" s="4728">
        <f>'COKE OVENS'!AJ216</f>
        <v>99.159519637120596</v>
      </c>
      <c r="AK9" s="4727">
        <f>+$D$9</f>
        <v>92.972626196286924</v>
      </c>
      <c r="AL9" s="4727">
        <f>'COKE OVENS'!AL216</f>
        <v>92.364182227254133</v>
      </c>
      <c r="AM9" s="4729">
        <f>+$D$9</f>
        <v>92.972626196286924</v>
      </c>
      <c r="AN9" s="4729">
        <f>'COKE OVENS'!AN216</f>
        <v>98.332316850598446</v>
      </c>
      <c r="AO9" s="4728">
        <f>+$D$9</f>
        <v>92.972626196286924</v>
      </c>
      <c r="AP9" s="4728">
        <f>'COKE OVENS'!AP216</f>
        <v>98.378323201273929</v>
      </c>
      <c r="AQ9" s="4727">
        <f>+$D$9</f>
        <v>92.972626196286924</v>
      </c>
      <c r="AR9" s="4727">
        <f>'COKE OVENS'!AR216</f>
        <v>99.186870840252027</v>
      </c>
      <c r="AS9" s="4728">
        <f>+$D$9</f>
        <v>92.972626196286924</v>
      </c>
      <c r="AT9" s="4748">
        <f>'COKE OVENS'!AT216</f>
        <v>98.461457391368953</v>
      </c>
      <c r="AU9" s="4727">
        <f>+$D$9</f>
        <v>92.972626196286924</v>
      </c>
      <c r="AV9" s="4727">
        <f>'COKE OVENS'!AV216</f>
        <v>99.901433195698445</v>
      </c>
      <c r="AW9" s="4728">
        <f>+$D$9</f>
        <v>92.972626196286924</v>
      </c>
      <c r="AX9" s="4728">
        <f>'COKE OVENS'!AX216</f>
        <v>98.583778430463894</v>
      </c>
      <c r="AY9" s="4727">
        <f>+$D$9</f>
        <v>92.972626196286924</v>
      </c>
      <c r="AZ9" s="4727">
        <f>'COKE OVENS'!AZ216</f>
        <v>93.243821499637903</v>
      </c>
      <c r="BA9" s="4729">
        <f>+$D$9</f>
        <v>92.972626196286924</v>
      </c>
      <c r="BB9" s="4729">
        <f>'COKE OVENS'!BB216</f>
        <v>97.337963387981716</v>
      </c>
      <c r="BC9" s="4730">
        <f>+$D$9</f>
        <v>92.972626196286924</v>
      </c>
      <c r="BD9" s="4730">
        <f>'COKE OVENS'!BD216</f>
        <v>97.839845680298083</v>
      </c>
      <c r="BE9" s="4728">
        <f>+$D$9</f>
        <v>92.972626196286924</v>
      </c>
      <c r="BF9" s="4728">
        <f>'COKE OVENS'!BF216</f>
        <v>98.117484199876642</v>
      </c>
      <c r="BG9"/>
      <c r="BH9" s="5764">
        <v>95.322290299597682</v>
      </c>
      <c r="BI9" s="4731">
        <v>93.163576619349655</v>
      </c>
      <c r="BJ9" s="4735">
        <v>98.275343312827886</v>
      </c>
      <c r="BK9" s="4731">
        <v>95.930697723131729</v>
      </c>
      <c r="BL9" s="4735">
        <v>93.289715727782763</v>
      </c>
      <c r="BM9" s="5787">
        <v>92.833390112642292</v>
      </c>
      <c r="BN9" s="4708">
        <v>93.294358974358971</v>
      </c>
      <c r="BO9" s="4731">
        <v>91.262623548364061</v>
      </c>
      <c r="BP9" s="4709">
        <v>95</v>
      </c>
      <c r="BQ9" s="3625">
        <v>94.439236826010074</v>
      </c>
      <c r="BR9" s="3447">
        <v>94.673168200952773</v>
      </c>
      <c r="BS9" s="3448">
        <v>94.712020160218685</v>
      </c>
      <c r="BT9" s="3449">
        <v>90</v>
      </c>
      <c r="BU9" s="3450">
        <v>94.617132782598674</v>
      </c>
      <c r="BV9" s="3450">
        <v>93.297277602628242</v>
      </c>
    </row>
    <row r="10" spans="1:74" ht="18" x14ac:dyDescent="0.3">
      <c r="A10" s="88"/>
      <c r="B10" s="4724" t="s">
        <v>352</v>
      </c>
      <c r="C10" s="4725" t="s">
        <v>360</v>
      </c>
      <c r="D10" s="4023">
        <v>348.37400000000002</v>
      </c>
      <c r="E10" s="4023">
        <v>375</v>
      </c>
      <c r="F10" s="4047">
        <f>+('B-FCE'!F23/'Maj Production Summ'!F$17)*1000</f>
        <v>383.57168411248995</v>
      </c>
      <c r="G10" s="4023">
        <v>356</v>
      </c>
      <c r="H10" s="4047">
        <f>+('B-FCE'!H23/'Maj Production Summ'!H$17)*1000</f>
        <v>415.3147073734321</v>
      </c>
      <c r="I10" s="4024">
        <f>+('B-FCE'!I23/'Maj Production Summ'!I$17)*1000</f>
        <v>366.00506329113927</v>
      </c>
      <c r="J10" s="4024">
        <f>+('B-FCE'!J23/'Maj Production Summ'!J$17)*1000</f>
        <v>393.67312242745822</v>
      </c>
      <c r="K10" s="4023">
        <v>356</v>
      </c>
      <c r="L10" s="4047">
        <f>+('B-FCE'!L23/'Maj Production Summ'!L$17)*1000</f>
        <v>348.40698971547278</v>
      </c>
      <c r="M10" s="4026">
        <f>+('B-FCE'!M23/'Maj Production Summ'!M$17)*1000</f>
        <v>362.10819165378672</v>
      </c>
      <c r="N10" s="4026">
        <f>+('B-FCE'!N23/'Maj Production Summ'!N$17)*1000</f>
        <v>374.24410949784038</v>
      </c>
      <c r="O10" s="4023">
        <v>356</v>
      </c>
      <c r="P10" s="4047">
        <f>+('B-FCE'!P23/'Maj Production Summ'!P$17)*1000</f>
        <v>362.56961546164109</v>
      </c>
      <c r="Q10" s="4024">
        <f>+('B-FCE'!Q23/'Maj Production Summ'!Q$17)*1000</f>
        <v>360.38137472283813</v>
      </c>
      <c r="R10" s="4024">
        <f>+('B-FCE'!R23/'Maj Production Summ'!R$17)*1000</f>
        <v>370.67613244216693</v>
      </c>
      <c r="S10" s="4023">
        <v>356</v>
      </c>
      <c r="T10" s="4047">
        <f>+('B-FCE'!T23/'Maj Production Summ'!T$17)*1000</f>
        <v>365.93798366603016</v>
      </c>
      <c r="U10" s="4024">
        <f>+('B-FCE'!U23/'Maj Production Summ'!U$17)*1000</f>
        <v>359.41573033707863</v>
      </c>
      <c r="V10" s="4024">
        <f>+('B-FCE'!V23/'Maj Production Summ'!V$17)*1000</f>
        <v>369.61477738044778</v>
      </c>
      <c r="W10" s="4023">
        <v>383</v>
      </c>
      <c r="X10" s="4047">
        <f>+('B-FCE'!X23/'Maj Production Summ'!X$17)*1000</f>
        <v>390.38903144875366</v>
      </c>
      <c r="Y10" s="4026">
        <f>+('B-FCE'!Y23/'Maj Production Summ'!Y$17)*1000</f>
        <v>361.81538461538457</v>
      </c>
      <c r="Z10" s="4026">
        <f>+('B-FCE'!Z23/'Maj Production Summ'!Z$17)*1000</f>
        <v>372.53619548915242</v>
      </c>
      <c r="AA10" s="4736">
        <f>+('B-FCE'!AA23/'Maj Production Summ'!AA$17)*1000</f>
        <v>361.96144949884348</v>
      </c>
      <c r="AB10" s="4736">
        <f>+('B-FCE'!AB23/'Maj Production Summ'!AB$17)*1000</f>
        <v>373.29351573783219</v>
      </c>
      <c r="AC10" s="4023">
        <v>354</v>
      </c>
      <c r="AD10" s="4047">
        <f>+('B-FCE'!AD23/'Maj Production Summ'!AD$17)*1000</f>
        <v>407.03377172388349</v>
      </c>
      <c r="AE10" s="4024">
        <f>+('B-FCE'!AE23/'Maj Production Summ'!AE$17)*1000</f>
        <v>360.6319845857418</v>
      </c>
      <c r="AF10" s="4024">
        <f>+('B-FCE'!AF23/'Maj Production Summ'!AF$17)*1000</f>
        <v>377.63623611840563</v>
      </c>
      <c r="AG10" s="4023">
        <v>354</v>
      </c>
      <c r="AH10" s="4047">
        <f>+('B-FCE'!AH23/'Maj Production Summ'!AH$17)*1000</f>
        <v>366.29801079835937</v>
      </c>
      <c r="AI10" s="4024">
        <f>+('B-FCE'!AI23/'Maj Production Summ'!AI$17)*1000</f>
        <v>359.7081260364842</v>
      </c>
      <c r="AJ10" s="4024">
        <f>+('B-FCE'!AJ23/'Maj Production Summ'!AJ$17)*1000</f>
        <v>376.11611040162575</v>
      </c>
      <c r="AK10" s="4023">
        <v>354</v>
      </c>
      <c r="AL10" s="4047">
        <f>+('B-FCE'!AL23/'Maj Production Summ'!AL$17)*1000</f>
        <v>379.38954607431214</v>
      </c>
      <c r="AM10" s="4026">
        <f>+('B-FCE'!AM23/'Maj Production Summ'!AM$17)*1000</f>
        <v>354</v>
      </c>
      <c r="AN10" s="4026">
        <f>+('B-FCE'!AN23/'Maj Production Summ'!AN$17)*1000</f>
        <v>382.84532752383001</v>
      </c>
      <c r="AO10" s="4024">
        <f>+('B-FCE'!AO23/'Maj Production Summ'!AO$17)*1000</f>
        <v>358.99081681971967</v>
      </c>
      <c r="AP10" s="4728">
        <f>+('B-FCE'!AP23/'Maj Production Summ'!AP$17)*1000</f>
        <v>376.51342246842296</v>
      </c>
      <c r="AQ10" s="4023">
        <v>354</v>
      </c>
      <c r="AR10" s="4047">
        <f>+('B-FCE'!AR23/'Maj Production Summ'!AR$17)*1000</f>
        <v>385.39816586713408</v>
      </c>
      <c r="AS10" s="4024">
        <f>+('B-FCE'!AS23/'Maj Production Summ'!AS$17)*1000</f>
        <v>358.426060865838</v>
      </c>
      <c r="AT10" s="4748">
        <f>+('B-FCE'!AT23/'Maj Production Summ'!AT$17)*1000</f>
        <v>377.45214438640932</v>
      </c>
      <c r="AU10" s="4023">
        <v>354</v>
      </c>
      <c r="AV10" s="4047">
        <f>+('B-FCE'!AV23/'Maj Production Summ'!AV$17)*1000</f>
        <v>429.82864200130945</v>
      </c>
      <c r="AW10" s="4024">
        <f>+('B-FCE'!AW23/'Maj Production Summ'!AW$17)*1000</f>
        <v>358.01946282600233</v>
      </c>
      <c r="AX10" s="4024">
        <f>+('B-FCE'!AX23/'Maj Production Summ'!AX$17)*1000</f>
        <v>381.5475377204715</v>
      </c>
      <c r="AY10" s="4023">
        <v>354</v>
      </c>
      <c r="AZ10" s="4047">
        <f>+('B-FCE'!AZ23/'Maj Production Summ'!AZ$17)*1000</f>
        <v>367.13628962682185</v>
      </c>
      <c r="BA10" s="4026">
        <f>+('B-FCE'!BA23/'Maj Production Summ'!BA$17)*1000</f>
        <v>354</v>
      </c>
      <c r="BB10" s="4026">
        <f>+('B-FCE'!BB23/'Maj Production Summ'!BB$17)*1000</f>
        <v>391.36137645781383</v>
      </c>
      <c r="BC10" s="4736">
        <f>+('B-FCE'!BC23/'Maj Production Summ'!BC$17)*1000</f>
        <v>354</v>
      </c>
      <c r="BD10" s="4736">
        <f>+('B-FCE'!BD23/'Maj Production Summ'!BD$17)*1000</f>
        <v>387.08691633158401</v>
      </c>
      <c r="BE10" s="4024">
        <f>+('B-FCE'!BE23/'Maj Production Summ'!BE$17)*1000</f>
        <v>357.64489939992939</v>
      </c>
      <c r="BF10" s="4024">
        <f>+('B-FCE'!BF23/'Maj Production Summ'!BF$17)*1000</f>
        <v>380.2352023346632</v>
      </c>
      <c r="BG10"/>
      <c r="BH10" s="5764">
        <v>356.24</v>
      </c>
      <c r="BI10" s="4735">
        <v>373.08643299420697</v>
      </c>
      <c r="BJ10" s="4735">
        <v>360.04562264150945</v>
      </c>
      <c r="BK10" s="4735">
        <v>371.74357132695411</v>
      </c>
      <c r="BL10" s="4735">
        <v>380.41999999999996</v>
      </c>
      <c r="BM10" s="5765">
        <v>390.51223594984998</v>
      </c>
      <c r="BN10" s="4708">
        <v>389.92559291044773</v>
      </c>
      <c r="BO10" s="4735">
        <v>400.04040555458937</v>
      </c>
      <c r="BP10" s="4710">
        <v>377.88521420805364</v>
      </c>
      <c r="BQ10" s="3442">
        <v>396.71458967036409</v>
      </c>
      <c r="BR10" s="2297">
        <v>373.8786504081541</v>
      </c>
      <c r="BS10" s="2298">
        <v>423.66105089932233</v>
      </c>
      <c r="BT10" s="1088">
        <v>370.47898148148147</v>
      </c>
      <c r="BU10" s="3442">
        <v>381.58770716890342</v>
      </c>
      <c r="BV10" s="3442">
        <v>388.39310872643784</v>
      </c>
    </row>
    <row r="11" spans="1:74" ht="18" x14ac:dyDescent="0.3">
      <c r="A11" s="88"/>
      <c r="B11" s="4724" t="s">
        <v>353</v>
      </c>
      <c r="C11" s="4725" t="s">
        <v>360</v>
      </c>
      <c r="D11" s="4023">
        <v>27.055333333333333</v>
      </c>
      <c r="E11" s="4023">
        <v>26</v>
      </c>
      <c r="F11" s="4047">
        <f>+('B-FCE'!F24/'Maj Production Summ'!F$17)*1000</f>
        <v>31.725019192093036</v>
      </c>
      <c r="G11" s="4023">
        <v>29</v>
      </c>
      <c r="H11" s="4047">
        <f>+('B-FCE'!H24/'Maj Production Summ'!H$17)*1000</f>
        <v>33.469193127299313</v>
      </c>
      <c r="I11" s="4024">
        <f>+('B-FCE'!I24/'Maj Production Summ'!I$17)*1000</f>
        <v>27.420253164556961</v>
      </c>
      <c r="J11" s="4024">
        <f>+('B-FCE'!J24/'Maj Production Summ'!J$17)*1000</f>
        <v>32.28005975241485</v>
      </c>
      <c r="K11" s="4023">
        <v>29</v>
      </c>
      <c r="L11" s="4047">
        <f>+('B-FCE'!L24/'Maj Production Summ'!L$17)*1000</f>
        <v>31.876010889904354</v>
      </c>
      <c r="M11" s="4026">
        <f>+('B-FCE'!M24/'Maj Production Summ'!M$17)*1000</f>
        <v>28.035548686244205</v>
      </c>
      <c r="N11" s="4026">
        <f>+('B-FCE'!N24/'Maj Production Summ'!N$17)*1000</f>
        <v>32.106634940009009</v>
      </c>
      <c r="O11" s="4023">
        <v>29</v>
      </c>
      <c r="P11" s="4047">
        <f>+('B-FCE'!P24/'Maj Production Summ'!P$17)*1000</f>
        <v>40.769372829277593</v>
      </c>
      <c r="Q11" s="4024">
        <f>+('B-FCE'!Q24/'Maj Production Summ'!Q$17)*1000</f>
        <v>28.308203991130821</v>
      </c>
      <c r="R11" s="4024">
        <f>+('B-FCE'!R24/'Maj Production Summ'!R$17)*1000</f>
        <v>34.754154389878543</v>
      </c>
      <c r="S11" s="4023">
        <v>29</v>
      </c>
      <c r="T11" s="4047">
        <f>+('B-FCE'!T24/'Maj Production Summ'!T$17)*1000</f>
        <v>37.253344065234799</v>
      </c>
      <c r="U11" s="4024">
        <f>+('B-FCE'!U24/'Maj Production Summ'!U$17)*1000</f>
        <v>28.460674157303369</v>
      </c>
      <c r="V11" s="4024">
        <f>+('B-FCE'!V24/'Maj Production Summ'!V$17)*1000</f>
        <v>35.313978012449155</v>
      </c>
      <c r="W11" s="4023">
        <v>28</v>
      </c>
      <c r="X11" s="4047">
        <f>+('B-FCE'!X24/'Maj Production Summ'!X$17)*1000</f>
        <v>36.733820007940906</v>
      </c>
      <c r="Y11" s="4026">
        <f>+('B-FCE'!Y24/'Maj Production Summ'!Y$17)*1000</f>
        <v>28.784615384615385</v>
      </c>
      <c r="Z11" s="4026">
        <f>+('B-FCE'!Z24/'Maj Production Summ'!Z$17)*1000</f>
        <v>38.320943992264716</v>
      </c>
      <c r="AA11" s="4736">
        <f>+('B-FCE'!AA24/'Maj Production Summ'!AA$17)*1000</f>
        <v>28.410948342328449</v>
      </c>
      <c r="AB11" s="4736">
        <f>+('B-FCE'!AB24/'Maj Production Summ'!AB$17)*1000</f>
        <v>35.565405918985142</v>
      </c>
      <c r="AC11" s="4023">
        <v>29</v>
      </c>
      <c r="AD11" s="4047">
        <f>+('B-FCE'!AD24/'Maj Production Summ'!AD$17)*1000</f>
        <v>30.284127923390631</v>
      </c>
      <c r="AE11" s="4024">
        <f>+('B-FCE'!AE24/'Maj Production Summ'!AE$17)*1000</f>
        <v>28.509312780989081</v>
      </c>
      <c r="AF11" s="4024">
        <f>+('B-FCE'!AF24/'Maj Production Summ'!AF$17)*1000</f>
        <v>34.885650744737973</v>
      </c>
      <c r="AG11" s="4023">
        <v>29</v>
      </c>
      <c r="AH11" s="4047">
        <f>+('B-FCE'!AH24/'Maj Production Summ'!AH$17)*1000</f>
        <v>37.743468925840951</v>
      </c>
      <c r="AI11" s="4024">
        <f>+('B-FCE'!AI24/'Maj Production Summ'!AI$17)*1000</f>
        <v>28.577667219458267</v>
      </c>
      <c r="AJ11" s="4024">
        <f>+('B-FCE'!AJ24/'Maj Production Summ'!AJ$17)*1000</f>
        <v>35.268800910513477</v>
      </c>
      <c r="AK11" s="4023">
        <v>29</v>
      </c>
      <c r="AL11" s="4047">
        <f>+('B-FCE'!AL24/'Maj Production Summ'!AL$17)*1000</f>
        <v>35.629725195876944</v>
      </c>
      <c r="AM11" s="4026">
        <f>+('B-FCE'!AM24/'Maj Production Summ'!AM$17)*1000</f>
        <v>29</v>
      </c>
      <c r="AN11" s="4026">
        <f>+('B-FCE'!AN24/'Maj Production Summ'!AN$17)*1000</f>
        <v>34.815484048078119</v>
      </c>
      <c r="AO11" s="4024">
        <f>+('B-FCE'!AO24/'Maj Production Summ'!AO$17)*1000</f>
        <v>28.630739487675203</v>
      </c>
      <c r="AP11" s="4728">
        <f>+('B-FCE'!AP24/'Maj Production Summ'!AP$17)*1000</f>
        <v>35.312607964665055</v>
      </c>
      <c r="AQ11" s="4023">
        <v>29</v>
      </c>
      <c r="AR11" s="4047">
        <f>+('B-FCE'!AR24/'Maj Production Summ'!AR$17)*1000</f>
        <v>31.827294285431901</v>
      </c>
      <c r="AS11" s="4024">
        <f>+('B-FCE'!AS24/'Maj Production Summ'!AS$17)*1000</f>
        <v>28.672524646378054</v>
      </c>
      <c r="AT11" s="4748">
        <f>+('B-FCE'!AT24/'Maj Production Summ'!AT$17)*1000</f>
        <v>34.944365439818618</v>
      </c>
      <c r="AU11" s="4023">
        <v>29</v>
      </c>
      <c r="AV11" s="4047">
        <f>+('B-FCE'!AV24/'Maj Production Summ'!AV$17)*1000</f>
        <v>29.819621590301526</v>
      </c>
      <c r="AW11" s="4024">
        <f>+('B-FCE'!AW24/'Maj Production Summ'!AW$17)*1000</f>
        <v>28.702608018684312</v>
      </c>
      <c r="AX11" s="4024">
        <f>+('B-FCE'!AX24/'Maj Production Summ'!AX$17)*1000</f>
        <v>34.543654381312905</v>
      </c>
      <c r="AY11" s="4023">
        <v>29</v>
      </c>
      <c r="AZ11" s="4047">
        <f>+('B-FCE'!AZ24/'Maj Production Summ'!AZ$17)*1000</f>
        <v>32.889139192692141</v>
      </c>
      <c r="BA11" s="4026">
        <f>+('B-FCE'!BA24/'Maj Production Summ'!BA$17)*1000</f>
        <v>29</v>
      </c>
      <c r="BB11" s="4026">
        <f>+('B-FCE'!BB24/'Maj Production Summ'!BB$17)*1000</f>
        <v>31.643808818828944</v>
      </c>
      <c r="BC11" s="4736">
        <f>+('B-FCE'!BC24/'Maj Production Summ'!BC$17)*1000</f>
        <v>29</v>
      </c>
      <c r="BD11" s="4736">
        <f>+('B-FCE'!BD24/'Maj Production Summ'!BD$17)*1000</f>
        <v>33.235767649252715</v>
      </c>
      <c r="BE11" s="4024">
        <f>+('B-FCE'!BE24/'Maj Production Summ'!BE$17)*1000</f>
        <v>28.730321214260503</v>
      </c>
      <c r="BF11" s="4024">
        <f>+('B-FCE'!BF24/'Maj Production Summ'!BF$17)*1000</f>
        <v>34.392988816868069</v>
      </c>
      <c r="BG11"/>
      <c r="BH11" s="5764">
        <v>28.952542372881357</v>
      </c>
      <c r="BI11" s="4735">
        <v>33.750220275767816</v>
      </c>
      <c r="BJ11" s="4735">
        <v>38.916226415094336</v>
      </c>
      <c r="BK11" s="4735">
        <v>40.499375813748237</v>
      </c>
      <c r="BL11" s="4735">
        <v>32.20428571428571</v>
      </c>
      <c r="BM11" s="5765">
        <v>47.260948860569819</v>
      </c>
      <c r="BN11" s="4708">
        <v>30</v>
      </c>
      <c r="BO11" s="4735">
        <v>36.610035455154154</v>
      </c>
      <c r="BP11" s="4708">
        <v>23.75142504193121</v>
      </c>
      <c r="BQ11" s="3442">
        <v>37.043769455668603</v>
      </c>
      <c r="BR11" s="2293">
        <v>34.857516027392144</v>
      </c>
      <c r="BS11" s="2298">
        <v>41.208946109466851</v>
      </c>
      <c r="BT11" s="999">
        <v>25</v>
      </c>
      <c r="BU11" s="3442">
        <v>44.993877243288374</v>
      </c>
      <c r="BV11" s="3442">
        <v>29.180384193772984</v>
      </c>
    </row>
    <row r="12" spans="1:74" ht="18.600000000000001" thickBot="1" x14ac:dyDescent="0.35">
      <c r="A12" s="88"/>
      <c r="B12" s="4724" t="s">
        <v>354</v>
      </c>
      <c r="C12" s="4725" t="s">
        <v>360</v>
      </c>
      <c r="D12" s="4023">
        <v>149.57066666666665</v>
      </c>
      <c r="E12" s="4023">
        <v>124</v>
      </c>
      <c r="F12" s="4047">
        <f>+('B-FCE'!F25/'Maj Production Summ'!F$17)*1000</f>
        <v>125.12614330039881</v>
      </c>
      <c r="G12" s="4023">
        <v>140</v>
      </c>
      <c r="H12" s="4047">
        <f>+('B-FCE'!H25/'Maj Production Summ'!H$17)*1000</f>
        <v>93.149780269135292</v>
      </c>
      <c r="I12" s="4024">
        <f>+('B-FCE'!I25/'Maj Production Summ'!I$17)*1000</f>
        <v>131.57468354430378</v>
      </c>
      <c r="J12" s="4024">
        <f>+('B-FCE'!J25/'Maj Production Summ'!J$17)*1000</f>
        <v>114.95045032868428</v>
      </c>
      <c r="K12" s="4023">
        <v>150</v>
      </c>
      <c r="L12" s="4047">
        <f>+('B-FCE'!L25/'Maj Production Summ'!L$17)*1000</f>
        <v>155.24561139837525</v>
      </c>
      <c r="M12" s="4026">
        <f>+('B-FCE'!M25/'Maj Production Summ'!M$17)*1000</f>
        <v>138.75115919629059</v>
      </c>
      <c r="N12" s="4026">
        <f>+('B-FCE'!N25/'Maj Production Summ'!N$17)*1000</f>
        <v>132.2458356094499</v>
      </c>
      <c r="O12" s="4023">
        <v>150</v>
      </c>
      <c r="P12" s="4047">
        <f>+('B-FCE'!P25/'Maj Production Summ'!P$17)*1000</f>
        <v>142.77673720259727</v>
      </c>
      <c r="Q12" s="4024">
        <f>+('B-FCE'!Q25/'Maj Production Summ'!Q$17)*1000</f>
        <v>141.93126385809313</v>
      </c>
      <c r="R12" s="4024">
        <f>+('B-FCE'!R25/'Maj Production Summ'!R$17)*1000</f>
        <v>135.46430616101284</v>
      </c>
      <c r="S12" s="4023">
        <v>150</v>
      </c>
      <c r="T12" s="4047">
        <f>+('B-FCE'!T25/'Maj Production Summ'!T$17)*1000</f>
        <v>141.84996849132682</v>
      </c>
      <c r="U12" s="4024">
        <f>+('B-FCE'!U25/'Maj Production Summ'!U$17)*1000</f>
        <v>143.7095937770095</v>
      </c>
      <c r="V12" s="4024">
        <f>+('B-FCE'!V25/'Maj Production Summ'!V$17)*1000</f>
        <v>136.89470764414938</v>
      </c>
      <c r="W12" s="4023">
        <v>121</v>
      </c>
      <c r="X12" s="4047">
        <f>+('B-FCE'!X25/'Maj Production Summ'!X$17)*1000</f>
        <v>128.55199052682025</v>
      </c>
      <c r="Y12" s="4026">
        <f>+('B-FCE'!Y25/'Maj Production Summ'!Y$17)*1000</f>
        <v>143.75384615384615</v>
      </c>
      <c r="Z12" s="4026">
        <f>+('B-FCE'!Z25/'Maj Production Summ'!Z$17)*1000</f>
        <v>137.94406463264903</v>
      </c>
      <c r="AA12" s="4736">
        <f>+('B-FCE'!AA25/'Maj Production Summ'!AA$17)*1000</f>
        <v>141.25828835774865</v>
      </c>
      <c r="AB12" s="4736">
        <f>+('B-FCE'!AB25/'Maj Production Summ'!AB$17)*1000</f>
        <v>135.41736586506963</v>
      </c>
      <c r="AC12" s="4023">
        <v>152</v>
      </c>
      <c r="AD12" s="4047">
        <f>+('B-FCE'!AD25/'Maj Production Summ'!AD$17)*1000</f>
        <v>125.46642057802912</v>
      </c>
      <c r="AE12" s="4024">
        <f>+('B-FCE'!AE25/'Maj Production Summ'!AE$17)*1000</f>
        <v>143.05202312138729</v>
      </c>
      <c r="AF12" s="4024">
        <f>+('B-FCE'!AF25/'Maj Production Summ'!AF$17)*1000</f>
        <v>134.13657614842174</v>
      </c>
      <c r="AG12" s="4023">
        <v>152</v>
      </c>
      <c r="AH12" s="4047">
        <f>+('B-FCE'!AH25/'Maj Production Summ'!AH$17)*1000</f>
        <v>136.65060811425192</v>
      </c>
      <c r="AI12" s="4024">
        <f>+('B-FCE'!AI25/'Maj Production Summ'!AI$17)*1000</f>
        <v>144.29850746268659</v>
      </c>
      <c r="AJ12" s="4024">
        <f>+('B-FCE'!AJ25/'Maj Production Summ'!AJ$17)*1000</f>
        <v>134.4736345977108</v>
      </c>
      <c r="AK12" s="4023">
        <v>152</v>
      </c>
      <c r="AL12" s="4047">
        <f>+('B-FCE'!AL25/'Maj Production Summ'!AL$17)*1000</f>
        <v>130.86443009846519</v>
      </c>
      <c r="AM12" s="4026">
        <f>+('B-FCE'!AM25/'Maj Production Summ'!AM$17)*1000</f>
        <v>152</v>
      </c>
      <c r="AN12" s="4026">
        <f>+('B-FCE'!AN25/'Maj Production Summ'!AN$17)*1000</f>
        <v>131.31828243123769</v>
      </c>
      <c r="AO12" s="4024">
        <f>+('B-FCE'!AO25/'Maj Production Summ'!AO$17)*1000</f>
        <v>145.26631222812952</v>
      </c>
      <c r="AP12" s="4728">
        <f>+('B-FCE'!AP25/'Maj Production Summ'!AP$17)*1000</f>
        <v>134.03556871144514</v>
      </c>
      <c r="AQ12" s="4023">
        <v>152</v>
      </c>
      <c r="AR12" s="4047">
        <f>+('B-FCE'!AR25/'Maj Production Summ'!AR$17)*1000</f>
        <v>129.82365728764466</v>
      </c>
      <c r="AS12" s="4024">
        <f>+('B-FCE'!AS25/'Maj Production Summ'!AS$17)*1000</f>
        <v>146.0282897556794</v>
      </c>
      <c r="AT12" s="4748">
        <f>+('B-FCE'!AT25/'Maj Production Summ'!AT$17)*1000</f>
        <v>133.59055714580865</v>
      </c>
      <c r="AU12" s="4023">
        <v>152</v>
      </c>
      <c r="AV12" s="4047">
        <f>+('B-FCE'!AV25/'Maj Production Summ'!AV$17)*1000</f>
        <v>89.192169107715984</v>
      </c>
      <c r="AW12" s="4024">
        <f>+('B-FCE'!AW25/'Maj Production Summ'!AW$17)*1000</f>
        <v>146.57687816270922</v>
      </c>
      <c r="AX12" s="4024">
        <f>+('B-FCE'!AX25/'Maj Production Summ'!AX$17)*1000</f>
        <v>130.11898362153039</v>
      </c>
      <c r="AY12" s="4023">
        <v>152</v>
      </c>
      <c r="AZ12" s="4047">
        <f>+('B-FCE'!AZ25/'Maj Production Summ'!AZ$17)*1000</f>
        <v>135.4212517722317</v>
      </c>
      <c r="BA12" s="4026">
        <f>+('B-FCE'!BA25/'Maj Production Summ'!BA$17)*1000</f>
        <v>152</v>
      </c>
      <c r="BB12" s="4026">
        <f>+('B-FCE'!BB25/'Maj Production Summ'!BB$17)*1000</f>
        <v>120.33673024487004</v>
      </c>
      <c r="BC12" s="4736">
        <f>+('B-FCE'!BC25/'Maj Production Summ'!BC$17)*1000</f>
        <v>152</v>
      </c>
      <c r="BD12" s="4736">
        <f>+('B-FCE'!BD25/'Maj Production Summ'!BD$17)*1000</f>
        <v>125.84870032731315</v>
      </c>
      <c r="BE12" s="4024">
        <f>+('B-FCE'!BE25/'Maj Production Summ'!BE$17)*1000</f>
        <v>147.08224496999648</v>
      </c>
      <c r="BF12" s="4024">
        <f>+('B-FCE'!BF25/'Maj Production Summ'!BF$17)*1000</f>
        <v>130.60182550128928</v>
      </c>
      <c r="BG12"/>
      <c r="BH12" s="5764">
        <v>149.6650847457627</v>
      </c>
      <c r="BI12" s="4735">
        <v>136.29497670946617</v>
      </c>
      <c r="BJ12" s="4735">
        <v>140.90981132075473</v>
      </c>
      <c r="BK12" s="4735">
        <v>134.06433821400003</v>
      </c>
      <c r="BL12" s="4735">
        <v>139.64750000000001</v>
      </c>
      <c r="BM12" s="5765">
        <v>125.94309352319971</v>
      </c>
      <c r="BN12" s="4708">
        <v>129.6457817164179</v>
      </c>
      <c r="BO12" s="4735">
        <v>122.58808331992087</v>
      </c>
      <c r="BP12" s="4711">
        <v>133.64291547787624</v>
      </c>
      <c r="BQ12" s="3441">
        <v>118.07599367903838</v>
      </c>
      <c r="BR12" s="2299">
        <v>128.5773179329438</v>
      </c>
      <c r="BS12" s="2300">
        <v>89.175352805191892</v>
      </c>
      <c r="BT12" s="1530">
        <v>139.85351851851851</v>
      </c>
      <c r="BU12" s="3441">
        <v>118.98027062075417</v>
      </c>
      <c r="BV12" s="3441">
        <v>123.03826485628637</v>
      </c>
    </row>
    <row r="13" spans="1:74" ht="18.600000000000001" thickBot="1" x14ac:dyDescent="0.35">
      <c r="A13" s="88"/>
      <c r="B13" s="4724" t="s">
        <v>237</v>
      </c>
      <c r="C13" s="4725" t="s">
        <v>360</v>
      </c>
      <c r="D13" s="4023">
        <f t="shared" ref="D13:R13" si="0">SUM(D10:D12)</f>
        <v>525</v>
      </c>
      <c r="E13" s="4023">
        <f t="shared" si="0"/>
        <v>525</v>
      </c>
      <c r="F13" s="4023">
        <f t="shared" si="0"/>
        <v>540.42284660498183</v>
      </c>
      <c r="G13" s="4023">
        <f t="shared" ref="G13:H13" si="1">SUM(G10:G12)</f>
        <v>525</v>
      </c>
      <c r="H13" s="4023">
        <f t="shared" si="1"/>
        <v>541.93368076986667</v>
      </c>
      <c r="I13" s="4024">
        <f t="shared" si="0"/>
        <v>525</v>
      </c>
      <c r="J13" s="4024">
        <f t="shared" si="0"/>
        <v>540.90363250855739</v>
      </c>
      <c r="K13" s="4023">
        <f t="shared" ref="K13:L13" si="2">SUM(K10:K12)</f>
        <v>535</v>
      </c>
      <c r="L13" s="4023">
        <f t="shared" si="2"/>
        <v>535.52861200375241</v>
      </c>
      <c r="M13" s="4026">
        <f t="shared" si="0"/>
        <v>528.89489953632153</v>
      </c>
      <c r="N13" s="4026">
        <f t="shared" si="0"/>
        <v>538.59658004729931</v>
      </c>
      <c r="O13" s="4023">
        <f t="shared" ref="O13:P13" si="3">SUM(O10:O12)</f>
        <v>535</v>
      </c>
      <c r="P13" s="4023">
        <f t="shared" si="3"/>
        <v>546.11572549351592</v>
      </c>
      <c r="Q13" s="4024">
        <f t="shared" si="0"/>
        <v>530.62084257206209</v>
      </c>
      <c r="R13" s="4024">
        <f t="shared" si="0"/>
        <v>540.89459299305827</v>
      </c>
      <c r="S13" s="4023">
        <f t="shared" ref="S13:T13" si="4">SUM(S10:S12)</f>
        <v>535</v>
      </c>
      <c r="T13" s="4023">
        <f t="shared" si="4"/>
        <v>545.04129622259177</v>
      </c>
      <c r="U13" s="4024">
        <f t="shared" ref="U13:X13" si="5">SUM(U10:U12)</f>
        <v>531.58599827139142</v>
      </c>
      <c r="V13" s="4024">
        <f t="shared" si="5"/>
        <v>541.82346303704639</v>
      </c>
      <c r="W13" s="4023">
        <f t="shared" si="5"/>
        <v>532</v>
      </c>
      <c r="X13" s="4023">
        <f t="shared" si="5"/>
        <v>555.67484198351485</v>
      </c>
      <c r="Y13" s="4026">
        <f t="shared" ref="Y13:Z13" si="6">SUM(Y10:Y12)</f>
        <v>534.35384615384612</v>
      </c>
      <c r="Z13" s="4026">
        <f t="shared" si="6"/>
        <v>548.80120411406619</v>
      </c>
      <c r="AA13" s="4736">
        <f t="shared" ref="AA13:AF13" si="7">SUM(AA10:AA12)</f>
        <v>531.63068619892056</v>
      </c>
      <c r="AB13" s="4736">
        <f t="shared" si="7"/>
        <v>544.27628752188696</v>
      </c>
      <c r="AC13" s="4023">
        <f t="shared" si="7"/>
        <v>535</v>
      </c>
      <c r="AD13" s="4023">
        <f t="shared" si="7"/>
        <v>562.7843202253033</v>
      </c>
      <c r="AE13" s="4024">
        <f t="shared" si="7"/>
        <v>532.19332048811816</v>
      </c>
      <c r="AF13" s="4024">
        <f t="shared" si="7"/>
        <v>546.65846301156535</v>
      </c>
      <c r="AG13" s="4023">
        <f t="shared" ref="AG13:AH13" si="8">SUM(AG10:AG12)</f>
        <v>535</v>
      </c>
      <c r="AH13" s="4023">
        <f t="shared" si="8"/>
        <v>540.69208783845227</v>
      </c>
      <c r="AI13" s="4024">
        <f t="shared" ref="AI13:AL13" si="9">SUM(AI10:AI12)</f>
        <v>532.58430071862904</v>
      </c>
      <c r="AJ13" s="4024">
        <f t="shared" si="9"/>
        <v>545.85854590985002</v>
      </c>
      <c r="AK13" s="4023">
        <f t="shared" si="9"/>
        <v>535</v>
      </c>
      <c r="AL13" s="4023">
        <f t="shared" si="9"/>
        <v>545.88370136865422</v>
      </c>
      <c r="AM13" s="4026">
        <f t="shared" ref="AM13:AT13" si="10">SUM(AM10:AM12)</f>
        <v>535</v>
      </c>
      <c r="AN13" s="4026">
        <f t="shared" si="10"/>
        <v>548.97909400314586</v>
      </c>
      <c r="AO13" s="4024">
        <f t="shared" si="10"/>
        <v>532.88786853552438</v>
      </c>
      <c r="AP13" s="4728">
        <f t="shared" si="10"/>
        <v>545.8615991445331</v>
      </c>
      <c r="AQ13" s="4023">
        <f t="shared" si="10"/>
        <v>535</v>
      </c>
      <c r="AR13" s="4023">
        <f t="shared" si="10"/>
        <v>547.04911744021069</v>
      </c>
      <c r="AS13" s="4024">
        <f t="shared" si="10"/>
        <v>533.12687526789546</v>
      </c>
      <c r="AT13" s="4728">
        <f t="shared" si="10"/>
        <v>545.98706697203659</v>
      </c>
      <c r="AU13" s="4023">
        <f t="shared" ref="AU13:AV13" si="11">SUM(AU10:AU12)</f>
        <v>535</v>
      </c>
      <c r="AV13" s="4023">
        <f t="shared" si="11"/>
        <v>548.84043269932704</v>
      </c>
      <c r="AW13" s="4024">
        <f t="shared" ref="AW13:AZ13" si="12">SUM(AW10:AW12)</f>
        <v>533.29894900739589</v>
      </c>
      <c r="AX13" s="4024">
        <f t="shared" si="12"/>
        <v>546.21017572331471</v>
      </c>
      <c r="AY13" s="4023">
        <f t="shared" si="12"/>
        <v>535</v>
      </c>
      <c r="AZ13" s="4023">
        <f t="shared" si="12"/>
        <v>535.44668059174569</v>
      </c>
      <c r="BA13" s="4026">
        <f t="shared" ref="BA13:BD13" si="13">SUM(BA10:BA12)</f>
        <v>535</v>
      </c>
      <c r="BB13" s="4026">
        <f t="shared" si="13"/>
        <v>543.34191552151287</v>
      </c>
      <c r="BC13" s="4736">
        <f t="shared" si="13"/>
        <v>535</v>
      </c>
      <c r="BD13" s="4736">
        <f t="shared" si="13"/>
        <v>546.17138430814987</v>
      </c>
      <c r="BE13" s="4024">
        <f t="shared" ref="BE13:BF13" si="14">SUM(BE10:BE12)</f>
        <v>533.45746558418637</v>
      </c>
      <c r="BF13" s="4024">
        <f t="shared" si="14"/>
        <v>545.2300166528205</v>
      </c>
      <c r="BG13"/>
      <c r="BH13" s="5764">
        <v>534.85762711864402</v>
      </c>
      <c r="BI13" s="4735">
        <v>543.13162997944096</v>
      </c>
      <c r="BJ13" s="4735">
        <v>539.87166037735847</v>
      </c>
      <c r="BK13" s="4735">
        <v>546.30728535470234</v>
      </c>
      <c r="BL13" s="4735">
        <v>552.27178571428567</v>
      </c>
      <c r="BM13" s="5765">
        <v>563.71627833361958</v>
      </c>
      <c r="BN13" s="4708">
        <v>549.57137462686569</v>
      </c>
      <c r="BO13" s="4735">
        <v>559.23852432966441</v>
      </c>
      <c r="BP13" s="4709">
        <v>535.27955472786107</v>
      </c>
      <c r="BQ13" s="3626">
        <v>551.83435280507103</v>
      </c>
      <c r="BR13" s="3447">
        <v>537.31348436848998</v>
      </c>
      <c r="BS13" s="3451">
        <v>554.04534981398115</v>
      </c>
      <c r="BT13" s="3449">
        <v>535.33249999999998</v>
      </c>
      <c r="BU13" s="3452">
        <v>545.56185503294591</v>
      </c>
      <c r="BV13" s="3452">
        <v>540.61175777649714</v>
      </c>
    </row>
    <row r="14" spans="1:74" ht="18.600000000000001" thickBot="1" x14ac:dyDescent="0.35">
      <c r="A14" s="88"/>
      <c r="B14" s="4724" t="s">
        <v>1746</v>
      </c>
      <c r="C14" s="4725" t="s">
        <v>367</v>
      </c>
      <c r="D14" s="4737">
        <v>2.4702702969758947</v>
      </c>
      <c r="E14" s="4737">
        <v>2.2528865108420164</v>
      </c>
      <c r="F14" s="4737">
        <v>2.2602393900469333</v>
      </c>
      <c r="G14" s="4737">
        <v>2.3936919177696425</v>
      </c>
      <c r="H14" s="4737">
        <v>1.8271182958050995</v>
      </c>
      <c r="I14" s="4738">
        <f>+('Maj Production Summ'!I17/3551)/('B-FCE'!E50+'B-FCE'!G50)</f>
        <v>2.3174223223505117</v>
      </c>
      <c r="J14" s="4748">
        <f>+('Maj Production Summ'!J17/3551)/('B-FCE'!F50+'B-FCE'!H50)</f>
        <v>2.1016899539850775</v>
      </c>
      <c r="K14" s="4737">
        <v>2.4471008652249489</v>
      </c>
      <c r="L14" s="4737">
        <v>2.4868497260238507</v>
      </c>
      <c r="M14" s="4739">
        <f>+('Maj Production Summ'!M17/3551)/('B-FCE'!E50+'B-FCE'!G50+'B-FCE'!K50)</f>
        <v>2.3662622930434813</v>
      </c>
      <c r="N14" s="4739">
        <f>+('Maj Production Summ'!N17/3551)/('B-FCE'!F50+'B-FCE'!H50+'B-FCE'!L50)</f>
        <v>2.2513521651965509</v>
      </c>
      <c r="O14" s="4737">
        <v>2.3936919177696425</v>
      </c>
      <c r="P14" s="4737">
        <v>2.4358635913554569</v>
      </c>
      <c r="Q14" s="4738">
        <f>+('Maj Production Summ'!Q17/3551)/('B-FCE'!M50+'B-FCE'!O50)</f>
        <v>2.3739528420321245</v>
      </c>
      <c r="R14" s="4738">
        <f>+('Maj Production Summ'!R17/3551)/('B-FCE'!N50+'B-FCE'!P50)</f>
        <v>2.3047065256361394</v>
      </c>
      <c r="S14" s="4737">
        <v>2.3936919177696425</v>
      </c>
      <c r="T14" s="4737">
        <v>2.3754677151130301</v>
      </c>
      <c r="U14" s="4738">
        <f>+('Maj Production Summ'!U17/3551)/('B-FCE'!Q50+'B-FCE'!S50)</f>
        <v>2.3782752673761065</v>
      </c>
      <c r="V14" s="4738">
        <f>+('Maj Production Summ'!V17/3551)/('B-FCE'!R50+'B-FCE'!T50)</f>
        <v>2.320188317704734</v>
      </c>
      <c r="W14" s="4737">
        <v>2.3168490916157101</v>
      </c>
      <c r="X14" s="4737">
        <v>2.3089599228862205</v>
      </c>
      <c r="Y14" s="4739">
        <f>+('Maj Production Summ'!Y17/3551)/('B-FCE'!P50+'B-FCE'!T50+'B-FCE'!X50)</f>
        <v>2.018205442123318</v>
      </c>
      <c r="Z14" s="4739">
        <f>+('Maj Production Summ'!Z17/3551)/('B-FCE'!P50+'B-FCE'!T50+'B-FCE'!X50)</f>
        <v>2.3743513256456312</v>
      </c>
      <c r="AA14" s="4740">
        <f>+('Maj Production Summ'!AA17/3551)/('B-FCE'!M50+'B-FCE'!Y50)</f>
        <v>2.3714884711682132</v>
      </c>
      <c r="AB14" s="4740">
        <f>+('Maj Production Summ'!AB17/3551)/('B-FCE'!N50+'B-FCE'!Z50)</f>
        <v>2.3181920253217072</v>
      </c>
      <c r="AC14" s="4737">
        <v>2.4406270534121841</v>
      </c>
      <c r="AD14" s="4737">
        <v>2.1223595645794298</v>
      </c>
      <c r="AE14" s="4738">
        <f>+('Maj Production Summ'!AE17/3551)/('B-FCE'!AA50+'B-FCE'!AC50)</f>
        <v>2.3827600328236067</v>
      </c>
      <c r="AF14" s="4738">
        <f>+('Maj Production Summ'!AF17/3551)/('B-FCE'!AB50+'B-FCE'!AD50)</f>
        <v>2.2909837371806643</v>
      </c>
      <c r="AG14" s="4737">
        <v>2.4471008652249489</v>
      </c>
      <c r="AH14" s="4737">
        <v>2.3620869272753087</v>
      </c>
      <c r="AI14" s="4738">
        <f>+('Maj Production Summ'!AI17/3551)/('B-FCE'!AE50+'B-FCE'!AG50)</f>
        <v>2.3915193586075274</v>
      </c>
      <c r="AJ14" s="4738">
        <f>+('Maj Production Summ'!AJ17/3551)/('B-FCE'!AF50+'B-FCE'!AH50)</f>
        <v>2.3002671123769578</v>
      </c>
      <c r="AK14" s="4737">
        <v>2.4406270534121841</v>
      </c>
      <c r="AL14" s="4737">
        <v>2.307723312740801</v>
      </c>
      <c r="AM14" s="4739">
        <f>+('Maj Production Summ'!AM17/3551)/('B-FCE'!AC50+'B-FCE'!AG50+'B-FCE'!AK50)</f>
        <v>2.4427364977107255</v>
      </c>
      <c r="AN14" s="4739">
        <f>+('Maj Production Summ'!AN17/3551)/('B-FCE'!AD50+'B-FCE'!AH50+'B-FCE'!AL50)</f>
        <v>2.2684138231452518</v>
      </c>
      <c r="AO14" s="4738">
        <f>+('Maj Production Summ'!AO17/3551)/('B-FCE'!AK50+'B-FCE'!AI50)</f>
        <v>2.3975816161762218</v>
      </c>
      <c r="AP14" s="4728">
        <f>+('Maj Production Summ'!AP17/3551)/('B-FCE'!AL50+'B-FCE'!AJ50)</f>
        <v>2.3011695358700011</v>
      </c>
      <c r="AQ14" s="4737">
        <v>2.478175161926218</v>
      </c>
      <c r="AR14" s="4737">
        <v>2.2672002493376202</v>
      </c>
      <c r="AS14" s="4738">
        <f>+('Maj Production Summ'!AS17/3551)/('B-FCE'!AO50+'B-FCE'!AQ50)</f>
        <v>2.4064375026088309</v>
      </c>
      <c r="AT14" s="4738">
        <f>+('Maj Production Summ'!AT17/3551)/('B-FCE'!AP50+'B-FCE'!AR50)</f>
        <v>2.2975324774855745</v>
      </c>
      <c r="AU14" s="4737">
        <v>2.4614871136977587</v>
      </c>
      <c r="AV14" s="4737">
        <v>2.0074321710463376</v>
      </c>
      <c r="AW14" s="4738">
        <f>+('Maj Production Summ'!AW17/3551)/('B-FCE'!AS50+'B-FCE'!AU50)</f>
        <v>2.411391689058199</v>
      </c>
      <c r="AX14" s="4738">
        <f>+('Maj Production Summ'!AX17/3551)/('B-FCE'!AT50+'B-FCE'!AV50)</f>
        <v>2.2718611540514697</v>
      </c>
      <c r="AY14" s="4737">
        <v>2.478175161926218</v>
      </c>
      <c r="AZ14" s="4737">
        <v>2.3665177008969525</v>
      </c>
      <c r="BA14" s="4739">
        <f>+('Maj Production Summ'!BA17/3551)/('B-FCE'!AQ50+'B-FCE'!AU50+'B-FCE'!AY50)</f>
        <v>2.4729961124760065</v>
      </c>
      <c r="BB14" s="4739">
        <f>+('Maj Production Summ'!BB17/3551)/('B-FCE'!AR50+'B-FCE'!AV50+'B-FCE'!AZ50)</f>
        <v>2.2196034453298354</v>
      </c>
      <c r="BC14" s="4740">
        <f>+('Maj Production Summ'!BC17/3551)/('B-FCE'!AM50+'B-FCE'!BA50)</f>
        <v>2.4576943754640177</v>
      </c>
      <c r="BD14" s="4740">
        <f>+('Maj Production Summ'!BD17/3551)/('B-FCE'!AN50+'B-FCE'!BB50)</f>
        <v>2.2438374054957788</v>
      </c>
      <c r="BE14" s="4738">
        <f>+('Maj Production Summ'!BE17/3551)/('B-FCE'!AW50+'B-FCE'!AY50)</f>
        <v>2.4174626035584201</v>
      </c>
      <c r="BF14" s="4738">
        <f>+('Maj Production Summ'!BF17/3551)/('B-FCE'!AX50+'B-FCE'!AZ50)</f>
        <v>2.2801663652219371</v>
      </c>
      <c r="BG14"/>
      <c r="BH14" s="5790">
        <v>2.4361020820953088</v>
      </c>
      <c r="BI14" s="4742">
        <v>2.3236344386382966</v>
      </c>
      <c r="BJ14" s="4742">
        <v>2.3140113386555594</v>
      </c>
      <c r="BK14" s="4742">
        <v>2.2734567413998459</v>
      </c>
      <c r="BL14" s="4742">
        <v>2.2723639158348869</v>
      </c>
      <c r="BM14" s="5791">
        <v>2.1810141580001829</v>
      </c>
      <c r="BN14" s="4716">
        <v>2.2132462789796934</v>
      </c>
      <c r="BO14" s="4742">
        <v>2.086254508453981</v>
      </c>
      <c r="BP14" s="4712">
        <v>2.2066158005423167</v>
      </c>
      <c r="BQ14" s="3627">
        <v>2.0192262714625757</v>
      </c>
      <c r="BR14" s="2303">
        <v>2.0565754006373806</v>
      </c>
      <c r="BS14" s="3453">
        <v>1.7450412546954082</v>
      </c>
      <c r="BT14" s="1099">
        <v>2.1585498861864605</v>
      </c>
      <c r="BU14" s="3454">
        <v>2.0057992136444116</v>
      </c>
      <c r="BV14" s="3454">
        <v>1.7419241961288634</v>
      </c>
    </row>
    <row r="15" spans="1:74" ht="18" x14ac:dyDescent="0.3">
      <c r="A15" s="88"/>
      <c r="B15" s="4724" t="s">
        <v>359</v>
      </c>
      <c r="C15" s="4725" t="s">
        <v>360</v>
      </c>
      <c r="D15" s="4023">
        <v>859.24201903906965</v>
      </c>
      <c r="E15" s="4023">
        <v>871.21390493777415</v>
      </c>
      <c r="F15" s="4047">
        <f>+'Coal to Hot Metal'!F20</f>
        <v>881.94094102597955</v>
      </c>
      <c r="G15" s="4023">
        <v>947.9223925902055</v>
      </c>
      <c r="H15" s="4047">
        <f>+'Coal to Hot Metal'!H20</f>
        <v>1000.1442543781549</v>
      </c>
      <c r="I15" s="4024">
        <f>+'Coal to Hot Metal'!I20</f>
        <v>907.53182051840793</v>
      </c>
      <c r="J15" s="4024">
        <f>+'Coal to Hot Metal'!J20</f>
        <v>919.55624529729766</v>
      </c>
      <c r="K15" s="4023">
        <v>866.91251568708628</v>
      </c>
      <c r="L15" s="4047" t="e">
        <f>+'Coal to Hot Metal'!L20</f>
        <v>#REF!</v>
      </c>
      <c r="M15" s="4026">
        <f>+'Coal to Hot Metal'!M20</f>
        <v>893.57387182882724</v>
      </c>
      <c r="N15" s="4026" t="e">
        <f>+'Coal to Hot Metal'!N20</f>
        <v>#REF!</v>
      </c>
      <c r="O15" s="4023">
        <v>866.91251568708628</v>
      </c>
      <c r="P15" s="4047" t="e">
        <f>+'Coal to Hot Metal'!P20</f>
        <v>#REF!</v>
      </c>
      <c r="Q15" s="4024">
        <f>+((M15*'Maj Production Summ'!M$17)+('Maj Production Summ'!O$17*O15))/('Maj Production Summ'!Q$17)</f>
        <v>886.03657048055231</v>
      </c>
      <c r="R15" s="4024" t="e">
        <f>+'Coal to Hot Metal'!R20</f>
        <v>#REF!</v>
      </c>
      <c r="S15" s="4023">
        <v>866.91251568708628</v>
      </c>
      <c r="T15" s="4047" t="e">
        <f>+'Coal to Hot Metal'!T20</f>
        <v>#REF!</v>
      </c>
      <c r="U15" s="4024">
        <f>+((Q15*'Maj Production Summ'!Q$17)+('Maj Production Summ'!S$17*S15))/('Maj Production Summ'!U$17)</f>
        <v>881.82167508527675</v>
      </c>
      <c r="V15" s="4024" t="e">
        <f>+'Coal to Hot Metal'!V20</f>
        <v>#REF!</v>
      </c>
      <c r="W15" s="4023">
        <v>973.86831544015627</v>
      </c>
      <c r="X15" s="4047" t="e">
        <f>+'Coal to Hot Metal'!X20</f>
        <v>#REF!</v>
      </c>
      <c r="Y15" s="4026">
        <f>+'Coal to Hot Metal'!Y20</f>
        <v>894.94289353723502</v>
      </c>
      <c r="Z15" s="4026" t="e">
        <f>+'Coal to Hot Metal'!Z20</f>
        <v>#REF!</v>
      </c>
      <c r="AA15" s="4736">
        <f>+((M15*'Maj Production Summ'!M$17)+('Maj Production Summ'!Y$17*Y15))/('Maj Production Summ'!AA$17)</f>
        <v>894.25996597721985</v>
      </c>
      <c r="AB15" s="4736" t="e">
        <f>+'Coal to Hot Metal'!AB20</f>
        <v>#REF!</v>
      </c>
      <c r="AC15" s="4023">
        <v>865.57463192982163</v>
      </c>
      <c r="AD15" s="4047" t="e">
        <f>+'Coal to Hot Metal'!AD20</f>
        <v>#REF!</v>
      </c>
      <c r="AE15" s="4024">
        <f>+((AA15*'Maj Production Summ'!AA$17)+('Maj Production Summ'!AC$17*AC15))/('Maj Production Summ'!AE$17)</f>
        <v>889.46986523712758</v>
      </c>
      <c r="AF15" s="4024" t="e">
        <f>+'Coal to Hot Metal'!AF20</f>
        <v>#REF!</v>
      </c>
      <c r="AG15" s="4023">
        <v>865.57463192982152</v>
      </c>
      <c r="AH15" s="4047" t="e">
        <f>+'Coal to Hot Metal'!AH20</f>
        <v>#REF!</v>
      </c>
      <c r="AI15" s="4024">
        <f>+((AE15*'Maj Production Summ'!AE$17)+('Maj Production Summ'!AG$17*AG15))/('Maj Production Summ'!AI$17)</f>
        <v>886.14117602018939</v>
      </c>
      <c r="AJ15" s="4024" t="e">
        <f>+'Coal to Hot Metal'!AJ20</f>
        <v>#REF!</v>
      </c>
      <c r="AK15" s="4023">
        <v>865.57463192982163</v>
      </c>
      <c r="AL15" s="4047" t="e">
        <f>+'Coal to Hot Metal'!AL20</f>
        <v>#REF!</v>
      </c>
      <c r="AM15" s="4026">
        <f>+'Coal to Hot Metal'!AM20</f>
        <v>870.33179535973113</v>
      </c>
      <c r="AN15" s="4026" t="e">
        <f>+'Coal to Hot Metal'!AN20</f>
        <v>#REF!</v>
      </c>
      <c r="AO15" s="4024">
        <f>+'Coal to Hot Metal'!AO20</f>
        <v>885.33171671830166</v>
      </c>
      <c r="AP15" s="4728" t="e">
        <f>+'Coal to Hot Metal'!AP20</f>
        <v>#REF!</v>
      </c>
      <c r="AQ15" s="4023">
        <v>865.57463192982141</v>
      </c>
      <c r="AR15" s="4047" t="e">
        <f>+'Coal to Hot Metal'!AR20</f>
        <v>#REF!</v>
      </c>
      <c r="AS15" s="4024">
        <f>+((AO15*'Maj Production Summ'!AO$17)+('Maj Production Summ'!AQ$17*AQ15))/('Maj Production Summ'!AS$17)</f>
        <v>883.09602431188978</v>
      </c>
      <c r="AT15" s="4024" t="e">
        <f>+'Coal to Hot Metal'!AT20</f>
        <v>#REF!</v>
      </c>
      <c r="AU15" s="4023">
        <v>865.57463192982152</v>
      </c>
      <c r="AV15" s="4047" t="e">
        <f>+'Coal to Hot Metal'!AV20</f>
        <v>#REF!</v>
      </c>
      <c r="AW15" s="4024">
        <f>+((AS15*'Maj Production Summ'!AS$17)+('Maj Production Summ'!AU$17*AU15))/('Maj Production Summ'!AW$17)</f>
        <v>881.4864296827858</v>
      </c>
      <c r="AX15" s="4024" t="e">
        <f>+'Coal to Hot Metal'!AX20</f>
        <v>#REF!</v>
      </c>
      <c r="AY15" s="4023">
        <v>865.57463192982141</v>
      </c>
      <c r="AZ15" s="4047" t="e">
        <f>+'Coal to Hot Metal'!AZ20</f>
        <v>#REF!</v>
      </c>
      <c r="BA15" s="4026">
        <f>+'Coal to Hot Metal'!BA20</f>
        <v>870.33179535973125</v>
      </c>
      <c r="BB15" s="4026" t="e">
        <f>+'Coal to Hot Metal'!BB20</f>
        <v>#REF!</v>
      </c>
      <c r="BC15" s="4736">
        <f>+'Coal to Hot Metal'!BC20</f>
        <v>870.33179535973113</v>
      </c>
      <c r="BD15" s="4736" t="e">
        <f>+'Coal to Hot Metal'!BD20</f>
        <v>#REF!</v>
      </c>
      <c r="BE15" s="4024">
        <f>+'Coal to Hot Metal'!BE20</f>
        <v>881.28655614013428</v>
      </c>
      <c r="BF15" s="4024" t="e">
        <f>+'Coal to Hot Metal'!BF20</f>
        <v>#REF!</v>
      </c>
      <c r="BG15"/>
      <c r="BH15" s="5764">
        <v>871.29177755633066</v>
      </c>
      <c r="BI15" s="4735">
        <v>896.49805735238124</v>
      </c>
      <c r="BJ15" s="4735">
        <v>879.8743565218308</v>
      </c>
      <c r="BK15" s="4735">
        <v>887.52975181303168</v>
      </c>
      <c r="BL15" s="4735">
        <v>900.75553765627933</v>
      </c>
      <c r="BM15" s="5765">
        <v>932.0378517640504</v>
      </c>
      <c r="BN15" s="4708">
        <v>910.43802076736529</v>
      </c>
      <c r="BO15" s="4735">
        <v>930.8611107215944</v>
      </c>
      <c r="BP15" s="4710">
        <v>908.37669886703623</v>
      </c>
      <c r="BQ15" s="3442">
        <v>935.21205199417307</v>
      </c>
      <c r="BR15" s="2297">
        <v>907.5085368428455</v>
      </c>
      <c r="BS15" s="2298">
        <v>991.44637124749988</v>
      </c>
      <c r="BT15" s="1088">
        <v>886.42711546488033</v>
      </c>
      <c r="BU15" s="3442">
        <v>931.68362998699263</v>
      </c>
      <c r="BV15" s="3442">
        <v>905.60969999999998</v>
      </c>
    </row>
    <row r="16" spans="1:74" ht="18" x14ac:dyDescent="0.3">
      <c r="A16" s="88"/>
      <c r="B16" s="4724" t="s">
        <v>361</v>
      </c>
      <c r="C16" s="4725" t="s">
        <v>268</v>
      </c>
      <c r="D16" s="4023">
        <v>1062</v>
      </c>
      <c r="E16" s="4023">
        <f>+$D$16</f>
        <v>1062</v>
      </c>
      <c r="F16" s="4023">
        <f>+(F56/'Maj Production Summ'!F18)*1000</f>
        <v>1055.9173214589698</v>
      </c>
      <c r="G16" s="4023">
        <f>+$D$16</f>
        <v>1062</v>
      </c>
      <c r="H16" s="4023">
        <f>+(H56/'Maj Production Summ'!H18)*1000</f>
        <v>1046.1685772909627</v>
      </c>
      <c r="I16" s="4024">
        <f>+$D$16</f>
        <v>1062</v>
      </c>
      <c r="J16" s="4024">
        <f>+(J56/'Maj Production Summ'!J18)*1000</f>
        <v>1052.9439859022937</v>
      </c>
      <c r="K16" s="4023">
        <f>+$D$16</f>
        <v>1062</v>
      </c>
      <c r="L16" s="4023">
        <f>+(L56/'Maj Production Summ'!L18)*1000</f>
        <v>1061.9196518424501</v>
      </c>
      <c r="M16" s="4026">
        <f>+$D$16</f>
        <v>1062</v>
      </c>
      <c r="N16" s="4026">
        <f>+(N56/'Maj Production Summ'!N18)*1000</f>
        <v>1056.8139788183623</v>
      </c>
      <c r="O16" s="4023">
        <f>+$D$16</f>
        <v>1062</v>
      </c>
      <c r="P16" s="4023">
        <f>+(P56/'Maj Production Summ'!P18)*1000</f>
        <v>1051.7068973673629</v>
      </c>
      <c r="Q16" s="4024">
        <f>+$D$16</f>
        <v>1062</v>
      </c>
      <c r="R16" s="4024">
        <f>+(R56/'Maj Production Summ'!R18)*1000</f>
        <v>1055.2308560898057</v>
      </c>
      <c r="S16" s="4023">
        <f>+$D$16</f>
        <v>1062</v>
      </c>
      <c r="T16" s="4023">
        <f>+(T56/'Maj Production Summ'!T18)*1000</f>
        <v>1060.1658095630878</v>
      </c>
      <c r="U16" s="4024">
        <f>+$D$16</f>
        <v>1062</v>
      </c>
      <c r="V16" s="4024">
        <f>+(V56/'Maj Production Summ'!V18)*1000</f>
        <v>1056.341403358575</v>
      </c>
      <c r="W16" s="4023">
        <f>+$D$16</f>
        <v>1062</v>
      </c>
      <c r="X16" s="4023">
        <f>+(X56/'Maj Production Summ'!X18)*1000</f>
        <v>1063.8152587426769</v>
      </c>
      <c r="Y16" s="4026">
        <f>+$D$16</f>
        <v>1062</v>
      </c>
      <c r="Z16" s="4026">
        <f>+(Z56/'Maj Production Summ'!Z18)*1000</f>
        <v>1058.3307154265726</v>
      </c>
      <c r="AA16" s="4736">
        <f>+$D$16</f>
        <v>1062</v>
      </c>
      <c r="AB16" s="4736">
        <f>+(AB56/'Maj Production Summ'!AB18)*1000</f>
        <v>1057.6630902943707</v>
      </c>
      <c r="AC16" s="4023">
        <f>+$D$16</f>
        <v>1062</v>
      </c>
      <c r="AD16" s="4023">
        <f>+(AD56/'Maj Production Summ'!AD18)*1000</f>
        <v>1064.5745280439282</v>
      </c>
      <c r="AE16" s="4024">
        <f>+$D$16</f>
        <v>1062</v>
      </c>
      <c r="AF16" s="4024">
        <f>+(AF56/'Maj Production Summ'!AF18)*1000</f>
        <v>1058.5102587464057</v>
      </c>
      <c r="AG16" s="4023">
        <f>+$D$16</f>
        <v>1062</v>
      </c>
      <c r="AH16" s="4023">
        <f>+(AH56/'Maj Production Summ'!AH18)*1000</f>
        <v>1059.8754259222144</v>
      </c>
      <c r="AI16" s="4024">
        <f>+$D$16</f>
        <v>1062</v>
      </c>
      <c r="AJ16" s="4024">
        <f>+(AJ56/'Maj Production Summ'!AJ18)*1000</f>
        <v>1058.6954868948621</v>
      </c>
      <c r="AK16" s="4023">
        <f>+$D$16</f>
        <v>1062</v>
      </c>
      <c r="AL16" s="4023">
        <f>+(AL56/'Maj Production Summ'!AL18)*1000</f>
        <v>1068.1895334200926</v>
      </c>
      <c r="AM16" s="4026">
        <f>+$D$16</f>
        <v>1062</v>
      </c>
      <c r="AN16" s="4026">
        <f>+(AN56/'Maj Production Summ'!AN18)*1000</f>
        <v>1064.2149663799164</v>
      </c>
      <c r="AO16" s="4024">
        <f>+$D$16</f>
        <v>1062</v>
      </c>
      <c r="AP16" s="4728">
        <f>+(AP56/'Maj Production Summ'!AP18)*1000</f>
        <v>1059.8508649996184</v>
      </c>
      <c r="AQ16" s="4023">
        <f>+$D$16</f>
        <v>1062</v>
      </c>
      <c r="AR16" s="4023">
        <f>+(AR56/'Maj Production Summ'!AR18)*1000</f>
        <v>1062.1673163865344</v>
      </c>
      <c r="AS16" s="4024">
        <f>+$D$16</f>
        <v>1062</v>
      </c>
      <c r="AT16" s="4024">
        <f>+(AT56/'Maj Production Summ'!AT18)*1000</f>
        <v>1060.0961239359929</v>
      </c>
      <c r="AU16" s="4023">
        <f>+$D$16</f>
        <v>1062</v>
      </c>
      <c r="AV16" s="4023">
        <f>+(AV56/'Maj Production Summ'!AV18)*1000</f>
        <v>1052.23913066978</v>
      </c>
      <c r="AW16" s="4024">
        <f>+$D$16</f>
        <v>1062</v>
      </c>
      <c r="AX16" s="4024">
        <f>+(AX56/'Maj Production Summ'!AX18)*1000</f>
        <v>1059.4746060330874</v>
      </c>
      <c r="AY16" s="4023">
        <f>+$D$16</f>
        <v>1062</v>
      </c>
      <c r="AZ16" s="4023">
        <f>+(AZ56/'Maj Production Summ'!AZ18)*1000</f>
        <v>1038.4428162825402</v>
      </c>
      <c r="BA16" s="4026">
        <f>+$D$16</f>
        <v>1062</v>
      </c>
      <c r="BB16" s="4026">
        <f>+(BB56/'Maj Production Summ'!BB18)*1000</f>
        <v>1050.6127742040003</v>
      </c>
      <c r="BC16" s="4736">
        <f>+$D$16</f>
        <v>1062</v>
      </c>
      <c r="BD16" s="4736">
        <f>+(BD56/'Maj Production Summ'!BD18)*1000</f>
        <v>1057.3549740205385</v>
      </c>
      <c r="BE16" s="4024">
        <f>+$D$16</f>
        <v>1062</v>
      </c>
      <c r="BF16" s="4024">
        <f>+(BF56/'Maj Production Summ'!BF18)*1000</f>
        <v>1057.5081604035747</v>
      </c>
      <c r="BG16"/>
      <c r="BH16" s="5764">
        <v>1059</v>
      </c>
      <c r="BI16" s="4735">
        <v>1059.1267654673456</v>
      </c>
      <c r="BJ16" s="4735">
        <v>1060</v>
      </c>
      <c r="BK16" s="4735">
        <v>1059.5459918693748</v>
      </c>
      <c r="BL16" s="4735">
        <v>1060</v>
      </c>
      <c r="BM16" s="5765">
        <v>1066.0113803295867</v>
      </c>
      <c r="BN16" s="4708">
        <v>1061.9999999999998</v>
      </c>
      <c r="BO16" s="4735">
        <v>1062.9741019163143</v>
      </c>
      <c r="BP16" s="4708">
        <v>1064.9999163858361</v>
      </c>
      <c r="BQ16" s="1089">
        <v>1062.0576596902831</v>
      </c>
      <c r="BR16" s="2293">
        <v>1077.0434194075694</v>
      </c>
      <c r="BS16" s="2304">
        <v>1071.1760588881978</v>
      </c>
      <c r="BT16" s="999">
        <v>1065</v>
      </c>
      <c r="BU16" s="1089">
        <v>1093.6626453647993</v>
      </c>
      <c r="BV16" s="1089">
        <v>1078.3300007201833</v>
      </c>
    </row>
    <row r="17" spans="1:74" ht="18.600000000000001" thickBot="1" x14ac:dyDescent="0.35">
      <c r="A17" s="88"/>
      <c r="B17" s="4724" t="s">
        <v>1747</v>
      </c>
      <c r="C17" s="5245" t="s">
        <v>268</v>
      </c>
      <c r="D17" s="4023">
        <v>34</v>
      </c>
      <c r="E17" s="4023">
        <f>+$D$17</f>
        <v>34</v>
      </c>
      <c r="F17" s="4023">
        <f>+(F57/'Maj Production Summ'!F18)*1000</f>
        <v>40.079112648168227</v>
      </c>
      <c r="G17" s="4023">
        <f>+$D$17</f>
        <v>34</v>
      </c>
      <c r="H17" s="4023">
        <f>+(H57/'Maj Production Summ'!H18)*1000</f>
        <v>49.211420871571342</v>
      </c>
      <c r="I17" s="4024">
        <f>+$D$17</f>
        <v>34</v>
      </c>
      <c r="J17" s="4024">
        <f>+(J57/'Maj Production Summ'!J18)*1000</f>
        <v>42.864437228156802</v>
      </c>
      <c r="K17" s="4023">
        <f>+$D$17</f>
        <v>34</v>
      </c>
      <c r="L17" s="4023">
        <f>+(L57/'Maj Production Summ'!L18)*1000</f>
        <v>34.520831536271892</v>
      </c>
      <c r="M17" s="4026">
        <f>+$D$17</f>
        <v>34</v>
      </c>
      <c r="N17" s="4026">
        <f>+(N57/'Maj Production Summ'!N18)*1000</f>
        <v>39.266966562765653</v>
      </c>
      <c r="O17" s="4023">
        <f>+$D$17</f>
        <v>34</v>
      </c>
      <c r="P17" s="4023">
        <f>+(P57/'Maj Production Summ'!P18)*1000</f>
        <v>44.526180507919989</v>
      </c>
      <c r="Q17" s="4024">
        <f>+$D$17</f>
        <v>34</v>
      </c>
      <c r="R17" s="4024">
        <f>+(R57/'Maj Production Summ'!R18)*1000</f>
        <v>40.897248204208232</v>
      </c>
      <c r="S17" s="4023">
        <f>+$D$17</f>
        <v>34</v>
      </c>
      <c r="T17" s="4023">
        <f>+(T57/'Maj Production Summ'!T18)*1000</f>
        <v>36.183939197549044</v>
      </c>
      <c r="U17" s="4024">
        <f>+$D$17</f>
        <v>34</v>
      </c>
      <c r="V17" s="4024">
        <f>+(V57/'Maj Production Summ'!V18)*1000</f>
        <v>39.836579147741695</v>
      </c>
      <c r="W17" s="4023">
        <f>+$D$17</f>
        <v>34</v>
      </c>
      <c r="X17" s="4023">
        <f>+(X57/'Maj Production Summ'!X18)*1000</f>
        <v>34.040564785957052</v>
      </c>
      <c r="Y17" s="4026">
        <f>+$D$17</f>
        <v>34</v>
      </c>
      <c r="Z17" s="4026">
        <f>+(Z57/'Maj Production Summ'!Z18)*1000</f>
        <v>38.453569056342083</v>
      </c>
      <c r="AA17" s="4736">
        <f>+$D$17</f>
        <v>34</v>
      </c>
      <c r="AB17" s="4736">
        <f>+(AB57/'Maj Production Summ'!AB18)*1000</f>
        <v>38.811603941779161</v>
      </c>
      <c r="AC17" s="4023">
        <f>+$D$17</f>
        <v>34</v>
      </c>
      <c r="AD17" s="4023">
        <f>+(AD57/'Maj Production Summ'!AD18)*1000</f>
        <v>30.862550990228854</v>
      </c>
      <c r="AE17" s="4024">
        <f>+$D$17</f>
        <v>34</v>
      </c>
      <c r="AF17" s="4024">
        <f>+(AF57/'Maj Production Summ'!AF18)*1000</f>
        <v>37.837249961011558</v>
      </c>
      <c r="AG17" s="4023">
        <f>+$D$17</f>
        <v>34</v>
      </c>
      <c r="AH17" s="4023">
        <f>+(AH57/'Maj Production Summ'!AH18)*1000</f>
        <v>36.4868280014989</v>
      </c>
      <c r="AI17" s="4024">
        <f>+$D$17</f>
        <v>34</v>
      </c>
      <c r="AJ17" s="4024">
        <f>+(AJ57/'Maj Production Summ'!AJ18)*1000</f>
        <v>37.654022467977626</v>
      </c>
      <c r="AK17" s="4023">
        <f>+$D$17</f>
        <v>34</v>
      </c>
      <c r="AL17" s="4023">
        <f>+(AL57/'Maj Production Summ'!AL18)*1000</f>
        <v>27.934205192754888</v>
      </c>
      <c r="AM17" s="4026">
        <f>+$D$17</f>
        <v>34</v>
      </c>
      <c r="AN17" s="4026">
        <f>+(AN57/'Maj Production Summ'!AN18)*1000</f>
        <v>31.802546542511827</v>
      </c>
      <c r="AO17" s="4024">
        <f>+$D$17</f>
        <v>34</v>
      </c>
      <c r="AP17" s="4728">
        <f>+(AP57/'Maj Production Summ'!AP18)*1000</f>
        <v>36.471169189117056</v>
      </c>
      <c r="AQ17" s="4023">
        <f>+$D$17</f>
        <v>34</v>
      </c>
      <c r="AR17" s="4023">
        <f>+(AR57/'Maj Production Summ'!AR18)*1000</f>
        <v>33.23306160572163</v>
      </c>
      <c r="AS17" s="4024">
        <f>+$D$17</f>
        <v>34</v>
      </c>
      <c r="AT17" s="4024">
        <f>+(AT57/'Maj Production Summ'!AT18)*1000</f>
        <v>36.128328054502418</v>
      </c>
      <c r="AU17" s="4023">
        <f>+$D$17</f>
        <v>34</v>
      </c>
      <c r="AV17" s="4023">
        <f>+(AV57/'Maj Production Summ'!AV18)*1000</f>
        <v>43.482725818307607</v>
      </c>
      <c r="AW17" s="4024">
        <f>+$D$17</f>
        <v>34</v>
      </c>
      <c r="AX17" s="4024">
        <f>+(AX57/'Maj Production Summ'!AX18)*1000</f>
        <v>36.710088751046428</v>
      </c>
      <c r="AY17" s="4023">
        <f>+$D$17</f>
        <v>34</v>
      </c>
      <c r="AZ17" s="4023">
        <f>+(AZ57/'Maj Production Summ'!AZ18)*1000</f>
        <v>54.990465926048749</v>
      </c>
      <c r="BA17" s="4026">
        <f>+(BA57/'Maj Production Summ'!BA18)*1000</f>
        <v>34</v>
      </c>
      <c r="BB17" s="4026">
        <f>+(BB57/'Maj Production Summ'!BB18)*1000</f>
        <v>44.153243986348834</v>
      </c>
      <c r="BC17" s="4736">
        <f>+(BC57/'Maj Production Summ'!BC18)*1000</f>
        <v>34</v>
      </c>
      <c r="BD17" s="4736">
        <f>+(BD57/'Maj Production Summ'!BD18)*1000</f>
        <v>38.031372675973174</v>
      </c>
      <c r="BE17" s="4024">
        <f>+(BE57/'Maj Production Summ'!BE18)*1000</f>
        <v>34</v>
      </c>
      <c r="BF17" s="4024">
        <f>+(BF57/'Maj Production Summ'!BF18)*1000</f>
        <v>38.419280799273835</v>
      </c>
      <c r="BG17"/>
      <c r="BH17" s="5764">
        <v>38</v>
      </c>
      <c r="BI17" s="4735">
        <v>36.89999271075807</v>
      </c>
      <c r="BJ17" s="4735">
        <v>40</v>
      </c>
      <c r="BK17" s="4735">
        <v>37.680157934540539</v>
      </c>
      <c r="BL17" s="4735">
        <v>40</v>
      </c>
      <c r="BM17" s="5765">
        <v>34.431040857281253</v>
      </c>
      <c r="BN17" s="4708">
        <v>46</v>
      </c>
      <c r="BO17" s="4735">
        <v>38.506404738512508</v>
      </c>
      <c r="BP17" s="4699">
        <v>49.999999999999993</v>
      </c>
      <c r="BQ17" s="1100">
        <v>45.611232627441403</v>
      </c>
      <c r="BR17" s="2295">
        <v>40.465027848474861</v>
      </c>
      <c r="BS17" s="2305">
        <v>41.122433127480129</v>
      </c>
      <c r="BT17" s="1529">
        <v>50</v>
      </c>
      <c r="BU17" s="1100">
        <v>25.53216575879436</v>
      </c>
      <c r="BV17" s="1100">
        <v>41.130412495604766</v>
      </c>
    </row>
    <row r="18" spans="1:74" ht="18.600000000000001" thickBot="1" x14ac:dyDescent="0.35">
      <c r="A18" s="88"/>
      <c r="B18" s="4724" t="s">
        <v>285</v>
      </c>
      <c r="C18" s="4725" t="s">
        <v>268</v>
      </c>
      <c r="D18" s="4023">
        <f>SUM(D16:D17)</f>
        <v>1096</v>
      </c>
      <c r="E18" s="4023">
        <f>+$D$18</f>
        <v>1096</v>
      </c>
      <c r="F18" s="4023">
        <f>SUM(F16:F17)</f>
        <v>1095.9964341071379</v>
      </c>
      <c r="G18" s="4023">
        <f>+$D$18</f>
        <v>1096</v>
      </c>
      <c r="H18" s="4023">
        <f>SUM(H16:H17)</f>
        <v>1095.3799981625341</v>
      </c>
      <c r="I18" s="4024">
        <f>+$D$18</f>
        <v>1096</v>
      </c>
      <c r="J18" s="4024">
        <f>SUM(J16:J17)</f>
        <v>1095.8084231304504</v>
      </c>
      <c r="K18" s="4023">
        <f>+$D$18</f>
        <v>1096</v>
      </c>
      <c r="L18" s="4023">
        <f>SUM(L16:L17)</f>
        <v>1096.4404833787221</v>
      </c>
      <c r="M18" s="4026">
        <f>+$D$18</f>
        <v>1096</v>
      </c>
      <c r="N18" s="4026">
        <f>SUM(N16:N17)</f>
        <v>1096.080945381128</v>
      </c>
      <c r="O18" s="4023">
        <f>+$D$18</f>
        <v>1096</v>
      </c>
      <c r="P18" s="4023">
        <f>SUM(P16:P17)</f>
        <v>1096.2330778752828</v>
      </c>
      <c r="Q18" s="4024">
        <f>+$D$18</f>
        <v>1096</v>
      </c>
      <c r="R18" s="4024">
        <f>SUM(R16:R17)</f>
        <v>1096.1281042940138</v>
      </c>
      <c r="S18" s="4023">
        <f>+$D$18</f>
        <v>1096</v>
      </c>
      <c r="T18" s="4023">
        <f>SUM(T16:T17)</f>
        <v>1096.3497487606369</v>
      </c>
      <c r="U18" s="4024">
        <f>+$D$18</f>
        <v>1096</v>
      </c>
      <c r="V18" s="4024">
        <f>SUM(V16:V17)</f>
        <v>1096.1779825063168</v>
      </c>
      <c r="W18" s="4023">
        <f>+$D$18</f>
        <v>1096</v>
      </c>
      <c r="X18" s="4023">
        <f>SUM(X16:X17)</f>
        <v>1097.8558235286339</v>
      </c>
      <c r="Y18" s="4026">
        <f>+$D$18</f>
        <v>1096</v>
      </c>
      <c r="Z18" s="4026">
        <f>SUM(Z16:Z17)</f>
        <v>1096.7842844829147</v>
      </c>
      <c r="AA18" s="4736">
        <f>+$D$18</f>
        <v>1096</v>
      </c>
      <c r="AB18" s="4736">
        <f>SUM(AB16:AB17)</f>
        <v>1096.4746942361498</v>
      </c>
      <c r="AC18" s="4023">
        <f>+$D$18</f>
        <v>1096</v>
      </c>
      <c r="AD18" s="4023">
        <f>SUM(AD16:AD17)</f>
        <v>1095.437079034157</v>
      </c>
      <c r="AE18" s="4024">
        <f>+$D$18</f>
        <v>1096</v>
      </c>
      <c r="AF18" s="4024">
        <f>SUM(AF16:AF17)</f>
        <v>1096.3475087074173</v>
      </c>
      <c r="AG18" s="4023">
        <f>+$D$18</f>
        <v>1096</v>
      </c>
      <c r="AH18" s="4023">
        <f>SUM(AH16:AH17)</f>
        <v>1096.3622539237133</v>
      </c>
      <c r="AI18" s="4024">
        <f>+$D$18</f>
        <v>1096</v>
      </c>
      <c r="AJ18" s="4024">
        <f>SUM(AJ16:AJ17)</f>
        <v>1096.3495093628399</v>
      </c>
      <c r="AK18" s="4023">
        <f>+$D$18</f>
        <v>1096</v>
      </c>
      <c r="AL18" s="4023">
        <f>SUM(AL16:AL17)</f>
        <v>1096.1237386128475</v>
      </c>
      <c r="AM18" s="4026">
        <f>+$D$18</f>
        <v>1096</v>
      </c>
      <c r="AN18" s="4026">
        <f>SUM(AN16:AN17)</f>
        <v>1096.0175129224283</v>
      </c>
      <c r="AO18" s="4024">
        <f>+$D$18</f>
        <v>1096</v>
      </c>
      <c r="AP18" s="4728">
        <f>SUM(AP16:AP17)</f>
        <v>1096.3220341887354</v>
      </c>
      <c r="AQ18" s="4023">
        <f>+$D$18</f>
        <v>1096</v>
      </c>
      <c r="AR18" s="4023">
        <f>SUM(AR16:AR17)</f>
        <v>1095.4003779922559</v>
      </c>
      <c r="AS18" s="4024">
        <f>+$D$18</f>
        <v>1096</v>
      </c>
      <c r="AT18" s="4024">
        <f>SUM(AT16:AT17)</f>
        <v>1096.2244519904953</v>
      </c>
      <c r="AU18" s="4023">
        <f>+$D$18</f>
        <v>1096</v>
      </c>
      <c r="AV18" s="4023">
        <f>SUM(AV16:AV17)</f>
        <v>1095.7218564880877</v>
      </c>
      <c r="AW18" s="4024">
        <f>+$D$18</f>
        <v>1096</v>
      </c>
      <c r="AX18" s="4024">
        <f>SUM(AX16:AX17)</f>
        <v>1096.1846947841339</v>
      </c>
      <c r="AY18" s="4023">
        <f>+$D$18</f>
        <v>1096</v>
      </c>
      <c r="AZ18" s="4023">
        <f>SUM(AZ16:AZ17)</f>
        <v>1093.4332822085889</v>
      </c>
      <c r="BA18" s="4026">
        <f>+$D$18</f>
        <v>1096</v>
      </c>
      <c r="BB18" s="4026">
        <f>SUM(BB16:BB17)</f>
        <v>1094.7660181903491</v>
      </c>
      <c r="BC18" s="4736">
        <f>+$D$18</f>
        <v>1096</v>
      </c>
      <c r="BD18" s="4736">
        <f>SUM(BD16:BD17)</f>
        <v>1095.3863466965117</v>
      </c>
      <c r="BE18" s="4024">
        <f>+$D$18</f>
        <v>1096</v>
      </c>
      <c r="BF18" s="4024">
        <f t="shared" ref="BF18" si="15">SUM(BF16:BF17)</f>
        <v>1095.9274412028485</v>
      </c>
      <c r="BG18"/>
      <c r="BH18" s="5764">
        <v>1097</v>
      </c>
      <c r="BI18" s="4735">
        <v>1096.0267581781038</v>
      </c>
      <c r="BJ18" s="4735">
        <v>1100</v>
      </c>
      <c r="BK18" s="4735">
        <v>1097.2261498039154</v>
      </c>
      <c r="BL18" s="4735">
        <v>1100</v>
      </c>
      <c r="BM18" s="5765">
        <v>1100.4424211868679</v>
      </c>
      <c r="BN18" s="4708">
        <v>1107.9999999999998</v>
      </c>
      <c r="BO18" s="4735">
        <v>1101.4805066548267</v>
      </c>
      <c r="BP18" s="4709">
        <v>1114.9999163858361</v>
      </c>
      <c r="BQ18" s="3628">
        <v>1107.6688923177246</v>
      </c>
      <c r="BR18" s="3447">
        <v>1117.5084472560443</v>
      </c>
      <c r="BS18" s="3455">
        <v>1112.298492015678</v>
      </c>
      <c r="BT18" s="3456">
        <v>1115</v>
      </c>
      <c r="BU18" s="3457">
        <v>1119.1948111235938</v>
      </c>
      <c r="BV18" s="3457">
        <v>1119.4604132157881</v>
      </c>
    </row>
    <row r="19" spans="1:74" ht="18.600000000000001" thickBot="1" x14ac:dyDescent="0.35">
      <c r="A19" s="142"/>
      <c r="B19" s="4732" t="s">
        <v>1748</v>
      </c>
      <c r="C19" s="4733" t="s">
        <v>268</v>
      </c>
      <c r="D19" s="4047">
        <f>+D68+D69+D72</f>
        <v>18.044117849203303</v>
      </c>
      <c r="E19" s="4726">
        <f>+$D$19</f>
        <v>18.044117849203303</v>
      </c>
      <c r="F19" s="4726">
        <f>F68+F71+F72</f>
        <v>17.484522412263804</v>
      </c>
      <c r="G19" s="4726">
        <f>+$D$19</f>
        <v>18.044117849203303</v>
      </c>
      <c r="H19" s="4726">
        <f>H68+H71+H72</f>
        <v>17.037392431681997</v>
      </c>
      <c r="I19" s="4728">
        <f>+$D$19</f>
        <v>18.044117849203303</v>
      </c>
      <c r="J19" s="4728">
        <f>J68+J71+J72</f>
        <v>17.34814920902776</v>
      </c>
      <c r="K19" s="4726">
        <f>+$D$19</f>
        <v>18.044117849203303</v>
      </c>
      <c r="L19" s="4726">
        <f>L68+L71+L72</f>
        <v>19.733624149219764</v>
      </c>
      <c r="M19" s="4729">
        <f>+$D$19</f>
        <v>18.044117849203303</v>
      </c>
      <c r="N19" s="4729">
        <f>N68+N71+N72</f>
        <v>18.376682487956927</v>
      </c>
      <c r="O19" s="4726">
        <f>+$D$19</f>
        <v>18.044117849203303</v>
      </c>
      <c r="P19" s="4726">
        <f>P68+P71+P72</f>
        <v>20.120845849989355</v>
      </c>
      <c r="Q19" s="4728">
        <f>+$D$19</f>
        <v>18.044117849203303</v>
      </c>
      <c r="R19" s="4728">
        <f>R68+R71+R72</f>
        <v>18.917348362829372</v>
      </c>
      <c r="S19" s="4726">
        <f>+$D$19</f>
        <v>18.044117849203303</v>
      </c>
      <c r="T19" s="4726">
        <f>T68+T71+T72</f>
        <v>19.080809016000202</v>
      </c>
      <c r="U19" s="4024">
        <f>+$D$19</f>
        <v>18.044117849203303</v>
      </c>
      <c r="V19" s="4728">
        <f>V68+V71+V72</f>
        <v>18.954133062606779</v>
      </c>
      <c r="W19" s="4726">
        <f>+$D$19</f>
        <v>18.044117849203303</v>
      </c>
      <c r="X19" s="4726">
        <f>X68+X71+X72</f>
        <v>17.254404951354879</v>
      </c>
      <c r="Y19" s="4026">
        <f>+$D$19</f>
        <v>18.044117849203303</v>
      </c>
      <c r="Z19" s="4026">
        <f>Z68+Z71+Z72</f>
        <v>18.871242154982866</v>
      </c>
      <c r="AA19" s="4730">
        <f>+$D$19</f>
        <v>18.044117849203303</v>
      </c>
      <c r="AB19" s="4730">
        <f>AB68+AB71+AB72</f>
        <v>18.653550789657704</v>
      </c>
      <c r="AC19" s="4726">
        <f>+$D$19</f>
        <v>18.044117849203303</v>
      </c>
      <c r="AD19" s="4726">
        <f>AD68+AD71+AD72</f>
        <v>17.868203860469528</v>
      </c>
      <c r="AE19" s="4728">
        <f>+$D$19</f>
        <v>18.044117849203303</v>
      </c>
      <c r="AF19" s="4728">
        <f>AF68+AF71+AF72</f>
        <v>18.557287006864698</v>
      </c>
      <c r="AG19" s="4726">
        <f>+$D$19</f>
        <v>18.044117849203303</v>
      </c>
      <c r="AH19" s="4726">
        <f>AH68+AH71+AH72</f>
        <v>16.204651811313191</v>
      </c>
      <c r="AI19" s="4728">
        <f>+$D$19</f>
        <v>18.044117849203303</v>
      </c>
      <c r="AJ19" s="4728">
        <f>AJ68+AJ71+AJ72</f>
        <v>18.2380775583899</v>
      </c>
      <c r="AK19" s="4726">
        <f>+$D$19</f>
        <v>18.044117849203303</v>
      </c>
      <c r="AL19" s="4726">
        <f>AL68+AL71+AL72</f>
        <v>17.49634117722356</v>
      </c>
      <c r="AM19" s="4026">
        <f>+$D$19</f>
        <v>18.044117849203303</v>
      </c>
      <c r="AN19" s="4026">
        <f>AN68+AN71+AN72</f>
        <v>17.138980636573425</v>
      </c>
      <c r="AO19" s="4024">
        <f>+$D$19</f>
        <v>18.044117849203303</v>
      </c>
      <c r="AP19" s="4728">
        <f>AP68+AP71+AP72</f>
        <v>18.147811940665861</v>
      </c>
      <c r="AQ19" s="4726">
        <f>+$D$19</f>
        <v>18.044117849203303</v>
      </c>
      <c r="AR19" s="4726">
        <f>AR68+AR71+AR72</f>
        <v>17.201717189877527</v>
      </c>
      <c r="AS19" s="4024">
        <f>+$D$19</f>
        <v>18.044117849203303</v>
      </c>
      <c r="AT19" s="4748">
        <f>AT68+AT71+AT72</f>
        <v>18.047642261475303</v>
      </c>
      <c r="AU19" s="4726">
        <f>+$D$19</f>
        <v>18.044117849203303</v>
      </c>
      <c r="AV19" s="4726">
        <f>AV68+AV71+AV72</f>
        <v>16.786191464521988</v>
      </c>
      <c r="AW19" s="4024">
        <f>+$D$19</f>
        <v>18.044117849203303</v>
      </c>
      <c r="AX19" s="4728">
        <f>AX68+AX71+AX72</f>
        <v>17.9478567293542</v>
      </c>
      <c r="AY19" s="4726">
        <f>+$D$19</f>
        <v>18.044117849203303</v>
      </c>
      <c r="AZ19" s="4726">
        <f>AZ68+AZ71+AZ72</f>
        <v>17.903332780633395</v>
      </c>
      <c r="BA19" s="4026">
        <f>+$D$19</f>
        <v>18.044117849203303</v>
      </c>
      <c r="BB19" s="4026">
        <f>BB68+BB71+BB72</f>
        <v>17.342903822846601</v>
      </c>
      <c r="BC19" s="4736">
        <f>+$D$19</f>
        <v>18.044117849203303</v>
      </c>
      <c r="BD19" s="4736">
        <f>BD68+BD71+BD72</f>
        <v>17.241825198805891</v>
      </c>
      <c r="BE19" s="4728">
        <f>+$D$19</f>
        <v>18.044117849203303</v>
      </c>
      <c r="BF19" s="4728">
        <f>BF68+BF71+BF72</f>
        <v>17.94369379669801</v>
      </c>
      <c r="BG19"/>
      <c r="BH19" s="5764">
        <v>22.017291674197072</v>
      </c>
      <c r="BI19" s="4735">
        <v>18.349011863703755</v>
      </c>
      <c r="BJ19" s="4735">
        <v>22.999999999999996</v>
      </c>
      <c r="BK19" s="4735">
        <v>20.403234933373927</v>
      </c>
      <c r="BL19" s="4735">
        <v>21.173676902697167</v>
      </c>
      <c r="BM19" s="5765">
        <v>22.701786332137168</v>
      </c>
      <c r="BN19" s="4708">
        <v>20.999999999999996</v>
      </c>
      <c r="BO19" s="4735">
        <v>22.930617482833931</v>
      </c>
      <c r="BP19" s="4713">
        <v>21.957789999999999</v>
      </c>
      <c r="BQ19" s="3629">
        <v>20.936321602680948</v>
      </c>
      <c r="BR19" s="3458">
        <v>20.938577554449214</v>
      </c>
      <c r="BS19" s="3459">
        <v>20.212673477197818</v>
      </c>
      <c r="BT19" s="3460">
        <v>21</v>
      </c>
      <c r="BU19" s="3461">
        <v>21.832464031742681</v>
      </c>
      <c r="BV19" s="3461">
        <v>23.120676252165847</v>
      </c>
    </row>
    <row r="20" spans="1:74" ht="18.600000000000001" thickBot="1" x14ac:dyDescent="0.35">
      <c r="A20" s="137"/>
      <c r="B20" s="4743" t="s">
        <v>363</v>
      </c>
      <c r="C20" s="4744"/>
      <c r="D20" s="4745"/>
      <c r="E20" s="4746"/>
      <c r="F20" s="4746"/>
      <c r="G20" s="4746"/>
      <c r="H20" s="4746"/>
      <c r="I20" s="4746"/>
      <c r="J20" s="4726"/>
      <c r="K20" s="4746"/>
      <c r="L20" s="4746"/>
      <c r="M20" s="4756"/>
      <c r="N20" s="4756"/>
      <c r="O20" s="4746"/>
      <c r="P20" s="4746"/>
      <c r="Q20" s="4746"/>
      <c r="R20" s="4746"/>
      <c r="S20" s="4746"/>
      <c r="T20" s="4746"/>
      <c r="U20" s="4746"/>
      <c r="V20" s="4746"/>
      <c r="W20" s="4746"/>
      <c r="X20" s="4746"/>
      <c r="Y20" s="4756"/>
      <c r="Z20" s="4756"/>
      <c r="AA20" s="4761"/>
      <c r="AB20" s="4761"/>
      <c r="AC20" s="4746"/>
      <c r="AD20" s="4746"/>
      <c r="AE20" s="4746"/>
      <c r="AF20" s="4746"/>
      <c r="AG20" s="4746"/>
      <c r="AH20" s="4746"/>
      <c r="AI20" s="4763"/>
      <c r="AJ20" s="4763"/>
      <c r="AK20" s="4746"/>
      <c r="AL20" s="4746"/>
      <c r="AM20" s="4746"/>
      <c r="AN20" s="4746"/>
      <c r="AO20" s="4746"/>
      <c r="AP20" s="4746"/>
      <c r="AQ20" s="4746"/>
      <c r="AR20" s="4746"/>
      <c r="AS20" s="4746"/>
      <c r="AT20" s="4746"/>
      <c r="AU20" s="4746"/>
      <c r="AV20" s="4746"/>
      <c r="AW20" s="4746"/>
      <c r="AX20" s="4746"/>
      <c r="AY20" s="4746"/>
      <c r="AZ20" s="4746"/>
      <c r="BA20" s="4746"/>
      <c r="BB20" s="4746"/>
      <c r="BC20" s="4746"/>
      <c r="BD20" s="4746"/>
      <c r="BE20" s="4746"/>
      <c r="BF20" s="4746"/>
      <c r="BG20"/>
      <c r="BH20" s="5792"/>
      <c r="BI20" s="4746"/>
      <c r="BJ20" s="4746"/>
      <c r="BK20" s="4746"/>
      <c r="BL20" s="4746"/>
      <c r="BM20" s="5793"/>
      <c r="BN20" s="5777"/>
      <c r="BO20" s="4746"/>
      <c r="BP20" s="3631"/>
      <c r="BQ20" s="3630"/>
      <c r="BR20" s="2320"/>
      <c r="BS20" s="2320"/>
      <c r="BT20" s="3462"/>
      <c r="BU20" s="3463"/>
      <c r="BV20" s="3463"/>
    </row>
    <row r="21" spans="1:74" ht="18" x14ac:dyDescent="0.3">
      <c r="A21" s="88"/>
      <c r="B21" s="4724" t="s">
        <v>16</v>
      </c>
      <c r="C21" s="4725" t="s">
        <v>49</v>
      </c>
      <c r="D21" s="4747">
        <v>96</v>
      </c>
      <c r="E21" s="4747">
        <f>+$D$21</f>
        <v>96</v>
      </c>
      <c r="F21" s="4747">
        <f>+WRM!F161</f>
        <v>95.641659787281753</v>
      </c>
      <c r="G21" s="4747">
        <f>+$D$21</f>
        <v>96</v>
      </c>
      <c r="H21" s="4747">
        <f>+WRM!H161</f>
        <v>95.154917676635392</v>
      </c>
      <c r="I21" s="4728">
        <f>+$D$21</f>
        <v>96</v>
      </c>
      <c r="J21" s="4748">
        <f>+WRM!J161</f>
        <v>95.474960825270287</v>
      </c>
      <c r="K21" s="4747">
        <f>+$D$21</f>
        <v>96</v>
      </c>
      <c r="L21" s="4747">
        <f>+WRM!L161</f>
        <v>95.257540790258943</v>
      </c>
      <c r="M21" s="4749">
        <f>+$D$21</f>
        <v>96</v>
      </c>
      <c r="N21" s="4749">
        <f>+WRM!N161</f>
        <v>95.143785568670268</v>
      </c>
      <c r="O21" s="4747">
        <f>+$D$21</f>
        <v>96</v>
      </c>
      <c r="P21" s="4747">
        <f>+WRM!P161</f>
        <v>95.75055357177952</v>
      </c>
      <c r="Q21" s="4748">
        <f>+$D$21</f>
        <v>96</v>
      </c>
      <c r="R21" s="4748">
        <f>+WRM!R161</f>
        <v>95.335711108967288</v>
      </c>
      <c r="S21" s="4747">
        <f>+$D$21</f>
        <v>96</v>
      </c>
      <c r="T21" s="4747">
        <f>+WRM!T161</f>
        <v>95.876083003897975</v>
      </c>
      <c r="U21" s="4748">
        <f>+$D$21</f>
        <v>96</v>
      </c>
      <c r="V21" s="4748">
        <f>+WRM!V161</f>
        <v>95.447174998303552</v>
      </c>
      <c r="W21" s="4747">
        <f>+$D$21</f>
        <v>96</v>
      </c>
      <c r="X21" s="4747">
        <f>+WRM!X161</f>
        <v>95.610321120425965</v>
      </c>
      <c r="Y21" s="4729">
        <f>+$D$21</f>
        <v>96</v>
      </c>
      <c r="Z21" s="4749">
        <f>+WRM!Z161</f>
        <v>95.743417030300961</v>
      </c>
      <c r="AA21" s="4730">
        <f>+$D$21</f>
        <v>96</v>
      </c>
      <c r="AB21" s="4750">
        <f>+WRM!AB161</f>
        <v>95.476492563267513</v>
      </c>
      <c r="AC21" s="4747">
        <f>+$D$21</f>
        <v>96</v>
      </c>
      <c r="AD21" s="4747">
        <f>+WRM!AD161</f>
        <v>95.954340193087916</v>
      </c>
      <c r="AE21" s="4748">
        <f>+$D$21</f>
        <v>96</v>
      </c>
      <c r="AF21" s="4748">
        <f>+WRM!AF161</f>
        <v>95.531895556434733</v>
      </c>
      <c r="AG21" s="4747">
        <f>+$D$21</f>
        <v>96</v>
      </c>
      <c r="AH21" s="4747">
        <f>+WRM!AH161</f>
        <v>95.766381296125843</v>
      </c>
      <c r="AI21" s="4748">
        <f>+$D$21</f>
        <v>96</v>
      </c>
      <c r="AJ21" s="4748">
        <f>+WRM!AJ161</f>
        <v>95.559582619518153</v>
      </c>
      <c r="AK21" s="4747">
        <f>+$D$21</f>
        <v>96</v>
      </c>
      <c r="AL21" s="4747">
        <f>+WRM!AL161</f>
        <v>95.336201881591947</v>
      </c>
      <c r="AM21" s="4729">
        <f>+$D$21</f>
        <v>96</v>
      </c>
      <c r="AN21" s="4749">
        <f>+WRM!AN161</f>
        <v>95.643377799808036</v>
      </c>
      <c r="AO21" s="4748">
        <f>+$D$21</f>
        <v>96</v>
      </c>
      <c r="AP21" s="4748">
        <f>+WRM!AP161</f>
        <v>95.530311869008372</v>
      </c>
      <c r="AQ21" s="4747">
        <f>+$D$21</f>
        <v>96</v>
      </c>
      <c r="AR21" s="4747">
        <f>+WRM!AR161</f>
        <v>95.804245221551284</v>
      </c>
      <c r="AS21" s="4748">
        <f>+$D$21</f>
        <v>96</v>
      </c>
      <c r="AT21" s="4748">
        <f>+WRM!AT161</f>
        <v>95.562280312282851</v>
      </c>
      <c r="AU21" s="4747">
        <f>+$D$21</f>
        <v>96</v>
      </c>
      <c r="AV21" s="4747">
        <f>+WRM!AV161</f>
        <v>95.614821440744819</v>
      </c>
      <c r="AW21" s="4748">
        <f>+$D$21</f>
        <v>96</v>
      </c>
      <c r="AX21" s="4748">
        <f>+WRM!AX161</f>
        <v>95.566975569572307</v>
      </c>
      <c r="AY21" s="4747">
        <f>+$D$21</f>
        <v>96</v>
      </c>
      <c r="AZ21" s="4747">
        <f>+WRM!AZ161</f>
        <v>95.474822787338823</v>
      </c>
      <c r="BA21" s="4729">
        <f>+$D$21</f>
        <v>96</v>
      </c>
      <c r="BB21" s="4729">
        <f>+WRM!BB161</f>
        <v>95.629455026212497</v>
      </c>
      <c r="BC21" s="4730">
        <f>+$D$21</f>
        <v>96</v>
      </c>
      <c r="BD21" s="4730">
        <f>+WRM!BD161</f>
        <v>95.635827963269534</v>
      </c>
      <c r="BE21" s="4728">
        <f>+$D$21</f>
        <v>96</v>
      </c>
      <c r="BF21" s="4748">
        <f>+WRM!BF161</f>
        <v>95.557718627041353</v>
      </c>
      <c r="BG21"/>
      <c r="BH21" s="5786">
        <v>96</v>
      </c>
      <c r="BI21" s="4731">
        <v>95.645148147796974</v>
      </c>
      <c r="BJ21" s="4731">
        <v>96</v>
      </c>
      <c r="BK21" s="4731">
        <v>95.818830917541447</v>
      </c>
      <c r="BL21" s="4731">
        <v>96</v>
      </c>
      <c r="BM21" s="5787">
        <v>95.88178499213079</v>
      </c>
      <c r="BN21" s="4715">
        <v>96</v>
      </c>
      <c r="BO21" s="4731">
        <v>95.450038252944893</v>
      </c>
      <c r="BP21" s="4714">
        <v>95.999999938560009</v>
      </c>
      <c r="BQ21" s="3632">
        <v>95.505335593423183</v>
      </c>
      <c r="BR21" s="2879">
        <v>96.222984019632065</v>
      </c>
      <c r="BS21" s="2306">
        <v>94.958654249153824</v>
      </c>
      <c r="BT21" s="1102">
        <v>96.5</v>
      </c>
      <c r="BU21" s="1090">
        <v>96.195270984402612</v>
      </c>
      <c r="BV21" s="1090">
        <v>96.032658515622913</v>
      </c>
    </row>
    <row r="22" spans="1:74" ht="18" x14ac:dyDescent="0.3">
      <c r="A22" s="88"/>
      <c r="B22" s="4724" t="s">
        <v>91</v>
      </c>
      <c r="C22" s="4725" t="s">
        <v>49</v>
      </c>
      <c r="D22" s="4747">
        <v>96.5</v>
      </c>
      <c r="E22" s="4747">
        <f>+$D$22</f>
        <v>96.5</v>
      </c>
      <c r="F22" s="4747">
        <f>+BM!F58</f>
        <v>95.918610762252314</v>
      </c>
      <c r="G22" s="4747">
        <f>+$D$22</f>
        <v>96.5</v>
      </c>
      <c r="H22" s="4747">
        <f>+BM!H58</f>
        <v>95.961240042042363</v>
      </c>
      <c r="I22" s="4728">
        <f>+$D$22</f>
        <v>96.5</v>
      </c>
      <c r="J22" s="4748">
        <f>+BM!J58</f>
        <v>95.931726229498125</v>
      </c>
      <c r="K22" s="4747">
        <f>+$D$22</f>
        <v>96.5</v>
      </c>
      <c r="L22" s="4747">
        <f>+BM!L58</f>
        <v>96.419419676816304</v>
      </c>
      <c r="M22" s="4749">
        <f>+$D$22</f>
        <v>96.5</v>
      </c>
      <c r="N22" s="4749">
        <f>+BM!N58</f>
        <v>96.129015094235243</v>
      </c>
      <c r="O22" s="4747">
        <f>+$D$22</f>
        <v>96.5</v>
      </c>
      <c r="P22" s="4747">
        <f>+BM!P58</f>
        <v>96.454667703108399</v>
      </c>
      <c r="Q22" s="4748">
        <f>+$D$22</f>
        <v>96.5</v>
      </c>
      <c r="R22" s="4748">
        <f>+BM!R58</f>
        <v>96.235155294852277</v>
      </c>
      <c r="S22" s="4747">
        <f>+$D$22</f>
        <v>96.5</v>
      </c>
      <c r="T22" s="4747">
        <f>+BM!T58</f>
        <v>96.329019569725332</v>
      </c>
      <c r="U22" s="4748">
        <f>+$D$22</f>
        <v>96.5</v>
      </c>
      <c r="V22" s="4748">
        <f>+BM!V58</f>
        <v>96.255752772109346</v>
      </c>
      <c r="W22" s="4747">
        <f>+$D$22</f>
        <v>96.5</v>
      </c>
      <c r="X22" s="4747">
        <f>+BM!X58</f>
        <v>96.394637106483472</v>
      </c>
      <c r="Y22" s="4729">
        <f>+$D$22</f>
        <v>96.5</v>
      </c>
      <c r="Z22" s="4749">
        <f>+BM!Z58</f>
        <v>96.395894549603327</v>
      </c>
      <c r="AA22" s="4730">
        <f>+$D$22</f>
        <v>96.5</v>
      </c>
      <c r="AB22" s="4750">
        <f>+BM!AB58</f>
        <v>96.280856695332602</v>
      </c>
      <c r="AC22" s="4747">
        <f>+$D$22</f>
        <v>96.5</v>
      </c>
      <c r="AD22" s="4747">
        <f>+BM!AD58</f>
        <v>96.409969459870908</v>
      </c>
      <c r="AE22" s="4748">
        <f>+$D$22</f>
        <v>96.5</v>
      </c>
      <c r="AF22" s="4748">
        <f>+BM!AF58</f>
        <v>96.294757230079497</v>
      </c>
      <c r="AG22" s="4747">
        <f>+$D$22</f>
        <v>96.5</v>
      </c>
      <c r="AH22" s="4747">
        <f>+BM!AH58</f>
        <v>96.083717767346542</v>
      </c>
      <c r="AI22" s="4748">
        <f>+$D$22</f>
        <v>96.5</v>
      </c>
      <c r="AJ22" s="4748">
        <f>+BM!AJ58</f>
        <v>96.267577959633968</v>
      </c>
      <c r="AK22" s="4747">
        <f>+$D$22</f>
        <v>96.5</v>
      </c>
      <c r="AL22" s="4747">
        <f>+BM!AL58</f>
        <v>95.865818289064322</v>
      </c>
      <c r="AM22" s="4729">
        <f>+$D$22</f>
        <v>96.5</v>
      </c>
      <c r="AN22" s="4749">
        <f>+BM!AN58</f>
        <v>96.077497770373839</v>
      </c>
      <c r="AO22" s="4748">
        <f>+$D$22</f>
        <v>96.5</v>
      </c>
      <c r="AP22" s="4748">
        <f>+BM!AP58</f>
        <v>96.214839315282248</v>
      </c>
      <c r="AQ22" s="4747">
        <f>+$D$22</f>
        <v>96.5</v>
      </c>
      <c r="AR22" s="4747">
        <f>+BM!AR58</f>
        <v>95.990775355915758</v>
      </c>
      <c r="AS22" s="4748">
        <f>+$D$22</f>
        <v>96.5</v>
      </c>
      <c r="AT22" s="4748">
        <f>+BM!AT58</f>
        <v>96.187698391643892</v>
      </c>
      <c r="AU22" s="4747">
        <f>+$D$22</f>
        <v>96.5</v>
      </c>
      <c r="AV22" s="4747">
        <f>+BM!AV58</f>
        <v>95.9606442036267</v>
      </c>
      <c r="AW22" s="4748">
        <f>+$D$22</f>
        <v>96.5</v>
      </c>
      <c r="AX22" s="4748">
        <f>+BM!AX58</f>
        <v>96.166201075340012</v>
      </c>
      <c r="AY22" s="4747">
        <f>+$D$22</f>
        <v>96.5</v>
      </c>
      <c r="AZ22" s="4747">
        <f>+BM!AZ58</f>
        <v>93.352457710962938</v>
      </c>
      <c r="BA22" s="4729">
        <f>+$D$22</f>
        <v>96.5</v>
      </c>
      <c r="BB22" s="4729">
        <f>+BM!BB58</f>
        <v>95.076496488136257</v>
      </c>
      <c r="BC22" s="4730">
        <f>+$D$22</f>
        <v>96.5</v>
      </c>
      <c r="BD22" s="4730">
        <f>+BM!BD58</f>
        <v>95.530624031950111</v>
      </c>
      <c r="BE22" s="4728">
        <f>+$D$22</f>
        <v>96.5</v>
      </c>
      <c r="BF22" s="4748">
        <f>+BM!BF58</f>
        <v>95.894897804185575</v>
      </c>
      <c r="BG22"/>
      <c r="BH22" s="5786">
        <v>96.5</v>
      </c>
      <c r="BI22" s="4731">
        <v>95.97585667837896</v>
      </c>
      <c r="BJ22" s="4731">
        <v>96.5</v>
      </c>
      <c r="BK22" s="4731">
        <v>96.28695091898561</v>
      </c>
      <c r="BL22" s="4731">
        <v>96.5</v>
      </c>
      <c r="BM22" s="5787">
        <v>96.088707842896071</v>
      </c>
      <c r="BN22" s="4715">
        <v>96.5</v>
      </c>
      <c r="BO22" s="4731">
        <v>95.450022221864671</v>
      </c>
      <c r="BP22" s="4715">
        <v>96.499981924910045</v>
      </c>
      <c r="BQ22" s="1090">
        <v>95.423965808878961</v>
      </c>
      <c r="BR22" s="2879">
        <v>96.209843463927712</v>
      </c>
      <c r="BS22" s="2306">
        <v>95.175924318366739</v>
      </c>
      <c r="BT22" s="1102">
        <v>96.5</v>
      </c>
      <c r="BU22" s="1090">
        <v>96.065592581466589</v>
      </c>
      <c r="BV22" s="1090">
        <v>96.054939695674079</v>
      </c>
    </row>
    <row r="23" spans="1:74" ht="18" x14ac:dyDescent="0.3">
      <c r="A23" s="88"/>
      <c r="B23" s="4724" t="s">
        <v>109</v>
      </c>
      <c r="C23" s="4725" t="s">
        <v>49</v>
      </c>
      <c r="D23" s="4747">
        <v>94.75</v>
      </c>
      <c r="E23" s="4747">
        <f>+$D$23</f>
        <v>94.75</v>
      </c>
      <c r="F23" s="4747">
        <f>+USM!G123</f>
        <v>93.988402716340801</v>
      </c>
      <c r="G23" s="4747">
        <f>+$D$23</f>
        <v>94.75</v>
      </c>
      <c r="H23" s="4747">
        <f>+USM!I123</f>
        <v>92.538149008307627</v>
      </c>
      <c r="I23" s="4728">
        <f>+$D$23</f>
        <v>94.75</v>
      </c>
      <c r="J23" s="4748">
        <f>+USM!K123</f>
        <v>93.742927390617425</v>
      </c>
      <c r="K23" s="4747">
        <f>+$D$23</f>
        <v>94.75</v>
      </c>
      <c r="L23" s="4747">
        <f>+USM!M123</f>
        <v>94.300657609568276</v>
      </c>
      <c r="M23" s="4749">
        <f>+$D$23</f>
        <v>94.75</v>
      </c>
      <c r="N23" s="4749">
        <f>+USM!O123</f>
        <v>92.597989360792781</v>
      </c>
      <c r="O23" s="4747">
        <f>+$D$23</f>
        <v>94.75</v>
      </c>
      <c r="P23" s="4747">
        <f>+USM!Q123</f>
        <v>94.039736544191683</v>
      </c>
      <c r="Q23" s="4748">
        <f>+$D$23</f>
        <v>94.75</v>
      </c>
      <c r="R23" s="4748">
        <f>+USM!S123</f>
        <v>90.479723428744251</v>
      </c>
      <c r="S23" s="4747">
        <f>+$D$23</f>
        <v>94.75</v>
      </c>
      <c r="T23" s="4747">
        <f>+USM!U123</f>
        <v>93.446166495534285</v>
      </c>
      <c r="U23" s="4748">
        <f>+$D$23</f>
        <v>94.75</v>
      </c>
      <c r="V23" s="4748">
        <f>+USM!W123</f>
        <v>91.072105750810408</v>
      </c>
      <c r="W23" s="4747">
        <f>+$D$23</f>
        <v>94.75</v>
      </c>
      <c r="X23" s="4747">
        <f>+USM!Y123</f>
        <v>93.972449866117088</v>
      </c>
      <c r="Y23" s="4729">
        <f>+$D$23</f>
        <v>94.75</v>
      </c>
      <c r="Z23" s="4749">
        <f>+USM!AA123</f>
        <v>93.843139792150197</v>
      </c>
      <c r="AA23" s="4730">
        <f>+$D$23</f>
        <v>94.75</v>
      </c>
      <c r="AB23" s="4750">
        <f>+USM!AC123</f>
        <v>93.289412958846668</v>
      </c>
      <c r="AC23" s="4747">
        <f>+$D$23</f>
        <v>94.75</v>
      </c>
      <c r="AD23" s="4747">
        <f>+USM!AE123</f>
        <v>93.165855556550625</v>
      </c>
      <c r="AE23" s="4748">
        <f>+$D$23</f>
        <v>94.75</v>
      </c>
      <c r="AF23" s="4748">
        <f>+USM!AG123</f>
        <v>93.277235108276429</v>
      </c>
      <c r="AG23" s="4747">
        <f>+$D$23</f>
        <v>94.75</v>
      </c>
      <c r="AH23" s="4747">
        <f>+USM!AI123</f>
        <v>93.342593762703558</v>
      </c>
      <c r="AI23" s="4748">
        <f>+$D$23</f>
        <v>94.75</v>
      </c>
      <c r="AJ23" s="4748">
        <f>+USM!AK123</f>
        <v>93.286381832346379</v>
      </c>
      <c r="AK23" s="4747">
        <f>+$D$23</f>
        <v>94.75</v>
      </c>
      <c r="AL23" s="4747">
        <f>+USM!AM123</f>
        <v>93.351849425160552</v>
      </c>
      <c r="AM23" s="4729">
        <f>+$D$23</f>
        <v>94.75</v>
      </c>
      <c r="AN23" s="4749">
        <f>+USM!AO123</f>
        <v>93.306454828873257</v>
      </c>
      <c r="AO23" s="4748">
        <f>+$D$23</f>
        <v>94.75</v>
      </c>
      <c r="AP23" s="4748">
        <f>+USM!AQ123</f>
        <v>93.294977166474069</v>
      </c>
      <c r="AQ23" s="4747">
        <f>+$D$23</f>
        <v>94.75</v>
      </c>
      <c r="AR23" s="4747">
        <f>+USM!AS123</f>
        <v>93.24126088594636</v>
      </c>
      <c r="AS23" s="4748">
        <f>+$D$23</f>
        <v>94.75</v>
      </c>
      <c r="AT23" s="4748">
        <f>+USM!AU123</f>
        <v>93.288407608699814</v>
      </c>
      <c r="AU23" s="4747">
        <f>+$D$23</f>
        <v>94.75</v>
      </c>
      <c r="AV23" s="4747">
        <f>+USM!AW123</f>
        <v>94.33991758409546</v>
      </c>
      <c r="AW23" s="4748">
        <f>+$D$23</f>
        <v>94.75</v>
      </c>
      <c r="AX23" s="4748">
        <f>+USM!AY123</f>
        <v>93.398386260154766</v>
      </c>
      <c r="AY23" s="4747">
        <f>+$D$23</f>
        <v>94.75</v>
      </c>
      <c r="AZ23" s="4747">
        <f>+USM!BA123</f>
        <v>94.146464563073792</v>
      </c>
      <c r="BA23" s="4729">
        <f>+$D$23</f>
        <v>94.75</v>
      </c>
      <c r="BB23" s="4729">
        <f>+USM!BC123</f>
        <v>93.91164228167537</v>
      </c>
      <c r="BC23" s="4730">
        <f>+$D$23</f>
        <v>94.75</v>
      </c>
      <c r="BD23" s="4730">
        <f>+USM!BE123</f>
        <v>93.649582875146166</v>
      </c>
      <c r="BE23" s="4728">
        <f>+$D$23</f>
        <v>94.75</v>
      </c>
      <c r="BF23" s="4748">
        <f>+USM!BG123</f>
        <v>93.479654622392289</v>
      </c>
      <c r="BG23"/>
      <c r="BH23" s="5786">
        <v>94.75</v>
      </c>
      <c r="BI23" s="4731">
        <v>93.784864547510878</v>
      </c>
      <c r="BJ23" s="4731">
        <v>94.75</v>
      </c>
      <c r="BK23" s="4731">
        <v>93.736035078776908</v>
      </c>
      <c r="BL23" s="4731">
        <v>94.5</v>
      </c>
      <c r="BM23" s="5787">
        <v>94.168642194921944</v>
      </c>
      <c r="BN23" s="4715">
        <v>94.5</v>
      </c>
      <c r="BO23" s="4731">
        <v>93.371871065542948</v>
      </c>
      <c r="BP23" s="4715">
        <v>95.700065288711201</v>
      </c>
      <c r="BQ23" s="1090">
        <v>93.445480895587224</v>
      </c>
      <c r="BR23" s="2879">
        <v>95.699819475340547</v>
      </c>
      <c r="BS23" s="2306">
        <v>95.266762287385887</v>
      </c>
      <c r="BT23" s="1102">
        <v>95.7</v>
      </c>
      <c r="BU23" s="1090">
        <v>95.476013180662989</v>
      </c>
      <c r="BV23" s="1090">
        <v>95.486332877569964</v>
      </c>
    </row>
    <row r="24" spans="1:74" ht="18" x14ac:dyDescent="0.3">
      <c r="A24" s="88"/>
      <c r="B24" s="4724" t="s">
        <v>1628</v>
      </c>
      <c r="C24" s="4725" t="s">
        <v>321</v>
      </c>
      <c r="D24" s="4741">
        <v>5.8862780487827759</v>
      </c>
      <c r="E24" s="4737">
        <v>6.0987916828744853</v>
      </c>
      <c r="F24" s="4737">
        <f>EMD!E128</f>
        <v>6.1129633927110598</v>
      </c>
      <c r="G24" s="4737">
        <v>6.2451991353129825</v>
      </c>
      <c r="H24" s="4737">
        <f>EMD!G128</f>
        <v>7.322422332784706</v>
      </c>
      <c r="I24" s="4738">
        <f>EMD!H128</f>
        <v>6.1674201762050309</v>
      </c>
      <c r="J24" s="4748">
        <f>EMD!I128</f>
        <v>6.4818444720466326</v>
      </c>
      <c r="K24" s="4737">
        <v>5.8881874827843568</v>
      </c>
      <c r="L24" s="4737">
        <f>EMD!K128</f>
        <v>5.9510024504802947</v>
      </c>
      <c r="M24" s="4739">
        <f>EMD!L128</f>
        <v>5.9135485641504033</v>
      </c>
      <c r="N24" s="4739">
        <f>EMD!M128</f>
        <v>6.0018291327647386</v>
      </c>
      <c r="O24" s="4737">
        <v>5.9044904422712001</v>
      </c>
      <c r="P24" s="4737">
        <f>EMD!O128</f>
        <v>5.9231909835586922</v>
      </c>
      <c r="Q24" s="4738">
        <f>+EMD!P128</f>
        <v>5.9112818034949903</v>
      </c>
      <c r="R24" s="4738">
        <f>+EMD!Q128</f>
        <v>5.9807714639072804</v>
      </c>
      <c r="S24" s="4737">
        <v>5.9110636073860041</v>
      </c>
      <c r="T24" s="4737">
        <f>EMD!S128</f>
        <v>6.028154237488426</v>
      </c>
      <c r="U24" s="4738">
        <f>+EMD!T128</f>
        <v>5.9112381298980665</v>
      </c>
      <c r="V24" s="4738">
        <f>+EMD!U128</f>
        <v>5.990273829903412</v>
      </c>
      <c r="W24" s="4737">
        <v>6.4404862064644854</v>
      </c>
      <c r="X24" s="4737">
        <f>EMD!W128</f>
        <v>6.2161034181344306</v>
      </c>
      <c r="Y24" s="4739">
        <f>+EMD!X128</f>
        <v>6.0185038105368784</v>
      </c>
      <c r="Z24" s="4739">
        <f>+EMD!Y128</f>
        <v>6.0504489425821761</v>
      </c>
      <c r="AA24" s="4740">
        <f>+EMD!Z128</f>
        <v>5.9615465955288425</v>
      </c>
      <c r="AB24" s="4740">
        <f>+EMD!AA128</f>
        <v>6.0267096597919014</v>
      </c>
      <c r="AC24" s="4737">
        <v>5.8977730271407953</v>
      </c>
      <c r="AD24" s="4737">
        <f>EMD!AC128</f>
        <v>6.5564134070696864</v>
      </c>
      <c r="AE24" s="4738">
        <f>+EMD!AD128</f>
        <v>5.9515643417563009</v>
      </c>
      <c r="AF24" s="4738">
        <f>+EMD!AE128</f>
        <v>6.0869783861382887</v>
      </c>
      <c r="AG24" s="4737">
        <v>5.9674105355612586</v>
      </c>
      <c r="AH24" s="4737">
        <f>EMD!AG128</f>
        <v>6.0353483427745793</v>
      </c>
      <c r="AI24" s="4738">
        <f>+EMD!AH128</f>
        <v>5.9533717467066625</v>
      </c>
      <c r="AJ24" s="4738">
        <f>+EMD!AI128</f>
        <v>6.080153206462656</v>
      </c>
      <c r="AK24" s="4737">
        <v>5.9619079993755575</v>
      </c>
      <c r="AL24" s="4737">
        <f>EMD!AK128</f>
        <v>6.135536634867977</v>
      </c>
      <c r="AM24" s="4739">
        <f>+EMD!AL128</f>
        <v>5.9413395829166165</v>
      </c>
      <c r="AN24" s="4739">
        <f>+EMD!AM128</f>
        <v>6.2170647548230979</v>
      </c>
      <c r="AO24" s="4738">
        <f>+EMD!AN128</f>
        <v>5.9544516697335066</v>
      </c>
      <c r="AP24" s="4738">
        <f>+EMD!AO128</f>
        <v>6.0868930934408567</v>
      </c>
      <c r="AQ24" s="4737">
        <v>5.9566700099316927</v>
      </c>
      <c r="AR24" s="4737">
        <v>6.1463268879699946</v>
      </c>
      <c r="AS24" s="4738">
        <f>+EMD!AR128</f>
        <v>5.9547042036394506</v>
      </c>
      <c r="AT24" s="4738">
        <f>+EMD!AS128</f>
        <v>6.0931857656347352</v>
      </c>
      <c r="AU24" s="4737">
        <v>5.9639133095730053</v>
      </c>
      <c r="AV24" s="4737">
        <v>6.180550765571363</v>
      </c>
      <c r="AW24" s="4738">
        <f>+EMD!AV128</f>
        <v>5.9555544954492401</v>
      </c>
      <c r="AX24" s="4738">
        <f>+EMD!AW128</f>
        <v>6.0935992399466539</v>
      </c>
      <c r="AY24" s="4737">
        <v>5.8906678130989905</v>
      </c>
      <c r="AZ24" s="4737">
        <v>5.9116955600412062</v>
      </c>
      <c r="BA24" s="4739">
        <f>+EMD!AZ128</f>
        <v>5.9360969398660011</v>
      </c>
      <c r="BB24" s="4739">
        <f>+EMD!BA128</f>
        <v>6.0462702726947715</v>
      </c>
      <c r="BC24" s="4740">
        <f>+EMD!BB128</f>
        <v>5.9387319622747556</v>
      </c>
      <c r="BD24" s="4740">
        <f>+EMD!BC128</f>
        <v>6.1309279889789305</v>
      </c>
      <c r="BE24" s="4738">
        <f>+EMD!BD128</f>
        <v>5.9494777700994659</v>
      </c>
      <c r="BF24" s="4738">
        <f>+EMD!BE128</f>
        <v>6.0765914769086553</v>
      </c>
      <c r="BG24"/>
      <c r="BH24" s="5790">
        <v>5.9496424970581971</v>
      </c>
      <c r="BI24" s="4742">
        <v>6.0875484215516149</v>
      </c>
      <c r="BJ24" s="4742">
        <v>5.9500019581826908</v>
      </c>
      <c r="BK24" s="4742">
        <v>6.1600133062678522</v>
      </c>
      <c r="BL24" s="4742">
        <v>5.9498028934774796</v>
      </c>
      <c r="BM24" s="5791">
        <v>6.1924446176470314</v>
      </c>
      <c r="BN24" s="4716">
        <v>5.989203092506215</v>
      </c>
      <c r="BO24" s="4742">
        <v>6.2012037687729737</v>
      </c>
      <c r="BP24" s="4716">
        <v>5.9854778159958535</v>
      </c>
      <c r="BQ24" s="1091">
        <v>6.3006370372485003</v>
      </c>
      <c r="BR24" s="2880">
        <v>6.1969869203763626</v>
      </c>
      <c r="BS24" s="2307">
        <v>6.4827565550935358</v>
      </c>
      <c r="BT24" s="1103">
        <v>5.95</v>
      </c>
      <c r="BU24" s="1091">
        <v>6.1800190917369466</v>
      </c>
      <c r="BV24" s="1091">
        <v>6.3116941199196104</v>
      </c>
    </row>
    <row r="25" spans="1:74" ht="18" x14ac:dyDescent="0.3">
      <c r="A25" s="88"/>
      <c r="B25" s="5922" t="s">
        <v>2261</v>
      </c>
      <c r="C25" s="4725" t="s">
        <v>364</v>
      </c>
      <c r="D25" s="4023">
        <v>458.20336960360322</v>
      </c>
      <c r="E25" s="4023">
        <v>494.08443338317159</v>
      </c>
      <c r="F25" s="4727">
        <f>+'POWER DISTRIBUTION'!J17/('Maj Production Summ'!F37+0.25*'Maj Production Summ'!F26)</f>
        <v>492.29361101653404</v>
      </c>
      <c r="G25" s="4023">
        <v>516.21137758811233</v>
      </c>
      <c r="H25" s="4023">
        <f>+'POWER DISTRIBUTION'!L17/('Maj Production Summ'!H37+0.25*'Maj Production Summ'!H26)</f>
        <v>777.2887637898956</v>
      </c>
      <c r="I25" s="4024">
        <f>+'POWER DISTRIBUTION'!M17/('Maj Production Summ'!I37+0.25*'Maj Production Summ'!I26)</f>
        <v>504.7240389454073</v>
      </c>
      <c r="J25" s="4024">
        <f>+'POWER DISTRIBUTION'!N17/('Maj Production Summ'!J37+0.25*'Maj Production Summ'!J26)</f>
        <v>578.07115582206268</v>
      </c>
      <c r="K25" s="4023">
        <v>461.30940171262648</v>
      </c>
      <c r="L25" s="4023">
        <f>+'POWER DISTRIBUTION'!P17/('Maj Production Summ'!L37+0.25*'Maj Production Summ'!L26)</f>
        <v>452.70788686245868</v>
      </c>
      <c r="M25" s="4026">
        <f>+'POWER DISTRIBUTION'!Q17/('Maj Production Summ'!M37+0.25*'Maj Production Summ'!M26)</f>
        <v>487.58849546238611</v>
      </c>
      <c r="N25" s="4026">
        <f>+'POWER DISTRIBUTION'!R17/('Maj Production Summ'!N37+0.25*'Maj Production Summ'!N26)</f>
        <v>523.78919094011644</v>
      </c>
      <c r="O25" s="4023">
        <v>467.7439435313612</v>
      </c>
      <c r="P25" s="4023">
        <f>+'POWER DISTRIBUTION'!T17/('Maj Production Summ'!P37+0.25*'Maj Production Summ'!P26)</f>
        <v>442.75384913193756</v>
      </c>
      <c r="Q25" s="4024">
        <f>+'POWER DISTRIBUTION'!U17/('Maj Production Summ'!Q37+0.25*'Maj Production Summ'!Q26)</f>
        <v>481.92875329729821</v>
      </c>
      <c r="R25" s="4024">
        <f>+'POWER DISTRIBUTION'!V17/('Maj Production Summ'!R37+0.25*'Maj Production Summ'!R26)</f>
        <v>498.19739037725031</v>
      </c>
      <c r="S25" s="4023">
        <v>467.7439435313612</v>
      </c>
      <c r="T25" s="4023">
        <f>+'POWER DISTRIBUTION'!X17/('Maj Production Summ'!T37+0.25*'Maj Production Summ'!T26)</f>
        <v>478.64470311607982</v>
      </c>
      <c r="U25" s="4024">
        <f>+'POWER DISTRIBUTION'!Y17/('Maj Production Summ'!U37+0.25*'Maj Production Summ'!U26)</f>
        <v>478.78095529773464</v>
      </c>
      <c r="V25" s="4024">
        <f>+'POWER DISTRIBUTION'!Z17/('Maj Production Summ'!V37+0.25*'Maj Production Summ'!V26)</f>
        <v>493.86725175299352</v>
      </c>
      <c r="W25" s="4023">
        <v>583.45256429103893</v>
      </c>
      <c r="X25" s="4023">
        <f>+'POWER DISTRIBUTION'!AB17/('Maj Production Summ'!X37+0.25*'Maj Production Summ'!X26)</f>
        <v>460.52954687490472</v>
      </c>
      <c r="Y25" s="4026">
        <f>+'POWER DISTRIBUTION'!AC17/('Maj Production Summ'!Y37+0.25*'Maj Production Summ'!Y26)</f>
        <v>491.95795398331109</v>
      </c>
      <c r="Z25" s="4026">
        <f>+'POWER DISTRIBUTION'!AD17/('Maj Production Summ'!Z37+0.25*'Maj Production Summ'!Z26)</f>
        <v>460.01161602494744</v>
      </c>
      <c r="AA25" s="4736">
        <f>+'POWER DISTRIBUTION'!AE17/('Maj Production Summ'!AA37+0.25*'Maj Production Summ'!AA26)</f>
        <v>489.78321862595743</v>
      </c>
      <c r="AB25" s="4736">
        <f>+'POWER DISTRIBUTION'!AF17/('Maj Production Summ'!AB37+0.25*'Maj Production Summ'!AB26)</f>
        <v>487.73688777587023</v>
      </c>
      <c r="AC25" s="4023">
        <v>460.88039496676566</v>
      </c>
      <c r="AD25" s="4023">
        <f>+'POWER DISTRIBUTION'!AH17/('Maj Production Summ'!AD37+0.25*'Maj Production Summ'!AD26)</f>
        <v>521.99079603557163</v>
      </c>
      <c r="AE25" s="4024">
        <f>+'POWER DISTRIBUTION'!AI17/('Maj Production Summ'!AE37+0.25*'Maj Production Summ'!AE26)</f>
        <v>484.9085663554302</v>
      </c>
      <c r="AF25" s="4024">
        <f>+'POWER DISTRIBUTION'!AJ17/('Maj Production Summ'!AF37+0.25*'Maj Production Summ'!AF26)</f>
        <v>492.13841613383426</v>
      </c>
      <c r="AG25" s="4023">
        <v>462.80371337713393</v>
      </c>
      <c r="AH25" s="4023">
        <f>+'POWER DISTRIBUTION'!AL17/('Maj Production Summ'!AH37+0.25*'Maj Production Summ'!AH26)</f>
        <v>473.49810583154363</v>
      </c>
      <c r="AI25" s="4024">
        <f>+'POWER DISTRIBUTION'!AM17/('Maj Production Summ'!AI37+0.25*'Maj Production Summ'!AI26)</f>
        <v>481.8053566806384</v>
      </c>
      <c r="AJ25" s="4024">
        <f>+'POWER DISTRIBUTION'!AN17/('Maj Production Summ'!AJ37+0.25*'Maj Production Summ'!AJ26)</f>
        <v>489.64754802306481</v>
      </c>
      <c r="AK25" s="4023">
        <v>463.03105379435601</v>
      </c>
      <c r="AL25" s="4023">
        <f>+'POWER DISTRIBUTION'!AP17/('Maj Production Summ'!AL37+0.25*'Maj Production Summ'!AL26)</f>
        <v>443.87203984592827</v>
      </c>
      <c r="AM25" s="4026">
        <f>+'POWER DISTRIBUTION'!AQ17/('Maj Production Summ'!AM37+0.25*'Maj Production Summ'!AM26)</f>
        <v>462.23235342889933</v>
      </c>
      <c r="AN25" s="4026">
        <f>+'POWER DISTRIBUTION'!AR17/('Maj Production Summ'!AN37+0.25*'Maj Production Summ'!AN26)</f>
        <v>476.38290609386956</v>
      </c>
      <c r="AO25" s="4024">
        <f>+'POWER DISTRIBUTION'!AS17/('Maj Production Summ'!AO37+0.25*'Maj Production Summ'!AO26)</f>
        <v>479.42811239318422</v>
      </c>
      <c r="AP25" s="4024">
        <f>+'POWER DISTRIBUTION'!AT17/('Maj Production Summ'!AP37+0.25*'Maj Production Summ'!AP26)</f>
        <v>483.87451499658926</v>
      </c>
      <c r="AQ25" s="4023">
        <v>459.24603448350217</v>
      </c>
      <c r="AR25" s="4023">
        <f>+'POWER DISTRIBUTION'!AV17/('Maj Production Summ'!AR37+0.25*'Maj Production Summ'!AR26)</f>
        <v>461.48646553886596</v>
      </c>
      <c r="AS25" s="4024">
        <f>+'POWER DISTRIBUTION'!AW17/('Maj Production Summ'!AS37+0.25*'Maj Production Summ'!AS26)</f>
        <v>477.13011007836917</v>
      </c>
      <c r="AT25" s="4024">
        <f>+'POWER DISTRIBUTION'!AX17/('Maj Production Summ'!AT37+0.25*'Maj Production Summ'!AT26)</f>
        <v>481.43203218787778</v>
      </c>
      <c r="AU25" s="4023">
        <v>463.10735494009629</v>
      </c>
      <c r="AV25" s="4727">
        <f>+'POWER DISTRIBUTION'!AZ17/('Maj Production Summ'!AV37+0.25*'Maj Production Summ'!AV26)</f>
        <v>502.65661012599321</v>
      </c>
      <c r="AW25" s="4024">
        <f>+'POWER DISTRIBUTION'!BA17/('Maj Production Summ'!AW37+0.25*'Maj Production Summ'!AW26)</f>
        <v>475.83750530217827</v>
      </c>
      <c r="AX25" s="4024">
        <f>+'POWER DISTRIBUTION'!BB17/('Maj Production Summ'!AX37+0.25*'Maj Production Summ'!AX26)</f>
        <v>483.17461169696037</v>
      </c>
      <c r="AY25" s="4023">
        <v>459.76937063497422</v>
      </c>
      <c r="AZ25" s="4727">
        <f>+'POWER DISTRIBUTION'!BD17/('Maj Production Summ'!AZ37+0.25*'Maj Production Summ'!AZ26)</f>
        <v>450.62512378028765</v>
      </c>
      <c r="BA25" s="4026">
        <f>+'POWER DISTRIBUTION'!BE17/('Maj Production Summ'!BA37+0.25*'Maj Production Summ'!BA26)</f>
        <v>460.61776153124572</v>
      </c>
      <c r="BB25" s="4026">
        <f>+'POWER DISTRIBUTION'!BF17/('Maj Production Summ'!BB37+0.25*'Maj Production Summ'!BB26)</f>
        <v>469.35440124772992</v>
      </c>
      <c r="BC25" s="4736">
        <f>+'POWER DISTRIBUTION'!BG17/('Maj Production Summ'!BC37+0.25*'Maj Production Summ'!BC26)</f>
        <v>461.4296796870504</v>
      </c>
      <c r="BD25" s="4736">
        <f>+'POWER DISTRIBUTION'!BH17/('Maj Production Summ'!BD37+0.25*'Maj Production Summ'!BD26)</f>
        <v>472.81898702018145</v>
      </c>
      <c r="BE25" s="4024">
        <f>+'POWER DISTRIBUTION'!BI17/('Maj Production Summ'!BE37+0.25*'Maj Production Summ'!BE26)</f>
        <v>474.33218120535423</v>
      </c>
      <c r="BF25" s="4024">
        <f>+'POWER DISTRIBUTION'!BJ17/('Maj Production Summ'!BF37+0.25*'Maj Production Summ'!BF26)</f>
        <v>480.11059020038255</v>
      </c>
      <c r="BG25"/>
      <c r="BH25" s="5764">
        <v>468.12374114413348</v>
      </c>
      <c r="BI25" s="4735">
        <v>466.61606325348458</v>
      </c>
      <c r="BJ25" s="4735">
        <v>498.86963107144817</v>
      </c>
      <c r="BK25" s="4735">
        <v>491.52958024478414</v>
      </c>
      <c r="BL25" s="4735">
        <v>491.86597886404491</v>
      </c>
      <c r="BM25" s="5765">
        <v>499.12040640635269</v>
      </c>
      <c r="BN25" s="4708">
        <v>499.14522665560133</v>
      </c>
      <c r="BO25" s="4735">
        <v>516.74946439793155</v>
      </c>
      <c r="BP25" s="4708">
        <v>501.08847615207304</v>
      </c>
      <c r="BQ25" s="998">
        <v>528.34198170405227</v>
      </c>
      <c r="BR25" s="2881">
        <v>500.04339220311806</v>
      </c>
      <c r="BS25" s="2306">
        <v>579.80533013641912</v>
      </c>
      <c r="BT25" s="1104">
        <v>483.42299975438647</v>
      </c>
      <c r="BU25" s="1090">
        <v>525.26172798809614</v>
      </c>
      <c r="BV25" s="998">
        <v>552.0369062994705</v>
      </c>
    </row>
    <row r="26" spans="1:74" ht="18" x14ac:dyDescent="0.3">
      <c r="A26" s="88"/>
      <c r="B26" s="5923"/>
      <c r="C26" s="4725" t="s">
        <v>271</v>
      </c>
      <c r="D26" s="4023">
        <v>440.96350704440579</v>
      </c>
      <c r="E26" s="4023">
        <v>465.50188178286226</v>
      </c>
      <c r="F26" s="4023">
        <f>+'POWER DISTRIBUTION'!J17/'Maj Production Summ'!F18</f>
        <v>460.56723586559497</v>
      </c>
      <c r="G26" s="4023">
        <v>510.51864535397584</v>
      </c>
      <c r="H26" s="4023">
        <f>+'POWER DISTRIBUTION'!L17/'Maj Production Summ'!H18</f>
        <v>713.49130899031195</v>
      </c>
      <c r="I26" s="4024">
        <f>+'POWER DISTRIBUTION'!M17/'Maj Production Summ'!I18</f>
        <v>486.60348970682168</v>
      </c>
      <c r="J26" s="4024">
        <f>+'POWER DISTRIBUTION'!N17/'Maj Production Summ'!J18</f>
        <v>537.70826314057933</v>
      </c>
      <c r="K26" s="4023">
        <v>445.92427373959413</v>
      </c>
      <c r="L26" s="4023">
        <f>+'POWER DISTRIBUTION'!P17/'Maj Production Summ'!L18</f>
        <v>424.25451464279837</v>
      </c>
      <c r="M26" s="4026">
        <f>+'POWER DISTRIBUTION'!Q17/'Maj Production Summ'!M18</f>
        <v>470.57327704740516</v>
      </c>
      <c r="N26" s="4026">
        <f>+'POWER DISTRIBUTION'!R17/'Maj Production Summ'!N18</f>
        <v>488.79097879474784</v>
      </c>
      <c r="O26" s="4023">
        <v>451.67957543733371</v>
      </c>
      <c r="P26" s="4023">
        <f>+'POWER DISTRIBUTION'!T17/'Maj Production Summ'!P18</f>
        <v>424.51701842872308</v>
      </c>
      <c r="Q26" s="4024">
        <f>+'POWER DISTRIBUTION'!U17/'Maj Production Summ'!Q18</f>
        <v>465.18692441124313</v>
      </c>
      <c r="R26" s="4024">
        <f>+'POWER DISTRIBUTION'!V17/'Maj Production Summ'!R18</f>
        <v>468.86696378028307</v>
      </c>
      <c r="S26" s="4023">
        <v>451.67957543733371</v>
      </c>
      <c r="T26" s="4023">
        <f>+'POWER DISTRIBUTION'!X17/'Maj Production Summ'!T18</f>
        <v>441.2684100265684</v>
      </c>
      <c r="U26" s="4024">
        <f>+'POWER DISTRIBUTION'!Y17/'Maj Production Summ'!U18</f>
        <v>462.19041773068403</v>
      </c>
      <c r="V26" s="4024">
        <f>+'POWER DISTRIBUTION'!Z17/'Maj Production Summ'!V18</f>
        <v>462.65626723387896</v>
      </c>
      <c r="W26" s="4023">
        <v>568.25162605249295</v>
      </c>
      <c r="X26" s="4023">
        <f>+'POWER DISTRIBUTION'!AB17/'Maj Production Summ'!X18</f>
        <v>452.48637104156836</v>
      </c>
      <c r="Y26" s="4026">
        <f>+'POWER DISTRIBUTION'!AC17/'Maj Production Summ'!Y18</f>
        <v>475.90977253737464</v>
      </c>
      <c r="Z26" s="4026">
        <f>+'POWER DISTRIBUTION'!AD17/'Maj Production Summ'!Z18</f>
        <v>438.89498415702241</v>
      </c>
      <c r="AA26" s="4736">
        <f>+'POWER DISTRIBUTION'!AE17/'Maj Production Summ'!AA18</f>
        <v>473.25058851792795</v>
      </c>
      <c r="AB26" s="4736">
        <f>+'POWER DISTRIBUTION'!AF17/'Maj Production Summ'!AB18</f>
        <v>460.85780870812727</v>
      </c>
      <c r="AC26" s="4023">
        <v>445.88078871917207</v>
      </c>
      <c r="AD26" s="4023">
        <f>+'POWER DISTRIBUTION'!AH17/'Maj Production Summ'!AD18</f>
        <v>520.56796880411787</v>
      </c>
      <c r="AE26" s="4024">
        <f>+'POWER DISTRIBUTION'!AI17/'Maj Production Summ'!AE18</f>
        <v>468.63928932095428</v>
      </c>
      <c r="AF26" s="4024">
        <f>+'POWER DISTRIBUTION'!AJ17/'Maj Production Summ'!AF18</f>
        <v>468.17677268237691</v>
      </c>
      <c r="AG26" s="4023">
        <v>447.36772892271716</v>
      </c>
      <c r="AH26" s="4023">
        <f>+'POWER DISTRIBUTION'!AL17/'Maj Production Summ'!AH18</f>
        <v>442.57474643939258</v>
      </c>
      <c r="AI26" s="4024">
        <f>+'POWER DISTRIBUTION'!AM17/'Maj Production Summ'!AI18</f>
        <v>465.65358806558567</v>
      </c>
      <c r="AJ26" s="4024">
        <f>+'POWER DISTRIBUTION'!AN17/'Maj Production Summ'!AJ18</f>
        <v>464.70304726489047</v>
      </c>
      <c r="AK26" s="4023">
        <v>447.96244879212134</v>
      </c>
      <c r="AL26" s="4023">
        <f>+'POWER DISTRIBUTION'!AP17/'Maj Production Summ'!AL18</f>
        <v>438.77257537174847</v>
      </c>
      <c r="AM26" s="4026">
        <f>+'POWER DISTRIBUTION'!AQ17/'Maj Production Summ'!AM18</f>
        <v>447.06722939252654</v>
      </c>
      <c r="AN26" s="4026">
        <f>+'POWER DISTRIBUTION'!AR17/'Maj Production Summ'!AN18</f>
        <v>462.92308847897897</v>
      </c>
      <c r="AO26" s="4024">
        <f>+'POWER DISTRIBUTION'!AS17/'Maj Production Summ'!AO18</f>
        <v>463.41547850937411</v>
      </c>
      <c r="AP26" s="4024">
        <f>+'POWER DISTRIBUTION'!AT17/'Maj Production Summ'!AP18</f>
        <v>461.54743817958467</v>
      </c>
      <c r="AQ26" s="4023">
        <v>444.01479744397955</v>
      </c>
      <c r="AR26" s="4023">
        <f>+'POWER DISTRIBUTION'!AV17/'Maj Production Summ'!AR18</f>
        <v>455.22207583085952</v>
      </c>
      <c r="AS26" s="4024">
        <f>+'POWER DISTRIBUTION'!AW17/'Maj Production Summ'!AS18</f>
        <v>461.20692196271432</v>
      </c>
      <c r="AT26" s="4024">
        <f>+'POWER DISTRIBUTION'!AX17/'Maj Production Summ'!AT18</f>
        <v>460.87772775501264</v>
      </c>
      <c r="AU26" s="4023">
        <v>446.83745108445066</v>
      </c>
      <c r="AV26" s="4023">
        <f>+'POWER DISTRIBUTION'!AZ17/'Maj Production Summ'!AV18</f>
        <v>501.06568467591995</v>
      </c>
      <c r="AW26" s="4024">
        <f>+'POWER DISTRIBUTION'!BA17/'Maj Production Summ'!AW18</f>
        <v>459.88016521922924</v>
      </c>
      <c r="AX26" s="4024">
        <f>+'POWER DISTRIBUTION'!BB17/'Maj Production Summ'!AX18</f>
        <v>464.05674724265197</v>
      </c>
      <c r="AY26" s="4023">
        <v>444.52082503410134</v>
      </c>
      <c r="AZ26" s="4023">
        <f>+'POWER DISTRIBUTION'!BD17/'Maj Production Summ'!AZ18</f>
        <v>436.04257719836403</v>
      </c>
      <c r="BA26" s="4026">
        <f>+'POWER DISTRIBUTION'!BE17/'Maj Production Summ'!BA18</f>
        <v>445.06135166680338</v>
      </c>
      <c r="BB26" s="4026">
        <f>+'POWER DISTRIBUTION'!BF17/'Maj Production Summ'!BB18</f>
        <v>461.1137481661147</v>
      </c>
      <c r="BC26" s="4736">
        <f>+'POWER DISTRIBUTION'!BG17/'Maj Production Summ'!BC18</f>
        <v>446.06953259872472</v>
      </c>
      <c r="BD26" s="4736">
        <f>+'POWER DISTRIBUTION'!BH17/'Maj Production Summ'!BD18</f>
        <v>462.01058404136779</v>
      </c>
      <c r="BE26" s="4024">
        <f>+'POWER DISTRIBUTION'!BI17/'Maj Production Summ'!BE18</f>
        <v>458.44174228746363</v>
      </c>
      <c r="BF26" s="4024">
        <f>+'POWER DISTRIBUTION'!BJ17/'Maj Production Summ'!BF18</f>
        <v>461.43745792389194</v>
      </c>
      <c r="BG26"/>
      <c r="BH26" s="5764">
        <v>452.63468862379085</v>
      </c>
      <c r="BI26" s="4735">
        <v>450.63202456670632</v>
      </c>
      <c r="BJ26" s="4735">
        <v>483.40224419045359</v>
      </c>
      <c r="BK26" s="4735">
        <v>471.6278698390359</v>
      </c>
      <c r="BL26" s="4735">
        <v>475.02938820908332</v>
      </c>
      <c r="BM26" s="5765">
        <v>476.2494644347301</v>
      </c>
      <c r="BN26" s="4708">
        <v>482.32052805467174</v>
      </c>
      <c r="BO26" s="4735">
        <v>494.76973868424994</v>
      </c>
      <c r="BP26" s="4708">
        <v>486.14726114397098</v>
      </c>
      <c r="BQ26" s="998">
        <v>514.38475747997404</v>
      </c>
      <c r="BR26" s="2881">
        <v>487.7465843305942</v>
      </c>
      <c r="BS26" s="2306">
        <v>580.20285834899937</v>
      </c>
      <c r="BT26" s="1104">
        <v>448.29125296551734</v>
      </c>
      <c r="BU26" s="1090">
        <v>538.52023832812074</v>
      </c>
      <c r="BV26" s="998">
        <v>565.51993685574621</v>
      </c>
    </row>
    <row r="27" spans="1:74" ht="18" x14ac:dyDescent="0.3">
      <c r="A27" s="88"/>
      <c r="B27" s="4724" t="s">
        <v>1332</v>
      </c>
      <c r="C27" s="4725" t="s">
        <v>29</v>
      </c>
      <c r="D27" s="4751">
        <v>2.8000000000000003</v>
      </c>
      <c r="E27" s="4751">
        <f>+$D$27</f>
        <v>2.8000000000000003</v>
      </c>
      <c r="F27" s="4751">
        <v>2.82</v>
      </c>
      <c r="G27" s="4751">
        <f>+$D$27</f>
        <v>2.8000000000000003</v>
      </c>
      <c r="H27" s="4751">
        <v>2.82</v>
      </c>
      <c r="I27" s="4748">
        <f>+$D$27</f>
        <v>2.8000000000000003</v>
      </c>
      <c r="J27" s="4748">
        <f>+((F27*F33)+(H27*H33))/J33</f>
        <v>2.8199999999999994</v>
      </c>
      <c r="K27" s="4751">
        <f>+$D$27</f>
        <v>2.8000000000000003</v>
      </c>
      <c r="L27" s="4751">
        <v>2.96</v>
      </c>
      <c r="M27" s="4749">
        <f>+$D$27</f>
        <v>2.8000000000000003</v>
      </c>
      <c r="N27" s="4749">
        <f>+((F33*F27)+(H33*H27)+(L33*L27))/N33</f>
        <v>2.8803630986115043</v>
      </c>
      <c r="O27" s="4751">
        <f>+$D$27</f>
        <v>2.8000000000000003</v>
      </c>
      <c r="P27" s="4751">
        <v>2.9</v>
      </c>
      <c r="Q27" s="4748">
        <f>+$D$27</f>
        <v>2.8000000000000003</v>
      </c>
      <c r="R27" s="4748">
        <f>+(((N27*N33)+(P27*P33))/R33)</f>
        <v>2.8864502591952599</v>
      </c>
      <c r="S27" s="4751">
        <f>+$D$27</f>
        <v>2.8000000000000003</v>
      </c>
      <c r="T27" s="4751">
        <v>2.9</v>
      </c>
      <c r="U27" s="4748">
        <f>+$D$27</f>
        <v>2.8000000000000003</v>
      </c>
      <c r="V27" s="4748">
        <f>+(((R27*R33)+(T27*T33))/V33)</f>
        <v>2.8894994526121192</v>
      </c>
      <c r="W27" s="4751">
        <f>+$D$27</f>
        <v>2.8000000000000003</v>
      </c>
      <c r="X27" s="4751">
        <v>2.9049999999999998</v>
      </c>
      <c r="Y27" s="4749">
        <f>+$D$27</f>
        <v>2.8000000000000003</v>
      </c>
      <c r="Z27" s="4749">
        <f>+((P33*P27)+(T33*T27)+(X33*X27))/Z33</f>
        <v>2.9015794263163683</v>
      </c>
      <c r="AA27" s="4750">
        <f>+$D$27</f>
        <v>2.8000000000000003</v>
      </c>
      <c r="AB27" s="4750">
        <f>+((N27*N33)+(Z27*Z33))/AB33</f>
        <v>2.8922405908770932</v>
      </c>
      <c r="AC27" s="4751">
        <f>+$D$27</f>
        <v>2.8000000000000003</v>
      </c>
      <c r="AD27" s="4747">
        <v>2.94</v>
      </c>
      <c r="AE27" s="4748">
        <f>+$D$27</f>
        <v>2.8000000000000003</v>
      </c>
      <c r="AF27" s="4748">
        <f>+(((AB27*AB33)+(AD27*AD33))/AF33)</f>
        <v>2.8980946933320202</v>
      </c>
      <c r="AG27" s="4751">
        <f>+$D$27</f>
        <v>2.8000000000000003</v>
      </c>
      <c r="AH27" s="4747">
        <v>2.86</v>
      </c>
      <c r="AI27" s="4748">
        <f>+$D$27</f>
        <v>2.8000000000000003</v>
      </c>
      <c r="AJ27" s="4748">
        <f>+(((AF27*AF33)+(AH27*AH33))/AJ33)</f>
        <v>2.8929259421072979</v>
      </c>
      <c r="AK27" s="4751">
        <f>+$D$27</f>
        <v>2.8000000000000003</v>
      </c>
      <c r="AL27" s="4747">
        <v>2.87</v>
      </c>
      <c r="AM27" s="4729">
        <f>+$D$27</f>
        <v>2.8000000000000003</v>
      </c>
      <c r="AN27" s="4749">
        <f>+((AD33*AD27)+(AH33*AH27)+(AL33*AL27))/AN33</f>
        <v>2.8859377390882455</v>
      </c>
      <c r="AO27" s="4748">
        <f>+$D$27</f>
        <v>2.8000000000000003</v>
      </c>
      <c r="AP27" s="4748">
        <f>+(((AL27*AL33)+(AJ27*AJ33))/AP33)</f>
        <v>2.8901359693099993</v>
      </c>
      <c r="AQ27" s="4751">
        <v>2.85</v>
      </c>
      <c r="AR27" s="4747">
        <v>2.88</v>
      </c>
      <c r="AS27" s="4748">
        <f>+$D$27</f>
        <v>2.8000000000000003</v>
      </c>
      <c r="AT27" s="4748">
        <f>+(((AP27*AP33)+(AR27*AR33))/AT33)</f>
        <v>2.8890628032309973</v>
      </c>
      <c r="AU27" s="4751">
        <v>2.85</v>
      </c>
      <c r="AV27" s="4747">
        <v>2.86</v>
      </c>
      <c r="AW27" s="4748">
        <f>+$D$27</f>
        <v>2.8000000000000003</v>
      </c>
      <c r="AX27" s="4748">
        <f>+(((AT27*AT33)+(AV27*AV33))/AX33)</f>
        <v>2.8867638255044459</v>
      </c>
      <c r="AY27" s="4751">
        <v>2.85</v>
      </c>
      <c r="AZ27" s="4747">
        <v>2.87</v>
      </c>
      <c r="BA27" s="4749">
        <f>+$D$27</f>
        <v>2.8000000000000003</v>
      </c>
      <c r="BB27" s="4749">
        <f>+((AR27*AR33)+(AV27*AV33)+(AZ27*AZ33))/BB33</f>
        <v>2.8706576616643975</v>
      </c>
      <c r="BC27" s="4750">
        <f>+$D$27</f>
        <v>2.8000000000000003</v>
      </c>
      <c r="BD27" s="4750">
        <f>+((AN27*AN33)+(BB27*BB33))/BD33</f>
        <v>2.8782315390123565</v>
      </c>
      <c r="BE27" s="4748">
        <f>+$D$27</f>
        <v>2.8000000000000003</v>
      </c>
      <c r="BF27" s="4748">
        <f>+((AX27*AX33)+(AZ27*AZ33))/BF33</f>
        <v>2.8851964291112657</v>
      </c>
      <c r="BG27"/>
      <c r="BH27" s="5794">
        <v>2.850000000000001</v>
      </c>
      <c r="BI27" s="4752">
        <v>2.9076318381507082</v>
      </c>
      <c r="BJ27" s="4752">
        <v>2.85</v>
      </c>
      <c r="BK27" s="4752">
        <v>2.991974559276541</v>
      </c>
      <c r="BL27" s="4752">
        <v>2.85</v>
      </c>
      <c r="BM27" s="5795">
        <v>3.0828892276362487</v>
      </c>
      <c r="BN27" s="4717">
        <v>3.3</v>
      </c>
      <c r="BO27" s="4752">
        <v>3.0186531588909742</v>
      </c>
      <c r="BP27" s="4717">
        <v>4.2999999999999989</v>
      </c>
      <c r="BQ27" s="1091">
        <v>3.3197103856374044</v>
      </c>
      <c r="BR27" s="2881">
        <v>4.3000000000000007</v>
      </c>
      <c r="BS27" s="2307">
        <v>5.0407393881131286</v>
      </c>
      <c r="BT27" s="1104">
        <v>4.5999999999999988</v>
      </c>
      <c r="BU27" s="1091">
        <v>5.0056729201905341</v>
      </c>
      <c r="BV27" s="1091">
        <v>5.0192042238753487</v>
      </c>
    </row>
    <row r="28" spans="1:74" ht="18" x14ac:dyDescent="0.3">
      <c r="A28" s="88"/>
      <c r="B28" s="4724" t="s">
        <v>2293</v>
      </c>
      <c r="C28" s="4725" t="s">
        <v>1112</v>
      </c>
      <c r="D28" s="4751">
        <v>2.5099999999999998</v>
      </c>
      <c r="E28" s="4751">
        <f>+$D$28</f>
        <v>2.5099999999999998</v>
      </c>
      <c r="F28" s="4751">
        <v>2.68</v>
      </c>
      <c r="G28" s="4751">
        <f>+$D$28</f>
        <v>2.5099999999999998</v>
      </c>
      <c r="H28" s="4747">
        <v>3.08</v>
      </c>
      <c r="I28" s="4748">
        <f>+$D$28</f>
        <v>2.5099999999999998</v>
      </c>
      <c r="J28" s="4748">
        <f>+((F28*F33)+(H28*H33))/J33</f>
        <v>2.8019987110312687</v>
      </c>
      <c r="K28" s="4751">
        <f>+$D$28</f>
        <v>2.5099999999999998</v>
      </c>
      <c r="L28" s="4751">
        <v>2.34</v>
      </c>
      <c r="M28" s="4749">
        <f>+$D$28</f>
        <v>2.5099999999999998</v>
      </c>
      <c r="N28" s="4749">
        <f>+((F33*F28)+(H33*H28)+(L33*L28))/N33</f>
        <v>2.6028010413714933</v>
      </c>
      <c r="O28" s="4751">
        <f>+$D$28</f>
        <v>2.5099999999999998</v>
      </c>
      <c r="P28" s="4751">
        <v>2.35</v>
      </c>
      <c r="Q28" s="4748">
        <f>+$D$28</f>
        <v>2.5099999999999998</v>
      </c>
      <c r="R28" s="4748">
        <f>+((N28*N33)+(P28*P33))/R33</f>
        <v>2.5244363083555945</v>
      </c>
      <c r="S28" s="4751">
        <f>+$D$28</f>
        <v>2.5099999999999998</v>
      </c>
      <c r="T28" s="4751">
        <v>2.4</v>
      </c>
      <c r="U28" s="4748">
        <f>+$D$28</f>
        <v>2.5099999999999998</v>
      </c>
      <c r="V28" s="4748">
        <f>+((R28*R33)+(T28*T33))/V33</f>
        <v>2.496433531201109</v>
      </c>
      <c r="W28" s="4751">
        <f>+$D$28</f>
        <v>2.5099999999999998</v>
      </c>
      <c r="X28" s="4751">
        <v>2.4500000000000002</v>
      </c>
      <c r="Y28" s="4749">
        <f>+$D$28</f>
        <v>2.5099999999999998</v>
      </c>
      <c r="Z28" s="4749">
        <f>+((P33*P28)+(T33*T28)+(X33*X28))/Z33</f>
        <v>2.3981330008034742</v>
      </c>
      <c r="AA28" s="4750">
        <f>+$D$28</f>
        <v>2.5099999999999998</v>
      </c>
      <c r="AB28" s="4750">
        <f>+((N28*N33)+(Z28*Z33))/AB33+0.01</f>
        <v>2.4982221612431208</v>
      </c>
      <c r="AC28" s="4751">
        <f>+$D$28</f>
        <v>2.5099999999999998</v>
      </c>
      <c r="AD28" s="4747">
        <v>2.78</v>
      </c>
      <c r="AE28" s="4748">
        <f>+$D$28</f>
        <v>2.5099999999999998</v>
      </c>
      <c r="AF28" s="4748">
        <f>+((AB28*AB33)+(AD28*AD33))/AF33</f>
        <v>2.5327610378310932</v>
      </c>
      <c r="AG28" s="4751">
        <f>+$D$28</f>
        <v>2.5099999999999998</v>
      </c>
      <c r="AH28" s="4747">
        <v>2.41</v>
      </c>
      <c r="AI28" s="4748">
        <f>+$D$28</f>
        <v>2.5099999999999998</v>
      </c>
      <c r="AJ28" s="4748">
        <f>+(((AF28*AF33)+(AH28*AH33))/AJ33)-0.01</f>
        <v>2.5061046164469567</v>
      </c>
      <c r="AK28" s="4751">
        <f>+$D$28</f>
        <v>2.5099999999999998</v>
      </c>
      <c r="AL28" s="4747">
        <v>2.4</v>
      </c>
      <c r="AM28" s="4749">
        <f>+$D$28</f>
        <v>2.5099999999999998</v>
      </c>
      <c r="AN28" s="4749">
        <f>+((AD33*AD28)+(AH33*AH28)+(AL33*AL28))/AN33</f>
        <v>2.5094618298531417</v>
      </c>
      <c r="AO28" s="4748">
        <f>+$D$28</f>
        <v>2.5099999999999998</v>
      </c>
      <c r="AP28" s="4748">
        <f>+((AL28*AL33)+(AJ28*AJ33))/AP33</f>
        <v>2.4931922138870384</v>
      </c>
      <c r="AQ28" s="4751">
        <f>+$D$28</f>
        <v>2.5099999999999998</v>
      </c>
      <c r="AR28" s="4747">
        <v>2.4</v>
      </c>
      <c r="AS28" s="4748">
        <f>+$D$28</f>
        <v>2.5099999999999998</v>
      </c>
      <c r="AT28" s="4748">
        <f>+((AP28*AP33)+(AR28*AR33))/AT33</f>
        <v>2.4833253013390677</v>
      </c>
      <c r="AU28" s="4751">
        <f>+$D$28</f>
        <v>2.5099999999999998</v>
      </c>
      <c r="AV28" s="4747">
        <v>2.48</v>
      </c>
      <c r="AW28" s="4748">
        <f>+$D$28</f>
        <v>2.5099999999999998</v>
      </c>
      <c r="AX28" s="4748">
        <f>+((AT28*AT33)+(AV28*AV33))/AX33</f>
        <v>2.483062257418224</v>
      </c>
      <c r="AY28" s="4751">
        <f>+$D$28</f>
        <v>2.5099999999999998</v>
      </c>
      <c r="AZ28" s="4747">
        <v>2.37</v>
      </c>
      <c r="BA28" s="4749">
        <f>+$D$28</f>
        <v>2.5099999999999998</v>
      </c>
      <c r="BB28" s="4749">
        <f>+((AR28*AR33)+(AV28*AV33)+(AZ28*AZ33))/BB33</f>
        <v>2.4115605155409652</v>
      </c>
      <c r="BC28" s="4750">
        <f>+$D$28</f>
        <v>2.5099999999999998</v>
      </c>
      <c r="BD28" s="4750">
        <f>+((AN28*AN33)+(BB28*BB33))/BD33</f>
        <v>2.4600872687920416</v>
      </c>
      <c r="BE28" s="4748">
        <f>+$D$28</f>
        <v>2.5099999999999998</v>
      </c>
      <c r="BF28" s="4748">
        <f>+((AX28*AX33)+(AZ28*AZ33))/BF33</f>
        <v>2.4724910799483122</v>
      </c>
      <c r="BG28"/>
      <c r="BH28" s="5794">
        <v>2.2695881506742244</v>
      </c>
      <c r="BI28" s="4752">
        <v>2.4090645904537564</v>
      </c>
      <c r="BJ28" s="4752">
        <v>2.3199999999999998</v>
      </c>
      <c r="BK28" s="4752">
        <v>2.3695074279050243</v>
      </c>
      <c r="BL28" s="4752">
        <v>2.375</v>
      </c>
      <c r="BM28" s="5795">
        <v>2.4275691559637163</v>
      </c>
      <c r="BN28" s="4716">
        <v>2.35</v>
      </c>
      <c r="BO28" s="4742">
        <v>2.4470555125122435</v>
      </c>
      <c r="BP28" s="4716">
        <v>2.4499999999999997</v>
      </c>
      <c r="BQ28" s="3634">
        <v>2.4734991631008487</v>
      </c>
      <c r="BR28" s="2880">
        <v>2.4499999999999997</v>
      </c>
      <c r="BS28" s="2308">
        <v>2.6211067789738518</v>
      </c>
      <c r="BT28" s="1103">
        <v>2.456658</v>
      </c>
      <c r="BU28" s="1091">
        <v>2.4355941599645199</v>
      </c>
      <c r="BV28" s="1091">
        <v>2.6099530027409332</v>
      </c>
    </row>
    <row r="29" spans="1:74" ht="18" x14ac:dyDescent="0.3">
      <c r="A29" s="88"/>
      <c r="B29" s="4724" t="s">
        <v>366</v>
      </c>
      <c r="C29" s="4725" t="s">
        <v>405</v>
      </c>
      <c r="D29" s="4751">
        <v>0.5</v>
      </c>
      <c r="E29" s="4751">
        <f>+$D$29</f>
        <v>0.5</v>
      </c>
      <c r="F29" s="4751">
        <v>0.52</v>
      </c>
      <c r="G29" s="4751">
        <f>+$D$29</f>
        <v>0.5</v>
      </c>
      <c r="H29" s="4747">
        <v>0.56000000000000005</v>
      </c>
      <c r="I29" s="4748">
        <f>+$D$29</f>
        <v>0.5</v>
      </c>
      <c r="J29" s="5525">
        <f>+((F29*F33)+(H29*H33))/J33</f>
        <v>0.53219987110312683</v>
      </c>
      <c r="K29" s="4751">
        <f>+$D$29</f>
        <v>0.5</v>
      </c>
      <c r="L29" s="4751">
        <v>0.5</v>
      </c>
      <c r="M29" s="4749">
        <f>+$D$29</f>
        <v>0.5</v>
      </c>
      <c r="N29" s="4749">
        <f>+((F33*F29)+(H33*H29)+(L33*L29))/N33</f>
        <v>0.51831641399829975</v>
      </c>
      <c r="O29" s="4751">
        <f>+$D$29</f>
        <v>0.5</v>
      </c>
      <c r="P29" s="4751">
        <v>0.5</v>
      </c>
      <c r="Q29" s="4748">
        <f>+$D$29</f>
        <v>0.5</v>
      </c>
      <c r="R29" s="4748">
        <f>+((N29*N33)+(P29*P33))/R33</f>
        <v>0.51263858575440358</v>
      </c>
      <c r="S29" s="4751">
        <f>+$D$29</f>
        <v>0.5</v>
      </c>
      <c r="T29" s="4751">
        <v>0.5</v>
      </c>
      <c r="U29" s="4748">
        <f>+$D$29</f>
        <v>0.5</v>
      </c>
      <c r="V29" s="4748">
        <f>+((R29*R33)+(T29*T33))/V33</f>
        <v>0.50979443596319429</v>
      </c>
      <c r="W29" s="4751">
        <f>+$D$29</f>
        <v>0.5</v>
      </c>
      <c r="X29" s="4751">
        <v>0.5</v>
      </c>
      <c r="Y29" s="4749">
        <f>+$D$29</f>
        <v>0.5</v>
      </c>
      <c r="Z29" s="4749">
        <f>+((P33*P29)+(T33*T29)+(X33*X29))/Z33</f>
        <v>0.5</v>
      </c>
      <c r="AA29" s="4750">
        <f>+$D$29</f>
        <v>0.5</v>
      </c>
      <c r="AB29" s="4750">
        <f>+((N29*N33)+(Z29*Z33))/AB33</f>
        <v>0.50806237434429058</v>
      </c>
      <c r="AC29" s="4751">
        <f>+$D$29</f>
        <v>0.5</v>
      </c>
      <c r="AD29" s="4747">
        <v>0.5</v>
      </c>
      <c r="AE29" s="4748">
        <f>+$D$29</f>
        <v>0.5</v>
      </c>
      <c r="AF29" s="4748">
        <f>+((AB29*AB33)+(AD29*AD33))/AF33</f>
        <v>0.50707413001069779</v>
      </c>
      <c r="AG29" s="4751">
        <f>+$D$29</f>
        <v>0.5</v>
      </c>
      <c r="AH29" s="4747">
        <v>0.46</v>
      </c>
      <c r="AI29" s="4748">
        <f>+$D$29</f>
        <v>0.5</v>
      </c>
      <c r="AJ29" s="4748">
        <f>+((AF29*AF33)+(AH29*AH33))/AJ33</f>
        <v>0.50068703391243374</v>
      </c>
      <c r="AK29" s="4751">
        <f>+$D$29</f>
        <v>0.5</v>
      </c>
      <c r="AL29" s="4747">
        <v>0.49</v>
      </c>
      <c r="AM29" s="4749">
        <f>+$D$29</f>
        <v>0.5</v>
      </c>
      <c r="AN29" s="4749">
        <f>+((AD33*AD29)+(AH33*AH29)+(AL33*AL29))/AN33</f>
        <v>0.48208007551300947</v>
      </c>
      <c r="AO29" s="4748">
        <f>+$D$29</f>
        <v>0.5</v>
      </c>
      <c r="AP29" s="4748">
        <f>+((AL29*AL33)+(AJ29*AJ33))/AP33</f>
        <v>0.49938647519340917</v>
      </c>
      <c r="AQ29" s="4751">
        <f>+$D$29</f>
        <v>0.5</v>
      </c>
      <c r="AR29" s="4747">
        <v>0.5</v>
      </c>
      <c r="AS29" s="4748">
        <f>+$D$29</f>
        <v>0.5</v>
      </c>
      <c r="AT29" s="4748">
        <f>+((AP29*AP33)+(AR29*AR33))/AT33</f>
        <v>0.49945143336276848</v>
      </c>
      <c r="AU29" s="4751">
        <f>+$D$29</f>
        <v>0.5</v>
      </c>
      <c r="AV29" s="4747">
        <v>0.52</v>
      </c>
      <c r="AW29" s="4748">
        <f>+$D$29</f>
        <v>0.5</v>
      </c>
      <c r="AX29" s="4748">
        <f>+((AT29*AT33)+(AV29*AV33))/AX33</f>
        <v>0.50107690275180405</v>
      </c>
      <c r="AY29" s="4751">
        <f>+$D$29</f>
        <v>0.5</v>
      </c>
      <c r="AZ29" s="4747">
        <v>0.5</v>
      </c>
      <c r="BA29" s="4749">
        <f>+$D$29</f>
        <v>0.5</v>
      </c>
      <c r="BB29" s="4749">
        <f>+((AR29*AR33)+(AV29*AV33)+(AZ29*AZ33))/BB33</f>
        <v>0.50565536150682489</v>
      </c>
      <c r="BC29" s="4750">
        <f>+$D$29</f>
        <v>0.5</v>
      </c>
      <c r="BD29" s="4750">
        <f>+((AN29*AN33)+(BB29*BB33))/BD33</f>
        <v>0.49396979738255292</v>
      </c>
      <c r="BE29" s="4748">
        <f>+$D$29</f>
        <v>0.5</v>
      </c>
      <c r="BF29" s="4748">
        <f>+((AX29*AX33)+(AZ29*AZ33))/BF33</f>
        <v>0.50097621371226853</v>
      </c>
      <c r="BG29"/>
      <c r="BH29" s="5794">
        <v>0.5</v>
      </c>
      <c r="BI29" s="4752">
        <v>0.49640477049433274</v>
      </c>
      <c r="BJ29" s="4752">
        <v>0.5</v>
      </c>
      <c r="BK29" s="4752">
        <v>0.49588308625627264</v>
      </c>
      <c r="BL29" s="4752">
        <v>0.53</v>
      </c>
      <c r="BM29" s="5795">
        <v>0.53450494973160534</v>
      </c>
      <c r="BN29" s="4717">
        <v>0.53</v>
      </c>
      <c r="BO29" s="4752">
        <v>0.52806819520607939</v>
      </c>
      <c r="BP29" s="4717">
        <v>0.55000000000000004</v>
      </c>
      <c r="BQ29" s="1091">
        <v>0.5391608296186442</v>
      </c>
      <c r="BR29" s="2882">
        <v>0.55000000000000004</v>
      </c>
      <c r="BS29" s="2307">
        <v>0.6232821487978184</v>
      </c>
      <c r="BT29" s="1105">
        <v>0.55112399999999995</v>
      </c>
      <c r="BU29" s="1091">
        <v>0.57147495070586141</v>
      </c>
      <c r="BV29" s="1091">
        <v>0.55061804440565798</v>
      </c>
    </row>
    <row r="30" spans="1:74" ht="18" x14ac:dyDescent="0.3">
      <c r="A30" s="88"/>
      <c r="B30" s="4724" t="s">
        <v>2082</v>
      </c>
      <c r="C30" s="4725" t="s">
        <v>521</v>
      </c>
      <c r="D30" s="4023">
        <v>832.79094265846709</v>
      </c>
      <c r="E30" s="4023">
        <f t="shared" ref="E30:AF30" si="16">+E38</f>
        <v>694.95531888890366</v>
      </c>
      <c r="F30" s="4047">
        <f t="shared" si="16"/>
        <v>802.23728490316716</v>
      </c>
      <c r="G30" s="4023">
        <f t="shared" ref="G30:H30" si="17">+G38</f>
        <v>598.01649379778178</v>
      </c>
      <c r="H30" s="4047">
        <f t="shared" si="17"/>
        <v>351.97887314582897</v>
      </c>
      <c r="I30" s="4024">
        <f t="shared" si="16"/>
        <v>645.70800184808866</v>
      </c>
      <c r="J30" s="4024">
        <f t="shared" si="16"/>
        <v>573.64039878101153</v>
      </c>
      <c r="K30" s="4023">
        <f t="shared" si="16"/>
        <v>817.70562892885039</v>
      </c>
      <c r="L30" s="4047">
        <f t="shared" si="16"/>
        <v>850.75383150272273</v>
      </c>
      <c r="M30" s="4026">
        <f t="shared" si="16"/>
        <v>703.72050374551338</v>
      </c>
      <c r="N30" s="4026">
        <f t="shared" si="16"/>
        <v>666.77603405259936</v>
      </c>
      <c r="O30" s="4023">
        <f t="shared" ref="O30:P30" si="18">+O38</f>
        <v>802.355516552626</v>
      </c>
      <c r="P30" s="4047">
        <f t="shared" si="18"/>
        <v>858.73073141775944</v>
      </c>
      <c r="Q30" s="4024">
        <f t="shared" si="16"/>
        <v>729.27107125340615</v>
      </c>
      <c r="R30" s="4024">
        <f t="shared" si="16"/>
        <v>716.21532548907055</v>
      </c>
      <c r="S30" s="4023">
        <f t="shared" si="16"/>
        <v>803.0385660843109</v>
      </c>
      <c r="T30" s="4047">
        <f t="shared" si="16"/>
        <v>807.72736148331228</v>
      </c>
      <c r="U30" s="4024">
        <f t="shared" ref="U30:X30" si="19">+U38</f>
        <v>744.43855354813525</v>
      </c>
      <c r="V30" s="4024">
        <f t="shared" si="19"/>
        <v>734.90507213474314</v>
      </c>
      <c r="W30" s="4023">
        <f t="shared" si="19"/>
        <v>444.87961481035342</v>
      </c>
      <c r="X30" s="4047">
        <f t="shared" si="19"/>
        <v>800.50814464028986</v>
      </c>
      <c r="Y30" s="4026">
        <f t="shared" si="16"/>
        <v>690.03884183027776</v>
      </c>
      <c r="Z30" s="4026">
        <f t="shared" si="16"/>
        <v>822.67304970318651</v>
      </c>
      <c r="AA30" s="4736">
        <f t="shared" si="16"/>
        <v>694.8696354413961</v>
      </c>
      <c r="AB30" s="4736">
        <f t="shared" si="16"/>
        <v>745.67866506409973</v>
      </c>
      <c r="AC30" s="4023">
        <f t="shared" si="16"/>
        <v>821.61133260872475</v>
      </c>
      <c r="AD30" s="4047">
        <f t="shared" si="16"/>
        <v>627.19218779449864</v>
      </c>
      <c r="AE30" s="4024">
        <f t="shared" si="16"/>
        <v>713.35785298456824</v>
      </c>
      <c r="AF30" s="4024">
        <f t="shared" si="16"/>
        <v>728.48850222235978</v>
      </c>
      <c r="AG30" s="4023">
        <f t="shared" ref="AG30:AJ30" si="20">+AG38</f>
        <v>825.17752502414544</v>
      </c>
      <c r="AH30" s="4047">
        <f t="shared" si="20"/>
        <v>812.21648212896196</v>
      </c>
      <c r="AI30" s="4024">
        <f t="shared" si="20"/>
        <v>727.14379583492598</v>
      </c>
      <c r="AJ30" s="4024">
        <f t="shared" si="20"/>
        <v>738.77388264637341</v>
      </c>
      <c r="AK30" s="4023">
        <f t="shared" ref="AK30:AL30" si="21">+AK38</f>
        <v>824.42828574909777</v>
      </c>
      <c r="AL30" s="4047">
        <f t="shared" si="21"/>
        <v>805.04627302386416</v>
      </c>
      <c r="AM30" s="4026">
        <f t="shared" ref="AM30:BF30" si="22">+AM38</f>
        <v>823.72805861312543</v>
      </c>
      <c r="AN30" s="4026">
        <f t="shared" si="22"/>
        <v>747.27457978871462</v>
      </c>
      <c r="AO30" s="4024">
        <f t="shared" si="22"/>
        <v>738.13817196188916</v>
      </c>
      <c r="AP30" s="4024">
        <f t="shared" si="22"/>
        <v>746.21128969020106</v>
      </c>
      <c r="AQ30" s="4023">
        <f t="shared" si="22"/>
        <v>838.81244623945884</v>
      </c>
      <c r="AR30" s="4047">
        <f t="shared" si="22"/>
        <v>789.63550917454529</v>
      </c>
      <c r="AS30" s="4024">
        <f t="shared" si="22"/>
        <v>748.33978175926586</v>
      </c>
      <c r="AT30" s="4024">
        <f t="shared" si="22"/>
        <v>750.56885160960132</v>
      </c>
      <c r="AU30" s="4023">
        <f t="shared" ref="AU30:AV30" si="23">+AU38</f>
        <v>830.48772690547321</v>
      </c>
      <c r="AV30" s="4047">
        <f t="shared" si="23"/>
        <v>707.99769922610335</v>
      </c>
      <c r="AW30" s="4024">
        <f t="shared" si="22"/>
        <v>755.2261043135577</v>
      </c>
      <c r="AX30" s="4024">
        <f t="shared" si="22"/>
        <v>747.05753385081255</v>
      </c>
      <c r="AY30" s="4023">
        <f t="shared" si="22"/>
        <v>839.77411141141556</v>
      </c>
      <c r="AZ30" s="4047">
        <f t="shared" si="22"/>
        <v>837.34047478274499</v>
      </c>
      <c r="BA30" s="4729">
        <f t="shared" si="22"/>
        <v>836.55358401556646</v>
      </c>
      <c r="BB30" s="4026">
        <f t="shared" si="22"/>
        <v>780.49294118867783</v>
      </c>
      <c r="BC30" s="4736">
        <f t="shared" si="22"/>
        <v>830.07564496772477</v>
      </c>
      <c r="BD30" s="4736">
        <f t="shared" si="22"/>
        <v>763.66364360461557</v>
      </c>
      <c r="BE30" s="4024">
        <f t="shared" si="22"/>
        <v>762.39999894243067</v>
      </c>
      <c r="BF30" s="4024">
        <f t="shared" si="22"/>
        <v>754.62718395115428</v>
      </c>
      <c r="BG30"/>
      <c r="BH30" s="5764">
        <v>789.974082133769</v>
      </c>
      <c r="BI30" s="4735">
        <v>785.5870465334782</v>
      </c>
      <c r="BJ30" s="4735">
        <v>712.17383164731029</v>
      </c>
      <c r="BK30" s="4735">
        <v>691.16367009719045</v>
      </c>
      <c r="BL30" s="4735">
        <v>729.20663969961981</v>
      </c>
      <c r="BM30" s="5765">
        <v>695.16314963675404</v>
      </c>
      <c r="BN30" s="4708">
        <v>656.40621199671705</v>
      </c>
      <c r="BO30" s="4735">
        <v>639.11266207165545</v>
      </c>
      <c r="BP30" s="4708">
        <v>615.77607331821741</v>
      </c>
      <c r="BQ30" s="998">
        <v>561.88093987319337</v>
      </c>
      <c r="BR30" s="2883">
        <v>549.90657676580804</v>
      </c>
      <c r="BS30" s="2309">
        <v>459.24950351799106</v>
      </c>
      <c r="BT30" s="1590">
        <v>562.64319308862753</v>
      </c>
      <c r="BU30" s="998">
        <v>490.34382042747291</v>
      </c>
      <c r="BV30" s="998">
        <v>421.02863329539394</v>
      </c>
    </row>
    <row r="31" spans="1:74" ht="18" x14ac:dyDescent="0.3">
      <c r="A31" s="88"/>
      <c r="B31" s="4732" t="s">
        <v>2081</v>
      </c>
      <c r="C31" s="4733" t="s">
        <v>521</v>
      </c>
      <c r="D31" s="4047">
        <f t="shared" ref="D31:J31" si="24">D43</f>
        <v>308.34707046999944</v>
      </c>
      <c r="E31" s="4047">
        <f t="shared" si="24"/>
        <v>258.69359962033656</v>
      </c>
      <c r="F31" s="4047">
        <f t="shared" si="24"/>
        <v>296.57273441651228</v>
      </c>
      <c r="G31" s="4047">
        <f t="shared" si="24"/>
        <v>224.03611143282791</v>
      </c>
      <c r="H31" s="4047">
        <f t="shared" si="24"/>
        <v>135.48662366319007</v>
      </c>
      <c r="I31" s="4024">
        <f t="shared" si="24"/>
        <v>241.08441202731086</v>
      </c>
      <c r="J31" s="4024">
        <f t="shared" si="24"/>
        <v>215.20755656963885</v>
      </c>
      <c r="K31" s="4047"/>
      <c r="L31" s="4047"/>
      <c r="M31" s="4026"/>
      <c r="N31" s="4026"/>
      <c r="O31" s="4047"/>
      <c r="P31" s="4047"/>
      <c r="Q31" s="4047"/>
      <c r="R31" s="4047"/>
      <c r="S31" s="4047"/>
      <c r="T31" s="4047"/>
      <c r="U31" s="4047"/>
      <c r="V31" s="4047"/>
      <c r="W31" s="4047"/>
      <c r="X31" s="4047"/>
      <c r="Y31" s="4026"/>
      <c r="Z31" s="4026"/>
      <c r="AA31" s="4736"/>
      <c r="AB31" s="4736"/>
      <c r="AC31" s="4047"/>
      <c r="AD31" s="4047">
        <f>+AD43</f>
        <v>210.92733663322568</v>
      </c>
      <c r="AE31" s="4047"/>
      <c r="AF31" s="4047"/>
      <c r="AG31" s="4047"/>
      <c r="AH31" s="4047">
        <f>+AH43</f>
        <v>268.17838859292317</v>
      </c>
      <c r="AI31" s="4024"/>
      <c r="AJ31" s="4024"/>
      <c r="AK31" s="4047"/>
      <c r="AL31" s="4047">
        <f>+AL43</f>
        <v>268.16346452427814</v>
      </c>
      <c r="AM31" s="4047"/>
      <c r="AN31" s="4047"/>
      <c r="AO31" s="4047"/>
      <c r="AP31" s="4047"/>
      <c r="AQ31" s="4047"/>
      <c r="AR31" s="4047">
        <f>+AR43</f>
        <v>274.37361194337399</v>
      </c>
      <c r="AS31" s="4047"/>
      <c r="AT31" s="4047"/>
      <c r="AU31" s="4047"/>
      <c r="AV31" s="4047">
        <f>+AV43</f>
        <v>256.6506322986628</v>
      </c>
      <c r="AW31" s="4047"/>
      <c r="AX31" s="4047"/>
      <c r="AY31" s="4047"/>
      <c r="AZ31" s="4047">
        <f>+AZ43</f>
        <v>308.14852942293248</v>
      </c>
      <c r="BA31" s="4726"/>
      <c r="BB31" s="4047"/>
      <c r="BC31" s="4047"/>
      <c r="BD31" s="4047"/>
      <c r="BE31" s="4047"/>
      <c r="BF31" s="4047"/>
      <c r="BG31"/>
      <c r="BH31" s="5593"/>
      <c r="BI31" s="4735"/>
      <c r="BJ31" s="4735"/>
      <c r="BK31" s="4735"/>
      <c r="BL31" s="4735"/>
      <c r="BM31" s="5765"/>
      <c r="BN31" s="5394"/>
      <c r="BO31" s="4047"/>
      <c r="BP31" s="4699"/>
      <c r="BQ31" s="4701"/>
      <c r="BR31" s="4702"/>
      <c r="BS31" s="4703"/>
      <c r="BT31" s="4700"/>
      <c r="BU31" s="4701"/>
      <c r="BV31" s="4701"/>
    </row>
    <row r="32" spans="1:74" ht="15" thickBot="1" x14ac:dyDescent="0.35">
      <c r="BG32"/>
      <c r="BH32" s="2515"/>
      <c r="BM32" s="1597"/>
    </row>
    <row r="33" spans="1:74" ht="15" customHeight="1" x14ac:dyDescent="0.3">
      <c r="A33" s="142"/>
      <c r="B33" s="5915" t="s">
        <v>2083</v>
      </c>
      <c r="C33" s="4771" t="s">
        <v>560</v>
      </c>
      <c r="D33" s="247">
        <f>'Maj Production Summ'!D18</f>
        <v>2817514.1242937851</v>
      </c>
      <c r="E33" s="247">
        <f>'Maj Production Summ'!E18</f>
        <v>193691.14877589454</v>
      </c>
      <c r="F33" s="247">
        <f>'Maj Production Summ'!F18</f>
        <v>223226</v>
      </c>
      <c r="G33" s="247">
        <f>'Maj Production Summ'!G18</f>
        <v>170903.95480225986</v>
      </c>
      <c r="H33" s="247">
        <f>'Maj Production Summ'!H18</f>
        <v>97961</v>
      </c>
      <c r="I33" s="341">
        <f t="shared" ref="I33:J36" si="25">+E33+G33</f>
        <v>364595.10357815441</v>
      </c>
      <c r="J33" s="341">
        <f t="shared" si="25"/>
        <v>321187</v>
      </c>
      <c r="K33" s="247">
        <f>'Maj Production Summ'!K18</f>
        <v>237110.48158640199</v>
      </c>
      <c r="L33" s="247">
        <f>'Maj Production Summ'!L18</f>
        <v>243453</v>
      </c>
      <c r="M33" s="574">
        <f t="shared" ref="M33:N36" si="26">+E33+G33+K33</f>
        <v>601705.5851645564</v>
      </c>
      <c r="N33" s="574">
        <f t="shared" si="26"/>
        <v>564640</v>
      </c>
      <c r="O33" s="247">
        <f>'Maj Production Summ'!O18</f>
        <v>239943.34277620399</v>
      </c>
      <c r="P33" s="247">
        <f>'Maj Production Summ'!P18</f>
        <v>253662</v>
      </c>
      <c r="Q33" s="247">
        <f t="shared" ref="Q33:R36" si="27">+M33+O33</f>
        <v>841648.92794076039</v>
      </c>
      <c r="R33" s="247">
        <f t="shared" si="27"/>
        <v>818302</v>
      </c>
      <c r="S33" s="247">
        <f>'Maj Production Summ'!S18</f>
        <v>239943.34277620399</v>
      </c>
      <c r="T33" s="247">
        <f>'Maj Production Summ'!T18</f>
        <v>237622</v>
      </c>
      <c r="U33" s="247">
        <f t="shared" ref="U33:U36" si="28">+Q33+S33</f>
        <v>1081592.2707169643</v>
      </c>
      <c r="V33" s="247">
        <f t="shared" ref="V33:V36" si="29">+R33+T33</f>
        <v>1055924</v>
      </c>
      <c r="W33" s="247">
        <f>'Maj Production Summ'!W18</f>
        <v>125920.679886686</v>
      </c>
      <c r="X33" s="247">
        <f>'Maj Production Summ'!X18</f>
        <v>226847</v>
      </c>
      <c r="Y33" s="574">
        <f t="shared" ref="Y33:Z36" si="30">+O33+S33+W33</f>
        <v>605807.36543909402</v>
      </c>
      <c r="Z33" s="574">
        <f t="shared" si="30"/>
        <v>718131</v>
      </c>
      <c r="AA33" s="955">
        <f>+M33+Y33</f>
        <v>1207512.9506036504</v>
      </c>
      <c r="AB33" s="955">
        <f>+N33+Z33</f>
        <v>1282771</v>
      </c>
      <c r="AC33" s="247">
        <f>'Maj Production Summ'!AC18</f>
        <v>244664.77809253999</v>
      </c>
      <c r="AD33" s="247">
        <f>'Maj Production Summ'!AD18</f>
        <v>179201</v>
      </c>
      <c r="AE33" s="247">
        <f t="shared" ref="AE33:AE36" si="31">+AA33+AC33</f>
        <v>1452177.7286961903</v>
      </c>
      <c r="AF33" s="247">
        <f t="shared" ref="AF33:AF36" si="32">+AB33+AD33</f>
        <v>1461972</v>
      </c>
      <c r="AG33" s="247">
        <f>'Maj Production Summ'!AG18</f>
        <v>237110.48158640199</v>
      </c>
      <c r="AH33" s="247">
        <f>'Maj Production Summ'!AH18</f>
        <v>229502</v>
      </c>
      <c r="AI33" s="341">
        <f t="shared" ref="AI33:AI36" si="33">+AE33+AG33</f>
        <v>1689288.2102825923</v>
      </c>
      <c r="AJ33" s="341">
        <f t="shared" ref="AJ33:AJ36" si="34">+AF33+AH33</f>
        <v>1691474</v>
      </c>
      <c r="AK33" s="247">
        <f>'Maj Production Summ'!AK18</f>
        <v>244664.77809253999</v>
      </c>
      <c r="AL33" s="247">
        <f>'Maj Production Summ'!AL18</f>
        <v>234365</v>
      </c>
      <c r="AM33" s="247">
        <f t="shared" ref="AM33:AM36" si="35">+AC33+AG33+AK33</f>
        <v>726440.03777148202</v>
      </c>
      <c r="AN33" s="247">
        <f t="shared" ref="AN33:AN36" si="36">+AD33+AH33+AL33</f>
        <v>643068</v>
      </c>
      <c r="AO33" s="247">
        <f>AI33+AK33</f>
        <v>1933952.9883751324</v>
      </c>
      <c r="AP33" s="247">
        <f>AJ33+AL33</f>
        <v>1925839</v>
      </c>
      <c r="AQ33" s="247">
        <f>'Maj Production Summ'!AQ18</f>
        <v>248441.92634560907</v>
      </c>
      <c r="AR33" s="247">
        <f>'Maj Production Summ'!AR18</f>
        <v>228047</v>
      </c>
      <c r="AS33" s="247">
        <f t="shared" ref="AS33:AS36" si="37">+AO33+AQ33</f>
        <v>2182394.9147207416</v>
      </c>
      <c r="AT33" s="247">
        <f t="shared" ref="AT33:AT36" si="38">+AP33+AR33</f>
        <v>2153886</v>
      </c>
      <c r="AU33" s="247">
        <f>'Maj Production Summ'!AU18</f>
        <v>222001.88857412653</v>
      </c>
      <c r="AV33" s="247">
        <f>'Maj Production Summ'!AV18</f>
        <v>185016</v>
      </c>
      <c r="AW33" s="247">
        <f t="shared" ref="AW33:AW36" si="39">+AS33+AU33</f>
        <v>2404396.8032948682</v>
      </c>
      <c r="AX33" s="247">
        <f t="shared" ref="AX33:AX36" si="40">+AT33+AV33</f>
        <v>2338902</v>
      </c>
      <c r="AY33" s="247">
        <f>'Maj Production Summ'!AY18</f>
        <v>248441.92634560907</v>
      </c>
      <c r="AZ33" s="247">
        <f>'Maj Production Summ'!AZ18</f>
        <v>241240</v>
      </c>
      <c r="BA33" s="247">
        <f t="shared" ref="BA33:BA36" si="41">+AQ33+AU33+AY33</f>
        <v>718885.74126534467</v>
      </c>
      <c r="BB33" s="247">
        <f t="shared" ref="BB33:BB36" si="42">+AR33+AV33+AZ33</f>
        <v>654303</v>
      </c>
      <c r="BC33" s="247">
        <f>+AM33+BA33</f>
        <v>1445325.7790368267</v>
      </c>
      <c r="BD33" s="247">
        <f>+AN33+BB33</f>
        <v>1297371</v>
      </c>
      <c r="BE33" s="247">
        <f t="shared" ref="BE33:BF36" si="43">+AW33+AY33</f>
        <v>2652838.7296404773</v>
      </c>
      <c r="BF33" s="247">
        <f t="shared" si="43"/>
        <v>2580142</v>
      </c>
      <c r="BG33"/>
      <c r="BH33" s="337">
        <v>2770018.885741265</v>
      </c>
      <c r="BI33" s="1591">
        <v>2702613</v>
      </c>
      <c r="BJ33" s="1591">
        <v>2489528.3018867923</v>
      </c>
      <c r="BK33" s="1591">
        <v>2436959</v>
      </c>
      <c r="BL33" s="1591">
        <v>2620075.4716981109</v>
      </c>
      <c r="BM33" s="3760">
        <v>2528925</v>
      </c>
      <c r="BN33" s="5778">
        <v>2499999.9999999981</v>
      </c>
      <c r="BO33" s="249">
        <v>2422324.3024999998</v>
      </c>
      <c r="BP33" s="4767">
        <v>2573000.7983342619</v>
      </c>
      <c r="BQ33" s="3635">
        <v>2322716</v>
      </c>
      <c r="BR33" s="2884"/>
      <c r="BS33" s="2321"/>
      <c r="BT33" s="142"/>
      <c r="BU33" s="142"/>
      <c r="BV33" s="137"/>
    </row>
    <row r="34" spans="1:74" ht="15" customHeight="1" x14ac:dyDescent="0.3">
      <c r="A34" s="142"/>
      <c r="B34" s="5916"/>
      <c r="C34" s="4732" t="s">
        <v>563</v>
      </c>
      <c r="D34" s="4047">
        <f>'Maj Production Summ'!D26</f>
        <v>6020</v>
      </c>
      <c r="E34" s="4047">
        <f>'Maj Production Summ'!E26</f>
        <v>1945</v>
      </c>
      <c r="F34" s="4047">
        <f>'Maj Production Summ'!F26</f>
        <v>471.09455400000002</v>
      </c>
      <c r="G34" s="4047">
        <f>'Maj Production Summ'!G26</f>
        <v>4075</v>
      </c>
      <c r="H34" s="4047">
        <f>'Maj Production Summ'!H26</f>
        <v>6281.6658540000008</v>
      </c>
      <c r="I34" s="4024">
        <f t="shared" si="25"/>
        <v>6020</v>
      </c>
      <c r="J34" s="4024">
        <f t="shared" si="25"/>
        <v>6752.760408000001</v>
      </c>
      <c r="K34" s="4047">
        <f>'Maj Production Summ'!K26</f>
        <v>810</v>
      </c>
      <c r="L34" s="4047">
        <f>'Maj Production Summ'!L26</f>
        <v>1030.457772</v>
      </c>
      <c r="M34" s="4026">
        <f t="shared" si="26"/>
        <v>6830</v>
      </c>
      <c r="N34" s="4026">
        <f t="shared" si="26"/>
        <v>7783.2181800000008</v>
      </c>
      <c r="O34" s="4047">
        <f>'Maj Production Summ'!O26</f>
        <v>810</v>
      </c>
      <c r="P34" s="4047">
        <f>'Maj Production Summ'!P26</f>
        <v>0</v>
      </c>
      <c r="Q34" s="4047">
        <f t="shared" si="27"/>
        <v>7640</v>
      </c>
      <c r="R34" s="4047">
        <f t="shared" si="27"/>
        <v>7783.2181800000008</v>
      </c>
      <c r="S34" s="4047">
        <f>'Maj Production Summ'!S26</f>
        <v>810</v>
      </c>
      <c r="T34" s="4047">
        <f>'Maj Production Summ'!T26</f>
        <v>164.40840400000002</v>
      </c>
      <c r="U34" s="4047">
        <f t="shared" si="28"/>
        <v>8450</v>
      </c>
      <c r="V34" s="4047">
        <f t="shared" si="29"/>
        <v>7947.6265840000005</v>
      </c>
      <c r="W34" s="4047">
        <f>'Maj Production Summ'!W26</f>
        <v>5360</v>
      </c>
      <c r="X34" s="4047">
        <f>'Maj Production Summ'!X26</f>
        <v>292.81079599999998</v>
      </c>
      <c r="Y34" s="4026">
        <f t="shared" si="30"/>
        <v>6980</v>
      </c>
      <c r="Z34" s="4026">
        <f t="shared" si="30"/>
        <v>457.2192</v>
      </c>
      <c r="AA34" s="4736">
        <f t="shared" ref="AA34:AB36" si="44">+M34+Y34</f>
        <v>13810</v>
      </c>
      <c r="AB34" s="4736">
        <f t="shared" si="44"/>
        <v>8240.4373800000012</v>
      </c>
      <c r="AC34" s="4047">
        <f>'Maj Production Summ'!AC26</f>
        <v>810</v>
      </c>
      <c r="AD34" s="4047">
        <f>'Maj Production Summ'!AD26</f>
        <v>9043.2686400000002</v>
      </c>
      <c r="AE34" s="4047">
        <f t="shared" si="31"/>
        <v>14620</v>
      </c>
      <c r="AF34" s="4047">
        <f t="shared" si="32"/>
        <v>17283.706020000001</v>
      </c>
      <c r="AG34" s="4047">
        <f>'Maj Production Summ'!AG26</f>
        <v>810</v>
      </c>
      <c r="AH34" s="4047">
        <f>'Maj Production Summ'!AH26</f>
        <v>154.21622600000001</v>
      </c>
      <c r="AI34" s="4024">
        <f t="shared" si="33"/>
        <v>15430</v>
      </c>
      <c r="AJ34" s="4024">
        <f t="shared" si="34"/>
        <v>17437.922246000002</v>
      </c>
      <c r="AK34" s="4047">
        <f>'Maj Production Summ'!AK26</f>
        <v>810</v>
      </c>
      <c r="AL34" s="4047">
        <f>'Maj Production Summ'!AL26</f>
        <v>40.725159999999995</v>
      </c>
      <c r="AM34" s="4047">
        <f t="shared" si="35"/>
        <v>2430</v>
      </c>
      <c r="AN34" s="4047">
        <f t="shared" si="36"/>
        <v>9238.2100260000007</v>
      </c>
      <c r="AO34" s="4047">
        <f t="shared" ref="AO34:AO36" si="45">AI34+AK34</f>
        <v>16240</v>
      </c>
      <c r="AP34" s="4047">
        <f t="shared" ref="AP34:AP36" si="46">AJ34+AL34</f>
        <v>17478.647406000004</v>
      </c>
      <c r="AQ34" s="4047">
        <f>'Maj Production Summ'!AQ26</f>
        <v>810</v>
      </c>
      <c r="AR34" s="4047">
        <f>'Maj Production Summ'!AR26</f>
        <v>1557.1072680000002</v>
      </c>
      <c r="AS34" s="4047">
        <f t="shared" si="37"/>
        <v>17050</v>
      </c>
      <c r="AT34" s="4047">
        <f t="shared" si="38"/>
        <v>19035.754674000003</v>
      </c>
      <c r="AU34" s="4047">
        <f>'Maj Production Summ'!AU26</f>
        <v>810</v>
      </c>
      <c r="AV34" s="4047">
        <f>'Maj Production Summ'!AV26</f>
        <v>920</v>
      </c>
      <c r="AW34" s="4047">
        <f t="shared" si="39"/>
        <v>17860</v>
      </c>
      <c r="AX34" s="4047">
        <f t="shared" si="40"/>
        <v>19955.754674000003</v>
      </c>
      <c r="AY34" s="4047">
        <f>'Maj Production Summ'!AY26</f>
        <v>810</v>
      </c>
      <c r="AZ34" s="4047">
        <f>'Maj Production Summ'!AZ26</f>
        <v>401.63434799999999</v>
      </c>
      <c r="BA34" s="4047">
        <f t="shared" si="41"/>
        <v>2430</v>
      </c>
      <c r="BB34" s="4047">
        <f t="shared" si="42"/>
        <v>2878.7416160000002</v>
      </c>
      <c r="BC34" s="4047">
        <f t="shared" ref="BC34:BC36" si="47">+AM34+BA34</f>
        <v>4860</v>
      </c>
      <c r="BD34" s="4047">
        <f t="shared" ref="BD34:BD36" si="48">+AN34+BB34</f>
        <v>12116.951642</v>
      </c>
      <c r="BE34" s="4047">
        <f t="shared" si="43"/>
        <v>18670</v>
      </c>
      <c r="BF34" s="4047">
        <f t="shared" si="43"/>
        <v>20357.389022000003</v>
      </c>
      <c r="BG34"/>
      <c r="BH34" s="5593">
        <v>14270</v>
      </c>
      <c r="BI34" s="4735">
        <v>21216.523929999999</v>
      </c>
      <c r="BJ34" s="4735">
        <v>9365</v>
      </c>
      <c r="BK34" s="4735">
        <v>25856.451263999999</v>
      </c>
      <c r="BL34" s="4735">
        <v>21561.099796334001</v>
      </c>
      <c r="BM34" s="5765">
        <v>13596.897649999999</v>
      </c>
      <c r="BN34" s="5394">
        <v>22929.735234215885</v>
      </c>
      <c r="BO34" s="4772">
        <v>16335.783939999999</v>
      </c>
      <c r="BP34" s="4768">
        <v>34051.635437881865</v>
      </c>
      <c r="BQ34" s="3637">
        <v>32547.079289999998</v>
      </c>
      <c r="BR34" s="2885"/>
      <c r="BS34" s="2322"/>
      <c r="BT34" s="142"/>
      <c r="BU34" s="142"/>
      <c r="BV34" s="137"/>
    </row>
    <row r="35" spans="1:74" ht="15" customHeight="1" x14ac:dyDescent="0.3">
      <c r="A35" s="142"/>
      <c r="B35" s="5916"/>
      <c r="C35" s="4732" t="s">
        <v>561</v>
      </c>
      <c r="D35" s="4047">
        <f>+D34/2</f>
        <v>3010</v>
      </c>
      <c r="E35" s="4047">
        <f>+E34/2</f>
        <v>972.5</v>
      </c>
      <c r="F35" s="4047">
        <f>+F34/2</f>
        <v>235.54727700000001</v>
      </c>
      <c r="G35" s="4047">
        <f>+G34/2</f>
        <v>2037.5</v>
      </c>
      <c r="H35" s="4047">
        <f>+H34/2</f>
        <v>3140.8329270000004</v>
      </c>
      <c r="I35" s="4024">
        <f t="shared" si="25"/>
        <v>3010</v>
      </c>
      <c r="J35" s="4024">
        <f t="shared" si="25"/>
        <v>3376.3802040000005</v>
      </c>
      <c r="K35" s="4047">
        <f>+K34/2</f>
        <v>405</v>
      </c>
      <c r="L35" s="4047">
        <f>+L34/2</f>
        <v>515.22888599999999</v>
      </c>
      <c r="M35" s="4026">
        <f t="shared" si="26"/>
        <v>3415</v>
      </c>
      <c r="N35" s="4026">
        <f t="shared" si="26"/>
        <v>3891.6090900000004</v>
      </c>
      <c r="O35" s="4047">
        <f>+O34/2</f>
        <v>405</v>
      </c>
      <c r="P35" s="4047">
        <f>+P34/2</f>
        <v>0</v>
      </c>
      <c r="Q35" s="4047">
        <f t="shared" si="27"/>
        <v>3820</v>
      </c>
      <c r="R35" s="4047">
        <f t="shared" si="27"/>
        <v>3891.6090900000004</v>
      </c>
      <c r="S35" s="4047">
        <f>+S34/2</f>
        <v>405</v>
      </c>
      <c r="T35" s="4047">
        <f>+T34/2</f>
        <v>82.204202000000009</v>
      </c>
      <c r="U35" s="4047">
        <f t="shared" si="28"/>
        <v>4225</v>
      </c>
      <c r="V35" s="4047">
        <f t="shared" si="29"/>
        <v>3973.8132920000003</v>
      </c>
      <c r="W35" s="4047">
        <f>+W34/2</f>
        <v>2680</v>
      </c>
      <c r="X35" s="4047">
        <f>+X34/2</f>
        <v>146.40539799999999</v>
      </c>
      <c r="Y35" s="4026">
        <f t="shared" si="30"/>
        <v>3490</v>
      </c>
      <c r="Z35" s="4026">
        <f t="shared" si="30"/>
        <v>228.6096</v>
      </c>
      <c r="AA35" s="4736">
        <f t="shared" si="44"/>
        <v>6905</v>
      </c>
      <c r="AB35" s="4736">
        <f t="shared" si="44"/>
        <v>4120.2186900000006</v>
      </c>
      <c r="AC35" s="4047">
        <f>+AC34/2</f>
        <v>405</v>
      </c>
      <c r="AD35" s="4047">
        <f>+AD34/2</f>
        <v>4521.6343200000001</v>
      </c>
      <c r="AE35" s="4047">
        <f t="shared" si="31"/>
        <v>7310</v>
      </c>
      <c r="AF35" s="4047">
        <f t="shared" si="32"/>
        <v>8641.8530100000007</v>
      </c>
      <c r="AG35" s="4047">
        <f>+AG34/2</f>
        <v>405</v>
      </c>
      <c r="AH35" s="4047">
        <f>+AH34/2</f>
        <v>77.108113000000003</v>
      </c>
      <c r="AI35" s="4024">
        <f t="shared" si="33"/>
        <v>7715</v>
      </c>
      <c r="AJ35" s="4024">
        <f t="shared" si="34"/>
        <v>8718.961123000001</v>
      </c>
      <c r="AK35" s="4047">
        <f>+AK34/2</f>
        <v>405</v>
      </c>
      <c r="AL35" s="4047">
        <f>+AL34/2</f>
        <v>20.362579999999998</v>
      </c>
      <c r="AM35" s="4047">
        <f t="shared" si="35"/>
        <v>1215</v>
      </c>
      <c r="AN35" s="4047">
        <f t="shared" si="36"/>
        <v>4619.1050130000003</v>
      </c>
      <c r="AO35" s="4047">
        <f t="shared" si="45"/>
        <v>8120</v>
      </c>
      <c r="AP35" s="4047">
        <f t="shared" si="46"/>
        <v>8739.3237030000018</v>
      </c>
      <c r="AQ35" s="4047">
        <f>+AQ34/2</f>
        <v>405</v>
      </c>
      <c r="AR35" s="4047">
        <f>+AR34/2</f>
        <v>778.5536340000001</v>
      </c>
      <c r="AS35" s="4047">
        <f t="shared" si="37"/>
        <v>8525</v>
      </c>
      <c r="AT35" s="4047">
        <f t="shared" si="38"/>
        <v>9517.8773370000017</v>
      </c>
      <c r="AU35" s="4047">
        <f>+AU34/2</f>
        <v>405</v>
      </c>
      <c r="AV35" s="4047">
        <f>+AV34/2</f>
        <v>460</v>
      </c>
      <c r="AW35" s="4047">
        <f t="shared" si="39"/>
        <v>8930</v>
      </c>
      <c r="AX35" s="4047">
        <f t="shared" si="40"/>
        <v>9977.8773370000017</v>
      </c>
      <c r="AY35" s="4047">
        <f>+AY34/2</f>
        <v>405</v>
      </c>
      <c r="AZ35" s="4047">
        <f>+AZ34/2</f>
        <v>200.81717399999999</v>
      </c>
      <c r="BA35" s="4047">
        <f t="shared" si="41"/>
        <v>1215</v>
      </c>
      <c r="BB35" s="4047">
        <f t="shared" si="42"/>
        <v>1439.3708080000001</v>
      </c>
      <c r="BC35" s="4047">
        <f t="shared" si="47"/>
        <v>2430</v>
      </c>
      <c r="BD35" s="4047">
        <f t="shared" si="48"/>
        <v>6058.475821</v>
      </c>
      <c r="BE35" s="4047">
        <f t="shared" si="43"/>
        <v>9335</v>
      </c>
      <c r="BF35" s="4047">
        <f t="shared" si="43"/>
        <v>10178.694511000002</v>
      </c>
      <c r="BG35"/>
      <c r="BH35" s="5593">
        <v>7135</v>
      </c>
      <c r="BI35" s="4735">
        <v>10608.261965</v>
      </c>
      <c r="BJ35" s="4735">
        <v>4682.5</v>
      </c>
      <c r="BK35" s="4735">
        <v>12928.225632</v>
      </c>
      <c r="BL35" s="4735">
        <v>10780.549898167001</v>
      </c>
      <c r="BM35" s="5765">
        <v>6798.4488249999995</v>
      </c>
      <c r="BN35" s="5394">
        <v>11464.867617107942</v>
      </c>
      <c r="BO35" s="4772">
        <v>8167.8919699999997</v>
      </c>
      <c r="BP35" s="4768">
        <v>17025.817718940933</v>
      </c>
      <c r="BQ35" s="3637">
        <v>16273.539644999999</v>
      </c>
      <c r="BR35" s="2885"/>
      <c r="BS35" s="2322"/>
      <c r="BT35" s="142"/>
      <c r="BU35" s="142"/>
      <c r="BV35" s="137"/>
    </row>
    <row r="36" spans="1:74" ht="15" customHeight="1" x14ac:dyDescent="0.3">
      <c r="A36" s="142"/>
      <c r="B36" s="5916"/>
      <c r="C36" s="4732" t="s">
        <v>562</v>
      </c>
      <c r="D36" s="4047">
        <f>+D33+D35</f>
        <v>2820524.1242937851</v>
      </c>
      <c r="E36" s="4047">
        <f>+E33+E35</f>
        <v>194663.64877589454</v>
      </c>
      <c r="F36" s="4047">
        <f>+F33+F35</f>
        <v>223461.54727700001</v>
      </c>
      <c r="G36" s="4047">
        <f>+G33+G35</f>
        <v>172941.45480225986</v>
      </c>
      <c r="H36" s="4047">
        <f>+H33+H35</f>
        <v>101101.832927</v>
      </c>
      <c r="I36" s="4024">
        <f t="shared" si="25"/>
        <v>367605.10357815441</v>
      </c>
      <c r="J36" s="4024">
        <f t="shared" si="25"/>
        <v>324563.38020399999</v>
      </c>
      <c r="K36" s="4047">
        <f>+K33+K35</f>
        <v>237515.48158640199</v>
      </c>
      <c r="L36" s="4047">
        <f>+L33+L35</f>
        <v>243968.228886</v>
      </c>
      <c r="M36" s="4026">
        <f t="shared" si="26"/>
        <v>605120.5851645564</v>
      </c>
      <c r="N36" s="4026">
        <f t="shared" si="26"/>
        <v>568531.60908999993</v>
      </c>
      <c r="O36" s="4047">
        <f>+O33+O35</f>
        <v>240348.34277620399</v>
      </c>
      <c r="P36" s="4047">
        <f>+P33+P35</f>
        <v>253662</v>
      </c>
      <c r="Q36" s="4047">
        <f t="shared" si="27"/>
        <v>845468.92794076039</v>
      </c>
      <c r="R36" s="4047">
        <f t="shared" si="27"/>
        <v>822193.60908999993</v>
      </c>
      <c r="S36" s="4047">
        <f>+S33+S35</f>
        <v>240348.34277620399</v>
      </c>
      <c r="T36" s="4047">
        <f>+T33+T35</f>
        <v>237704.20420199999</v>
      </c>
      <c r="U36" s="4047">
        <f t="shared" si="28"/>
        <v>1085817.2707169643</v>
      </c>
      <c r="V36" s="4047">
        <f t="shared" si="29"/>
        <v>1059897.813292</v>
      </c>
      <c r="W36" s="4047">
        <f>+W33+W35</f>
        <v>128600.679886686</v>
      </c>
      <c r="X36" s="4047">
        <f>+X33+X35</f>
        <v>226993.405398</v>
      </c>
      <c r="Y36" s="4026">
        <f t="shared" si="30"/>
        <v>609297.36543909402</v>
      </c>
      <c r="Z36" s="4026">
        <f t="shared" si="30"/>
        <v>718359.60959999997</v>
      </c>
      <c r="AA36" s="4736">
        <f t="shared" si="44"/>
        <v>1214417.9506036504</v>
      </c>
      <c r="AB36" s="4736">
        <f t="shared" si="44"/>
        <v>1286891.21869</v>
      </c>
      <c r="AC36" s="4047">
        <f>+AC33+AC35</f>
        <v>245069.77809253999</v>
      </c>
      <c r="AD36" s="4047">
        <f>+AD33+AD35</f>
        <v>183722.63432000001</v>
      </c>
      <c r="AE36" s="4047">
        <f t="shared" si="31"/>
        <v>1459487.7286961903</v>
      </c>
      <c r="AF36" s="4047">
        <f t="shared" si="32"/>
        <v>1470613.85301</v>
      </c>
      <c r="AG36" s="4047">
        <f>+AG33+AG35</f>
        <v>237515.48158640199</v>
      </c>
      <c r="AH36" s="4047">
        <f>+AH33+AH35</f>
        <v>229579.10811299999</v>
      </c>
      <c r="AI36" s="4024">
        <f t="shared" si="33"/>
        <v>1697003.2102825923</v>
      </c>
      <c r="AJ36" s="4024">
        <f t="shared" si="34"/>
        <v>1700192.9611229999</v>
      </c>
      <c r="AK36" s="4047">
        <f>+AK33+AK35</f>
        <v>245069.77809253999</v>
      </c>
      <c r="AL36" s="4047">
        <f>+AL33+AL35</f>
        <v>234385.36257999999</v>
      </c>
      <c r="AM36" s="4047">
        <f t="shared" si="35"/>
        <v>727655.03777148202</v>
      </c>
      <c r="AN36" s="4047">
        <f t="shared" si="36"/>
        <v>647687.10501299996</v>
      </c>
      <c r="AO36" s="4047">
        <f t="shared" si="45"/>
        <v>1942072.9883751324</v>
      </c>
      <c r="AP36" s="4047">
        <f t="shared" si="46"/>
        <v>1934578.3237029999</v>
      </c>
      <c r="AQ36" s="4047">
        <f>+AQ33+AQ35</f>
        <v>248846.92634560907</v>
      </c>
      <c r="AR36" s="4047">
        <f>+AR33+AR35</f>
        <v>228825.55363400001</v>
      </c>
      <c r="AS36" s="4047">
        <f t="shared" si="37"/>
        <v>2190919.9147207416</v>
      </c>
      <c r="AT36" s="4047">
        <f t="shared" si="38"/>
        <v>2163403.8773369999</v>
      </c>
      <c r="AU36" s="4047">
        <f>+AU33+AU35</f>
        <v>222406.88857412653</v>
      </c>
      <c r="AV36" s="4047">
        <f>+AV33+AV35</f>
        <v>185476</v>
      </c>
      <c r="AW36" s="4047">
        <f t="shared" si="39"/>
        <v>2413326.8032948682</v>
      </c>
      <c r="AX36" s="4047">
        <f t="shared" si="40"/>
        <v>2348879.8773369999</v>
      </c>
      <c r="AY36" s="4047">
        <f>+AY33+AY35</f>
        <v>248846.92634560907</v>
      </c>
      <c r="AZ36" s="4047">
        <f>+AZ33+AZ35</f>
        <v>241440.817174</v>
      </c>
      <c r="BA36" s="4047">
        <f t="shared" si="41"/>
        <v>720100.74126534467</v>
      </c>
      <c r="BB36" s="4047">
        <f t="shared" si="42"/>
        <v>655742.37080799998</v>
      </c>
      <c r="BC36" s="4047">
        <f t="shared" si="47"/>
        <v>1447755.7790368267</v>
      </c>
      <c r="BD36" s="4047">
        <f t="shared" si="48"/>
        <v>1303429.4758210001</v>
      </c>
      <c r="BE36" s="4047">
        <f t="shared" si="43"/>
        <v>2662173.7296404773</v>
      </c>
      <c r="BF36" s="4047">
        <f t="shared" si="43"/>
        <v>2590320.6945110001</v>
      </c>
      <c r="BG36"/>
      <c r="BH36" s="5593">
        <v>2777153.885741265</v>
      </c>
      <c r="BI36" s="4735">
        <v>2713221.2619650001</v>
      </c>
      <c r="BJ36" s="4735">
        <v>2494210.8018867923</v>
      </c>
      <c r="BK36" s="4735">
        <v>2449887.2256319998</v>
      </c>
      <c r="BL36" s="4735">
        <v>2630856.0215962785</v>
      </c>
      <c r="BM36" s="5765">
        <v>2535723.4488249999</v>
      </c>
      <c r="BN36" s="5394">
        <v>2511464.8676171061</v>
      </c>
      <c r="BO36" s="4772">
        <v>2430492.1944699995</v>
      </c>
      <c r="BP36" s="4768">
        <v>2590026.6160532027</v>
      </c>
      <c r="BQ36" s="3637">
        <v>2338989.5396449999</v>
      </c>
      <c r="BR36" s="2885"/>
      <c r="BS36" s="2322"/>
      <c r="BT36" s="142"/>
      <c r="BU36" s="142"/>
      <c r="BV36" s="137"/>
    </row>
    <row r="37" spans="1:74" ht="15" customHeight="1" x14ac:dyDescent="0.3">
      <c r="A37" s="142"/>
      <c r="B37" s="5916"/>
      <c r="C37" s="4732" t="s">
        <v>527</v>
      </c>
      <c r="D37" s="4047">
        <v>3387</v>
      </c>
      <c r="E37" s="4047">
        <v>3408</v>
      </c>
      <c r="F37" s="4047">
        <v>3389</v>
      </c>
      <c r="G37" s="4047">
        <v>3405</v>
      </c>
      <c r="H37" s="4047">
        <v>3382</v>
      </c>
      <c r="I37" s="4024">
        <f>+AVERAGE(E37,G37)</f>
        <v>3406.5</v>
      </c>
      <c r="J37" s="4024">
        <f>+AVERAGE(F37,H37)</f>
        <v>3385.5</v>
      </c>
      <c r="K37" s="4047">
        <v>3534</v>
      </c>
      <c r="L37" s="4047">
        <v>3489</v>
      </c>
      <c r="M37" s="4026">
        <f>+AVERAGE(E37,G37,K37)</f>
        <v>3449</v>
      </c>
      <c r="N37" s="4026">
        <f>+AVERAGE(F37,H37,L37)</f>
        <v>3420</v>
      </c>
      <c r="O37" s="4047">
        <v>3527</v>
      </c>
      <c r="P37" s="4047">
        <v>3478</v>
      </c>
      <c r="Q37" s="4024">
        <f>+AVERAGE(E37,G37,K37,O37)</f>
        <v>3468.5</v>
      </c>
      <c r="R37" s="4024">
        <f>+AVERAGE(F37,H37,L37,P37)</f>
        <v>3434.5</v>
      </c>
      <c r="S37" s="4047">
        <v>3524</v>
      </c>
      <c r="T37" s="4047">
        <v>3465</v>
      </c>
      <c r="U37" s="4024">
        <f>+AVERAGE(E37,G37,K37,O37,S37)</f>
        <v>3479.6</v>
      </c>
      <c r="V37" s="4024">
        <f>+AVERAGE(F37,H37,L37,P37,T37)</f>
        <v>3440.6</v>
      </c>
      <c r="W37" s="4047">
        <v>3517</v>
      </c>
      <c r="X37" s="4047">
        <v>3450</v>
      </c>
      <c r="Y37" s="4026">
        <f>+AVERAGE(Q37,S37,W37)</f>
        <v>3503.1666666666665</v>
      </c>
      <c r="Z37" s="4026">
        <f>+AVERAGE(P37,T37,X37)</f>
        <v>3464.3333333333335</v>
      </c>
      <c r="AA37" s="4736">
        <f>+AVERAGE(E37,G37,K37,O37,S37,W37)</f>
        <v>3485.8333333333335</v>
      </c>
      <c r="AB37" s="4736">
        <f>+AVERAGE(X37,P37,L37,H37,T37,F37)</f>
        <v>3442.1666666666665</v>
      </c>
      <c r="AC37" s="4047">
        <v>3512</v>
      </c>
      <c r="AD37" s="4047">
        <v>3449</v>
      </c>
      <c r="AE37" s="4024">
        <f>+AVERAGE(E37,G37,K37,O37,S37,W37,AC37)</f>
        <v>3489.5714285714284</v>
      </c>
      <c r="AF37" s="4024">
        <f>+AVERAGE(F37,H37,L37,P37,T37,X37,AD37)</f>
        <v>3443.1428571428573</v>
      </c>
      <c r="AG37" s="4047">
        <v>3502</v>
      </c>
      <c r="AH37" s="4047">
        <v>3439</v>
      </c>
      <c r="AI37" s="4024">
        <f>AVERAGE(E37,G37,K37,O37,S37,W37,AC37,AG37)</f>
        <v>3491.125</v>
      </c>
      <c r="AJ37" s="4024">
        <f>AVERAGE(AH37,AD37,X37,T37,L37,P37,H37,F37)</f>
        <v>3442.625</v>
      </c>
      <c r="AK37" s="4047">
        <v>3500</v>
      </c>
      <c r="AL37" s="4047">
        <v>3428</v>
      </c>
      <c r="AM37" s="4047">
        <f>+AVERAGE(AC37,AG37,AK37)</f>
        <v>3504.6666666666665</v>
      </c>
      <c r="AN37" s="4047">
        <f>+AVERAGE(AD37,AH37,AL37)</f>
        <v>3438.6666666666665</v>
      </c>
      <c r="AO37" s="4047">
        <f>+AVERAGE(E37,G37,K37,O37,S37,W37,AC37,AG37,AK37)</f>
        <v>3492.1111111111113</v>
      </c>
      <c r="AP37" s="4047">
        <f>+AVERAGE(F37,H37,L37,P37,T37,X37,AD37,AH37,AL37)</f>
        <v>3441</v>
      </c>
      <c r="AQ37" s="4047">
        <v>3493</v>
      </c>
      <c r="AR37" s="4047">
        <v>3412</v>
      </c>
      <c r="AS37" s="4047">
        <f>+AVERAGE(E37,G37,K37,O37,S37,W37,AC37,AG37,AK37,AQ37)</f>
        <v>3492.2</v>
      </c>
      <c r="AT37" s="4047">
        <f>+AVERAGE(F37,H37,L37,P37,T37,X37,AD37,AH37,AL37,AR37)</f>
        <v>3438.1</v>
      </c>
      <c r="AU37" s="4047">
        <v>3491</v>
      </c>
      <c r="AV37" s="4047">
        <v>3415</v>
      </c>
      <c r="AW37" s="4047">
        <f>+AVERAGE(E37,G37,K37,O37,S37,W37,AC37,AG37,AK37,AQ37,AU37)</f>
        <v>3492.090909090909</v>
      </c>
      <c r="AX37" s="4047">
        <f>+AVERAGE(F37,H37,L37,P37,T37,X37,AD37,AH37,AL37,AR37,AV37)</f>
        <v>3436</v>
      </c>
      <c r="AY37" s="4047">
        <v>3489</v>
      </c>
      <c r="AZ37" s="4047">
        <v>3395</v>
      </c>
      <c r="BA37" s="4047">
        <f>+AVERAGE(AQ37,AU37,AY37)</f>
        <v>3491</v>
      </c>
      <c r="BB37" s="4047">
        <f>+AVERAGE(AR37,AV37,AZ37)</f>
        <v>3407.3333333333335</v>
      </c>
      <c r="BC37" s="4047">
        <f>+AVERAGE(AC37,AG37,AK37,AQ37,AU37,AY37)</f>
        <v>3497.8333333333335</v>
      </c>
      <c r="BD37" s="4047">
        <f>+AVERAGE(AD37,AH37,AL37,AR37,AV37,AZ37)</f>
        <v>3423</v>
      </c>
      <c r="BE37" s="4047">
        <f>+AVERAGE(E37,G37,K37,O37,S37,W37,AC37,AG37,AK37,AQ37,AU37,AY37)</f>
        <v>3491.8333333333335</v>
      </c>
      <c r="BF37" s="4047">
        <f>+AVERAGE(F37,H37,L37,P37,T37,X37,AD37,AH37,AL37,AR37,AV37,AZ37)</f>
        <v>3432.5833333333335</v>
      </c>
      <c r="BG37"/>
      <c r="BH37" s="5593">
        <v>3515.5</v>
      </c>
      <c r="BI37" s="4735">
        <v>3453.75</v>
      </c>
      <c r="BJ37" s="4735">
        <v>3502.25</v>
      </c>
      <c r="BK37" s="4735">
        <v>3544.5833333333335</v>
      </c>
      <c r="BL37" s="4735">
        <v>3607.8333333333335</v>
      </c>
      <c r="BM37" s="5765">
        <v>3647.6666666666665</v>
      </c>
      <c r="BN37" s="5394">
        <v>3826.0833333333335</v>
      </c>
      <c r="BO37" s="4772">
        <v>3802.9166666666665</v>
      </c>
      <c r="BP37" s="4769"/>
      <c r="BQ37" s="4753"/>
      <c r="BR37" s="4754"/>
      <c r="BS37" s="4755"/>
      <c r="BT37" s="142"/>
      <c r="BU37" s="142"/>
      <c r="BV37" s="137"/>
    </row>
    <row r="38" spans="1:74" ht="15" customHeight="1" thickBot="1" x14ac:dyDescent="0.35">
      <c r="A38" s="142"/>
      <c r="B38" s="5917"/>
      <c r="C38" s="4773" t="s">
        <v>2085</v>
      </c>
      <c r="D38" s="4074">
        <f>+D36/(D37/365*D2)</f>
        <v>832.74996288567615</v>
      </c>
      <c r="E38" s="4074">
        <f>+E36/(E37/365*E2)</f>
        <v>694.95531888890366</v>
      </c>
      <c r="F38" s="4074">
        <f>+F36/(F37/365*F2)</f>
        <v>802.23728490316716</v>
      </c>
      <c r="G38" s="4074">
        <f>+G36/(G37/365*G2)</f>
        <v>598.01649379778178</v>
      </c>
      <c r="H38" s="4074">
        <f>+H36/(H37/365*H2)</f>
        <v>351.97887314582897</v>
      </c>
      <c r="I38" s="4133">
        <f>+I36/(I37/365*I2)</f>
        <v>645.70800184808866</v>
      </c>
      <c r="J38" s="4133">
        <f>+J36/(J37/365*J2)</f>
        <v>573.64039878101153</v>
      </c>
      <c r="K38" s="4074">
        <f>+K36/(K37/365*K2)</f>
        <v>817.70562892885039</v>
      </c>
      <c r="L38" s="4074">
        <f>+L36/(L37/365*L2)</f>
        <v>850.75383150272273</v>
      </c>
      <c r="M38" s="4135">
        <f>+M36/(M37/365*M2)</f>
        <v>703.72050374551338</v>
      </c>
      <c r="N38" s="4135">
        <f>+N36/(N37/365*N2)</f>
        <v>666.77603405259936</v>
      </c>
      <c r="O38" s="4074">
        <f>+O36/(O37/365*O2)</f>
        <v>802.355516552626</v>
      </c>
      <c r="P38" s="4074">
        <f>+P36/(P37/365*P2)</f>
        <v>858.73073141775944</v>
      </c>
      <c r="Q38" s="4074">
        <f>+Q36/(Q37/365*Q2)</f>
        <v>729.27107125340615</v>
      </c>
      <c r="R38" s="4074">
        <f>+R36/(R37/365*R2)</f>
        <v>716.21532548907055</v>
      </c>
      <c r="S38" s="4074">
        <f>+S36/(S37/365*S2)</f>
        <v>803.0385660843109</v>
      </c>
      <c r="T38" s="4074">
        <f>+T36/(T37/365*T2)</f>
        <v>807.72736148331228</v>
      </c>
      <c r="U38" s="4074">
        <f>+U36/(U37/365*U2)</f>
        <v>744.43855354813525</v>
      </c>
      <c r="V38" s="4074">
        <f>+V36/(V37/365*V2)</f>
        <v>734.90507213474314</v>
      </c>
      <c r="W38" s="4074">
        <f>+W36/(W37/365*W2)</f>
        <v>444.87961481035342</v>
      </c>
      <c r="X38" s="4074">
        <f>+X36/(X37/365*X2)</f>
        <v>800.50814464028986</v>
      </c>
      <c r="Y38" s="4135">
        <f>+Y36/(Y37/365*Y2)</f>
        <v>690.03884183027776</v>
      </c>
      <c r="Z38" s="4135">
        <f>+Z36/(Z37/365*Z2)</f>
        <v>822.67304970318651</v>
      </c>
      <c r="AA38" s="4228">
        <f>+AA36/(AA37/365*AA2)</f>
        <v>694.8696354413961</v>
      </c>
      <c r="AB38" s="4228">
        <f>+AB36/(AB37/365*AB2)</f>
        <v>745.67866506409973</v>
      </c>
      <c r="AC38" s="4074">
        <f>+AC36/(AC37/365*AC2)</f>
        <v>821.61133260872475</v>
      </c>
      <c r="AD38" s="4074">
        <f>+AD36/(AD37/365*AD2)</f>
        <v>627.19218779449864</v>
      </c>
      <c r="AE38" s="4074">
        <f>+AE36/(AE37/365*AE2)</f>
        <v>713.35785298456824</v>
      </c>
      <c r="AF38" s="4074">
        <f>+AF36/(AF37/365*AF2)</f>
        <v>728.48850222235978</v>
      </c>
      <c r="AG38" s="4074">
        <f>+AG36/(AG37/365*AG2)</f>
        <v>825.17752502414544</v>
      </c>
      <c r="AH38" s="4074">
        <f>+AH36/(AH37/365*AH2)</f>
        <v>812.21648212896196</v>
      </c>
      <c r="AI38" s="4133">
        <f>+AI36/(AI37/365*AI2)</f>
        <v>727.14379583492598</v>
      </c>
      <c r="AJ38" s="4133">
        <f>+AJ36/(AJ37/365*AJ2)</f>
        <v>738.77388264637341</v>
      </c>
      <c r="AK38" s="4074">
        <f>+AK36/(AK37/365*AK2)</f>
        <v>824.42828574909777</v>
      </c>
      <c r="AL38" s="4074">
        <f>+AL36/(AL37/365*AL2)</f>
        <v>805.04627302386416</v>
      </c>
      <c r="AM38" s="4074">
        <f>+AM36/(AM37/365*AM2)</f>
        <v>823.72805861312543</v>
      </c>
      <c r="AN38" s="4074">
        <f>+AN36/(AN37/365*AN2)</f>
        <v>747.27457978871462</v>
      </c>
      <c r="AO38" s="4074">
        <f>+AO36/(AO37/365*AO2)</f>
        <v>738.13817196188916</v>
      </c>
      <c r="AP38" s="4074">
        <f>+AP36/(AP37/365*AP2)</f>
        <v>746.21128969020106</v>
      </c>
      <c r="AQ38" s="4074">
        <f>+AQ36/(AQ37/365*AQ2)</f>
        <v>838.81244623945884</v>
      </c>
      <c r="AR38" s="4074">
        <f>+AR36/(AR37/365*AR2)</f>
        <v>789.63550917454529</v>
      </c>
      <c r="AS38" s="4074">
        <f>+AS36/(AS37/365*AS2)</f>
        <v>748.33978175926586</v>
      </c>
      <c r="AT38" s="4074">
        <f>+AT36/(AT37/365*AT2)</f>
        <v>750.56885160960132</v>
      </c>
      <c r="AU38" s="4074">
        <f>+AU36/(AU37/365*AU2)</f>
        <v>830.48772690547321</v>
      </c>
      <c r="AV38" s="4074">
        <f>+AV36/(AV37/365*AV2)</f>
        <v>707.99769922610335</v>
      </c>
      <c r="AW38" s="4074">
        <f>+AW36/(AW37/365*AW2)</f>
        <v>755.2261043135577</v>
      </c>
      <c r="AX38" s="4074">
        <f>+AX36/(AX37/365*AX2)</f>
        <v>747.05753385081255</v>
      </c>
      <c r="AY38" s="4074">
        <f>+AY36/(AY37/365*AY2)</f>
        <v>839.77411141141556</v>
      </c>
      <c r="AZ38" s="4074">
        <f>+AZ36/(AZ37/365*AZ2)</f>
        <v>837.34047478274499</v>
      </c>
      <c r="BA38" s="4074">
        <f>+BA36/(BA37/365*BA2)</f>
        <v>836.55358401556646</v>
      </c>
      <c r="BB38" s="4074">
        <f>+BB36/(BB37/365*BB2)</f>
        <v>780.49294118867783</v>
      </c>
      <c r="BC38" s="4074">
        <f>+BC36/(BC37/365*BC2)</f>
        <v>830.07564496772477</v>
      </c>
      <c r="BD38" s="4074">
        <f>+BD36/(BD37/365*BD2)</f>
        <v>763.66364360461557</v>
      </c>
      <c r="BE38" s="4074">
        <f>+BE36/(BE37/365*BE2)</f>
        <v>762.39999894243067</v>
      </c>
      <c r="BF38" s="4074">
        <f>+BF36/(BF37/365*BF2)</f>
        <v>754.62718395115428</v>
      </c>
      <c r="BG38"/>
      <c r="BH38" s="5796">
        <v>789.974082133769</v>
      </c>
      <c r="BI38" s="1041">
        <v>785.5870465334782</v>
      </c>
      <c r="BJ38" s="1041">
        <v>712.17383164731029</v>
      </c>
      <c r="BK38" s="1041">
        <v>691.16367009719045</v>
      </c>
      <c r="BL38" s="1041">
        <v>729.20663969961981</v>
      </c>
      <c r="BM38" s="1000">
        <v>695.16314963675404</v>
      </c>
      <c r="BN38" s="5779">
        <v>656.40621199671705</v>
      </c>
      <c r="BO38" s="4774">
        <v>639.11266207165545</v>
      </c>
      <c r="BP38" s="4770">
        <v>645.95904380418642</v>
      </c>
      <c r="BQ38" s="3638">
        <v>585.39375718480824</v>
      </c>
      <c r="BR38" s="2886"/>
      <c r="BS38" s="2323"/>
      <c r="BT38" s="142"/>
      <c r="BU38" s="142"/>
      <c r="BV38" s="137"/>
    </row>
    <row r="39" spans="1:74" s="137" customFormat="1" ht="15" customHeight="1" thickBot="1" x14ac:dyDescent="0.35">
      <c r="B39" s="1166"/>
      <c r="C39" s="1166"/>
      <c r="D39" s="1166"/>
      <c r="E39" s="1166"/>
      <c r="F39" s="1166"/>
      <c r="G39" s="1166"/>
      <c r="H39" s="1166"/>
      <c r="I39" s="1166"/>
      <c r="J39" s="1166"/>
      <c r="K39" s="1166"/>
      <c r="L39" s="1166"/>
      <c r="M39" s="1166"/>
      <c r="N39" s="1166"/>
      <c r="O39" s="1166"/>
      <c r="P39" s="1166"/>
      <c r="Q39" s="1166"/>
      <c r="R39" s="1166"/>
      <c r="S39" s="1166"/>
      <c r="T39" s="1166"/>
      <c r="U39" s="1166"/>
      <c r="V39" s="1166"/>
      <c r="W39" s="1166"/>
      <c r="X39" s="1166"/>
      <c r="Y39" s="1166"/>
      <c r="Z39" s="1166"/>
      <c r="AA39" s="1166"/>
      <c r="AB39" s="1166"/>
      <c r="AC39" s="1166"/>
      <c r="AD39" s="1166"/>
      <c r="AE39" s="1166"/>
      <c r="AF39" s="1166"/>
      <c r="AG39" s="1166"/>
      <c r="AH39" s="1166"/>
      <c r="AI39" s="1166"/>
      <c r="AJ39" s="1166"/>
      <c r="AK39" s="1166"/>
      <c r="AL39" s="1166"/>
      <c r="AM39" s="1166"/>
      <c r="AN39" s="1166"/>
      <c r="AO39" s="1166"/>
      <c r="AP39" s="1166"/>
      <c r="AQ39" s="1166"/>
      <c r="AR39" s="1166"/>
      <c r="AS39" s="1166"/>
      <c r="AT39" s="1166"/>
      <c r="AU39" s="1166"/>
      <c r="AV39" s="1166"/>
      <c r="AW39" s="1166"/>
      <c r="AX39" s="1166"/>
      <c r="AY39" s="1166"/>
      <c r="AZ39" s="1166"/>
      <c r="BA39" s="4775"/>
      <c r="BB39" s="4775"/>
      <c r="BC39" s="4775"/>
      <c r="BD39" s="4775"/>
      <c r="BE39" s="4775"/>
      <c r="BF39" s="4775"/>
      <c r="BG39"/>
      <c r="BH39" s="5797"/>
      <c r="BI39" s="1166"/>
      <c r="BJ39" s="1166"/>
      <c r="BK39" s="1166"/>
      <c r="BL39" s="1166"/>
      <c r="BM39" s="5798"/>
      <c r="BN39" s="1166"/>
      <c r="BO39" s="1166"/>
    </row>
    <row r="40" spans="1:74" ht="15" customHeight="1" x14ac:dyDescent="0.3">
      <c r="B40" s="5915" t="s">
        <v>2084</v>
      </c>
      <c r="C40" s="4771" t="s">
        <v>560</v>
      </c>
      <c r="D40" s="247">
        <f t="shared" ref="D40:F41" si="49">+D33</f>
        <v>2817514.1242937851</v>
      </c>
      <c r="E40" s="247">
        <f t="shared" si="49"/>
        <v>193691.14877589454</v>
      </c>
      <c r="F40" s="247">
        <f t="shared" si="49"/>
        <v>223226</v>
      </c>
      <c r="G40" s="247">
        <f t="shared" ref="G40:I40" si="50">+G33</f>
        <v>170903.95480225986</v>
      </c>
      <c r="H40" s="247">
        <f>+H33</f>
        <v>97961</v>
      </c>
      <c r="I40" s="341">
        <f t="shared" si="50"/>
        <v>364595.10357815441</v>
      </c>
      <c r="J40" s="341">
        <f>+J33</f>
        <v>321187</v>
      </c>
      <c r="K40" s="247"/>
      <c r="L40" s="247">
        <f>+L33</f>
        <v>243453</v>
      </c>
      <c r="M40" s="574"/>
      <c r="N40" s="574">
        <f>+N33</f>
        <v>564640</v>
      </c>
      <c r="O40" s="247"/>
      <c r="P40" s="247">
        <f>+P33</f>
        <v>253662</v>
      </c>
      <c r="Q40" s="247"/>
      <c r="R40" s="247">
        <f>+R33</f>
        <v>818302</v>
      </c>
      <c r="S40" s="247"/>
      <c r="T40" s="247">
        <f>+T33</f>
        <v>237622</v>
      </c>
      <c r="U40" s="247"/>
      <c r="V40" s="247">
        <f>+V33</f>
        <v>1055924</v>
      </c>
      <c r="W40" s="247"/>
      <c r="X40" s="247">
        <f>+X33</f>
        <v>226847</v>
      </c>
      <c r="Y40" s="574"/>
      <c r="Z40" s="574">
        <f>+Z33</f>
        <v>718131</v>
      </c>
      <c r="AA40" s="955"/>
      <c r="AB40" s="955">
        <f>+AB33</f>
        <v>1282771</v>
      </c>
      <c r="AC40" s="247"/>
      <c r="AD40" s="247">
        <f>+AD33</f>
        <v>179201</v>
      </c>
      <c r="AE40" s="247"/>
      <c r="AF40" s="247">
        <f>+AF33</f>
        <v>1461972</v>
      </c>
      <c r="AG40" s="247"/>
      <c r="AH40" s="247">
        <f>+AH33</f>
        <v>229502</v>
      </c>
      <c r="AI40" s="341"/>
      <c r="AJ40" s="341">
        <f>+AJ33</f>
        <v>1691474</v>
      </c>
      <c r="AK40" s="247"/>
      <c r="AL40" s="247">
        <f>+AL33</f>
        <v>234365</v>
      </c>
      <c r="AM40" s="247"/>
      <c r="AN40" s="247">
        <f>+AN33</f>
        <v>643068</v>
      </c>
      <c r="AO40" s="247"/>
      <c r="AP40" s="247"/>
      <c r="AQ40" s="247"/>
      <c r="AR40" s="247">
        <f>+AR33</f>
        <v>228047</v>
      </c>
      <c r="AS40" s="247"/>
      <c r="AT40" s="247"/>
      <c r="AU40" s="247"/>
      <c r="AV40" s="247">
        <f>+AV33</f>
        <v>185016</v>
      </c>
      <c r="AW40" s="247"/>
      <c r="AX40" s="247"/>
      <c r="AY40" s="247"/>
      <c r="AZ40" s="247">
        <f>+AZ33</f>
        <v>241240</v>
      </c>
      <c r="BA40" s="247"/>
      <c r="BB40" s="247">
        <f>+BB33</f>
        <v>654303</v>
      </c>
      <c r="BC40" s="247"/>
      <c r="BD40" s="247">
        <f>+BD33</f>
        <v>1297371</v>
      </c>
      <c r="BE40" s="247"/>
      <c r="BF40" s="247"/>
      <c r="BG40"/>
      <c r="BH40" s="337"/>
      <c r="BI40" s="1591"/>
      <c r="BJ40" s="1591"/>
      <c r="BK40" s="1591"/>
      <c r="BL40" s="1591"/>
      <c r="BM40" s="3760"/>
      <c r="BN40" s="5778"/>
      <c r="BO40" s="249"/>
    </row>
    <row r="41" spans="1:74" ht="15" customHeight="1" x14ac:dyDescent="0.3">
      <c r="B41" s="5916"/>
      <c r="C41" s="4732" t="s">
        <v>563</v>
      </c>
      <c r="D41" s="4047">
        <f t="shared" si="49"/>
        <v>6020</v>
      </c>
      <c r="E41" s="4047">
        <f t="shared" si="49"/>
        <v>1945</v>
      </c>
      <c r="F41" s="4047">
        <f t="shared" si="49"/>
        <v>471.09455400000002</v>
      </c>
      <c r="G41" s="4047">
        <f t="shared" ref="G41:I41" si="51">+G34</f>
        <v>4075</v>
      </c>
      <c r="H41" s="4047">
        <f>+H34</f>
        <v>6281.6658540000008</v>
      </c>
      <c r="I41" s="4024">
        <f t="shared" si="51"/>
        <v>6020</v>
      </c>
      <c r="J41" s="4024">
        <f>+J34</f>
        <v>6752.760408000001</v>
      </c>
      <c r="K41" s="4047"/>
      <c r="L41" s="4047">
        <f>+L34</f>
        <v>1030.457772</v>
      </c>
      <c r="M41" s="4026"/>
      <c r="N41" s="4026">
        <f>+N34</f>
        <v>7783.2181800000008</v>
      </c>
      <c r="O41" s="4047"/>
      <c r="P41" s="4047">
        <f>+P34</f>
        <v>0</v>
      </c>
      <c r="Q41" s="4047"/>
      <c r="R41" s="4047">
        <f>+R34</f>
        <v>7783.2181800000008</v>
      </c>
      <c r="S41" s="4047"/>
      <c r="T41" s="4047">
        <f>+T34</f>
        <v>164.40840400000002</v>
      </c>
      <c r="U41" s="4047"/>
      <c r="V41" s="4047">
        <f>+V34</f>
        <v>7947.6265840000005</v>
      </c>
      <c r="W41" s="4047"/>
      <c r="X41" s="4047">
        <f>+X34</f>
        <v>292.81079599999998</v>
      </c>
      <c r="Y41" s="4026"/>
      <c r="Z41" s="4026">
        <f>+Z34</f>
        <v>457.2192</v>
      </c>
      <c r="AA41" s="4736"/>
      <c r="AB41" s="4736">
        <f>+AB34</f>
        <v>8240.4373800000012</v>
      </c>
      <c r="AC41" s="4047"/>
      <c r="AD41" s="4047">
        <f>+AD34</f>
        <v>9043.2686400000002</v>
      </c>
      <c r="AE41" s="4047"/>
      <c r="AF41" s="4047">
        <f>+AF34</f>
        <v>17283.706020000001</v>
      </c>
      <c r="AG41" s="4047"/>
      <c r="AH41" s="4047">
        <f>+AH34</f>
        <v>154.21622600000001</v>
      </c>
      <c r="AI41" s="4024"/>
      <c r="AJ41" s="4024">
        <f>+AJ34</f>
        <v>17437.922246000002</v>
      </c>
      <c r="AK41" s="4047"/>
      <c r="AL41" s="4047">
        <f>+AL34</f>
        <v>40.725159999999995</v>
      </c>
      <c r="AM41" s="4047"/>
      <c r="AN41" s="4047">
        <f>+AN34</f>
        <v>9238.2100260000007</v>
      </c>
      <c r="AO41" s="4047"/>
      <c r="AP41" s="4047"/>
      <c r="AQ41" s="4047"/>
      <c r="AR41" s="4047">
        <f>+AR34</f>
        <v>1557.1072680000002</v>
      </c>
      <c r="AS41" s="4047"/>
      <c r="AT41" s="4047"/>
      <c r="AU41" s="4047"/>
      <c r="AV41" s="4047">
        <f>+AV34</f>
        <v>920</v>
      </c>
      <c r="AW41" s="4047"/>
      <c r="AX41" s="4047"/>
      <c r="AY41" s="4047"/>
      <c r="AZ41" s="4047">
        <f>+AZ34</f>
        <v>401.63434799999999</v>
      </c>
      <c r="BA41" s="4047"/>
      <c r="BB41" s="4047">
        <f>+BB34</f>
        <v>2878.7416160000002</v>
      </c>
      <c r="BC41" s="4047"/>
      <c r="BD41" s="4047">
        <f>+BD34</f>
        <v>12116.951642</v>
      </c>
      <c r="BE41" s="4047"/>
      <c r="BF41" s="4047"/>
      <c r="BG41"/>
      <c r="BH41" s="5593"/>
      <c r="BI41" s="4735"/>
      <c r="BJ41" s="4735"/>
      <c r="BK41" s="4735"/>
      <c r="BL41" s="4735"/>
      <c r="BM41" s="5765"/>
      <c r="BN41" s="5394"/>
      <c r="BO41" s="4772"/>
    </row>
    <row r="42" spans="1:74" ht="108" x14ac:dyDescent="0.3">
      <c r="B42" s="5916"/>
      <c r="C42" s="4776" t="s">
        <v>2086</v>
      </c>
      <c r="D42" s="4047">
        <v>9157</v>
      </c>
      <c r="E42" s="4047">
        <v>9201</v>
      </c>
      <c r="F42" s="4047">
        <v>9177</v>
      </c>
      <c r="G42" s="4047">
        <v>9196</v>
      </c>
      <c r="H42" s="4047">
        <v>9059</v>
      </c>
      <c r="I42" s="4024">
        <f>+AVERAGE(E42,G42)</f>
        <v>9198.5</v>
      </c>
      <c r="J42" s="4024">
        <f>+AVERAGE(F42,H42)</f>
        <v>9118</v>
      </c>
      <c r="K42" s="4047"/>
      <c r="L42" s="4047"/>
      <c r="M42" s="4026"/>
      <c r="N42" s="4026"/>
      <c r="O42" s="4047"/>
      <c r="P42" s="4047"/>
      <c r="Q42" s="4047"/>
      <c r="R42" s="4047"/>
      <c r="S42" s="4047"/>
      <c r="T42" s="4047"/>
      <c r="U42" s="4047"/>
      <c r="V42" s="4047"/>
      <c r="W42" s="4047"/>
      <c r="X42" s="4047"/>
      <c r="Y42" s="4026"/>
      <c r="Z42" s="4026"/>
      <c r="AA42" s="4736"/>
      <c r="AB42" s="4736"/>
      <c r="AC42" s="4047"/>
      <c r="AD42" s="4047">
        <v>10508</v>
      </c>
      <c r="AE42" s="4047"/>
      <c r="AF42" s="4047"/>
      <c r="AG42" s="4047"/>
      <c r="AH42" s="4047">
        <v>10419</v>
      </c>
      <c r="AI42" s="4024"/>
      <c r="AJ42" s="4024"/>
      <c r="AK42" s="4047"/>
      <c r="AL42" s="4047">
        <v>10292</v>
      </c>
      <c r="AM42" s="4047"/>
      <c r="AN42" s="4047">
        <f>+AVERAGE(AD42,AH42,AL42)</f>
        <v>10406.333333333334</v>
      </c>
      <c r="AO42" s="4047"/>
      <c r="AP42" s="4047"/>
      <c r="AQ42" s="4047"/>
      <c r="AR42" s="4047">
        <v>9853</v>
      </c>
      <c r="AS42" s="4047"/>
      <c r="AT42" s="4047"/>
      <c r="AU42" s="4047"/>
      <c r="AV42" s="4047">
        <v>9444</v>
      </c>
      <c r="AW42" s="4047"/>
      <c r="AX42" s="4047"/>
      <c r="AY42" s="4047"/>
      <c r="AZ42" s="4047">
        <v>9233</v>
      </c>
      <c r="BA42" s="4047"/>
      <c r="BB42" s="4047">
        <f>+AVERAGE(AR42,AV42,AZ42)</f>
        <v>9510</v>
      </c>
      <c r="BC42" s="4047"/>
      <c r="BD42" s="4047">
        <f>+AVERAGE(AN42,BB42)</f>
        <v>9958.1666666666679</v>
      </c>
      <c r="BE42" s="4047"/>
      <c r="BF42" s="4047"/>
      <c r="BG42"/>
      <c r="BH42" s="5593"/>
      <c r="BI42" s="4735"/>
      <c r="BJ42" s="4735"/>
      <c r="BK42" s="4735"/>
      <c r="BL42" s="4735"/>
      <c r="BM42" s="5765"/>
      <c r="BN42" s="5394"/>
      <c r="BO42" s="4772"/>
    </row>
    <row r="43" spans="1:74" ht="23.25" customHeight="1" thickBot="1" x14ac:dyDescent="0.35">
      <c r="B43" s="5917"/>
      <c r="C43" s="4773" t="s">
        <v>2085</v>
      </c>
      <c r="D43" s="4074">
        <f>(D40+D41)/(D42/$D$2*D2)</f>
        <v>308.34707046999944</v>
      </c>
      <c r="E43" s="4074">
        <f>(E40+E41)/(E42/$D$2*E2)</f>
        <v>258.69359962033656</v>
      </c>
      <c r="F43" s="4074">
        <f>(F40+F41)/(F42/$D$2*F2)</f>
        <v>296.57273441651228</v>
      </c>
      <c r="G43" s="4074">
        <f>(G40+G41)/(G42/$D$2*G2)</f>
        <v>224.03611143282791</v>
      </c>
      <c r="H43" s="4074">
        <f>(H40+H41)/(H42/$D$2*H2)</f>
        <v>135.48662366319007</v>
      </c>
      <c r="I43" s="4024">
        <f>(I40+I41)/(I42/$D$2*I2)</f>
        <v>241.08441202731086</v>
      </c>
      <c r="J43" s="4024">
        <f>(J40+J41)/(J42/$D$2*J2)</f>
        <v>215.20755656963885</v>
      </c>
      <c r="K43" s="4074"/>
      <c r="L43" s="4074"/>
      <c r="M43" s="4135"/>
      <c r="N43" s="4135"/>
      <c r="O43" s="4074"/>
      <c r="P43" s="4074"/>
      <c r="Q43" s="4074"/>
      <c r="R43" s="4074"/>
      <c r="S43" s="4074"/>
      <c r="T43" s="4074"/>
      <c r="U43" s="4074"/>
      <c r="V43" s="4074"/>
      <c r="W43" s="4074"/>
      <c r="X43" s="4074"/>
      <c r="Y43" s="4135"/>
      <c r="Z43" s="4135"/>
      <c r="AA43" s="4228"/>
      <c r="AB43" s="4228"/>
      <c r="AC43" s="4074"/>
      <c r="AD43" s="4074">
        <f>+(AD41+AD40)/(AD42/365*AD2)</f>
        <v>210.92733663322568</v>
      </c>
      <c r="AE43" s="4074"/>
      <c r="AF43" s="4074"/>
      <c r="AG43" s="4074"/>
      <c r="AH43" s="4074">
        <f>+(AH41+AH40)/(AH42/365*AH2)</f>
        <v>268.17838859292317</v>
      </c>
      <c r="AI43" s="4133"/>
      <c r="AJ43" s="4133"/>
      <c r="AK43" s="4074"/>
      <c r="AL43" s="4074">
        <f>+(AL41+AL40)/(AL42/365*AL2)</f>
        <v>268.16346452427814</v>
      </c>
      <c r="AM43" s="4074"/>
      <c r="AN43" s="4074">
        <f>+(AN41+AN40)/(AN42/365*AN2)</f>
        <v>248.69028336230238</v>
      </c>
      <c r="AO43" s="4074"/>
      <c r="AP43" s="4074"/>
      <c r="AQ43" s="4074"/>
      <c r="AR43" s="4074">
        <f>+(AR41+AR40)/(AR42/365*AR2)</f>
        <v>274.37361194337399</v>
      </c>
      <c r="AS43" s="4074"/>
      <c r="AT43" s="4074"/>
      <c r="AU43" s="4074"/>
      <c r="AV43" s="4074">
        <f>+(AV41+AV40)/(AV42/365*AV2)</f>
        <v>256.6506322986628</v>
      </c>
      <c r="AW43" s="4074"/>
      <c r="AX43" s="4074"/>
      <c r="AY43" s="4074"/>
      <c r="AZ43" s="4074">
        <f>+(AZ41+AZ40)/(AZ42/365*AZ2)</f>
        <v>308.14852942293248</v>
      </c>
      <c r="BA43" s="4074"/>
      <c r="BB43" s="4074">
        <f>+(BB41+BB40)/(BB42/365*BB2)</f>
        <v>280.25626321981537</v>
      </c>
      <c r="BC43" s="4074"/>
      <c r="BD43" s="4074">
        <f>+(BD41+BD40)/(BD42/365*BD2)</f>
        <v>263.72031920493589</v>
      </c>
      <c r="BE43" s="4074"/>
      <c r="BF43" s="4074"/>
      <c r="BG43"/>
      <c r="BH43" s="5796"/>
      <c r="BI43" s="1041"/>
      <c r="BJ43" s="1041"/>
      <c r="BK43" s="1041"/>
      <c r="BL43" s="1041"/>
      <c r="BM43" s="1000"/>
      <c r="BN43" s="5779"/>
      <c r="BO43" s="4774"/>
    </row>
    <row r="44" spans="1:74" s="137" customFormat="1" ht="15" customHeight="1" x14ac:dyDescent="0.3">
      <c r="BA44" s="4766"/>
      <c r="BB44" s="4766"/>
      <c r="BC44" s="4766"/>
      <c r="BD44" s="4766"/>
      <c r="BE44" s="4766"/>
      <c r="BF44" s="4766"/>
      <c r="BG44"/>
      <c r="BH44" s="1314"/>
      <c r="BM44" s="5799"/>
    </row>
    <row r="45" spans="1:74" s="137" customFormat="1" ht="15" hidden="1" customHeight="1" x14ac:dyDescent="0.3">
      <c r="BA45" s="4766"/>
      <c r="BB45" s="4766"/>
      <c r="BC45" s="4766"/>
      <c r="BD45" s="4766"/>
      <c r="BE45" s="4766"/>
      <c r="BF45" s="4766"/>
      <c r="BG45"/>
      <c r="BH45" s="1314"/>
      <c r="BM45" s="5799"/>
    </row>
    <row r="46" spans="1:74" s="137" customFormat="1" ht="15" hidden="1" customHeight="1" x14ac:dyDescent="0.3">
      <c r="BA46" s="4766"/>
      <c r="BB46" s="4766"/>
      <c r="BC46" s="4766"/>
      <c r="BD46" s="4766"/>
      <c r="BE46" s="4766"/>
      <c r="BF46" s="4766"/>
      <c r="BG46"/>
      <c r="BH46" s="1314"/>
      <c r="BM46" s="5799"/>
    </row>
    <row r="47" spans="1:74" s="137" customFormat="1" ht="15" hidden="1" customHeight="1" x14ac:dyDescent="0.3">
      <c r="BA47" s="4766"/>
      <c r="BB47" s="4766"/>
      <c r="BC47" s="4766"/>
      <c r="BD47" s="4766"/>
      <c r="BE47" s="4766"/>
      <c r="BF47" s="4766"/>
      <c r="BG47"/>
      <c r="BH47" s="1314"/>
      <c r="BM47" s="5799"/>
    </row>
    <row r="48" spans="1:74" s="137" customFormat="1" ht="15" hidden="1" customHeight="1" x14ac:dyDescent="0.3">
      <c r="BA48" s="4766"/>
      <c r="BB48" s="4766"/>
      <c r="BC48" s="4766"/>
      <c r="BD48" s="4766"/>
      <c r="BE48" s="4766"/>
      <c r="BF48" s="4766"/>
      <c r="BG48"/>
      <c r="BH48" s="1314"/>
      <c r="BM48" s="5799"/>
    </row>
    <row r="49" spans="1:74" s="137" customFormat="1" ht="15" hidden="1" customHeight="1" x14ac:dyDescent="0.3">
      <c r="BA49" s="4766"/>
      <c r="BB49" s="4766"/>
      <c r="BC49" s="4766"/>
      <c r="BD49" s="4766"/>
      <c r="BE49" s="4766"/>
      <c r="BF49" s="4766"/>
      <c r="BG49"/>
      <c r="BH49" s="1314"/>
      <c r="BM49" s="5799"/>
    </row>
    <row r="50" spans="1:74" s="137" customFormat="1" ht="15" hidden="1" customHeight="1" x14ac:dyDescent="0.3">
      <c r="BA50" s="4766"/>
      <c r="BB50" s="4766"/>
      <c r="BC50" s="4766"/>
      <c r="BD50" s="4766"/>
      <c r="BE50" s="4766"/>
      <c r="BF50" s="4766"/>
      <c r="BG50"/>
      <c r="BH50" s="1314"/>
      <c r="BM50" s="5799"/>
    </row>
    <row r="51" spans="1:74" s="137" customFormat="1" ht="15" hidden="1" customHeight="1" x14ac:dyDescent="0.3">
      <c r="BA51" s="4766"/>
      <c r="BB51" s="4766"/>
      <c r="BC51" s="4766"/>
      <c r="BD51" s="4766"/>
      <c r="BE51" s="4766"/>
      <c r="BF51" s="4766"/>
      <c r="BG51"/>
      <c r="BH51" s="1314"/>
      <c r="BM51" s="5799"/>
    </row>
    <row r="52" spans="1:74" s="137" customFormat="1" ht="15" hidden="1" customHeight="1" x14ac:dyDescent="0.3">
      <c r="BA52" s="4766"/>
      <c r="BB52" s="4766"/>
      <c r="BC52" s="4766"/>
      <c r="BD52" s="4766"/>
      <c r="BE52" s="4766"/>
      <c r="BF52" s="4766"/>
      <c r="BG52"/>
      <c r="BH52" s="1314"/>
      <c r="BM52" s="5799"/>
    </row>
    <row r="53" spans="1:74" s="137" customFormat="1" ht="15" hidden="1" customHeight="1" x14ac:dyDescent="0.3">
      <c r="BA53" s="4766"/>
      <c r="BB53" s="4766"/>
      <c r="BC53" s="4766"/>
      <c r="BD53" s="4766"/>
      <c r="BE53" s="4766"/>
      <c r="BF53" s="4766"/>
      <c r="BG53"/>
      <c r="BH53" s="1314"/>
      <c r="BM53" s="5799"/>
    </row>
    <row r="54" spans="1:74" s="137" customFormat="1" ht="15" hidden="1" customHeight="1" x14ac:dyDescent="0.3">
      <c r="BA54" s="4766"/>
      <c r="BB54" s="4766"/>
      <c r="BC54" s="4766"/>
      <c r="BD54" s="4766"/>
      <c r="BE54" s="4766"/>
      <c r="BF54" s="4766"/>
      <c r="BG54"/>
      <c r="BH54" s="1314"/>
      <c r="BM54" s="5799"/>
    </row>
    <row r="55" spans="1:74" s="137" customFormat="1" ht="15" customHeight="1" thickBot="1" x14ac:dyDescent="0.35">
      <c r="BA55" s="4766"/>
      <c r="BB55" s="4766"/>
      <c r="BC55" s="4766"/>
      <c r="BD55" s="4766"/>
      <c r="BE55" s="4766"/>
      <c r="BF55" s="4766"/>
      <c r="BG55"/>
      <c r="BH55" s="1314"/>
      <c r="BM55" s="5799"/>
    </row>
    <row r="56" spans="1:74" ht="19.5" customHeight="1" thickBot="1" x14ac:dyDescent="0.35">
      <c r="A56" s="88"/>
      <c r="B56" s="2325" t="s">
        <v>674</v>
      </c>
      <c r="C56" s="2318" t="s">
        <v>351</v>
      </c>
      <c r="D56" s="143">
        <f>+(D16*D33)/1000</f>
        <v>2992199.9999999995</v>
      </c>
      <c r="E56" s="143">
        <f>+(E16*E33)/1000</f>
        <v>205700</v>
      </c>
      <c r="F56" s="83">
        <f>+SMS!F15</f>
        <v>235708.2</v>
      </c>
      <c r="G56" s="143">
        <f>+(G16*G33)/1000</f>
        <v>181499.99999999997</v>
      </c>
      <c r="H56" s="83">
        <f>+SMS!H15</f>
        <v>102483.72</v>
      </c>
      <c r="I56" s="57">
        <f>+(I16*I33)/1000</f>
        <v>387200</v>
      </c>
      <c r="J56" s="39">
        <f>+SMS!J15</f>
        <v>338191.92000000004</v>
      </c>
      <c r="K56" s="143">
        <f>+(K16*K33)/1000</f>
        <v>251811.33144475892</v>
      </c>
      <c r="L56" s="83">
        <f>+SMS!L15</f>
        <v>258527.52499999999</v>
      </c>
      <c r="M56" s="68">
        <f>+(M16*M33)/1000</f>
        <v>639011.33144475892</v>
      </c>
      <c r="N56" s="69">
        <f>+SMS!N15</f>
        <v>596719.44500000007</v>
      </c>
      <c r="O56" s="143">
        <f>+(O16*O33)/1000</f>
        <v>254819.83002832864</v>
      </c>
      <c r="P56" s="83">
        <f>+SMS!P15</f>
        <v>266778.07500000001</v>
      </c>
      <c r="Q56" s="57">
        <f>+(Q16*Q33)/1000</f>
        <v>893831.1614730875</v>
      </c>
      <c r="R56" s="39">
        <f>+SMS!R15</f>
        <v>863497.52</v>
      </c>
      <c r="S56" s="143">
        <f>+(S16*S33)/1000</f>
        <v>254819.83002832864</v>
      </c>
      <c r="T56" s="83">
        <f>+SMS!T15</f>
        <v>251918.72</v>
      </c>
      <c r="U56" s="57">
        <f>+(U16*U33)/1000</f>
        <v>1148650.9915014161</v>
      </c>
      <c r="V56" s="39">
        <f>+SMS!V15</f>
        <v>1115416.24</v>
      </c>
      <c r="W56" s="143">
        <f>+(W16*W33)/1000</f>
        <v>133727.76203966053</v>
      </c>
      <c r="X56" s="83">
        <f>+SMS!X15</f>
        <v>241323.3</v>
      </c>
      <c r="Y56" s="574">
        <f>+O56+S56+W56</f>
        <v>643367.42209631787</v>
      </c>
      <c r="Z56" s="574">
        <f>+P56+T56+X56</f>
        <v>760020.09499999997</v>
      </c>
      <c r="AA56" s="955">
        <f>+M56+Y56</f>
        <v>1282378.7535410768</v>
      </c>
      <c r="AB56" s="955">
        <f>+N56+Z56</f>
        <v>1356739.54</v>
      </c>
      <c r="AC56" s="143">
        <f>+(AC16*AC33)/1000</f>
        <v>259833.99433427746</v>
      </c>
      <c r="AD56" s="83">
        <f>+SMS!AD15</f>
        <v>190772.82</v>
      </c>
      <c r="AE56" s="57">
        <f>+(AE16*AE33)/1000</f>
        <v>1542212.747875354</v>
      </c>
      <c r="AF56" s="39">
        <f>+SMS!AF15</f>
        <v>1547512.36</v>
      </c>
      <c r="AG56" s="143">
        <f>+(AG16*AG33)/1000</f>
        <v>251811.33144475892</v>
      </c>
      <c r="AH56" s="83">
        <f>+SMS!AH15</f>
        <v>243243.53</v>
      </c>
      <c r="AI56" s="57">
        <f>+(AI16*AI33)/1000</f>
        <v>1794024.0793201129</v>
      </c>
      <c r="AJ56" s="39">
        <f>+SMS!AJ15</f>
        <v>1790755.8900000001</v>
      </c>
      <c r="AK56" s="143">
        <f>+(AK16*AK33)/1000</f>
        <v>259833.99433427746</v>
      </c>
      <c r="AL56" s="83">
        <f>+SMS!AL15</f>
        <v>250346.23999999999</v>
      </c>
      <c r="AM56" s="574">
        <f>+AC56+AG56+AK56</f>
        <v>771479.32011331385</v>
      </c>
      <c r="AN56" s="574">
        <f>+AD56+AH56+AL56</f>
        <v>684362.59</v>
      </c>
      <c r="AO56" s="57">
        <f>+(AO16*AO33)/1000</f>
        <v>2053858.0736543906</v>
      </c>
      <c r="AP56" s="39">
        <f>+SMS!AP15</f>
        <v>2041102.1300000001</v>
      </c>
      <c r="AQ56" s="143">
        <f>+(AQ16*AQ33)/1000</f>
        <v>263845.32577903679</v>
      </c>
      <c r="AR56" s="83">
        <f>+SMS!AR15</f>
        <v>242224.07</v>
      </c>
      <c r="AS56" s="57">
        <f>+(AS16*AS33)/1000</f>
        <v>2317703.3994334275</v>
      </c>
      <c r="AT56" s="39">
        <f>+SMS!AT15</f>
        <v>2283326.2000000002</v>
      </c>
      <c r="AU56" s="143">
        <f>+(AU16*AU33)/1000</f>
        <v>235766.00566572236</v>
      </c>
      <c r="AV56" s="83">
        <f>+SMS!AV15</f>
        <v>194681.07500000001</v>
      </c>
      <c r="AW56" s="57">
        <f>+(AW16*AW33)/1000</f>
        <v>2553469.4050991503</v>
      </c>
      <c r="AX56" s="39">
        <f>+SMS!AX15</f>
        <v>2478007.2750000004</v>
      </c>
      <c r="AY56" s="143">
        <f>+(AY16*AY33)/1000</f>
        <v>263845.32577903679</v>
      </c>
      <c r="AZ56" s="83">
        <f>+SMS!AZ15</f>
        <v>250513.94500000001</v>
      </c>
      <c r="BA56" s="574">
        <f t="shared" ref="BA56:BA59" si="52">+AQ56+AU56+AY56</f>
        <v>763456.65722379601</v>
      </c>
      <c r="BB56" s="574">
        <f t="shared" ref="BB56:BB59" si="53">+AR56+AV56+AZ56</f>
        <v>687419.09000000008</v>
      </c>
      <c r="BC56" s="955">
        <f>+AM56+BA56</f>
        <v>1534935.9773371099</v>
      </c>
      <c r="BD56" s="955">
        <f>+AN56+BB56</f>
        <v>1371781.6800000002</v>
      </c>
      <c r="BE56" s="341">
        <f t="shared" ref="BE56:BF59" si="54">+AW56+AY56</f>
        <v>2817314.7308781869</v>
      </c>
      <c r="BF56" s="341">
        <f t="shared" si="54"/>
        <v>2728521.22</v>
      </c>
      <c r="BG56"/>
      <c r="BH56" s="5800">
        <v>2933449.9999999995</v>
      </c>
      <c r="BI56" s="1591">
        <v>2862409.7649999997</v>
      </c>
      <c r="BJ56" s="1591">
        <v>2638900</v>
      </c>
      <c r="BK56" s="1591">
        <v>2582070.1407999997</v>
      </c>
      <c r="BL56" s="1591">
        <v>2777279.9999999977</v>
      </c>
      <c r="BM56" s="3760">
        <v>2695862.83</v>
      </c>
      <c r="BN56" s="2233">
        <v>2655000</v>
      </c>
      <c r="BO56" s="1591">
        <v>2574868</v>
      </c>
      <c r="BP56" s="1591">
        <v>2611100.4700000002</v>
      </c>
      <c r="BQ56" s="1591">
        <v>2366123.2121212119</v>
      </c>
      <c r="BR56" s="2312"/>
      <c r="BS56" s="2313"/>
      <c r="BT56" s="2233"/>
      <c r="BU56" s="1591"/>
      <c r="BV56" s="1591"/>
    </row>
    <row r="57" spans="1:74" ht="19.5" customHeight="1" thickBot="1" x14ac:dyDescent="0.35">
      <c r="A57" s="88"/>
      <c r="B57" s="3753" t="s">
        <v>278</v>
      </c>
      <c r="C57" s="3754" t="s">
        <v>351</v>
      </c>
      <c r="D57" s="1200">
        <f>+(D17*D33)/1000</f>
        <v>95795.480225988693</v>
      </c>
      <c r="E57" s="1200">
        <f>+(E17*E33)/1000</f>
        <v>6585.4990583804147</v>
      </c>
      <c r="F57" s="3755">
        <f>+SMS!F19</f>
        <v>8946.7000000000007</v>
      </c>
      <c r="G57" s="1200">
        <f>+(G17*G33)/1000</f>
        <v>5810.7344632768354</v>
      </c>
      <c r="H57" s="3755">
        <f>+SMS!H19</f>
        <v>4820.8</v>
      </c>
      <c r="I57" s="1021">
        <f>+(I17*I33)/1000</f>
        <v>12396.233521657248</v>
      </c>
      <c r="J57" s="3576">
        <f>+SMS!J19</f>
        <v>13767.5</v>
      </c>
      <c r="K57" s="1200">
        <f>+(K17*K33)/1000</f>
        <v>8061.7563739376674</v>
      </c>
      <c r="L57" s="3755">
        <f>+SMS!L19</f>
        <v>8404.2000000000007</v>
      </c>
      <c r="M57" s="1429">
        <f>+(M17*M33)/1000</f>
        <v>20457.989895594917</v>
      </c>
      <c r="N57" s="3756">
        <f>+SMS!N19</f>
        <v>22171.7</v>
      </c>
      <c r="O57" s="1200">
        <f>+(O17*O33)/1000</f>
        <v>8158.0736543909361</v>
      </c>
      <c r="P57" s="3755">
        <f>+SMS!P19</f>
        <v>11294.6</v>
      </c>
      <c r="Q57" s="1021">
        <f>+(Q17*Q33)/1000</f>
        <v>28616.063549985851</v>
      </c>
      <c r="R57" s="3576">
        <f>+SMS!R19</f>
        <v>33466.300000000003</v>
      </c>
      <c r="S57" s="1200">
        <f>+(S17*S33)/1000</f>
        <v>8158.0736543909361</v>
      </c>
      <c r="T57" s="3755">
        <f>+SMS!T19</f>
        <v>8598.0999999999985</v>
      </c>
      <c r="U57" s="1021">
        <f>+(U17*U33)/1000</f>
        <v>36774.137204376784</v>
      </c>
      <c r="V57" s="3576">
        <f>+SMS!V19</f>
        <v>42064.4</v>
      </c>
      <c r="W57" s="1200">
        <f>+(W17*W33)/1000</f>
        <v>4281.3031161473245</v>
      </c>
      <c r="X57" s="3755">
        <f>+SMS!X19</f>
        <v>7722</v>
      </c>
      <c r="Y57" s="3685">
        <f t="shared" ref="Y57:Y64" si="55">+O57+S57+W57</f>
        <v>20597.450424929197</v>
      </c>
      <c r="Z57" s="3685">
        <f t="shared" ref="Z57:Z64" si="56">+P57+T57+X57</f>
        <v>27614.699999999997</v>
      </c>
      <c r="AA57" s="3757">
        <f t="shared" ref="AA57:AB64" si="57">+M57+Y57</f>
        <v>41055.440320524111</v>
      </c>
      <c r="AB57" s="3757">
        <f t="shared" si="57"/>
        <v>49786.399999999994</v>
      </c>
      <c r="AC57" s="1200">
        <f>+(AC17*AC33)/1000</f>
        <v>8318.6024551463597</v>
      </c>
      <c r="AD57" s="3755">
        <f>+SMS!AD19</f>
        <v>5530.6</v>
      </c>
      <c r="AE57" s="1021">
        <f>+(AE17*AE33)/1000</f>
        <v>49374.042775670467</v>
      </c>
      <c r="AF57" s="3576">
        <f>+SMS!AF19</f>
        <v>55316.999999999993</v>
      </c>
      <c r="AG57" s="1200">
        <f>+(AG17*AG33)/1000</f>
        <v>8061.7563739376674</v>
      </c>
      <c r="AH57" s="3755">
        <f>+SMS!AH19</f>
        <v>8373.7999999999993</v>
      </c>
      <c r="AI57" s="1021">
        <f>+(AI17*AI33)/1000</f>
        <v>57435.799149608145</v>
      </c>
      <c r="AJ57" s="3576">
        <f>+SMS!AJ19</f>
        <v>63690.799999999988</v>
      </c>
      <c r="AK57" s="1200">
        <f>+(AK17*AK33)/1000</f>
        <v>8318.6024551463597</v>
      </c>
      <c r="AL57" s="3755">
        <f>+SMS!AL19</f>
        <v>6546.7999999999993</v>
      </c>
      <c r="AM57" s="3685">
        <f t="shared" ref="AM57:AM59" si="58">+AC57+AG57+AK57</f>
        <v>24698.961284230387</v>
      </c>
      <c r="AN57" s="3685">
        <f t="shared" ref="AN57:AN59" si="59">+AD57+AH57+AL57</f>
        <v>20451.199999999997</v>
      </c>
      <c r="AO57" s="1021">
        <f>+(AO17*AO33)/1000</f>
        <v>65754.401604754501</v>
      </c>
      <c r="AP57" s="3576">
        <f>+SMS!AP19</f>
        <v>70237.599999999991</v>
      </c>
      <c r="AQ57" s="1200">
        <f>+(AQ17*AQ33)/1000</f>
        <v>8447.0254957507077</v>
      </c>
      <c r="AR57" s="3755">
        <f>+SMS!AR19</f>
        <v>7578.7</v>
      </c>
      <c r="AS57" s="1021">
        <f>+(AS17*AS33)/1000</f>
        <v>74201.427100505214</v>
      </c>
      <c r="AT57" s="3576">
        <f>+SMS!AT19</f>
        <v>77816.299999999988</v>
      </c>
      <c r="AU57" s="1200">
        <f>+(AU17*AU33)/1000</f>
        <v>7548.0642115203018</v>
      </c>
      <c r="AV57" s="3755">
        <f>+SMS!AV19</f>
        <v>8045</v>
      </c>
      <c r="AW57" s="1021">
        <f>+(AW17*AW33)/1000</f>
        <v>81749.491312025522</v>
      </c>
      <c r="AX57" s="3576">
        <f>+SMS!AX19</f>
        <v>85861.299999999988</v>
      </c>
      <c r="AY57" s="1200">
        <f>+(AY17*AY33)/1000</f>
        <v>8447.0254957507077</v>
      </c>
      <c r="AZ57" s="3755">
        <f>+SMS!AZ19</f>
        <v>13265.9</v>
      </c>
      <c r="BA57" s="3685">
        <f t="shared" si="52"/>
        <v>24442.11520302172</v>
      </c>
      <c r="BB57" s="3685">
        <f t="shared" si="53"/>
        <v>28889.599999999999</v>
      </c>
      <c r="BC57" s="3758">
        <f t="shared" ref="BC57:BC64" si="60">+AM57+BA57</f>
        <v>49141.07648725211</v>
      </c>
      <c r="BD57" s="3758">
        <f t="shared" ref="BD57:BD64" si="61">+AN57+BB57</f>
        <v>49340.799999999996</v>
      </c>
      <c r="BE57" s="3686">
        <f t="shared" si="54"/>
        <v>90196.516807776236</v>
      </c>
      <c r="BF57" s="3686">
        <f t="shared" si="54"/>
        <v>99127.199999999983</v>
      </c>
      <c r="BG57"/>
      <c r="BH57" s="1529">
        <v>105260.71765816807</v>
      </c>
      <c r="BI57" s="4700">
        <v>99726.399999999994</v>
      </c>
      <c r="BJ57" s="4700">
        <v>99581.132075471687</v>
      </c>
      <c r="BK57" s="4700">
        <v>91824.999999999985</v>
      </c>
      <c r="BL57" s="4700">
        <v>104803.01886792443</v>
      </c>
      <c r="BM57" s="4701">
        <v>87073.52</v>
      </c>
      <c r="BN57" s="4699">
        <v>121081.638418079</v>
      </c>
      <c r="BO57" s="3759">
        <v>93275</v>
      </c>
      <c r="BP57" s="3759">
        <v>128650.03991671308</v>
      </c>
      <c r="BQ57" s="3759">
        <v>101615.76000000001</v>
      </c>
      <c r="BR57" s="2309"/>
      <c r="BS57" s="2314"/>
      <c r="BT57" s="997"/>
      <c r="BU57" s="1590"/>
      <c r="BV57" s="1590"/>
    </row>
    <row r="58" spans="1:74" ht="19.5" customHeight="1" thickBot="1" x14ac:dyDescent="0.35">
      <c r="A58" s="88"/>
      <c r="B58" s="2325" t="s">
        <v>83</v>
      </c>
      <c r="C58" s="2318" t="s">
        <v>351</v>
      </c>
      <c r="D58" s="1022">
        <f>+(D66*'Maj Production Summ'!D$18)/1000</f>
        <v>3512.0013926130637</v>
      </c>
      <c r="E58" s="1022">
        <f>+(E66*'Maj Production Summ'!E$18)/1000</f>
        <v>241.43395710865158</v>
      </c>
      <c r="F58" s="249">
        <f>+SMS!F55</f>
        <v>409</v>
      </c>
      <c r="G58" s="1022">
        <f>+(G66*'Maj Production Summ'!G$18)/1000</f>
        <v>213.02996215469253</v>
      </c>
      <c r="H58" s="249">
        <f>+SMS!H55</f>
        <v>147</v>
      </c>
      <c r="I58" s="657">
        <f>+(I66*'Maj Production Summ'!I$18)/1000</f>
        <v>454.46391926334417</v>
      </c>
      <c r="J58" s="39">
        <f>+SMS!J55</f>
        <v>556</v>
      </c>
      <c r="K58" s="1022">
        <f>+(K66*'Maj Production Summ'!K$18)/1000</f>
        <v>295.55569370688562</v>
      </c>
      <c r="L58" s="249">
        <f>+SMS!L55</f>
        <v>405</v>
      </c>
      <c r="M58" s="658">
        <f>+(M66*'Maj Production Summ'!M$18)/1000</f>
        <v>750.01961297022967</v>
      </c>
      <c r="N58" s="69">
        <f>+SMS!N55</f>
        <v>961</v>
      </c>
      <c r="O58" s="1022">
        <f>+(O66*'Maj Production Summ'!O$18)/1000</f>
        <v>299.08682505344376</v>
      </c>
      <c r="P58" s="249">
        <f>+SMS!P55</f>
        <v>383</v>
      </c>
      <c r="Q58" s="657">
        <f>+(Q66*'Maj Production Summ'!Q$18)/1000</f>
        <v>1049.1064380236735</v>
      </c>
      <c r="R58" s="39">
        <f>+SMS!R55</f>
        <v>1344</v>
      </c>
      <c r="S58" s="1022">
        <f>+(S66*'Maj Production Summ'!S$18)/1000</f>
        <v>299.08682505344376</v>
      </c>
      <c r="T58" s="249">
        <f>+SMS!T55</f>
        <v>300</v>
      </c>
      <c r="U58" s="657">
        <f>+(U66*'Maj Production Summ'!U$18)/1000</f>
        <v>1348.1932630771173</v>
      </c>
      <c r="V58" s="39">
        <f>+SMS!V55</f>
        <v>1644</v>
      </c>
      <c r="W58" s="1022">
        <f>+(W66*'Maj Production Summ'!W$18)/1000</f>
        <v>156.95878835449378</v>
      </c>
      <c r="X58" s="249">
        <f>+SMS!X55</f>
        <v>293</v>
      </c>
      <c r="Y58" s="574">
        <f t="shared" si="55"/>
        <v>755.1324384613813</v>
      </c>
      <c r="Z58" s="574">
        <f t="shared" si="56"/>
        <v>976</v>
      </c>
      <c r="AA58" s="955">
        <f t="shared" si="57"/>
        <v>1505.152051431611</v>
      </c>
      <c r="AB58" s="955">
        <f t="shared" si="57"/>
        <v>1937</v>
      </c>
      <c r="AC58" s="1022">
        <f>+(AC66*'Maj Production Summ'!AC$18)/1000</f>
        <v>304.9720439643732</v>
      </c>
      <c r="AD58" s="249">
        <f>+SMS!AD55</f>
        <v>251</v>
      </c>
      <c r="AE58" s="657">
        <f>+(AE66*'Maj Production Summ'!AE$18)/1000</f>
        <v>1810.1240953959841</v>
      </c>
      <c r="AF58" s="39">
        <f>+SMS!AF55</f>
        <v>2188</v>
      </c>
      <c r="AG58" s="1022">
        <f>+(AG66*'Maj Production Summ'!AG$18)/1000</f>
        <v>295.55569370688562</v>
      </c>
      <c r="AH58" s="249">
        <f>+SMS!AH55</f>
        <v>290</v>
      </c>
      <c r="AI58" s="657">
        <f>+(AI66*'Maj Production Summ'!AI$18)/1000</f>
        <v>2105.67978910287</v>
      </c>
      <c r="AJ58" s="39">
        <f>+SMS!AJ55</f>
        <v>2478</v>
      </c>
      <c r="AK58" s="1022">
        <f>+(AK66*'Maj Production Summ'!AK$18)/1000</f>
        <v>304.9720439643732</v>
      </c>
      <c r="AL58" s="249">
        <f>+SMS!AL55</f>
        <v>401.53</v>
      </c>
      <c r="AM58" s="574">
        <f t="shared" si="58"/>
        <v>905.49978163563196</v>
      </c>
      <c r="AN58" s="574">
        <f t="shared" si="59"/>
        <v>942.53</v>
      </c>
      <c r="AO58" s="657">
        <f>+(AO66*'Maj Production Summ'!AO$18)/1000</f>
        <v>2410.6518330672429</v>
      </c>
      <c r="AP58" s="39">
        <f>+SMS!AP55</f>
        <v>2879.5299999999997</v>
      </c>
      <c r="AQ58" s="1022">
        <f>+(AQ66*'Maj Production Summ'!AQ$18)/1000</f>
        <v>309.6802190931171</v>
      </c>
      <c r="AR58" s="249">
        <f>+SMS!AR55</f>
        <v>267.8</v>
      </c>
      <c r="AS58" s="657">
        <f>+(AS66*'Maj Production Summ'!AS$18)/1000</f>
        <v>2720.3320521603605</v>
      </c>
      <c r="AT58" s="39">
        <f>+SMS!AT55</f>
        <v>3147.33</v>
      </c>
      <c r="AU58" s="1022">
        <f>+(AU66*'Maj Production Summ'!AU$18)/1000</f>
        <v>276.72299319191114</v>
      </c>
      <c r="AV58" s="249">
        <f>+SMS!AV55</f>
        <v>135</v>
      </c>
      <c r="AW58" s="657">
        <f>+(AW66*'Maj Production Summ'!AW$18)/1000</f>
        <v>2997.0550453522719</v>
      </c>
      <c r="AX58" s="39">
        <f>+SMS!AX55</f>
        <v>3282.33</v>
      </c>
      <c r="AY58" s="1022">
        <f>+(AY66*'Maj Production Summ'!AY$18)/1000</f>
        <v>309.6802190931171</v>
      </c>
      <c r="AZ58" s="249">
        <f>+SMS!AZ55</f>
        <v>421</v>
      </c>
      <c r="BA58" s="574">
        <f t="shared" si="52"/>
        <v>896.08343137814541</v>
      </c>
      <c r="BB58" s="574">
        <f t="shared" si="53"/>
        <v>823.8</v>
      </c>
      <c r="BC58" s="955">
        <f t="shared" si="60"/>
        <v>1801.5832130137774</v>
      </c>
      <c r="BD58" s="955">
        <f t="shared" si="61"/>
        <v>1766.33</v>
      </c>
      <c r="BE58" s="341">
        <f t="shared" si="54"/>
        <v>3306.735264445389</v>
      </c>
      <c r="BF58" s="341">
        <f t="shared" si="54"/>
        <v>3703.33</v>
      </c>
      <c r="BG58"/>
      <c r="BH58" s="5800">
        <v>4535.1641842747886</v>
      </c>
      <c r="BI58" s="1591">
        <v>3809.33</v>
      </c>
      <c r="BJ58" s="1591">
        <v>4107.721698113206</v>
      </c>
      <c r="BK58" s="1591">
        <v>3222</v>
      </c>
      <c r="BL58" s="1591">
        <v>3385.0942571672449</v>
      </c>
      <c r="BM58" s="3760">
        <v>4727</v>
      </c>
      <c r="BN58" s="2233">
        <v>4499.9999999999973</v>
      </c>
      <c r="BO58" s="1591">
        <v>4569.84</v>
      </c>
      <c r="BP58" s="1591">
        <v>6693.3528167707818</v>
      </c>
      <c r="BQ58" s="3760">
        <v>4136</v>
      </c>
      <c r="BR58" s="3746"/>
      <c r="BS58" s="2314"/>
      <c r="BT58" s="997"/>
      <c r="BU58" s="1590"/>
      <c r="BV58" s="1590"/>
    </row>
    <row r="59" spans="1:74" ht="18.75" customHeight="1" x14ac:dyDescent="0.3">
      <c r="A59" s="88"/>
      <c r="B59" s="2326" t="s">
        <v>796</v>
      </c>
      <c r="C59" s="3761" t="s">
        <v>351</v>
      </c>
      <c r="D59" s="1023">
        <f>+(D67*'Maj Production Summ'!D$18)/1000</f>
        <v>2201.7356157900963</v>
      </c>
      <c r="E59" s="1023">
        <f>+(E67*'Maj Production Summ'!E$18)/1000</f>
        <v>151.3592059915857</v>
      </c>
      <c r="F59" s="168">
        <f>+SMS!F56</f>
        <v>140</v>
      </c>
      <c r="G59" s="1023">
        <f>+(G67*'Maj Production Summ'!G$18)/1000</f>
        <v>133.55224058081092</v>
      </c>
      <c r="H59" s="168">
        <f>+SMS!H56</f>
        <v>56</v>
      </c>
      <c r="I59" s="57">
        <v>0</v>
      </c>
      <c r="J59" s="35">
        <f>+SMS!J56</f>
        <v>196</v>
      </c>
      <c r="K59" s="1023">
        <f>+(K67*'Maj Production Summ'!K$18)/1000</f>
        <v>185.28907723462677</v>
      </c>
      <c r="L59" s="168">
        <f>+SMS!L56</f>
        <v>105</v>
      </c>
      <c r="M59" s="68">
        <v>0</v>
      </c>
      <c r="N59" s="65">
        <f>+SMS!N56</f>
        <v>301</v>
      </c>
      <c r="O59" s="1023">
        <f>+(O67*'Maj Production Summ'!O$18)/1000</f>
        <v>187.50280575594874</v>
      </c>
      <c r="P59" s="168">
        <f>+SMS!P56</f>
        <v>137</v>
      </c>
      <c r="Q59" s="57">
        <v>0</v>
      </c>
      <c r="R59" s="35">
        <f>+SMS!R56</f>
        <v>438</v>
      </c>
      <c r="S59" s="1023">
        <f>+(S67*'Maj Production Summ'!S$18)/1000</f>
        <v>187.50280575594874</v>
      </c>
      <c r="T59" s="168">
        <f>+SMS!T56</f>
        <v>131</v>
      </c>
      <c r="U59" s="57">
        <v>0</v>
      </c>
      <c r="V59" s="35">
        <f>+SMS!V56</f>
        <v>569</v>
      </c>
      <c r="W59" s="1023">
        <f>+(W67*'Maj Production Summ'!W$18)/1000</f>
        <v>98.4002327727503</v>
      </c>
      <c r="X59" s="168">
        <f>+SMS!X56</f>
        <v>129</v>
      </c>
      <c r="Y59" s="3735">
        <f t="shared" si="55"/>
        <v>473.4058442846478</v>
      </c>
      <c r="Z59" s="3735">
        <f t="shared" si="56"/>
        <v>397</v>
      </c>
      <c r="AA59" s="3762">
        <f t="shared" si="57"/>
        <v>473.4058442846478</v>
      </c>
      <c r="AB59" s="3762">
        <f t="shared" si="57"/>
        <v>698</v>
      </c>
      <c r="AC59" s="1023">
        <f>+(AC67*'Maj Production Summ'!AC$18)/1000</f>
        <v>191.19235329148475</v>
      </c>
      <c r="AD59" s="168">
        <f>+SMS!AD56</f>
        <v>94</v>
      </c>
      <c r="AE59" s="57">
        <v>0</v>
      </c>
      <c r="AF59" s="35">
        <f>+SMS!AF56</f>
        <v>792</v>
      </c>
      <c r="AG59" s="1023">
        <f>+(AG67*'Maj Production Summ'!AG$18)/1000</f>
        <v>185.28907723462677</v>
      </c>
      <c r="AH59" s="168">
        <f>+SMS!AH56</f>
        <v>112</v>
      </c>
      <c r="AI59" s="57">
        <v>0</v>
      </c>
      <c r="AJ59" s="35">
        <f>+SMS!AJ56</f>
        <v>904</v>
      </c>
      <c r="AK59" s="1023">
        <f>+(AK67*'Maj Production Summ'!AK$18)/1000</f>
        <v>191.19235329148475</v>
      </c>
      <c r="AL59" s="168">
        <f>+SMS!AL56</f>
        <v>70</v>
      </c>
      <c r="AM59" s="3735">
        <f t="shared" si="58"/>
        <v>567.67378381759625</v>
      </c>
      <c r="AN59" s="3735">
        <f t="shared" si="59"/>
        <v>276</v>
      </c>
      <c r="AO59" s="57">
        <v>0</v>
      </c>
      <c r="AP59" s="35">
        <f>+SMS!AP56</f>
        <v>974</v>
      </c>
      <c r="AQ59" s="1023">
        <f>+(AQ67*'Maj Production Summ'!AQ$18)/1000</f>
        <v>194.14399131991382</v>
      </c>
      <c r="AR59" s="168">
        <f>+SMS!AR56</f>
        <v>88</v>
      </c>
      <c r="AS59" s="57">
        <v>0</v>
      </c>
      <c r="AT59" s="35">
        <f>+SMS!AT56</f>
        <v>1062</v>
      </c>
      <c r="AU59" s="1023">
        <f>+(AU67*'Maj Production Summ'!AU$18)/1000</f>
        <v>173.48252512091122</v>
      </c>
      <c r="AV59" s="168">
        <f>+SMS!AV56</f>
        <v>143.714</v>
      </c>
      <c r="AW59" s="57">
        <v>0</v>
      </c>
      <c r="AX59" s="35">
        <f>+SMS!AX56</f>
        <v>1205.7139999999999</v>
      </c>
      <c r="AY59" s="1023">
        <f>+(AY67*'Maj Production Summ'!AY$18)/1000</f>
        <v>194.14399131991382</v>
      </c>
      <c r="AZ59" s="168">
        <f>+SMS!AZ56</f>
        <v>122</v>
      </c>
      <c r="BA59" s="3735">
        <f t="shared" si="52"/>
        <v>561.77050776073884</v>
      </c>
      <c r="BB59" s="3735">
        <f t="shared" si="53"/>
        <v>353.714</v>
      </c>
      <c r="BC59" s="955">
        <f t="shared" si="60"/>
        <v>1129.4442915783352</v>
      </c>
      <c r="BD59" s="955">
        <f t="shared" si="61"/>
        <v>629.71399999999994</v>
      </c>
      <c r="BE59" s="3734">
        <f t="shared" si="54"/>
        <v>194.14399131991382</v>
      </c>
      <c r="BF59" s="3734">
        <f t="shared" si="54"/>
        <v>1327.7139999999999</v>
      </c>
      <c r="BG59"/>
      <c r="BH59" s="5764">
        <v>208.72246284088834</v>
      </c>
      <c r="BI59" s="4735">
        <v>1414.7139999999999</v>
      </c>
      <c r="BJ59" s="4735">
        <v>0</v>
      </c>
      <c r="BK59" s="4735">
        <v>1433</v>
      </c>
      <c r="BL59" s="4735">
        <v>0</v>
      </c>
      <c r="BM59" s="5765">
        <v>1668.3050000000001</v>
      </c>
      <c r="BN59" s="4708">
        <v>0</v>
      </c>
      <c r="BO59" s="3763">
        <v>1122.0419999999999</v>
      </c>
      <c r="BP59" s="3763">
        <v>0</v>
      </c>
      <c r="BQ59" s="998">
        <v>968.33999999999992</v>
      </c>
      <c r="BR59" s="3746"/>
      <c r="BS59" s="2314"/>
      <c r="BT59" s="997"/>
      <c r="BU59" s="1590"/>
      <c r="BV59" s="1590"/>
    </row>
    <row r="60" spans="1:74" ht="19.5" customHeight="1" thickBot="1" x14ac:dyDescent="0.35">
      <c r="A60" s="772"/>
      <c r="B60" s="2327" t="s">
        <v>838</v>
      </c>
      <c r="C60" s="3764" t="s">
        <v>351</v>
      </c>
      <c r="D60" s="1225">
        <f>SUM(D58:D59)</f>
        <v>5713.73700840316</v>
      </c>
      <c r="E60" s="1225">
        <f>SUM(E58:E59)</f>
        <v>392.79316310023728</v>
      </c>
      <c r="F60" s="1038">
        <f t="shared" ref="F60" si="62">SUM(F58:F59)</f>
        <v>549</v>
      </c>
      <c r="G60" s="1225">
        <f>SUM(G58:G59)</f>
        <v>346.58220273550342</v>
      </c>
      <c r="H60" s="1038">
        <f t="shared" ref="H60" si="63">SUM(H58:H59)</f>
        <v>203</v>
      </c>
      <c r="I60" s="1846">
        <f t="shared" ref="I60:R60" si="64">SUM(I58:I59)</f>
        <v>454.46391926334417</v>
      </c>
      <c r="J60" s="1847">
        <f t="shared" si="64"/>
        <v>752</v>
      </c>
      <c r="K60" s="1225">
        <f>SUM(K58:K59)</f>
        <v>480.84477094151237</v>
      </c>
      <c r="L60" s="1038">
        <f t="shared" ref="L60" si="65">SUM(L58:L59)</f>
        <v>510</v>
      </c>
      <c r="M60" s="1838">
        <f t="shared" si="64"/>
        <v>750.01961297022967</v>
      </c>
      <c r="N60" s="1839">
        <f t="shared" si="64"/>
        <v>1262</v>
      </c>
      <c r="O60" s="1225">
        <f>SUM(O58:O59)</f>
        <v>486.58963080939247</v>
      </c>
      <c r="P60" s="1038">
        <f t="shared" ref="P60" si="66">SUM(P58:P59)</f>
        <v>520</v>
      </c>
      <c r="Q60" s="1846">
        <f t="shared" si="64"/>
        <v>1049.1064380236735</v>
      </c>
      <c r="R60" s="1847">
        <f t="shared" si="64"/>
        <v>1782</v>
      </c>
      <c r="S60" s="1225">
        <f>SUM(S58:S59)</f>
        <v>486.58963080939247</v>
      </c>
      <c r="T60" s="1038">
        <f t="shared" ref="T60" si="67">SUM(T58:T59)</f>
        <v>431</v>
      </c>
      <c r="U60" s="1846">
        <f t="shared" ref="U60:V60" si="68">SUM(U58:U59)</f>
        <v>1348.1932630771173</v>
      </c>
      <c r="V60" s="1847">
        <f t="shared" si="68"/>
        <v>2213</v>
      </c>
      <c r="W60" s="1225">
        <f>SUM(W58:W59)</f>
        <v>255.35902112724409</v>
      </c>
      <c r="X60" s="1038">
        <f t="shared" ref="X60" si="69">SUM(X58:X59)</f>
        <v>422</v>
      </c>
      <c r="Y60" s="3765">
        <f t="shared" ref="Y60:AF60" si="70">SUM(Y58:Y59)</f>
        <v>1228.5382827460292</v>
      </c>
      <c r="Z60" s="3765">
        <f t="shared" si="70"/>
        <v>1373</v>
      </c>
      <c r="AA60" s="3766">
        <f t="shared" si="70"/>
        <v>1978.5578957162588</v>
      </c>
      <c r="AB60" s="3766">
        <f t="shared" si="70"/>
        <v>2635</v>
      </c>
      <c r="AC60" s="1225">
        <f>SUM(AC58:AC59)</f>
        <v>496.16439725585792</v>
      </c>
      <c r="AD60" s="1038">
        <f t="shared" ref="AD60" si="71">SUM(AD58:AD59)</f>
        <v>345</v>
      </c>
      <c r="AE60" s="1846">
        <f t="shared" si="70"/>
        <v>1810.1240953959841</v>
      </c>
      <c r="AF60" s="1847">
        <f t="shared" si="70"/>
        <v>2980</v>
      </c>
      <c r="AG60" s="1225">
        <f>SUM(AG58:AG59)</f>
        <v>480.84477094151237</v>
      </c>
      <c r="AH60" s="1038">
        <f t="shared" ref="AH60:AJ60" si="72">SUM(AH58:AH59)</f>
        <v>402</v>
      </c>
      <c r="AI60" s="1846">
        <f t="shared" si="72"/>
        <v>2105.67978910287</v>
      </c>
      <c r="AJ60" s="1847">
        <f t="shared" si="72"/>
        <v>3382</v>
      </c>
      <c r="AK60" s="1225">
        <f>SUM(AK58:AK59)</f>
        <v>496.16439725585792</v>
      </c>
      <c r="AL60" s="1038">
        <f t="shared" ref="AL60" si="73">SUM(AL58:AL59)</f>
        <v>471.53</v>
      </c>
      <c r="AM60" s="3765">
        <f t="shared" ref="AM60:AN60" si="74">SUM(AM58:AM59)</f>
        <v>1473.1735654532281</v>
      </c>
      <c r="AN60" s="3765">
        <f t="shared" si="74"/>
        <v>1218.53</v>
      </c>
      <c r="AO60" s="1846">
        <f t="shared" ref="AO60:AT60" si="75">SUM(AO58:AO59)</f>
        <v>2410.6518330672429</v>
      </c>
      <c r="AP60" s="1847">
        <f t="shared" si="75"/>
        <v>3853.5299999999997</v>
      </c>
      <c r="AQ60" s="1225">
        <f>SUM(AQ58:AQ59)</f>
        <v>503.82421041303093</v>
      </c>
      <c r="AR60" s="1038">
        <f t="shared" ref="AR60" si="76">SUM(AR58:AR59)</f>
        <v>355.8</v>
      </c>
      <c r="AS60" s="1846">
        <f t="shared" si="75"/>
        <v>2720.3320521603605</v>
      </c>
      <c r="AT60" s="1847">
        <f t="shared" si="75"/>
        <v>4209.33</v>
      </c>
      <c r="AU60" s="1225">
        <f>SUM(AU58:AU59)</f>
        <v>450.20551831282239</v>
      </c>
      <c r="AV60" s="1038">
        <f t="shared" ref="AV60" si="77">SUM(AV58:AV59)</f>
        <v>278.714</v>
      </c>
      <c r="AW60" s="1846">
        <f t="shared" ref="AW60:AX60" si="78">SUM(AW58:AW59)</f>
        <v>2997.0550453522719</v>
      </c>
      <c r="AX60" s="1847">
        <f t="shared" si="78"/>
        <v>4488.0439999999999</v>
      </c>
      <c r="AY60" s="1225">
        <f>SUM(AY58:AY59)</f>
        <v>503.82421041303093</v>
      </c>
      <c r="AZ60" s="1038">
        <f t="shared" ref="AZ60" si="79">SUM(AZ58:AZ59)</f>
        <v>543</v>
      </c>
      <c r="BA60" s="3765">
        <f t="shared" ref="BA60:BD60" si="80">SUM(BA58:BA59)</f>
        <v>1457.8539391388842</v>
      </c>
      <c r="BB60" s="3765">
        <f t="shared" si="80"/>
        <v>1177.5139999999999</v>
      </c>
      <c r="BC60" s="3766">
        <f t="shared" si="80"/>
        <v>2931.0275045921126</v>
      </c>
      <c r="BD60" s="3766">
        <f t="shared" si="80"/>
        <v>2396.0439999999999</v>
      </c>
      <c r="BE60" s="3767">
        <f t="shared" ref="BE60:BF60" si="81">SUM(BE58:BE59)</f>
        <v>3500.8792557653028</v>
      </c>
      <c r="BF60" s="3767">
        <f t="shared" si="81"/>
        <v>5031.0439999999999</v>
      </c>
      <c r="BG60"/>
      <c r="BH60" s="5801">
        <v>4743.8866471156771</v>
      </c>
      <c r="BI60" s="5758">
        <v>5224.0439999999999</v>
      </c>
      <c r="BJ60" s="5758">
        <v>4107.721698113206</v>
      </c>
      <c r="BK60" s="5758">
        <v>4655</v>
      </c>
      <c r="BL60" s="5758">
        <v>3385.0942571672449</v>
      </c>
      <c r="BM60" s="5802">
        <v>6395.3050000000003</v>
      </c>
      <c r="BN60" s="5780">
        <v>4499.9999999999973</v>
      </c>
      <c r="BO60" s="3768">
        <v>5691.8819999999996</v>
      </c>
      <c r="BP60" s="3768">
        <v>6693.3528167707818</v>
      </c>
      <c r="BQ60" s="1819">
        <v>5104.34</v>
      </c>
      <c r="BR60" s="3747"/>
      <c r="BS60" s="1818"/>
      <c r="BT60" s="2234"/>
      <c r="BU60" s="1373"/>
      <c r="BV60" s="1373"/>
    </row>
    <row r="61" spans="1:74" ht="19.5" customHeight="1" thickBot="1" x14ac:dyDescent="0.35">
      <c r="A61" s="88"/>
      <c r="B61" s="2326" t="s">
        <v>84</v>
      </c>
      <c r="C61" s="3761" t="s">
        <v>351</v>
      </c>
      <c r="D61" s="1023">
        <f>+(D69*'Maj Production Summ'!D$18)/1000</f>
        <v>39108.92926621464</v>
      </c>
      <c r="E61" s="1023">
        <f>+(E69*'Maj Production Summ'!E$18)/1000</f>
        <v>2688.5591705301626</v>
      </c>
      <c r="F61" s="168">
        <f>+SMS!F58</f>
        <v>2872</v>
      </c>
      <c r="G61" s="1023">
        <f>+(G69*'Maj Production Summ'!G$18)/1000</f>
        <v>2372.2580916442607</v>
      </c>
      <c r="H61" s="168">
        <f>+SMS!H58</f>
        <v>1223</v>
      </c>
      <c r="I61" s="57">
        <f>+(I69*'Maj Production Summ'!I$18)/1000</f>
        <v>5060.8172621744234</v>
      </c>
      <c r="J61" s="35">
        <f>+SMS!J58</f>
        <v>4095</v>
      </c>
      <c r="K61" s="1023">
        <f>+(K69*'Maj Production Summ'!K$18)/1000</f>
        <v>3291.2477608129161</v>
      </c>
      <c r="L61" s="168">
        <f>+SMS!L58</f>
        <v>3768</v>
      </c>
      <c r="M61" s="68">
        <f>+(M69*'Maj Production Summ'!M$18)/1000</f>
        <v>8352.065022987339</v>
      </c>
      <c r="N61" s="65">
        <f>+SMS!N58</f>
        <v>7863</v>
      </c>
      <c r="O61" s="1023">
        <f>+(O69*'Maj Production Summ'!O$18)/1000</f>
        <v>3330.5697173339827</v>
      </c>
      <c r="P61" s="168">
        <f>+SMS!P58</f>
        <v>4098</v>
      </c>
      <c r="Q61" s="57">
        <f>+(Q69*'Maj Production Summ'!Q$18)/1000</f>
        <v>11682.634740321324</v>
      </c>
      <c r="R61" s="35">
        <f>+SMS!R58</f>
        <v>11961</v>
      </c>
      <c r="S61" s="1023">
        <f>+(S69*'Maj Production Summ'!S$18)/1000</f>
        <v>3330.5697173339827</v>
      </c>
      <c r="T61" s="168">
        <f>+SMS!T58</f>
        <v>3587.02</v>
      </c>
      <c r="U61" s="57">
        <f>+(U69*'Maj Production Summ'!U$18)/1000</f>
        <v>15013.204457655303</v>
      </c>
      <c r="V61" s="35">
        <f>+SMS!V58</f>
        <v>15548.02</v>
      </c>
      <c r="W61" s="1023">
        <f>+(W69*'Maj Production Summ'!W$18)/1000</f>
        <v>1747.8609673612286</v>
      </c>
      <c r="X61" s="168">
        <f>+SMS!X58</f>
        <v>3011.1099999999997</v>
      </c>
      <c r="Y61" s="3735">
        <f t="shared" si="55"/>
        <v>8409.0004020291944</v>
      </c>
      <c r="Z61" s="3735">
        <f t="shared" si="56"/>
        <v>10696.130000000001</v>
      </c>
      <c r="AA61" s="3762">
        <f t="shared" si="57"/>
        <v>16761.065425016532</v>
      </c>
      <c r="AB61" s="3762">
        <f t="shared" si="57"/>
        <v>18559.13</v>
      </c>
      <c r="AC61" s="1023">
        <f>+(AC69*'Maj Production Summ'!AC$18)/1000</f>
        <v>3396.106311535751</v>
      </c>
      <c r="AD61" s="168">
        <f>+SMS!AD58</f>
        <v>2470</v>
      </c>
      <c r="AE61" s="57">
        <f>+(AE69*'Maj Production Summ'!AE$18)/1000</f>
        <v>20157.171736552282</v>
      </c>
      <c r="AF61" s="35">
        <f>+SMS!AF58</f>
        <v>21029.129999999997</v>
      </c>
      <c r="AG61" s="1023">
        <f>+(AG69*'Maj Production Summ'!AG$18)/1000</f>
        <v>3291.2477608129161</v>
      </c>
      <c r="AH61" s="168">
        <f>+SMS!AH58</f>
        <v>2814</v>
      </c>
      <c r="AI61" s="57">
        <f>+(AI69*'Maj Production Summ'!AI$18)/1000</f>
        <v>23448.419497365197</v>
      </c>
      <c r="AJ61" s="35">
        <f>+SMS!AJ58</f>
        <v>23843.129999999997</v>
      </c>
      <c r="AK61" s="1023">
        <f>+(AK69*'Maj Production Summ'!AK$18)/1000</f>
        <v>3396.106311535751</v>
      </c>
      <c r="AL61" s="168">
        <f>+SMS!AL58</f>
        <v>3092</v>
      </c>
      <c r="AM61" s="3735">
        <f t="shared" ref="AM61" si="82">+AC61+AG61+AK61</f>
        <v>10083.46038388442</v>
      </c>
      <c r="AN61" s="3735">
        <f t="shared" ref="AN61" si="83">+AD61+AH61+AL61</f>
        <v>8376</v>
      </c>
      <c r="AO61" s="57">
        <f>+(AO69*'Maj Production Summ'!AO$18)/1000</f>
        <v>26844.525808900951</v>
      </c>
      <c r="AP61" s="35">
        <f>+SMS!AP58</f>
        <v>26935.129999999997</v>
      </c>
      <c r="AQ61" s="1023">
        <f>+(AQ69*'Maj Production Summ'!AQ$18)/1000</f>
        <v>3448.5355868971697</v>
      </c>
      <c r="AR61" s="168">
        <f>+SMS!AR58</f>
        <v>3008</v>
      </c>
      <c r="AS61" s="57">
        <f>+(AS69*'Maj Production Summ'!AS$18)/1000</f>
        <v>30293.061395798126</v>
      </c>
      <c r="AT61" s="35">
        <f>+SMS!AT58</f>
        <v>29943.129999999997</v>
      </c>
      <c r="AU61" s="1023">
        <f>+(AU69*'Maj Production Summ'!AU$18)/1000</f>
        <v>3081.530659367254</v>
      </c>
      <c r="AV61" s="168">
        <f>+SMS!AV58</f>
        <v>2409</v>
      </c>
      <c r="AW61" s="57">
        <f>+(AW69*'Maj Production Summ'!AW$18)/1000</f>
        <v>33374.592055165383</v>
      </c>
      <c r="AX61" s="35">
        <f>+SMS!AX58</f>
        <v>32352.129999999997</v>
      </c>
      <c r="AY61" s="1023">
        <f>+(AY69*'Maj Production Summ'!AY$18)/1000</f>
        <v>3448.5355868971697</v>
      </c>
      <c r="AZ61" s="168">
        <f>+SMS!AZ58</f>
        <v>3289</v>
      </c>
      <c r="BA61" s="3735">
        <f>+AQ61+AU61+AY61</f>
        <v>9978.6018331615924</v>
      </c>
      <c r="BB61" s="3735">
        <f>+AR61+AV61+AZ61</f>
        <v>8706</v>
      </c>
      <c r="BC61" s="955">
        <f t="shared" si="60"/>
        <v>20062.062217046012</v>
      </c>
      <c r="BD61" s="955">
        <f t="shared" si="61"/>
        <v>17082</v>
      </c>
      <c r="BE61" s="3734">
        <f>+AW61+AY61</f>
        <v>36823.127642062551</v>
      </c>
      <c r="BF61" s="3734">
        <f>+AX61+AZ61</f>
        <v>35641.129999999997</v>
      </c>
      <c r="BG61"/>
      <c r="BH61" s="5764">
        <v>48123.449474974776</v>
      </c>
      <c r="BI61" s="4735">
        <v>38448.129999999997</v>
      </c>
      <c r="BJ61" s="4735">
        <v>45682.844339622636</v>
      </c>
      <c r="BK61" s="4735">
        <v>39439.440000000002</v>
      </c>
      <c r="BL61" s="4735">
        <v>44076.080225204008</v>
      </c>
      <c r="BM61" s="5765">
        <v>45680</v>
      </c>
      <c r="BN61" s="4708">
        <v>39999.999999999971</v>
      </c>
      <c r="BO61" s="3763">
        <v>44647.62</v>
      </c>
      <c r="BP61" s="3763">
        <v>42007.865963932476</v>
      </c>
      <c r="BQ61" s="998">
        <v>36347</v>
      </c>
      <c r="BR61" s="3746"/>
      <c r="BS61" s="2314"/>
      <c r="BT61" s="997"/>
      <c r="BU61" s="1590"/>
      <c r="BV61" s="1590"/>
    </row>
    <row r="62" spans="1:74" ht="18.75" customHeight="1" x14ac:dyDescent="0.3">
      <c r="A62" s="88"/>
      <c r="B62" s="2326" t="s">
        <v>1481</v>
      </c>
      <c r="C62" s="3761" t="s">
        <v>351</v>
      </c>
      <c r="D62" s="1023"/>
      <c r="E62" s="1023"/>
      <c r="F62" s="168">
        <f>+SMS!F59</f>
        <v>0</v>
      </c>
      <c r="G62" s="1023"/>
      <c r="H62" s="168">
        <f>+SMS!H59</f>
        <v>0</v>
      </c>
      <c r="I62" s="57"/>
      <c r="J62" s="35">
        <f>+SMS!J59</f>
        <v>0</v>
      </c>
      <c r="K62" s="1023"/>
      <c r="L62" s="168">
        <f>+SMS!L59</f>
        <v>0</v>
      </c>
      <c r="M62" s="68"/>
      <c r="N62" s="65">
        <f>+SMS!N59</f>
        <v>0</v>
      </c>
      <c r="O62" s="1023"/>
      <c r="P62" s="168">
        <f>+SMS!P59</f>
        <v>0</v>
      </c>
      <c r="Q62" s="57"/>
      <c r="R62" s="35">
        <f>+SMS!R59</f>
        <v>0</v>
      </c>
      <c r="S62" s="1023"/>
      <c r="T62" s="168">
        <f>+SMS!T59</f>
        <v>0</v>
      </c>
      <c r="U62" s="57"/>
      <c r="V62" s="35">
        <f>+SMS!V59</f>
        <v>0</v>
      </c>
      <c r="W62" s="1023"/>
      <c r="X62" s="168">
        <f>+SMS!X59</f>
        <v>0</v>
      </c>
      <c r="Y62" s="3735"/>
      <c r="Z62" s="3735">
        <f>P62+T62+X62</f>
        <v>0</v>
      </c>
      <c r="AA62" s="3762"/>
      <c r="AB62" s="3762">
        <f t="shared" si="57"/>
        <v>0</v>
      </c>
      <c r="AC62" s="1023"/>
      <c r="AD62" s="168">
        <f>+SMS!AD59</f>
        <v>0</v>
      </c>
      <c r="AE62" s="57"/>
      <c r="AF62" s="35">
        <f>+SMS!AF59</f>
        <v>0</v>
      </c>
      <c r="AG62" s="1023"/>
      <c r="AH62" s="168">
        <f>+SMS!AH59</f>
        <v>0</v>
      </c>
      <c r="AI62" s="57"/>
      <c r="AJ62" s="35">
        <f>+SMS!AJ59</f>
        <v>0</v>
      </c>
      <c r="AK62" s="1023"/>
      <c r="AL62" s="168">
        <f>+SMS!AL59</f>
        <v>0</v>
      </c>
      <c r="AM62" s="3735"/>
      <c r="AN62" s="3735">
        <f>AD62+AH62+AL62</f>
        <v>0</v>
      </c>
      <c r="AO62" s="57"/>
      <c r="AP62" s="35">
        <f>+SMS!AP59</f>
        <v>0</v>
      </c>
      <c r="AQ62" s="1023"/>
      <c r="AR62" s="168">
        <f>+SMS!AR59</f>
        <v>0</v>
      </c>
      <c r="AS62" s="57"/>
      <c r="AT62" s="35">
        <f>+SMS!AT59</f>
        <v>0</v>
      </c>
      <c r="AU62" s="1023"/>
      <c r="AV62" s="168">
        <f>+SMS!AV59</f>
        <v>0</v>
      </c>
      <c r="AW62" s="57"/>
      <c r="AX62" s="35">
        <f>+SMS!AX59</f>
        <v>0</v>
      </c>
      <c r="AY62" s="1023"/>
      <c r="AZ62" s="168">
        <f>+SMS!AZ59</f>
        <v>0</v>
      </c>
      <c r="BA62" s="3735"/>
      <c r="BB62" s="3735">
        <f>+SMS!BB59</f>
        <v>0</v>
      </c>
      <c r="BC62" s="955"/>
      <c r="BD62" s="955">
        <f>+SMS!BD59</f>
        <v>0</v>
      </c>
      <c r="BE62" s="3734"/>
      <c r="BF62" s="3734">
        <f>+SMS!BF59</f>
        <v>0</v>
      </c>
      <c r="BG62"/>
      <c r="BH62" s="5764"/>
      <c r="BI62" s="4735">
        <v>0</v>
      </c>
      <c r="BJ62" s="4735"/>
      <c r="BK62" s="4735">
        <v>0</v>
      </c>
      <c r="BL62" s="4735"/>
      <c r="BM62" s="5765">
        <v>25.81</v>
      </c>
      <c r="BN62" s="4708"/>
      <c r="BO62" s="3763"/>
      <c r="BP62" s="3763"/>
      <c r="BQ62" s="998"/>
      <c r="BR62" s="3746"/>
      <c r="BS62" s="2314"/>
      <c r="BT62" s="997"/>
      <c r="BU62" s="1590"/>
      <c r="BV62" s="1590"/>
    </row>
    <row r="63" spans="1:74" ht="18.75" customHeight="1" x14ac:dyDescent="0.3">
      <c r="A63" s="772"/>
      <c r="B63" s="2327" t="s">
        <v>1482</v>
      </c>
      <c r="C63" s="3761" t="s">
        <v>351</v>
      </c>
      <c r="D63" s="2997">
        <f>SUM(D61:D62)</f>
        <v>39108.92926621464</v>
      </c>
      <c r="E63" s="2997">
        <f>SUM(E61:E62)</f>
        <v>2688.5591705301626</v>
      </c>
      <c r="F63" s="1038">
        <f>SUM(F61:F62)</f>
        <v>2872</v>
      </c>
      <c r="G63" s="2997">
        <f>SUM(G61:G62)</f>
        <v>2372.2580916442607</v>
      </c>
      <c r="H63" s="1038">
        <f>SUM(H61:H62)</f>
        <v>1223</v>
      </c>
      <c r="I63" s="1846">
        <f t="shared" ref="I63:R63" si="84">SUM(I61:I62)</f>
        <v>5060.8172621744234</v>
      </c>
      <c r="J63" s="1847">
        <f t="shared" si="84"/>
        <v>4095</v>
      </c>
      <c r="K63" s="2997">
        <f>SUM(K61:K62)</f>
        <v>3291.2477608129161</v>
      </c>
      <c r="L63" s="1038">
        <f>SUM(L61:L62)</f>
        <v>3768</v>
      </c>
      <c r="M63" s="1838">
        <f t="shared" si="84"/>
        <v>8352.065022987339</v>
      </c>
      <c r="N63" s="1839">
        <f t="shared" si="84"/>
        <v>7863</v>
      </c>
      <c r="O63" s="2997">
        <f>SUM(O61:O62)</f>
        <v>3330.5697173339827</v>
      </c>
      <c r="P63" s="1038">
        <f>SUM(P61:P62)</f>
        <v>4098</v>
      </c>
      <c r="Q63" s="1846">
        <f t="shared" si="84"/>
        <v>11682.634740321324</v>
      </c>
      <c r="R63" s="1847">
        <f t="shared" si="84"/>
        <v>11961</v>
      </c>
      <c r="S63" s="2997">
        <f>SUM(S61:S62)</f>
        <v>3330.5697173339827</v>
      </c>
      <c r="T63" s="1038">
        <f>SUM(T61:T62)</f>
        <v>3587.02</v>
      </c>
      <c r="U63" s="1846">
        <f t="shared" ref="U63:V63" si="85">SUM(U61:U62)</f>
        <v>15013.204457655303</v>
      </c>
      <c r="V63" s="1847">
        <f t="shared" si="85"/>
        <v>15548.02</v>
      </c>
      <c r="W63" s="2997">
        <f>SUM(W61:W62)</f>
        <v>1747.8609673612286</v>
      </c>
      <c r="X63" s="1038">
        <f>SUM(X61:X62)</f>
        <v>3011.1099999999997</v>
      </c>
      <c r="Y63" s="3765">
        <f t="shared" ref="Y63:AB63" si="86">SUM(Y61:Y62)</f>
        <v>8409.0004020291944</v>
      </c>
      <c r="Z63" s="3765">
        <f t="shared" si="86"/>
        <v>10696.130000000001</v>
      </c>
      <c r="AA63" s="3766">
        <f t="shared" si="86"/>
        <v>16761.065425016532</v>
      </c>
      <c r="AB63" s="3766">
        <f t="shared" si="86"/>
        <v>18559.13</v>
      </c>
      <c r="AC63" s="2997">
        <f>SUM(AC61:AC62)</f>
        <v>3396.106311535751</v>
      </c>
      <c r="AD63" s="1038">
        <f>SUM(AD61:AD62)</f>
        <v>2470</v>
      </c>
      <c r="AE63" s="1846">
        <f t="shared" ref="AE63:AF63" si="87">SUM(AE61:AE62)</f>
        <v>20157.171736552282</v>
      </c>
      <c r="AF63" s="1847">
        <f t="shared" si="87"/>
        <v>21029.129999999997</v>
      </c>
      <c r="AG63" s="2997">
        <f>SUM(AG61:AG62)</f>
        <v>3291.2477608129161</v>
      </c>
      <c r="AH63" s="1038">
        <f>SUM(AH61:AH62)</f>
        <v>2814</v>
      </c>
      <c r="AI63" s="1846">
        <f t="shared" ref="AI63:AJ63" si="88">SUM(AI61:AI62)</f>
        <v>23448.419497365197</v>
      </c>
      <c r="AJ63" s="1847">
        <f t="shared" si="88"/>
        <v>23843.129999999997</v>
      </c>
      <c r="AK63" s="2997">
        <f>SUM(AK61:AK62)</f>
        <v>3396.106311535751</v>
      </c>
      <c r="AL63" s="1038">
        <f>SUM(AL61:AL62)</f>
        <v>3092</v>
      </c>
      <c r="AM63" s="3765">
        <f>SUM(AM61:AM62)</f>
        <v>10083.46038388442</v>
      </c>
      <c r="AN63" s="3765">
        <f>SUM(AN61:AN62)</f>
        <v>8376</v>
      </c>
      <c r="AO63" s="1846">
        <f t="shared" ref="AO63:AT63" si="89">SUM(AO61:AO62)</f>
        <v>26844.525808900951</v>
      </c>
      <c r="AP63" s="1847">
        <f t="shared" si="89"/>
        <v>26935.129999999997</v>
      </c>
      <c r="AQ63" s="2997">
        <f>SUM(AQ61:AQ62)</f>
        <v>3448.5355868971697</v>
      </c>
      <c r="AR63" s="1038">
        <f>SUM(AR61:AR62)</f>
        <v>3008</v>
      </c>
      <c r="AS63" s="1846">
        <f t="shared" si="89"/>
        <v>30293.061395798126</v>
      </c>
      <c r="AT63" s="1847">
        <f t="shared" si="89"/>
        <v>29943.129999999997</v>
      </c>
      <c r="AU63" s="2997">
        <f>SUM(AU61:AU62)</f>
        <v>3081.530659367254</v>
      </c>
      <c r="AV63" s="1038">
        <f>SUM(AV61:AV62)</f>
        <v>2409</v>
      </c>
      <c r="AW63" s="1846">
        <f t="shared" ref="AW63:AX63" si="90">SUM(AW61:AW62)</f>
        <v>33374.592055165383</v>
      </c>
      <c r="AX63" s="1847">
        <f t="shared" si="90"/>
        <v>32352.129999999997</v>
      </c>
      <c r="AY63" s="2997">
        <f>SUM(AY61:AY62)</f>
        <v>3448.5355868971697</v>
      </c>
      <c r="AZ63" s="1038">
        <f>SUM(AZ61:AZ62)</f>
        <v>3289</v>
      </c>
      <c r="BA63" s="3765">
        <f t="shared" ref="BA63:BF63" si="91">SUM(BA61:BA62)</f>
        <v>9978.6018331615924</v>
      </c>
      <c r="BB63" s="3765">
        <f t="shared" si="91"/>
        <v>8706</v>
      </c>
      <c r="BC63" s="3766">
        <f t="shared" si="91"/>
        <v>20062.062217046012</v>
      </c>
      <c r="BD63" s="3766">
        <f t="shared" si="91"/>
        <v>17082</v>
      </c>
      <c r="BE63" s="3767">
        <f t="shared" si="91"/>
        <v>36823.127642062551</v>
      </c>
      <c r="BF63" s="3767">
        <f t="shared" si="91"/>
        <v>35641.129999999997</v>
      </c>
      <c r="BG63"/>
      <c r="BH63" s="5801">
        <v>48123.449474974776</v>
      </c>
      <c r="BI63" s="5758">
        <v>38448.129999999997</v>
      </c>
      <c r="BJ63" s="5758">
        <v>45682.844339622636</v>
      </c>
      <c r="BK63" s="5758">
        <v>39439.440000000002</v>
      </c>
      <c r="BL63" s="5758">
        <v>44076.080225204008</v>
      </c>
      <c r="BM63" s="5802">
        <v>45705.81</v>
      </c>
      <c r="BN63" s="5780"/>
      <c r="BO63" s="3768"/>
      <c r="BP63" s="3768"/>
      <c r="BQ63" s="1819"/>
      <c r="BR63" s="3747"/>
      <c r="BS63" s="1818"/>
      <c r="BT63" s="2234"/>
      <c r="BU63" s="1373"/>
      <c r="BV63" s="1373"/>
    </row>
    <row r="64" spans="1:74" ht="18.75" customHeight="1" x14ac:dyDescent="0.3">
      <c r="A64" s="88"/>
      <c r="B64" s="2327" t="s">
        <v>85</v>
      </c>
      <c r="C64" s="3764" t="s">
        <v>351</v>
      </c>
      <c r="D64" s="2997">
        <f>+(D72*'Maj Production Summ'!D$18)/1000</f>
        <v>6016.890625934102</v>
      </c>
      <c r="E64" s="2997">
        <f>+(E72*'Maj Production Summ'!E$18)/1000</f>
        <v>413.63358122941139</v>
      </c>
      <c r="F64" s="1038">
        <f>+SMS!F61</f>
        <v>482</v>
      </c>
      <c r="G64" s="2997">
        <f>+(G72*'Maj Production Summ'!G$18)/1000</f>
        <v>364.97080696712766</v>
      </c>
      <c r="H64" s="1038">
        <f>+SMS!H61</f>
        <v>243</v>
      </c>
      <c r="I64" s="1846">
        <f>+(I72*'Maj Production Summ'!I$18)/1000</f>
        <v>778.60438819653905</v>
      </c>
      <c r="J64" s="1847">
        <f>+SMS!J61</f>
        <v>725</v>
      </c>
      <c r="K64" s="2997">
        <f>+(K72*'Maj Production Summ'!K$18)/1000</f>
        <v>506.35694127195876</v>
      </c>
      <c r="L64" s="1038">
        <f>+SMS!L61</f>
        <v>526.21</v>
      </c>
      <c r="M64" s="1838">
        <f>+(M72*'Maj Production Summ'!M$18)/1000</f>
        <v>1284.9613294684978</v>
      </c>
      <c r="N64" s="1839">
        <f>+SMS!N61</f>
        <v>1251.21</v>
      </c>
      <c r="O64" s="2997">
        <f>+(O72*'Maj Production Summ'!O$18)/1000</f>
        <v>512.40660604223365</v>
      </c>
      <c r="P64" s="1038">
        <f>+SMS!P61</f>
        <v>485.89400000000001</v>
      </c>
      <c r="Q64" s="1846">
        <f>+(Q72*'Maj Production Summ'!Q$18)/1000</f>
        <v>1797.3679355107315</v>
      </c>
      <c r="R64" s="1847">
        <f>+SMS!R61</f>
        <v>1737.104</v>
      </c>
      <c r="S64" s="2997">
        <f>+(S72*'Maj Production Summ'!S$18)/1000</f>
        <v>512.40660604223365</v>
      </c>
      <c r="T64" s="1038">
        <f>+SMS!T61</f>
        <v>516</v>
      </c>
      <c r="U64" s="1846">
        <f>+(U72*'Maj Production Summ'!U$18)/1000</f>
        <v>2309.7745415529653</v>
      </c>
      <c r="V64" s="1847">
        <f>+SMS!V61</f>
        <v>2253.1040000000003</v>
      </c>
      <c r="W64" s="2997">
        <f>+(W72*'Maj Production Summ'!W$18)/1000</f>
        <v>268.90759903869383</v>
      </c>
      <c r="X64" s="1038">
        <f>+SMS!X61</f>
        <v>481</v>
      </c>
      <c r="Y64" s="3765">
        <f t="shared" si="55"/>
        <v>1293.7208111231612</v>
      </c>
      <c r="Z64" s="3765">
        <f t="shared" si="56"/>
        <v>1482.894</v>
      </c>
      <c r="AA64" s="3766">
        <f t="shared" si="57"/>
        <v>2578.6821405916589</v>
      </c>
      <c r="AB64" s="3766">
        <f t="shared" si="57"/>
        <v>2734.1040000000003</v>
      </c>
      <c r="AC64" s="2997">
        <f>+(AC72*'Maj Production Summ'!AC$18)/1000</f>
        <v>522.48938065935715</v>
      </c>
      <c r="AD64" s="1038">
        <f>+SMS!AD61</f>
        <v>387</v>
      </c>
      <c r="AE64" s="1846">
        <f>+(AE72*'Maj Production Summ'!AE$18)/1000</f>
        <v>3101.1715212510162</v>
      </c>
      <c r="AF64" s="1847">
        <f>+SMS!AF61</f>
        <v>3121.1040000000003</v>
      </c>
      <c r="AG64" s="2997">
        <f>+(AG72*'Maj Production Summ'!AG$18)/1000</f>
        <v>506.35694127195876</v>
      </c>
      <c r="AH64" s="1038">
        <f>+SMS!AH61</f>
        <v>503</v>
      </c>
      <c r="AI64" s="1846">
        <f>+(AI72*'Maj Production Summ'!AI$18)/1000</f>
        <v>3607.5284625229751</v>
      </c>
      <c r="AJ64" s="1847">
        <f>+SMS!AJ61</f>
        <v>3624.1040000000003</v>
      </c>
      <c r="AK64" s="2997">
        <f>+(AK72*'Maj Production Summ'!AK$18)/1000</f>
        <v>522.48938065935715</v>
      </c>
      <c r="AL64" s="1038">
        <f>+SMS!AL61</f>
        <v>537</v>
      </c>
      <c r="AM64" s="3765">
        <f t="shared" ref="AM64" si="92">+AC64+AG64+AK64</f>
        <v>1551.335702590673</v>
      </c>
      <c r="AN64" s="3765">
        <f t="shared" ref="AN64" si="93">+AD64+AH64+AL64</f>
        <v>1427</v>
      </c>
      <c r="AO64" s="1846">
        <f>+(AO72*'Maj Production Summ'!AO$18)/1000</f>
        <v>4130.0178431823324</v>
      </c>
      <c r="AP64" s="1847">
        <f>+SMS!AP61</f>
        <v>4161.1040000000003</v>
      </c>
      <c r="AQ64" s="2997">
        <f>+(AQ72*'Maj Production Summ'!AQ$18)/1000</f>
        <v>530.55560035305655</v>
      </c>
      <c r="AR64" s="1038">
        <f>+SMS!AR61</f>
        <v>559</v>
      </c>
      <c r="AS64" s="1846">
        <f>+(AS72*'Maj Production Summ'!AS$18)/1000</f>
        <v>4660.5734435353897</v>
      </c>
      <c r="AT64" s="1847">
        <f>+SMS!AT61</f>
        <v>4720.1040000000003</v>
      </c>
      <c r="AU64" s="2997">
        <f>+(AU72*'Maj Production Summ'!AU$18)/1000</f>
        <v>474.09206249716306</v>
      </c>
      <c r="AV64" s="1038">
        <f>+SMS!AV61</f>
        <v>418</v>
      </c>
      <c r="AW64" s="1846">
        <f>+(AW72*'Maj Production Summ'!AW$18)/1000</f>
        <v>5134.6655060325529</v>
      </c>
      <c r="AX64" s="1847">
        <f>+SMS!AX61</f>
        <v>5138.1040000000003</v>
      </c>
      <c r="AY64" s="2997">
        <f>+(AY72*'Maj Production Summ'!AY$18)/1000</f>
        <v>530.55560035305655</v>
      </c>
      <c r="AZ64" s="1038">
        <f>+SMS!AZ61</f>
        <v>487</v>
      </c>
      <c r="BA64" s="3765">
        <f>+AQ64+AU64+AY64</f>
        <v>1535.203263203276</v>
      </c>
      <c r="BB64" s="3765">
        <f>+AR64+AV64+AZ64</f>
        <v>1464</v>
      </c>
      <c r="BC64" s="3766">
        <f t="shared" si="60"/>
        <v>3086.538965793949</v>
      </c>
      <c r="BD64" s="3766">
        <f t="shared" si="61"/>
        <v>2891</v>
      </c>
      <c r="BE64" s="3767">
        <f>+AW64+AY64</f>
        <v>5665.2211063856093</v>
      </c>
      <c r="BF64" s="3767">
        <f>+AX64+AZ64</f>
        <v>5625.1040000000003</v>
      </c>
      <c r="BG64"/>
      <c r="BH64" s="5764">
        <v>6002.5358622615813</v>
      </c>
      <c r="BI64" s="4735">
        <v>5918.1040000000003</v>
      </c>
      <c r="BJ64" s="4735">
        <v>5352.4858490566021</v>
      </c>
      <c r="BK64" s="4735">
        <v>5627.4070000000002</v>
      </c>
      <c r="BL64" s="4735">
        <v>7386.6389028388803</v>
      </c>
      <c r="BM64" s="5765">
        <v>5310</v>
      </c>
      <c r="BN64" s="4708">
        <v>7999.9999999999945</v>
      </c>
      <c r="BO64" s="3763">
        <v>5205.8899999999994</v>
      </c>
      <c r="BP64" s="3763">
        <v>7796.1924189528136</v>
      </c>
      <c r="BQ64" s="998">
        <v>5192</v>
      </c>
      <c r="BR64" s="3746"/>
      <c r="BS64" s="2314"/>
      <c r="BT64" s="997"/>
      <c r="BU64" s="1590"/>
      <c r="BV64" s="1590"/>
    </row>
    <row r="65" spans="1:74" ht="18.600000000000001" thickBot="1" x14ac:dyDescent="0.35">
      <c r="A65" s="142"/>
      <c r="B65" s="2328" t="s">
        <v>1598</v>
      </c>
      <c r="C65" s="3769"/>
      <c r="D65" s="3770"/>
      <c r="E65" s="1226"/>
      <c r="F65" s="3639"/>
      <c r="G65" s="1226"/>
      <c r="H65" s="3639"/>
      <c r="I65" s="1226"/>
      <c r="J65" s="3639"/>
      <c r="K65" s="1226"/>
      <c r="L65" s="3639"/>
      <c r="M65" s="4757"/>
      <c r="N65" s="4758"/>
      <c r="O65" s="1226"/>
      <c r="P65" s="3639"/>
      <c r="Q65" s="1226"/>
      <c r="R65" s="3639"/>
      <c r="S65" s="1226"/>
      <c r="T65" s="3639"/>
      <c r="U65" s="1226"/>
      <c r="V65" s="3639"/>
      <c r="W65" s="1226"/>
      <c r="X65" s="3639"/>
      <c r="Y65" s="4759"/>
      <c r="Z65" s="4759"/>
      <c r="AA65" s="4762"/>
      <c r="AB65" s="4762"/>
      <c r="AC65" s="1226"/>
      <c r="AD65" s="3639"/>
      <c r="AE65" s="1226"/>
      <c r="AF65" s="3639"/>
      <c r="AG65" s="1226"/>
      <c r="AH65" s="3639"/>
      <c r="AI65" s="4764"/>
      <c r="AJ65" s="4765"/>
      <c r="AK65" s="1226"/>
      <c r="AL65" s="3639"/>
      <c r="AM65" s="3771"/>
      <c r="AN65" s="3771"/>
      <c r="AO65" s="1226"/>
      <c r="AP65" s="3639"/>
      <c r="AQ65" s="1226"/>
      <c r="AR65" s="3639"/>
      <c r="AS65" s="1226"/>
      <c r="AT65" s="3639"/>
      <c r="AU65" s="1226"/>
      <c r="AV65" s="3639"/>
      <c r="AW65" s="1226"/>
      <c r="AX65" s="3639"/>
      <c r="AY65" s="1226"/>
      <c r="AZ65" s="3639"/>
      <c r="BA65" s="3771"/>
      <c r="BB65" s="3771"/>
      <c r="BC65" s="3771"/>
      <c r="BD65" s="3771"/>
      <c r="BE65" s="3771"/>
      <c r="BF65" s="3771"/>
      <c r="BG65"/>
      <c r="BH65" s="5803"/>
      <c r="BI65" s="5774"/>
      <c r="BJ65" s="5774"/>
      <c r="BK65" s="5774"/>
      <c r="BL65" s="5774"/>
      <c r="BM65" s="5804"/>
      <c r="BN65" s="4768"/>
      <c r="BO65" s="3771"/>
      <c r="BP65" s="3772"/>
      <c r="BQ65" s="3773"/>
      <c r="BR65" s="3748"/>
      <c r="BS65" s="2324"/>
      <c r="BT65" s="2235"/>
      <c r="BU65" s="1592"/>
      <c r="BV65" s="1592"/>
    </row>
    <row r="66" spans="1:74" ht="18.600000000000001" thickBot="1" x14ac:dyDescent="0.35">
      <c r="A66" s="88"/>
      <c r="B66" s="2326" t="s">
        <v>83</v>
      </c>
      <c r="C66" s="3761" t="s">
        <v>506</v>
      </c>
      <c r="D66" s="3774">
        <v>1.2464893653348954</v>
      </c>
      <c r="E66" s="706">
        <f>+$D$66</f>
        <v>1.2464893653348954</v>
      </c>
      <c r="F66" s="77">
        <f>+(F58/'Maj Production Summ'!F$18)*1000</f>
        <v>1.83222384489262</v>
      </c>
      <c r="G66" s="706">
        <f>+$D$66</f>
        <v>1.2464893653348954</v>
      </c>
      <c r="H66" s="77">
        <f>+(H58/'Maj Production Summ'!H$18)*1000</f>
        <v>1.5005971764273538</v>
      </c>
      <c r="I66" s="49">
        <f t="shared" ref="I66" si="94">+$D$66</f>
        <v>1.2464893653348954</v>
      </c>
      <c r="J66" s="2592">
        <f>+(J58/'Maj Production Summ'!J$18)*1000</f>
        <v>1.7310787796517293</v>
      </c>
      <c r="K66" s="706">
        <f>+$D$66</f>
        <v>1.2464893653348954</v>
      </c>
      <c r="L66" s="77">
        <f>+(L58/'Maj Production Summ'!L$18)*1000</f>
        <v>1.6635654520585081</v>
      </c>
      <c r="M66" s="73">
        <f t="shared" ref="M66" si="95">+$D$66</f>
        <v>1.2464893653348954</v>
      </c>
      <c r="N66" s="107">
        <f>+(N58/'Maj Production Summ'!N$18)*1000</f>
        <v>1.7019693964295834</v>
      </c>
      <c r="O66" s="706">
        <f>+$D$66</f>
        <v>1.2464893653348954</v>
      </c>
      <c r="P66" s="77">
        <f>+(P58/'Maj Production Summ'!P$18)*1000</f>
        <v>1.5098832304405074</v>
      </c>
      <c r="Q66" s="49">
        <f t="shared" ref="Q66" si="96">+$D$66</f>
        <v>1.2464893653348954</v>
      </c>
      <c r="R66" s="101">
        <f>+(R58/'Maj Production Summ'!R$18)*1000</f>
        <v>1.6424254126227236</v>
      </c>
      <c r="S66" s="706">
        <f>+$D$66</f>
        <v>1.2464893653348954</v>
      </c>
      <c r="T66" s="77">
        <f>+(T58/'Maj Production Summ'!T$18)*1000</f>
        <v>1.2625093636111133</v>
      </c>
      <c r="U66" s="49">
        <f t="shared" ref="U66" si="97">+$D$66</f>
        <v>1.2464893653348954</v>
      </c>
      <c r="V66" s="101">
        <f>+(V58/'Maj Production Summ'!V$18)*1000</f>
        <v>1.5569302336152981</v>
      </c>
      <c r="W66" s="706">
        <f>+$D$66</f>
        <v>1.2464893653348954</v>
      </c>
      <c r="X66" s="77">
        <f>+(X58/'Maj Production Summ'!X$18)*1000</f>
        <v>1.2916194615754231</v>
      </c>
      <c r="Y66" s="3775">
        <f>+$D$66</f>
        <v>1.2464893653348954</v>
      </c>
      <c r="Z66" s="3775">
        <f>+(Z58/'Maj Production Summ'!Z$18)*1000</f>
        <v>1.3590835098331639</v>
      </c>
      <c r="AA66" s="3776">
        <f>+$D$66</f>
        <v>1.2464893653348954</v>
      </c>
      <c r="AB66" s="3776">
        <f>+(AB58/'Maj Production Summ'!AB$18)*1000</f>
        <v>1.5100123092898108</v>
      </c>
      <c r="AC66" s="706">
        <f>+$D$66</f>
        <v>1.2464893653348954</v>
      </c>
      <c r="AD66" s="77">
        <f>+(AD58/'Maj Production Summ'!AD$18)*1000</f>
        <v>1.4006618266639137</v>
      </c>
      <c r="AE66" s="49">
        <f t="shared" ref="AE66" si="98">+$D$66</f>
        <v>1.2464893653348954</v>
      </c>
      <c r="AF66" s="101">
        <f>+(AF58/'Maj Production Summ'!AF$18)*1000</f>
        <v>1.496608690180113</v>
      </c>
      <c r="AG66" s="706">
        <f>+$D$66</f>
        <v>1.2464893653348954</v>
      </c>
      <c r="AH66" s="77">
        <f>+(AH58/'Maj Production Summ'!AH$18)*1000</f>
        <v>1.2636055459211684</v>
      </c>
      <c r="AI66" s="49">
        <f t="shared" ref="AI66" si="99">+$D$66</f>
        <v>1.2464893653348954</v>
      </c>
      <c r="AJ66" s="101">
        <f>+(AJ58/'Maj Production Summ'!AJ$18)*1000</f>
        <v>1.4649944368048224</v>
      </c>
      <c r="AK66" s="706">
        <f>+$D$66</f>
        <v>1.2464893653348954</v>
      </c>
      <c r="AL66" s="77">
        <f>+(AL58/'Maj Production Summ'!AL$18)*1000</f>
        <v>1.7132677660913531</v>
      </c>
      <c r="AM66" s="3775">
        <f>+$D$66</f>
        <v>1.2464893653348954</v>
      </c>
      <c r="AN66" s="3775">
        <f>+(AN58/'Maj Production Summ'!AN$18)*1000</f>
        <v>1.4656770357100648</v>
      </c>
      <c r="AO66" s="49">
        <f t="shared" ref="AO66" si="100">+$D$66</f>
        <v>1.2464893653348954</v>
      </c>
      <c r="AP66" s="101">
        <f>+(AP58/'Maj Production Summ'!AP$18)*1000</f>
        <v>1.4952080625639006</v>
      </c>
      <c r="AQ66" s="706">
        <f>+$D$66</f>
        <v>1.2464893653348954</v>
      </c>
      <c r="AR66" s="77">
        <f>+(AR58/'Maj Production Summ'!AR$18)*1000</f>
        <v>1.1743193289102687</v>
      </c>
      <c r="AS66" s="49">
        <f t="shared" ref="AS66" si="101">+$D$66</f>
        <v>1.2464893653348954</v>
      </c>
      <c r="AT66" s="101">
        <f>+(AT58/'Maj Production Summ'!AT$18)*1000</f>
        <v>1.4612333243263571</v>
      </c>
      <c r="AU66" s="706">
        <f>+$D$66</f>
        <v>1.2464893653348954</v>
      </c>
      <c r="AV66" s="77">
        <f>+(AV58/'Maj Production Summ'!AV$18)*1000</f>
        <v>0.72966662342716315</v>
      </c>
      <c r="AW66" s="49">
        <f t="shared" ref="AW66" si="102">+$D$66</f>
        <v>1.2464893653348954</v>
      </c>
      <c r="AX66" s="101">
        <f>+(AX58/'Maj Production Summ'!AX$18)*1000</f>
        <v>1.4033636296005561</v>
      </c>
      <c r="AY66" s="706">
        <f>+$D$66</f>
        <v>1.2464893653348954</v>
      </c>
      <c r="AZ66" s="77">
        <f>+(AZ58/'Maj Production Summ'!AZ$18)*1000</f>
        <v>1.7451500580334935</v>
      </c>
      <c r="BA66" s="1409">
        <f>+$D$66</f>
        <v>1.2464893653348954</v>
      </c>
      <c r="BB66" s="1409">
        <f>+(BB58/'Maj Production Summ'!BB$18)*1000</f>
        <v>1.2590497063287192</v>
      </c>
      <c r="BC66" s="2109">
        <f>+$D$66</f>
        <v>1.2464893653348954</v>
      </c>
      <c r="BD66" s="2109">
        <f>+(BD58/'Maj Production Summ'!BD$18)*1000</f>
        <v>1.3614686932265325</v>
      </c>
      <c r="BE66" s="1332">
        <f>+$D$66</f>
        <v>1.2464893653348954</v>
      </c>
      <c r="BF66" s="1332">
        <f>+(BF58/'Maj Production Summ'!BF$18)*1000</f>
        <v>1.4353202265611738</v>
      </c>
      <c r="BG66"/>
      <c r="BH66" s="5786">
        <v>1.6372322252457012</v>
      </c>
      <c r="BI66" s="4731">
        <v>1.4094988812678693</v>
      </c>
      <c r="BJ66" s="4731">
        <v>1.6499999999999997</v>
      </c>
      <c r="BK66" s="4731">
        <v>1.3221396010355528</v>
      </c>
      <c r="BL66" s="4731">
        <v>1.2919834919767839</v>
      </c>
      <c r="BM66" s="5787">
        <v>1.8691736607451781</v>
      </c>
      <c r="BN66" s="4715">
        <v>1.8</v>
      </c>
      <c r="BO66" s="3777">
        <v>1.8865516872714447</v>
      </c>
      <c r="BP66" s="3777">
        <v>2.6013799999999998</v>
      </c>
      <c r="BQ66" s="1090">
        <v>1.7806740040538749</v>
      </c>
      <c r="BR66" s="3749"/>
      <c r="BS66" s="2311"/>
      <c r="BT66" s="2236"/>
      <c r="BU66" s="1102"/>
      <c r="BV66" s="1102"/>
    </row>
    <row r="67" spans="1:74" ht="18" x14ac:dyDescent="0.3">
      <c r="A67" s="88"/>
      <c r="B67" s="2326" t="s">
        <v>796</v>
      </c>
      <c r="C67" s="3761" t="s">
        <v>506</v>
      </c>
      <c r="D67" s="3633">
        <v>0.78144616802656308</v>
      </c>
      <c r="E67" s="706">
        <f>+$D$67</f>
        <v>0.78144616802656308</v>
      </c>
      <c r="F67" s="77">
        <f>+(F59/'Maj Production Summ'!F$18)*1000</f>
        <v>0.62716708627131246</v>
      </c>
      <c r="G67" s="706">
        <f>+$D$67</f>
        <v>0.78144616802656308</v>
      </c>
      <c r="H67" s="77">
        <f>+(H59/'Maj Production Summ'!H$18)*1000</f>
        <v>0.57165606721042039</v>
      </c>
      <c r="I67" s="49">
        <f t="shared" ref="I67" si="103">+$D$67</f>
        <v>0.78144616802656308</v>
      </c>
      <c r="J67" s="2592">
        <f>+(J59/'Maj Production Summ'!J$18)*1000</f>
        <v>0.61023640433766002</v>
      </c>
      <c r="K67" s="706">
        <f>+$D$67</f>
        <v>0.78144616802656308</v>
      </c>
      <c r="L67" s="77">
        <f>+(L59/'Maj Production Summ'!L$18)*1000</f>
        <v>0.43129474682998364</v>
      </c>
      <c r="M67" s="73">
        <f t="shared" ref="M67" si="104">+$D$67</f>
        <v>0.78144616802656308</v>
      </c>
      <c r="N67" s="107">
        <f>+(N59/'Maj Production Summ'!N$18)*1000</f>
        <v>0.53308302635307447</v>
      </c>
      <c r="O67" s="706">
        <f>+$D$67</f>
        <v>0.78144616802656308</v>
      </c>
      <c r="P67" s="77">
        <f>+(P59/'Maj Production Summ'!P$18)*1000</f>
        <v>0.54008877955704837</v>
      </c>
      <c r="Q67" s="49">
        <f t="shared" ref="Q67" si="105">+$D$67</f>
        <v>0.78144616802656308</v>
      </c>
      <c r="R67" s="101">
        <f>+(R59/'Maj Production Summ'!R$18)*1000</f>
        <v>0.53525471036365546</v>
      </c>
      <c r="S67" s="706">
        <f>+$D$67</f>
        <v>0.78144616802656308</v>
      </c>
      <c r="T67" s="77">
        <f>+(T59/'Maj Production Summ'!T$18)*1000</f>
        <v>0.5512957554435195</v>
      </c>
      <c r="U67" s="49">
        <f t="shared" ref="U67" si="106">+$D$67</f>
        <v>0.78144616802656308</v>
      </c>
      <c r="V67" s="101">
        <f>+(V59/'Maj Production Summ'!V$18)*1000</f>
        <v>0.53886453949337265</v>
      </c>
      <c r="W67" s="706">
        <f>+$D$67</f>
        <v>0.78144616802656308</v>
      </c>
      <c r="X67" s="77">
        <f>+(X59/'Maj Production Summ'!X$18)*1000</f>
        <v>0.56866522369702932</v>
      </c>
      <c r="Y67" s="3775">
        <f>+$D$67</f>
        <v>0.78144616802656308</v>
      </c>
      <c r="Z67" s="3775">
        <f>+(Z59/'Maj Production Summ'!Z$18)*1000</f>
        <v>0.5528239276677932</v>
      </c>
      <c r="AA67" s="3776">
        <f>+$D$67</f>
        <v>0.78144616802656308</v>
      </c>
      <c r="AB67" s="3776">
        <f>+(AB59/'Maj Production Summ'!AB$18)*1000</f>
        <v>0.54413453375544041</v>
      </c>
      <c r="AC67" s="706">
        <f>+$D$67</f>
        <v>0.78144616802656308</v>
      </c>
      <c r="AD67" s="77">
        <f>+(AD59/'Maj Production Summ'!AD$18)*1000</f>
        <v>0.52455064424863695</v>
      </c>
      <c r="AE67" s="49">
        <f t="shared" ref="AE67" si="107">+$D$67</f>
        <v>0.78144616802656308</v>
      </c>
      <c r="AF67" s="101">
        <f>+(AF59/'Maj Production Summ'!AF$18)*1000</f>
        <v>0.54173404141802994</v>
      </c>
      <c r="AG67" s="706">
        <f>+$D$67</f>
        <v>0.78144616802656308</v>
      </c>
      <c r="AH67" s="77">
        <f>+(AH59/'Maj Production Summ'!AH$18)*1000</f>
        <v>0.48801317635576164</v>
      </c>
      <c r="AI67" s="49">
        <f t="shared" ref="AI67" si="108">+$D$67</f>
        <v>0.78144616802656308</v>
      </c>
      <c r="AJ67" s="101">
        <f>+(AJ59/'Maj Production Summ'!AJ$18)*1000</f>
        <v>0.53444510527504419</v>
      </c>
      <c r="AK67" s="706">
        <f>+$D$67</f>
        <v>0.78144616802656308</v>
      </c>
      <c r="AL67" s="77">
        <f>+(AL59/'Maj Production Summ'!AL$18)*1000</f>
        <v>0.29867941032150708</v>
      </c>
      <c r="AM67" s="3775">
        <f>+$D$67</f>
        <v>0.78144616802656308</v>
      </c>
      <c r="AN67" s="3775">
        <f>+(AN59/'Maj Production Summ'!AN$18)*1000</f>
        <v>0.42919255817425217</v>
      </c>
      <c r="AO67" s="49">
        <f t="shared" ref="AO67" si="109">+$D$67</f>
        <v>0.78144616802656308</v>
      </c>
      <c r="AP67" s="101">
        <f>+(AP59/'Maj Production Summ'!AP$18)*1000</f>
        <v>0.50575359622481431</v>
      </c>
      <c r="AQ67" s="706">
        <f>+$D$67</f>
        <v>0.78144616802656308</v>
      </c>
      <c r="AR67" s="77">
        <f>+(AR59/'Maj Production Summ'!AR$18)*1000</f>
        <v>0.38588536573601057</v>
      </c>
      <c r="AS67" s="49">
        <f t="shared" ref="AS67" si="110">+$D$67</f>
        <v>0.78144616802656308</v>
      </c>
      <c r="AT67" s="101">
        <f>+(AT59/'Maj Production Summ'!AT$18)*1000</f>
        <v>0.49306230691875058</v>
      </c>
      <c r="AU67" s="706">
        <f>+$D$67</f>
        <v>0.78144616802656308</v>
      </c>
      <c r="AV67" s="77">
        <f>+(AV59/'Maj Production Summ'!AV$18)*1000</f>
        <v>0.7767652527348986</v>
      </c>
      <c r="AW67" s="49">
        <f t="shared" ref="AW67" si="111">+$D$67</f>
        <v>0.78144616802656308</v>
      </c>
      <c r="AX67" s="101">
        <f>+(AX59/'Maj Production Summ'!AX$18)*1000</f>
        <v>0.5155042836339444</v>
      </c>
      <c r="AY67" s="706">
        <f>+$D$67</f>
        <v>0.78144616802656308</v>
      </c>
      <c r="AZ67" s="77">
        <f>+(AZ59/'Maj Production Summ'!AZ$18)*1000</f>
        <v>0.50572044437075114</v>
      </c>
      <c r="BA67" s="3775">
        <f>+$D$67</f>
        <v>0.78144616802656308</v>
      </c>
      <c r="BB67" s="3775">
        <f>+(BB59/'Maj Production Summ'!BB$18)*1000</f>
        <v>0.54059663489239695</v>
      </c>
      <c r="BC67" s="2109">
        <f>+$D$67</f>
        <v>0.78144616802656308</v>
      </c>
      <c r="BD67" s="2109">
        <f>+(BD59/'Maj Production Summ'!BD$18)*1000</f>
        <v>0.48537696618777504</v>
      </c>
      <c r="BE67" s="3778">
        <f>+$D$67</f>
        <v>0.78144616802656308</v>
      </c>
      <c r="BF67" s="3778">
        <f>+(BF59/'Maj Production Summ'!BF$18)*1000</f>
        <v>0.51458950708914464</v>
      </c>
      <c r="BG67"/>
      <c r="BH67" s="5786">
        <v>0.84012576263208183</v>
      </c>
      <c r="BI67" s="4731">
        <v>0.52346155368896685</v>
      </c>
      <c r="BJ67" s="4731">
        <v>0.84999999999999987</v>
      </c>
      <c r="BK67" s="4731">
        <v>0.58802794794660063</v>
      </c>
      <c r="BL67" s="4731">
        <v>0.24</v>
      </c>
      <c r="BM67" s="5787">
        <v>0.6596893937147208</v>
      </c>
      <c r="BN67" s="4715">
        <v>0</v>
      </c>
      <c r="BO67" s="3777">
        <v>0.46320882750587022</v>
      </c>
      <c r="BP67" s="3777">
        <v>0</v>
      </c>
      <c r="BQ67" s="1090">
        <v>0.4168998706686482</v>
      </c>
      <c r="BR67" s="3749"/>
      <c r="BS67" s="2311"/>
      <c r="BT67" s="2236"/>
      <c r="BU67" s="1102"/>
      <c r="BV67" s="1102"/>
    </row>
    <row r="68" spans="1:74" ht="18.600000000000001" thickBot="1" x14ac:dyDescent="0.35">
      <c r="A68" s="772"/>
      <c r="B68" s="2327" t="s">
        <v>838</v>
      </c>
      <c r="C68" s="3764" t="s">
        <v>506</v>
      </c>
      <c r="D68" s="3779">
        <f>SUM(D66:D67)</f>
        <v>2.0279355333614584</v>
      </c>
      <c r="E68" s="1253">
        <f>SUM(E66:E67)</f>
        <v>2.0279355333614584</v>
      </c>
      <c r="F68" s="3640">
        <f>SUM(F66:F67)</f>
        <v>2.4593909311639326</v>
      </c>
      <c r="G68" s="1253">
        <f>SUM(G66:G67)</f>
        <v>2.0279355333614584</v>
      </c>
      <c r="H68" s="3640">
        <f>SUM(H66:H67)</f>
        <v>2.0722532436377743</v>
      </c>
      <c r="I68" s="1254">
        <f t="shared" ref="I68:R68" si="112">SUM(I66:I67)</f>
        <v>2.0279355333614584</v>
      </c>
      <c r="J68" s="3041">
        <f t="shared" si="112"/>
        <v>2.3413151839893893</v>
      </c>
      <c r="K68" s="1253">
        <f>SUM(K66:K67)</f>
        <v>2.0279355333614584</v>
      </c>
      <c r="L68" s="3640">
        <f>SUM(L66:L67)</f>
        <v>2.0948601988884916</v>
      </c>
      <c r="M68" s="1255">
        <f t="shared" si="112"/>
        <v>2.0279355333614584</v>
      </c>
      <c r="N68" s="3437">
        <f t="shared" si="112"/>
        <v>2.2350524227826578</v>
      </c>
      <c r="O68" s="1253">
        <f>SUM(O66:O67)</f>
        <v>2.0279355333614584</v>
      </c>
      <c r="P68" s="3640">
        <f>SUM(P66:P67)</f>
        <v>2.049972009997556</v>
      </c>
      <c r="Q68" s="1254">
        <f t="shared" si="112"/>
        <v>2.0279355333614584</v>
      </c>
      <c r="R68" s="3046">
        <f t="shared" si="112"/>
        <v>2.1776801229863789</v>
      </c>
      <c r="S68" s="1253">
        <f>SUM(S66:S67)</f>
        <v>2.0279355333614584</v>
      </c>
      <c r="T68" s="3640">
        <f>SUM(T66:T67)</f>
        <v>1.8138051190546327</v>
      </c>
      <c r="U68" s="1254">
        <f t="shared" ref="U68:V68" si="113">SUM(U66:U67)</f>
        <v>2.0279355333614584</v>
      </c>
      <c r="V68" s="3046">
        <f t="shared" si="113"/>
        <v>2.095794773108671</v>
      </c>
      <c r="W68" s="1253">
        <f>SUM(W66:W67)</f>
        <v>2.0279355333614584</v>
      </c>
      <c r="X68" s="3640">
        <f>SUM(X66:X67)</f>
        <v>1.8602846852724524</v>
      </c>
      <c r="Y68" s="3780">
        <f>SUM(Y66:Y67)</f>
        <v>2.0279355333614584</v>
      </c>
      <c r="Z68" s="3780">
        <f t="shared" ref="Z68:AF68" si="114">SUM(Z66:Z67)</f>
        <v>1.911907437500957</v>
      </c>
      <c r="AA68" s="3781">
        <f>SUM(AA66:AA67)</f>
        <v>2.0279355333614584</v>
      </c>
      <c r="AB68" s="3781">
        <f t="shared" si="114"/>
        <v>2.0541468430452512</v>
      </c>
      <c r="AC68" s="1253">
        <f>SUM(AC66:AC67)</f>
        <v>2.0279355333614584</v>
      </c>
      <c r="AD68" s="3640">
        <f>SUM(AD66:AD67)</f>
        <v>1.9252124709125507</v>
      </c>
      <c r="AE68" s="1254">
        <f t="shared" si="114"/>
        <v>2.0279355333614584</v>
      </c>
      <c r="AF68" s="3046">
        <f t="shared" si="114"/>
        <v>2.0383427315981431</v>
      </c>
      <c r="AG68" s="1253">
        <f>SUM(AG66:AG67)</f>
        <v>2.0279355333614584</v>
      </c>
      <c r="AH68" s="3640">
        <f>SUM(AH66:AH67)</f>
        <v>1.7516187222769299</v>
      </c>
      <c r="AI68" s="1254">
        <f t="shared" ref="AI68:AJ68" si="115">SUM(AI66:AI67)</f>
        <v>2.0279355333614584</v>
      </c>
      <c r="AJ68" s="3046">
        <f t="shared" si="115"/>
        <v>1.9994395420798665</v>
      </c>
      <c r="AK68" s="1253">
        <f>SUM(AK66:AK67)</f>
        <v>2.0279355333614584</v>
      </c>
      <c r="AL68" s="3640">
        <f>SUM(AL66:AL67)</f>
        <v>2.01194717641286</v>
      </c>
      <c r="AM68" s="3780">
        <f>SUM(AM66:AM67)</f>
        <v>2.0279355333614584</v>
      </c>
      <c r="AN68" s="3780">
        <f t="shared" ref="AN68:AT68" si="116">SUM(AN66:AN67)</f>
        <v>1.894869593884317</v>
      </c>
      <c r="AO68" s="1254">
        <f t="shared" si="116"/>
        <v>2.0279355333614584</v>
      </c>
      <c r="AP68" s="3046">
        <f t="shared" si="116"/>
        <v>2.0009616587887149</v>
      </c>
      <c r="AQ68" s="1253">
        <f>SUM(AQ66:AQ67)</f>
        <v>2.0279355333614584</v>
      </c>
      <c r="AR68" s="3640">
        <f>SUM(AR66:AR67)</f>
        <v>1.5602046946462793</v>
      </c>
      <c r="AS68" s="1254">
        <f t="shared" si="116"/>
        <v>2.0279355333614584</v>
      </c>
      <c r="AT68" s="3046">
        <f t="shared" si="116"/>
        <v>1.9542956312451076</v>
      </c>
      <c r="AU68" s="1253">
        <f>SUM(AU66:AU67)</f>
        <v>2.0279355333614584</v>
      </c>
      <c r="AV68" s="3640">
        <f>SUM(AV66:AV67)</f>
        <v>1.5064318761620616</v>
      </c>
      <c r="AW68" s="1254">
        <f t="shared" ref="AW68:AX68" si="117">SUM(AW66:AW67)</f>
        <v>2.0279355333614584</v>
      </c>
      <c r="AX68" s="3046">
        <f t="shared" si="117"/>
        <v>1.9188679132345006</v>
      </c>
      <c r="AY68" s="1253">
        <f>SUM(AY66:AY67)</f>
        <v>2.0279355333614584</v>
      </c>
      <c r="AZ68" s="3640">
        <f>SUM(AZ66:AZ67)</f>
        <v>2.2508705024042448</v>
      </c>
      <c r="BA68" s="3780">
        <f t="shared" ref="BA68:BB68" si="118">SUM(BA66:BA67)</f>
        <v>2.0279355333614584</v>
      </c>
      <c r="BB68" s="3780">
        <f t="shared" si="118"/>
        <v>1.7996463412211161</v>
      </c>
      <c r="BC68" s="3781">
        <f>SUM(BC66:BC67)</f>
        <v>2.0279355333614584</v>
      </c>
      <c r="BD68" s="3781">
        <f t="shared" ref="BD68" si="119">SUM(BD66:BD67)</f>
        <v>1.8468456594143077</v>
      </c>
      <c r="BE68" s="3782">
        <f>SUM(BE66:BE67)</f>
        <v>2.0279355333614584</v>
      </c>
      <c r="BF68" s="3782">
        <f t="shared" ref="BF68" si="120">SUM(BF66:BF67)</f>
        <v>1.9499097336503184</v>
      </c>
      <c r="BG68"/>
      <c r="BH68" s="5805">
        <v>2.4773579878777832</v>
      </c>
      <c r="BI68" s="5806">
        <v>1.9329604349568361</v>
      </c>
      <c r="BJ68" s="5806">
        <v>2.4999999999999996</v>
      </c>
      <c r="BK68" s="5806">
        <v>1.9101675489821535</v>
      </c>
      <c r="BL68" s="5806">
        <v>1.5319834919767839</v>
      </c>
      <c r="BM68" s="5807">
        <v>2.5288630544598991</v>
      </c>
      <c r="BN68" s="5781">
        <v>1.8</v>
      </c>
      <c r="BO68" s="3783">
        <v>2.3497605147773148</v>
      </c>
      <c r="BP68" s="3783">
        <v>2.6013799999999998</v>
      </c>
      <c r="BQ68" s="3784">
        <v>2.1975738747225231</v>
      </c>
      <c r="BR68" s="3750"/>
      <c r="BS68" s="2315"/>
      <c r="BT68" s="2237"/>
      <c r="BU68" s="1593"/>
      <c r="BV68" s="1593"/>
    </row>
    <row r="69" spans="1:74" ht="18.600000000000001" thickBot="1" x14ac:dyDescent="0.35">
      <c r="A69" s="88"/>
      <c r="B69" s="2326" t="s">
        <v>84</v>
      </c>
      <c r="C69" s="3761" t="s">
        <v>506</v>
      </c>
      <c r="D69" s="3774">
        <v>13.880650651935015</v>
      </c>
      <c r="E69" s="706">
        <f>+$D$69</f>
        <v>13.880650651935015</v>
      </c>
      <c r="F69" s="1911">
        <f>+(F61/'Maj Production Summ'!F$18)*1000</f>
        <v>12.865884798365782</v>
      </c>
      <c r="G69" s="706">
        <f>+$D$69</f>
        <v>13.880650651935015</v>
      </c>
      <c r="H69" s="1911">
        <f>+(H61/'Maj Production Summ'!H$18)*1000</f>
        <v>12.48456018211329</v>
      </c>
      <c r="I69" s="49">
        <f t="shared" ref="I69" si="121">+$D$69</f>
        <v>13.880650651935015</v>
      </c>
      <c r="J69" s="2592">
        <f>+(J61/'Maj Production Summ'!J$18)*1000</f>
        <v>12.749582019197538</v>
      </c>
      <c r="K69" s="706">
        <f>+$D$69</f>
        <v>13.880650651935015</v>
      </c>
      <c r="L69" s="1911">
        <f>+(L61/'Maj Production Summ'!L$18)*1000</f>
        <v>15.477320057670269</v>
      </c>
      <c r="M69" s="73">
        <f t="shared" ref="M69" si="122">+$D$69</f>
        <v>13.880650651935015</v>
      </c>
      <c r="N69" s="107">
        <f>+(N61/'Maj Production Summ'!N$18)*1000</f>
        <v>13.925687163502408</v>
      </c>
      <c r="O69" s="706">
        <f>+$D$69</f>
        <v>13.880650651935015</v>
      </c>
      <c r="P69" s="1911">
        <f>+(P61/'Maj Production Summ'!P$18)*1000</f>
        <v>16.15535634032689</v>
      </c>
      <c r="Q69" s="49">
        <f t="shared" ref="Q69" si="123">+$D$69</f>
        <v>13.880650651935015</v>
      </c>
      <c r="R69" s="101">
        <f>+(R61/'Maj Production Summ'!R$18)*1000</f>
        <v>14.616852946711605</v>
      </c>
      <c r="S69" s="706">
        <f>+$D$69</f>
        <v>13.880650651935015</v>
      </c>
      <c r="T69" s="1911">
        <f>+(T61/'Maj Production Summ'!T$18)*1000</f>
        <v>15.095487791534454</v>
      </c>
      <c r="U69" s="49">
        <f t="shared" ref="U69" si="124">+$D$69</f>
        <v>13.880650651935015</v>
      </c>
      <c r="V69" s="101">
        <f>+(V61/'Maj Production Summ'!V$18)*1000</f>
        <v>14.724563510252633</v>
      </c>
      <c r="W69" s="706">
        <f>+$D$69</f>
        <v>13.880650651935015</v>
      </c>
      <c r="X69" s="1911">
        <f>+(X61/'Maj Production Summ'!X$18)*1000</f>
        <v>13.273748385475672</v>
      </c>
      <c r="Y69" s="3775">
        <f>+$D$69</f>
        <v>13.880650651935015</v>
      </c>
      <c r="Z69" s="3775">
        <f>+(Z61/'Maj Production Summ'!Z$18)*1000</f>
        <v>14.894399489786684</v>
      </c>
      <c r="AA69" s="3776">
        <f>+$D$69</f>
        <v>13.880650651935015</v>
      </c>
      <c r="AB69" s="3776">
        <f>+(AB61/'Maj Production Summ'!AB$18)*1000</f>
        <v>14.467999354522361</v>
      </c>
      <c r="AC69" s="706">
        <f>+$D$69</f>
        <v>13.880650651935015</v>
      </c>
      <c r="AD69" s="1911">
        <f>+(AD61/'Maj Production Summ'!AD$18)*1000</f>
        <v>13.783405226533334</v>
      </c>
      <c r="AE69" s="49">
        <f t="shared" ref="AE69" si="125">+$D$69</f>
        <v>13.880650651935015</v>
      </c>
      <c r="AF69" s="101">
        <f>+(AF61/'Maj Production Summ'!AF$18)*1000</f>
        <v>14.384085331319614</v>
      </c>
      <c r="AG69" s="706">
        <f>+$D$69</f>
        <v>13.880650651935015</v>
      </c>
      <c r="AH69" s="1911">
        <f>+(AH61/'Maj Production Summ'!AH$18)*1000</f>
        <v>12.261331055938511</v>
      </c>
      <c r="AI69" s="49">
        <f t="shared" ref="AI69" si="126">+$D$69</f>
        <v>13.880650651935015</v>
      </c>
      <c r="AJ69" s="101">
        <f>+(AJ61/'Maj Production Summ'!AJ$18)*1000</f>
        <v>14.096066507673187</v>
      </c>
      <c r="AK69" s="706">
        <f>+$D$69</f>
        <v>13.880650651935015</v>
      </c>
      <c r="AL69" s="1911">
        <f>+(AL61/'Maj Production Summ'!AL$18)*1000</f>
        <v>13.193096238772853</v>
      </c>
      <c r="AM69" s="3775">
        <f>+$D$69</f>
        <v>13.880650651935015</v>
      </c>
      <c r="AN69" s="3775">
        <f>+(AN61/'Maj Production Summ'!AN$18)*1000</f>
        <v>13.025061113288174</v>
      </c>
      <c r="AO69" s="49">
        <f t="shared" ref="AO69" si="127">+$D$69</f>
        <v>13.880650651935015</v>
      </c>
      <c r="AP69" s="101">
        <f>+(AP61/'Maj Production Summ'!AP$18)*1000</f>
        <v>13.986179530064557</v>
      </c>
      <c r="AQ69" s="706">
        <f>+$D$69</f>
        <v>13.880650651935015</v>
      </c>
      <c r="AR69" s="1911">
        <f>+(AR61/'Maj Production Summ'!AR$18)*1000</f>
        <v>13.190263410612726</v>
      </c>
      <c r="AS69" s="49">
        <f t="shared" ref="AS69" si="128">+$D$69</f>
        <v>13.880650651935015</v>
      </c>
      <c r="AT69" s="101">
        <f>+(AT61/'Maj Production Summ'!AT$18)*1000</f>
        <v>13.901910314659178</v>
      </c>
      <c r="AU69" s="706">
        <f>+$D$69</f>
        <v>13.880650651935015</v>
      </c>
      <c r="AV69" s="1911">
        <f>+(AV61/'Maj Production Summ'!AV$18)*1000</f>
        <v>13.020495524711377</v>
      </c>
      <c r="AW69" s="49">
        <f t="shared" ref="AW69" si="129">+$D$69</f>
        <v>13.880650651935015</v>
      </c>
      <c r="AX69" s="101">
        <f>+(AX61/'Maj Production Summ'!AX$18)*1000</f>
        <v>13.832187068975099</v>
      </c>
      <c r="AY69" s="706">
        <f>+$D$69</f>
        <v>13.880650651935015</v>
      </c>
      <c r="AZ69" s="1911">
        <f>+(AZ61/'Maj Production Summ'!AZ$18)*1000</f>
        <v>13.633725750290168</v>
      </c>
      <c r="BA69" s="3775">
        <f>+$D$69</f>
        <v>13.880650651935015</v>
      </c>
      <c r="BB69" s="3775">
        <f>+(BB61/'Maj Production Summ'!BB$18)*1000</f>
        <v>13.305762009344296</v>
      </c>
      <c r="BC69" s="2109">
        <f>+$D$69</f>
        <v>13.880650651935015</v>
      </c>
      <c r="BD69" s="2109">
        <f>+(BD61/'Maj Production Summ'!BD$18)*1000</f>
        <v>13.16662697100521</v>
      </c>
      <c r="BE69" s="3778">
        <f>+$D$69</f>
        <v>13.880650651935015</v>
      </c>
      <c r="BF69" s="3778">
        <f>+(BF61/'Maj Production Summ'!BF$18)*1000</f>
        <v>13.813631187740828</v>
      </c>
      <c r="BG69"/>
      <c r="BH69" s="5786">
        <v>17.372968004908316</v>
      </c>
      <c r="BI69" s="4731">
        <v>14.226280270242167</v>
      </c>
      <c r="BJ69" s="4731">
        <v>18.349999999999998</v>
      </c>
      <c r="BK69" s="4731">
        <v>16.183875067245694</v>
      </c>
      <c r="BL69" s="4731">
        <v>16.822446796403778</v>
      </c>
      <c r="BM69" s="5787">
        <v>18.06301096315628</v>
      </c>
      <c r="BN69" s="4715">
        <v>16</v>
      </c>
      <c r="BO69" s="3777">
        <v>18.431726897146138</v>
      </c>
      <c r="BP69" s="3777">
        <v>16.326409999999999</v>
      </c>
      <c r="BQ69" s="1090">
        <v>15.648490818507298</v>
      </c>
      <c r="BR69" s="3749"/>
      <c r="BS69" s="2311"/>
      <c r="BT69" s="2236"/>
      <c r="BU69" s="1102"/>
      <c r="BV69" s="1102"/>
    </row>
    <row r="70" spans="1:74" ht="18.75" customHeight="1" x14ac:dyDescent="0.3">
      <c r="A70" s="88"/>
      <c r="B70" s="2326" t="s">
        <v>1481</v>
      </c>
      <c r="C70" s="3761" t="s">
        <v>506</v>
      </c>
      <c r="D70" s="3785">
        <v>0</v>
      </c>
      <c r="E70" s="706">
        <f>D70</f>
        <v>0</v>
      </c>
      <c r="F70" s="123">
        <f>+(F62/'Maj Production Summ'!F$18)*1000</f>
        <v>0</v>
      </c>
      <c r="G70" s="706">
        <f>F70</f>
        <v>0</v>
      </c>
      <c r="H70" s="123">
        <f>+(H62/'Maj Production Summ'!H$18)*1000</f>
        <v>0</v>
      </c>
      <c r="I70" s="49"/>
      <c r="J70" s="101">
        <f>+(J62/'Maj Production Summ'!J$18)*1000</f>
        <v>0</v>
      </c>
      <c r="K70" s="706">
        <f>J70</f>
        <v>0</v>
      </c>
      <c r="L70" s="123">
        <f>+(L62/'Maj Production Summ'!L$18)*1000</f>
        <v>0</v>
      </c>
      <c r="M70" s="73">
        <f>D70</f>
        <v>0</v>
      </c>
      <c r="N70" s="107">
        <f>+(N62/'Maj Production Summ'!N$18)*1000</f>
        <v>0</v>
      </c>
      <c r="O70" s="706">
        <f>N70</f>
        <v>0</v>
      </c>
      <c r="P70" s="123">
        <f>+(P62/'Maj Production Summ'!P$18)*1000</f>
        <v>0</v>
      </c>
      <c r="Q70" s="49"/>
      <c r="R70" s="101">
        <f>+(R62/'Maj Production Summ'!R$18)*1000</f>
        <v>0</v>
      </c>
      <c r="S70" s="706">
        <f>R70</f>
        <v>0</v>
      </c>
      <c r="T70" s="123">
        <f>+(T62/'Maj Production Summ'!T$18)*1000</f>
        <v>0</v>
      </c>
      <c r="U70" s="49"/>
      <c r="V70" s="101">
        <f>+(V62/'Maj Production Summ'!V$18)*1000</f>
        <v>0</v>
      </c>
      <c r="W70" s="706">
        <f>V70</f>
        <v>0</v>
      </c>
      <c r="X70" s="123">
        <f>+(X62/'Maj Production Summ'!X$18)*1000</f>
        <v>0</v>
      </c>
      <c r="Y70" s="3786">
        <f>D70</f>
        <v>0</v>
      </c>
      <c r="Z70" s="3775">
        <f>+(Z62/'Maj Production Summ'!Z$18)*1000</f>
        <v>0</v>
      </c>
      <c r="AA70" s="3787">
        <f>D70</f>
        <v>0</v>
      </c>
      <c r="AB70" s="3787">
        <f>+(AB62/'Maj Production Summ'!AB$18)*1000</f>
        <v>0</v>
      </c>
      <c r="AC70" s="706">
        <f>AB70</f>
        <v>0</v>
      </c>
      <c r="AD70" s="123">
        <f>+(AD62/'Maj Production Summ'!AD$18)*1000</f>
        <v>0</v>
      </c>
      <c r="AE70" s="49"/>
      <c r="AF70" s="101">
        <f>+(AF62/'Maj Production Summ'!AF$18)*1000</f>
        <v>0</v>
      </c>
      <c r="AG70" s="706">
        <f>AF70</f>
        <v>0</v>
      </c>
      <c r="AH70" s="123">
        <f>+(AH62/'Maj Production Summ'!AH$18)*1000</f>
        <v>0</v>
      </c>
      <c r="AI70" s="49"/>
      <c r="AJ70" s="101">
        <f>+(AJ62/'Maj Production Summ'!AJ$18)*1000</f>
        <v>0</v>
      </c>
      <c r="AK70" s="706">
        <f>AJ70</f>
        <v>0</v>
      </c>
      <c r="AL70" s="123">
        <f>+(AL62/'Maj Production Summ'!AL$18)*1000</f>
        <v>0</v>
      </c>
      <c r="AM70" s="3786">
        <v>0</v>
      </c>
      <c r="AN70" s="3775">
        <f>+(AN62/'Maj Production Summ'!AN$18)*1000</f>
        <v>0</v>
      </c>
      <c r="AO70" s="49">
        <f>D70</f>
        <v>0</v>
      </c>
      <c r="AP70" s="101">
        <f>+(AP62/'Maj Production Summ'!AP$18)*1000</f>
        <v>0</v>
      </c>
      <c r="AQ70" s="706">
        <f>AP70</f>
        <v>0</v>
      </c>
      <c r="AR70" s="123">
        <f>+(AR62/'Maj Production Summ'!AR$18)*1000</f>
        <v>0</v>
      </c>
      <c r="AS70" s="49">
        <f>D70</f>
        <v>0</v>
      </c>
      <c r="AT70" s="101">
        <f>+(AT62/'Maj Production Summ'!AT$18)*1000</f>
        <v>0</v>
      </c>
      <c r="AU70" s="706">
        <f>AT70</f>
        <v>0</v>
      </c>
      <c r="AV70" s="123">
        <f>+(AV62/'Maj Production Summ'!AV$18)*1000</f>
        <v>0</v>
      </c>
      <c r="AW70" s="49">
        <f>H70</f>
        <v>0</v>
      </c>
      <c r="AX70" s="101">
        <f>+(AX62/'Maj Production Summ'!AX$18)*1000</f>
        <v>0</v>
      </c>
      <c r="AY70" s="706">
        <f>AX70</f>
        <v>0</v>
      </c>
      <c r="AZ70" s="123">
        <f>+(AZ62/'Maj Production Summ'!AZ$18)*1000</f>
        <v>0</v>
      </c>
      <c r="BA70" s="1409">
        <f>L70</f>
        <v>0</v>
      </c>
      <c r="BB70" s="1409">
        <f>+(BB62/'Maj Production Summ'!BB$18)*1000</f>
        <v>0</v>
      </c>
      <c r="BC70" s="2109">
        <f>N70</f>
        <v>0</v>
      </c>
      <c r="BD70" s="2109">
        <f>+(BD62/'Maj Production Summ'!BD$18)*1000</f>
        <v>0</v>
      </c>
      <c r="BE70" s="1332">
        <f>P70</f>
        <v>0</v>
      </c>
      <c r="BF70" s="1332">
        <f>+(BF62/'Maj Production Summ'!BF$18)*1000</f>
        <v>0</v>
      </c>
      <c r="BG70"/>
      <c r="BH70" s="5808">
        <v>0</v>
      </c>
      <c r="BI70" s="5809">
        <v>0</v>
      </c>
      <c r="BJ70" s="5809">
        <v>0</v>
      </c>
      <c r="BK70" s="5809">
        <v>0</v>
      </c>
      <c r="BL70" s="5809">
        <v>0</v>
      </c>
      <c r="BM70" s="3789">
        <v>1.0205917534130115E-2</v>
      </c>
      <c r="BN70" s="5782"/>
      <c r="BO70" s="3788"/>
      <c r="BP70" s="3788"/>
      <c r="BQ70" s="3789"/>
      <c r="BR70" s="3751"/>
      <c r="BS70" s="2296"/>
      <c r="BT70" s="2238"/>
      <c r="BU70" s="1594"/>
      <c r="BV70" s="1594"/>
    </row>
    <row r="71" spans="1:74" ht="18" x14ac:dyDescent="0.3">
      <c r="A71" s="88"/>
      <c r="B71" s="2327" t="s">
        <v>1482</v>
      </c>
      <c r="C71" s="3764" t="s">
        <v>506</v>
      </c>
      <c r="D71" s="3790">
        <f>SUM(D69:D70)</f>
        <v>13.880650651935015</v>
      </c>
      <c r="E71" s="1253">
        <f t="shared" ref="E71:W71" si="130">+$D$69</f>
        <v>13.880650651935015</v>
      </c>
      <c r="F71" s="628">
        <f>SUM(F69:F70)</f>
        <v>12.865884798365782</v>
      </c>
      <c r="G71" s="1253">
        <f t="shared" si="130"/>
        <v>13.880650651935015</v>
      </c>
      <c r="H71" s="628">
        <f>SUM(H69:H70)</f>
        <v>12.48456018211329</v>
      </c>
      <c r="I71" s="1254">
        <f t="shared" si="130"/>
        <v>13.880650651935015</v>
      </c>
      <c r="J71" s="3041">
        <f t="shared" ref="J71" si="131">SUM(J69:J70)</f>
        <v>12.749582019197538</v>
      </c>
      <c r="K71" s="1253">
        <f t="shared" si="130"/>
        <v>13.880650651935015</v>
      </c>
      <c r="L71" s="628">
        <f>SUM(L69:L70)</f>
        <v>15.477320057670269</v>
      </c>
      <c r="M71" s="1255">
        <f t="shared" si="130"/>
        <v>13.880650651935015</v>
      </c>
      <c r="N71" s="3437">
        <f t="shared" ref="N71" si="132">SUM(N69:N70)</f>
        <v>13.925687163502408</v>
      </c>
      <c r="O71" s="1253">
        <f t="shared" si="130"/>
        <v>13.880650651935015</v>
      </c>
      <c r="P71" s="628">
        <f>SUM(P69:P70)</f>
        <v>16.15535634032689</v>
      </c>
      <c r="Q71" s="1254">
        <f t="shared" si="130"/>
        <v>13.880650651935015</v>
      </c>
      <c r="R71" s="3046">
        <f t="shared" ref="R71" si="133">SUM(R69:R70)</f>
        <v>14.616852946711605</v>
      </c>
      <c r="S71" s="1253">
        <f t="shared" si="130"/>
        <v>13.880650651935015</v>
      </c>
      <c r="T71" s="628">
        <f>SUM(T69:T70)</f>
        <v>15.095487791534454</v>
      </c>
      <c r="U71" s="1254">
        <f t="shared" si="130"/>
        <v>13.880650651935015</v>
      </c>
      <c r="V71" s="3046">
        <f t="shared" ref="V71" si="134">SUM(V69:V70)</f>
        <v>14.724563510252633</v>
      </c>
      <c r="W71" s="1253">
        <f t="shared" si="130"/>
        <v>13.880650651935015</v>
      </c>
      <c r="X71" s="628">
        <f>SUM(X69:X70)</f>
        <v>13.273748385475672</v>
      </c>
      <c r="Y71" s="3786">
        <f>SUM(Y69:Y70)</f>
        <v>13.880650651935015</v>
      </c>
      <c r="Z71" s="3786">
        <f>SUM(Z69:Z70)</f>
        <v>14.894399489786684</v>
      </c>
      <c r="AA71" s="3787">
        <f>SUM(AA69:AA70)</f>
        <v>13.880650651935015</v>
      </c>
      <c r="AB71" s="3787">
        <f>SUM(AB69:AB70)</f>
        <v>14.467999354522361</v>
      </c>
      <c r="AC71" s="1253">
        <f t="shared" ref="AC71" si="135">+$D$69</f>
        <v>13.880650651935015</v>
      </c>
      <c r="AD71" s="628">
        <f>SUM(AD69:AD70)</f>
        <v>13.783405226533334</v>
      </c>
      <c r="AE71" s="1254">
        <f t="shared" ref="AE71" si="136">+$D$69</f>
        <v>13.880650651935015</v>
      </c>
      <c r="AF71" s="3046">
        <f t="shared" ref="AF71" si="137">SUM(AF69:AF70)</f>
        <v>14.384085331319614</v>
      </c>
      <c r="AG71" s="1253">
        <f t="shared" ref="AG71" si="138">+$D$69</f>
        <v>13.880650651935015</v>
      </c>
      <c r="AH71" s="628">
        <f>SUM(AH69:AH70)</f>
        <v>12.261331055938511</v>
      </c>
      <c r="AI71" s="1254">
        <f t="shared" ref="AI71" si="139">+$D$69</f>
        <v>13.880650651935015</v>
      </c>
      <c r="AJ71" s="3046">
        <f t="shared" ref="AJ71" si="140">SUM(AJ69:AJ70)</f>
        <v>14.096066507673187</v>
      </c>
      <c r="AK71" s="1253">
        <f t="shared" ref="AK71" si="141">+$D$69</f>
        <v>13.880650651935015</v>
      </c>
      <c r="AL71" s="628">
        <f>SUM(AL69:AL70)</f>
        <v>13.193096238772853</v>
      </c>
      <c r="AM71" s="3786">
        <f>SUM(AM69:AM70)</f>
        <v>13.880650651935015</v>
      </c>
      <c r="AN71" s="3786">
        <f>SUM(AN69:AN70)</f>
        <v>13.025061113288174</v>
      </c>
      <c r="AO71" s="1254">
        <f t="shared" ref="AO71" si="142">+$D$69</f>
        <v>13.880650651935015</v>
      </c>
      <c r="AP71" s="3046">
        <f t="shared" ref="AP71" si="143">SUM(AP69:AP70)</f>
        <v>13.986179530064557</v>
      </c>
      <c r="AQ71" s="1253">
        <f t="shared" ref="AQ71" si="144">+$D$69</f>
        <v>13.880650651935015</v>
      </c>
      <c r="AR71" s="628">
        <f>SUM(AR69:AR70)</f>
        <v>13.190263410612726</v>
      </c>
      <c r="AS71" s="1254">
        <f t="shared" ref="AS71" si="145">+$D$69</f>
        <v>13.880650651935015</v>
      </c>
      <c r="AT71" s="3046">
        <f t="shared" ref="AT71" si="146">SUM(AT69:AT70)</f>
        <v>13.901910314659178</v>
      </c>
      <c r="AU71" s="1253">
        <f t="shared" ref="AU71" si="147">+$D$69</f>
        <v>13.880650651935015</v>
      </c>
      <c r="AV71" s="628">
        <f>SUM(AV69:AV70)</f>
        <v>13.020495524711377</v>
      </c>
      <c r="AW71" s="1254">
        <f t="shared" ref="AW71" si="148">+$D$69</f>
        <v>13.880650651935015</v>
      </c>
      <c r="AX71" s="3046">
        <f t="shared" ref="AX71" si="149">SUM(AX69:AX70)</f>
        <v>13.832187068975099</v>
      </c>
      <c r="AY71" s="1253">
        <f t="shared" ref="AY71" si="150">+$D$69</f>
        <v>13.880650651935015</v>
      </c>
      <c r="AZ71" s="628">
        <f>SUM(AZ69:AZ70)</f>
        <v>13.633725750290168</v>
      </c>
      <c r="BA71" s="3780">
        <f t="shared" ref="BA71" si="151">+$D$69</f>
        <v>13.880650651935015</v>
      </c>
      <c r="BB71" s="3780">
        <f t="shared" ref="BB71" si="152">SUM(BB69:BB70)</f>
        <v>13.305762009344296</v>
      </c>
      <c r="BC71" s="3781">
        <f t="shared" ref="BC71" si="153">+$D$69</f>
        <v>13.880650651935015</v>
      </c>
      <c r="BD71" s="3781">
        <f t="shared" ref="BD71" si="154">SUM(BD69:BD70)</f>
        <v>13.16662697100521</v>
      </c>
      <c r="BE71" s="3782">
        <f t="shared" ref="BE71" si="155">+$D$69</f>
        <v>13.880650651935015</v>
      </c>
      <c r="BF71" s="3782">
        <f t="shared" ref="BF71" si="156">SUM(BF69:BF70)</f>
        <v>13.813631187740828</v>
      </c>
      <c r="BG71"/>
      <c r="BH71" s="5805">
        <v>17.372968004908316</v>
      </c>
      <c r="BI71" s="5806">
        <v>14.226280270242167</v>
      </c>
      <c r="BJ71" s="5806">
        <v>18.349999999999998</v>
      </c>
      <c r="BK71" s="5806">
        <v>16.183875067245694</v>
      </c>
      <c r="BL71" s="5806">
        <v>16.822446796403778</v>
      </c>
      <c r="BM71" s="5807">
        <v>18.07321688069041</v>
      </c>
      <c r="BN71" s="5781">
        <f t="shared" ref="BN71:BO71" si="157">SUM(BN69:BN70)</f>
        <v>16</v>
      </c>
      <c r="BO71" s="3783">
        <f t="shared" si="157"/>
        <v>18.431726897146138</v>
      </c>
      <c r="BP71" s="3783"/>
      <c r="BQ71" s="3784">
        <f t="shared" ref="BQ71" si="158">SUM(BQ69:BQ70)</f>
        <v>15.648490818507298</v>
      </c>
      <c r="BR71" s="3751"/>
      <c r="BS71" s="2296"/>
      <c r="BT71" s="2238"/>
      <c r="BU71" s="1594"/>
      <c r="BV71" s="1594"/>
    </row>
    <row r="72" spans="1:74" ht="18.600000000000001" thickBot="1" x14ac:dyDescent="0.35">
      <c r="A72" s="88"/>
      <c r="B72" s="2329" t="s">
        <v>85</v>
      </c>
      <c r="C72" s="2319" t="s">
        <v>506</v>
      </c>
      <c r="D72" s="3641">
        <v>2.1355316639068298</v>
      </c>
      <c r="E72" s="3642">
        <f>+$D$72</f>
        <v>2.1355316639068298</v>
      </c>
      <c r="F72" s="3643">
        <f>+(F64/'Maj Production Summ'!F$18)*1000</f>
        <v>2.1592466827340902</v>
      </c>
      <c r="G72" s="3642">
        <f>+$D$72</f>
        <v>2.1355316639068298</v>
      </c>
      <c r="H72" s="3643">
        <f>+(H64/'Maj Production Summ'!H$18)*1000</f>
        <v>2.4805790059309318</v>
      </c>
      <c r="I72" s="3644">
        <f t="shared" ref="I72" si="159">+$D$72</f>
        <v>2.1355316639068298</v>
      </c>
      <c r="J72" s="3074">
        <f>+(J64/'Maj Production Summ'!J$18)*1000</f>
        <v>2.2572520058408343</v>
      </c>
      <c r="K72" s="3642">
        <f>+$D$72</f>
        <v>2.1355316639068298</v>
      </c>
      <c r="L72" s="3643">
        <f>+(L64/'Maj Production Summ'!L$18)*1000</f>
        <v>2.1614438926610067</v>
      </c>
      <c r="M72" s="3645">
        <f t="shared" ref="M72" si="160">+$D$72</f>
        <v>2.1355316639068298</v>
      </c>
      <c r="N72" s="3646">
        <f>+(N64/'Maj Production Summ'!N$18)*1000</f>
        <v>2.2159429016718617</v>
      </c>
      <c r="O72" s="3642">
        <f>+$D$72</f>
        <v>2.1355316639068298</v>
      </c>
      <c r="P72" s="3643">
        <f>+(P64/'Maj Production Summ'!P$18)*1000</f>
        <v>1.9155174996649085</v>
      </c>
      <c r="Q72" s="3644">
        <f t="shared" ref="Q72" si="161">+$D$72</f>
        <v>2.1355316639068298</v>
      </c>
      <c r="R72" s="3647">
        <f>+(R64/'Maj Production Summ'!R$18)*1000</f>
        <v>2.1228152931313868</v>
      </c>
      <c r="S72" s="3642">
        <f>+$D$72</f>
        <v>2.1355316639068298</v>
      </c>
      <c r="T72" s="3643">
        <f>+(T64/'Maj Production Summ'!T$18)*1000</f>
        <v>2.1715161054111154</v>
      </c>
      <c r="U72" s="3644">
        <f t="shared" ref="U72" si="162">+$D$72</f>
        <v>2.1355316639068298</v>
      </c>
      <c r="V72" s="3647">
        <f>+(V64/'Maj Production Summ'!V$18)*1000</f>
        <v>2.133774779245476</v>
      </c>
      <c r="W72" s="3642">
        <f>+$D$72</f>
        <v>2.1355316639068298</v>
      </c>
      <c r="X72" s="3643">
        <f>+(X64/'Maj Production Summ'!X$18)*1000</f>
        <v>2.1203718806067529</v>
      </c>
      <c r="Y72" s="551">
        <f>+$D$72</f>
        <v>2.1355316639068298</v>
      </c>
      <c r="Z72" s="551">
        <f>+(Z64/'Maj Production Summ'!Z$18)*1000</f>
        <v>2.0649352276952255</v>
      </c>
      <c r="AA72" s="575">
        <f>+$D$72</f>
        <v>2.1355316639068298</v>
      </c>
      <c r="AB72" s="575">
        <f>+(AB64/'Maj Production Summ'!AB$18)*1000</f>
        <v>2.1314045920900928</v>
      </c>
      <c r="AC72" s="3642">
        <f>+$D$72</f>
        <v>2.1355316639068298</v>
      </c>
      <c r="AD72" s="3643">
        <f>+(AD64/'Maj Production Summ'!AD$18)*1000</f>
        <v>2.1595861630236439</v>
      </c>
      <c r="AE72" s="1850">
        <f t="shared" ref="AE72" si="163">+$D$72</f>
        <v>2.1355316639068298</v>
      </c>
      <c r="AF72" s="120">
        <f>+(AF64/'Maj Production Summ'!AF$18)*1000</f>
        <v>2.1348589439469432</v>
      </c>
      <c r="AG72" s="3642">
        <f>+$D$72</f>
        <v>2.1355316639068298</v>
      </c>
      <c r="AH72" s="3643">
        <f>+(AH64/'Maj Production Summ'!AH$18)*1000</f>
        <v>2.191702033097751</v>
      </c>
      <c r="AI72" s="1850">
        <f t="shared" ref="AI72" si="164">+$D$72</f>
        <v>2.1355316639068298</v>
      </c>
      <c r="AJ72" s="120">
        <f>+(AJ64/'Maj Production Summ'!AJ$18)*1000</f>
        <v>2.1425715086368462</v>
      </c>
      <c r="AK72" s="3642">
        <f>+$D$72</f>
        <v>2.1355316639068298</v>
      </c>
      <c r="AL72" s="3643">
        <f>+(AL64/'Maj Production Summ'!AL$18)*1000</f>
        <v>2.2912977620378467</v>
      </c>
      <c r="AM72" s="551">
        <f>+$D$72</f>
        <v>2.1355316639068298</v>
      </c>
      <c r="AN72" s="551">
        <f>+(AN64/'Maj Production Summ'!AN$18)*1000</f>
        <v>2.219049929400934</v>
      </c>
      <c r="AO72" s="3644">
        <f t="shared" ref="AO72" si="165">+$D$72</f>
        <v>2.1355316639068298</v>
      </c>
      <c r="AP72" s="3647">
        <f>+(AP64/'Maj Production Summ'!AP$18)*1000</f>
        <v>2.1606707518125869</v>
      </c>
      <c r="AQ72" s="3642">
        <f>+$D$72</f>
        <v>2.1355316639068298</v>
      </c>
      <c r="AR72" s="3643">
        <f>+(AR64/'Maj Production Summ'!AR$18)*1000</f>
        <v>2.4512490846185218</v>
      </c>
      <c r="AS72" s="3644">
        <f t="shared" ref="AS72" si="166">+$D$72</f>
        <v>2.1355316639068298</v>
      </c>
      <c r="AT72" s="3647">
        <f>+(AT64/'Maj Production Summ'!AT$18)*1000</f>
        <v>2.191436315571019</v>
      </c>
      <c r="AU72" s="3642">
        <f>+$D$72</f>
        <v>2.1355316639068298</v>
      </c>
      <c r="AV72" s="3643">
        <f>+(AV64/'Maj Production Summ'!AV$18)*1000</f>
        <v>2.2592640636485495</v>
      </c>
      <c r="AW72" s="3644">
        <f t="shared" ref="AW72" si="167">+$D$72</f>
        <v>2.1355316639068298</v>
      </c>
      <c r="AX72" s="3647">
        <f>+(AX64/'Maj Production Summ'!AX$18)*1000</f>
        <v>2.1968017471446006</v>
      </c>
      <c r="AY72" s="3642">
        <f>+$D$72</f>
        <v>2.1355316639068298</v>
      </c>
      <c r="AZ72" s="3643">
        <f>+(AZ64/'Maj Production Summ'!AZ$18)*1000</f>
        <v>2.018736527938982</v>
      </c>
      <c r="BA72" s="3791">
        <f t="shared" ref="BA72" si="168">+$D$72</f>
        <v>2.1355316639068298</v>
      </c>
      <c r="BB72" s="3791">
        <f>+(BB64/'Maj Production Summ'!BB$18)*1000</f>
        <v>2.2374954722811906</v>
      </c>
      <c r="BC72" s="3792">
        <f t="shared" ref="BC72" si="169">+$D$72</f>
        <v>2.1355316639068298</v>
      </c>
      <c r="BD72" s="3792">
        <f>+(BD64/'Maj Production Summ'!BD$18)*1000</f>
        <v>2.228352568386375</v>
      </c>
      <c r="BE72" s="3793">
        <f t="shared" ref="BE72" si="170">+$D$72</f>
        <v>2.1355316639068298</v>
      </c>
      <c r="BF72" s="3793">
        <f>+(BF64/'Maj Production Summ'!BF$18)*1000</f>
        <v>2.1801528753068631</v>
      </c>
      <c r="BG72"/>
      <c r="BH72" s="5810">
        <v>2.1669656814109719</v>
      </c>
      <c r="BI72" s="1595">
        <v>2.189771158504751</v>
      </c>
      <c r="BJ72" s="1595">
        <v>2.1499999999999995</v>
      </c>
      <c r="BK72" s="1595">
        <v>2.3091923171460826</v>
      </c>
      <c r="BL72" s="1595">
        <v>2.8192466143166044</v>
      </c>
      <c r="BM72" s="3794">
        <v>2.0997063969868619</v>
      </c>
      <c r="BN72" s="5783">
        <v>3.2</v>
      </c>
      <c r="BO72" s="1595">
        <v>2.1491300709104784</v>
      </c>
      <c r="BP72" s="1595">
        <v>3.0300000000000002</v>
      </c>
      <c r="BQ72" s="3794">
        <v>2.235314175301673</v>
      </c>
      <c r="BR72" s="3752"/>
      <c r="BS72" s="2316"/>
      <c r="BT72" s="2239"/>
      <c r="BU72" s="1595"/>
      <c r="BV72" s="1595"/>
    </row>
    <row r="73" spans="1:74" ht="15" customHeight="1" x14ac:dyDescent="0.3">
      <c r="BG73"/>
    </row>
    <row r="74" spans="1:74" ht="15" customHeight="1" x14ac:dyDescent="0.3">
      <c r="BG74"/>
    </row>
    <row r="75" spans="1:74" ht="15" customHeight="1" x14ac:dyDescent="0.3">
      <c r="BG75"/>
    </row>
    <row r="76" spans="1:74" ht="15" customHeight="1" x14ac:dyDescent="0.3">
      <c r="BG76"/>
    </row>
    <row r="77" spans="1:74" ht="15" customHeight="1" x14ac:dyDescent="0.3">
      <c r="BG77"/>
    </row>
    <row r="78" spans="1:74" ht="15" customHeight="1" x14ac:dyDescent="0.3"/>
    <row r="79" spans="1:74" ht="15" customHeight="1" x14ac:dyDescent="0.3"/>
    <row r="80" spans="1:74" ht="15" customHeight="1" x14ac:dyDescent="0.3"/>
    <row r="81" ht="15" customHeight="1" x14ac:dyDescent="0.3"/>
    <row r="82" ht="15" customHeight="1" x14ac:dyDescent="0.3"/>
    <row r="83" ht="15" customHeight="1" x14ac:dyDescent="0.3"/>
    <row r="84" ht="15" customHeight="1" x14ac:dyDescent="0.3"/>
  </sheetData>
  <mergeCells count="41">
    <mergeCell ref="B33:B38"/>
    <mergeCell ref="C3:C4"/>
    <mergeCell ref="E3:F3"/>
    <mergeCell ref="G3:H3"/>
    <mergeCell ref="BP3:BQ3"/>
    <mergeCell ref="AS3:AT3"/>
    <mergeCell ref="AU3:AV3"/>
    <mergeCell ref="I3:J3"/>
    <mergeCell ref="D3:D4"/>
    <mergeCell ref="B3:B4"/>
    <mergeCell ref="B1:BV1"/>
    <mergeCell ref="AC3:AD3"/>
    <mergeCell ref="AE3:AF3"/>
    <mergeCell ref="S3:T3"/>
    <mergeCell ref="U3:V3"/>
    <mergeCell ref="W3:X3"/>
    <mergeCell ref="AA3:AB3"/>
    <mergeCell ref="Y3:Z3"/>
    <mergeCell ref="K3:L3"/>
    <mergeCell ref="BT3:BU3"/>
    <mergeCell ref="AG3:AH3"/>
    <mergeCell ref="AI3:AJ3"/>
    <mergeCell ref="AQ3:AR3"/>
    <mergeCell ref="BR3:BS3"/>
    <mergeCell ref="BA3:BB3"/>
    <mergeCell ref="BH3:BI3"/>
    <mergeCell ref="BN3:BO3"/>
    <mergeCell ref="BL3:BM3"/>
    <mergeCell ref="BJ3:BK3"/>
    <mergeCell ref="B40:B43"/>
    <mergeCell ref="AW3:AX3"/>
    <mergeCell ref="AY3:AZ3"/>
    <mergeCell ref="BE3:BF3"/>
    <mergeCell ref="BC3:BD3"/>
    <mergeCell ref="AO3:AP3"/>
    <mergeCell ref="AM3:AN3"/>
    <mergeCell ref="AK3:AL3"/>
    <mergeCell ref="B25:B26"/>
    <mergeCell ref="M3:N3"/>
    <mergeCell ref="O3:P3"/>
    <mergeCell ref="Q3:R3"/>
  </mergeCells>
  <printOptions horizontalCentered="1" verticalCentered="1"/>
  <pageMargins left="0" right="0" top="0" bottom="0" header="0" footer="0"/>
  <pageSetup scale="65" orientation="landscape" verticalDpi="300"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pageSetUpPr fitToPage="1"/>
  </sheetPr>
  <dimension ref="C3:BJ81"/>
  <sheetViews>
    <sheetView zoomScale="115" zoomScaleNormal="115" workbookViewId="0">
      <pane xSplit="7" topLeftCell="H1" activePane="topRight" state="frozen"/>
      <selection pane="topRight" activeCell="BO16" sqref="BO16"/>
    </sheetView>
  </sheetViews>
  <sheetFormatPr defaultColWidth="9.109375" defaultRowHeight="13.8" x14ac:dyDescent="0.25"/>
  <cols>
    <col min="1" max="1" width="2.33203125" style="4" customWidth="1"/>
    <col min="2" max="2" width="1.6640625" style="4" customWidth="1"/>
    <col min="3" max="3" width="22.5546875" style="4" hidden="1" customWidth="1"/>
    <col min="4" max="4" width="43.33203125" style="4" bestFit="1" customWidth="1"/>
    <col min="5" max="5" width="15.109375" style="4" bestFit="1" customWidth="1"/>
    <col min="6" max="6" width="15.44140625" style="4" hidden="1" customWidth="1"/>
    <col min="7" max="7" width="15.109375" style="4" customWidth="1"/>
    <col min="8" max="8" width="9.5546875" style="4" bestFit="1" customWidth="1"/>
    <col min="9" max="9" width="8.33203125" style="4" bestFit="1" customWidth="1"/>
    <col min="10" max="10" width="9.109375" style="4" customWidth="1"/>
    <col min="11" max="11" width="10.5546875" style="4" customWidth="1"/>
    <col min="12" max="12" width="9.5546875" style="4" customWidth="1"/>
    <col min="13" max="13" width="6.109375" style="4" customWidth="1"/>
    <col min="14" max="14" width="9.5546875" style="4" hidden="1" customWidth="1"/>
    <col min="15" max="15" width="8.33203125" style="4" hidden="1" customWidth="1"/>
    <col min="16" max="16" width="9.5546875" style="4" hidden="1" customWidth="1"/>
    <col min="17" max="17" width="8.33203125" style="4" hidden="1" customWidth="1"/>
    <col min="18" max="18" width="9.109375" style="1166" hidden="1" customWidth="1"/>
    <col min="19" max="21" width="10.5546875" style="4" hidden="1" customWidth="1"/>
    <col min="22" max="22" width="9.109375" style="4" hidden="1" customWidth="1"/>
    <col min="23" max="23" width="10.5546875" style="4" hidden="1" customWidth="1"/>
    <col min="24" max="24" width="9.109375" style="4" hidden="1" customWidth="1"/>
    <col min="25" max="25" width="8.44140625" style="4" hidden="1" customWidth="1"/>
    <col min="26" max="26" width="12.5546875" style="4" hidden="1" customWidth="1"/>
    <col min="27" max="45" width="9.109375" style="4" hidden="1" customWidth="1"/>
    <col min="46" max="47" width="9.5546875" style="4" hidden="1" customWidth="1"/>
    <col min="48" max="49" width="9.109375" style="4" hidden="1" customWidth="1"/>
    <col min="50" max="50" width="9.5546875" style="4" hidden="1" customWidth="1"/>
    <col min="51" max="53" width="9.109375" style="4" hidden="1" customWidth="1"/>
    <col min="54" max="54" width="9.5546875" style="4" hidden="1" customWidth="1"/>
    <col min="55" max="55" width="8.33203125" style="4" hidden="1" customWidth="1"/>
    <col min="56" max="61" width="9.109375" style="4" hidden="1" customWidth="1"/>
    <col min="62" max="63" width="9.109375" style="4" customWidth="1"/>
    <col min="64" max="16384" width="9.109375" style="4"/>
  </cols>
  <sheetData>
    <row r="3" spans="3:62" ht="18" thickBot="1" x14ac:dyDescent="0.3">
      <c r="C3" s="5931" t="s">
        <v>2215</v>
      </c>
      <c r="D3" s="5932"/>
      <c r="E3" s="5932"/>
      <c r="F3" s="5932"/>
      <c r="G3" s="5932"/>
      <c r="H3" s="5932"/>
      <c r="I3" s="5932"/>
      <c r="J3" s="5932"/>
      <c r="K3" s="5932"/>
      <c r="L3" s="5932"/>
      <c r="M3" s="5932"/>
      <c r="N3" s="5932"/>
      <c r="O3" s="5932"/>
      <c r="P3" s="5932"/>
      <c r="Q3" s="5932"/>
      <c r="R3" s="5932"/>
      <c r="S3" s="5932"/>
      <c r="T3" s="5932"/>
      <c r="U3" s="5932"/>
      <c r="V3" s="5932"/>
      <c r="W3" s="5932"/>
      <c r="X3" s="5932"/>
      <c r="Y3" s="5932"/>
      <c r="Z3" s="5932"/>
      <c r="AA3" s="5932"/>
      <c r="AB3" s="5932"/>
      <c r="AC3" s="5932"/>
      <c r="AD3" s="5932"/>
      <c r="AE3" s="5932"/>
      <c r="AF3" s="5932"/>
      <c r="AG3" s="5932"/>
      <c r="AH3" s="5932"/>
      <c r="AI3" s="5932"/>
      <c r="AJ3" s="5932"/>
      <c r="AK3" s="5932"/>
      <c r="AL3" s="5932"/>
      <c r="AM3" s="5932"/>
      <c r="AN3" s="5932"/>
      <c r="AO3" s="5932"/>
      <c r="AP3" s="5932"/>
      <c r="AQ3" s="5932"/>
      <c r="AR3" s="5932"/>
      <c r="AS3" s="5932"/>
      <c r="AT3" s="5932"/>
      <c r="AU3" s="5932"/>
      <c r="AV3" s="5932"/>
      <c r="AW3" s="5932"/>
      <c r="AX3" s="5932"/>
      <c r="AY3" s="5932"/>
      <c r="AZ3" s="5932"/>
      <c r="BA3" s="5932"/>
      <c r="BB3" s="5932"/>
      <c r="BC3" s="5932"/>
      <c r="BD3" s="5932"/>
      <c r="BE3" s="5932"/>
      <c r="BF3" s="5932"/>
      <c r="BG3" s="5932"/>
      <c r="BH3" s="5932"/>
      <c r="BI3" s="5932"/>
    </row>
    <row r="4" spans="3:62" ht="14.4" thickBot="1" x14ac:dyDescent="0.3">
      <c r="C4" s="5938" t="s">
        <v>1022</v>
      </c>
      <c r="D4" s="3239" t="s">
        <v>170</v>
      </c>
      <c r="E4" s="3240" t="s">
        <v>171</v>
      </c>
      <c r="F4" s="3240" t="s">
        <v>1369</v>
      </c>
      <c r="G4" s="3241" t="s">
        <v>2214</v>
      </c>
      <c r="H4" s="5818" t="s">
        <v>2211</v>
      </c>
      <c r="I4" s="5819"/>
      <c r="J4" s="5818" t="s">
        <v>2260</v>
      </c>
      <c r="K4" s="5819"/>
      <c r="L4" s="5933" t="s">
        <v>14</v>
      </c>
      <c r="M4" s="5821"/>
      <c r="N4" s="5880" t="s">
        <v>1963</v>
      </c>
      <c r="O4" s="5889"/>
      <c r="P4" s="5881" t="s">
        <v>604</v>
      </c>
      <c r="Q4" s="5882"/>
      <c r="R4" s="5892" t="s">
        <v>1985</v>
      </c>
      <c r="S4" s="5889"/>
      <c r="T4" s="5878" t="s">
        <v>17</v>
      </c>
      <c r="U4" s="5879"/>
      <c r="V4" s="5892" t="s">
        <v>1988</v>
      </c>
      <c r="W4" s="5889"/>
      <c r="X4" s="5878" t="s">
        <v>18</v>
      </c>
      <c r="Y4" s="5879"/>
      <c r="Z4" s="5880" t="s">
        <v>2019</v>
      </c>
      <c r="AA4" s="5889"/>
      <c r="AB4" s="5881" t="s">
        <v>625</v>
      </c>
      <c r="AC4" s="5882"/>
      <c r="AD4" s="5934" t="s">
        <v>623</v>
      </c>
      <c r="AE4" s="5884"/>
      <c r="AF4" s="5818" t="s">
        <v>2043</v>
      </c>
      <c r="AG4" s="5819"/>
      <c r="AH4" s="5933" t="s">
        <v>24</v>
      </c>
      <c r="AI4" s="5821"/>
      <c r="AJ4" s="5818" t="s">
        <v>2064</v>
      </c>
      <c r="AK4" s="5819"/>
      <c r="AL4" s="5933" t="s">
        <v>27</v>
      </c>
      <c r="AM4" s="5821"/>
      <c r="AN4" s="5880" t="s">
        <v>2088</v>
      </c>
      <c r="AO4" s="5889"/>
      <c r="AP4" s="5881" t="s">
        <v>627</v>
      </c>
      <c r="AQ4" s="5882"/>
      <c r="AR4" s="5933" t="s">
        <v>1565</v>
      </c>
      <c r="AS4" s="5821"/>
      <c r="AT4" s="5818" t="s">
        <v>2099</v>
      </c>
      <c r="AU4" s="5819"/>
      <c r="AV4" s="5933" t="s">
        <v>28</v>
      </c>
      <c r="AW4" s="5821"/>
      <c r="AX4" s="5818" t="s">
        <v>2136</v>
      </c>
      <c r="AY4" s="5819"/>
      <c r="AZ4" s="5933" t="s">
        <v>30</v>
      </c>
      <c r="BA4" s="5821"/>
      <c r="BB4" s="5818" t="s">
        <v>2154</v>
      </c>
      <c r="BC4" s="5819"/>
      <c r="BD4" s="5881" t="s">
        <v>628</v>
      </c>
      <c r="BE4" s="5882"/>
      <c r="BF4" s="5934" t="s">
        <v>634</v>
      </c>
      <c r="BG4" s="5884"/>
      <c r="BH4" s="5933" t="s">
        <v>1961</v>
      </c>
      <c r="BI4" s="5821"/>
    </row>
    <row r="5" spans="3:62" ht="14.4" thickBot="1" x14ac:dyDescent="0.3">
      <c r="C5" s="5939"/>
      <c r="D5" s="3242"/>
      <c r="E5" s="3243"/>
      <c r="F5" s="3243"/>
      <c r="G5" s="3244"/>
      <c r="H5" s="1043" t="s">
        <v>172</v>
      </c>
      <c r="I5" s="1044" t="s">
        <v>173</v>
      </c>
      <c r="J5" s="1043" t="s">
        <v>172</v>
      </c>
      <c r="K5" s="1044" t="s">
        <v>173</v>
      </c>
      <c r="L5" s="1244" t="s">
        <v>172</v>
      </c>
      <c r="M5" s="1245" t="s">
        <v>173</v>
      </c>
      <c r="N5" s="504" t="s">
        <v>172</v>
      </c>
      <c r="O5" s="165" t="s">
        <v>173</v>
      </c>
      <c r="P5" s="648" t="s">
        <v>172</v>
      </c>
      <c r="Q5" s="157" t="s">
        <v>173</v>
      </c>
      <c r="R5" s="947" t="s">
        <v>172</v>
      </c>
      <c r="S5" s="165" t="s">
        <v>173</v>
      </c>
      <c r="T5" s="505" t="s">
        <v>172</v>
      </c>
      <c r="U5" s="150" t="s">
        <v>173</v>
      </c>
      <c r="V5" s="947" t="s">
        <v>172</v>
      </c>
      <c r="W5" s="165" t="s">
        <v>173</v>
      </c>
      <c r="X5" s="505" t="s">
        <v>172</v>
      </c>
      <c r="Y5" s="150" t="s">
        <v>173</v>
      </c>
      <c r="Z5" s="504" t="s">
        <v>172</v>
      </c>
      <c r="AA5" s="165" t="s">
        <v>173</v>
      </c>
      <c r="AB5" s="648" t="s">
        <v>172</v>
      </c>
      <c r="AC5" s="157" t="s">
        <v>173</v>
      </c>
      <c r="AD5" s="650" t="s">
        <v>172</v>
      </c>
      <c r="AE5" s="431" t="s">
        <v>173</v>
      </c>
      <c r="AF5" s="1043" t="s">
        <v>172</v>
      </c>
      <c r="AG5" s="1044" t="s">
        <v>173</v>
      </c>
      <c r="AH5" s="1244" t="s">
        <v>172</v>
      </c>
      <c r="AI5" s="1245" t="s">
        <v>173</v>
      </c>
      <c r="AJ5" s="1043" t="s">
        <v>172</v>
      </c>
      <c r="AK5" s="1044" t="s">
        <v>173</v>
      </c>
      <c r="AL5" s="1244" t="s">
        <v>172</v>
      </c>
      <c r="AM5" s="1245" t="s">
        <v>173</v>
      </c>
      <c r="AN5" s="504" t="s">
        <v>172</v>
      </c>
      <c r="AO5" s="165" t="s">
        <v>173</v>
      </c>
      <c r="AP5" s="648" t="s">
        <v>172</v>
      </c>
      <c r="AQ5" s="157" t="s">
        <v>173</v>
      </c>
      <c r="AR5" s="1244" t="s">
        <v>172</v>
      </c>
      <c r="AS5" s="1245" t="s">
        <v>173</v>
      </c>
      <c r="AT5" s="1043" t="s">
        <v>172</v>
      </c>
      <c r="AU5" s="1044" t="s">
        <v>173</v>
      </c>
      <c r="AV5" s="1244" t="s">
        <v>172</v>
      </c>
      <c r="AW5" s="1245" t="s">
        <v>173</v>
      </c>
      <c r="AX5" s="1043" t="s">
        <v>172</v>
      </c>
      <c r="AY5" s="1044" t="s">
        <v>173</v>
      </c>
      <c r="AZ5" s="1244" t="s">
        <v>172</v>
      </c>
      <c r="BA5" s="1245" t="s">
        <v>173</v>
      </c>
      <c r="BB5" s="1043" t="s">
        <v>172</v>
      </c>
      <c r="BC5" s="1044" t="s">
        <v>173</v>
      </c>
      <c r="BD5" s="648" t="s">
        <v>172</v>
      </c>
      <c r="BE5" s="157" t="s">
        <v>173</v>
      </c>
      <c r="BF5" s="650" t="s">
        <v>172</v>
      </c>
      <c r="BG5" s="431" t="s">
        <v>173</v>
      </c>
      <c r="BH5" s="1244" t="s">
        <v>172</v>
      </c>
      <c r="BI5" s="1245" t="s">
        <v>173</v>
      </c>
    </row>
    <row r="6" spans="3:62" x14ac:dyDescent="0.25">
      <c r="C6" s="5935" t="s">
        <v>4</v>
      </c>
      <c r="D6" s="3245" t="s">
        <v>358</v>
      </c>
      <c r="E6" s="3240" t="s">
        <v>49</v>
      </c>
      <c r="F6" s="3246">
        <v>69.459875135267765</v>
      </c>
      <c r="G6" s="3241">
        <v>69.500000000000014</v>
      </c>
      <c r="H6" s="3247">
        <f>+'Maj Techno Summ'!E5</f>
        <v>69.500000000000014</v>
      </c>
      <c r="I6" s="3248">
        <f>+'Maj Techno Summ'!F5</f>
        <v>69.499999999999986</v>
      </c>
      <c r="J6" s="3247">
        <f>+'Maj Techno Summ'!G5</f>
        <v>69.500000000000014</v>
      </c>
      <c r="K6" s="3248">
        <f>+'Maj Techno Summ'!H5</f>
        <v>69.5</v>
      </c>
      <c r="L6" s="3249">
        <f>+'Maj Techno Summ'!I5</f>
        <v>69.500000000000014</v>
      </c>
      <c r="M6" s="3250">
        <f>+'Maj Techno Summ'!J5</f>
        <v>69.5</v>
      </c>
      <c r="N6" s="3247">
        <f>+'Maj Techno Summ'!K5</f>
        <v>69.500000000000014</v>
      </c>
      <c r="O6" s="3248">
        <f>+'Maj Techno Summ'!L5</f>
        <v>70</v>
      </c>
      <c r="P6" s="3251">
        <f>+'Maj Techno Summ'!M5</f>
        <v>69.500000000000014</v>
      </c>
      <c r="Q6" s="3252">
        <f>+'Maj Techno Summ'!N5</f>
        <v>69.667631369878563</v>
      </c>
      <c r="R6" s="3247">
        <f>+'Maj Techno Summ'!O5</f>
        <v>69.500000000000014</v>
      </c>
      <c r="S6" s="3248">
        <f>+'Maj Techno Summ'!P5</f>
        <v>69.999999999999986</v>
      </c>
      <c r="T6" s="3249">
        <f>+'Maj Techno Summ'!Q5</f>
        <v>69.500000000000014</v>
      </c>
      <c r="U6" s="3250">
        <f>+'Maj Techno Summ'!R5</f>
        <v>69.753493265993271</v>
      </c>
      <c r="V6" s="3247">
        <f>+'Maj Techno Summ'!S5</f>
        <v>69.500000000000014</v>
      </c>
      <c r="W6" s="3248">
        <f>+'Maj Techno Summ'!T5</f>
        <v>70</v>
      </c>
      <c r="X6" s="3249">
        <f>+'Maj Techno Summ'!U5</f>
        <v>69.500000000000014</v>
      </c>
      <c r="Y6" s="3250">
        <f>+'Maj Techno Summ'!V5</f>
        <v>69.803903843578411</v>
      </c>
      <c r="Z6" s="3247">
        <f>+'Maj Techno Summ'!W5</f>
        <v>69.500000000000014</v>
      </c>
      <c r="AA6" s="3248">
        <f>+'Maj Techno Summ'!X5</f>
        <v>69.49295404013472</v>
      </c>
      <c r="AB6" s="3253">
        <f>+'Maj Techno Summ'!Y5</f>
        <v>69.500000000000014</v>
      </c>
      <c r="AC6" s="3253">
        <f>+'Maj Techno Summ'!Z5</f>
        <v>69.834649220880394</v>
      </c>
      <c r="AD6" s="3254">
        <f>+'Maj Techno Summ'!AA5</f>
        <v>69.500000000000014</v>
      </c>
      <c r="AE6" s="3255">
        <f>+'Maj Techno Summ'!AB5</f>
        <v>69.752423468789146</v>
      </c>
      <c r="AF6" s="3247">
        <f>+'Maj Techno Summ'!AC5</f>
        <v>69.500000000000014</v>
      </c>
      <c r="AG6" s="3248">
        <f>+'Maj Techno Summ'!AD5</f>
        <v>69.7</v>
      </c>
      <c r="AH6" s="3249">
        <f>+'Maj Techno Summ'!AE5</f>
        <v>69.500000000000014</v>
      </c>
      <c r="AI6" s="3250">
        <f>+'Maj Techno Summ'!AF5</f>
        <v>69.744869575366778</v>
      </c>
      <c r="AJ6" s="3247">
        <f>+'Maj Techno Summ'!AG5</f>
        <v>69.500000000000014</v>
      </c>
      <c r="AK6" s="3248">
        <f>+'Maj Techno Summ'!AH5</f>
        <v>69.5</v>
      </c>
      <c r="AL6" s="3249">
        <f>+'Maj Techno Summ'!AI5</f>
        <v>69.500000000000014</v>
      </c>
      <c r="AM6" s="3250">
        <f>+'Maj Techno Summ'!AJ5</f>
        <v>69.714504517005409</v>
      </c>
      <c r="AN6" s="3247">
        <f>+'Maj Techno Summ'!AK5</f>
        <v>69.500000000000014</v>
      </c>
      <c r="AO6" s="3248">
        <f>+'Maj Techno Summ'!AL5</f>
        <v>69.5</v>
      </c>
      <c r="AP6" s="3253">
        <f>+'Maj Techno Summ'!AM5</f>
        <v>69.500000000000014</v>
      </c>
      <c r="AQ6" s="3253">
        <f>+'Maj Techno Summ'!AN5</f>
        <v>69.56670356431259</v>
      </c>
      <c r="AR6" s="3249">
        <f>+'Maj Techno Summ'!AO5</f>
        <v>69.500000000000014</v>
      </c>
      <c r="AS6" s="3250">
        <f>+'Maj Techno Summ'!AP5</f>
        <v>69.690123754072218</v>
      </c>
      <c r="AT6" s="3247">
        <f>+'Maj Techno Summ'!AQ5</f>
        <v>69.500000000000014</v>
      </c>
      <c r="AU6" s="3248">
        <f>+'Maj Techno Summ'!AR5</f>
        <v>69.5</v>
      </c>
      <c r="AV6" s="3249">
        <f>+'Maj Techno Summ'!AS5</f>
        <v>69.500000000000014</v>
      </c>
      <c r="AW6" s="3250">
        <f>+'Maj Techno Summ'!AT5</f>
        <v>69.670873446384761</v>
      </c>
      <c r="AX6" s="3247">
        <f>+'Maj Techno Summ'!AU5</f>
        <v>69.500000000000014</v>
      </c>
      <c r="AY6" s="3248">
        <f>+'Maj Techno Summ'!AV5</f>
        <v>69.5</v>
      </c>
      <c r="AZ6" s="3249">
        <f>+'Maj Techno Summ'!AW5</f>
        <v>69.500000000000014</v>
      </c>
      <c r="BA6" s="3250">
        <f>+'Maj Techno Summ'!AX5</f>
        <v>69.656533867958402</v>
      </c>
      <c r="BB6" s="3247">
        <f>+'Maj Techno Summ'!AY5</f>
        <v>69.500000000000014</v>
      </c>
      <c r="BC6" s="3248">
        <f>+'Maj Techno Summ'!AZ5</f>
        <v>69.499999999999986</v>
      </c>
      <c r="BD6" s="3253">
        <f>+'Maj Techno Summ'!BA5</f>
        <v>69.500000000000014</v>
      </c>
      <c r="BE6" s="3253">
        <f>+'Maj Techno Summ'!BB5</f>
        <v>69.5</v>
      </c>
      <c r="BF6" s="3254">
        <f>+'Maj Techno Summ'!BC5</f>
        <v>69.500000000000014</v>
      </c>
      <c r="BG6" s="3255">
        <f>+'Maj Techno Summ'!BD5</f>
        <v>69.53371754700089</v>
      </c>
      <c r="BH6" s="3249">
        <f>+'Maj Techno Summ'!BE5</f>
        <v>69.500000000000014</v>
      </c>
      <c r="BI6" s="3250">
        <f>+'Maj Techno Summ'!BF5</f>
        <v>69.643146937876907</v>
      </c>
    </row>
    <row r="7" spans="3:62" x14ac:dyDescent="0.25">
      <c r="C7" s="5936"/>
      <c r="D7" s="3256" t="s">
        <v>356</v>
      </c>
      <c r="E7" s="3257"/>
      <c r="F7" s="3257"/>
      <c r="G7" s="3258"/>
      <c r="H7" s="3259"/>
      <c r="I7" s="2914"/>
      <c r="J7" s="3259"/>
      <c r="K7" s="2914"/>
      <c r="L7" s="3260"/>
      <c r="M7" s="2895"/>
      <c r="N7" s="3259"/>
      <c r="O7" s="2914"/>
      <c r="P7" s="3259"/>
      <c r="Q7" s="2914"/>
      <c r="R7" s="3259"/>
      <c r="S7" s="2914"/>
      <c r="T7" s="3259"/>
      <c r="U7" s="2914"/>
      <c r="V7" s="3259"/>
      <c r="W7" s="2914"/>
      <c r="X7" s="3259"/>
      <c r="Y7" s="2914"/>
      <c r="Z7" s="3259"/>
      <c r="AA7" s="2914"/>
      <c r="AB7" s="3261"/>
      <c r="AC7" s="3261"/>
      <c r="AD7" s="3259"/>
      <c r="AE7" s="3261"/>
      <c r="AF7" s="3259"/>
      <c r="AG7" s="2914"/>
      <c r="AH7" s="3259"/>
      <c r="AI7" s="2914"/>
      <c r="AJ7" s="3259"/>
      <c r="AK7" s="2914"/>
      <c r="AL7" s="3259"/>
      <c r="AM7" s="2914"/>
      <c r="AN7" s="3259"/>
      <c r="AO7" s="2914"/>
      <c r="AP7" s="3261"/>
      <c r="AQ7" s="3261"/>
      <c r="AR7" s="3259"/>
      <c r="AS7" s="2914"/>
      <c r="AT7" s="3259"/>
      <c r="AU7" s="2914"/>
      <c r="AV7" s="3259"/>
      <c r="AW7" s="2914"/>
      <c r="AX7" s="3259"/>
      <c r="AY7" s="2914"/>
      <c r="AZ7" s="3259"/>
      <c r="BA7" s="2914"/>
      <c r="BB7" s="3259"/>
      <c r="BC7" s="2914"/>
      <c r="BD7" s="3261"/>
      <c r="BE7" s="3261"/>
      <c r="BF7" s="3259"/>
      <c r="BG7" s="3261"/>
      <c r="BH7" s="3259"/>
      <c r="BI7" s="2914"/>
    </row>
    <row r="8" spans="3:62" x14ac:dyDescent="0.25">
      <c r="C8" s="5936"/>
      <c r="D8" s="3262" t="s">
        <v>346</v>
      </c>
      <c r="E8" s="3263" t="s">
        <v>49</v>
      </c>
      <c r="F8" s="3264">
        <v>89.651305773130588</v>
      </c>
      <c r="G8" s="3265">
        <v>89</v>
      </c>
      <c r="H8" s="3266">
        <f>+'Maj Techno Summ'!E7</f>
        <v>89</v>
      </c>
      <c r="I8" s="3267">
        <f>+'Maj Techno Summ'!F7</f>
        <v>89</v>
      </c>
      <c r="J8" s="3266">
        <f>+'Maj Techno Summ'!G7</f>
        <v>89</v>
      </c>
      <c r="K8" s="3267">
        <f>+'Maj Techno Summ'!H7</f>
        <v>89</v>
      </c>
      <c r="L8" s="3260">
        <f>+'Maj Techno Summ'!I7</f>
        <v>89</v>
      </c>
      <c r="M8" s="2895">
        <f>+'Maj Techno Summ'!J7</f>
        <v>89</v>
      </c>
      <c r="N8" s="3266">
        <f>+'Maj Techno Summ'!K7</f>
        <v>89</v>
      </c>
      <c r="O8" s="3267" t="e">
        <f>+'Maj Techno Summ'!L7</f>
        <v>#REF!</v>
      </c>
      <c r="P8" s="3268">
        <f>+'Maj Techno Summ'!M7</f>
        <v>89</v>
      </c>
      <c r="Q8" s="3269" t="e">
        <f>+'Maj Techno Summ'!N7</f>
        <v>#REF!</v>
      </c>
      <c r="R8" s="3266">
        <f>+'Maj Techno Summ'!O7</f>
        <v>89</v>
      </c>
      <c r="S8" s="3267" t="e">
        <f>+'Maj Techno Summ'!P7</f>
        <v>#REF!</v>
      </c>
      <c r="T8" s="3260">
        <f>+'Maj Techno Summ'!Q7</f>
        <v>89</v>
      </c>
      <c r="U8" s="2895" t="e">
        <f>+'Maj Techno Summ'!R7</f>
        <v>#REF!</v>
      </c>
      <c r="V8" s="3266">
        <f>+'Maj Techno Summ'!S7</f>
        <v>89</v>
      </c>
      <c r="W8" s="3267" t="e">
        <f>+'Maj Techno Summ'!T7</f>
        <v>#REF!</v>
      </c>
      <c r="X8" s="3260">
        <f>+'Maj Techno Summ'!U7</f>
        <v>89</v>
      </c>
      <c r="Y8" s="2895" t="e">
        <f>+'Maj Techno Summ'!V7</f>
        <v>#REF!</v>
      </c>
      <c r="Z8" s="3266">
        <f>+'Maj Techno Summ'!W7</f>
        <v>89</v>
      </c>
      <c r="AA8" s="3267" t="e">
        <f>+'Maj Techno Summ'!X7</f>
        <v>#REF!</v>
      </c>
      <c r="AB8" s="3270">
        <f>+'Maj Techno Summ'!Y7</f>
        <v>89</v>
      </c>
      <c r="AC8" s="3270" t="e">
        <f>+'Maj Techno Summ'!Z7</f>
        <v>#REF!</v>
      </c>
      <c r="AD8" s="3271">
        <f>+'Maj Techno Summ'!AA7</f>
        <v>89</v>
      </c>
      <c r="AE8" s="3272" t="e">
        <f>+'Maj Techno Summ'!AB7</f>
        <v>#REF!</v>
      </c>
      <c r="AF8" s="3266">
        <f>+'Maj Techno Summ'!AC7</f>
        <v>89</v>
      </c>
      <c r="AG8" s="3267" t="e">
        <f>+'Maj Techno Summ'!AD7</f>
        <v>#REF!</v>
      </c>
      <c r="AH8" s="3260">
        <f>+'Maj Techno Summ'!AE7</f>
        <v>89</v>
      </c>
      <c r="AI8" s="2895" t="e">
        <f>+'Maj Techno Summ'!AF7</f>
        <v>#REF!</v>
      </c>
      <c r="AJ8" s="3266">
        <f>+'Maj Techno Summ'!AG7</f>
        <v>89</v>
      </c>
      <c r="AK8" s="3267" t="e">
        <f>+'Maj Techno Summ'!AH7</f>
        <v>#REF!</v>
      </c>
      <c r="AL8" s="3260">
        <f>+'Maj Techno Summ'!AI7</f>
        <v>89</v>
      </c>
      <c r="AM8" s="2895" t="e">
        <f>+'Maj Techno Summ'!AJ7</f>
        <v>#REF!</v>
      </c>
      <c r="AN8" s="3266">
        <f>+'Maj Techno Summ'!AK7</f>
        <v>89</v>
      </c>
      <c r="AO8" s="3267" t="e">
        <f>+'Maj Techno Summ'!AL7</f>
        <v>#REF!</v>
      </c>
      <c r="AP8" s="3270">
        <f>+'Maj Techno Summ'!AM7</f>
        <v>89</v>
      </c>
      <c r="AQ8" s="3270" t="e">
        <f>+'Maj Techno Summ'!AN7</f>
        <v>#REF!</v>
      </c>
      <c r="AR8" s="3260">
        <f>+'Maj Techno Summ'!AO7</f>
        <v>89</v>
      </c>
      <c r="AS8" s="2895" t="e">
        <f>+'Maj Techno Summ'!AP7</f>
        <v>#REF!</v>
      </c>
      <c r="AT8" s="3266">
        <f>+'Maj Techno Summ'!AQ7</f>
        <v>89</v>
      </c>
      <c r="AU8" s="3267" t="e">
        <f>+'Maj Techno Summ'!AR7</f>
        <v>#REF!</v>
      </c>
      <c r="AV8" s="3260">
        <f>+'Maj Techno Summ'!AS7</f>
        <v>89</v>
      </c>
      <c r="AW8" s="2895" t="e">
        <f>+'Maj Techno Summ'!AT7</f>
        <v>#REF!</v>
      </c>
      <c r="AX8" s="3266">
        <f>+'Maj Techno Summ'!AU7</f>
        <v>89</v>
      </c>
      <c r="AY8" s="3267" t="e">
        <f>+'Maj Techno Summ'!AV7</f>
        <v>#REF!</v>
      </c>
      <c r="AZ8" s="3260">
        <f>+'Maj Techno Summ'!AW7</f>
        <v>89</v>
      </c>
      <c r="BA8" s="2895" t="e">
        <f>+'Maj Techno Summ'!AX7</f>
        <v>#REF!</v>
      </c>
      <c r="BB8" s="3266">
        <f>+'Maj Techno Summ'!AY7</f>
        <v>89</v>
      </c>
      <c r="BC8" s="3267" t="e">
        <f>+'Maj Techno Summ'!AZ7</f>
        <v>#REF!</v>
      </c>
      <c r="BD8" s="3270">
        <f>+'Maj Techno Summ'!BA7</f>
        <v>89</v>
      </c>
      <c r="BE8" s="3270" t="e">
        <f>+'Maj Techno Summ'!BB7</f>
        <v>#REF!</v>
      </c>
      <c r="BF8" s="3271">
        <f>+'Maj Techno Summ'!BC7</f>
        <v>89</v>
      </c>
      <c r="BG8" s="3272" t="e">
        <f>+'Maj Techno Summ'!BD7</f>
        <v>#REF!</v>
      </c>
      <c r="BH8" s="3260">
        <f>+'Maj Techno Summ'!BE7</f>
        <v>89</v>
      </c>
      <c r="BI8" s="2895" t="e">
        <f>+'Maj Techno Summ'!BF7</f>
        <v>#REF!</v>
      </c>
    </row>
    <row r="9" spans="3:62" x14ac:dyDescent="0.25">
      <c r="C9" s="5936"/>
      <c r="D9" s="3262" t="s">
        <v>357</v>
      </c>
      <c r="E9" s="3263" t="s">
        <v>49</v>
      </c>
      <c r="F9" s="3264">
        <v>92.198587038217795</v>
      </c>
      <c r="G9" s="3265">
        <v>95</v>
      </c>
      <c r="H9" s="3266">
        <f>+'Maj Techno Summ'!E8</f>
        <v>95</v>
      </c>
      <c r="I9" s="3267">
        <f>+'Maj Techno Summ'!F8</f>
        <v>94.999999609300659</v>
      </c>
      <c r="J9" s="3266">
        <f>+'Maj Techno Summ'!G8</f>
        <v>95</v>
      </c>
      <c r="K9" s="3267">
        <f>+'Maj Techno Summ'!H8</f>
        <v>95.000000148984398</v>
      </c>
      <c r="L9" s="3260">
        <f>+'Maj Techno Summ'!I8</f>
        <v>95</v>
      </c>
      <c r="M9" s="2895">
        <f>+'Maj Techno Summ'!J8</f>
        <v>94.97636984790573</v>
      </c>
      <c r="N9" s="3266">
        <f>+'Maj Techno Summ'!K8</f>
        <v>95</v>
      </c>
      <c r="O9" s="3267">
        <f>+'Maj Techno Summ'!L8</f>
        <v>94.999999511791174</v>
      </c>
      <c r="P9" s="3268">
        <f>+'Maj Techno Summ'!M8</f>
        <v>95</v>
      </c>
      <c r="Q9" s="3269">
        <f>+'Maj Techno Summ'!N8</f>
        <v>94.984316842607086</v>
      </c>
      <c r="R9" s="3266">
        <f>+'Maj Techno Summ'!O8</f>
        <v>95</v>
      </c>
      <c r="S9" s="3267">
        <f>+'Maj Techno Summ'!P8</f>
        <v>95.000001409744897</v>
      </c>
      <c r="T9" s="3260">
        <f>+'Maj Techno Summ'!Q8</f>
        <v>95</v>
      </c>
      <c r="U9" s="2895">
        <f>+'Maj Techno Summ'!R8</f>
        <v>94.988378107142893</v>
      </c>
      <c r="V9" s="3266">
        <f>+'Maj Techno Summ'!S8</f>
        <v>95</v>
      </c>
      <c r="W9" s="3267">
        <f>+'Maj Techno Summ'!T8</f>
        <v>95</v>
      </c>
      <c r="X9" s="3260">
        <f>+'Maj Techno Summ'!U8</f>
        <v>95</v>
      </c>
      <c r="Y9" s="2895">
        <f>+'Maj Techno Summ'!V8</f>
        <v>94.990759174384905</v>
      </c>
      <c r="Z9" s="3266">
        <f>+'Maj Techno Summ'!W8</f>
        <v>95</v>
      </c>
      <c r="AA9" s="3267">
        <f>+'Maj Techno Summ'!X8</f>
        <v>94.999999513274034</v>
      </c>
      <c r="AB9" s="3270">
        <f>+'Maj Techno Summ'!Y8</f>
        <v>95</v>
      </c>
      <c r="AC9" s="3270">
        <f>+'Maj Techno Summ'!Z8</f>
        <v>95.000000317448595</v>
      </c>
      <c r="AD9" s="3271">
        <f>+'Maj Techno Summ'!AA8</f>
        <v>95</v>
      </c>
      <c r="AE9" s="3272">
        <f>+'Maj Techno Summ'!AB8</f>
        <v>94.992291349325271</v>
      </c>
      <c r="AF9" s="3266">
        <f>+'Maj Techno Summ'!AC8</f>
        <v>95</v>
      </c>
      <c r="AG9" s="3267">
        <f>+'Maj Techno Summ'!AD8</f>
        <v>94.999999521351143</v>
      </c>
      <c r="AH9" s="3260">
        <f>+'Maj Techno Summ'!AE8</f>
        <v>95</v>
      </c>
      <c r="AI9" s="2895">
        <f>+'Maj Techno Summ'!AF8</f>
        <v>94.993403513934709</v>
      </c>
      <c r="AJ9" s="3266">
        <f>+'Maj Techno Summ'!AG8</f>
        <v>95</v>
      </c>
      <c r="AK9" s="3267">
        <f>+'Maj Techno Summ'!AH8</f>
        <v>95</v>
      </c>
      <c r="AL9" s="3260">
        <f>+'Maj Techno Summ'!AI8</f>
        <v>95</v>
      </c>
      <c r="AM9" s="2895">
        <f>+'Maj Techno Summ'!AJ8</f>
        <v>94.994222456552208</v>
      </c>
      <c r="AN9" s="3266">
        <f>+'Maj Techno Summ'!AK8</f>
        <v>95</v>
      </c>
      <c r="AO9" s="3267">
        <f>+'Maj Techno Summ'!AL8</f>
        <v>95</v>
      </c>
      <c r="AP9" s="3270">
        <f>+'Maj Techno Summ'!AM8</f>
        <v>95</v>
      </c>
      <c r="AQ9" s="3270">
        <f>+'Maj Techno Summ'!AN8</f>
        <v>94.999999840362591</v>
      </c>
      <c r="AR9" s="3260">
        <f>+'Maj Techno Summ'!AO8</f>
        <v>95</v>
      </c>
      <c r="AS9" s="2895">
        <f>+'Maj Techno Summ'!AP8</f>
        <v>94.994879814967192</v>
      </c>
      <c r="AT9" s="3266">
        <f>+'Maj Techno Summ'!AQ8</f>
        <v>95</v>
      </c>
      <c r="AU9" s="3267">
        <f>+'Maj Techno Summ'!AR8</f>
        <v>95.000000047533575</v>
      </c>
      <c r="AV9" s="3260">
        <f>+'Maj Techno Summ'!AS8</f>
        <v>95</v>
      </c>
      <c r="AW9" s="2895">
        <f>+'Maj Techno Summ'!AT8</f>
        <v>94.995398722570158</v>
      </c>
      <c r="AX9" s="3266">
        <f>+'Maj Techno Summ'!AU8</f>
        <v>95</v>
      </c>
      <c r="AY9" s="3267">
        <f>+'Maj Techno Summ'!AV8</f>
        <v>94.999999527157698</v>
      </c>
      <c r="AZ9" s="3260">
        <f>+'Maj Techno Summ'!AW8</f>
        <v>95</v>
      </c>
      <c r="BA9" s="2895">
        <f>+'Maj Techno Summ'!AX8</f>
        <v>94.99578514394598</v>
      </c>
      <c r="BB9" s="3266">
        <f>+'Maj Techno Summ'!AY8</f>
        <v>95</v>
      </c>
      <c r="BC9" s="3267">
        <f>+'Maj Techno Summ'!AZ8</f>
        <v>94.999999528548869</v>
      </c>
      <c r="BD9" s="3270">
        <f>+'Maj Techno Summ'!BA8</f>
        <v>95</v>
      </c>
      <c r="BE9" s="3270">
        <f>+'Maj Techno Summ'!BB8</f>
        <v>94.999999706279226</v>
      </c>
      <c r="BF9" s="3271">
        <f>+'Maj Techno Summ'!BC8</f>
        <v>95</v>
      </c>
      <c r="BG9" s="3272">
        <f>+'Maj Techno Summ'!BD8</f>
        <v>94.999999774056249</v>
      </c>
      <c r="BH9" s="3260">
        <f>+'Maj Techno Summ'!BE8</f>
        <v>95</v>
      </c>
      <c r="BI9" s="2895">
        <f>+'Maj Techno Summ'!BF8</f>
        <v>94.99614583977197</v>
      </c>
    </row>
    <row r="10" spans="3:62" x14ac:dyDescent="0.25">
      <c r="C10" s="5936"/>
      <c r="D10" s="3273" t="s">
        <v>355</v>
      </c>
      <c r="E10" s="3263" t="s">
        <v>49</v>
      </c>
      <c r="F10" s="3264">
        <v>91.262623548364061</v>
      </c>
      <c r="G10" s="3265">
        <v>93</v>
      </c>
      <c r="H10" s="3266">
        <f>+'Maj Techno Summ'!E9</f>
        <v>92.972626196286924</v>
      </c>
      <c r="I10" s="3267">
        <f>+'Maj Techno Summ'!F9</f>
        <v>92.88918390296584</v>
      </c>
      <c r="J10" s="3266">
        <f>+'Maj Techno Summ'!G9</f>
        <v>92.972626196286924</v>
      </c>
      <c r="K10" s="3267">
        <f>+'Maj Techno Summ'!H9</f>
        <v>92.834232158451641</v>
      </c>
      <c r="L10" s="3260">
        <f>+'Maj Techno Summ'!I9</f>
        <v>92.972626196286924</v>
      </c>
      <c r="M10" s="2895">
        <f>+'Maj Techno Summ'!J9</f>
        <v>92.861742406563536</v>
      </c>
      <c r="N10" s="3266">
        <f>+'Maj Techno Summ'!K9</f>
        <v>92.972626196286924</v>
      </c>
      <c r="O10" s="3267">
        <f>+'Maj Techno Summ'!L9</f>
        <v>93.437618856972875</v>
      </c>
      <c r="P10" s="3268">
        <f>+'Maj Techno Summ'!M9</f>
        <v>92.972626196286924</v>
      </c>
      <c r="Q10" s="3269">
        <f>+'Maj Techno Summ'!N9</f>
        <v>92.549762922136381</v>
      </c>
      <c r="R10" s="3266">
        <f>+'Maj Techno Summ'!O9</f>
        <v>92.972626196286924</v>
      </c>
      <c r="S10" s="3267">
        <f>+'Maj Techno Summ'!P9</f>
        <v>104.58172648485035</v>
      </c>
      <c r="T10" s="3260">
        <f>+'Maj Techno Summ'!Q9</f>
        <v>92.972626196286924</v>
      </c>
      <c r="U10" s="2895">
        <f>+'Maj Techno Summ'!R9</f>
        <v>95.789545652290627</v>
      </c>
      <c r="V10" s="3266">
        <f>+'Maj Techno Summ'!S9</f>
        <v>92.972626196286924</v>
      </c>
      <c r="W10" s="3267">
        <f>+'Maj Techno Summ'!T9</f>
        <v>100.75072207425359</v>
      </c>
      <c r="X10" s="3260">
        <f>+'Maj Techno Summ'!U9</f>
        <v>92.972626196286924</v>
      </c>
      <c r="Y10" s="2895">
        <f>+'Maj Techno Summ'!V9</f>
        <v>96.847081937059414</v>
      </c>
      <c r="Z10" s="3266">
        <f>+'Maj Techno Summ'!W9</f>
        <v>92.972626196286924</v>
      </c>
      <c r="AA10" s="3267">
        <f>+'Maj Techno Summ'!X9</f>
        <v>105.92803518716721</v>
      </c>
      <c r="AB10" s="3270">
        <f>+'Maj Techno Summ'!Y9</f>
        <v>92.972626196286924</v>
      </c>
      <c r="AC10" s="3270">
        <f>+'Maj Techno Summ'!Z9</f>
        <v>103.72929482141987</v>
      </c>
      <c r="AD10" s="3271">
        <f>+'Maj Techno Summ'!AA9</f>
        <v>92.972626196286924</v>
      </c>
      <c r="AE10" s="3272">
        <f>+'Maj Techno Summ'!AB9</f>
        <v>98.402130175156557</v>
      </c>
      <c r="AF10" s="3266">
        <f>+'Maj Techno Summ'!AC9</f>
        <v>92.972626196286924</v>
      </c>
      <c r="AG10" s="3267">
        <f>+'Maj Techno Summ'!AD9</f>
        <v>102.81573552024409</v>
      </c>
      <c r="AH10" s="3260">
        <f>+'Maj Techno Summ'!AE9</f>
        <v>92.972626196286924</v>
      </c>
      <c r="AI10" s="2895">
        <f>+'Maj Techno Summ'!AF9</f>
        <v>99.056922318300764</v>
      </c>
      <c r="AJ10" s="3266">
        <f>+'Maj Techno Summ'!AG9</f>
        <v>92.972626196286924</v>
      </c>
      <c r="AK10" s="3267">
        <f>+'Maj Techno Summ'!AH9</f>
        <v>99.873119154648862</v>
      </c>
      <c r="AL10" s="3260">
        <f>+'Maj Techno Summ'!AI9</f>
        <v>92.972626196286924</v>
      </c>
      <c r="AM10" s="2895">
        <f>+'Maj Techno Summ'!AJ9</f>
        <v>99.159519637120596</v>
      </c>
      <c r="AN10" s="3266">
        <f>+'Maj Techno Summ'!AK9</f>
        <v>92.972626196286924</v>
      </c>
      <c r="AO10" s="3267">
        <f>+'Maj Techno Summ'!AL9</f>
        <v>92.364182227254133</v>
      </c>
      <c r="AP10" s="3270">
        <f>+'Maj Techno Summ'!AM9</f>
        <v>92.972626196286924</v>
      </c>
      <c r="AQ10" s="3270">
        <f>+'Maj Techno Summ'!AN9</f>
        <v>98.332316850598446</v>
      </c>
      <c r="AR10" s="3260">
        <f>+'Maj Techno Summ'!AO9</f>
        <v>92.972626196286924</v>
      </c>
      <c r="AS10" s="2895">
        <f>+'Maj Techno Summ'!AP9</f>
        <v>98.378323201273929</v>
      </c>
      <c r="AT10" s="3266">
        <f>+'Maj Techno Summ'!AQ9</f>
        <v>92.972626196286924</v>
      </c>
      <c r="AU10" s="3267">
        <f>+'Maj Techno Summ'!AR9</f>
        <v>99.186870840252027</v>
      </c>
      <c r="AV10" s="3260">
        <f>+'Maj Techno Summ'!AS9</f>
        <v>92.972626196286924</v>
      </c>
      <c r="AW10" s="2895">
        <f>+'Maj Techno Summ'!AT9</f>
        <v>98.461457391368953</v>
      </c>
      <c r="AX10" s="3266">
        <f>+'Maj Techno Summ'!AU9</f>
        <v>92.972626196286924</v>
      </c>
      <c r="AY10" s="3267">
        <f>+'Maj Techno Summ'!AV9</f>
        <v>99.901433195698445</v>
      </c>
      <c r="AZ10" s="3260">
        <f>+'Maj Techno Summ'!AW9</f>
        <v>92.972626196286924</v>
      </c>
      <c r="BA10" s="2895">
        <f>+'Maj Techno Summ'!AX9</f>
        <v>98.583778430463894</v>
      </c>
      <c r="BB10" s="3266">
        <f>+'Maj Techno Summ'!AY9</f>
        <v>92.972626196286924</v>
      </c>
      <c r="BC10" s="3267">
        <f>+'Maj Techno Summ'!AZ9</f>
        <v>93.243821499637903</v>
      </c>
      <c r="BD10" s="3270">
        <f>+'Maj Techno Summ'!BA9</f>
        <v>92.972626196286924</v>
      </c>
      <c r="BE10" s="3270">
        <f>+'Maj Techno Summ'!BB9</f>
        <v>97.337963387981716</v>
      </c>
      <c r="BF10" s="3271">
        <f>+'Maj Techno Summ'!BC9</f>
        <v>92.972626196286924</v>
      </c>
      <c r="BG10" s="3272">
        <f>+'Maj Techno Summ'!BD9</f>
        <v>97.839845680298083</v>
      </c>
      <c r="BH10" s="3260">
        <f>+'Maj Techno Summ'!BE9</f>
        <v>92.972626196286924</v>
      </c>
      <c r="BI10" s="2895">
        <f>+'Maj Techno Summ'!BF9</f>
        <v>98.117484199876642</v>
      </c>
    </row>
    <row r="11" spans="3:62" x14ac:dyDescent="0.25">
      <c r="C11" s="5936"/>
      <c r="D11" s="3273" t="s">
        <v>1370</v>
      </c>
      <c r="E11" s="3263" t="s">
        <v>49</v>
      </c>
      <c r="F11" s="3264">
        <v>23.372863219313984</v>
      </c>
      <c r="G11" s="3265">
        <v>25</v>
      </c>
      <c r="H11" s="3266">
        <f>+$G$11</f>
        <v>25</v>
      </c>
      <c r="I11" s="3267">
        <f>+'COKE OVENS'!F215</f>
        <v>25</v>
      </c>
      <c r="J11" s="3266">
        <f>+$G$11</f>
        <v>25</v>
      </c>
      <c r="K11" s="3267">
        <f>+'COKE OVENS'!H215</f>
        <v>25.000000158677985</v>
      </c>
      <c r="L11" s="3260">
        <f>+$G$11</f>
        <v>25</v>
      </c>
      <c r="M11" s="2895">
        <f>+'COKE OVENS'!J215</f>
        <v>25.000000079239726</v>
      </c>
      <c r="N11" s="3266">
        <f>+$G$11</f>
        <v>25</v>
      </c>
      <c r="O11" s="3267">
        <f>+'COKE OVENS'!L215</f>
        <v>24.694394282078864</v>
      </c>
      <c r="P11" s="3268">
        <f>+$G$11</f>
        <v>25</v>
      </c>
      <c r="Q11" s="3269">
        <f>+'COKE OVENS'!N215</f>
        <v>26.7021346974227</v>
      </c>
      <c r="R11" s="3266">
        <f>+$G$11</f>
        <v>25</v>
      </c>
      <c r="S11" s="3267">
        <f>+'COKE OVENS'!P215</f>
        <v>24.688884191570757</v>
      </c>
      <c r="T11" s="3260">
        <f>+$G$11</f>
        <v>25</v>
      </c>
      <c r="U11" s="2895">
        <f>+'COKE OVENS'!R215</f>
        <v>26.160037458984739</v>
      </c>
      <c r="V11" s="3266">
        <f>+$G$11</f>
        <v>25</v>
      </c>
      <c r="W11" s="3267">
        <f>+'COKE OVENS'!T215</f>
        <v>24.351610816827247</v>
      </c>
      <c r="X11" s="3260">
        <f>+$G$11</f>
        <v>25</v>
      </c>
      <c r="Y11" s="2895">
        <f>+'COKE OVENS'!V215</f>
        <v>25.774548891402734</v>
      </c>
      <c r="Z11" s="3266">
        <f>+$G$11</f>
        <v>25</v>
      </c>
      <c r="AA11" s="3267">
        <f>+'COKE OVENS'!X215</f>
        <v>24.350933606000623</v>
      </c>
      <c r="AB11" s="3270">
        <f>+$G$11</f>
        <v>25</v>
      </c>
      <c r="AC11" s="3270">
        <f>+'COKE OVENS'!Z215</f>
        <v>24.464516187443401</v>
      </c>
      <c r="AD11" s="3271">
        <f>+$G$11</f>
        <v>25</v>
      </c>
      <c r="AE11" s="3272">
        <f>+'COKE OVENS'!AB215</f>
        <v>25.530764964724501</v>
      </c>
      <c r="AF11" s="3266">
        <f>+$G$11</f>
        <v>25</v>
      </c>
      <c r="AG11" s="3267">
        <f>+'COKE OVENS'!AD215</f>
        <v>24.77050823217045</v>
      </c>
      <c r="AH11" s="3260">
        <f>+$G$11</f>
        <v>25</v>
      </c>
      <c r="AI11" s="3260">
        <f>+'COKE OVENS'!AF215</f>
        <v>25.417975057986936</v>
      </c>
      <c r="AJ11" s="3266">
        <f>+$G$11</f>
        <v>25</v>
      </c>
      <c r="AK11" s="3267">
        <f>+'COKE OVENS'!AH215</f>
        <v>24.684769005501316</v>
      </c>
      <c r="AL11" s="3260">
        <f>+$G$11</f>
        <v>25</v>
      </c>
      <c r="AM11" s="3260">
        <f>+'COKE OVENS'!AJ215</f>
        <v>25.325809820660023</v>
      </c>
      <c r="AN11" s="3266">
        <f>+$G$11</f>
        <v>25</v>
      </c>
      <c r="AO11" s="3267">
        <f>+'COKE OVENS'!AL215</f>
        <v>24.683768627239509</v>
      </c>
      <c r="AP11" s="3270">
        <f>+$G$11</f>
        <v>25</v>
      </c>
      <c r="AQ11" s="3270">
        <f>+'COKE OVENS'!AN215</f>
        <v>24.713295051226808</v>
      </c>
      <c r="AR11" s="3260">
        <f>+$G$11</f>
        <v>25</v>
      </c>
      <c r="AS11" s="3260">
        <f>+'COKE OVENS'!AP215</f>
        <v>25.25200034488055</v>
      </c>
      <c r="AT11" s="3266">
        <f>+$G$11</f>
        <v>25</v>
      </c>
      <c r="AU11" s="3267">
        <f>+'COKE OVENS'!AR215</f>
        <v>25.345656749082941</v>
      </c>
      <c r="AV11" s="3260">
        <f>+$G$11</f>
        <v>25</v>
      </c>
      <c r="AW11" s="3260">
        <f>+'COKE OVENS'!AT215</f>
        <v>25.261630017809185</v>
      </c>
      <c r="AX11" s="3266">
        <f>+$G$11</f>
        <v>25</v>
      </c>
      <c r="AY11" s="3267">
        <f>+'COKE OVENS'!AV215</f>
        <v>25.344297687973246</v>
      </c>
      <c r="AZ11" s="3260">
        <f>+$G$11</f>
        <v>25</v>
      </c>
      <c r="BA11" s="3260">
        <f>+'COKE OVENS'!AX215</f>
        <v>25.268652354770428</v>
      </c>
      <c r="BB11" s="3266">
        <f>+$G$11</f>
        <v>25</v>
      </c>
      <c r="BC11" s="3267">
        <f>+'COKE OVENS'!AZ215</f>
        <v>25.351279376814858</v>
      </c>
      <c r="BD11" s="3270">
        <f>+'COKE OVENS'!BA215</f>
        <v>26.237579957558051</v>
      </c>
      <c r="BE11" s="3270">
        <f>+'COKE OVENS'!BB215</f>
        <v>25.347194763682673</v>
      </c>
      <c r="BF11" s="3271">
        <f>+'COKE OVENS'!BC215</f>
        <v>26.237579957558044</v>
      </c>
      <c r="BG11" s="3272">
        <f>+'COKE OVENS'!BD215</f>
        <v>25.027245115245996</v>
      </c>
      <c r="BH11" s="3260">
        <f>+'COKE OVENS'!BE215</f>
        <v>26.634059345521479</v>
      </c>
      <c r="BI11" s="2895">
        <f>+'COKE OVENS'!BF215</f>
        <v>25.275867488556894</v>
      </c>
    </row>
    <row r="12" spans="3:62" ht="14.4" hidden="1" thickBot="1" x14ac:dyDescent="0.3">
      <c r="C12" s="5936"/>
      <c r="D12" s="3273" t="s">
        <v>1371</v>
      </c>
      <c r="E12" s="3263" t="s">
        <v>219</v>
      </c>
      <c r="F12" s="3264"/>
      <c r="G12" s="3274"/>
      <c r="H12" s="3275">
        <f>+'COKE OVENS'!E62</f>
        <v>0</v>
      </c>
      <c r="I12" s="3275">
        <f>+'COKE OVENS'!F62</f>
        <v>0</v>
      </c>
      <c r="J12" s="3275">
        <f>+'COKE OVENS'!G62</f>
        <v>0</v>
      </c>
      <c r="K12" s="3275">
        <f>+'COKE OVENS'!H62</f>
        <v>0</v>
      </c>
      <c r="L12" s="3276">
        <f>+'COKE OVENS'!I62</f>
        <v>0</v>
      </c>
      <c r="M12" s="3276">
        <f>+'COKE OVENS'!J62</f>
        <v>0</v>
      </c>
      <c r="N12" s="3275">
        <f>+'COKE OVENS'!K62</f>
        <v>0</v>
      </c>
      <c r="O12" s="3275">
        <f>+'COKE OVENS'!L62</f>
        <v>0</v>
      </c>
      <c r="P12" s="3277">
        <f>+'COKE OVENS'!M62</f>
        <v>0</v>
      </c>
      <c r="Q12" s="3277">
        <f>+'COKE OVENS'!N62</f>
        <v>0</v>
      </c>
      <c r="R12" s="3275">
        <f>+'COKE OVENS'!O62</f>
        <v>0</v>
      </c>
      <c r="S12" s="3275">
        <f>+'COKE OVENS'!P62</f>
        <v>0</v>
      </c>
      <c r="T12" s="3276">
        <f>+'COKE OVENS'!Q62</f>
        <v>0</v>
      </c>
      <c r="U12" s="3276">
        <f>+'COKE OVENS'!R62</f>
        <v>0</v>
      </c>
      <c r="V12" s="3275">
        <f>+'COKE OVENS'!S62</f>
        <v>0</v>
      </c>
      <c r="W12" s="3275">
        <f>+'COKE OVENS'!T62</f>
        <v>0</v>
      </c>
      <c r="X12" s="3276">
        <f>+'COKE OVENS'!U62</f>
        <v>0</v>
      </c>
      <c r="Y12" s="3276">
        <f>+'COKE OVENS'!V62</f>
        <v>0</v>
      </c>
      <c r="Z12" s="3275">
        <f>+'COKE OVENS'!W62</f>
        <v>0</v>
      </c>
      <c r="AA12" s="3275">
        <f>+'COKE OVENS'!X62</f>
        <v>0</v>
      </c>
      <c r="AB12" s="3278">
        <f>+'COKE OVENS'!Y62</f>
        <v>0</v>
      </c>
      <c r="AC12" s="3278">
        <f>+'COKE OVENS'!Z62</f>
        <v>0</v>
      </c>
      <c r="AD12" s="3271">
        <f>+'COKE OVENS'!AA62</f>
        <v>0</v>
      </c>
      <c r="AE12" s="3272">
        <f>+'COKE OVENS'!AB62</f>
        <v>0</v>
      </c>
      <c r="AF12" s="3275">
        <f>+'COKE OVENS'!AC62</f>
        <v>0</v>
      </c>
      <c r="AG12" s="3275">
        <f>+'COKE OVENS'!AD62</f>
        <v>0</v>
      </c>
      <c r="AH12" s="3276">
        <f>+'COKE OVENS'!AE62</f>
        <v>0</v>
      </c>
      <c r="AI12" s="3276">
        <f>+'COKE OVENS'!AF62</f>
        <v>0</v>
      </c>
      <c r="AJ12" s="3275">
        <f>+'COKE OVENS'!AG62</f>
        <v>0</v>
      </c>
      <c r="AK12" s="3275">
        <f>+'COKE OVENS'!AH62</f>
        <v>0</v>
      </c>
      <c r="AL12" s="3276">
        <f>+'COKE OVENS'!AI62</f>
        <v>0</v>
      </c>
      <c r="AM12" s="3276">
        <f>+'COKE OVENS'!AJ62</f>
        <v>0</v>
      </c>
      <c r="AN12" s="3275">
        <f>+'COKE OVENS'!AK62</f>
        <v>0</v>
      </c>
      <c r="AO12" s="3275">
        <f>+'COKE OVENS'!AL62</f>
        <v>0</v>
      </c>
      <c r="AP12" s="3278">
        <f>+'COKE OVENS'!AM62</f>
        <v>0</v>
      </c>
      <c r="AQ12" s="3278">
        <f>+'COKE OVENS'!AN62</f>
        <v>0</v>
      </c>
      <c r="AR12" s="3276">
        <f>+'COKE OVENS'!AO62</f>
        <v>0</v>
      </c>
      <c r="AS12" s="3276">
        <f>+'COKE OVENS'!AP62</f>
        <v>0</v>
      </c>
      <c r="AT12" s="3275">
        <f>+'COKE OVENS'!AQ62</f>
        <v>0</v>
      </c>
      <c r="AU12" s="3275">
        <f>+'COKE OVENS'!AR62</f>
        <v>0</v>
      </c>
      <c r="AV12" s="3276">
        <f>+'COKE OVENS'!AS62</f>
        <v>0</v>
      </c>
      <c r="AW12" s="3276">
        <f>+'COKE OVENS'!AT62</f>
        <v>0</v>
      </c>
      <c r="AX12" s="3275">
        <f>+'COKE OVENS'!AU62</f>
        <v>0</v>
      </c>
      <c r="AY12" s="3275">
        <f>+'COKE OVENS'!AV62</f>
        <v>0</v>
      </c>
      <c r="AZ12" s="3276">
        <f>+'COKE OVENS'!AW62</f>
        <v>0</v>
      </c>
      <c r="BA12" s="3276">
        <f>+'COKE OVENS'!AX62</f>
        <v>0</v>
      </c>
      <c r="BB12" s="3275">
        <f>+'COKE OVENS'!AY62</f>
        <v>0</v>
      </c>
      <c r="BC12" s="3275">
        <f>+'COKE OVENS'!AZ62</f>
        <v>0</v>
      </c>
      <c r="BD12" s="3279">
        <f>+'COKE OVENS'!BA62</f>
        <v>0</v>
      </c>
      <c r="BE12" s="3279">
        <f>+'COKE OVENS'!BB62</f>
        <v>0</v>
      </c>
      <c r="BF12" s="3280">
        <f>+'COKE OVENS'!BC62</f>
        <v>0</v>
      </c>
      <c r="BG12" s="3281">
        <f>+'COKE OVENS'!BD62</f>
        <v>0</v>
      </c>
      <c r="BH12" s="3276">
        <f>+'COKE OVENS'!BE62</f>
        <v>0</v>
      </c>
      <c r="BI12" s="2896">
        <f>+'COKE OVENS'!BF62</f>
        <v>0</v>
      </c>
    </row>
    <row r="13" spans="3:62" x14ac:dyDescent="0.25">
      <c r="C13" s="5936"/>
      <c r="D13" s="3282"/>
      <c r="L13" s="3283"/>
      <c r="M13" s="3283"/>
      <c r="R13" s="4"/>
      <c r="AE13" s="3284"/>
      <c r="BG13" s="3284"/>
      <c r="BI13" s="3284"/>
    </row>
    <row r="14" spans="3:62" x14ac:dyDescent="0.25">
      <c r="C14" s="5936"/>
      <c r="D14" s="5476" t="s">
        <v>1004</v>
      </c>
      <c r="L14" s="3283"/>
      <c r="M14" s="3283"/>
      <c r="R14" s="4"/>
      <c r="AE14" s="3284"/>
      <c r="BG14" s="3284"/>
      <c r="BI14" s="3284"/>
    </row>
    <row r="15" spans="3:62" x14ac:dyDescent="0.25">
      <c r="C15" s="5936"/>
      <c r="D15" s="5477" t="s">
        <v>1370</v>
      </c>
      <c r="E15" s="3263" t="s">
        <v>49</v>
      </c>
      <c r="F15" s="3286">
        <v>23.078854449800236</v>
      </c>
      <c r="G15" s="3265">
        <v>25</v>
      </c>
      <c r="H15" s="3259">
        <f>+$G$15</f>
        <v>25</v>
      </c>
      <c r="I15" s="2914">
        <f>+'COKE OVENS'!F145</f>
        <v>25.000000000000007</v>
      </c>
      <c r="J15" s="3259">
        <f>+$G$15</f>
        <v>25</v>
      </c>
      <c r="K15" s="2914">
        <f>+'COKE OVENS'!H145</f>
        <v>24.999999999999996</v>
      </c>
      <c r="L15" s="3260">
        <f>+$G$15</f>
        <v>25</v>
      </c>
      <c r="M15" s="2895">
        <f>+'COKE OVENS'!J145</f>
        <v>25</v>
      </c>
      <c r="N15" s="3259">
        <f>+$G$15</f>
        <v>25</v>
      </c>
      <c r="O15" s="2914" t="e">
        <f>+'COKE OVENS'!L145</f>
        <v>#REF!</v>
      </c>
      <c r="P15" s="3268">
        <f>+$G$15</f>
        <v>25</v>
      </c>
      <c r="Q15" s="3269" t="e">
        <f>+'COKE OVENS'!N145</f>
        <v>#REF!</v>
      </c>
      <c r="R15" s="3259">
        <f>+$G$15</f>
        <v>25</v>
      </c>
      <c r="S15" s="2914" t="e">
        <f>+'COKE OVENS'!P145</f>
        <v>#REF!</v>
      </c>
      <c r="T15" s="3260">
        <f>+$G$15</f>
        <v>25</v>
      </c>
      <c r="U15" s="2895" t="e">
        <f>+'COKE OVENS'!R145</f>
        <v>#REF!</v>
      </c>
      <c r="V15" s="3259">
        <f>+$G$15</f>
        <v>25</v>
      </c>
      <c r="W15" s="2914" t="e">
        <f>+'COKE OVENS'!T145</f>
        <v>#REF!</v>
      </c>
      <c r="X15" s="3260">
        <f>+$G$15</f>
        <v>25</v>
      </c>
      <c r="Y15" s="2895" t="e">
        <f>+'COKE OVENS'!V145</f>
        <v>#REF!</v>
      </c>
      <c r="Z15" s="3259">
        <f>+$G$15</f>
        <v>25</v>
      </c>
      <c r="AA15" s="2914" t="e">
        <f>+'COKE OVENS'!X145</f>
        <v>#REF!</v>
      </c>
      <c r="AB15" s="3268">
        <f>+$G$15</f>
        <v>25</v>
      </c>
      <c r="AC15" s="3268" t="e">
        <f>+'COKE OVENS'!Z145</f>
        <v>#REF!</v>
      </c>
      <c r="AD15" s="3271">
        <f>+$G$15</f>
        <v>25</v>
      </c>
      <c r="AE15" s="3272" t="e">
        <f>+'COKE OVENS'!AB145</f>
        <v>#REF!</v>
      </c>
      <c r="AF15" s="3259">
        <f>+$G$15</f>
        <v>25</v>
      </c>
      <c r="AG15" s="2914" t="e">
        <f>+'COKE OVENS'!AD145</f>
        <v>#REF!</v>
      </c>
      <c r="AH15" s="3260">
        <f>+$G$15</f>
        <v>25</v>
      </c>
      <c r="AI15" s="3260" t="e">
        <f>+'COKE OVENS'!AF145</f>
        <v>#REF!</v>
      </c>
      <c r="AJ15" s="3259">
        <f>+$G$15</f>
        <v>25</v>
      </c>
      <c r="AK15" s="2914" t="e">
        <f>+'COKE OVENS'!AH145</f>
        <v>#REF!</v>
      </c>
      <c r="AL15" s="3260">
        <f>+$G$15</f>
        <v>25</v>
      </c>
      <c r="AM15" s="3260" t="e">
        <f>+'COKE OVENS'!AJ145</f>
        <v>#REF!</v>
      </c>
      <c r="AN15" s="3259">
        <f>+$G$15</f>
        <v>25</v>
      </c>
      <c r="AO15" s="2914" t="e">
        <f>+'COKE OVENS'!AL145</f>
        <v>#REF!</v>
      </c>
      <c r="AP15" s="3268">
        <f>+$G$15</f>
        <v>25</v>
      </c>
      <c r="AQ15" s="3268" t="e">
        <f>+'COKE OVENS'!AN145</f>
        <v>#REF!</v>
      </c>
      <c r="AR15" s="3260">
        <f>+$G$15</f>
        <v>25</v>
      </c>
      <c r="AS15" s="3260" t="e">
        <f>+'COKE OVENS'!AP145</f>
        <v>#REF!</v>
      </c>
      <c r="AT15" s="3259">
        <f>+$G$15</f>
        <v>25</v>
      </c>
      <c r="AU15" s="2914" t="e">
        <f>+'COKE OVENS'!AR145</f>
        <v>#REF!</v>
      </c>
      <c r="AV15" s="3260">
        <f>+$G$15</f>
        <v>25</v>
      </c>
      <c r="AW15" s="3260" t="e">
        <f>+'COKE OVENS'!AT145</f>
        <v>#REF!</v>
      </c>
      <c r="AX15" s="3259">
        <f>+$G$15</f>
        <v>25</v>
      </c>
      <c r="AY15" s="2914" t="e">
        <f>+'COKE OVENS'!AV145</f>
        <v>#REF!</v>
      </c>
      <c r="AZ15" s="3260">
        <f>+$G$15</f>
        <v>25</v>
      </c>
      <c r="BA15" s="3260" t="e">
        <f>+'COKE OVENS'!AX145</f>
        <v>#REF!</v>
      </c>
      <c r="BB15" s="3259">
        <f>+$G$15</f>
        <v>25</v>
      </c>
      <c r="BC15" s="2914" t="e">
        <f>+'COKE OVENS'!AZ145</f>
        <v>#REF!</v>
      </c>
      <c r="BD15" s="3270">
        <f>+$G$15</f>
        <v>25</v>
      </c>
      <c r="BE15" s="3270" t="e">
        <f>+'COKE OVENS'!BB145</f>
        <v>#REF!</v>
      </c>
      <c r="BF15" s="3271">
        <f>+$G$15</f>
        <v>25</v>
      </c>
      <c r="BG15" s="3272" t="e">
        <f>+'COKE OVENS'!BD145</f>
        <v>#REF!</v>
      </c>
      <c r="BH15" s="3260">
        <f>+$G$15</f>
        <v>25</v>
      </c>
      <c r="BI15" s="2895" t="e">
        <f>+'COKE OVENS'!BF145</f>
        <v>#REF!</v>
      </c>
    </row>
    <row r="16" spans="3:62" x14ac:dyDescent="0.25">
      <c r="C16" s="5936"/>
      <c r="D16" s="5477" t="s">
        <v>1371</v>
      </c>
      <c r="E16" s="3263" t="s">
        <v>219</v>
      </c>
      <c r="F16" s="3017"/>
      <c r="G16" s="3265">
        <v>18.879781979219896</v>
      </c>
      <c r="H16" s="3266">
        <f>+'COKE OVENS'!E60</f>
        <v>19.028571428571432</v>
      </c>
      <c r="I16" s="3275">
        <f>+'COKE OVENS'!F60</f>
        <v>19.033000000000001</v>
      </c>
      <c r="J16" s="3266">
        <f>+'COKE OVENS'!G60</f>
        <v>19.028571428571432</v>
      </c>
      <c r="K16" s="3275">
        <f>+'COKE OVENS'!H60</f>
        <v>19.233000000000001</v>
      </c>
      <c r="L16" s="3276">
        <f>+'COKE OVENS'!I60</f>
        <v>19.028571428571432</v>
      </c>
      <c r="M16" s="3276">
        <f>+'COKE OVENS'!J60</f>
        <v>19.134159858799801</v>
      </c>
      <c r="N16" s="3275">
        <f>+'COKE OVENS'!K60</f>
        <v>18.893617021276597</v>
      </c>
      <c r="O16" s="3275">
        <f>+'COKE OVENS'!L60</f>
        <v>18.866666666666667</v>
      </c>
      <c r="P16" s="3277">
        <f>+'COKE OVENS'!M60</f>
        <v>18.985314844282794</v>
      </c>
      <c r="Q16" s="3277">
        <f>+'COKE OVENS'!N60</f>
        <v>19.046863360132864</v>
      </c>
      <c r="R16" s="3275">
        <f>+'COKE OVENS'!O60</f>
        <v>18.893617021276597</v>
      </c>
      <c r="S16" s="3275">
        <f>+'COKE OVENS'!P60</f>
        <v>18.616666666666667</v>
      </c>
      <c r="T16" s="3276">
        <f>+'COKE OVENS'!Q60</f>
        <v>18.962500000000002</v>
      </c>
      <c r="U16" s="3276">
        <f>+'COKE OVENS'!R60</f>
        <v>18.938921904600331</v>
      </c>
      <c r="V16" s="3275">
        <f>+'COKE OVENS'!S60</f>
        <v>18.893617021276597</v>
      </c>
      <c r="W16" s="3275">
        <f>+'COKE OVENS'!T60</f>
        <v>18.883333333333333</v>
      </c>
      <c r="X16" s="3276">
        <f>+'COKE OVENS'!U60</f>
        <v>18.948776152057981</v>
      </c>
      <c r="Y16" s="3276">
        <f>+'COKE OVENS'!V60</f>
        <v>18.927532002428002</v>
      </c>
      <c r="Z16" s="3275">
        <f>+'COKE OVENS'!W60</f>
        <v>19.283387622149839</v>
      </c>
      <c r="AA16" s="3275">
        <f>+'COKE OVENS'!X60</f>
        <v>19</v>
      </c>
      <c r="AB16" s="3268">
        <f>+'COKE OVENS'!Y60</f>
        <v>19.018973344197416</v>
      </c>
      <c r="AC16" s="3268">
        <f>+'COKE OVENS'!Z60</f>
        <v>18.833445240226801</v>
      </c>
      <c r="AD16" s="3271">
        <f>+'COKE OVENS'!AA60</f>
        <v>19.001943757547878</v>
      </c>
      <c r="AE16" s="3272">
        <f>+'COKE OVENS'!AB60</f>
        <v>18.939523667473406</v>
      </c>
      <c r="AF16" s="3275">
        <f>+'COKE OVENS'!AC60</f>
        <v>18.893617021276597</v>
      </c>
      <c r="AG16" s="3266">
        <f>+'COKE OVENS'!AD60</f>
        <v>19.3</v>
      </c>
      <c r="AH16" s="3260">
        <f>+'COKE OVENS'!AE60</f>
        <v>18.986396099098659</v>
      </c>
      <c r="AI16" s="3260">
        <f>+'COKE OVENS'!AF60</f>
        <v>18.991494075144509</v>
      </c>
      <c r="AJ16" s="3275">
        <f>+'COKE OVENS'!AG60</f>
        <v>18.893617021276597</v>
      </c>
      <c r="AK16" s="3266">
        <f>+'COKE OVENS'!AH60</f>
        <v>18.7</v>
      </c>
      <c r="AL16" s="3260">
        <f>+'COKE OVENS'!AI60</f>
        <v>18.975081088094111</v>
      </c>
      <c r="AM16" s="3260">
        <f>+'COKE OVENS'!AJ60</f>
        <v>18.956557298511893</v>
      </c>
      <c r="AN16" s="3275">
        <f>+'COKE OVENS'!AK60</f>
        <v>18.893617021276597</v>
      </c>
      <c r="AO16" s="3266">
        <f>+'COKE OVENS'!AL60</f>
        <v>19.05</v>
      </c>
      <c r="AP16" s="3268">
        <f>+'COKE OVENS'!AM60</f>
        <v>18.893617021276601</v>
      </c>
      <c r="AQ16" s="3268">
        <f>+'COKE OVENS'!AN60</f>
        <v>19.022393270001142</v>
      </c>
      <c r="AR16" s="3260">
        <f>+'COKE OVENS'!AO60</f>
        <v>18.965963820716677</v>
      </c>
      <c r="AS16" s="3260">
        <f>+'COKE OVENS'!AP60</f>
        <v>18.966841495623299</v>
      </c>
      <c r="AT16" s="3275">
        <f>+'COKE OVENS'!AQ60</f>
        <v>18.893617021276597</v>
      </c>
      <c r="AU16" s="3266">
        <f>+'COKE OVENS'!AR60</f>
        <v>19.05</v>
      </c>
      <c r="AV16" s="3260">
        <f>+'COKE OVENS'!AS60</f>
        <v>18.958681910814828</v>
      </c>
      <c r="AW16" s="3260">
        <f>+'COKE OVENS'!AT60</f>
        <v>18.975144919168589</v>
      </c>
      <c r="AX16" s="3275">
        <f>+'COKE OVENS'!AU60</f>
        <v>18.893617021276597</v>
      </c>
      <c r="AY16" s="3266">
        <f>+'COKE OVENS'!AV60</f>
        <v>18.916666666666668</v>
      </c>
      <c r="AZ16" s="3260">
        <f>+'COKE OVENS'!AW60</f>
        <v>18.953259665009664</v>
      </c>
      <c r="BA16" s="3260">
        <f>+'COKE OVENS'!AX60</f>
        <v>18.970326404471034</v>
      </c>
      <c r="BB16" s="3275">
        <f>+'COKE OVENS'!AY60</f>
        <v>18.893617021276597</v>
      </c>
      <c r="BC16" s="3266">
        <f>+'COKE OVENS'!AZ60</f>
        <v>19.05</v>
      </c>
      <c r="BD16" s="3270">
        <f>+'COKE OVENS'!BA60</f>
        <v>18.893617021276601</v>
      </c>
      <c r="BE16" s="3270">
        <f>+'COKE OVENS'!BB60</f>
        <v>19.009112348256402</v>
      </c>
      <c r="BF16" s="3271">
        <f>+'COKE OVENS'!BC60</f>
        <v>18.893617021276601</v>
      </c>
      <c r="BG16" s="3272">
        <f>+'COKE OVENS'!BD60</f>
        <v>19.015796800890989</v>
      </c>
      <c r="BH16" s="3260">
        <f>+'COKE OVENS'!BE60</f>
        <v>18.948221584485616</v>
      </c>
      <c r="BI16" s="2895">
        <f>+'COKE OVENS'!BF60</f>
        <v>18.977217265463381</v>
      </c>
      <c r="BJ16" s="4501"/>
    </row>
    <row r="17" spans="3:62" x14ac:dyDescent="0.25">
      <c r="C17" s="5936"/>
      <c r="D17" s="5477" t="s">
        <v>1005</v>
      </c>
      <c r="E17" s="3263" t="s">
        <v>49</v>
      </c>
      <c r="F17" s="3264">
        <v>84.340172124348669</v>
      </c>
      <c r="G17" s="3274" t="s">
        <v>1909</v>
      </c>
      <c r="H17" s="3266" t="str">
        <f>$G$17</f>
        <v>85.0-86.5</v>
      </c>
      <c r="I17" s="3267">
        <f>+'COKE OVENS'!F158</f>
        <v>86.8</v>
      </c>
      <c r="J17" s="3266" t="str">
        <f>$G$17</f>
        <v>85.0-86.5</v>
      </c>
      <c r="K17" s="3267">
        <f>+'COKE OVENS'!H158</f>
        <v>86.8</v>
      </c>
      <c r="L17" s="3260" t="str">
        <f>$G$17</f>
        <v>85.0-86.5</v>
      </c>
      <c r="M17" s="2895">
        <f>+'COKE OVENS'!J158</f>
        <v>86.8</v>
      </c>
      <c r="N17" s="3266" t="str">
        <f>$G$17</f>
        <v>85.0-86.5</v>
      </c>
      <c r="O17" s="3267">
        <f>+'COKE OVENS'!L158</f>
        <v>86.8</v>
      </c>
      <c r="P17" s="3268" t="str">
        <f>$G$17</f>
        <v>85.0-86.5</v>
      </c>
      <c r="Q17" s="3269">
        <f>+'COKE OVENS'!N158</f>
        <v>86.800000000000011</v>
      </c>
      <c r="R17" s="3266" t="str">
        <f>$G$17</f>
        <v>85.0-86.5</v>
      </c>
      <c r="S17" s="3267">
        <f>+'COKE OVENS'!P158</f>
        <v>86.6</v>
      </c>
      <c r="T17" s="3260" t="str">
        <f>$G$17</f>
        <v>85.0-86.5</v>
      </c>
      <c r="U17" s="2895">
        <f>+'COKE OVENS'!R158</f>
        <v>86.749636092431132</v>
      </c>
      <c r="V17" s="3266" t="str">
        <f>$G$17</f>
        <v>85.0-86.5</v>
      </c>
      <c r="W17" s="3267">
        <f>+'COKE OVENS'!T158</f>
        <v>86.4</v>
      </c>
      <c r="X17" s="3260" t="str">
        <f>$G$17</f>
        <v>85.0-86.5</v>
      </c>
      <c r="Y17" s="2895">
        <f>+'COKE OVENS'!V158</f>
        <v>86.677790988732909</v>
      </c>
      <c r="Z17" s="3266" t="str">
        <f>$G$17</f>
        <v>85.0-86.5</v>
      </c>
      <c r="AA17" s="3267">
        <f>+'COKE OVENS'!X158</f>
        <v>86.2</v>
      </c>
      <c r="AB17" s="3268" t="str">
        <f>$G$17</f>
        <v>85.0-86.5</v>
      </c>
      <c r="AC17" s="3268">
        <f>+'COKE OVENS'!Z158</f>
        <v>86.400402864816485</v>
      </c>
      <c r="AD17" s="3271" t="str">
        <f>$G$17</f>
        <v>85.0-86.5</v>
      </c>
      <c r="AE17" s="3272">
        <f>+'COKE OVENS'!AB158</f>
        <v>86.598538826991373</v>
      </c>
      <c r="AF17" s="3266" t="str">
        <f>$G$17</f>
        <v>85.0-86.5</v>
      </c>
      <c r="AG17" s="3267">
        <f>+'COKE OVENS'!AD158</f>
        <v>86.2</v>
      </c>
      <c r="AH17" s="3260" t="str">
        <f>$G$17</f>
        <v>85.0-86.5</v>
      </c>
      <c r="AI17" s="2895">
        <f>+'COKE OVENS'!AF158</f>
        <v>86.541174279714269</v>
      </c>
      <c r="AJ17" s="3266" t="str">
        <f>$G$17</f>
        <v>85.0-86.5</v>
      </c>
      <c r="AK17" s="3267">
        <f>+'COKE OVENS'!AH158</f>
        <v>86.3</v>
      </c>
      <c r="AL17" s="3260" t="str">
        <f>$G$17</f>
        <v>85.0-86.5</v>
      </c>
      <c r="AM17" s="2895">
        <f>+'COKE OVENS'!AJ158</f>
        <v>86.512382834627772</v>
      </c>
      <c r="AN17" s="3266" t="str">
        <f>$G$17</f>
        <v>85.0-86.5</v>
      </c>
      <c r="AO17" s="3267">
        <f>+'COKE OVENS'!AL158</f>
        <v>86.3</v>
      </c>
      <c r="AP17" s="3268" t="str">
        <f>$G$17</f>
        <v>85.0-86.5</v>
      </c>
      <c r="AQ17" s="3268">
        <f>+'COKE OVENS'!AN158</f>
        <v>86.265678644059307</v>
      </c>
      <c r="AR17" s="3260" t="str">
        <f>$G$17</f>
        <v>85.0-86.5</v>
      </c>
      <c r="AS17" s="2895">
        <f>+'COKE OVENS'!AP158</f>
        <v>86.489090510347751</v>
      </c>
      <c r="AT17" s="3266" t="str">
        <f>$G$17</f>
        <v>85.0-86.5</v>
      </c>
      <c r="AU17" s="3267">
        <f>+'COKE OVENS'!AR158</f>
        <v>86.5</v>
      </c>
      <c r="AV17" s="3260" t="str">
        <f>$G$17</f>
        <v>85.0-86.5</v>
      </c>
      <c r="AW17" s="2895">
        <f>+'COKE OVENS'!AT158</f>
        <v>86.490176375891323</v>
      </c>
      <c r="AX17" s="3266" t="str">
        <f>$G$17</f>
        <v>85.0-86.5</v>
      </c>
      <c r="AY17" s="3267">
        <f>+'COKE OVENS'!AV158</f>
        <v>86.5</v>
      </c>
      <c r="AZ17" s="3260" t="str">
        <f>$G$17</f>
        <v>85.0-86.5</v>
      </c>
      <c r="BA17" s="2895">
        <f>+'COKE OVENS'!AX158</f>
        <v>86.490983471693667</v>
      </c>
      <c r="BB17" s="3266" t="s">
        <v>1909</v>
      </c>
      <c r="BC17" s="3267">
        <f>+'COKE OVENS'!AZ158</f>
        <v>86.9</v>
      </c>
      <c r="BD17" s="3270" t="str">
        <f>$G$17</f>
        <v>85.0-86.5</v>
      </c>
      <c r="BE17" s="3270">
        <f>+'COKE OVENS'!BB158</f>
        <v>86.640941776849914</v>
      </c>
      <c r="BF17" s="3271" t="str">
        <f>$G$17</f>
        <v>85.0-86.5</v>
      </c>
      <c r="BG17" s="3272">
        <f>+'COKE OVENS'!BD158</f>
        <v>86.451974753968159</v>
      </c>
      <c r="BH17" s="3260" t="str">
        <f>$G$17</f>
        <v>85.0-86.5</v>
      </c>
      <c r="BI17" s="2895">
        <f>+'COKE OVENS'!BF158</f>
        <v>86.526264706990204</v>
      </c>
    </row>
    <row r="18" spans="3:62" x14ac:dyDescent="0.25">
      <c r="C18" s="5936"/>
      <c r="D18" s="5477" t="s">
        <v>204</v>
      </c>
      <c r="E18" s="3263" t="s">
        <v>49</v>
      </c>
      <c r="F18" s="3264">
        <v>7.9983421553617724</v>
      </c>
      <c r="G18" s="3265" t="s">
        <v>1910</v>
      </c>
      <c r="H18" s="3266" t="str">
        <f>$G$18</f>
        <v>7.5-8.0</v>
      </c>
      <c r="I18" s="3267">
        <f>+'COKE OVENS'!F159</f>
        <v>7.6</v>
      </c>
      <c r="J18" s="3266" t="str">
        <f>$G$18</f>
        <v>7.5-8.0</v>
      </c>
      <c r="K18" s="3267">
        <f>+'COKE OVENS'!H159</f>
        <v>7.6</v>
      </c>
      <c r="L18" s="3260" t="str">
        <f>$G$18</f>
        <v>7.5-8.0</v>
      </c>
      <c r="M18" s="2895">
        <f>+'COKE OVENS'!J159</f>
        <v>7.6</v>
      </c>
      <c r="N18" s="3266" t="str">
        <f>$G$18</f>
        <v>7.5-8.0</v>
      </c>
      <c r="O18" s="3267">
        <f>+'COKE OVENS'!L159</f>
        <v>7.7</v>
      </c>
      <c r="P18" s="3268" t="str">
        <f>$G$18</f>
        <v>7.5-8.0</v>
      </c>
      <c r="Q18" s="3269">
        <f>+'COKE OVENS'!N159</f>
        <v>7.6327928276458454</v>
      </c>
      <c r="R18" s="3266" t="str">
        <f>$G$18</f>
        <v>7.5-8.0</v>
      </c>
      <c r="S18" s="3267">
        <f>+'COKE OVENS'!P159</f>
        <v>7.8</v>
      </c>
      <c r="T18" s="3260" t="str">
        <f>$G$18</f>
        <v>7.5-8.0</v>
      </c>
      <c r="U18" s="2895">
        <f>+'COKE OVENS'!R159</f>
        <v>7.6748988605123332</v>
      </c>
      <c r="V18" s="3266" t="str">
        <f>$G$18</f>
        <v>7.5-8.0</v>
      </c>
      <c r="W18" s="3267">
        <f>+'COKE OVENS'!T159</f>
        <v>7.9</v>
      </c>
      <c r="X18" s="3260" t="str">
        <f>$G$18</f>
        <v>7.5-8.0</v>
      </c>
      <c r="Y18" s="2895">
        <f>+'COKE OVENS'!V159</f>
        <v>7.7211538526575358</v>
      </c>
      <c r="Z18" s="3266" t="str">
        <f>$G$18</f>
        <v>7.5-8.0</v>
      </c>
      <c r="AA18" s="3267">
        <f>+'COKE OVENS'!X159</f>
        <v>7.9</v>
      </c>
      <c r="AB18" s="3268" t="str">
        <f>$G$18</f>
        <v>7.5-8.0</v>
      </c>
      <c r="AC18" s="3268">
        <f>+'COKE OVENS'!Z159</f>
        <v>7.8668979409131605</v>
      </c>
      <c r="AD18" s="3271" t="str">
        <f>$G$18</f>
        <v>7.5-8.0</v>
      </c>
      <c r="AE18" s="3272">
        <f>+'COKE OVENS'!AB159</f>
        <v>7.7508194263713159</v>
      </c>
      <c r="AF18" s="3266" t="str">
        <f>$G$18</f>
        <v>7.5-8.0</v>
      </c>
      <c r="AG18" s="3267">
        <f>+'COKE OVENS'!AD159</f>
        <v>7.8</v>
      </c>
      <c r="AH18" s="3260" t="str">
        <f>$G$18</f>
        <v>7.5-8.0</v>
      </c>
      <c r="AI18" s="2895">
        <f>+'COKE OVENS'!AF159</f>
        <v>7.7578983385122875</v>
      </c>
      <c r="AJ18" s="3266" t="str">
        <f>$G$18</f>
        <v>7.5-8.0</v>
      </c>
      <c r="AK18" s="3267">
        <f>+'COKE OVENS'!AH159</f>
        <v>7.8</v>
      </c>
      <c r="AL18" s="3260" t="str">
        <f>$G$18</f>
        <v>7.5-8.0</v>
      </c>
      <c r="AM18" s="2895">
        <f>+'COKE OVENS'!AJ159</f>
        <v>7.7629244452605262</v>
      </c>
      <c r="AN18" s="3266" t="str">
        <f>$G$18</f>
        <v>7.5-8.0</v>
      </c>
      <c r="AO18" s="3267">
        <f>+'COKE OVENS'!AL159</f>
        <v>7.7</v>
      </c>
      <c r="AP18" s="3268" t="str">
        <f>$G$18</f>
        <v>7.5-8.0</v>
      </c>
      <c r="AQ18" s="3268">
        <f>+'COKE OVENS'!AN159</f>
        <v>7.766646134275585</v>
      </c>
      <c r="AR18" s="3260" t="str">
        <f>$G$18</f>
        <v>7.5-8.0</v>
      </c>
      <c r="AS18" s="2895">
        <f>+'COKE OVENS'!AP159</f>
        <v>7.7560234328189299</v>
      </c>
      <c r="AT18" s="3266" t="str">
        <f>$G$18</f>
        <v>7.5-8.0</v>
      </c>
      <c r="AU18" s="3267">
        <f>+'COKE OVENS'!AR159</f>
        <v>7.7</v>
      </c>
      <c r="AV18" s="3260" t="str">
        <f>$G$18</f>
        <v>7.5-8.0</v>
      </c>
      <c r="AW18" s="2895">
        <f>+'COKE OVENS'!AT159</f>
        <v>7.7504471943998663</v>
      </c>
      <c r="AX18" s="3266" t="str">
        <f>$G$18</f>
        <v>7.5-8.0</v>
      </c>
      <c r="AY18" s="3267">
        <f>+'COKE OVENS'!AV159</f>
        <v>7.6</v>
      </c>
      <c r="AZ18" s="3260" t="str">
        <f>$G$18</f>
        <v>7.5-8.0</v>
      </c>
      <c r="BA18" s="2895">
        <f>+'COKE OVENS'!AX159</f>
        <v>7.7380866543659819</v>
      </c>
      <c r="BB18" s="3266" t="s">
        <v>1910</v>
      </c>
      <c r="BC18" s="3267">
        <f>+'COKE OVENS'!AZ159</f>
        <v>7.5</v>
      </c>
      <c r="BD18" s="3270" t="str">
        <f>$G$18</f>
        <v>7.5-8.0</v>
      </c>
      <c r="BE18" s="3270">
        <f>+'COKE OVENS'!BB159</f>
        <v>7.5988633727673385</v>
      </c>
      <c r="BF18" s="3271" t="str">
        <f>$G$18</f>
        <v>7.5-8.0</v>
      </c>
      <c r="BG18" s="3272">
        <f>+'COKE OVENS'!BD159</f>
        <v>7.6833518454220293</v>
      </c>
      <c r="BH18" s="3260" t="str">
        <f>$G$18</f>
        <v>7.5-8.0</v>
      </c>
      <c r="BI18" s="2895">
        <f>+'COKE OVENS'!BF159</f>
        <v>7.7175496083242638</v>
      </c>
    </row>
    <row r="19" spans="3:62" x14ac:dyDescent="0.25">
      <c r="C19" s="5936"/>
      <c r="D19" s="5477" t="s">
        <v>1006</v>
      </c>
      <c r="E19" s="3263" t="s">
        <v>49</v>
      </c>
      <c r="F19" s="3264">
        <v>64.448248492385474</v>
      </c>
      <c r="G19" s="3265" t="s">
        <v>1911</v>
      </c>
      <c r="H19" s="3266" t="str">
        <f>$G$19</f>
        <v>64.0-65.5</v>
      </c>
      <c r="I19" s="3267">
        <f>+'COKE OVENS'!F160</f>
        <v>65.400000000000006</v>
      </c>
      <c r="J19" s="3266" t="str">
        <f>$G$19</f>
        <v>64.0-65.5</v>
      </c>
      <c r="K19" s="3267">
        <f>+'COKE OVENS'!H160</f>
        <v>65.5</v>
      </c>
      <c r="L19" s="3260" t="str">
        <f>$G$19</f>
        <v>64.0-65.5</v>
      </c>
      <c r="M19" s="2895">
        <f>+'COKE OVENS'!J160</f>
        <v>65.450579929399908</v>
      </c>
      <c r="N19" s="3266" t="str">
        <f>$G$19</f>
        <v>64.0-65.5</v>
      </c>
      <c r="O19" s="3267">
        <f>+'COKE OVENS'!L160</f>
        <v>65.099999999999994</v>
      </c>
      <c r="P19" s="3268" t="str">
        <f>$G$19</f>
        <v>64.0-65.5</v>
      </c>
      <c r="Q19" s="3269">
        <f>+'COKE OVENS'!N160</f>
        <v>65.335614857390865</v>
      </c>
      <c r="R19" s="3266" t="str">
        <f>$G$19</f>
        <v>64.0-65.5</v>
      </c>
      <c r="S19" s="3267">
        <f>+'COKE OVENS'!P160</f>
        <v>65.7</v>
      </c>
      <c r="T19" s="3260" t="str">
        <f>$G$19</f>
        <v>64.0-65.5</v>
      </c>
      <c r="U19" s="2895">
        <f>+'COKE OVENS'!R160</f>
        <v>65.427374155600049</v>
      </c>
      <c r="V19" s="3266" t="str">
        <f>$G$19</f>
        <v>64.0-65.5</v>
      </c>
      <c r="W19" s="3267">
        <f>+'COKE OVENS'!T160</f>
        <v>65.5</v>
      </c>
      <c r="X19" s="3260" t="str">
        <f>$G$19</f>
        <v>64.0-65.5</v>
      </c>
      <c r="Y19" s="2895">
        <f>+'COKE OVENS'!V160</f>
        <v>65.442297704498571</v>
      </c>
      <c r="Z19" s="3266" t="str">
        <f>$G$19</f>
        <v>64.0-65.5</v>
      </c>
      <c r="AA19" s="3267">
        <f>+'COKE OVENS'!X160</f>
        <v>65.7</v>
      </c>
      <c r="AB19" s="3268" t="str">
        <f>$G$19</f>
        <v>64.0-65.5</v>
      </c>
      <c r="AC19" s="3268">
        <f>+'COKE OVENS'!Z160</f>
        <v>65.63200537153088</v>
      </c>
      <c r="AD19" s="3271" t="str">
        <f>$G$19</f>
        <v>64.0-65.5</v>
      </c>
      <c r="AE19" s="3272">
        <f>+'COKE OVENS'!AB160</f>
        <v>65.485043307672058</v>
      </c>
      <c r="AF19" s="3266" t="str">
        <f>$G$19</f>
        <v>64.0-65.5</v>
      </c>
      <c r="AG19" s="3267">
        <f>+'COKE OVENS'!AD160</f>
        <v>66</v>
      </c>
      <c r="AH19" s="3260" t="str">
        <f>$G$19</f>
        <v>64.0-65.5</v>
      </c>
      <c r="AI19" s="2895">
        <f>+'COKE OVENS'!AF160</f>
        <v>65.559164711967114</v>
      </c>
      <c r="AJ19" s="3266" t="str">
        <f>$G$19</f>
        <v>64.0-65.5</v>
      </c>
      <c r="AK19" s="3267">
        <f>+'COKE OVENS'!AH160</f>
        <v>65.599999999999994</v>
      </c>
      <c r="AL19" s="3260" t="str">
        <f>$G$19</f>
        <v>64.0-65.5</v>
      </c>
      <c r="AM19" s="2895">
        <f>+'COKE OVENS'!AJ160</f>
        <v>65.564039638739501</v>
      </c>
      <c r="AN19" s="3266" t="str">
        <f>$G$19</f>
        <v>64.0-65.5</v>
      </c>
      <c r="AO19" s="3267">
        <f>+'COKE OVENS'!AL160</f>
        <v>65</v>
      </c>
      <c r="AP19" s="3268" t="str">
        <f>$G$19</f>
        <v>64.0-65.5</v>
      </c>
      <c r="AQ19" s="3268">
        <f>+'COKE OVENS'!AN160</f>
        <v>65.537162229416225</v>
      </c>
      <c r="AR19" s="3260" t="str">
        <f>$G$19</f>
        <v>64.0-65.5</v>
      </c>
      <c r="AS19" s="2895">
        <f>+'COKE OVENS'!AP160</f>
        <v>65.502180617998363</v>
      </c>
      <c r="AT19" s="3266" t="str">
        <f>$G$19</f>
        <v>64.0-65.5</v>
      </c>
      <c r="AU19" s="3267">
        <f>+'COKE OVENS'!AR160</f>
        <v>65.400000000000006</v>
      </c>
      <c r="AV19" s="3260" t="str">
        <f>$G$19</f>
        <v>64.0-65.5</v>
      </c>
      <c r="AW19" s="2895">
        <f>+'COKE OVENS'!AT160</f>
        <v>65.492010168615025</v>
      </c>
      <c r="AX19" s="3266" t="str">
        <f>$G$19</f>
        <v>64.0-65.5</v>
      </c>
      <c r="AY19" s="3267">
        <f>+'COKE OVENS'!AV160</f>
        <v>65.400000000000006</v>
      </c>
      <c r="AZ19" s="3260" t="str">
        <f>$G$19</f>
        <v>64.0-65.5</v>
      </c>
      <c r="BA19" s="2895">
        <f>+'COKE OVENS'!AX160</f>
        <v>65.484450736368871</v>
      </c>
      <c r="BB19" s="3266" t="s">
        <v>1911</v>
      </c>
      <c r="BC19" s="3267">
        <f>+'COKE OVENS'!AZ160</f>
        <v>65.599999999999994</v>
      </c>
      <c r="BD19" s="3270" t="str">
        <f>$G$19</f>
        <v>64.0-65.5</v>
      </c>
      <c r="BE19" s="3270">
        <f>+'COKE OVENS'!BB160</f>
        <v>65.47047088842497</v>
      </c>
      <c r="BF19" s="3271" t="str">
        <f>$G$19</f>
        <v>64.0-65.5</v>
      </c>
      <c r="BG19" s="3272">
        <f>+'COKE OVENS'!BD160</f>
        <v>65.504053894742142</v>
      </c>
      <c r="BH19" s="3260" t="str">
        <f>$G$19</f>
        <v>64.0-65.5</v>
      </c>
      <c r="BI19" s="2895">
        <f>+'COKE OVENS'!BF160</f>
        <v>65.494417865999054</v>
      </c>
    </row>
    <row r="20" spans="3:62" x14ac:dyDescent="0.25">
      <c r="C20" s="5936"/>
      <c r="D20" s="5477" t="s">
        <v>1007</v>
      </c>
      <c r="E20" s="3263" t="s">
        <v>49</v>
      </c>
      <c r="F20" s="3264">
        <v>22.958247683476721</v>
      </c>
      <c r="G20" s="3265" t="s">
        <v>1912</v>
      </c>
      <c r="H20" s="3266" t="str">
        <f>$G$20</f>
        <v>22.5-24.0</v>
      </c>
      <c r="I20" s="3267">
        <f>+'COKE OVENS'!F161</f>
        <v>23.7</v>
      </c>
      <c r="J20" s="3266" t="str">
        <f>$G$20</f>
        <v>22.5-24.0</v>
      </c>
      <c r="K20" s="3267">
        <f>+'COKE OVENS'!H161</f>
        <v>23.9</v>
      </c>
      <c r="L20" s="3260" t="str">
        <f>$G$20</f>
        <v>22.5-24.0</v>
      </c>
      <c r="M20" s="2895">
        <f>+'COKE OVENS'!J161</f>
        <v>23.801159858799796</v>
      </c>
      <c r="N20" s="3266" t="str">
        <f>$G$20</f>
        <v>22.5-24.0</v>
      </c>
      <c r="O20" s="3267">
        <f>+'COKE OVENS'!L161</f>
        <v>23.8</v>
      </c>
      <c r="P20" s="3268" t="str">
        <f>$G$20</f>
        <v>22.5-24.0</v>
      </c>
      <c r="Q20" s="3269">
        <f>+'COKE OVENS'!N161</f>
        <v>23.800779508302647</v>
      </c>
      <c r="R20" s="3266" t="str">
        <f>$G$20</f>
        <v>22.5-24.0</v>
      </c>
      <c r="S20" s="3267">
        <f>+'COKE OVENS'!P161</f>
        <v>23.2</v>
      </c>
      <c r="T20" s="3260" t="str">
        <f>$G$20</f>
        <v>22.5-24.0</v>
      </c>
      <c r="U20" s="2895">
        <f>+'COKE OVENS'!R161</f>
        <v>23.649491490175496</v>
      </c>
      <c r="V20" s="3266" t="str">
        <f>$G$20</f>
        <v>22.5-24.0</v>
      </c>
      <c r="W20" s="3267">
        <f>+'COKE OVENS'!T161</f>
        <v>22.8</v>
      </c>
      <c r="X20" s="3260" t="str">
        <f>$G$20</f>
        <v>22.5-24.0</v>
      </c>
      <c r="Y20" s="2895">
        <f>+'COKE OVENS'!V161</f>
        <v>23.47493341243802</v>
      </c>
      <c r="Z20" s="3266" t="str">
        <f>$G$20</f>
        <v>22.5-24.0</v>
      </c>
      <c r="AA20" s="3267">
        <f>+'COKE OVENS'!X161</f>
        <v>23.5</v>
      </c>
      <c r="AB20" s="3268" t="str">
        <f>$G$20</f>
        <v>22.5-24.0</v>
      </c>
      <c r="AC20" s="3268">
        <f>+'COKE OVENS'!Z161</f>
        <v>23.16271262309758</v>
      </c>
      <c r="AD20" s="3271" t="str">
        <f>$G$20</f>
        <v>22.5-24.0</v>
      </c>
      <c r="AE20" s="3272">
        <f>+'COKE OVENS'!AB161</f>
        <v>23.479091258229627</v>
      </c>
      <c r="AF20" s="3266" t="str">
        <f>$G$20</f>
        <v>22.5-24.0</v>
      </c>
      <c r="AG20" s="3267">
        <f>+'COKE OVENS'!AD161</f>
        <v>23.3</v>
      </c>
      <c r="AH20" s="3260" t="str">
        <f>$G$20</f>
        <v>22.5-24.0</v>
      </c>
      <c r="AI20" s="2895">
        <f>+'COKE OVENS'!AF161</f>
        <v>23.453313370972857</v>
      </c>
      <c r="AJ20" s="3266" t="str">
        <f>$G$20</f>
        <v>22.5-24.0</v>
      </c>
      <c r="AK20" s="3267">
        <f>+'COKE OVENS'!AH161</f>
        <v>23.6</v>
      </c>
      <c r="AL20" s="3260" t="str">
        <f>$G$20</f>
        <v>22.5-24.0</v>
      </c>
      <c r="AM20" s="2895">
        <f>+'COKE OVENS'!AJ161</f>
        <v>23.470824856980244</v>
      </c>
      <c r="AN20" s="3266" t="str">
        <f>$G$20</f>
        <v>22.5-24.0</v>
      </c>
      <c r="AO20" s="3267">
        <f>+'COKE OVENS'!AL161</f>
        <v>23.5</v>
      </c>
      <c r="AP20" s="3268" t="str">
        <f>$G$20</f>
        <v>22.5-24.0</v>
      </c>
      <c r="AQ20" s="3268">
        <f>+'COKE OVENS'!AN161</f>
        <v>23.463682066453543</v>
      </c>
      <c r="AR20" s="3260" t="str">
        <f>$G$20</f>
        <v>22.5-24.0</v>
      </c>
      <c r="AS20" s="2895">
        <f>+'COKE OVENS'!AP161</f>
        <v>23.47402453596241</v>
      </c>
      <c r="AT20" s="3266" t="str">
        <f>$G$20</f>
        <v>22.5-24.0</v>
      </c>
      <c r="AU20" s="3267">
        <f>+'COKE OVENS'!AR161</f>
        <v>23.5</v>
      </c>
      <c r="AV20" s="3260" t="str">
        <f>$G$20</f>
        <v>22.5-24.0</v>
      </c>
      <c r="AW20" s="2895">
        <f>+'COKE OVENS'!AT161</f>
        <v>23.476609978753601</v>
      </c>
      <c r="AX20" s="3266" t="str">
        <f>$G$20</f>
        <v>22.5-24.0</v>
      </c>
      <c r="AY20" s="3267">
        <f>+'COKE OVENS'!AV161</f>
        <v>23.2</v>
      </c>
      <c r="AZ20" s="3260" t="str">
        <f>$G$20</f>
        <v>22.5-24.0</v>
      </c>
      <c r="BA20" s="2895">
        <f>+'COKE OVENS'!AX161</f>
        <v>23.453884073296912</v>
      </c>
      <c r="BB20" s="3266" t="s">
        <v>1912</v>
      </c>
      <c r="BC20" s="3267">
        <f>+'COKE OVENS'!AZ161</f>
        <v>23.1</v>
      </c>
      <c r="BD20" s="3270" t="str">
        <f>$G$20</f>
        <v>22.5-24.0</v>
      </c>
      <c r="BE20" s="3270">
        <f>+'COKE OVENS'!BB161</f>
        <v>23.26706100672698</v>
      </c>
      <c r="BF20" s="3271" t="str">
        <f>$G$20</f>
        <v>22.5-24.0</v>
      </c>
      <c r="BG20" s="3272">
        <f>+'COKE OVENS'!BD161</f>
        <v>23.366071255924886</v>
      </c>
      <c r="BH20" s="3260" t="str">
        <f>$G$20</f>
        <v>22.5-24.0</v>
      </c>
      <c r="BI20" s="2895">
        <f>+'COKE OVENS'!BF161</f>
        <v>23.423358492070683</v>
      </c>
    </row>
    <row r="21" spans="3:62" x14ac:dyDescent="0.25">
      <c r="C21" s="5936"/>
      <c r="D21" s="5476" t="s">
        <v>1008</v>
      </c>
      <c r="E21" s="3257"/>
      <c r="F21" s="3286"/>
      <c r="G21" s="3288"/>
      <c r="H21" s="3259"/>
      <c r="I21" s="2914"/>
      <c r="J21" s="3259"/>
      <c r="K21" s="2914"/>
      <c r="L21" s="3260"/>
      <c r="M21" s="2895"/>
      <c r="N21" s="3259"/>
      <c r="O21" s="2914"/>
      <c r="P21" s="3259"/>
      <c r="Q21" s="2914"/>
      <c r="R21" s="3259"/>
      <c r="S21" s="2914"/>
      <c r="T21" s="3259"/>
      <c r="U21" s="2914"/>
      <c r="V21" s="3259"/>
      <c r="W21" s="2914"/>
      <c r="X21" s="3259"/>
      <c r="Y21" s="2914"/>
      <c r="Z21" s="3259"/>
      <c r="AA21" s="2914"/>
      <c r="AB21" s="3259"/>
      <c r="AC21" s="3259"/>
      <c r="AD21" s="3259"/>
      <c r="AE21" s="3261"/>
      <c r="AF21" s="3259"/>
      <c r="AG21" s="2914"/>
      <c r="AH21" s="3259"/>
      <c r="AI21" s="2914"/>
      <c r="AJ21" s="3259"/>
      <c r="AK21" s="2914"/>
      <c r="AL21" s="3259"/>
      <c r="AM21" s="2914"/>
      <c r="AN21" s="3259"/>
      <c r="AO21" s="2914"/>
      <c r="AP21" s="3259"/>
      <c r="AQ21" s="3259"/>
      <c r="AR21" s="3259"/>
      <c r="AS21" s="2914"/>
      <c r="AT21" s="3259"/>
      <c r="AU21" s="2914"/>
      <c r="AV21" s="3259"/>
      <c r="AW21" s="2914"/>
      <c r="AX21" s="3259"/>
      <c r="AY21" s="2914"/>
      <c r="AZ21" s="3259"/>
      <c r="BA21" s="2914"/>
      <c r="BB21" s="3259"/>
      <c r="BC21" s="2914"/>
      <c r="BD21" s="3259"/>
      <c r="BE21" s="3259"/>
      <c r="BF21" s="3259"/>
      <c r="BG21" s="3261"/>
      <c r="BH21" s="3259"/>
      <c r="BI21" s="2914"/>
    </row>
    <row r="22" spans="3:62" x14ac:dyDescent="0.25">
      <c r="C22" s="5936"/>
      <c r="D22" s="5477" t="s">
        <v>1370</v>
      </c>
      <c r="E22" s="3263" t="s">
        <v>49</v>
      </c>
      <c r="F22" s="3286">
        <v>23.543643606765379</v>
      </c>
      <c r="G22" s="3265">
        <v>25</v>
      </c>
      <c r="H22" s="3259">
        <f>+$G$22</f>
        <v>25</v>
      </c>
      <c r="I22" s="2914">
        <f>+'COKE OVENS'!F173</f>
        <v>24.999999999999996</v>
      </c>
      <c r="J22" s="3259">
        <f>+$G$22</f>
        <v>25</v>
      </c>
      <c r="K22" s="2914">
        <f>+'COKE OVENS'!H173</f>
        <v>25.00000024830733</v>
      </c>
      <c r="L22" s="3260">
        <f>+$G$22</f>
        <v>25</v>
      </c>
      <c r="M22" s="2895">
        <f>+'COKE OVENS'!J173</f>
        <v>25.118150265683969</v>
      </c>
      <c r="N22" s="3259">
        <f>+$G$22</f>
        <v>25</v>
      </c>
      <c r="O22" s="2914">
        <f>+'COKE OVENS'!L173</f>
        <v>24.000004296237698</v>
      </c>
      <c r="P22" s="3268">
        <f>+$G$22</f>
        <v>25</v>
      </c>
      <c r="Q22" s="3269">
        <f>+'COKE OVENS'!N173</f>
        <v>24.742101747279357</v>
      </c>
      <c r="R22" s="3259">
        <f>+$G$22</f>
        <v>25</v>
      </c>
      <c r="S22" s="2914">
        <f>+'COKE OVENS'!P173</f>
        <v>23.999995112884385</v>
      </c>
      <c r="T22" s="3260">
        <f>+$G$22</f>
        <v>25</v>
      </c>
      <c r="U22" s="2895">
        <f>+'COKE OVENS'!R173</f>
        <v>24.549945258064657</v>
      </c>
      <c r="V22" s="3259">
        <f>+$G$22</f>
        <v>25</v>
      </c>
      <c r="W22" s="2914">
        <f>+'COKE OVENS'!T173</f>
        <v>23.999999811110804</v>
      </c>
      <c r="X22" s="3260">
        <f>+$G$22</f>
        <v>25</v>
      </c>
      <c r="Y22" s="2895">
        <f>+'COKE OVENS'!V173</f>
        <v>24.437273673088058</v>
      </c>
      <c r="Z22" s="3259">
        <f>+$G$22</f>
        <v>25</v>
      </c>
      <c r="AA22" s="2914">
        <f>+'COKE OVENS'!X173</f>
        <v>23.999999610619231</v>
      </c>
      <c r="AB22" s="3268">
        <f>+$G$22</f>
        <v>25</v>
      </c>
      <c r="AC22" s="3268">
        <f>+'COKE OVENS'!Z173</f>
        <v>23.999998158798082</v>
      </c>
      <c r="AD22" s="3271">
        <f>+$G$22</f>
        <v>25</v>
      </c>
      <c r="AE22" s="3272">
        <f>+'COKE OVENS'!AB173</f>
        <v>24.36476763531012</v>
      </c>
      <c r="AF22" s="3259">
        <f>+$G$22</f>
        <v>25</v>
      </c>
      <c r="AG22" s="2914">
        <f>+'COKE OVENS'!AD173</f>
        <v>24.122137404580158</v>
      </c>
      <c r="AH22" s="3260">
        <f>+$G$22</f>
        <v>25</v>
      </c>
      <c r="AI22" s="3260">
        <f>+'COKE OVENS'!AF173</f>
        <v>24.329760015488294</v>
      </c>
      <c r="AJ22" s="3259">
        <f>+$G$22</f>
        <v>25</v>
      </c>
      <c r="AK22" s="2914">
        <f>+'COKE OVENS'!AH173</f>
        <v>24</v>
      </c>
      <c r="AL22" s="3260">
        <f>+$G$22</f>
        <v>25</v>
      </c>
      <c r="AM22" s="3260">
        <f>+'COKE OVENS'!AJ173</f>
        <v>24.288820865831969</v>
      </c>
      <c r="AN22" s="3259">
        <f>+$G$22</f>
        <v>25</v>
      </c>
      <c r="AO22" s="2914">
        <f>+'COKE OVENS'!AL173</f>
        <v>24</v>
      </c>
      <c r="AP22" s="3268">
        <f>+$G$22</f>
        <v>25</v>
      </c>
      <c r="AQ22" s="3268">
        <f>+'COKE OVENS'!AN173</f>
        <v>24.040734869864096</v>
      </c>
      <c r="AR22" s="3260">
        <f>+$G$22</f>
        <v>25</v>
      </c>
      <c r="AS22" s="3260">
        <f>+'COKE OVENS'!AP173</f>
        <v>24.255959351541506</v>
      </c>
      <c r="AT22" s="3259">
        <f>+$G$22</f>
        <v>25</v>
      </c>
      <c r="AU22" s="2914">
        <f>+'COKE OVENS'!AR173</f>
        <v>24.999999762332067</v>
      </c>
      <c r="AV22" s="3260">
        <f>+$G$22</f>
        <v>25</v>
      </c>
      <c r="AW22" s="3260">
        <f>+'COKE OVENS'!AT173</f>
        <v>24.331363783092353</v>
      </c>
      <c r="AX22" s="3259">
        <f>+$G$22</f>
        <v>25</v>
      </c>
      <c r="AY22" s="2914">
        <f>+'COKE OVENS'!AV173</f>
        <v>25.000000262690165</v>
      </c>
      <c r="AZ22" s="3260">
        <f>+$G$22</f>
        <v>25</v>
      </c>
      <c r="BA22" s="3260">
        <f>+'COKE OVENS'!AX173</f>
        <v>24.387522531731847</v>
      </c>
      <c r="BB22" s="3259">
        <f>+$G$22</f>
        <v>25</v>
      </c>
      <c r="BC22" s="2914">
        <f>+'COKE OVENS'!AZ173</f>
        <v>24.999999528548862</v>
      </c>
      <c r="BD22" s="3270">
        <f>+$G$22</f>
        <v>25</v>
      </c>
      <c r="BE22" s="3270">
        <f>+'COKE OVENS'!BB173</f>
        <v>24.999999836821786</v>
      </c>
      <c r="BF22" s="3271">
        <f>+$G$22</f>
        <v>25</v>
      </c>
      <c r="BG22" s="3272">
        <f>+'COKE OVENS'!BD173</f>
        <v>24.515106512582648</v>
      </c>
      <c r="BH22" s="3260">
        <f>+$G$22</f>
        <v>25</v>
      </c>
      <c r="BI22" s="2895">
        <f>+'COKE OVENS'!BF173</f>
        <v>24.439942497417519</v>
      </c>
    </row>
    <row r="23" spans="3:62" x14ac:dyDescent="0.25">
      <c r="C23" s="5936"/>
      <c r="D23" s="5477" t="s">
        <v>1371</v>
      </c>
      <c r="E23" s="3263" t="s">
        <v>219</v>
      </c>
      <c r="F23" s="3286"/>
      <c r="G23" s="3274">
        <v>18.0520162514688</v>
      </c>
      <c r="H23" s="3275">
        <f>+'COKE OVENS'!E61</f>
        <v>18.260869565217391</v>
      </c>
      <c r="I23" s="3275">
        <f>+'COKE OVENS'!F61</f>
        <v>17.7</v>
      </c>
      <c r="J23" s="3275">
        <f>+'COKE OVENS'!G61</f>
        <v>18.369259606373006</v>
      </c>
      <c r="K23" s="3275">
        <f>+'COKE OVENS'!H61</f>
        <v>18.649999999999999</v>
      </c>
      <c r="L23" s="3276">
        <f>+'COKE OVENS'!I61</f>
        <v>18.315953028755491</v>
      </c>
      <c r="M23" s="3276">
        <f>+'COKE OVENS'!J61</f>
        <v>18.180509329299042</v>
      </c>
      <c r="N23" s="3275">
        <f>+'COKE OVENS'!K61</f>
        <v>17.951020408163266</v>
      </c>
      <c r="O23" s="3275">
        <f>+'COKE OVENS'!L61</f>
        <v>17.7</v>
      </c>
      <c r="P23" s="3277">
        <f>+'COKE OVENS'!M61</f>
        <v>18.198982127406314</v>
      </c>
      <c r="Q23" s="3277">
        <f>+'COKE OVENS'!N61</f>
        <v>18.023694938285583</v>
      </c>
      <c r="R23" s="3275">
        <f>+'COKE OVENS'!O61</f>
        <v>17.951020408163266</v>
      </c>
      <c r="S23" s="3275">
        <f>+'COKE OVENS'!P61</f>
        <v>17.566666666666666</v>
      </c>
      <c r="T23" s="3276">
        <f>+'COKE OVENS'!Q61</f>
        <v>18.137288099923882</v>
      </c>
      <c r="U23" s="3276">
        <f>+'COKE OVENS'!R61</f>
        <v>17.909021121384338</v>
      </c>
      <c r="V23" s="3275">
        <f>+'COKE OVENS'!S61</f>
        <v>17.951020408163266</v>
      </c>
      <c r="W23" s="3275">
        <f>+'COKE OVENS'!T61</f>
        <v>17.683333333333334</v>
      </c>
      <c r="X23" s="3276">
        <f>+'COKE OVENS'!U61</f>
        <v>18.100177197846051</v>
      </c>
      <c r="Y23" s="3276">
        <f>+'COKE OVENS'!V61</f>
        <v>17.862778489692225</v>
      </c>
      <c r="Z23" s="3275">
        <f>+'COKE OVENS'!W61</f>
        <v>18.814973262032083</v>
      </c>
      <c r="AA23" s="3275">
        <f>+'COKE OVENS'!X61</f>
        <v>17.633333333333333</v>
      </c>
      <c r="AB23" s="3268">
        <f>+'COKE OVENS'!Y61</f>
        <v>18.228881161886878</v>
      </c>
      <c r="AC23" s="3268">
        <f>+'COKE OVENS'!Z61</f>
        <v>17.628263951059388</v>
      </c>
      <c r="AD23" s="3271">
        <f>+'COKE OVENS'!AA61</f>
        <v>18.213753684437915</v>
      </c>
      <c r="AE23" s="3272">
        <f>+'COKE OVENS'!AB61</f>
        <v>17.824810979156116</v>
      </c>
      <c r="AF23" s="3266">
        <f>+'COKE OVENS'!AC61</f>
        <v>17.951020408163266</v>
      </c>
      <c r="AG23" s="3266">
        <f>+'COKE OVENS'!AD61</f>
        <v>17.933333333333334</v>
      </c>
      <c r="AH23" s="3260">
        <f>+'COKE OVENS'!AE61</f>
        <v>18.176044736643782</v>
      </c>
      <c r="AI23" s="3260">
        <f>+'COKE OVENS'!AF61</f>
        <v>17.840456807964035</v>
      </c>
      <c r="AJ23" s="3266">
        <f>+'COKE OVENS'!AG61</f>
        <v>17.951020408163266</v>
      </c>
      <c r="AK23" s="3266">
        <f>+'COKE OVENS'!AH61</f>
        <v>17.649999999999999</v>
      </c>
      <c r="AL23" s="3260">
        <f>+'COKE OVENS'!AI61</f>
        <v>18.148601558582325</v>
      </c>
      <c r="AM23" s="3260">
        <f>+'COKE OVENS'!AJ61</f>
        <v>17.817629767809954</v>
      </c>
      <c r="AN23" s="3266">
        <f>+'COKE OVENS'!AK61</f>
        <v>17.951020408163266</v>
      </c>
      <c r="AO23" s="3266">
        <f>+'COKE OVENS'!AL61</f>
        <v>17.583333333333332</v>
      </c>
      <c r="AP23" s="3268">
        <f>+'COKE OVENS'!AM61</f>
        <v>17.951020408163266</v>
      </c>
      <c r="AQ23" s="3268">
        <f>+'COKE OVENS'!AN61</f>
        <v>17.724802563809085</v>
      </c>
      <c r="AR23" s="3260">
        <f>+'COKE OVENS'!AO61</f>
        <v>18.126488739428002</v>
      </c>
      <c r="AS23" s="3260">
        <f>+'COKE OVENS'!AP61</f>
        <v>17.791843369554282</v>
      </c>
      <c r="AT23" s="3266">
        <f>+'COKE OVENS'!AQ61</f>
        <v>17.951020408163266</v>
      </c>
      <c r="AU23" s="3266">
        <f>+'COKE OVENS'!AR61</f>
        <v>17.82</v>
      </c>
      <c r="AV23" s="3260">
        <f>+'COKE OVENS'!AS61</f>
        <v>18.108827355803758</v>
      </c>
      <c r="AW23" s="3260">
        <f>+'COKE OVENS'!AT61</f>
        <v>17.79465482497849</v>
      </c>
      <c r="AX23" s="3266">
        <f>+'COKE OVENS'!AU61</f>
        <v>17.951020408163266</v>
      </c>
      <c r="AY23" s="3266">
        <f>+'COKE OVENS'!AV61</f>
        <v>17.8</v>
      </c>
      <c r="AZ23" s="3260">
        <f>+'COKE OVENS'!AW61</f>
        <v>18.095676360452153</v>
      </c>
      <c r="BA23" s="3260">
        <f>+'COKE OVENS'!AX61</f>
        <v>17.795095258871434</v>
      </c>
      <c r="BB23" s="3266">
        <f>+'COKE OVENS'!AY61</f>
        <v>17.951020408163266</v>
      </c>
      <c r="BC23" s="3266">
        <f>+'COKE OVENS'!AZ61</f>
        <v>17.670000000000002</v>
      </c>
      <c r="BD23" s="3270">
        <f>+'COKE OVENS'!BA61</f>
        <v>17.951020408163266</v>
      </c>
      <c r="BE23" s="3270">
        <f>+'COKE OVENS'!BB61</f>
        <v>17.761013685919739</v>
      </c>
      <c r="BF23" s="3271">
        <f>+'COKE OVENS'!BC61</f>
        <v>17.951020408163266</v>
      </c>
      <c r="BG23" s="3272">
        <f>+'COKE OVENS'!BD61</f>
        <v>17.742788179042567</v>
      </c>
      <c r="BH23" s="3260">
        <f>+'COKE OVENS'!BE61</f>
        <v>18.083457111098014</v>
      </c>
      <c r="BI23" s="2895">
        <f>+'COKE OVENS'!BF61</f>
        <v>17.784275939949513</v>
      </c>
      <c r="BJ23" s="4501"/>
    </row>
    <row r="24" spans="3:62" x14ac:dyDescent="0.25">
      <c r="C24" s="5936"/>
      <c r="D24" s="3285" t="s">
        <v>1009</v>
      </c>
      <c r="E24" s="3263" t="s">
        <v>49</v>
      </c>
      <c r="F24" s="3264">
        <v>88.599749618194579</v>
      </c>
      <c r="G24" s="3265" t="s">
        <v>1915</v>
      </c>
      <c r="H24" s="3266" t="str">
        <f>$G$24</f>
        <v>89.0-90.5</v>
      </c>
      <c r="I24" s="3267">
        <f>+'COKE OVENS'!F183</f>
        <v>89.8</v>
      </c>
      <c r="J24" s="3266" t="str">
        <f>$G$24</f>
        <v>89.0-90.5</v>
      </c>
      <c r="K24" s="3267">
        <f>+'COKE OVENS'!H183</f>
        <v>89.8</v>
      </c>
      <c r="L24" s="3260" t="str">
        <f>$G$24</f>
        <v>89.0-90.5</v>
      </c>
      <c r="M24" s="2895">
        <f>+'COKE OVENS'!J183</f>
        <v>89.799999999999983</v>
      </c>
      <c r="N24" s="3266" t="str">
        <f>$G$24</f>
        <v>89.0-90.5</v>
      </c>
      <c r="O24" s="3267">
        <f>+'COKE OVENS'!L183</f>
        <v>89.6</v>
      </c>
      <c r="P24" s="3268" t="str">
        <f>$G$24</f>
        <v>89.0-90.5</v>
      </c>
      <c r="Q24" s="3269">
        <f>+'COKE OVENS'!N183</f>
        <v>89.732627559394388</v>
      </c>
      <c r="R24" s="3266" t="str">
        <f>$G$24</f>
        <v>89.0-90.5</v>
      </c>
      <c r="S24" s="3267">
        <f>+'COKE OVENS'!P183</f>
        <v>89.5</v>
      </c>
      <c r="T24" s="3260" t="str">
        <f>$G$24</f>
        <v>89.0-90.5</v>
      </c>
      <c r="U24" s="2895">
        <f>+'COKE OVENS'!R183</f>
        <v>89.672319731039366</v>
      </c>
      <c r="V24" s="3266" t="str">
        <f>$G$24</f>
        <v>89.0-90.5</v>
      </c>
      <c r="W24" s="3267">
        <f>+'COKE OVENS'!T183</f>
        <v>89.3</v>
      </c>
      <c r="X24" s="3260" t="str">
        <f>$G$24</f>
        <v>89.0-90.5</v>
      </c>
      <c r="Y24" s="2895">
        <f>+'COKE OVENS'!V183</f>
        <v>89.595966526979893</v>
      </c>
      <c r="Z24" s="3266" t="str">
        <f>$G$24</f>
        <v>89.0-90.5</v>
      </c>
      <c r="AA24" s="3267">
        <f>+'COKE OVENS'!X183</f>
        <v>89.5</v>
      </c>
      <c r="AB24" s="3268" t="str">
        <f>$G$24</f>
        <v>89.0-90.5</v>
      </c>
      <c r="AC24" s="3268">
        <f>+'COKE OVENS'!Z183</f>
        <v>89.432616528742074</v>
      </c>
      <c r="AD24" s="3271" t="str">
        <f>$G$24</f>
        <v>89.0-90.5</v>
      </c>
      <c r="AE24" s="3272">
        <f>+'COKE OVENS'!AB183</f>
        <v>89.580137556710383</v>
      </c>
      <c r="AF24" s="3266" t="str">
        <f>$G$24</f>
        <v>89.0-90.5</v>
      </c>
      <c r="AG24" s="3267">
        <f>+'COKE OVENS'!AD183</f>
        <v>89.4</v>
      </c>
      <c r="AH24" s="3260" t="str">
        <f>$G$24</f>
        <v>89.0-90.5</v>
      </c>
      <c r="AI24" s="2895">
        <f>+'COKE OVENS'!AF183</f>
        <v>89.554197562286276</v>
      </c>
      <c r="AJ24" s="3266" t="str">
        <f>$G$24</f>
        <v>89.0-90.5</v>
      </c>
      <c r="AK24" s="3267">
        <f>+'COKE OVENS'!AH183</f>
        <v>89.4</v>
      </c>
      <c r="AL24" s="3260" t="str">
        <f>$G$24</f>
        <v>89.0-90.5</v>
      </c>
      <c r="AM24" s="2895">
        <f>+'COKE OVENS'!AJ183</f>
        <v>89.535135123609152</v>
      </c>
      <c r="AN24" s="3266" t="str">
        <f>$G$24</f>
        <v>89.0-90.5</v>
      </c>
      <c r="AO24" s="3267">
        <f>+'COKE OVENS'!AL183</f>
        <v>89.6</v>
      </c>
      <c r="AP24" s="3268" t="str">
        <f>$G$24</f>
        <v>89.0-90.5</v>
      </c>
      <c r="AQ24" s="3268">
        <f>+'COKE OVENS'!AN183</f>
        <v>89.467701239335952</v>
      </c>
      <c r="AR24" s="3260" t="str">
        <f>$G$24</f>
        <v>89.0-90.5</v>
      </c>
      <c r="AS24" s="2895">
        <f>+'COKE OVENS'!AP183</f>
        <v>89.542487606344054</v>
      </c>
      <c r="AT24" s="3266" t="str">
        <f>$G$24</f>
        <v>89.0-90.5</v>
      </c>
      <c r="AU24" s="3267">
        <f>+'COKE OVENS'!AR183</f>
        <v>86.7</v>
      </c>
      <c r="AV24" s="3260" t="str">
        <f>$G$24</f>
        <v>89.0-90.5</v>
      </c>
      <c r="AW24" s="2895">
        <f>+'COKE OVENS'!AT183</f>
        <v>89.255387453584291</v>
      </c>
      <c r="AX24" s="3266" t="str">
        <f>$G$24</f>
        <v>89.0-90.5</v>
      </c>
      <c r="AY24" s="3267">
        <f>+'COKE OVENS'!AV183</f>
        <v>89.7</v>
      </c>
      <c r="AZ24" s="3260" t="str">
        <f>$G$24</f>
        <v>89.0-90.5</v>
      </c>
      <c r="BA24" s="2895">
        <f>+'COKE OVENS'!AX183</f>
        <v>89.292615175659762</v>
      </c>
      <c r="BB24" s="3266" t="str">
        <f>$G$24</f>
        <v>89.0-90.5</v>
      </c>
      <c r="BC24" s="3267">
        <f>+'COKE OVENS'!AZ183</f>
        <v>89.7</v>
      </c>
      <c r="BD24" s="3270" t="str">
        <f>$G$24</f>
        <v>89.0-90.5</v>
      </c>
      <c r="BE24" s="3270">
        <f>+'COKE OVENS'!BB183</f>
        <v>88.670128988458927</v>
      </c>
      <c r="BF24" s="3271" t="str">
        <f>$G$24</f>
        <v>89.0-90.5</v>
      </c>
      <c r="BG24" s="3272">
        <f>+'COKE OVENS'!BD183</f>
        <v>89.073479806094213</v>
      </c>
      <c r="BH24" s="3260" t="str">
        <f>$G$24</f>
        <v>89.0-90.5</v>
      </c>
      <c r="BI24" s="2895">
        <f>+'COKE OVENS'!BF183</f>
        <v>89.327383514589442</v>
      </c>
    </row>
    <row r="25" spans="3:62" x14ac:dyDescent="0.25">
      <c r="C25" s="5936"/>
      <c r="D25" s="3285" t="s">
        <v>204</v>
      </c>
      <c r="E25" s="3263" t="s">
        <v>49</v>
      </c>
      <c r="F25" s="3264">
        <v>5.948071105661457</v>
      </c>
      <c r="G25" s="3265" t="s">
        <v>1916</v>
      </c>
      <c r="H25" s="3266" t="str">
        <f>$G$25</f>
        <v>5.5-5.9</v>
      </c>
      <c r="I25" s="3267">
        <f>+'COKE OVENS'!F184</f>
        <v>5.7</v>
      </c>
      <c r="J25" s="3266" t="str">
        <f>$G$25</f>
        <v>5.5-5.9</v>
      </c>
      <c r="K25" s="3267">
        <f>+'COKE OVENS'!H184</f>
        <v>5.7</v>
      </c>
      <c r="L25" s="3260" t="str">
        <f>$G$25</f>
        <v>5.5-5.9</v>
      </c>
      <c r="M25" s="2895">
        <f>+'COKE OVENS'!J184</f>
        <v>5.7</v>
      </c>
      <c r="N25" s="3266" t="str">
        <f>$G$25</f>
        <v>5.5-5.9</v>
      </c>
      <c r="O25" s="3267">
        <f>+'COKE OVENS'!L184</f>
        <v>5.7</v>
      </c>
      <c r="P25" s="3268" t="str">
        <f>$G$25</f>
        <v>5.5-5.9</v>
      </c>
      <c r="Q25" s="3269">
        <f>+'COKE OVENS'!N184</f>
        <v>5.7</v>
      </c>
      <c r="R25" s="3266" t="str">
        <f>$G$25</f>
        <v>5.5-5.9</v>
      </c>
      <c r="S25" s="3267">
        <f>+'COKE OVENS'!P184</f>
        <v>5.7</v>
      </c>
      <c r="T25" s="3260" t="str">
        <f>$G$25</f>
        <v>5.5-5.9</v>
      </c>
      <c r="U25" s="2895">
        <f>+'COKE OVENS'!R184</f>
        <v>5.7</v>
      </c>
      <c r="V25" s="3266" t="str">
        <f>$G$25</f>
        <v>5.5-5.9</v>
      </c>
      <c r="W25" s="3267">
        <f>+'COKE OVENS'!T184</f>
        <v>5.8</v>
      </c>
      <c r="X25" s="3260" t="str">
        <f>$G$25</f>
        <v>5.5-5.9</v>
      </c>
      <c r="Y25" s="2895">
        <f>+'COKE OVENS'!V184</f>
        <v>5.7205074288827822</v>
      </c>
      <c r="Z25" s="3266" t="str">
        <f>$G$25</f>
        <v>5.5-5.9</v>
      </c>
      <c r="AA25" s="3267">
        <f>+'COKE OVENS'!X184</f>
        <v>5.7</v>
      </c>
      <c r="AB25" s="3268" t="str">
        <f>$G$25</f>
        <v>5.5-5.9</v>
      </c>
      <c r="AC25" s="3268">
        <f>+'COKE OVENS'!Z184</f>
        <v>5.7336917356289616</v>
      </c>
      <c r="AD25" s="3271" t="str">
        <f>$G$25</f>
        <v>5.5-5.9</v>
      </c>
      <c r="AE25" s="3272">
        <f>+'COKE OVENS'!AB184</f>
        <v>5.7171248798596439</v>
      </c>
      <c r="AF25" s="3266" t="str">
        <f>$G$25</f>
        <v>5.5-5.9</v>
      </c>
      <c r="AG25" s="3267">
        <f>+'COKE OVENS'!AD184</f>
        <v>5.7</v>
      </c>
      <c r="AH25" s="3260" t="str">
        <f>$G$25</f>
        <v>5.5-5.9</v>
      </c>
      <c r="AI25" s="2895">
        <f>+'COKE OVENS'!AF184</f>
        <v>5.7146588794531503</v>
      </c>
      <c r="AJ25" s="3266" t="str">
        <f>$G$25</f>
        <v>5.5-5.9</v>
      </c>
      <c r="AK25" s="3267">
        <f>+'COKE OVENS'!AH184</f>
        <v>5.7</v>
      </c>
      <c r="AL25" s="3260" t="str">
        <f>$G$25</f>
        <v>5.5-5.9</v>
      </c>
      <c r="AM25" s="2895">
        <f>+'COKE OVENS'!AJ184</f>
        <v>5.7128466978174099</v>
      </c>
      <c r="AN25" s="3266" t="str">
        <f>$G$25</f>
        <v>5.5-5.9</v>
      </c>
      <c r="AO25" s="3267">
        <f>+'COKE OVENS'!AL184</f>
        <v>5.7</v>
      </c>
      <c r="AP25" s="3268" t="str">
        <f>$G$25</f>
        <v>5.5-5.9</v>
      </c>
      <c r="AQ25" s="3268">
        <f>+'COKE OVENS'!AN184</f>
        <v>5.700000000000002</v>
      </c>
      <c r="AR25" s="3260" t="str">
        <f>$G$25</f>
        <v>5.5-5.9</v>
      </c>
      <c r="AS25" s="2895">
        <f>+'COKE OVENS'!AP184</f>
        <v>5.711390514915994</v>
      </c>
      <c r="AT25" s="3266" t="str">
        <f>$G$25</f>
        <v>5.5-5.9</v>
      </c>
      <c r="AU25" s="3267">
        <f>+'COKE OVENS'!AR184</f>
        <v>5.7</v>
      </c>
      <c r="AV25" s="3260" t="str">
        <f>$G$25</f>
        <v>5.5-5.9</v>
      </c>
      <c r="AW25" s="2895">
        <f>+'COKE OVENS'!AT184</f>
        <v>5.7102400372269813</v>
      </c>
      <c r="AX25" s="3266" t="str">
        <f>$G$25</f>
        <v>5.5-5.9</v>
      </c>
      <c r="AY25" s="3267">
        <f>+'COKE OVENS'!AV184</f>
        <v>5.7</v>
      </c>
      <c r="AZ25" s="3260" t="str">
        <f>$G$25</f>
        <v>5.5-5.9</v>
      </c>
      <c r="BA25" s="2895">
        <f>+'COKE OVENS'!AX184</f>
        <v>5.7093826316881549</v>
      </c>
      <c r="BB25" s="3266" t="str">
        <f>$G$25</f>
        <v>5.5-5.9</v>
      </c>
      <c r="BC25" s="3267">
        <f>+'COKE OVENS'!AZ184</f>
        <v>5.7</v>
      </c>
      <c r="BD25" s="3270" t="str">
        <f>$G$25</f>
        <v>5.5-5.9</v>
      </c>
      <c r="BE25" s="3270">
        <f>+'COKE OVENS'!BB184</f>
        <v>5.6999999999999993</v>
      </c>
      <c r="BF25" s="3271" t="str">
        <f>$G$25</f>
        <v>5.5-5.9</v>
      </c>
      <c r="BG25" s="3272">
        <f>+'COKE OVENS'!BD184</f>
        <v>5.7000000000000011</v>
      </c>
      <c r="BH25" s="3260" t="str">
        <f>$G$25</f>
        <v>5.5-5.9</v>
      </c>
      <c r="BI25" s="2895">
        <f>+'COKE OVENS'!BF184</f>
        <v>5.7085818691189694</v>
      </c>
    </row>
    <row r="26" spans="3:62" x14ac:dyDescent="0.25">
      <c r="C26" s="5936"/>
      <c r="D26" s="3285" t="s">
        <v>1006</v>
      </c>
      <c r="E26" s="3263" t="s">
        <v>49</v>
      </c>
      <c r="F26" s="3264">
        <v>66.654886908615453</v>
      </c>
      <c r="G26" s="3265" t="s">
        <v>1917</v>
      </c>
      <c r="H26" s="3266" t="str">
        <f>$G$26</f>
        <v>67.0-68.4</v>
      </c>
      <c r="I26" s="3267">
        <f>+'COKE OVENS'!F185</f>
        <v>68.400000000000006</v>
      </c>
      <c r="J26" s="3266" t="str">
        <f>$G$26</f>
        <v>67.0-68.4</v>
      </c>
      <c r="K26" s="3267">
        <f>+'COKE OVENS'!H185</f>
        <v>69</v>
      </c>
      <c r="L26" s="3260" t="str">
        <f>$G$26</f>
        <v>67.0-68.4</v>
      </c>
      <c r="M26" s="2895">
        <f>+'COKE OVENS'!J185</f>
        <v>68.697490182687389</v>
      </c>
      <c r="N26" s="3266" t="str">
        <f>$G$26</f>
        <v>67.0-68.4</v>
      </c>
      <c r="O26" s="3267">
        <f>+'COKE OVENS'!L185</f>
        <v>68.3</v>
      </c>
      <c r="P26" s="3268" t="str">
        <f>$G$26</f>
        <v>67.0-68.4</v>
      </c>
      <c r="Q26" s="3269">
        <f>+'COKE OVENS'!N185</f>
        <v>68.56359076406531</v>
      </c>
      <c r="R26" s="3266" t="str">
        <f>$G$26</f>
        <v>67.0-68.4</v>
      </c>
      <c r="S26" s="3267">
        <f>+'COKE OVENS'!P185</f>
        <v>68.5</v>
      </c>
      <c r="T26" s="3260" t="str">
        <f>$G$26</f>
        <v>67.0-68.4</v>
      </c>
      <c r="U26" s="2895">
        <f>+'COKE OVENS'!R185</f>
        <v>68.547105095324255</v>
      </c>
      <c r="V26" s="3266" t="str">
        <f>$G$26</f>
        <v>67.0-68.4</v>
      </c>
      <c r="W26" s="3267">
        <f>+'COKE OVENS'!T185</f>
        <v>68.599999999999994</v>
      </c>
      <c r="X26" s="3260" t="str">
        <f>$G$26</f>
        <v>67.0-68.4</v>
      </c>
      <c r="Y26" s="2895">
        <f>+'COKE OVENS'!V185</f>
        <v>68.557952480283248</v>
      </c>
      <c r="Z26" s="3266" t="str">
        <f>$G$26</f>
        <v>67.0-68.4</v>
      </c>
      <c r="AA26" s="3267">
        <f>+'COKE OVENS'!X185</f>
        <v>68.5</v>
      </c>
      <c r="AB26" s="3268" t="str">
        <f>$G$26</f>
        <v>67.0-68.4</v>
      </c>
      <c r="AC26" s="3268">
        <f>+'COKE OVENS'!Z185</f>
        <v>68.533691735628963</v>
      </c>
      <c r="AD26" s="3271" t="str">
        <f>$G$26</f>
        <v>67.0-68.4</v>
      </c>
      <c r="AE26" s="3272">
        <f>+'COKE OVENS'!AB185</f>
        <v>68.548393646424032</v>
      </c>
      <c r="AF26" s="3266" t="str">
        <f>$G$26</f>
        <v>67.0-68.4</v>
      </c>
      <c r="AG26" s="3267">
        <f>+'COKE OVENS'!AD185</f>
        <v>68.7</v>
      </c>
      <c r="AH26" s="3260" t="str">
        <f>$G$26</f>
        <v>67.0-68.4</v>
      </c>
      <c r="AI26" s="2895">
        <f>+'COKE OVENS'!AF185</f>
        <v>68.570225118096218</v>
      </c>
      <c r="AJ26" s="3266" t="str">
        <f>$G$26</f>
        <v>67.0-68.4</v>
      </c>
      <c r="AK26" s="3267">
        <f>+'COKE OVENS'!AH185</f>
        <v>68.3</v>
      </c>
      <c r="AL26" s="3260" t="str">
        <f>$G$26</f>
        <v>67.0-68.4</v>
      </c>
      <c r="AM26" s="2895">
        <f>+'COKE OVENS'!AJ185</f>
        <v>68.536818949630558</v>
      </c>
      <c r="AN26" s="3266" t="str">
        <f>$G$26</f>
        <v>67.0-68.4</v>
      </c>
      <c r="AO26" s="3267">
        <f>+'COKE OVENS'!AL185</f>
        <v>68.099999999999994</v>
      </c>
      <c r="AP26" s="3268" t="str">
        <f>$G$26</f>
        <v>67.0-68.4</v>
      </c>
      <c r="AQ26" s="3268">
        <f>+'COKE OVENS'!AN185</f>
        <v>68.365961510065162</v>
      </c>
      <c r="AR26" s="3260" t="str">
        <f>$G$26</f>
        <v>67.0-68.4</v>
      </c>
      <c r="AS26" s="2895">
        <f>+'COKE OVENS'!AP185</f>
        <v>68.487305191736723</v>
      </c>
      <c r="AT26" s="3266" t="str">
        <f>$G$26</f>
        <v>67.0-68.4</v>
      </c>
      <c r="AU26" s="3267">
        <f>+'COKE OVENS'!AR185</f>
        <v>68.400000000000006</v>
      </c>
      <c r="AV26" s="3260" t="str">
        <f>$G$26</f>
        <v>67.0-68.4</v>
      </c>
      <c r="AW26" s="2895">
        <f>+'COKE OVENS'!AT185</f>
        <v>68.478487093874691</v>
      </c>
      <c r="AX26" s="3266" t="str">
        <f>$G$26</f>
        <v>67.0-68.4</v>
      </c>
      <c r="AY26" s="3267">
        <f>+'COKE OVENS'!AV185</f>
        <v>68.7</v>
      </c>
      <c r="AZ26" s="3260" t="str">
        <f>$G$26</f>
        <v>67.0-68.4</v>
      </c>
      <c r="BA26" s="2895">
        <f>+'COKE OVENS'!AX185</f>
        <v>68.497034525727088</v>
      </c>
      <c r="BB26" s="3266" t="str">
        <f>$G$26</f>
        <v>67.0-68.4</v>
      </c>
      <c r="BC26" s="3267">
        <f>+'COKE OVENS'!AZ185</f>
        <v>69.099999999999994</v>
      </c>
      <c r="BD26" s="3270" t="str">
        <f>$G$26</f>
        <v>67.0-68.4</v>
      </c>
      <c r="BE26" s="3270">
        <f>+'COKE OVENS'!BB185</f>
        <v>68.735460511427917</v>
      </c>
      <c r="BF26" s="3271" t="str">
        <f>$G$26</f>
        <v>67.0-68.4</v>
      </c>
      <c r="BG26" s="3272">
        <f>+'COKE OVENS'!BD185</f>
        <v>68.548596281696746</v>
      </c>
      <c r="BH26" s="3260" t="str">
        <f>$G$26</f>
        <v>67.0-68.4</v>
      </c>
      <c r="BI26" s="2895">
        <f>+'COKE OVENS'!BF185</f>
        <v>68.548494734158695</v>
      </c>
    </row>
    <row r="27" spans="3:62" ht="14.4" thickBot="1" x14ac:dyDescent="0.3">
      <c r="C27" s="5937"/>
      <c r="D27" s="3289" t="s">
        <v>1007</v>
      </c>
      <c r="E27" s="3243" t="s">
        <v>49</v>
      </c>
      <c r="F27" s="3290">
        <v>20.559439644635848</v>
      </c>
      <c r="G27" s="3291" t="s">
        <v>1918</v>
      </c>
      <c r="H27" s="3292" t="str">
        <f>$G$27</f>
        <v>21.0-22.5</v>
      </c>
      <c r="I27" s="3293">
        <f>+'COKE OVENS'!F186</f>
        <v>21.2</v>
      </c>
      <c r="J27" s="3292" t="str">
        <f>$G$27</f>
        <v>21.0-22.5</v>
      </c>
      <c r="K27" s="3293">
        <f>+'COKE OVENS'!H186</f>
        <v>21.4</v>
      </c>
      <c r="L27" s="3294" t="str">
        <f>$G$27</f>
        <v>21.0-22.5</v>
      </c>
      <c r="M27" s="2911">
        <f>+'COKE OVENS'!J186</f>
        <v>21.299163394229126</v>
      </c>
      <c r="N27" s="3292" t="str">
        <f>$G$27</f>
        <v>21.0-22.5</v>
      </c>
      <c r="O27" s="3293">
        <f>+'COKE OVENS'!L186</f>
        <v>21.5</v>
      </c>
      <c r="P27" s="3295" t="str">
        <f>$G$27</f>
        <v>21.0-22.5</v>
      </c>
      <c r="Q27" s="3296">
        <f>+'COKE OVENS'!N186</f>
        <v>21.366817655697766</v>
      </c>
      <c r="R27" s="3292" t="str">
        <f>$G$27</f>
        <v>21.0-22.5</v>
      </c>
      <c r="S27" s="3293">
        <f>+'COKE OVENS'!P186</f>
        <v>21.3</v>
      </c>
      <c r="T27" s="3294" t="str">
        <f>$G$27</f>
        <v>21.0-22.5</v>
      </c>
      <c r="U27" s="2911">
        <f>+'COKE OVENS'!R186</f>
        <v>21.349495427319511</v>
      </c>
      <c r="V27" s="3292" t="str">
        <f>$G$27</f>
        <v>21.0-22.5</v>
      </c>
      <c r="W27" s="3293">
        <f>+'COKE OVENS'!T186</f>
        <v>21.2</v>
      </c>
      <c r="X27" s="3294" t="str">
        <f>$G$27</f>
        <v>21.0-22.5</v>
      </c>
      <c r="Y27" s="2911">
        <f>+'COKE OVENS'!V186</f>
        <v>21.318837758878949</v>
      </c>
      <c r="Z27" s="3292" t="str">
        <f>$G$27</f>
        <v>21.0-22.5</v>
      </c>
      <c r="AA27" s="3293">
        <f>+'COKE OVENS'!X186</f>
        <v>21.4</v>
      </c>
      <c r="AB27" s="3295" t="str">
        <f>$G$27</f>
        <v>21.0-22.5</v>
      </c>
      <c r="AC27" s="3295">
        <f>+'COKE OVENS'!Z186</f>
        <v>21.298759313075639</v>
      </c>
      <c r="AD27" s="3297" t="str">
        <f>$G$27</f>
        <v>21.0-22.5</v>
      </c>
      <c r="AE27" s="3298">
        <f>+'COKE OVENS'!AB186</f>
        <v>21.332224871470626</v>
      </c>
      <c r="AF27" s="3292" t="str">
        <f>$G$27</f>
        <v>21.0-22.5</v>
      </c>
      <c r="AG27" s="3293">
        <f>+'COKE OVENS'!AD186</f>
        <v>21.2</v>
      </c>
      <c r="AH27" s="3294" t="str">
        <f>$G$27</f>
        <v>21.0-22.5</v>
      </c>
      <c r="AI27" s="2911">
        <f>+'COKE OVENS'!AF186</f>
        <v>21.313184353261587</v>
      </c>
      <c r="AJ27" s="3292" t="str">
        <f>$G$27</f>
        <v>21.0-22.5</v>
      </c>
      <c r="AK27" s="3293">
        <f>+'COKE OVENS'!AH186</f>
        <v>21.8</v>
      </c>
      <c r="AL27" s="3294" t="str">
        <f>$G$27</f>
        <v>21.0-22.5</v>
      </c>
      <c r="AM27" s="2911">
        <f>+'COKE OVENS'!AJ186</f>
        <v>21.373366195798027</v>
      </c>
      <c r="AN27" s="3292" t="str">
        <f>$G$27</f>
        <v>21.0-22.5</v>
      </c>
      <c r="AO27" s="3293">
        <f>+'COKE OVENS'!AL186</f>
        <v>21.9</v>
      </c>
      <c r="AP27" s="3295" t="str">
        <f>$G$27</f>
        <v>21.0-22.5</v>
      </c>
      <c r="AQ27" s="3295">
        <f>+'COKE OVENS'!AN186</f>
        <v>21.633356495566346</v>
      </c>
      <c r="AR27" s="3294" t="str">
        <f>$G$27</f>
        <v>21.0-22.5</v>
      </c>
      <c r="AS27" s="2911">
        <f>+'COKE OVENS'!AP186</f>
        <v>21.433060535299607</v>
      </c>
      <c r="AT27" s="3292" t="str">
        <f>$G$27</f>
        <v>21.0-22.5</v>
      </c>
      <c r="AU27" s="3293">
        <f>+'COKE OVENS'!AR186</f>
        <v>21.3</v>
      </c>
      <c r="AV27" s="3294" t="str">
        <f>$G$27</f>
        <v>21.0-22.5</v>
      </c>
      <c r="AW27" s="2911">
        <f>+'COKE OVENS'!AT186</f>
        <v>21.419621004402249</v>
      </c>
      <c r="AX27" s="3292" t="str">
        <f>$G$27</f>
        <v>21.0-22.5</v>
      </c>
      <c r="AY27" s="3293">
        <f>+'COKE OVENS'!AV186</f>
        <v>21.1</v>
      </c>
      <c r="AZ27" s="3294" t="str">
        <f>$G$27</f>
        <v>21.0-22.5</v>
      </c>
      <c r="BA27" s="2911">
        <f>+'COKE OVENS'!AX186</f>
        <v>21.392858912290148</v>
      </c>
      <c r="BB27" s="3292" t="str">
        <f>$G$27</f>
        <v>21.0-22.5</v>
      </c>
      <c r="BC27" s="3293">
        <f>+'COKE OVENS'!AZ186</f>
        <v>20.7</v>
      </c>
      <c r="BD27" s="3278" t="str">
        <f>$G$27</f>
        <v>21.0-22.5</v>
      </c>
      <c r="BE27" s="3278">
        <f>+'COKE OVENS'!BB186</f>
        <v>21.030210454854036</v>
      </c>
      <c r="BF27" s="3297" t="str">
        <f>$G$27</f>
        <v>21.0-22.5</v>
      </c>
      <c r="BG27" s="3298">
        <f>+'COKE OVENS'!BD186</f>
        <v>21.335235420814534</v>
      </c>
      <c r="BH27" s="3294" t="str">
        <f>$G$27</f>
        <v>21.0-22.5</v>
      </c>
      <c r="BI27" s="2911">
        <f>+'COKE OVENS'!BF186</f>
        <v>21.333726730496274</v>
      </c>
    </row>
    <row r="28" spans="3:62" x14ac:dyDescent="0.25">
      <c r="C28" s="5935" t="s">
        <v>111</v>
      </c>
      <c r="D28" s="3299" t="s">
        <v>1002</v>
      </c>
      <c r="E28" s="3240" t="s">
        <v>226</v>
      </c>
      <c r="F28" s="3300">
        <v>1.3306230266546284</v>
      </c>
      <c r="G28" s="3301">
        <v>1.3202299618831927</v>
      </c>
      <c r="H28" s="3303">
        <f>+SINTER!E81</f>
        <v>1.3747994669743646</v>
      </c>
      <c r="I28" s="3303">
        <f>+SINTER!F81</f>
        <v>1.3029778433171244</v>
      </c>
      <c r="J28" s="3303">
        <f>+SINTER!G81</f>
        <v>1.2359975977125297</v>
      </c>
      <c r="K28" s="3303">
        <f>+SINTER!H81</f>
        <v>1.3046774043272014</v>
      </c>
      <c r="L28" s="3305">
        <f>+SINTER!I81</f>
        <v>1.3053985323434469</v>
      </c>
      <c r="M28" s="3305">
        <f>+SINTER!J81</f>
        <v>1.3034944768474592</v>
      </c>
      <c r="N28" s="3303">
        <f>+SINTER!K81</f>
        <v>1.3490593273127522</v>
      </c>
      <c r="O28" s="3303">
        <f>+SINTER!L81</f>
        <v>1.3513666877843524</v>
      </c>
      <c r="P28" s="3306">
        <f>+SINTER!M81</f>
        <v>1.3226013231360378</v>
      </c>
      <c r="Q28" s="3307">
        <f>+SINTER!N81</f>
        <v>1.323441718552316</v>
      </c>
      <c r="R28" s="3303">
        <f>+SINTER!O81</f>
        <v>1.3183991853222903</v>
      </c>
      <c r="S28" s="3303">
        <f>+SINTER!P81</f>
        <v>1.366822898549291</v>
      </c>
      <c r="T28" s="3304">
        <f>+SINTER!Q81</f>
        <v>1.3213842630218637</v>
      </c>
      <c r="U28" s="3305">
        <f>+SINTER!R81</f>
        <v>1.3366070191185351</v>
      </c>
      <c r="V28" s="3303">
        <f>+SINTER!S81</f>
        <v>1.3183991853222903</v>
      </c>
      <c r="W28" s="3303">
        <f>+SINTER!T81</f>
        <v>1.3502080533753245</v>
      </c>
      <c r="X28" s="3304">
        <f>+SINTER!U81</f>
        <v>1.3207138651042787</v>
      </c>
      <c r="Y28" s="3305">
        <f>+SINTER!V81</f>
        <v>1.3397118363989671</v>
      </c>
      <c r="Z28" s="3303">
        <f>+SINTER!W81</f>
        <v>1.3316987699231551</v>
      </c>
      <c r="AA28" s="3303">
        <f>+SINTER!X81</f>
        <v>1.3402221116050741</v>
      </c>
      <c r="AB28" s="3306">
        <f>+SINTER!Y81</f>
        <v>1.321252231523796</v>
      </c>
      <c r="AC28" s="3306">
        <f>+SINTER!Z81</f>
        <v>1.3526010378370645</v>
      </c>
      <c r="AD28" s="3308">
        <f>+SINTER!AA81</f>
        <v>1.3219141574623552</v>
      </c>
      <c r="AE28" s="3309">
        <f>+SINTER!AB81</f>
        <v>1.3398055401325308</v>
      </c>
      <c r="AF28" s="3303">
        <f>+SINTER!AC81</f>
        <v>1.3428765020223761</v>
      </c>
      <c r="AG28" s="3303">
        <f>+SINTER!AD81</f>
        <v>1.353242128383644</v>
      </c>
      <c r="AH28" s="3304">
        <f>+SINTER!AE81</f>
        <v>1.3254085141208756</v>
      </c>
      <c r="AI28" s="3305">
        <f>+SINTER!AF81</f>
        <v>1.3415202211596751</v>
      </c>
      <c r="AJ28" s="3303">
        <f>+SINTER!AG81</f>
        <v>1.3635578803571582</v>
      </c>
      <c r="AK28" s="3303">
        <f>+SINTER!AH81</f>
        <v>1.3990113713081909</v>
      </c>
      <c r="AL28" s="3304">
        <f>+SINTER!AI81</f>
        <v>1.3307014709855907</v>
      </c>
      <c r="AM28" s="3305">
        <f>+SINTER!AJ81</f>
        <v>1.3490171209846302</v>
      </c>
      <c r="AN28" s="3303">
        <f>+SINTER!AK81</f>
        <v>1.3568877087459619</v>
      </c>
      <c r="AO28" s="3303">
        <f>+SINTER!AL81</f>
        <v>1.3982073511348525</v>
      </c>
      <c r="AP28" s="3306">
        <f>+SINTER!AM81</f>
        <v>1.3543373861827348</v>
      </c>
      <c r="AQ28" s="3306">
        <f>+SINTER!AN81</f>
        <v>1.3850006884821779</v>
      </c>
      <c r="AR28" s="3304">
        <f>+SINTER!AO81</f>
        <v>1.3339890102403626</v>
      </c>
      <c r="AS28" s="3305">
        <f>+SINTER!AP81</f>
        <v>1.3546190391888826</v>
      </c>
      <c r="AT28" s="3303">
        <f>+SINTER!AQ81</f>
        <v>1.3624583553824443</v>
      </c>
      <c r="AU28" s="3303">
        <f>+SINTER!AR81</f>
        <v>1.3093182829950494</v>
      </c>
      <c r="AV28" s="3304">
        <f>+SINTER!AS81</f>
        <v>1.3371645139996586</v>
      </c>
      <c r="AW28" s="3305">
        <f>+SINTER!AT81</f>
        <v>1.3496360729172356</v>
      </c>
      <c r="AX28" s="3303">
        <f>+SINTER!AU81</f>
        <v>1.3628117798277934</v>
      </c>
      <c r="AY28" s="3303">
        <f>+SINTER!AV81</f>
        <v>1.3163906663977405</v>
      </c>
      <c r="AZ28" s="3304">
        <f>+SINTER!AW81</f>
        <v>1.3395022990135423</v>
      </c>
      <c r="BA28" s="3305">
        <f>+SINTER!AX81</f>
        <v>1.3467804554331786</v>
      </c>
      <c r="BB28" s="3303">
        <f>+SINTER!AY81</f>
        <v>1.3624583553824443</v>
      </c>
      <c r="BC28" s="3303">
        <f>+SINTER!AZ81</f>
        <v>1.3822583227797429</v>
      </c>
      <c r="BD28" s="3310">
        <f>+SINTER!BA81</f>
        <v>1.3625679681814367</v>
      </c>
      <c r="BE28" s="3310">
        <f>+SINTER!BB81</f>
        <v>1.3366938919169955</v>
      </c>
      <c r="BF28" s="3308">
        <f>+SINTER!BC81</f>
        <v>1.3584055105230672</v>
      </c>
      <c r="BG28" s="3309">
        <f>+SINTER!BD81</f>
        <v>1.3600386899001846</v>
      </c>
      <c r="BH28" s="3304">
        <f>+SINTER!BE81</f>
        <v>1.3416152485960839</v>
      </c>
      <c r="BI28" s="3305">
        <f>+SINTER!BF81</f>
        <v>1.3499671242236264</v>
      </c>
    </row>
    <row r="29" spans="3:62" x14ac:dyDescent="0.25">
      <c r="C29" s="5936"/>
      <c r="D29" s="3282" t="s">
        <v>748</v>
      </c>
      <c r="E29" s="3263" t="s">
        <v>217</v>
      </c>
      <c r="F29" s="3311">
        <v>783.62841572321815</v>
      </c>
      <c r="G29" s="3287">
        <v>779.73584585298568</v>
      </c>
      <c r="H29" s="3312">
        <f>+SINTER!E87</f>
        <v>779.73584585298568</v>
      </c>
      <c r="I29" s="3312">
        <f>+SINTER!F87</f>
        <v>778.23415594555149</v>
      </c>
      <c r="J29" s="3312">
        <f>+SINTER!G87</f>
        <v>779.73584585298568</v>
      </c>
      <c r="K29" s="3312">
        <f>+SINTER!H87</f>
        <v>780.45577742847354</v>
      </c>
      <c r="L29" s="2908">
        <f>+SINTER!I87</f>
        <v>779.7358458529859</v>
      </c>
      <c r="M29" s="2908">
        <f>+SINTER!J87</f>
        <v>778.91009858276209</v>
      </c>
      <c r="N29" s="3312">
        <f>+SINTER!K87</f>
        <v>783.9122570588894</v>
      </c>
      <c r="O29" s="3312">
        <f>+SINTER!L87</f>
        <v>783.21117058313894</v>
      </c>
      <c r="P29" s="3314">
        <f>+SINTER!M87</f>
        <v>781.41431211945587</v>
      </c>
      <c r="Q29" s="3315">
        <f>+SINTER!N87</f>
        <v>780.74007067137802</v>
      </c>
      <c r="R29" s="3312">
        <f>+SINTER!O87</f>
        <v>783.9122570588894</v>
      </c>
      <c r="S29" s="3312">
        <f>+SINTER!P87</f>
        <v>783.52095688008853</v>
      </c>
      <c r="T29" s="3313">
        <f>+SINTER!Q87</f>
        <v>782.13615453114005</v>
      </c>
      <c r="U29" s="2908">
        <f>+SINTER!R87</f>
        <v>781.60309123590957</v>
      </c>
      <c r="V29" s="3312">
        <f>+SINTER!S87</f>
        <v>783.9122570588894</v>
      </c>
      <c r="W29" s="3312">
        <f>+SINTER!T87</f>
        <v>782.91607838634161</v>
      </c>
      <c r="X29" s="3313">
        <f>+SINTER!U87</f>
        <v>782.53433801104711</v>
      </c>
      <c r="Y29" s="2908">
        <f>+SINTER!V87</f>
        <v>781.90516561253764</v>
      </c>
      <c r="Z29" s="3312">
        <f>+SINTER!W87</f>
        <v>783.9122570588894</v>
      </c>
      <c r="AA29" s="3312">
        <f>+SINTER!X87</f>
        <v>782.30127219945359</v>
      </c>
      <c r="AB29" s="3314">
        <f>+SINTER!Y87</f>
        <v>783.91225705888928</v>
      </c>
      <c r="AC29" s="3314">
        <f>+SINTER!Z87</f>
        <v>782.92498721800678</v>
      </c>
      <c r="AD29" s="3316">
        <f>+SINTER!AA87</f>
        <v>782.68601412433816</v>
      </c>
      <c r="AE29" s="3317">
        <f>+SINTER!AB87</f>
        <v>781.97792675383698</v>
      </c>
      <c r="AF29" s="3312">
        <f>+SINTER!AC87</f>
        <v>783.91225705888951</v>
      </c>
      <c r="AG29" s="3312">
        <f>+SINTER!AD87</f>
        <v>782.94763939385905</v>
      </c>
      <c r="AH29" s="3313">
        <f>+SINTER!AE87</f>
        <v>782.89311894664104</v>
      </c>
      <c r="AI29" s="2908">
        <f>+SINTER!AF87</f>
        <v>782.10275580699181</v>
      </c>
      <c r="AJ29" s="3312">
        <f>+SINTER!AG87</f>
        <v>783.9122570588894</v>
      </c>
      <c r="AK29" s="3312">
        <f>+SINTER!AH87</f>
        <v>781.00031130019715</v>
      </c>
      <c r="AL29" s="3313">
        <f>+SINTER!AI87</f>
        <v>783.03800847903472</v>
      </c>
      <c r="AM29" s="2908">
        <f>+SINTER!AJ87</f>
        <v>781.95366830726687</v>
      </c>
      <c r="AN29" s="3312">
        <f>+SINTER!AK87</f>
        <v>783.9122570588894</v>
      </c>
      <c r="AO29" s="3312">
        <f>+SINTER!AL87</f>
        <v>779.99961187980466</v>
      </c>
      <c r="AP29" s="3314">
        <f>+SINTER!AM87</f>
        <v>783.9122570588894</v>
      </c>
      <c r="AQ29" s="3314">
        <f>+SINTER!AN87</f>
        <v>781.22012861167264</v>
      </c>
      <c r="AR29" s="3313">
        <f>+SINTER!AO87</f>
        <v>783.14964966276011</v>
      </c>
      <c r="AS29" s="2908">
        <f>+SINTER!AP87</f>
        <v>781.72397443187833</v>
      </c>
      <c r="AT29" s="3312">
        <f>+SINTER!AQ87</f>
        <v>783.9122570588894</v>
      </c>
      <c r="AU29" s="3312">
        <f>+SINTER!AR87</f>
        <v>780.00709258552024</v>
      </c>
      <c r="AV29" s="3313">
        <f>+SINTER!AS87</f>
        <v>783.23632081306266</v>
      </c>
      <c r="AW29" s="2908">
        <f>+SINTER!AT87</f>
        <v>781.54076346810791</v>
      </c>
      <c r="AX29" s="3312">
        <f>+SINTER!AU87</f>
        <v>783.9122570588894</v>
      </c>
      <c r="AY29" s="3312">
        <f>+SINTER!AV87</f>
        <v>780</v>
      </c>
      <c r="AZ29" s="3313">
        <f>+SINTER!AW87</f>
        <v>783.29900552694926</v>
      </c>
      <c r="BA29" s="2908">
        <f>+SINTER!AX87</f>
        <v>781.41140574988708</v>
      </c>
      <c r="BB29" s="3312">
        <f>+SINTER!AY87</f>
        <v>783.9122570588894</v>
      </c>
      <c r="BC29" s="3312">
        <f>+SINTER!AZ87</f>
        <v>779.06578767231485</v>
      </c>
      <c r="BD29" s="3318">
        <f>+SINTER!BA87</f>
        <v>783.9122570588894</v>
      </c>
      <c r="BE29" s="3318">
        <f>+SINTER!BB87</f>
        <v>779.66809076809125</v>
      </c>
      <c r="BF29" s="3316">
        <f>+SINTER!BC87</f>
        <v>783.9122570588894</v>
      </c>
      <c r="BG29" s="3317">
        <f>+SINTER!BD87</f>
        <v>780.4318965018058</v>
      </c>
      <c r="BH29" s="3313">
        <f>+SINTER!BE87</f>
        <v>783.35632810898778</v>
      </c>
      <c r="BI29" s="2908">
        <f>+SINTER!BF87</f>
        <v>781.19567962470933</v>
      </c>
    </row>
    <row r="30" spans="3:62" x14ac:dyDescent="0.25">
      <c r="C30" s="5936"/>
      <c r="D30" s="3282" t="s">
        <v>750</v>
      </c>
      <c r="E30" s="3263" t="s">
        <v>217</v>
      </c>
      <c r="F30" s="3311">
        <v>102.61678267110892</v>
      </c>
      <c r="G30" s="3287">
        <v>59.970265965776647</v>
      </c>
      <c r="H30" s="3312">
        <f>+SINTER!E88</f>
        <v>59.970265965776655</v>
      </c>
      <c r="I30" s="3312">
        <f>+SINTER!F88</f>
        <v>48.038516808671936</v>
      </c>
      <c r="J30" s="3312">
        <f>+SINTER!G88</f>
        <v>59.970265965776647</v>
      </c>
      <c r="K30" s="3312">
        <f>+SINTER!H88</f>
        <v>65.97970153887951</v>
      </c>
      <c r="L30" s="2908">
        <f>+SINTER!I88</f>
        <v>59.970265965776662</v>
      </c>
      <c r="M30" s="2908">
        <f>+SINTER!J88</f>
        <v>53.497237753911129</v>
      </c>
      <c r="N30" s="3312">
        <f>+SINTER!K88</f>
        <v>64.938026921102121</v>
      </c>
      <c r="O30" s="3312">
        <f>+SINTER!L88</f>
        <v>52.001998543614491</v>
      </c>
      <c r="P30" s="3314">
        <f>+SINTER!M88</f>
        <v>61.966769368414489</v>
      </c>
      <c r="Q30" s="3315">
        <f>+SINTER!N88</f>
        <v>52.861060070671385</v>
      </c>
      <c r="R30" s="3312">
        <f>+SINTER!O88</f>
        <v>64.938026921102107</v>
      </c>
      <c r="S30" s="3312">
        <f>+SINTER!P88</f>
        <v>75.698562669615029</v>
      </c>
      <c r="T30" s="3313">
        <f>+SINTER!Q88</f>
        <v>62.825387059985196</v>
      </c>
      <c r="U30" s="2908">
        <f>+SINTER!R88</f>
        <v>59.94845340726097</v>
      </c>
      <c r="V30" s="3312">
        <f>+SINTER!S88</f>
        <v>64.938026921102107</v>
      </c>
      <c r="W30" s="3312">
        <f>+SINTER!T88</f>
        <v>62.727863478948478</v>
      </c>
      <c r="X30" s="3313">
        <f>+SINTER!U88</f>
        <v>63.299018665451172</v>
      </c>
      <c r="Y30" s="2908">
        <f>+SINTER!V88</f>
        <v>60.587902593433611</v>
      </c>
      <c r="Z30" s="3312">
        <f>+SINTER!W88</f>
        <v>64.938026921102121</v>
      </c>
      <c r="AA30" s="3312">
        <f>+SINTER!X88</f>
        <v>73.207500853825138</v>
      </c>
      <c r="AB30" s="3314">
        <f>+SINTER!Y88</f>
        <v>64.938026921102107</v>
      </c>
      <c r="AC30" s="3314">
        <f>+SINTER!Z88</f>
        <v>70.591207199787533</v>
      </c>
      <c r="AD30" s="3316">
        <f>+SINTER!AA88</f>
        <v>63.479434490501362</v>
      </c>
      <c r="AE30" s="3317">
        <f>+SINTER!AB88</f>
        <v>62.906006867624242</v>
      </c>
      <c r="AF30" s="3312">
        <f>+SINTER!AC88</f>
        <v>64.938026921102107</v>
      </c>
      <c r="AG30" s="3312">
        <f>+SINTER!AD88</f>
        <v>99.625806109179692</v>
      </c>
      <c r="AH30" s="3313">
        <f>+SINTER!AE88</f>
        <v>63.725781700862775</v>
      </c>
      <c r="AI30" s="2908">
        <f>+SINTER!AF88</f>
        <v>67.632868808145716</v>
      </c>
      <c r="AJ30" s="3312">
        <f>+SINTER!AG88</f>
        <v>64.938026921102107</v>
      </c>
      <c r="AK30" s="3312">
        <f>+SINTER!AH88</f>
        <v>67.715984992053649</v>
      </c>
      <c r="AL30" s="3313">
        <f>+SINTER!AI88</f>
        <v>63.898125018216831</v>
      </c>
      <c r="AM30" s="2908">
        <f>+SINTER!AJ88</f>
        <v>67.644108905918571</v>
      </c>
      <c r="AN30" s="3312">
        <f>+SINTER!AK88</f>
        <v>64.938026921102121</v>
      </c>
      <c r="AO30" s="3312">
        <f>+SINTER!AL88</f>
        <v>61.999428908855513</v>
      </c>
      <c r="AP30" s="3314">
        <f>+SINTER!AM88</f>
        <v>64.938026921102121</v>
      </c>
      <c r="AQ30" s="3314">
        <f>+SINTER!AN88</f>
        <v>75.064641319684512</v>
      </c>
      <c r="AR30" s="3313">
        <f>+SINTER!AO88</f>
        <v>64.030920063094968</v>
      </c>
      <c r="AS30" s="2908">
        <f>+SINTER!AP88</f>
        <v>66.980592537797378</v>
      </c>
      <c r="AT30" s="3312">
        <f>+SINTER!AQ88</f>
        <v>64.938026921102107</v>
      </c>
      <c r="AU30" s="3312">
        <f>+SINTER!AR88</f>
        <v>60.0278247585793</v>
      </c>
      <c r="AV30" s="3313">
        <f>+SINTER!AS88</f>
        <v>64.134013732563446</v>
      </c>
      <c r="AW30" s="2908">
        <f>+SINTER!AT88</f>
        <v>66.238652556076786</v>
      </c>
      <c r="AX30" s="3312">
        <f>+SINTER!AU88</f>
        <v>64.938026921102121</v>
      </c>
      <c r="AY30" s="3312">
        <f>+SINTER!AV88</f>
        <v>57.002471049338411</v>
      </c>
      <c r="AZ30" s="3313">
        <f>+SINTER!AW88</f>
        <v>64.208575996380205</v>
      </c>
      <c r="BA30" s="2908">
        <f>+SINTER!AX88</f>
        <v>65.463211426069392</v>
      </c>
      <c r="BB30" s="3312">
        <f>+SINTER!AY88</f>
        <v>64.938026921102107</v>
      </c>
      <c r="BC30" s="3312">
        <f>+SINTER!AZ88</f>
        <v>44.191054898533025</v>
      </c>
      <c r="BD30" s="3318">
        <f>+SINTER!BA88</f>
        <v>64.938026921102107</v>
      </c>
      <c r="BE30" s="3318">
        <f>+SINTER!BB88</f>
        <v>53.462224877362068</v>
      </c>
      <c r="BF30" s="3316">
        <f>+SINTER!BC88</f>
        <v>64.938026921102107</v>
      </c>
      <c r="BG30" s="3317">
        <f>+SINTER!BD88</f>
        <v>64.093440867985151</v>
      </c>
      <c r="BH30" s="3313">
        <f>+SINTER!BE88</f>
        <v>64.276760107299822</v>
      </c>
      <c r="BI30" s="2908">
        <f>+SINTER!BF88</f>
        <v>63.506814540430454</v>
      </c>
    </row>
    <row r="31" spans="3:62" x14ac:dyDescent="0.25">
      <c r="C31" s="5936"/>
      <c r="D31" s="3282" t="s">
        <v>749</v>
      </c>
      <c r="E31" s="3263" t="s">
        <v>217</v>
      </c>
      <c r="F31" s="3311">
        <v>101.93133462172391</v>
      </c>
      <c r="G31" s="3287">
        <v>99.746462779812191</v>
      </c>
      <c r="H31" s="3312">
        <f>+SINTER!E89</f>
        <v>99.746462779812191</v>
      </c>
      <c r="I31" s="3312">
        <f>+SINTER!F89</f>
        <v>113.71171232334204</v>
      </c>
      <c r="J31" s="3312">
        <f>+SINTER!G89</f>
        <v>99.746462779812177</v>
      </c>
      <c r="K31" s="3312">
        <f>+SINTER!H89</f>
        <v>126.24763087591288</v>
      </c>
      <c r="L31" s="2908">
        <f>+SINTER!I89</f>
        <v>99.746462779812191</v>
      </c>
      <c r="M31" s="2908">
        <f>+SINTER!J89</f>
        <v>117.52584623923197</v>
      </c>
      <c r="N31" s="3312">
        <f>+SINTER!K89</f>
        <v>99.85753196358155</v>
      </c>
      <c r="O31" s="3312">
        <f>+SINTER!L89</f>
        <v>90.357027060067935</v>
      </c>
      <c r="P31" s="3314">
        <f>+SINTER!M89</f>
        <v>99.79110059659078</v>
      </c>
      <c r="Q31" s="3315">
        <f>+SINTER!N89</f>
        <v>105.96636042402827</v>
      </c>
      <c r="R31" s="3312">
        <f>+SINTER!O89</f>
        <v>99.857531963581565</v>
      </c>
      <c r="S31" s="3312">
        <f>+SINTER!P89</f>
        <v>94.408985827721381</v>
      </c>
      <c r="T31" s="3313">
        <f>+SINTER!Q89</f>
        <v>99.810297568230567</v>
      </c>
      <c r="U31" s="2908">
        <f>+SINTER!R89</f>
        <v>102.37964338491894</v>
      </c>
      <c r="V31" s="3312">
        <f>+SINTER!S89</f>
        <v>99.857531963581565</v>
      </c>
      <c r="W31" s="3312">
        <f>+SINTER!T89</f>
        <v>98.653631853520153</v>
      </c>
      <c r="X31" s="3313">
        <f>+SINTER!U89</f>
        <v>99.820887022171618</v>
      </c>
      <c r="Y31" s="2908">
        <f>+SINTER!V89</f>
        <v>101.52241290076216</v>
      </c>
      <c r="Z31" s="3312">
        <f>+SINTER!W89</f>
        <v>99.857531963581565</v>
      </c>
      <c r="AA31" s="3312">
        <f>+SINTER!X89</f>
        <v>96.111360143442624</v>
      </c>
      <c r="AB31" s="3314">
        <f>+SINTER!Y89</f>
        <v>99.857531963581565</v>
      </c>
      <c r="AC31" s="3314">
        <f>+SINTER!Z89</f>
        <v>96.368010671991129</v>
      </c>
      <c r="AD31" s="3316">
        <f>+SINTER!AA89</f>
        <v>99.824920758618987</v>
      </c>
      <c r="AE31" s="3317">
        <f>+SINTER!AB89</f>
        <v>100.52845221629389</v>
      </c>
      <c r="AF31" s="3312">
        <f>+SINTER!AC89</f>
        <v>99.85753196358155</v>
      </c>
      <c r="AG31" s="3312">
        <f>+SINTER!AD89</f>
        <v>103.91842042408641</v>
      </c>
      <c r="AH31" s="3313">
        <f>+SINTER!AE89</f>
        <v>99.830428588771198</v>
      </c>
      <c r="AI31" s="2908">
        <f>+SINTER!AF89</f>
        <v>100.96483563973206</v>
      </c>
      <c r="AJ31" s="3312">
        <f>+SINTER!AG89</f>
        <v>99.857531963581565</v>
      </c>
      <c r="AK31" s="3312">
        <f>+SINTER!AH89</f>
        <v>101.59582311595113</v>
      </c>
      <c r="AL31" s="3313">
        <f>+SINTER!AI89</f>
        <v>99.834281840117001</v>
      </c>
      <c r="AM31" s="2908">
        <f>+SINTER!AJ89</f>
        <v>101.05016632495702</v>
      </c>
      <c r="AN31" s="3312">
        <f>+SINTER!AK89</f>
        <v>99.85753196358155</v>
      </c>
      <c r="AO31" s="3312">
        <f>+SINTER!AL89</f>
        <v>102.0007596066679</v>
      </c>
      <c r="AP31" s="3314">
        <f>+SINTER!AM89</f>
        <v>99.857531963581536</v>
      </c>
      <c r="AQ31" s="3314">
        <f>+SINTER!AN89</f>
        <v>102.41868904778158</v>
      </c>
      <c r="AR31" s="3313">
        <f>+SINTER!AO89</f>
        <v>99.837250871311511</v>
      </c>
      <c r="AS31" s="2908">
        <f>+SINTER!AP89</f>
        <v>101.1619059102248</v>
      </c>
      <c r="AT31" s="3312">
        <f>+SINTER!AQ89</f>
        <v>99.857531963581536</v>
      </c>
      <c r="AU31" s="3312">
        <f>+SINTER!AR89</f>
        <v>109.95417098586938</v>
      </c>
      <c r="AV31" s="3313">
        <f>+SINTER!AS89</f>
        <v>99.839555839248277</v>
      </c>
      <c r="AW31" s="2908">
        <f>+SINTER!AT89</f>
        <v>102.10014132907551</v>
      </c>
      <c r="AX31" s="3312">
        <f>+SINTER!AU89</f>
        <v>99.857531963581565</v>
      </c>
      <c r="AY31" s="3312">
        <f>+SINTER!AV89</f>
        <v>114.19551145639457</v>
      </c>
      <c r="AZ31" s="3313">
        <f>+SINTER!AW89</f>
        <v>99.841222902107504</v>
      </c>
      <c r="BA31" s="2908">
        <f>+SINTER!AX89</f>
        <v>103.11563106068625</v>
      </c>
      <c r="BB31" s="3312">
        <f>+SINTER!AY89</f>
        <v>99.857531963581536</v>
      </c>
      <c r="BC31" s="3312">
        <f>+SINTER!AZ89</f>
        <v>112.94322693429658</v>
      </c>
      <c r="BD31" s="3318">
        <f>+SINTER!BA89</f>
        <v>99.85753196358155</v>
      </c>
      <c r="BE31" s="3318">
        <f>+SINTER!BB89</f>
        <v>112.28226230478283</v>
      </c>
      <c r="BF31" s="3316">
        <f>+SINTER!BC89</f>
        <v>99.857531963581536</v>
      </c>
      <c r="BG31" s="3317">
        <f>+SINTER!BD89</f>
        <v>107.42809341981153</v>
      </c>
      <c r="BH31" s="3313">
        <f>+SINTER!BE89</f>
        <v>99.842747362244381</v>
      </c>
      <c r="BI31" s="2908">
        <f>+SINTER!BF89</f>
        <v>104.01947350541258</v>
      </c>
    </row>
    <row r="32" spans="3:62" x14ac:dyDescent="0.25">
      <c r="C32" s="5936"/>
      <c r="D32" s="3282" t="s">
        <v>26</v>
      </c>
      <c r="E32" s="3263" t="s">
        <v>217</v>
      </c>
      <c r="F32" s="3264">
        <v>74.095728405144612</v>
      </c>
      <c r="G32" s="3288">
        <v>62.999999999999993</v>
      </c>
      <c r="H32" s="3267">
        <f>+SINTER!E90</f>
        <v>63</v>
      </c>
      <c r="I32" s="3267">
        <f>+SINTER!F90</f>
        <v>61.40172216753227</v>
      </c>
      <c r="J32" s="3267">
        <f>+SINTER!G90</f>
        <v>63.000000000000007</v>
      </c>
      <c r="K32" s="3267">
        <f>+SINTER!H90</f>
        <v>63.579851610357522</v>
      </c>
      <c r="L32" s="2895">
        <f>+SINTER!I90</f>
        <v>63.000000000000007</v>
      </c>
      <c r="M32" s="2895">
        <f>+SINTER!J90</f>
        <v>62.06443207157632</v>
      </c>
      <c r="N32" s="3267">
        <f>+SINTER!K90</f>
        <v>63.5</v>
      </c>
      <c r="O32" s="3267">
        <f>+SINTER!L90</f>
        <v>63.945422750442496</v>
      </c>
      <c r="P32" s="3267">
        <f>+SINTER!M90</f>
        <v>63.200946001688905</v>
      </c>
      <c r="Q32" s="3267">
        <f>+SINTER!N90</f>
        <v>62.864734982332152</v>
      </c>
      <c r="R32" s="3267">
        <f>+SINTER!O90</f>
        <v>63.5</v>
      </c>
      <c r="S32" s="3267">
        <f>+SINTER!P90</f>
        <v>64.843200321640367</v>
      </c>
      <c r="T32" s="3267">
        <f>+SINTER!Q90</f>
        <v>63.287364983931823</v>
      </c>
      <c r="U32" s="3267">
        <f>+SINTER!R90</f>
        <v>63.478732156573749</v>
      </c>
      <c r="V32" s="3267">
        <f>+SINTER!S90</f>
        <v>63.5</v>
      </c>
      <c r="W32" s="3267">
        <f>+SINTER!T90</f>
        <v>63.479470430268883</v>
      </c>
      <c r="X32" s="3267">
        <f>+SINTER!U90</f>
        <v>63.335035514954271</v>
      </c>
      <c r="Y32" s="3267">
        <f>+SINTER!V90</f>
        <v>63.47890200862917</v>
      </c>
      <c r="Z32" s="3267">
        <f>+SINTER!W90</f>
        <v>63.5</v>
      </c>
      <c r="AA32" s="3267">
        <f>+SINTER!X90</f>
        <v>64.519830088797818</v>
      </c>
      <c r="AB32" s="3267">
        <f>+SINTER!Y90</f>
        <v>63.5</v>
      </c>
      <c r="AC32" s="3267">
        <f>+SINTER!Z90</f>
        <v>64.286288965614489</v>
      </c>
      <c r="AD32" s="3267">
        <f>+SINTER!AA90</f>
        <v>63.353194181068915</v>
      </c>
      <c r="AE32" s="3267">
        <f>+SINTER!AB90</f>
        <v>63.670110934775217</v>
      </c>
      <c r="AF32" s="3267">
        <f>+SINTER!AC90</f>
        <v>63.499999999999993</v>
      </c>
      <c r="AG32" s="3267">
        <f>+SINTER!AD90</f>
        <v>67.374804278018104</v>
      </c>
      <c r="AH32" s="3267">
        <f>+SINTER!AE90</f>
        <v>63.377988772895776</v>
      </c>
      <c r="AI32" s="3267">
        <f>+SINTER!AF90</f>
        <v>64.147008257940868</v>
      </c>
      <c r="AJ32" s="3267">
        <f>+SINTER!AG90</f>
        <v>63.5</v>
      </c>
      <c r="AK32" s="3267">
        <f>+SINTER!AH90</f>
        <v>66.274173552590611</v>
      </c>
      <c r="AL32" s="3267">
        <f>+SINTER!AI90</f>
        <v>63.395334949463447</v>
      </c>
      <c r="AM32" s="3267">
        <f>+SINTER!AJ90</f>
        <v>64.434672401874181</v>
      </c>
      <c r="AN32" s="3267">
        <f>+SINTER!AK90</f>
        <v>63.499999999999993</v>
      </c>
      <c r="AO32" s="3267">
        <f>+SINTER!AL90</f>
        <v>61.999428908855521</v>
      </c>
      <c r="AP32" s="3267">
        <f>+SINTER!AM90</f>
        <v>63.499999999999986</v>
      </c>
      <c r="AQ32" s="3267">
        <f>+SINTER!AN90</f>
        <v>65.097382549226097</v>
      </c>
      <c r="AR32" s="3267">
        <f>+SINTER!AO90</f>
        <v>63.408700633327101</v>
      </c>
      <c r="AS32" s="3267">
        <f>+SINTER!AP90</f>
        <v>64.148416330880039</v>
      </c>
      <c r="AT32" s="3267">
        <f>+SINTER!AQ90</f>
        <v>63.5</v>
      </c>
      <c r="AU32" s="3267">
        <f>+SINTER!AR90</f>
        <v>61.375416007419943</v>
      </c>
      <c r="AV32" s="3267">
        <f>+SINTER!AS90</f>
        <v>63.419076904487838</v>
      </c>
      <c r="AW32" s="3267">
        <f>+SINTER!AT90</f>
        <v>63.852505425377231</v>
      </c>
      <c r="AX32" s="3267">
        <f>+SINTER!AU90</f>
        <v>63.499999999999993</v>
      </c>
      <c r="AY32" s="3267">
        <f>+SINTER!AV90</f>
        <v>60.308849405741213</v>
      </c>
      <c r="AZ32" s="3267">
        <f>+SINTER!AW90</f>
        <v>63.426581519191267</v>
      </c>
      <c r="BA32" s="3267">
        <f>+SINTER!AX90</f>
        <v>63.554991065550141</v>
      </c>
      <c r="BB32" s="3267">
        <f>+SINTER!AY90</f>
        <v>63.5</v>
      </c>
      <c r="BC32" s="3267">
        <f>+SINTER!AZ90</f>
        <v>60.735385490274552</v>
      </c>
      <c r="BD32" s="3267">
        <f>+SINTER!BA90</f>
        <v>63.499999999999993</v>
      </c>
      <c r="BE32" s="3267">
        <f>+SINTER!BB90</f>
        <v>60.829923844810011</v>
      </c>
      <c r="BF32" s="3267">
        <f>+SINTER!BC90</f>
        <v>63.5</v>
      </c>
      <c r="BG32" s="3267">
        <f>+SINTER!BD90</f>
        <v>62.930072008273271</v>
      </c>
      <c r="BH32" s="3267">
        <f>+SINTER!BE90</f>
        <v>63.433444179405065</v>
      </c>
      <c r="BI32" s="3267">
        <f>+SINTER!BF90</f>
        <v>63.295672384857916</v>
      </c>
    </row>
    <row r="33" spans="3:61" x14ac:dyDescent="0.25">
      <c r="C33" s="5944"/>
      <c r="D33" s="3320" t="s">
        <v>2216</v>
      </c>
      <c r="E33" s="3321" t="s">
        <v>217</v>
      </c>
      <c r="F33" s="3322">
        <v>6.4308813342236046</v>
      </c>
      <c r="G33" s="3323">
        <v>9.0567340438111685</v>
      </c>
      <c r="H33" s="3267">
        <f>+SINTER!E93</f>
        <v>9.0567340438111668</v>
      </c>
      <c r="I33" s="3267">
        <f>+SINTER!F93</f>
        <v>9.185082091494392</v>
      </c>
      <c r="J33" s="3267">
        <f>+SINTER!G93</f>
        <v>9.0567340438111525</v>
      </c>
      <c r="K33" s="3267">
        <f>+SINTER!H93</f>
        <v>10.259196729476756</v>
      </c>
      <c r="L33" s="2895">
        <f>+SINTER!I93</f>
        <v>9.0567340438111614</v>
      </c>
      <c r="M33" s="2895">
        <f>+SINTER!J93</f>
        <v>9.5118883843960162</v>
      </c>
      <c r="N33" s="3267">
        <f>+SINTER!K93</f>
        <v>10.414589223195621</v>
      </c>
      <c r="O33" s="3267">
        <f>+SINTER!L93</f>
        <v>4.6668119508655925</v>
      </c>
      <c r="P33" s="3268">
        <f>+SINTER!M93</f>
        <v>9.6024451821509214</v>
      </c>
      <c r="Q33" s="3269">
        <f>+SINTER!N93</f>
        <v>7.4504593639575969</v>
      </c>
      <c r="R33" s="3267">
        <f>+SINTER!O93</f>
        <v>10.414589223195621</v>
      </c>
      <c r="S33" s="3267">
        <f>+SINTER!P93</f>
        <v>5.9227057995778472</v>
      </c>
      <c r="T33" s="3260">
        <f>+SINTER!Q93</f>
        <v>9.837134107422294</v>
      </c>
      <c r="U33" s="2895">
        <f>+SINTER!R93</f>
        <v>6.9763361368129235</v>
      </c>
      <c r="V33" s="3267">
        <f>+SINTER!S93</f>
        <v>10.414589223195621</v>
      </c>
      <c r="W33" s="3267">
        <f>+SINTER!T93</f>
        <v>9.9196459096140455</v>
      </c>
      <c r="X33" s="3260">
        <f>+SINTER!U93</f>
        <v>9.9665934623279941</v>
      </c>
      <c r="Y33" s="2895">
        <f>+SINTER!V93</f>
        <v>7.6534931558665971</v>
      </c>
      <c r="Z33" s="3267">
        <f>+SINTER!W93</f>
        <v>10.414589223195623</v>
      </c>
      <c r="AA33" s="3267">
        <f>+SINTER!X93</f>
        <v>8.7010117827868854</v>
      </c>
      <c r="AB33" s="3314">
        <f>+SINTER!Y93</f>
        <v>10.414589223195621</v>
      </c>
      <c r="AC33" s="3268">
        <f>+SINTER!Z93</f>
        <v>8.1484666366185294</v>
      </c>
      <c r="AD33" s="3316">
        <f>+SINTER!AA93</f>
        <v>10.015907139996946</v>
      </c>
      <c r="AE33" s="3272">
        <f>+SINTER!AB93</f>
        <v>7.8459127049087929</v>
      </c>
      <c r="AF33" s="3267">
        <f>+SINTER!AC93</f>
        <v>10.414589223195623</v>
      </c>
      <c r="AG33" s="3267">
        <f>+SINTER!AD93</f>
        <v>12.552745415461372</v>
      </c>
      <c r="AH33" s="3260">
        <f>+SINTER!AE93</f>
        <v>10.083242069862598</v>
      </c>
      <c r="AI33" s="2895">
        <f>+SINTER!AF93</f>
        <v>8.4518133051150723</v>
      </c>
      <c r="AJ33" s="3267">
        <f>+SINTER!AG93</f>
        <v>10.414589223195623</v>
      </c>
      <c r="AK33" s="3267">
        <f>+SINTER!AH93</f>
        <v>9.729496512891652</v>
      </c>
      <c r="AL33" s="3260">
        <f>+SINTER!AI93</f>
        <v>10.130349261252443</v>
      </c>
      <c r="AM33" s="2895">
        <f>+SINTER!AJ93</f>
        <v>8.6245989589180301</v>
      </c>
      <c r="AN33" s="3267">
        <f>+SINTER!AK93</f>
        <v>10.414589223195623</v>
      </c>
      <c r="AO33" s="3267">
        <f>+SINTER!AL93</f>
        <v>10.978256952202997</v>
      </c>
      <c r="AP33" s="3314">
        <f>+SINTER!AM93</f>
        <v>10.414589223195621</v>
      </c>
      <c r="AQ33" s="3268">
        <f>+SINTER!AN93</f>
        <v>10.995101943177874</v>
      </c>
      <c r="AR33" s="3260">
        <f>+SINTER!AO93</f>
        <v>10.166646587372986</v>
      </c>
      <c r="AS33" s="2895">
        <f>+SINTER!AP93</f>
        <v>8.901264882285945</v>
      </c>
      <c r="AT33" s="3267">
        <f>+SINTER!AQ93</f>
        <v>10.414589223195621</v>
      </c>
      <c r="AU33" s="3267">
        <f>+SINTER!AR93</f>
        <v>9.8859730481750248</v>
      </c>
      <c r="AV33" s="3260">
        <f>+SINTER!AS93</f>
        <v>10.194825534449627</v>
      </c>
      <c r="AW33" s="2895">
        <f>+SINTER!AT93</f>
        <v>9.0063445256451864</v>
      </c>
      <c r="AX33" s="3267">
        <f>+SINTER!AU93</f>
        <v>10.414589223195623</v>
      </c>
      <c r="AY33" s="3267">
        <f>+SINTER!AV93</f>
        <v>13.851216150117835</v>
      </c>
      <c r="AZ33" s="3260">
        <f>+SINTER!AW93</f>
        <v>10.21520589433826</v>
      </c>
      <c r="BA33" s="2895">
        <f>+SINTER!AX93</f>
        <v>9.4131049086542156</v>
      </c>
      <c r="BB33" s="3267">
        <f>+SINTER!AY93</f>
        <v>10.414589223195621</v>
      </c>
      <c r="BC33" s="3267">
        <f>+SINTER!AZ93</f>
        <v>8.8671714565540185</v>
      </c>
      <c r="BD33" s="3270">
        <f>+SINTER!BA93</f>
        <v>10.414589223195621</v>
      </c>
      <c r="BE33" s="3270">
        <f>+SINTER!BB93</f>
        <v>10.697721751814363</v>
      </c>
      <c r="BF33" s="3271">
        <f>+SINTER!BC93</f>
        <v>10.414589223195621</v>
      </c>
      <c r="BG33" s="3272">
        <f>+SINTER!BD93</f>
        <v>10.844071724011197</v>
      </c>
      <c r="BH33" s="3260">
        <f>+SINTER!BE93</f>
        <v>10.233842891769596</v>
      </c>
      <c r="BI33" s="2895">
        <f>+SINTER!BF93</f>
        <v>9.3628954950448193</v>
      </c>
    </row>
    <row r="34" spans="3:61" x14ac:dyDescent="0.25">
      <c r="C34" s="5944"/>
      <c r="D34" s="3320" t="s">
        <v>42</v>
      </c>
      <c r="E34" s="3321" t="s">
        <v>217</v>
      </c>
      <c r="F34" s="3322">
        <v>12.079400955259329</v>
      </c>
      <c r="G34" s="3323">
        <v>4</v>
      </c>
      <c r="H34" s="3267">
        <f>+SINTER!E95</f>
        <v>3.9999999999999991</v>
      </c>
      <c r="I34" s="3267">
        <f>+SINTER!F95</f>
        <v>0</v>
      </c>
      <c r="J34" s="3267">
        <f>+SINTER!G95</f>
        <v>4</v>
      </c>
      <c r="K34" s="3267">
        <f>+SINTER!H95</f>
        <v>0</v>
      </c>
      <c r="L34" s="2895" t="e">
        <f>+SINTER!#REF!</f>
        <v>#REF!</v>
      </c>
      <c r="M34" s="2895" t="e">
        <f>+SINTER!#REF!</f>
        <v>#REF!</v>
      </c>
      <c r="N34" s="3267" t="e">
        <f>+SINTER!#REF!</f>
        <v>#REF!</v>
      </c>
      <c r="O34" s="3267" t="e">
        <f>+SINTER!#REF!</f>
        <v>#REF!</v>
      </c>
      <c r="P34" s="3268" t="e">
        <f>+SINTER!#REF!</f>
        <v>#REF!</v>
      </c>
      <c r="Q34" s="3269" t="e">
        <f>+SINTER!#REF!</f>
        <v>#REF!</v>
      </c>
      <c r="R34" s="3267" t="e">
        <f>+SINTER!#REF!</f>
        <v>#REF!</v>
      </c>
      <c r="S34" s="3267" t="e">
        <f>+SINTER!#REF!</f>
        <v>#REF!</v>
      </c>
      <c r="T34" s="3260" t="e">
        <f>+SINTER!#REF!</f>
        <v>#REF!</v>
      </c>
      <c r="U34" s="2895" t="e">
        <f>+SINTER!#REF!</f>
        <v>#REF!</v>
      </c>
      <c r="V34" s="3267" t="e">
        <f>+SINTER!#REF!</f>
        <v>#REF!</v>
      </c>
      <c r="W34" s="3267" t="e">
        <f>+SINTER!#REF!</f>
        <v>#REF!</v>
      </c>
      <c r="X34" s="3260" t="e">
        <f>+SINTER!#REF!</f>
        <v>#REF!</v>
      </c>
      <c r="Y34" s="2895" t="e">
        <f>+SINTER!#REF!</f>
        <v>#REF!</v>
      </c>
      <c r="Z34" s="3267" t="e">
        <f>+SINTER!#REF!</f>
        <v>#REF!</v>
      </c>
      <c r="AA34" s="3267" t="e">
        <f>+SINTER!#REF!</f>
        <v>#REF!</v>
      </c>
      <c r="AB34" s="3314" t="e">
        <f>+SINTER!#REF!</f>
        <v>#REF!</v>
      </c>
      <c r="AC34" s="3268" t="e">
        <f>+SINTER!#REF!</f>
        <v>#REF!</v>
      </c>
      <c r="AD34" s="3316" t="e">
        <f>+SINTER!#REF!</f>
        <v>#REF!</v>
      </c>
      <c r="AE34" s="3272" t="e">
        <f>+SINTER!#REF!</f>
        <v>#REF!</v>
      </c>
      <c r="AF34" s="3267" t="e">
        <f>+SINTER!#REF!</f>
        <v>#REF!</v>
      </c>
      <c r="AG34" s="3267" t="e">
        <f>+SINTER!#REF!</f>
        <v>#REF!</v>
      </c>
      <c r="AH34" s="3260" t="e">
        <f>+SINTER!#REF!</f>
        <v>#REF!</v>
      </c>
      <c r="AI34" s="2895" t="e">
        <f>+SINTER!#REF!</f>
        <v>#REF!</v>
      </c>
      <c r="AJ34" s="3267" t="e">
        <f>+SINTER!#REF!</f>
        <v>#REF!</v>
      </c>
      <c r="AK34" s="3267" t="e">
        <f>+SINTER!#REF!</f>
        <v>#REF!</v>
      </c>
      <c r="AL34" s="3260" t="e">
        <f>+SINTER!#REF!</f>
        <v>#REF!</v>
      </c>
      <c r="AM34" s="2895" t="e">
        <f>+SINTER!#REF!</f>
        <v>#REF!</v>
      </c>
      <c r="AN34" s="3267" t="e">
        <f>+SINTER!#REF!</f>
        <v>#REF!</v>
      </c>
      <c r="AO34" s="3267" t="e">
        <f>+SINTER!#REF!</f>
        <v>#REF!</v>
      </c>
      <c r="AP34" s="3314" t="e">
        <f>+SINTER!#REF!</f>
        <v>#REF!</v>
      </c>
      <c r="AQ34" s="3268" t="e">
        <f>+SINTER!#REF!</f>
        <v>#REF!</v>
      </c>
      <c r="AR34" s="3260" t="e">
        <f>+SINTER!#REF!</f>
        <v>#REF!</v>
      </c>
      <c r="AS34" s="2895" t="e">
        <f>+SINTER!#REF!</f>
        <v>#REF!</v>
      </c>
      <c r="AT34" s="3267" t="e">
        <f>+SINTER!#REF!</f>
        <v>#REF!</v>
      </c>
      <c r="AU34" s="3267" t="e">
        <f>+SINTER!#REF!</f>
        <v>#REF!</v>
      </c>
      <c r="AV34" s="3260" t="e">
        <f>+SINTER!#REF!</f>
        <v>#REF!</v>
      </c>
      <c r="AW34" s="2895" t="e">
        <f>+SINTER!#REF!</f>
        <v>#REF!</v>
      </c>
      <c r="AX34" s="3267" t="e">
        <f>+SINTER!#REF!</f>
        <v>#REF!</v>
      </c>
      <c r="AY34" s="3267" t="e">
        <f>+SINTER!#REF!</f>
        <v>#REF!</v>
      </c>
      <c r="AZ34" s="3260" t="e">
        <f>+SINTER!#REF!</f>
        <v>#REF!</v>
      </c>
      <c r="BA34" s="2895" t="e">
        <f>+SINTER!#REF!</f>
        <v>#REF!</v>
      </c>
      <c r="BB34" s="3267" t="e">
        <f>+SINTER!#REF!</f>
        <v>#REF!</v>
      </c>
      <c r="BC34" s="3267" t="e">
        <f>+SINTER!#REF!</f>
        <v>#REF!</v>
      </c>
      <c r="BD34" s="3270" t="e">
        <f>+SINTER!#REF!</f>
        <v>#REF!</v>
      </c>
      <c r="BE34" s="3270" t="e">
        <f>+SINTER!#REF!</f>
        <v>#REF!</v>
      </c>
      <c r="BF34" s="3271" t="e">
        <f>+SINTER!#REF!</f>
        <v>#REF!</v>
      </c>
      <c r="BG34" s="3272" t="e">
        <f>+SINTER!#REF!</f>
        <v>#REF!</v>
      </c>
      <c r="BH34" s="3260" t="e">
        <f>+SINTER!#REF!</f>
        <v>#REF!</v>
      </c>
      <c r="BI34" s="2895" t="e">
        <f>+SINTER!#REF!</f>
        <v>#REF!</v>
      </c>
    </row>
    <row r="35" spans="3:61" ht="14.4" thickBot="1" x14ac:dyDescent="0.3">
      <c r="C35" s="5937"/>
      <c r="D35" s="3324" t="s">
        <v>1003</v>
      </c>
      <c r="E35" s="3243" t="s">
        <v>227</v>
      </c>
      <c r="F35" s="3290">
        <v>32.711238390550697</v>
      </c>
      <c r="G35" s="3325">
        <v>30.37881223726319</v>
      </c>
      <c r="H35" s="3293">
        <f>+SINTER!E83</f>
        <v>30.37</v>
      </c>
      <c r="I35" s="3293">
        <f>+SINTER!F83</f>
        <v>33.112291659594689</v>
      </c>
      <c r="J35" s="3293">
        <f>+SINTER!G83</f>
        <v>30.37</v>
      </c>
      <c r="K35" s="3293">
        <f>+SINTER!H83</f>
        <v>38.161947824287012</v>
      </c>
      <c r="L35" s="2911">
        <f>+SINTER!I83</f>
        <v>30.370000000000005</v>
      </c>
      <c r="M35" s="2911">
        <f>+SINTER!J83</f>
        <v>34.648682053371282</v>
      </c>
      <c r="N35" s="3293">
        <f>+SINTER!K83</f>
        <v>30.937619988311706</v>
      </c>
      <c r="O35" s="3293">
        <f>+SINTER!L83</f>
        <v>31.192641532500247</v>
      </c>
      <c r="P35" s="3295">
        <f>+SINTER!M83</f>
        <v>30.598121934259883</v>
      </c>
      <c r="Q35" s="3296">
        <f>+SINTER!N83</f>
        <v>33.1782445229682</v>
      </c>
      <c r="R35" s="3293">
        <f>+SINTER!O83</f>
        <v>30.93761998831171</v>
      </c>
      <c r="S35" s="3293">
        <f>+SINTER!P83</f>
        <v>31.291888632023316</v>
      </c>
      <c r="T35" s="3294">
        <f>+SINTER!Q83</f>
        <v>30.696228217641156</v>
      </c>
      <c r="U35" s="2911">
        <f>+SINTER!R83</f>
        <v>32.592832606144263</v>
      </c>
      <c r="V35" s="3293">
        <f>+SINTER!S83</f>
        <v>30.93761998831171</v>
      </c>
      <c r="W35" s="3293">
        <f>+SINTER!T83</f>
        <v>32.42672484661216</v>
      </c>
      <c r="X35" s="3294">
        <f>+SINTER!U83</f>
        <v>30.750345710164712</v>
      </c>
      <c r="Y35" s="2911">
        <f>+SINTER!V83</f>
        <v>32.554616772960181</v>
      </c>
      <c r="Z35" s="3293">
        <f>+SINTER!W83</f>
        <v>30.93761998831171</v>
      </c>
      <c r="AA35" s="3293">
        <f>+SINTER!X83</f>
        <v>32.829122908128404</v>
      </c>
      <c r="AB35" s="3295">
        <f>+SINTER!Y83</f>
        <v>30.937619988311706</v>
      </c>
      <c r="AC35" s="3295">
        <f>+SINTER!Z83</f>
        <v>32.166493788946148</v>
      </c>
      <c r="AD35" s="3297">
        <f>+SINTER!AA83</f>
        <v>30.770960153860209</v>
      </c>
      <c r="AE35" s="3298">
        <f>+SINTER!AB83</f>
        <v>32.605041028320372</v>
      </c>
      <c r="AF35" s="3293">
        <f>+SINTER!AC83</f>
        <v>30.937619988311706</v>
      </c>
      <c r="AG35" s="3293">
        <f>+SINTER!AD83</f>
        <v>34.24520978742602</v>
      </c>
      <c r="AH35" s="3294">
        <f>+SINTER!AE83</f>
        <v>30.799107965706121</v>
      </c>
      <c r="AI35" s="2911">
        <f>+SINTER!AF83</f>
        <v>32.816176476868115</v>
      </c>
      <c r="AJ35" s="3293">
        <f>+SINTER!AG83</f>
        <v>30.93761998831171</v>
      </c>
      <c r="AK35" s="3293">
        <f>+SINTER!AH83</f>
        <v>32.108649230214716</v>
      </c>
      <c r="AL35" s="3294">
        <f>+SINTER!AI83</f>
        <v>30.818800038787305</v>
      </c>
      <c r="AM35" s="2911">
        <f>+SINTER!AJ83</f>
        <v>32.720495045702442</v>
      </c>
      <c r="AN35" s="3293">
        <f>+SINTER!AK83</f>
        <v>30.937619988311706</v>
      </c>
      <c r="AO35" s="3293">
        <f>+SINTER!AL83</f>
        <v>29.352476899917644</v>
      </c>
      <c r="AP35" s="3295">
        <f>+SINTER!AM83</f>
        <v>30.937619988311706</v>
      </c>
      <c r="AQ35" s="3295">
        <f>+SINTER!AN83</f>
        <v>31.768181981724425</v>
      </c>
      <c r="AR35" s="3294">
        <f>+SINTER!AO83</f>
        <v>30.83397329742423</v>
      </c>
      <c r="AS35" s="2911">
        <f>+SINTER!AP83</f>
        <v>32.324593919505716</v>
      </c>
      <c r="AT35" s="3293">
        <f>+SINTER!AQ83</f>
        <v>30.937619988311702</v>
      </c>
      <c r="AU35" s="3293">
        <f>+SINTER!AR83</f>
        <v>32.277674723116391</v>
      </c>
      <c r="AV35" s="3294">
        <f>+SINTER!AS83</f>
        <v>30.845752855254201</v>
      </c>
      <c r="AW35" s="2911">
        <f>+SINTER!AT83</f>
        <v>32.319587103685471</v>
      </c>
      <c r="AX35" s="3293">
        <f>+SINTER!AU83</f>
        <v>30.937619988311702</v>
      </c>
      <c r="AY35" s="3293">
        <f>+SINTER!AV83</f>
        <v>33.020174942670387</v>
      </c>
      <c r="AZ35" s="3294">
        <f>+SINTER!AW83</f>
        <v>30.85427239387467</v>
      </c>
      <c r="BA35" s="2911">
        <f>+SINTER!AX83</f>
        <v>32.378406284007511</v>
      </c>
      <c r="BB35" s="3293">
        <f>+SINTER!AY83</f>
        <v>30.937619988311702</v>
      </c>
      <c r="BC35" s="3293">
        <f>+SINTER!AZ83</f>
        <v>32.089050833535168</v>
      </c>
      <c r="BD35" s="3278">
        <f>+SINTER!BA83</f>
        <v>30.93761998831171</v>
      </c>
      <c r="BE35" s="3278">
        <f>+SINTER!BB83</f>
        <v>32.430445491842669</v>
      </c>
      <c r="BF35" s="3297">
        <f>+SINTER!BC83</f>
        <v>30.93761998831171</v>
      </c>
      <c r="BG35" s="3298">
        <f>+SINTER!BD83</f>
        <v>32.104525174660857</v>
      </c>
      <c r="BH35" s="3294">
        <f>+SINTER!BE83</f>
        <v>30.862063160095364</v>
      </c>
      <c r="BI35" s="2911">
        <f>+SINTER!BF83</f>
        <v>32.351794308798794</v>
      </c>
    </row>
    <row r="36" spans="3:61" x14ac:dyDescent="0.25">
      <c r="C36" s="5940" t="s">
        <v>1016</v>
      </c>
      <c r="D36" s="3326" t="s">
        <v>352</v>
      </c>
      <c r="E36" s="3327" t="s">
        <v>360</v>
      </c>
      <c r="F36" s="3328">
        <v>400.04040555458937</v>
      </c>
      <c r="G36" s="3329">
        <f>+'Maj Techno Summ'!D10</f>
        <v>348.37400000000002</v>
      </c>
      <c r="H36" s="3330">
        <f>+'Maj Techno Summ'!E10</f>
        <v>375</v>
      </c>
      <c r="I36" s="3330">
        <f>+'Maj Techno Summ'!F10</f>
        <v>383.57168411248995</v>
      </c>
      <c r="J36" s="3330">
        <f>+'Maj Techno Summ'!G10</f>
        <v>356</v>
      </c>
      <c r="K36" s="3330">
        <f>+'Maj Techno Summ'!H10</f>
        <v>415.3147073734321</v>
      </c>
      <c r="L36" s="3331">
        <f>+'Maj Techno Summ'!I10</f>
        <v>366.00506329113927</v>
      </c>
      <c r="M36" s="3331">
        <f>+'Maj Techno Summ'!J10</f>
        <v>393.67312242745822</v>
      </c>
      <c r="N36" s="3330">
        <f>+'Maj Techno Summ'!K10</f>
        <v>356</v>
      </c>
      <c r="O36" s="3330">
        <f>+'Maj Techno Summ'!L10</f>
        <v>348.40698971547278</v>
      </c>
      <c r="P36" s="3332">
        <f>+'Maj Techno Summ'!M10</f>
        <v>362.10819165378672</v>
      </c>
      <c r="Q36" s="3333">
        <f>+'Maj Techno Summ'!N10</f>
        <v>374.24410949784038</v>
      </c>
      <c r="R36" s="3330">
        <f>+'Maj Techno Summ'!O10</f>
        <v>356</v>
      </c>
      <c r="S36" s="3330">
        <f>+'Maj Techno Summ'!P10</f>
        <v>362.56961546164109</v>
      </c>
      <c r="T36" s="3334">
        <f>+'Maj Techno Summ'!Q10</f>
        <v>360.38137472283813</v>
      </c>
      <c r="U36" s="3331">
        <f>+'Maj Techno Summ'!R10</f>
        <v>370.67613244216693</v>
      </c>
      <c r="V36" s="3330">
        <f>+'Maj Techno Summ'!S10</f>
        <v>356</v>
      </c>
      <c r="W36" s="3330">
        <f>+'Maj Techno Summ'!T10</f>
        <v>365.93798366603016</v>
      </c>
      <c r="X36" s="3334">
        <f>+'Maj Techno Summ'!U10</f>
        <v>359.41573033707863</v>
      </c>
      <c r="Y36" s="3331">
        <f>+'Maj Techno Summ'!V10</f>
        <v>369.61477738044778</v>
      </c>
      <c r="Z36" s="3330">
        <f>+'Maj Techno Summ'!W10</f>
        <v>383</v>
      </c>
      <c r="AA36" s="3330">
        <f>+'Maj Techno Summ'!X10</f>
        <v>390.38903144875366</v>
      </c>
      <c r="AB36" s="3332">
        <f>+'Maj Techno Summ'!Y10</f>
        <v>361.81538461538457</v>
      </c>
      <c r="AC36" s="3332">
        <f>+'Maj Techno Summ'!Z10</f>
        <v>372.53619548915242</v>
      </c>
      <c r="AD36" s="3335">
        <f>+'Maj Techno Summ'!AA10</f>
        <v>361.96144949884348</v>
      </c>
      <c r="AE36" s="3336">
        <f>+'Maj Techno Summ'!AB10</f>
        <v>373.29351573783219</v>
      </c>
      <c r="AF36" s="3330">
        <f>+'Maj Techno Summ'!AC10</f>
        <v>354</v>
      </c>
      <c r="AG36" s="3330">
        <f>+'Maj Techno Summ'!AD10</f>
        <v>407.03377172388349</v>
      </c>
      <c r="AH36" s="3334">
        <f>+'Maj Techno Summ'!AE10</f>
        <v>360.6319845857418</v>
      </c>
      <c r="AI36" s="3331">
        <f>+'Maj Techno Summ'!AF10</f>
        <v>377.63623611840563</v>
      </c>
      <c r="AJ36" s="3330">
        <f>+'Maj Techno Summ'!AG10</f>
        <v>354</v>
      </c>
      <c r="AK36" s="3330">
        <f>+'Maj Techno Summ'!AH10</f>
        <v>366.29801079835937</v>
      </c>
      <c r="AL36" s="3334">
        <f>+'Maj Techno Summ'!AI10</f>
        <v>359.7081260364842</v>
      </c>
      <c r="AM36" s="3331">
        <f>+'Maj Techno Summ'!AJ10</f>
        <v>376.11611040162575</v>
      </c>
      <c r="AN36" s="3330">
        <f>+'Maj Techno Summ'!AK10</f>
        <v>354</v>
      </c>
      <c r="AO36" s="3330">
        <f>+'Maj Techno Summ'!AL10</f>
        <v>379.38954607431214</v>
      </c>
      <c r="AP36" s="3332">
        <f>+'Maj Techno Summ'!AM10</f>
        <v>354</v>
      </c>
      <c r="AQ36" s="3332">
        <f>+'Maj Techno Summ'!AN10</f>
        <v>382.84532752383001</v>
      </c>
      <c r="AR36" s="3334">
        <f>+'Maj Techno Summ'!AO10</f>
        <v>358.99081681971967</v>
      </c>
      <c r="AS36" s="3331">
        <f>+'Maj Techno Summ'!AP10</f>
        <v>376.51342246842296</v>
      </c>
      <c r="AT36" s="3330">
        <f>+'Maj Techno Summ'!AQ10</f>
        <v>354</v>
      </c>
      <c r="AU36" s="3330">
        <f>+'Maj Techno Summ'!AR10</f>
        <v>385.39816586713408</v>
      </c>
      <c r="AV36" s="3334">
        <f>+'Maj Techno Summ'!AS10</f>
        <v>358.426060865838</v>
      </c>
      <c r="AW36" s="3331">
        <f>+'Maj Techno Summ'!AT10</f>
        <v>377.45214438640932</v>
      </c>
      <c r="AX36" s="3330">
        <f>+'Maj Techno Summ'!AU10</f>
        <v>354</v>
      </c>
      <c r="AY36" s="3330">
        <f>+'Maj Techno Summ'!AV10</f>
        <v>429.82864200130945</v>
      </c>
      <c r="AZ36" s="3334">
        <f>+'Maj Techno Summ'!AW10</f>
        <v>358.01946282600233</v>
      </c>
      <c r="BA36" s="3331">
        <f>+'Maj Techno Summ'!AX10</f>
        <v>381.5475377204715</v>
      </c>
      <c r="BB36" s="3330">
        <f>+'Maj Techno Summ'!AY10</f>
        <v>354</v>
      </c>
      <c r="BC36" s="3330">
        <f>+'Maj Techno Summ'!AZ10</f>
        <v>367.13628962682185</v>
      </c>
      <c r="BD36" s="3337">
        <f>+'Maj Techno Summ'!BA10</f>
        <v>354</v>
      </c>
      <c r="BE36" s="3337">
        <f>+'Maj Techno Summ'!BB10</f>
        <v>391.36137645781383</v>
      </c>
      <c r="BF36" s="3335">
        <f>+'Maj Techno Summ'!BC10</f>
        <v>354</v>
      </c>
      <c r="BG36" s="3336">
        <f>+'Maj Techno Summ'!BD10</f>
        <v>387.08691633158401</v>
      </c>
      <c r="BH36" s="3334">
        <f>+'Maj Techno Summ'!BE10</f>
        <v>357.64489939992939</v>
      </c>
      <c r="BI36" s="3331">
        <f>+'Maj Techno Summ'!BF10</f>
        <v>380.2352023346632</v>
      </c>
    </row>
    <row r="37" spans="3:61" x14ac:dyDescent="0.25">
      <c r="C37" s="5941"/>
      <c r="D37" s="3338" t="s">
        <v>353</v>
      </c>
      <c r="E37" s="506" t="s">
        <v>360</v>
      </c>
      <c r="F37" s="3339">
        <v>36.610035455154154</v>
      </c>
      <c r="G37" s="3340">
        <f>+'Maj Techno Summ'!D11</f>
        <v>27.055333333333333</v>
      </c>
      <c r="H37" s="3312">
        <f>+'Maj Techno Summ'!E11</f>
        <v>26</v>
      </c>
      <c r="I37" s="3312">
        <f>+'Maj Techno Summ'!F11</f>
        <v>31.725019192093036</v>
      </c>
      <c r="J37" s="3312">
        <f>+'Maj Techno Summ'!G11</f>
        <v>29</v>
      </c>
      <c r="K37" s="3312">
        <f>+'Maj Techno Summ'!H11</f>
        <v>33.469193127299313</v>
      </c>
      <c r="L37" s="2908">
        <f>+'Maj Techno Summ'!I11</f>
        <v>27.420253164556961</v>
      </c>
      <c r="M37" s="2908">
        <f>+'Maj Techno Summ'!J11</f>
        <v>32.28005975241485</v>
      </c>
      <c r="N37" s="3312">
        <f>+'Maj Techno Summ'!K11</f>
        <v>29</v>
      </c>
      <c r="O37" s="3312">
        <f>+'Maj Techno Summ'!L11</f>
        <v>31.876010889904354</v>
      </c>
      <c r="P37" s="3314">
        <f>+'Maj Techno Summ'!M11</f>
        <v>28.035548686244205</v>
      </c>
      <c r="Q37" s="3315">
        <f>+'Maj Techno Summ'!N11</f>
        <v>32.106634940009009</v>
      </c>
      <c r="R37" s="3312">
        <f>+'Maj Techno Summ'!O11</f>
        <v>29</v>
      </c>
      <c r="S37" s="3312">
        <f>+'Maj Techno Summ'!P11</f>
        <v>40.769372829277593</v>
      </c>
      <c r="T37" s="3313">
        <f>+'Maj Techno Summ'!Q11</f>
        <v>28.308203991130821</v>
      </c>
      <c r="U37" s="2908">
        <f>+'Maj Techno Summ'!R11</f>
        <v>34.754154389878543</v>
      </c>
      <c r="V37" s="3312">
        <f>+'Maj Techno Summ'!S11</f>
        <v>29</v>
      </c>
      <c r="W37" s="3312">
        <f>+'Maj Techno Summ'!T11</f>
        <v>37.253344065234799</v>
      </c>
      <c r="X37" s="3313">
        <f>+'Maj Techno Summ'!U11</f>
        <v>28.460674157303369</v>
      </c>
      <c r="Y37" s="2908">
        <f>+'Maj Techno Summ'!V11</f>
        <v>35.313978012449155</v>
      </c>
      <c r="Z37" s="3312">
        <f>+'Maj Techno Summ'!W11</f>
        <v>28</v>
      </c>
      <c r="AA37" s="3312">
        <f>+'Maj Techno Summ'!X11</f>
        <v>36.733820007940906</v>
      </c>
      <c r="AB37" s="3314">
        <f>+'Maj Techno Summ'!Y11</f>
        <v>28.784615384615385</v>
      </c>
      <c r="AC37" s="3314">
        <f>+'Maj Techno Summ'!Z11</f>
        <v>38.320943992264716</v>
      </c>
      <c r="AD37" s="3316">
        <f>+'Maj Techno Summ'!AA11</f>
        <v>28.410948342328449</v>
      </c>
      <c r="AE37" s="3317">
        <f>+'Maj Techno Summ'!AB11</f>
        <v>35.565405918985142</v>
      </c>
      <c r="AF37" s="3312">
        <f>+'Maj Techno Summ'!AC11</f>
        <v>29</v>
      </c>
      <c r="AG37" s="3312">
        <f>+'Maj Techno Summ'!AD11</f>
        <v>30.284127923390631</v>
      </c>
      <c r="AH37" s="3313">
        <f>+'Maj Techno Summ'!AE11</f>
        <v>28.509312780989081</v>
      </c>
      <c r="AI37" s="2908">
        <f>+'Maj Techno Summ'!AF11</f>
        <v>34.885650744737973</v>
      </c>
      <c r="AJ37" s="3312">
        <f>+'Maj Techno Summ'!AG11</f>
        <v>29</v>
      </c>
      <c r="AK37" s="3312">
        <f>+'Maj Techno Summ'!AH11</f>
        <v>37.743468925840951</v>
      </c>
      <c r="AL37" s="3313">
        <f>+'Maj Techno Summ'!AI11</f>
        <v>28.577667219458267</v>
      </c>
      <c r="AM37" s="2908">
        <f>+'Maj Techno Summ'!AJ11</f>
        <v>35.268800910513477</v>
      </c>
      <c r="AN37" s="3312">
        <f>+'Maj Techno Summ'!AK11</f>
        <v>29</v>
      </c>
      <c r="AO37" s="3312">
        <f>+'Maj Techno Summ'!AL11</f>
        <v>35.629725195876944</v>
      </c>
      <c r="AP37" s="3314">
        <f>+'Maj Techno Summ'!AM11</f>
        <v>29</v>
      </c>
      <c r="AQ37" s="3314">
        <f>+'Maj Techno Summ'!AN11</f>
        <v>34.815484048078119</v>
      </c>
      <c r="AR37" s="3313">
        <f>+'Maj Techno Summ'!AO11</f>
        <v>28.630739487675203</v>
      </c>
      <c r="AS37" s="2908">
        <f>+'Maj Techno Summ'!AP11</f>
        <v>35.312607964665055</v>
      </c>
      <c r="AT37" s="3312">
        <f>+'Maj Techno Summ'!AQ11</f>
        <v>29</v>
      </c>
      <c r="AU37" s="3312">
        <f>+'Maj Techno Summ'!AR11</f>
        <v>31.827294285431901</v>
      </c>
      <c r="AV37" s="3313">
        <f>+'Maj Techno Summ'!AS11</f>
        <v>28.672524646378054</v>
      </c>
      <c r="AW37" s="2908">
        <f>+'Maj Techno Summ'!AT11</f>
        <v>34.944365439818618</v>
      </c>
      <c r="AX37" s="3312">
        <f>+'Maj Techno Summ'!AU11</f>
        <v>29</v>
      </c>
      <c r="AY37" s="3312">
        <f>+'Maj Techno Summ'!AV11</f>
        <v>29.819621590301526</v>
      </c>
      <c r="AZ37" s="3313">
        <f>+'Maj Techno Summ'!AW11</f>
        <v>28.702608018684312</v>
      </c>
      <c r="BA37" s="2908">
        <f>+'Maj Techno Summ'!AX11</f>
        <v>34.543654381312905</v>
      </c>
      <c r="BB37" s="3312">
        <f>+'Maj Techno Summ'!AY11</f>
        <v>29</v>
      </c>
      <c r="BC37" s="3312">
        <f>+'Maj Techno Summ'!AZ11</f>
        <v>32.889139192692141</v>
      </c>
      <c r="BD37" s="3318">
        <f>+'Maj Techno Summ'!BA11</f>
        <v>29</v>
      </c>
      <c r="BE37" s="3318">
        <f>+'Maj Techno Summ'!BB11</f>
        <v>31.643808818828944</v>
      </c>
      <c r="BF37" s="3316">
        <f>+'Maj Techno Summ'!BC11</f>
        <v>29</v>
      </c>
      <c r="BG37" s="3317">
        <f>+'Maj Techno Summ'!BD11</f>
        <v>33.235767649252715</v>
      </c>
      <c r="BH37" s="3313">
        <f>+'Maj Techno Summ'!BE11</f>
        <v>28.730321214260503</v>
      </c>
      <c r="BI37" s="2908">
        <f>+'Maj Techno Summ'!BF11</f>
        <v>34.392988816868069</v>
      </c>
    </row>
    <row r="38" spans="3:61" x14ac:dyDescent="0.25">
      <c r="C38" s="5941"/>
      <c r="D38" s="3338" t="s">
        <v>354</v>
      </c>
      <c r="E38" s="506" t="s">
        <v>360</v>
      </c>
      <c r="F38" s="3339">
        <v>122.58808331992087</v>
      </c>
      <c r="G38" s="3340">
        <f>+'Maj Techno Summ'!D12</f>
        <v>149.57066666666665</v>
      </c>
      <c r="H38" s="3312">
        <f>+'Maj Techno Summ'!E12</f>
        <v>124</v>
      </c>
      <c r="I38" s="3312">
        <f>+'Maj Techno Summ'!F12</f>
        <v>125.12614330039881</v>
      </c>
      <c r="J38" s="3312">
        <f>+'Maj Techno Summ'!G12</f>
        <v>140</v>
      </c>
      <c r="K38" s="3312">
        <f>+'Maj Techno Summ'!H12</f>
        <v>93.149780269135292</v>
      </c>
      <c r="L38" s="2908">
        <f>+'Maj Techno Summ'!I12</f>
        <v>131.57468354430378</v>
      </c>
      <c r="M38" s="2908">
        <f>+'Maj Techno Summ'!J12</f>
        <v>114.95045032868428</v>
      </c>
      <c r="N38" s="3312">
        <f>+'Maj Techno Summ'!K12</f>
        <v>150</v>
      </c>
      <c r="O38" s="3312">
        <f>+'Maj Techno Summ'!L12</f>
        <v>155.24561139837525</v>
      </c>
      <c r="P38" s="3314">
        <f>+'Maj Techno Summ'!M12</f>
        <v>138.75115919629059</v>
      </c>
      <c r="Q38" s="3315">
        <f>+'Maj Techno Summ'!N12</f>
        <v>132.2458356094499</v>
      </c>
      <c r="R38" s="3312">
        <f>+'Maj Techno Summ'!O12</f>
        <v>150</v>
      </c>
      <c r="S38" s="3312">
        <f>+'Maj Techno Summ'!P12</f>
        <v>142.77673720259727</v>
      </c>
      <c r="T38" s="3313">
        <f>+'Maj Techno Summ'!Q12</f>
        <v>141.93126385809313</v>
      </c>
      <c r="U38" s="2908">
        <f>+'Maj Techno Summ'!R12</f>
        <v>135.46430616101284</v>
      </c>
      <c r="V38" s="3312">
        <f>+'Maj Techno Summ'!S12</f>
        <v>150</v>
      </c>
      <c r="W38" s="3312">
        <f>+'Maj Techno Summ'!T12</f>
        <v>141.84996849132682</v>
      </c>
      <c r="X38" s="3313">
        <f>+'Maj Techno Summ'!U12</f>
        <v>143.7095937770095</v>
      </c>
      <c r="Y38" s="2908">
        <f>+'Maj Techno Summ'!V12</f>
        <v>136.89470764414938</v>
      </c>
      <c r="Z38" s="3312">
        <f>+'Maj Techno Summ'!W12</f>
        <v>121</v>
      </c>
      <c r="AA38" s="3312">
        <f>+'Maj Techno Summ'!X12</f>
        <v>128.55199052682025</v>
      </c>
      <c r="AB38" s="3314">
        <f>+'Maj Techno Summ'!Y12</f>
        <v>143.75384615384615</v>
      </c>
      <c r="AC38" s="3314">
        <f>+'Maj Techno Summ'!Z12</f>
        <v>137.94406463264903</v>
      </c>
      <c r="AD38" s="3316">
        <f>+'Maj Techno Summ'!AA12</f>
        <v>141.25828835774865</v>
      </c>
      <c r="AE38" s="3317">
        <f>+'Maj Techno Summ'!AB12</f>
        <v>135.41736586506963</v>
      </c>
      <c r="AF38" s="3312">
        <f>+'Maj Techno Summ'!AC12</f>
        <v>152</v>
      </c>
      <c r="AG38" s="3312">
        <f>+'Maj Techno Summ'!AD12</f>
        <v>125.46642057802912</v>
      </c>
      <c r="AH38" s="3313">
        <f>+'Maj Techno Summ'!AE12</f>
        <v>143.05202312138729</v>
      </c>
      <c r="AI38" s="2908">
        <f>+'Maj Techno Summ'!AF12</f>
        <v>134.13657614842174</v>
      </c>
      <c r="AJ38" s="3312">
        <f>+'Maj Techno Summ'!AG12</f>
        <v>152</v>
      </c>
      <c r="AK38" s="3312">
        <f>+'Maj Techno Summ'!AH12</f>
        <v>136.65060811425192</v>
      </c>
      <c r="AL38" s="3313">
        <f>+'Maj Techno Summ'!AI12</f>
        <v>144.29850746268659</v>
      </c>
      <c r="AM38" s="2908">
        <f>+'Maj Techno Summ'!AJ12</f>
        <v>134.4736345977108</v>
      </c>
      <c r="AN38" s="3312">
        <f>+'Maj Techno Summ'!AK12</f>
        <v>152</v>
      </c>
      <c r="AO38" s="3312">
        <f>+'Maj Techno Summ'!AL12</f>
        <v>130.86443009846519</v>
      </c>
      <c r="AP38" s="3314">
        <f>+'Maj Techno Summ'!AM12</f>
        <v>152</v>
      </c>
      <c r="AQ38" s="3314">
        <f>+'Maj Techno Summ'!AN12</f>
        <v>131.31828243123769</v>
      </c>
      <c r="AR38" s="3313">
        <f>+'Maj Techno Summ'!AO12</f>
        <v>145.26631222812952</v>
      </c>
      <c r="AS38" s="2908">
        <f>+'Maj Techno Summ'!AP12</f>
        <v>134.03556871144514</v>
      </c>
      <c r="AT38" s="3312">
        <f>+'Maj Techno Summ'!AQ12</f>
        <v>152</v>
      </c>
      <c r="AU38" s="3312">
        <f>+'Maj Techno Summ'!AR12</f>
        <v>129.82365728764466</v>
      </c>
      <c r="AV38" s="3313">
        <f>+'Maj Techno Summ'!AS12</f>
        <v>146.0282897556794</v>
      </c>
      <c r="AW38" s="2908">
        <f>+'Maj Techno Summ'!AT12</f>
        <v>133.59055714580865</v>
      </c>
      <c r="AX38" s="3312">
        <f>+'Maj Techno Summ'!AU12</f>
        <v>152</v>
      </c>
      <c r="AY38" s="3312">
        <f>+'Maj Techno Summ'!AV12</f>
        <v>89.192169107715984</v>
      </c>
      <c r="AZ38" s="3313">
        <f>+'Maj Techno Summ'!AW12</f>
        <v>146.57687816270922</v>
      </c>
      <c r="BA38" s="2908">
        <f>+'Maj Techno Summ'!AX12</f>
        <v>130.11898362153039</v>
      </c>
      <c r="BB38" s="3312">
        <f>+'Maj Techno Summ'!AY12</f>
        <v>152</v>
      </c>
      <c r="BC38" s="3312">
        <f>+'Maj Techno Summ'!AZ12</f>
        <v>135.4212517722317</v>
      </c>
      <c r="BD38" s="3318">
        <f>+'Maj Techno Summ'!BA12</f>
        <v>152</v>
      </c>
      <c r="BE38" s="3318">
        <f>+'Maj Techno Summ'!BB12</f>
        <v>120.33673024487004</v>
      </c>
      <c r="BF38" s="3316">
        <f>+'Maj Techno Summ'!BC12</f>
        <v>152</v>
      </c>
      <c r="BG38" s="3317">
        <f>+'Maj Techno Summ'!BD12</f>
        <v>125.84870032731315</v>
      </c>
      <c r="BH38" s="3313">
        <f>+'Maj Techno Summ'!BE12</f>
        <v>147.08224496999648</v>
      </c>
      <c r="BI38" s="2908">
        <f>+'Maj Techno Summ'!BF12</f>
        <v>130.60182550128928</v>
      </c>
    </row>
    <row r="39" spans="3:61" x14ac:dyDescent="0.25">
      <c r="C39" s="5941"/>
      <c r="D39" s="3338" t="s">
        <v>237</v>
      </c>
      <c r="E39" s="506" t="s">
        <v>360</v>
      </c>
      <c r="F39" s="3339">
        <v>559.23852432966441</v>
      </c>
      <c r="G39" s="3340">
        <f>+'Maj Techno Summ'!D13</f>
        <v>525</v>
      </c>
      <c r="H39" s="3312">
        <f>+'Maj Techno Summ'!E13</f>
        <v>525</v>
      </c>
      <c r="I39" s="3312">
        <f>+'Maj Techno Summ'!F13</f>
        <v>540.42284660498183</v>
      </c>
      <c r="J39" s="3312">
        <f>+'Maj Techno Summ'!G13</f>
        <v>525</v>
      </c>
      <c r="K39" s="3312">
        <f>+'Maj Techno Summ'!H13</f>
        <v>541.93368076986667</v>
      </c>
      <c r="L39" s="2908">
        <f>+'Maj Techno Summ'!I13</f>
        <v>525</v>
      </c>
      <c r="M39" s="2908">
        <f>+'Maj Techno Summ'!J13</f>
        <v>540.90363250855739</v>
      </c>
      <c r="N39" s="3312">
        <f>+'Maj Techno Summ'!K13</f>
        <v>535</v>
      </c>
      <c r="O39" s="3312">
        <f>+'Maj Techno Summ'!L13</f>
        <v>535.52861200375241</v>
      </c>
      <c r="P39" s="3314">
        <f>+'Maj Techno Summ'!M13</f>
        <v>528.89489953632153</v>
      </c>
      <c r="Q39" s="3315">
        <f>+'Maj Techno Summ'!N13</f>
        <v>538.59658004729931</v>
      </c>
      <c r="R39" s="3312">
        <f>+'Maj Techno Summ'!O13</f>
        <v>535</v>
      </c>
      <c r="S39" s="3312">
        <f>+'Maj Techno Summ'!P13</f>
        <v>546.11572549351592</v>
      </c>
      <c r="T39" s="3313">
        <f>+'Maj Techno Summ'!Q13</f>
        <v>530.62084257206209</v>
      </c>
      <c r="U39" s="2908">
        <f>+'Maj Techno Summ'!R13</f>
        <v>540.89459299305827</v>
      </c>
      <c r="V39" s="3312">
        <f>+'Maj Techno Summ'!S13</f>
        <v>535</v>
      </c>
      <c r="W39" s="3312">
        <f>+'Maj Techno Summ'!T13</f>
        <v>545.04129622259177</v>
      </c>
      <c r="X39" s="3313">
        <f>+'Maj Techno Summ'!U13</f>
        <v>531.58599827139142</v>
      </c>
      <c r="Y39" s="2908">
        <f>+'Maj Techno Summ'!V13</f>
        <v>541.82346303704639</v>
      </c>
      <c r="Z39" s="3312">
        <f>+'Maj Techno Summ'!W13</f>
        <v>532</v>
      </c>
      <c r="AA39" s="3312">
        <f>+'Maj Techno Summ'!X13</f>
        <v>555.67484198351485</v>
      </c>
      <c r="AB39" s="3314">
        <f>+'Maj Techno Summ'!Y13</f>
        <v>534.35384615384612</v>
      </c>
      <c r="AC39" s="3314">
        <f>+'Maj Techno Summ'!Z13</f>
        <v>548.80120411406619</v>
      </c>
      <c r="AD39" s="3316">
        <f>+'Maj Techno Summ'!AA13</f>
        <v>531.63068619892056</v>
      </c>
      <c r="AE39" s="3317">
        <f>+'Maj Techno Summ'!AB13</f>
        <v>544.27628752188696</v>
      </c>
      <c r="AF39" s="3312">
        <f>+'Maj Techno Summ'!AC13</f>
        <v>535</v>
      </c>
      <c r="AG39" s="3312">
        <f>+'Maj Techno Summ'!AD13</f>
        <v>562.7843202253033</v>
      </c>
      <c r="AH39" s="3313">
        <f>+'Maj Techno Summ'!AE13</f>
        <v>532.19332048811816</v>
      </c>
      <c r="AI39" s="2908">
        <f>+'Maj Techno Summ'!AF13</f>
        <v>546.65846301156535</v>
      </c>
      <c r="AJ39" s="3312">
        <f>+'Maj Techno Summ'!AG13</f>
        <v>535</v>
      </c>
      <c r="AK39" s="3312">
        <f>+'Maj Techno Summ'!AH13</f>
        <v>540.69208783845227</v>
      </c>
      <c r="AL39" s="3313">
        <f>+'Maj Techno Summ'!AI13</f>
        <v>532.58430071862904</v>
      </c>
      <c r="AM39" s="2908">
        <f>+'Maj Techno Summ'!AJ13</f>
        <v>545.85854590985002</v>
      </c>
      <c r="AN39" s="3312">
        <f>+'Maj Techno Summ'!AK13</f>
        <v>535</v>
      </c>
      <c r="AO39" s="3312">
        <f>+'Maj Techno Summ'!AL13</f>
        <v>545.88370136865422</v>
      </c>
      <c r="AP39" s="3314">
        <f>+'Maj Techno Summ'!AM13</f>
        <v>535</v>
      </c>
      <c r="AQ39" s="3314">
        <f>+'Maj Techno Summ'!AN13</f>
        <v>548.97909400314586</v>
      </c>
      <c r="AR39" s="3313">
        <f>+'Maj Techno Summ'!AO13</f>
        <v>532.88786853552438</v>
      </c>
      <c r="AS39" s="2908">
        <f>+'Maj Techno Summ'!AP13</f>
        <v>545.8615991445331</v>
      </c>
      <c r="AT39" s="3312">
        <f>+'Maj Techno Summ'!AQ13</f>
        <v>535</v>
      </c>
      <c r="AU39" s="3312">
        <f>+'Maj Techno Summ'!AR13</f>
        <v>547.04911744021069</v>
      </c>
      <c r="AV39" s="3313">
        <f>+'Maj Techno Summ'!AS13</f>
        <v>533.12687526789546</v>
      </c>
      <c r="AW39" s="2908">
        <f>+'Maj Techno Summ'!AT13</f>
        <v>545.98706697203659</v>
      </c>
      <c r="AX39" s="3312">
        <f>+'Maj Techno Summ'!AU13</f>
        <v>535</v>
      </c>
      <c r="AY39" s="3312">
        <f>+'Maj Techno Summ'!AV13</f>
        <v>548.84043269932704</v>
      </c>
      <c r="AZ39" s="3313">
        <f>+'Maj Techno Summ'!AW13</f>
        <v>533.29894900739589</v>
      </c>
      <c r="BA39" s="2908">
        <f>+'Maj Techno Summ'!AX13</f>
        <v>546.21017572331471</v>
      </c>
      <c r="BB39" s="3312">
        <f>+'Maj Techno Summ'!AY13</f>
        <v>535</v>
      </c>
      <c r="BC39" s="3312">
        <f>+'Maj Techno Summ'!AZ13</f>
        <v>535.44668059174569</v>
      </c>
      <c r="BD39" s="3318">
        <f>+'Maj Techno Summ'!BA13</f>
        <v>535</v>
      </c>
      <c r="BE39" s="3318">
        <f>+'Maj Techno Summ'!BB13</f>
        <v>543.34191552151287</v>
      </c>
      <c r="BF39" s="3316">
        <f>+'Maj Techno Summ'!BC13</f>
        <v>535</v>
      </c>
      <c r="BG39" s="3317">
        <f>+'Maj Techno Summ'!BD13</f>
        <v>546.17138430814987</v>
      </c>
      <c r="BH39" s="3313">
        <f>+'Maj Techno Summ'!BE13</f>
        <v>533.45746558418637</v>
      </c>
      <c r="BI39" s="2908">
        <f>+'Maj Techno Summ'!BF13</f>
        <v>545.2300166528205</v>
      </c>
    </row>
    <row r="40" spans="3:61" x14ac:dyDescent="0.25">
      <c r="C40" s="5941"/>
      <c r="D40" s="3338" t="s">
        <v>1746</v>
      </c>
      <c r="E40" s="506" t="s">
        <v>367</v>
      </c>
      <c r="F40" s="3341">
        <v>2.086254508453981</v>
      </c>
      <c r="G40" s="3342">
        <f>+'Maj Techno Summ'!D14</f>
        <v>2.4702702969758947</v>
      </c>
      <c r="H40" s="3343">
        <f>+'Maj Techno Summ'!E14</f>
        <v>2.2528865108420164</v>
      </c>
      <c r="I40" s="3343">
        <f>+'Maj Techno Summ'!F14</f>
        <v>2.2602393900469333</v>
      </c>
      <c r="J40" s="3343">
        <f>+'Maj Techno Summ'!G14</f>
        <v>2.3936919177696425</v>
      </c>
      <c r="K40" s="3343">
        <f>+'Maj Techno Summ'!H14</f>
        <v>1.8271182958050995</v>
      </c>
      <c r="L40" s="3344">
        <f>+'Maj Techno Summ'!I14</f>
        <v>2.3174223223505117</v>
      </c>
      <c r="M40" s="3344">
        <f>+'Maj Techno Summ'!J14</f>
        <v>2.1016899539850775</v>
      </c>
      <c r="N40" s="3343">
        <f>+'Maj Techno Summ'!K14</f>
        <v>2.4471008652249489</v>
      </c>
      <c r="O40" s="3343">
        <f>+'Maj Techno Summ'!L14</f>
        <v>2.4868497260238507</v>
      </c>
      <c r="P40" s="3345">
        <f>+'Maj Techno Summ'!M14</f>
        <v>2.3662622930434813</v>
      </c>
      <c r="Q40" s="3346">
        <f>+'Maj Techno Summ'!N14</f>
        <v>2.2513521651965509</v>
      </c>
      <c r="R40" s="3343">
        <f>+'Maj Techno Summ'!O14</f>
        <v>2.3936919177696425</v>
      </c>
      <c r="S40" s="3343">
        <f>+'Maj Techno Summ'!P14</f>
        <v>2.4358635913554569</v>
      </c>
      <c r="T40" s="3347">
        <f>+'Maj Techno Summ'!Q14</f>
        <v>2.3739528420321245</v>
      </c>
      <c r="U40" s="3344">
        <f>+'Maj Techno Summ'!R14</f>
        <v>2.3047065256361394</v>
      </c>
      <c r="V40" s="3343">
        <f>+'Maj Techno Summ'!S14</f>
        <v>2.3936919177696425</v>
      </c>
      <c r="W40" s="3343">
        <f>+'Maj Techno Summ'!T14</f>
        <v>2.3754677151130301</v>
      </c>
      <c r="X40" s="3347">
        <f>+'Maj Techno Summ'!U14</f>
        <v>2.3782752673761065</v>
      </c>
      <c r="Y40" s="3344">
        <f>+'Maj Techno Summ'!V14</f>
        <v>2.320188317704734</v>
      </c>
      <c r="Z40" s="3343">
        <f>+'Maj Techno Summ'!W14</f>
        <v>2.3168490916157101</v>
      </c>
      <c r="AA40" s="3343">
        <f>+'Maj Techno Summ'!X14</f>
        <v>2.3089599228862205</v>
      </c>
      <c r="AB40" s="3345">
        <f>+'Maj Techno Summ'!Y14</f>
        <v>2.018205442123318</v>
      </c>
      <c r="AC40" s="3345">
        <f>+'Maj Techno Summ'!Z14</f>
        <v>2.3743513256456312</v>
      </c>
      <c r="AD40" s="3348">
        <f>+'Maj Techno Summ'!AA14</f>
        <v>2.3714884711682132</v>
      </c>
      <c r="AE40" s="3349">
        <f>+'Maj Techno Summ'!AB14</f>
        <v>2.3181920253217072</v>
      </c>
      <c r="AF40" s="3343">
        <f>+'Maj Techno Summ'!AC14</f>
        <v>2.4406270534121841</v>
      </c>
      <c r="AG40" s="3343">
        <f>+'Maj Techno Summ'!AD14</f>
        <v>2.1223595645794298</v>
      </c>
      <c r="AH40" s="3347">
        <f>+'Maj Techno Summ'!AE14</f>
        <v>2.3827600328236067</v>
      </c>
      <c r="AI40" s="3344">
        <f>+'Maj Techno Summ'!AF14</f>
        <v>2.2909837371806643</v>
      </c>
      <c r="AJ40" s="3343">
        <f>+'Maj Techno Summ'!AG14</f>
        <v>2.4471008652249489</v>
      </c>
      <c r="AK40" s="3343">
        <f>+'Maj Techno Summ'!AH14</f>
        <v>2.3620869272753087</v>
      </c>
      <c r="AL40" s="3347">
        <f>+'Maj Techno Summ'!AI14</f>
        <v>2.3915193586075274</v>
      </c>
      <c r="AM40" s="3344">
        <f>+'Maj Techno Summ'!AJ14</f>
        <v>2.3002671123769578</v>
      </c>
      <c r="AN40" s="3343">
        <f>+'Maj Techno Summ'!AK14</f>
        <v>2.4406270534121841</v>
      </c>
      <c r="AO40" s="3343">
        <f>+'Maj Techno Summ'!AL14</f>
        <v>2.307723312740801</v>
      </c>
      <c r="AP40" s="3345">
        <f>+'Maj Techno Summ'!AM14</f>
        <v>2.4427364977107255</v>
      </c>
      <c r="AQ40" s="3345">
        <f>+'Maj Techno Summ'!AN14</f>
        <v>2.2684138231452518</v>
      </c>
      <c r="AR40" s="3347">
        <f>+'Maj Techno Summ'!AO14</f>
        <v>2.3975816161762218</v>
      </c>
      <c r="AS40" s="3344">
        <f>+'Maj Techno Summ'!AP14</f>
        <v>2.3011695358700011</v>
      </c>
      <c r="AT40" s="3343">
        <f>+'Maj Techno Summ'!AQ14</f>
        <v>2.478175161926218</v>
      </c>
      <c r="AU40" s="3343">
        <f>+'Maj Techno Summ'!AR14</f>
        <v>2.2672002493376202</v>
      </c>
      <c r="AV40" s="3347">
        <f>+'Maj Techno Summ'!AS14</f>
        <v>2.4064375026088309</v>
      </c>
      <c r="AW40" s="3344">
        <f>+'Maj Techno Summ'!AT14</f>
        <v>2.2975324774855745</v>
      </c>
      <c r="AX40" s="3343">
        <f>+'Maj Techno Summ'!AU14</f>
        <v>2.4614871136977587</v>
      </c>
      <c r="AY40" s="3343">
        <f>+'Maj Techno Summ'!AV14</f>
        <v>2.0074321710463376</v>
      </c>
      <c r="AZ40" s="3347">
        <f>+'Maj Techno Summ'!AW14</f>
        <v>2.411391689058199</v>
      </c>
      <c r="BA40" s="3344">
        <f>+'Maj Techno Summ'!AX14</f>
        <v>2.2718611540514697</v>
      </c>
      <c r="BB40" s="3343">
        <f>+'Maj Techno Summ'!AY14</f>
        <v>2.478175161926218</v>
      </c>
      <c r="BC40" s="3343">
        <f>+'Maj Techno Summ'!AZ14</f>
        <v>2.3665177008969525</v>
      </c>
      <c r="BD40" s="3350">
        <f>+'Maj Techno Summ'!BA14</f>
        <v>2.4729961124760065</v>
      </c>
      <c r="BE40" s="3350">
        <f>+'Maj Techno Summ'!BB14</f>
        <v>2.2196034453298354</v>
      </c>
      <c r="BF40" s="3348">
        <f>+'Maj Techno Summ'!BC14</f>
        <v>2.4576943754640177</v>
      </c>
      <c r="BG40" s="3349">
        <f>+'Maj Techno Summ'!BD14</f>
        <v>2.2438374054957788</v>
      </c>
      <c r="BH40" s="3347">
        <f>+'Maj Techno Summ'!BE14</f>
        <v>2.4174626035584201</v>
      </c>
      <c r="BI40" s="3344">
        <f>+'Maj Techno Summ'!BF14</f>
        <v>2.2801663652219371</v>
      </c>
    </row>
    <row r="41" spans="3:61" x14ac:dyDescent="0.25">
      <c r="C41" s="5941"/>
      <c r="D41" s="3415" t="s">
        <v>1732</v>
      </c>
      <c r="E41" s="3263" t="s">
        <v>49</v>
      </c>
      <c r="F41" s="3416"/>
      <c r="G41" s="3259">
        <f>'B-FCE'!D52</f>
        <v>70</v>
      </c>
      <c r="H41" s="3259">
        <f>'B-FCE'!E52</f>
        <v>70</v>
      </c>
      <c r="I41" s="3267">
        <f>'B-FCE'!F52</f>
        <v>71.488901927598349</v>
      </c>
      <c r="J41" s="3259">
        <f>'B-FCE'!G52</f>
        <v>70</v>
      </c>
      <c r="K41" s="3267">
        <f>'B-FCE'!H52</f>
        <v>68.984559504465935</v>
      </c>
      <c r="L41" s="3260">
        <f>'B-FCE'!I52</f>
        <v>70</v>
      </c>
      <c r="M41" s="2895">
        <f>'B-FCE'!J52</f>
        <v>70.680006924292357</v>
      </c>
      <c r="N41" s="3259">
        <f>'B-FCE'!K52</f>
        <v>70</v>
      </c>
      <c r="O41" s="3267">
        <f>'B-FCE'!L52</f>
        <v>70.603076765400957</v>
      </c>
      <c r="P41" s="3268">
        <f>'B-FCE'!M52</f>
        <v>70</v>
      </c>
      <c r="Q41" s="3269">
        <f>'B-FCE'!N52</f>
        <v>70.64670150666926</v>
      </c>
      <c r="R41" s="3259">
        <f>'B-FCE'!O52</f>
        <v>70</v>
      </c>
      <c r="S41" s="3267">
        <f>'B-FCE'!P52</f>
        <v>70.948413654028116</v>
      </c>
      <c r="T41" s="3260">
        <f>'B-FCE'!Q52</f>
        <v>70</v>
      </c>
      <c r="U41" s="2895">
        <f>'B-FCE'!R52</f>
        <v>70.739371964867445</v>
      </c>
      <c r="V41" s="3259">
        <f>'B-FCE'!S52</f>
        <v>70</v>
      </c>
      <c r="W41" s="3267">
        <f>'B-FCE'!T52</f>
        <v>71.412130955035664</v>
      </c>
      <c r="X41" s="3260">
        <f>'B-FCE'!U52</f>
        <v>70</v>
      </c>
      <c r="Y41" s="2895">
        <f>'B-FCE'!V52</f>
        <v>70.890581727281386</v>
      </c>
      <c r="Z41" s="3259">
        <f>'B-FCE'!W52</f>
        <v>70</v>
      </c>
      <c r="AA41" s="3267">
        <f>'B-FCE'!X52</f>
        <v>71.775411644618927</v>
      </c>
      <c r="AB41" s="3314">
        <f>'B-FCE'!Y52</f>
        <v>70</v>
      </c>
      <c r="AC41" s="3268">
        <f>'B-FCE'!Z52</f>
        <v>71.365148800778968</v>
      </c>
      <c r="AD41" s="3316">
        <f>'B-FCE'!AA52</f>
        <v>70</v>
      </c>
      <c r="AE41" s="3272">
        <f>'B-FCE'!AB52</f>
        <v>71.047833949666796</v>
      </c>
      <c r="AF41" s="3259">
        <f>'B-FCE'!AC52</f>
        <v>70</v>
      </c>
      <c r="AG41" s="3267">
        <f>'B-FCE'!AD52</f>
        <v>70.192964767058328</v>
      </c>
      <c r="AH41" s="3260">
        <f>'B-FCE'!AE52</f>
        <v>70</v>
      </c>
      <c r="AI41" s="2895">
        <f>'B-FCE'!AF52</f>
        <v>70.936419917075341</v>
      </c>
      <c r="AJ41" s="3259">
        <f>'B-FCE'!AG52</f>
        <v>70</v>
      </c>
      <c r="AK41" s="3267">
        <f>'B-FCE'!AH52</f>
        <v>71.299475739148974</v>
      </c>
      <c r="AL41" s="3260">
        <f>'B-FCE'!AI52</f>
        <v>70</v>
      </c>
      <c r="AM41" s="2895">
        <f>'B-FCE'!AJ52</f>
        <v>70.985618411487877</v>
      </c>
      <c r="AN41" s="3259">
        <f>'B-FCE'!AK52</f>
        <v>70</v>
      </c>
      <c r="AO41" s="3267">
        <f>'B-FCE'!AL52</f>
        <v>67.962178746849304</v>
      </c>
      <c r="AP41" s="3314">
        <f>'B-FCE'!AM52</f>
        <v>70</v>
      </c>
      <c r="AQ41" s="3268">
        <f>'B-FCE'!AN52</f>
        <v>69.768783385287577</v>
      </c>
      <c r="AR41" s="3260">
        <f>'B-FCE'!AO52</f>
        <v>70</v>
      </c>
      <c r="AS41" s="2895">
        <f>'B-FCE'!AP52</f>
        <v>70.611367564718435</v>
      </c>
      <c r="AT41" s="3259">
        <f>'B-FCE'!AQ52</f>
        <v>70</v>
      </c>
      <c r="AU41" s="3267">
        <f>'B-FCE'!AR52</f>
        <v>68.691563814948694</v>
      </c>
      <c r="AV41" s="3260">
        <f>'B-FCE'!AS52</f>
        <v>70</v>
      </c>
      <c r="AW41" s="2896">
        <f>'B-FCE'!AT52</f>
        <v>70.406706483026397</v>
      </c>
      <c r="AX41" s="3259">
        <f>'B-FCE'!AU52</f>
        <v>70</v>
      </c>
      <c r="AY41" s="3267">
        <f>'B-FCE'!AV52</f>
        <v>72.190192142263896</v>
      </c>
      <c r="AZ41" s="3260">
        <f>'B-FCE'!AW52</f>
        <v>70</v>
      </c>
      <c r="BA41" s="2895">
        <f>'B-FCE'!AX52</f>
        <v>70.545115729494583</v>
      </c>
      <c r="BB41" s="3259">
        <f>'B-FCE'!AY52</f>
        <v>70</v>
      </c>
      <c r="BC41" s="3267">
        <f>'B-FCE'!AZ52</f>
        <v>72.275284582999859</v>
      </c>
      <c r="BD41" s="3270">
        <f>'B-FCE'!BA52</f>
        <v>70</v>
      </c>
      <c r="BE41" s="3270">
        <f>'B-FCE'!BB52</f>
        <v>70.969266257123536</v>
      </c>
      <c r="BF41" s="3271">
        <f>'B-FCE'!BC52</f>
        <v>70</v>
      </c>
      <c r="BG41" s="3272">
        <f>'B-FCE'!BD52</f>
        <v>70.362197475061009</v>
      </c>
      <c r="BH41" s="3260">
        <f>'B-FCE'!BE52</f>
        <v>70</v>
      </c>
      <c r="BI41" s="2895">
        <f>'B-FCE'!BF52</f>
        <v>70.700889265069549</v>
      </c>
    </row>
    <row r="42" spans="3:61" x14ac:dyDescent="0.25">
      <c r="C42" s="5941"/>
      <c r="D42" s="3415" t="s">
        <v>1733</v>
      </c>
      <c r="E42" s="3263" t="s">
        <v>49</v>
      </c>
      <c r="F42" s="3416"/>
      <c r="G42" s="3259">
        <f>'B-FCE'!D53</f>
        <v>17</v>
      </c>
      <c r="H42" s="3259">
        <f>'B-FCE'!E53</f>
        <v>17</v>
      </c>
      <c r="I42" s="3267">
        <f>'B-FCE'!F53</f>
        <v>15.217146620866739</v>
      </c>
      <c r="J42" s="3259">
        <f>'B-FCE'!G53</f>
        <v>17</v>
      </c>
      <c r="K42" s="3267">
        <f>'B-FCE'!H53</f>
        <v>17.654815348292281</v>
      </c>
      <c r="L42" s="3260">
        <f>'B-FCE'!I53</f>
        <v>17.000000000000004</v>
      </c>
      <c r="M42" s="2895">
        <f>'B-FCE'!J53</f>
        <v>16.00450622277911</v>
      </c>
      <c r="N42" s="3259">
        <f>'B-FCE'!K53</f>
        <v>17</v>
      </c>
      <c r="O42" s="3267">
        <f>'B-FCE'!L53</f>
        <v>15.047416471674611</v>
      </c>
      <c r="P42" s="3268">
        <f>'B-FCE'!M53</f>
        <v>17.000000000000014</v>
      </c>
      <c r="Q42" s="3269">
        <f>'B-FCE'!N53</f>
        <v>15.590152810246639</v>
      </c>
      <c r="R42" s="3259">
        <f>'B-FCE'!O53</f>
        <v>17</v>
      </c>
      <c r="S42" s="3267">
        <f>'B-FCE'!P53</f>
        <v>12.547111298604772</v>
      </c>
      <c r="T42" s="3260">
        <f>'B-FCE'!Q53</f>
        <v>17</v>
      </c>
      <c r="U42" s="2895">
        <f>'B-FCE'!R53</f>
        <v>14.655486925334394</v>
      </c>
      <c r="V42" s="3259">
        <f>'B-FCE'!S53</f>
        <v>17</v>
      </c>
      <c r="W42" s="3267">
        <f>'B-FCE'!T53</f>
        <v>16.742641892683451</v>
      </c>
      <c r="X42" s="3260">
        <f>'B-FCE'!U53</f>
        <v>16.999999999999986</v>
      </c>
      <c r="Y42" s="2895">
        <f>'B-FCE'!V53</f>
        <v>15.124597277401195</v>
      </c>
      <c r="Z42" s="3259">
        <f>'B-FCE'!W53</f>
        <v>17</v>
      </c>
      <c r="AA42" s="3267">
        <f>'B-FCE'!X53</f>
        <v>17.088308088955316</v>
      </c>
      <c r="AB42" s="3314">
        <f>'B-FCE'!Y53</f>
        <v>17.000000000000007</v>
      </c>
      <c r="AC42" s="3268">
        <f>'B-FCE'!Z53</f>
        <v>15.381380613189572</v>
      </c>
      <c r="AD42" s="3316">
        <f>'B-FCE'!AA53</f>
        <v>17.000000000000004</v>
      </c>
      <c r="AE42" s="3272">
        <f>'B-FCE'!AB53</f>
        <v>15.473588516495298</v>
      </c>
      <c r="AF42" s="3259">
        <f>'B-FCE'!AC53</f>
        <v>17</v>
      </c>
      <c r="AG42" s="3267">
        <f>'B-FCE'!AD53</f>
        <v>16.632684498704275</v>
      </c>
      <c r="AH42" s="3260">
        <f>'B-FCE'!AE53</f>
        <v>17</v>
      </c>
      <c r="AI42" s="2895">
        <f>'B-FCE'!AF53</f>
        <v>15.624652047811763</v>
      </c>
      <c r="AJ42" s="3259">
        <f>'B-FCE'!AG53</f>
        <v>17</v>
      </c>
      <c r="AK42" s="3267">
        <f>'B-FCE'!AH53</f>
        <v>16.546201866162754</v>
      </c>
      <c r="AL42" s="3260">
        <f>'B-FCE'!AI53</f>
        <v>17.000000000000018</v>
      </c>
      <c r="AM42" s="2895">
        <f>'B-FCE'!AJ53</f>
        <v>15.749533294254956</v>
      </c>
      <c r="AN42" s="3259">
        <f>'B-FCE'!AK53</f>
        <v>17</v>
      </c>
      <c r="AO42" s="3267">
        <f>'B-FCE'!AL53</f>
        <v>16.50419807859916</v>
      </c>
      <c r="AP42" s="3314">
        <f>'B-FCE'!AM53</f>
        <v>17</v>
      </c>
      <c r="AQ42" s="3268">
        <f>'B-FCE'!AN53</f>
        <v>16.555984687432669</v>
      </c>
      <c r="AR42" s="3260">
        <f>'B-FCE'!AO53</f>
        <v>17</v>
      </c>
      <c r="AS42" s="2895">
        <f>'B-FCE'!AP53</f>
        <v>15.84294806878186</v>
      </c>
      <c r="AT42" s="3259">
        <f>'B-FCE'!AQ53</f>
        <v>17</v>
      </c>
      <c r="AU42" s="3267">
        <f>'B-FCE'!AR53</f>
        <v>14.258202945770389</v>
      </c>
      <c r="AV42" s="3260">
        <f>'B-FCE'!AS53</f>
        <v>17</v>
      </c>
      <c r="AW42" s="2896">
        <f>'B-FCE'!AT53</f>
        <v>15.674005982320899</v>
      </c>
      <c r="AX42" s="3259">
        <f>'B-FCE'!AU53</f>
        <v>17</v>
      </c>
      <c r="AY42" s="3267">
        <f>'B-FCE'!AV53</f>
        <v>14.295112121795412</v>
      </c>
      <c r="AZ42" s="3260">
        <f>'B-FCE'!AW53</f>
        <v>17.000000000000004</v>
      </c>
      <c r="BA42" s="2895">
        <f>'B-FCE'!AX53</f>
        <v>15.566995500231274</v>
      </c>
      <c r="BB42" s="3259">
        <f>'B-FCE'!AY53</f>
        <v>17</v>
      </c>
      <c r="BC42" s="3267">
        <f>'B-FCE'!AZ53</f>
        <v>15.591139578588084</v>
      </c>
      <c r="BD42" s="3270">
        <f>'B-FCE'!BA53</f>
        <v>17</v>
      </c>
      <c r="BE42" s="3270">
        <f>'B-FCE'!BB53</f>
        <v>14.748408201545113</v>
      </c>
      <c r="BF42" s="3271">
        <f>'B-FCE'!BC53</f>
        <v>17</v>
      </c>
      <c r="BG42" s="3272">
        <f>'B-FCE'!BD53</f>
        <v>15.662476433184631</v>
      </c>
      <c r="BH42" s="3260">
        <f>'B-FCE'!BE53</f>
        <v>17.000000000000004</v>
      </c>
      <c r="BI42" s="2895">
        <f>'B-FCE'!BF53</f>
        <v>15.569169281386333</v>
      </c>
    </row>
    <row r="43" spans="3:61" x14ac:dyDescent="0.25">
      <c r="C43" s="5941"/>
      <c r="D43" s="3415" t="s">
        <v>1734</v>
      </c>
      <c r="E43" s="3263" t="s">
        <v>49</v>
      </c>
      <c r="F43" s="3416"/>
      <c r="G43" s="3259">
        <f>G41+G42</f>
        <v>87</v>
      </c>
      <c r="H43" s="3259">
        <f>H41+H42</f>
        <v>87</v>
      </c>
      <c r="I43" s="3267">
        <f t="shared" ref="I43:BI43" si="0">I41+I42</f>
        <v>86.706048548465091</v>
      </c>
      <c r="J43" s="3259">
        <f>J41+J42</f>
        <v>87</v>
      </c>
      <c r="K43" s="3267">
        <f t="shared" ref="K43" si="1">K41+K42</f>
        <v>86.639374852758209</v>
      </c>
      <c r="L43" s="3260">
        <f t="shared" si="0"/>
        <v>87</v>
      </c>
      <c r="M43" s="2895">
        <f t="shared" si="0"/>
        <v>86.68451314707147</v>
      </c>
      <c r="N43" s="3259">
        <f>N41+N42</f>
        <v>87</v>
      </c>
      <c r="O43" s="3267">
        <f t="shared" ref="O43" si="2">O41+O42</f>
        <v>85.650493237075565</v>
      </c>
      <c r="P43" s="3268">
        <f t="shared" si="0"/>
        <v>87.000000000000014</v>
      </c>
      <c r="Q43" s="3269">
        <f t="shared" si="0"/>
        <v>86.236854316915895</v>
      </c>
      <c r="R43" s="3259">
        <f>R41+R42</f>
        <v>87</v>
      </c>
      <c r="S43" s="3267">
        <f t="shared" ref="S43" si="3">S41+S42</f>
        <v>83.495524952632891</v>
      </c>
      <c r="T43" s="3260">
        <f t="shared" si="0"/>
        <v>87</v>
      </c>
      <c r="U43" s="2895">
        <f t="shared" si="0"/>
        <v>85.394858890201846</v>
      </c>
      <c r="V43" s="3259">
        <f>V41+V42</f>
        <v>87</v>
      </c>
      <c r="W43" s="3267">
        <f t="shared" ref="W43" si="4">W41+W42</f>
        <v>88.154772847719116</v>
      </c>
      <c r="X43" s="3260">
        <f t="shared" ref="X43:Y43" si="5">X41+X42</f>
        <v>86.999999999999986</v>
      </c>
      <c r="Y43" s="2895">
        <f t="shared" si="5"/>
        <v>86.015179004682579</v>
      </c>
      <c r="Z43" s="3259">
        <f>Z41+Z42</f>
        <v>87</v>
      </c>
      <c r="AA43" s="3267">
        <f t="shared" ref="AA43" si="6">AA41+AA42</f>
        <v>88.863719733574243</v>
      </c>
      <c r="AB43" s="3314">
        <f t="shared" si="0"/>
        <v>87</v>
      </c>
      <c r="AC43" s="3268">
        <f t="shared" si="0"/>
        <v>86.746529413968545</v>
      </c>
      <c r="AD43" s="3316">
        <f t="shared" si="0"/>
        <v>87</v>
      </c>
      <c r="AE43" s="3272">
        <f t="shared" si="0"/>
        <v>86.521422466162093</v>
      </c>
      <c r="AF43" s="3259">
        <f>AF41+AF42</f>
        <v>87</v>
      </c>
      <c r="AG43" s="3267">
        <f t="shared" ref="AG43" si="7">AG41+AG42</f>
        <v>86.825649265762607</v>
      </c>
      <c r="AH43" s="3260">
        <f t="shared" si="0"/>
        <v>87</v>
      </c>
      <c r="AI43" s="2895">
        <f t="shared" si="0"/>
        <v>86.561071964887105</v>
      </c>
      <c r="AJ43" s="3259">
        <f>AJ41+AJ42</f>
        <v>87</v>
      </c>
      <c r="AK43" s="3267">
        <f t="shared" ref="AK43" si="8">AK41+AK42</f>
        <v>87.845677605311721</v>
      </c>
      <c r="AL43" s="3260">
        <f t="shared" si="0"/>
        <v>87.000000000000014</v>
      </c>
      <c r="AM43" s="2895">
        <f t="shared" si="0"/>
        <v>86.735151705742837</v>
      </c>
      <c r="AN43" s="3259">
        <f>AN41+AN42</f>
        <v>87</v>
      </c>
      <c r="AO43" s="3267">
        <f t="shared" ref="AO43" si="9">AO41+AO42</f>
        <v>84.466376825448464</v>
      </c>
      <c r="AP43" s="3314">
        <f t="shared" si="0"/>
        <v>87</v>
      </c>
      <c r="AQ43" s="3268">
        <f t="shared" si="0"/>
        <v>86.324768072720246</v>
      </c>
      <c r="AR43" s="3260">
        <f t="shared" si="0"/>
        <v>87</v>
      </c>
      <c r="AS43" s="2895">
        <f t="shared" si="0"/>
        <v>86.4543156335003</v>
      </c>
      <c r="AT43" s="3259">
        <f>AT41+AT42</f>
        <v>87</v>
      </c>
      <c r="AU43" s="3267">
        <f t="shared" ref="AU43" si="10">AU41+AU42</f>
        <v>82.949766760719086</v>
      </c>
      <c r="AV43" s="3260">
        <f t="shared" si="0"/>
        <v>87</v>
      </c>
      <c r="AW43" s="2896">
        <f t="shared" si="0"/>
        <v>86.08071246534729</v>
      </c>
      <c r="AX43" s="3259">
        <f>AX41+AX42</f>
        <v>87</v>
      </c>
      <c r="AY43" s="3267">
        <f t="shared" ref="AY43" si="11">AY41+AY42</f>
        <v>86.485304264059309</v>
      </c>
      <c r="AZ43" s="3260">
        <f t="shared" ref="AZ43:BA43" si="12">AZ41+AZ42</f>
        <v>87</v>
      </c>
      <c r="BA43" s="2895">
        <f t="shared" si="12"/>
        <v>86.112111229725855</v>
      </c>
      <c r="BB43" s="3259">
        <f>BB41+BB42</f>
        <v>87</v>
      </c>
      <c r="BC43" s="3267">
        <f t="shared" ref="BC43" si="13">BC41+BC42</f>
        <v>87.866424161587943</v>
      </c>
      <c r="BD43" s="3270">
        <f t="shared" si="0"/>
        <v>87</v>
      </c>
      <c r="BE43" s="3270">
        <f t="shared" si="0"/>
        <v>85.717674458668654</v>
      </c>
      <c r="BF43" s="3271">
        <f t="shared" si="0"/>
        <v>87</v>
      </c>
      <c r="BG43" s="3272">
        <f t="shared" si="0"/>
        <v>86.024673908245646</v>
      </c>
      <c r="BH43" s="3260">
        <f t="shared" si="0"/>
        <v>87</v>
      </c>
      <c r="BI43" s="2895">
        <f t="shared" si="0"/>
        <v>86.270058546455886</v>
      </c>
    </row>
    <row r="44" spans="3:61" x14ac:dyDescent="0.25">
      <c r="C44" s="5941"/>
      <c r="D44" s="3338" t="s">
        <v>1010</v>
      </c>
      <c r="E44" s="506" t="s">
        <v>246</v>
      </c>
      <c r="F44" s="3339">
        <v>1139.2636881143576</v>
      </c>
      <c r="G44" s="3340">
        <f>+'B-FCE'!D81</f>
        <v>1200</v>
      </c>
      <c r="H44" s="3312">
        <f>+'B-FCE'!E81</f>
        <v>1200</v>
      </c>
      <c r="I44" s="3312">
        <f>+'B-FCE'!F81</f>
        <v>1148.1277011921873</v>
      </c>
      <c r="J44" s="3312">
        <f>+'B-FCE'!G81</f>
        <v>1200</v>
      </c>
      <c r="K44" s="3312">
        <f>+'B-FCE'!H81</f>
        <v>1120.0555259849934</v>
      </c>
      <c r="L44" s="2908">
        <f>+'B-FCE'!I81</f>
        <v>1200</v>
      </c>
      <c r="M44" s="2908">
        <f>+'B-FCE'!J81</f>
        <v>1133.86151379181</v>
      </c>
      <c r="N44" s="3312">
        <f>+'B-FCE'!K81</f>
        <v>1175</v>
      </c>
      <c r="O44" s="3312">
        <f>+'B-FCE'!L81</f>
        <v>1191.5020847841542</v>
      </c>
      <c r="P44" s="3314">
        <f>+'B-FCE'!M81</f>
        <v>1200</v>
      </c>
      <c r="Q44" s="3315">
        <f>+'B-FCE'!N81</f>
        <v>1152.8638998332422</v>
      </c>
      <c r="R44" s="3312">
        <f>+'B-FCE'!O81</f>
        <v>1175</v>
      </c>
      <c r="S44" s="3312">
        <f>+'B-FCE'!P81</f>
        <v>1200.0039557354435</v>
      </c>
      <c r="T44" s="3313">
        <f>+'B-FCE'!Q81</f>
        <v>1200</v>
      </c>
      <c r="U44" s="2908">
        <f>+'B-FCE'!R81</f>
        <v>1164.8421107592112</v>
      </c>
      <c r="V44" s="3312">
        <f>+'B-FCE'!S81</f>
        <v>1175</v>
      </c>
      <c r="W44" s="3312">
        <f>+'B-FCE'!T81</f>
        <v>1194.6853780645938</v>
      </c>
      <c r="X44" s="3313">
        <f>+'B-FCE'!U81</f>
        <v>1200</v>
      </c>
      <c r="Y44" s="2908">
        <f>+'B-FCE'!V81</f>
        <v>1170.8887858341582</v>
      </c>
      <c r="Z44" s="3312">
        <f>+'B-FCE'!W81</f>
        <v>1175</v>
      </c>
      <c r="AA44" s="3312">
        <f>+'B-FCE'!X81</f>
        <v>1192.0538059017479</v>
      </c>
      <c r="AB44" s="3314">
        <f>+'B-FCE'!Y81</f>
        <v>1175</v>
      </c>
      <c r="AC44" s="3314">
        <f>+'B-FCE'!Z81</f>
        <v>1195.619386139713</v>
      </c>
      <c r="AD44" s="3316">
        <f>+'B-FCE'!AA81</f>
        <v>1183.3333333333333</v>
      </c>
      <c r="AE44" s="3317">
        <f>+'B-FCE'!AB81</f>
        <v>1174.3584612550744</v>
      </c>
      <c r="AF44" s="3312">
        <f>+'B-FCE'!AC81</f>
        <v>1175</v>
      </c>
      <c r="AG44" s="3312">
        <f>+'B-FCE'!AD81</f>
        <v>1181.3398177837144</v>
      </c>
      <c r="AH44" s="3313">
        <f>+'B-FCE'!AE81</f>
        <v>1200</v>
      </c>
      <c r="AI44" s="2908">
        <f>+'B-FCE'!AF81</f>
        <v>1175.3697792568867</v>
      </c>
      <c r="AJ44" s="3312">
        <f>+'B-FCE'!AG81</f>
        <v>1175</v>
      </c>
      <c r="AK44" s="3312">
        <f>+'B-FCE'!AH81</f>
        <v>1190.434694173457</v>
      </c>
      <c r="AL44" s="3313">
        <f>+'B-FCE'!AI81</f>
        <v>1200</v>
      </c>
      <c r="AM44" s="2908">
        <f>+'B-FCE'!AJ81</f>
        <v>1177.2220228941699</v>
      </c>
      <c r="AN44" s="3312">
        <f>+'B-FCE'!AK81</f>
        <v>1175</v>
      </c>
      <c r="AO44" s="3312">
        <f>+'B-FCE'!AL81</f>
        <v>1174.3942610341037</v>
      </c>
      <c r="AP44" s="3314">
        <f>+'B-FCE'!AM81</f>
        <v>1175</v>
      </c>
      <c r="AQ44" s="3314">
        <f>+'B-FCE'!AN81</f>
        <v>1181.9651877016963</v>
      </c>
      <c r="AR44" s="3313">
        <f>+'B-FCE'!AO81</f>
        <v>1200</v>
      </c>
      <c r="AS44" s="2908">
        <f>+'B-FCE'!AP81</f>
        <v>1176.9032570117624</v>
      </c>
      <c r="AT44" s="3312">
        <f>+'B-FCE'!AQ81</f>
        <v>1175</v>
      </c>
      <c r="AU44" s="3312">
        <f>+'B-FCE'!AR81</f>
        <v>1192.1185457792001</v>
      </c>
      <c r="AV44" s="3313">
        <f>+'B-FCE'!AS81</f>
        <v>1200</v>
      </c>
      <c r="AW44" s="2908">
        <f>+'B-FCE'!AT81</f>
        <v>1178.4446751548689</v>
      </c>
      <c r="AX44" s="3312">
        <f>+'B-FCE'!AU81</f>
        <v>1175</v>
      </c>
      <c r="AY44" s="3312">
        <f>+'B-FCE'!AV81</f>
        <v>1190.1827846096053</v>
      </c>
      <c r="AZ44" s="3313">
        <f>+'B-FCE'!AW81</f>
        <v>1200</v>
      </c>
      <c r="BA44" s="2908">
        <f>+'B-FCE'!AX81</f>
        <v>1179.4287082828109</v>
      </c>
      <c r="BB44" s="3312">
        <f>+'B-FCE'!AY81</f>
        <v>1175</v>
      </c>
      <c r="BC44" s="3312">
        <f>+'B-FCE'!AZ81</f>
        <v>1173.7284939713354</v>
      </c>
      <c r="BD44" s="3318">
        <f>+'B-FCE'!BA81</f>
        <v>1175</v>
      </c>
      <c r="BE44" s="3318">
        <f>+'B-FCE'!BB81</f>
        <v>1185.1819577926171</v>
      </c>
      <c r="BF44" s="3316">
        <f>+'B-FCE'!BC81</f>
        <v>1175</v>
      </c>
      <c r="BG44" s="3317">
        <f>+'B-FCE'!BD81</f>
        <v>1183.5558981862175</v>
      </c>
      <c r="BH44" s="3313">
        <f>+'B-FCE'!BE81</f>
        <v>1200</v>
      </c>
      <c r="BI44" s="2908">
        <f>+'B-FCE'!BF81</f>
        <v>1178.9445804919733</v>
      </c>
    </row>
    <row r="45" spans="3:61" x14ac:dyDescent="0.25">
      <c r="C45" s="5942"/>
      <c r="D45" s="3417" t="s">
        <v>19</v>
      </c>
      <c r="E45" s="3263" t="s">
        <v>240</v>
      </c>
      <c r="F45" s="3418"/>
      <c r="G45" s="3312">
        <f>'B-FCE'!D43</f>
        <v>1149.8822741773586</v>
      </c>
      <c r="H45" s="3312">
        <f>'B-FCE'!E43</f>
        <v>1149.8822741773586</v>
      </c>
      <c r="I45" s="3312">
        <f>'B-FCE'!F43</f>
        <v>1157.366304927348</v>
      </c>
      <c r="J45" s="3312">
        <f>'B-FCE'!G43</f>
        <v>1149.8822741773586</v>
      </c>
      <c r="K45" s="3312">
        <f>'B-FCE'!H43</f>
        <v>1141.5574639362144</v>
      </c>
      <c r="L45" s="2908">
        <f>'B-FCE'!I43</f>
        <v>1149.8822741773586</v>
      </c>
      <c r="M45" s="2908">
        <f>'B-FCE'!J43</f>
        <v>1152.335529163164</v>
      </c>
      <c r="N45" s="3312">
        <f>'B-FCE'!K43</f>
        <v>1149.8822741773586</v>
      </c>
      <c r="O45" s="3312">
        <f>'B-FCE'!L43</f>
        <v>1168.6416951476904</v>
      </c>
      <c r="P45" s="3314">
        <f>'B-FCE'!M43</f>
        <v>1149.8822741773586</v>
      </c>
      <c r="Q45" s="3315">
        <f>'B-FCE'!N43</f>
        <v>1159.3344197412844</v>
      </c>
      <c r="R45" s="3312">
        <f>'B-FCE'!O43</f>
        <v>1149.8822741773586</v>
      </c>
      <c r="S45" s="3312">
        <f>'B-FCE'!P43</f>
        <v>1172.6817812780748</v>
      </c>
      <c r="T45" s="3313">
        <f>'B-FCE'!Q43</f>
        <v>1149.8822741773586</v>
      </c>
      <c r="U45" s="2908">
        <f>'B-FCE'!R43</f>
        <v>1163.4136611687397</v>
      </c>
      <c r="V45" s="3312">
        <f>'B-FCE'!S43</f>
        <v>1149.8822741773586</v>
      </c>
      <c r="W45" s="3312">
        <f>'B-FCE'!T43</f>
        <v>1179.6089134008994</v>
      </c>
      <c r="X45" s="3313">
        <f>'B-FCE'!U43</f>
        <v>1149.8822741773583</v>
      </c>
      <c r="Y45" s="2908">
        <f>'B-FCE'!V43</f>
        <v>1167.0414309464618</v>
      </c>
      <c r="Z45" s="3312">
        <f>'B-FCE'!W43</f>
        <v>1149.8822741773586</v>
      </c>
      <c r="AA45" s="3312">
        <f>'B-FCE'!X43</f>
        <v>1186.7907343029558</v>
      </c>
      <c r="AB45" s="3314">
        <f>'B-FCE'!Y43</f>
        <v>1149.8822741773586</v>
      </c>
      <c r="AC45" s="3314">
        <f>'B-FCE'!Z43</f>
        <v>1179.4648852698817</v>
      </c>
      <c r="AD45" s="3316">
        <f>'B-FCE'!AA43</f>
        <v>1149.8822741773586</v>
      </c>
      <c r="AE45" s="3317">
        <f>'B-FCE'!AB43</f>
        <v>1170.5386693816074</v>
      </c>
      <c r="AF45" s="3312">
        <f>'B-FCE'!AC43</f>
        <v>1149.8822741773586</v>
      </c>
      <c r="AG45" s="3312">
        <f>'B-FCE'!AD43</f>
        <v>1173.1746961624856</v>
      </c>
      <c r="AH45" s="3313">
        <f>'B-FCE'!AE43</f>
        <v>1149.8822741773583</v>
      </c>
      <c r="AI45" s="2908">
        <f>'B-FCE'!AF43</f>
        <v>1170.8779533286465</v>
      </c>
      <c r="AJ45" s="3312">
        <f>'B-FCE'!AG43</f>
        <v>1149.8822741773586</v>
      </c>
      <c r="AK45" s="3312">
        <f>'B-FCE'!AH43</f>
        <v>1191.5058149107797</v>
      </c>
      <c r="AL45" s="3313">
        <f>'B-FCE'!AI43</f>
        <v>1149.8822741773583</v>
      </c>
      <c r="AM45" s="2908">
        <f>'B-FCE'!AJ43</f>
        <v>1173.6435486478483</v>
      </c>
      <c r="AN45" s="3312">
        <f>'B-FCE'!AK43</f>
        <v>1149.8822741773586</v>
      </c>
      <c r="AO45" s="3312">
        <f>'B-FCE'!AL43</f>
        <v>1149.1026033447156</v>
      </c>
      <c r="AP45" s="3314">
        <f>'B-FCE'!AM43</f>
        <v>1149.8822741773583</v>
      </c>
      <c r="AQ45" s="3314">
        <f>'B-FCE'!AN43</f>
        <v>1170.913131826082</v>
      </c>
      <c r="AR45" s="3313">
        <f>'B-FCE'!AO43</f>
        <v>1149.8822741773583</v>
      </c>
      <c r="AS45" s="2908">
        <f>'B-FCE'!AP43</f>
        <v>1170.6649003179291</v>
      </c>
      <c r="AT45" s="3312">
        <f>'B-FCE'!AQ43</f>
        <v>1149.8822741773586</v>
      </c>
      <c r="AU45" s="3312">
        <f>'B-FCE'!AR43</f>
        <v>1150.2948318857887</v>
      </c>
      <c r="AV45" s="3313">
        <f>'B-FCE'!AS43</f>
        <v>1149.8822741773583</v>
      </c>
      <c r="AW45" s="2908">
        <f>'B-FCE'!AT43</f>
        <v>1168.5126907548583</v>
      </c>
      <c r="AX45" s="3312">
        <f>'B-FCE'!AU43</f>
        <v>1149.8822741773586</v>
      </c>
      <c r="AY45" s="3312">
        <f>'B-FCE'!AV43</f>
        <v>1188.3878595123601</v>
      </c>
      <c r="AZ45" s="3313">
        <f>'B-FCE'!AW43</f>
        <v>1149.8822741773586</v>
      </c>
      <c r="BA45" s="2908">
        <f>'B-FCE'!AX43</f>
        <v>1170.066758654574</v>
      </c>
      <c r="BB45" s="3312">
        <f>'B-FCE'!AY43</f>
        <v>1149.8822741773586</v>
      </c>
      <c r="BC45" s="3312">
        <f>'B-FCE'!AZ43</f>
        <v>1183.869406527212</v>
      </c>
      <c r="BD45" s="3318">
        <f>'B-FCE'!BA43</f>
        <v>1149.8822741773583</v>
      </c>
      <c r="BE45" s="3318">
        <f>'B-FCE'!BB43</f>
        <v>1173.2930582271642</v>
      </c>
      <c r="BF45" s="3316">
        <f>'B-FCE'!BC43</f>
        <v>1149.8822741773583</v>
      </c>
      <c r="BG45" s="3317">
        <f>'B-FCE'!BD43</f>
        <v>1172.0985018567574</v>
      </c>
      <c r="BH45" s="3313">
        <f>'B-FCE'!BE43</f>
        <v>1149.8822741773586</v>
      </c>
      <c r="BI45" s="2908">
        <f>'B-FCE'!BF43</f>
        <v>1171.3236729137279</v>
      </c>
    </row>
    <row r="46" spans="3:61" x14ac:dyDescent="0.25">
      <c r="C46" s="5942"/>
      <c r="D46" s="3417" t="s">
        <v>1244</v>
      </c>
      <c r="E46" s="3263" t="s">
        <v>240</v>
      </c>
      <c r="F46" s="3418"/>
      <c r="G46" s="3312">
        <f>'B-FCE'!D46</f>
        <v>279.25712372878712</v>
      </c>
      <c r="H46" s="3312">
        <f>'B-FCE'!E46</f>
        <v>279.25712372878712</v>
      </c>
      <c r="I46" s="3312">
        <f>'B-FCE'!F46</f>
        <v>246.35729856316595</v>
      </c>
      <c r="J46" s="3312">
        <f>'B-FCE'!G46</f>
        <v>279.25712372878712</v>
      </c>
      <c r="K46" s="3312">
        <f>'B-FCE'!H46</f>
        <v>292.15213346334338</v>
      </c>
      <c r="L46" s="2908">
        <f>'B-FCE'!I46</f>
        <v>279.25712372878712</v>
      </c>
      <c r="M46" s="2908">
        <f>'B-FCE'!J46</f>
        <v>260.93038116105112</v>
      </c>
      <c r="N46" s="3312">
        <f>'B-FCE'!K46</f>
        <v>279.25712372878712</v>
      </c>
      <c r="O46" s="3312">
        <f>'B-FCE'!L46</f>
        <v>249.06900801904783</v>
      </c>
      <c r="P46" s="3314">
        <f>'B-FCE'!M46</f>
        <v>279.25712372878712</v>
      </c>
      <c r="Q46" s="3315">
        <f>'B-FCE'!N46</f>
        <v>255.83927312217097</v>
      </c>
      <c r="R46" s="3312">
        <f>'B-FCE'!O46</f>
        <v>279.25712372878712</v>
      </c>
      <c r="S46" s="3312">
        <f>'B-FCE'!P46</f>
        <v>207.38686137920047</v>
      </c>
      <c r="T46" s="3313">
        <f>'B-FCE'!Q46</f>
        <v>279.25712372878712</v>
      </c>
      <c r="U46" s="2908">
        <f>'B-FCE'!R46</f>
        <v>241.03117155863262</v>
      </c>
      <c r="V46" s="3312">
        <f>'B-FCE'!S46</f>
        <v>279.25712372878712</v>
      </c>
      <c r="W46" s="3312">
        <f>'B-FCE'!T46</f>
        <v>276.56042952875976</v>
      </c>
      <c r="X46" s="3313">
        <f>'B-FCE'!U46</f>
        <v>279.25712372878712</v>
      </c>
      <c r="Y46" s="2908">
        <f>'B-FCE'!V46</f>
        <v>248.98979834883306</v>
      </c>
      <c r="Z46" s="3312">
        <f>'B-FCE'!W46</f>
        <v>279.25712372878712</v>
      </c>
      <c r="AA46" s="3312">
        <f>'B-FCE'!X46</f>
        <v>282.55143704782705</v>
      </c>
      <c r="AB46" s="3314">
        <f>'B-FCE'!Y46</f>
        <v>279.25712372878712</v>
      </c>
      <c r="AC46" s="3314">
        <f>'B-FCE'!Z46</f>
        <v>254.21089460448255</v>
      </c>
      <c r="AD46" s="3316">
        <f>'B-FCE'!AA46</f>
        <v>279.25712372878712</v>
      </c>
      <c r="AE46" s="3317">
        <f>'B-FCE'!AB46</f>
        <v>254.93294736456735</v>
      </c>
      <c r="AF46" s="3312">
        <f>'B-FCE'!AC46</f>
        <v>279.25712372878712</v>
      </c>
      <c r="AG46" s="3312">
        <f>'B-FCE'!AD46</f>
        <v>277.99145751842343</v>
      </c>
      <c r="AH46" s="3313">
        <f>'B-FCE'!AE46</f>
        <v>279.25712372878712</v>
      </c>
      <c r="AI46" s="2908">
        <f>'B-FCE'!AF46</f>
        <v>257.90081642970449</v>
      </c>
      <c r="AJ46" s="3312">
        <f>'B-FCE'!AG46</f>
        <v>279.25712372878712</v>
      </c>
      <c r="AK46" s="3312">
        <f>'B-FCE'!AH46</f>
        <v>276.50828472214829</v>
      </c>
      <c r="AL46" s="3313">
        <f>'B-FCE'!AI46</f>
        <v>279.25712372878712</v>
      </c>
      <c r="AM46" s="2908">
        <f>'B-FCE'!AJ46</f>
        <v>260.3955358656907</v>
      </c>
      <c r="AN46" s="3312">
        <f>'B-FCE'!AK46</f>
        <v>279.25712372878712</v>
      </c>
      <c r="AO46" s="3312">
        <f>'B-FCE'!AL46</f>
        <v>279.05251608953694</v>
      </c>
      <c r="AP46" s="3314">
        <f>'B-FCE'!AM46</f>
        <v>279.25712372878706</v>
      </c>
      <c r="AQ46" s="3314">
        <f>'B-FCE'!AN46</f>
        <v>277.85520888005561</v>
      </c>
      <c r="AR46" s="3313">
        <f>'B-FCE'!AO46</f>
        <v>279.25712372878712</v>
      </c>
      <c r="AS46" s="2908">
        <f>'B-FCE'!AP46</f>
        <v>262.66002006948372</v>
      </c>
      <c r="AT46" s="3312">
        <f>'B-FCE'!AQ46</f>
        <v>279.25712372878712</v>
      </c>
      <c r="AU46" s="3312">
        <f>'B-FCE'!AR46</f>
        <v>238.76494069464175</v>
      </c>
      <c r="AV46" s="3313">
        <f>'B-FCE'!AS46</f>
        <v>279.25712372878712</v>
      </c>
      <c r="AW46" s="2908">
        <f>'B-FCE'!AT46</f>
        <v>260.13537374774035</v>
      </c>
      <c r="AX46" s="3312">
        <f>'B-FCE'!AU46</f>
        <v>279.25712372878712</v>
      </c>
      <c r="AY46" s="3312">
        <f>'B-FCE'!AV46</f>
        <v>235.32473306666708</v>
      </c>
      <c r="AZ46" s="3313">
        <f>'B-FCE'!AW46</f>
        <v>279.25712372878712</v>
      </c>
      <c r="BA46" s="2908">
        <f>'B-FCE'!AX46</f>
        <v>258.19539423238291</v>
      </c>
      <c r="BB46" s="3312">
        <f>'B-FCE'!AY46</f>
        <v>279.25712372878712</v>
      </c>
      <c r="BC46" s="3312">
        <f>'B-FCE'!AZ46</f>
        <v>255.38291916082667</v>
      </c>
      <c r="BD46" s="3318">
        <f>'B-FCE'!BA46</f>
        <v>279.25712372878712</v>
      </c>
      <c r="BE46" s="3318">
        <f>'B-FCE'!BB46</f>
        <v>243.82674184737769</v>
      </c>
      <c r="BF46" s="3316">
        <f>'B-FCE'!BC46</f>
        <v>279.25712372878706</v>
      </c>
      <c r="BG46" s="3317">
        <f>'B-FCE'!BD46</f>
        <v>260.90664904559344</v>
      </c>
      <c r="BH46" s="3313">
        <f>'B-FCE'!BE46</f>
        <v>279.25712372878712</v>
      </c>
      <c r="BI46" s="2908">
        <f>'B-FCE'!BF46</f>
        <v>257.93928105369616</v>
      </c>
    </row>
    <row r="47" spans="3:61" x14ac:dyDescent="0.25">
      <c r="C47" s="5942"/>
      <c r="D47" s="3417" t="s">
        <v>238</v>
      </c>
      <c r="E47" s="3263" t="s">
        <v>240</v>
      </c>
      <c r="F47" s="3418"/>
      <c r="G47" s="3312">
        <f>'B-FCE'!D44</f>
        <v>213.54956520436656</v>
      </c>
      <c r="H47" s="3312">
        <f>'B-FCE'!E44</f>
        <v>213.54956520436656</v>
      </c>
      <c r="I47" s="3312">
        <f>'B-FCE'!F44</f>
        <v>215.22181841496086</v>
      </c>
      <c r="J47" s="3312">
        <f>'B-FCE'!G44</f>
        <v>213.54956520436656</v>
      </c>
      <c r="K47" s="3312">
        <f>'B-FCE'!H44</f>
        <v>221.09181343254582</v>
      </c>
      <c r="L47" s="2908">
        <f>'B-FCE'!I44</f>
        <v>213.54956520436659</v>
      </c>
      <c r="M47" s="2908">
        <f>'B-FCE'!J44</f>
        <v>217.08980030477238</v>
      </c>
      <c r="N47" s="3312">
        <f>'B-FCE'!K44</f>
        <v>213.54956520436656</v>
      </c>
      <c r="O47" s="3312">
        <f>'B-FCE'!L44</f>
        <v>237.51701308540027</v>
      </c>
      <c r="P47" s="3314">
        <f>'B-FCE'!M44</f>
        <v>213.54956520436656</v>
      </c>
      <c r="Q47" s="3315">
        <f>'B-FCE'!N44</f>
        <v>225.85751597768177</v>
      </c>
      <c r="R47" s="3312">
        <f>'B-FCE'!O44</f>
        <v>213.54956520436656</v>
      </c>
      <c r="S47" s="3312">
        <f>'B-FCE'!P44</f>
        <v>272.79675754254362</v>
      </c>
      <c r="T47" s="3313">
        <f>'B-FCE'!Q44</f>
        <v>213.54956520436659</v>
      </c>
      <c r="U47" s="2908">
        <f>'B-FCE'!R44</f>
        <v>240.20316011393632</v>
      </c>
      <c r="V47" s="3312">
        <f>'B-FCE'!S44</f>
        <v>213.54956520436656</v>
      </c>
      <c r="W47" s="3312">
        <f>'B-FCE'!T44</f>
        <v>195.66333259102376</v>
      </c>
      <c r="X47" s="3313">
        <f>'B-FCE'!U44</f>
        <v>213.54956520436659</v>
      </c>
      <c r="Y47" s="2908">
        <f>'B-FCE'!V44</f>
        <v>230.2261472291527</v>
      </c>
      <c r="Z47" s="3312">
        <f>'B-FCE'!W44</f>
        <v>213.54956520436656</v>
      </c>
      <c r="AA47" s="3312">
        <f>'B-FCE'!X44</f>
        <v>184.13595870732692</v>
      </c>
      <c r="AB47" s="3314">
        <f>'B-FCE'!Y44</f>
        <v>213.54956520436656</v>
      </c>
      <c r="AC47" s="3314">
        <f>'B-FCE'!Z44</f>
        <v>219.04253584364028</v>
      </c>
      <c r="AD47" s="3316">
        <f>'B-FCE'!AA44</f>
        <v>213.54956520436656</v>
      </c>
      <c r="AE47" s="3317">
        <f>'B-FCE'!AB44</f>
        <v>222.06442243957309</v>
      </c>
      <c r="AF47" s="3312">
        <f>'B-FCE'!AC44</f>
        <v>213.54956520436656</v>
      </c>
      <c r="AG47" s="3312">
        <f>'B-FCE'!AD44</f>
        <v>220.19037051745133</v>
      </c>
      <c r="AH47" s="3313">
        <f>'B-FCE'!AE44</f>
        <v>213.54956520436656</v>
      </c>
      <c r="AI47" s="2908">
        <f>'B-FCE'!AF44</f>
        <v>221.82321254834355</v>
      </c>
      <c r="AJ47" s="3312">
        <f>'B-FCE'!AG44</f>
        <v>213.54956520436656</v>
      </c>
      <c r="AK47" s="3312">
        <f>'B-FCE'!AH44</f>
        <v>203.11433793081414</v>
      </c>
      <c r="AL47" s="3313">
        <f>'B-FCE'!AI44</f>
        <v>213.54956520436656</v>
      </c>
      <c r="AM47" s="2908">
        <f>'B-FCE'!AJ44</f>
        <v>219.31489747827393</v>
      </c>
      <c r="AN47" s="3312">
        <f>'B-FCE'!AK44</f>
        <v>213.54956520436656</v>
      </c>
      <c r="AO47" s="3312">
        <f>'B-FCE'!AL44</f>
        <v>262.64206295888476</v>
      </c>
      <c r="AP47" s="3314">
        <f>'B-FCE'!AM44</f>
        <v>213.54956520436659</v>
      </c>
      <c r="AQ47" s="3314">
        <f>'B-FCE'!AN44</f>
        <v>229.50821079955625</v>
      </c>
      <c r="AR47" s="3313">
        <f>'B-FCE'!AO44</f>
        <v>213.54956520436656</v>
      </c>
      <c r="AS47" s="2908">
        <f>'B-FCE'!AP44</f>
        <v>224.5737164644552</v>
      </c>
      <c r="AT47" s="3312">
        <f>'B-FCE'!AQ44</f>
        <v>213.54956520436656</v>
      </c>
      <c r="AU47" s="3312">
        <f>'B-FCE'!AR44</f>
        <v>285.51970705497291</v>
      </c>
      <c r="AV47" s="3313">
        <f>'B-FCE'!AS44</f>
        <v>213.54956520436656</v>
      </c>
      <c r="AW47" s="2908">
        <f>'B-FCE'!AT44</f>
        <v>231.01299496843683</v>
      </c>
      <c r="AX47" s="3312">
        <f>'B-FCE'!AU44</f>
        <v>213.54956520436656</v>
      </c>
      <c r="AY47" s="3312">
        <f>'B-FCE'!AV44</f>
        <v>222.47759509968952</v>
      </c>
      <c r="AZ47" s="3313">
        <f>'B-FCE'!AW44</f>
        <v>213.54956520436656</v>
      </c>
      <c r="BA47" s="2908">
        <f>'B-FCE'!AX44</f>
        <v>230.34559983287363</v>
      </c>
      <c r="BB47" s="3312">
        <f>'B-FCE'!AY44</f>
        <v>213.54956520436656</v>
      </c>
      <c r="BC47" s="3312">
        <f>'B-FCE'!AZ44</f>
        <v>198.74801337347543</v>
      </c>
      <c r="BD47" s="3318">
        <f>'B-FCE'!BA44</f>
        <v>213.54956520436656</v>
      </c>
      <c r="BE47" s="3318">
        <f>'B-FCE'!BB44</f>
        <v>236.12127187946777</v>
      </c>
      <c r="BF47" s="3316">
        <f>'B-FCE'!BC44</f>
        <v>213.54956520436656</v>
      </c>
      <c r="BG47" s="3317">
        <f>'B-FCE'!BD44</f>
        <v>232.80197837639713</v>
      </c>
      <c r="BH47" s="3313">
        <f>'B-FCE'!BE44</f>
        <v>213.54956520436656</v>
      </c>
      <c r="BI47" s="2908">
        <f>'B-FCE'!BF44</f>
        <v>227.4682202646822</v>
      </c>
    </row>
    <row r="48" spans="3:61" x14ac:dyDescent="0.25">
      <c r="C48" s="5942"/>
      <c r="D48" s="3417" t="s">
        <v>1735</v>
      </c>
      <c r="E48" s="3263" t="s">
        <v>240</v>
      </c>
      <c r="F48" s="3418"/>
      <c r="G48" s="3312">
        <f>G45+G46+G47</f>
        <v>1642.6889631105123</v>
      </c>
      <c r="H48" s="3312">
        <f>H45+H46+H47</f>
        <v>1642.6889631105123</v>
      </c>
      <c r="I48" s="3312">
        <f t="shared" ref="I48:BI48" si="14">I45+I46+I47</f>
        <v>1618.9454219054749</v>
      </c>
      <c r="J48" s="3312">
        <f>J45+J46+J47</f>
        <v>1642.6889631105123</v>
      </c>
      <c r="K48" s="3312">
        <f t="shared" ref="K48" si="15">K45+K46+K47</f>
        <v>1654.8014108321038</v>
      </c>
      <c r="L48" s="2908">
        <f t="shared" si="14"/>
        <v>1642.6889631105123</v>
      </c>
      <c r="M48" s="2908">
        <f t="shared" si="14"/>
        <v>1630.3557106289875</v>
      </c>
      <c r="N48" s="3312">
        <f>N45+N46+N47</f>
        <v>1642.6889631105123</v>
      </c>
      <c r="O48" s="3312">
        <f t="shared" ref="O48" si="16">O45+O46+O47</f>
        <v>1655.2277162521386</v>
      </c>
      <c r="P48" s="3314">
        <f t="shared" si="14"/>
        <v>1642.6889631105123</v>
      </c>
      <c r="Q48" s="3315">
        <f t="shared" si="14"/>
        <v>1641.031208841137</v>
      </c>
      <c r="R48" s="3312">
        <f>R45+R46+R47</f>
        <v>1642.6889631105123</v>
      </c>
      <c r="S48" s="3312">
        <f t="shared" ref="S48" si="17">S45+S46+S47</f>
        <v>1652.8654001998189</v>
      </c>
      <c r="T48" s="3313">
        <f t="shared" si="14"/>
        <v>1642.6889631105123</v>
      </c>
      <c r="U48" s="2908">
        <f t="shared" si="14"/>
        <v>1644.6479928413087</v>
      </c>
      <c r="V48" s="3312">
        <f>V45+V46+V47</f>
        <v>1642.6889631105123</v>
      </c>
      <c r="W48" s="3312">
        <f t="shared" ref="W48" si="18">W45+W46+W47</f>
        <v>1651.8326755206831</v>
      </c>
      <c r="X48" s="3313">
        <f t="shared" ref="X48:Y48" si="19">X45+X46+X47</f>
        <v>1642.6889631105121</v>
      </c>
      <c r="Y48" s="2908">
        <f t="shared" si="19"/>
        <v>1646.2573765244476</v>
      </c>
      <c r="Z48" s="3312">
        <f>Z45+Z46+Z47</f>
        <v>1642.6889631105123</v>
      </c>
      <c r="AA48" s="3312">
        <f t="shared" ref="AA48" si="20">AA45+AA46+AA47</f>
        <v>1653.4781300581096</v>
      </c>
      <c r="AB48" s="3314">
        <f t="shared" si="14"/>
        <v>1642.6889631105123</v>
      </c>
      <c r="AC48" s="3314">
        <f t="shared" si="14"/>
        <v>1652.7183157180045</v>
      </c>
      <c r="AD48" s="3316">
        <f t="shared" si="14"/>
        <v>1642.6889631105123</v>
      </c>
      <c r="AE48" s="3317">
        <f t="shared" si="14"/>
        <v>1647.5360391857478</v>
      </c>
      <c r="AF48" s="3312">
        <f>AF45+AF46+AF47</f>
        <v>1642.6889631105123</v>
      </c>
      <c r="AG48" s="3312">
        <f t="shared" ref="AG48" si="21">AG45+AG46+AG47</f>
        <v>1671.3565241983604</v>
      </c>
      <c r="AH48" s="3313">
        <f t="shared" si="14"/>
        <v>1642.6889631105118</v>
      </c>
      <c r="AI48" s="2908">
        <f t="shared" si="14"/>
        <v>1650.6019823066945</v>
      </c>
      <c r="AJ48" s="3312">
        <f>AJ45+AJ46+AJ47</f>
        <v>1642.6889631105123</v>
      </c>
      <c r="AK48" s="3312">
        <f t="shared" ref="AK48" si="22">AK45+AK46+AK47</f>
        <v>1671.1284375637422</v>
      </c>
      <c r="AL48" s="3313">
        <f t="shared" si="14"/>
        <v>1642.6889631105118</v>
      </c>
      <c r="AM48" s="2908">
        <f t="shared" si="14"/>
        <v>1653.3539819918128</v>
      </c>
      <c r="AN48" s="3312">
        <f>AN45+AN46+AN47</f>
        <v>1642.6889631105123</v>
      </c>
      <c r="AO48" s="3312">
        <f t="shared" ref="AO48" si="23">AO45+AO46+AO47</f>
        <v>1690.7971823931373</v>
      </c>
      <c r="AP48" s="3314">
        <f t="shared" si="14"/>
        <v>1642.6889631105121</v>
      </c>
      <c r="AQ48" s="3314">
        <f t="shared" si="14"/>
        <v>1678.276551505694</v>
      </c>
      <c r="AR48" s="3313">
        <f t="shared" si="14"/>
        <v>1642.6889631105118</v>
      </c>
      <c r="AS48" s="2908">
        <f t="shared" si="14"/>
        <v>1657.8986368518681</v>
      </c>
      <c r="AT48" s="3312">
        <f>AT45+AT46+AT47</f>
        <v>1642.6889631105123</v>
      </c>
      <c r="AU48" s="3312">
        <f t="shared" ref="AU48" si="24">AU45+AU46+AU47</f>
        <v>1674.5794796354035</v>
      </c>
      <c r="AV48" s="3313">
        <f t="shared" si="14"/>
        <v>1642.6889631105118</v>
      </c>
      <c r="AW48" s="2908">
        <f t="shared" si="14"/>
        <v>1659.6610594710355</v>
      </c>
      <c r="AX48" s="3312">
        <f>AX45+AX46+AX47</f>
        <v>1642.6889631105123</v>
      </c>
      <c r="AY48" s="3312">
        <f t="shared" ref="AY48" si="25">AY45+AY46+AY47</f>
        <v>1646.1901876787167</v>
      </c>
      <c r="AZ48" s="3313">
        <f t="shared" ref="AZ48:BA48" si="26">AZ45+AZ46+AZ47</f>
        <v>1642.6889631105123</v>
      </c>
      <c r="BA48" s="2908">
        <f t="shared" si="26"/>
        <v>1658.6077527198304</v>
      </c>
      <c r="BB48" s="3312">
        <f>BB45+BB46+BB47</f>
        <v>1642.6889631105123</v>
      </c>
      <c r="BC48" s="3312">
        <f t="shared" ref="BC48" si="27">BC45+BC46+BC47</f>
        <v>1638.0003390615143</v>
      </c>
      <c r="BD48" s="3318">
        <f t="shared" si="14"/>
        <v>1642.6889631105118</v>
      </c>
      <c r="BE48" s="3318">
        <f t="shared" si="14"/>
        <v>1653.2410719540096</v>
      </c>
      <c r="BF48" s="3316">
        <f t="shared" si="14"/>
        <v>1642.6889631105118</v>
      </c>
      <c r="BG48" s="3317">
        <f t="shared" si="14"/>
        <v>1665.8071292787479</v>
      </c>
      <c r="BH48" s="3313">
        <f t="shared" si="14"/>
        <v>1642.6889631105123</v>
      </c>
      <c r="BI48" s="2908">
        <f t="shared" si="14"/>
        <v>1656.7311742321062</v>
      </c>
    </row>
    <row r="49" spans="3:62" x14ac:dyDescent="0.25">
      <c r="C49" s="5942"/>
      <c r="D49" s="3351" t="s">
        <v>1372</v>
      </c>
      <c r="E49" s="506" t="s">
        <v>49</v>
      </c>
      <c r="F49" s="3352">
        <v>0.7242055547698254</v>
      </c>
      <c r="G49" s="3353">
        <f>+'B-FCE'!D83</f>
        <v>0.53</v>
      </c>
      <c r="H49" s="3354">
        <f>+'B-FCE'!E83</f>
        <v>0.53</v>
      </c>
      <c r="I49" s="3354">
        <f>+'B-FCE'!F83</f>
        <v>0.65689667710995581</v>
      </c>
      <c r="J49" s="3354">
        <f>+'B-FCE'!G83</f>
        <v>0.53</v>
      </c>
      <c r="K49" s="3354">
        <f>+'B-FCE'!H83</f>
        <v>0.87389832614044516</v>
      </c>
      <c r="L49" s="2896">
        <f>+'B-FCE'!I83</f>
        <v>0.53</v>
      </c>
      <c r="M49" s="2896">
        <f>+'B-FCE'!J83</f>
        <v>0.72595212762292072</v>
      </c>
      <c r="N49" s="3354">
        <f>+'B-FCE'!K83</f>
        <v>0.53</v>
      </c>
      <c r="O49" s="3354">
        <f>+'B-FCE'!L83</f>
        <v>0.61333254599500653</v>
      </c>
      <c r="P49" s="3277">
        <f>+'B-FCE'!M83</f>
        <v>0.53</v>
      </c>
      <c r="Q49" s="3319">
        <f>+'B-FCE'!N83</f>
        <v>0.67761384077391984</v>
      </c>
      <c r="R49" s="3354">
        <f>+'B-FCE'!O83</f>
        <v>0.53</v>
      </c>
      <c r="S49" s="3354">
        <f>+'B-FCE'!P83</f>
        <v>0.64083776122853031</v>
      </c>
      <c r="T49" s="3276">
        <f>+'B-FCE'!Q83</f>
        <v>0.53</v>
      </c>
      <c r="U49" s="2896">
        <f>+'B-FCE'!R83</f>
        <v>0.66637427804780025</v>
      </c>
      <c r="V49" s="3354">
        <f>+'B-FCE'!S83</f>
        <v>0.53</v>
      </c>
      <c r="W49" s="3354">
        <f>+'B-FCE'!T83</f>
        <v>0.6053749134978198</v>
      </c>
      <c r="X49" s="3276">
        <f>+'B-FCE'!U83</f>
        <v>0.53</v>
      </c>
      <c r="Y49" s="2896">
        <f>+'B-FCE'!V83</f>
        <v>0.65271029504818723</v>
      </c>
      <c r="Z49" s="3354">
        <f>+'B-FCE'!W83</f>
        <v>0.8</v>
      </c>
      <c r="AA49" s="3354">
        <f>+'B-FCE'!X83</f>
        <v>0.62674386842722107</v>
      </c>
      <c r="AB49" s="3277">
        <f>+'B-FCE'!Y83</f>
        <v>0.58815384615384614</v>
      </c>
      <c r="AC49" s="3277">
        <f>+'B-FCE'!Z83</f>
        <v>0.62460864863418319</v>
      </c>
      <c r="AD49" s="3280">
        <f>+'B-FCE'!AA83</f>
        <v>0.55914417887432533</v>
      </c>
      <c r="AE49" s="3281">
        <f>+'B-FCE'!AB83</f>
        <v>0.64811211841567518</v>
      </c>
      <c r="AF49" s="3354">
        <f>+'B-FCE'!AC83</f>
        <v>0.53</v>
      </c>
      <c r="AG49" s="3354">
        <f>+'B-FCE'!AD83</f>
        <v>0.73821603012782222</v>
      </c>
      <c r="AH49" s="3276">
        <f>+'B-FCE'!AE83</f>
        <v>0.5542774566473988</v>
      </c>
      <c r="AI49" s="2896">
        <f>+'B-FCE'!AF83</f>
        <v>0.65970942502542629</v>
      </c>
      <c r="AJ49" s="3354">
        <f>+'B-FCE'!AG83</f>
        <v>0.53</v>
      </c>
      <c r="AK49" s="3354">
        <f>+'B-FCE'!AH83</f>
        <v>0.54765789463279879</v>
      </c>
      <c r="AL49" s="3276">
        <f>+'B-FCE'!AI83</f>
        <v>0.55089552238805961</v>
      </c>
      <c r="AM49" s="2896">
        <f>+'B-FCE'!AJ83</f>
        <v>0.6446865790203089</v>
      </c>
      <c r="AN49" s="3354">
        <f>+'B-FCE'!AK83</f>
        <v>0.53</v>
      </c>
      <c r="AO49" s="3354">
        <f>+'B-FCE'!AL83</f>
        <v>0.59122406056901544</v>
      </c>
      <c r="AP49" s="3277">
        <f>+'B-FCE'!AM83</f>
        <v>0.53</v>
      </c>
      <c r="AQ49" s="3277">
        <f>+'B-FCE'!AN83</f>
        <v>0.61870078364403347</v>
      </c>
      <c r="AR49" s="3276">
        <f>+'B-FCE'!AO83</f>
        <v>0.54826969550507487</v>
      </c>
      <c r="AS49" s="2896">
        <f>+'B-FCE'!AP83</f>
        <v>0.6381975852455708</v>
      </c>
      <c r="AT49" s="3354">
        <f>+'B-FCE'!AQ83</f>
        <v>0.53</v>
      </c>
      <c r="AU49" s="3354">
        <f>+'B-FCE'!AR83</f>
        <v>0.69047408598412296</v>
      </c>
      <c r="AV49" s="3276">
        <f>+'B-FCE'!AS83</f>
        <v>0.54620231461637381</v>
      </c>
      <c r="AW49" s="2896">
        <f>+'B-FCE'!AT83</f>
        <v>0.64372088455053789</v>
      </c>
      <c r="AX49" s="3354">
        <f>+'B-FCE'!AU83</f>
        <v>0.53</v>
      </c>
      <c r="AY49" s="3354">
        <f>+'B-FCE'!AV83</f>
        <v>0.87010859275438568</v>
      </c>
      <c r="AZ49" s="3276">
        <f>+'B-FCE'!AW83</f>
        <v>0.54471389645776569</v>
      </c>
      <c r="BA49" s="2896">
        <f>+'B-FCE'!AX83</f>
        <v>0.66142246356615908</v>
      </c>
      <c r="BB49" s="3354">
        <f>+'B-FCE'!AY83</f>
        <v>0.53</v>
      </c>
      <c r="BC49" s="3354">
        <f>+'B-FCE'!AZ83</f>
        <v>0.61038668739689161</v>
      </c>
      <c r="BD49" s="3279">
        <f>+'B-FCE'!BA83</f>
        <v>0.53</v>
      </c>
      <c r="BE49" s="3279">
        <f>+'B-FCE'!BB83</f>
        <v>0.71231166389858636</v>
      </c>
      <c r="BF49" s="3280">
        <f>+'B-FCE'!BC83</f>
        <v>0.53</v>
      </c>
      <c r="BG49" s="3281">
        <f>+'B-FCE'!BD83</f>
        <v>0.66532555823723982</v>
      </c>
      <c r="BH49" s="3276">
        <f>+'B-FCE'!BE83</f>
        <v>0.54334274620543599</v>
      </c>
      <c r="BI49" s="2896">
        <f>+'B-FCE'!BF83</f>
        <v>0.65677497886713188</v>
      </c>
    </row>
    <row r="50" spans="3:62" x14ac:dyDescent="0.25">
      <c r="C50" s="5942"/>
      <c r="D50" s="3351" t="s">
        <v>1373</v>
      </c>
      <c r="E50" s="506" t="s">
        <v>49</v>
      </c>
      <c r="F50" s="3352">
        <v>3.8244802457396719E-2</v>
      </c>
      <c r="G50" s="3353">
        <f>+'B-FCE'!D84</f>
        <v>0.05</v>
      </c>
      <c r="H50" s="3343">
        <f>+'B-FCE'!E84</f>
        <v>0.05</v>
      </c>
      <c r="I50" s="3343">
        <f>+'B-FCE'!F84</f>
        <v>3.2577569705161159E-2</v>
      </c>
      <c r="J50" s="3343">
        <f>+'B-FCE'!G84</f>
        <v>0.05</v>
      </c>
      <c r="K50" s="3343">
        <f>+'B-FCE'!H84</f>
        <v>3.4898298693195919E-2</v>
      </c>
      <c r="L50" s="3344">
        <f>+'B-FCE'!I84</f>
        <v>0.05</v>
      </c>
      <c r="M50" s="3344">
        <f>+'B-FCE'!J84</f>
        <v>3.331608476485419E-2</v>
      </c>
      <c r="N50" s="3343">
        <f>+'B-FCE'!K84</f>
        <v>0.05</v>
      </c>
      <c r="O50" s="3343">
        <f>+'B-FCE'!L84</f>
        <v>3.8166186015443859E-2</v>
      </c>
      <c r="P50" s="3345">
        <f>+'B-FCE'!M84</f>
        <v>0.05</v>
      </c>
      <c r="Q50" s="3346">
        <f>+'B-FCE'!N84</f>
        <v>3.5397832735400633E-2</v>
      </c>
      <c r="R50" s="3343">
        <f>+'B-FCE'!O84</f>
        <v>0.05</v>
      </c>
      <c r="S50" s="3343">
        <f>+'B-FCE'!P84</f>
        <v>3.4138594926817221E-2</v>
      </c>
      <c r="T50" s="3347">
        <f>+'B-FCE'!Q84</f>
        <v>0.05</v>
      </c>
      <c r="U50" s="3344">
        <f>+'B-FCE'!R84</f>
        <v>3.5012982514506193E-2</v>
      </c>
      <c r="V50" s="3343">
        <f>+'B-FCE'!S84</f>
        <v>0.05</v>
      </c>
      <c r="W50" s="3343">
        <f>+'B-FCE'!T84</f>
        <v>3.4513028989228228E-2</v>
      </c>
      <c r="X50" s="3276">
        <f>+'B-FCE'!U84</f>
        <v>0.05</v>
      </c>
      <c r="Y50" s="2896">
        <f>+'B-FCE'!V84</f>
        <v>3.490099189754825E-2</v>
      </c>
      <c r="Z50" s="3343">
        <f>+'B-FCE'!W84</f>
        <v>0.05</v>
      </c>
      <c r="AA50" s="3343">
        <f>+'B-FCE'!X84</f>
        <v>3.549951756153763E-2</v>
      </c>
      <c r="AB50" s="3277">
        <f>+'B-FCE'!Y84</f>
        <v>0.05</v>
      </c>
      <c r="AC50" s="3277">
        <f>+'B-FCE'!Z84</f>
        <v>3.46955945595342E-2</v>
      </c>
      <c r="AD50" s="3280">
        <f>+'B-FCE'!AA84</f>
        <v>0.05</v>
      </c>
      <c r="AE50" s="3281">
        <f>+'B-FCE'!AB84</f>
        <v>3.5006979785765904E-2</v>
      </c>
      <c r="AF50" s="3343">
        <f>+'B-FCE'!AC84</f>
        <v>0.05</v>
      </c>
      <c r="AG50" s="3343">
        <f>+'B-FCE'!AD84</f>
        <v>3.8858986537832957E-2</v>
      </c>
      <c r="AH50" s="3276">
        <f>+'B-FCE'!AE84</f>
        <v>0.05</v>
      </c>
      <c r="AI50" s="2896">
        <f>+'B-FCE'!AF84</f>
        <v>3.5502772948545216E-2</v>
      </c>
      <c r="AJ50" s="3343">
        <f>+'B-FCE'!AG84</f>
        <v>0.05</v>
      </c>
      <c r="AK50" s="3343">
        <f>+'B-FCE'!AH84</f>
        <v>3.3078521245884285E-2</v>
      </c>
      <c r="AL50" s="3276">
        <f>+'B-FCE'!AI84</f>
        <v>0.05</v>
      </c>
      <c r="AM50" s="2896">
        <f>+'B-FCE'!AJ84</f>
        <v>3.517775141712029E-2</v>
      </c>
      <c r="AN50" s="3343">
        <f>+'B-FCE'!AK84</f>
        <v>0.05</v>
      </c>
      <c r="AO50" s="3343">
        <f>+'B-FCE'!AL84</f>
        <v>3.2638060149334992E-2</v>
      </c>
      <c r="AP50" s="3277">
        <f>+'B-FCE'!AM84</f>
        <v>0.05</v>
      </c>
      <c r="AQ50" s="3277">
        <f>+'B-FCE'!AN84</f>
        <v>3.4599139798159123E-2</v>
      </c>
      <c r="AR50" s="3276">
        <f>+'B-FCE'!AO84</f>
        <v>0.05</v>
      </c>
      <c r="AS50" s="2896">
        <f>+'B-FCE'!AP84</f>
        <v>3.4869497311181948E-2</v>
      </c>
      <c r="AT50" s="3343">
        <f>+'B-FCE'!AQ84</f>
        <v>0.05</v>
      </c>
      <c r="AU50" s="3343">
        <f>+'B-FCE'!AR84</f>
        <v>3.3590154307706899E-2</v>
      </c>
      <c r="AV50" s="3276">
        <f>+'B-FCE'!AS84</f>
        <v>0.05</v>
      </c>
      <c r="AW50" s="2896">
        <f>+'B-FCE'!AT84</f>
        <v>3.4734327699175047E-2</v>
      </c>
      <c r="AX50" s="3343">
        <f>+'B-FCE'!AU84</f>
        <v>0.05</v>
      </c>
      <c r="AY50" s="3343">
        <f>+'B-FCE'!AV84</f>
        <v>3.347434243144469E-2</v>
      </c>
      <c r="AZ50" s="3276">
        <f>+'B-FCE'!AW84</f>
        <v>0.05</v>
      </c>
      <c r="BA50" s="2896">
        <f>+'B-FCE'!AX84</f>
        <v>3.4635807647215494E-2</v>
      </c>
      <c r="BB50" s="3343">
        <f>+'B-FCE'!AY84</f>
        <v>0.05</v>
      </c>
      <c r="BC50" s="3343">
        <f>+'B-FCE'!AZ84</f>
        <v>3.2579820086642078E-2</v>
      </c>
      <c r="BD50" s="3279">
        <f>+'B-FCE'!BA84</f>
        <v>0.05</v>
      </c>
      <c r="BE50" s="3279">
        <f>+'B-FCE'!BB84</f>
        <v>3.3190268267081997E-2</v>
      </c>
      <c r="BF50" s="3280">
        <f>+'B-FCE'!BC84</f>
        <v>0.05</v>
      </c>
      <c r="BG50" s="3281">
        <f>+'B-FCE'!BD84</f>
        <v>3.3897423102528954E-2</v>
      </c>
      <c r="BH50" s="3276">
        <f>+'B-FCE'!BE84</f>
        <v>0.05</v>
      </c>
      <c r="BI50" s="2896">
        <f>+'B-FCE'!BF84</f>
        <v>3.4448582695498012E-2</v>
      </c>
    </row>
    <row r="51" spans="3:62" ht="14.4" thickBot="1" x14ac:dyDescent="0.3">
      <c r="C51" s="5943"/>
      <c r="D51" s="3242" t="s">
        <v>1011</v>
      </c>
      <c r="E51" s="3243" t="s">
        <v>240</v>
      </c>
      <c r="F51" s="3355">
        <v>413.76312883093829</v>
      </c>
      <c r="G51" s="3356">
        <f>+'B-FCE'!D82</f>
        <v>357</v>
      </c>
      <c r="H51" s="3357">
        <f>+'B-FCE'!E82</f>
        <v>357</v>
      </c>
      <c r="I51" s="3357">
        <f>+'B-FCE'!F82</f>
        <v>326.93603212123651</v>
      </c>
      <c r="J51" s="3357">
        <f>+'B-FCE'!G82</f>
        <v>357</v>
      </c>
      <c r="K51" s="3357">
        <f>+'B-FCE'!H82</f>
        <v>353.90820193008921</v>
      </c>
      <c r="L51" s="3358">
        <f>+'B-FCE'!I82</f>
        <v>357</v>
      </c>
      <c r="M51" s="3358">
        <f>+'B-FCE'!J82</f>
        <v>335.51926338138617</v>
      </c>
      <c r="N51" s="3357">
        <f>+'B-FCE'!K82</f>
        <v>357</v>
      </c>
      <c r="O51" s="3357">
        <f>+'B-FCE'!L82</f>
        <v>316.9394936477471</v>
      </c>
      <c r="P51" s="3359">
        <f>+'B-FCE'!M82</f>
        <v>363.62132921174651</v>
      </c>
      <c r="Q51" s="3360">
        <f>+'B-FCE'!N82</f>
        <v>327.54450245623616</v>
      </c>
      <c r="R51" s="3357">
        <f>+'B-FCE'!O82</f>
        <v>357</v>
      </c>
      <c r="S51" s="3357">
        <f>+'B-FCE'!P82</f>
        <v>348.25801262986107</v>
      </c>
      <c r="T51" s="3361">
        <f>+'B-FCE'!Q82</f>
        <v>366.55543237250555</v>
      </c>
      <c r="U51" s="3358">
        <f>+'B-FCE'!R82</f>
        <v>333.87499770620525</v>
      </c>
      <c r="V51" s="3357">
        <f>+'B-FCE'!S82</f>
        <v>357</v>
      </c>
      <c r="W51" s="3357">
        <f>+'B-FCE'!T82</f>
        <v>360.36693508265699</v>
      </c>
      <c r="X51" s="3361">
        <f>+'B-FCE'!U82</f>
        <v>368.19619706136558</v>
      </c>
      <c r="Y51" s="3358">
        <f>+'B-FCE'!V82</f>
        <v>339.80924611369562</v>
      </c>
      <c r="Z51" s="3357">
        <f>+'B-FCE'!W82</f>
        <v>357</v>
      </c>
      <c r="AA51" s="3357">
        <f>+'B-FCE'!X82</f>
        <v>352.01502802742641</v>
      </c>
      <c r="AB51" s="3359">
        <f>+'B-FCE'!Y82</f>
        <v>374</v>
      </c>
      <c r="AC51" s="3359">
        <f>+'B-FCE'!Z82</f>
        <v>353.46371969363798</v>
      </c>
      <c r="AD51" s="3362">
        <f>+'B-FCE'!AA82</f>
        <v>368.82266769468004</v>
      </c>
      <c r="AE51" s="3363">
        <f>+'B-FCE'!AB82</f>
        <v>341.97066562653453</v>
      </c>
      <c r="AF51" s="3357">
        <f>+'B-FCE'!AC82</f>
        <v>357</v>
      </c>
      <c r="AG51" s="3357">
        <f>+'B-FCE'!AD82</f>
        <v>388.82006197216134</v>
      </c>
      <c r="AH51" s="3361">
        <f>+'B-FCE'!AE82</f>
        <v>369.68721901091845</v>
      </c>
      <c r="AI51" s="3358">
        <f>+'B-FCE'!AF82</f>
        <v>348.00066813783224</v>
      </c>
      <c r="AJ51" s="3357">
        <f>+'B-FCE'!AG82</f>
        <v>357</v>
      </c>
      <c r="AK51" s="3357">
        <f>+'B-FCE'!AH82</f>
        <v>388.74481409242418</v>
      </c>
      <c r="AL51" s="3361">
        <f>+'B-FCE'!AI82</f>
        <v>370.28800442233279</v>
      </c>
      <c r="AM51" s="3358">
        <f>+'B-FCE'!AJ82</f>
        <v>353.46327117539084</v>
      </c>
      <c r="AN51" s="3357">
        <f>+'B-FCE'!AK82</f>
        <v>357</v>
      </c>
      <c r="AO51" s="3357">
        <f>+'B-FCE'!AL82</f>
        <v>387.22923624886209</v>
      </c>
      <c r="AP51" s="3359">
        <f>+'B-FCE'!AM82</f>
        <v>374</v>
      </c>
      <c r="AQ51" s="3359">
        <f>+'B-FCE'!AN82</f>
        <v>388.22098005170676</v>
      </c>
      <c r="AR51" s="3361">
        <f>+'B-FCE'!AO82</f>
        <v>370.75447075882067</v>
      </c>
      <c r="AS51" s="3358">
        <f>+'B-FCE'!AP82</f>
        <v>357.56160293204755</v>
      </c>
      <c r="AT51" s="3357">
        <f>+'B-FCE'!AQ82</f>
        <v>357</v>
      </c>
      <c r="AU51" s="3357">
        <f>+'B-FCE'!AR82</f>
        <v>384.39911391153987</v>
      </c>
      <c r="AV51" s="3361">
        <f>+'B-FCE'!AS82</f>
        <v>371.1217316759537</v>
      </c>
      <c r="AW51" s="3358">
        <f>+'B-FCE'!AT82</f>
        <v>360.39713330699396</v>
      </c>
      <c r="AX51" s="3357">
        <f>+'B-FCE'!AU82</f>
        <v>357</v>
      </c>
      <c r="AY51" s="3357">
        <f>+'B-FCE'!AV82</f>
        <v>366.24559392761967</v>
      </c>
      <c r="AZ51" s="3361">
        <f>+'B-FCE'!AW82</f>
        <v>371.38614246788632</v>
      </c>
      <c r="BA51" s="3358">
        <f>+'B-FCE'!AX82</f>
        <v>360.85443281595201</v>
      </c>
      <c r="BB51" s="3357">
        <f>+'B-FCE'!AY82</f>
        <v>357</v>
      </c>
      <c r="BC51" s="3357">
        <f>+'B-FCE'!AZ82</f>
        <v>345.38483878895494</v>
      </c>
      <c r="BD51" s="3318">
        <f>+'B-FCE'!BA82</f>
        <v>374</v>
      </c>
      <c r="BE51" s="3318">
        <f>+'B-FCE'!BB82</f>
        <v>365.07824798095601</v>
      </c>
      <c r="BF51" s="3316">
        <f>+'B-FCE'!BC82</f>
        <v>374</v>
      </c>
      <c r="BG51" s="3317">
        <f>+'B-FCE'!BD82</f>
        <v>376.69427863264553</v>
      </c>
      <c r="BH51" s="3313">
        <f>+'B-FCE'!BE82</f>
        <v>371.62972114366391</v>
      </c>
      <c r="BI51" s="2908">
        <f>+'B-FCE'!BF82</f>
        <v>359.44572098795544</v>
      </c>
    </row>
    <row r="52" spans="3:62" ht="14.4" thickBot="1" x14ac:dyDescent="0.3">
      <c r="C52" s="3364"/>
      <c r="D52" s="3365" t="s">
        <v>359</v>
      </c>
      <c r="E52" s="3366" t="s">
        <v>360</v>
      </c>
      <c r="F52" s="3367">
        <v>930.8611107215944</v>
      </c>
      <c r="G52" s="1587">
        <f>+'Maj Techno Summ'!D15</f>
        <v>859.24201903906965</v>
      </c>
      <c r="H52" s="3368">
        <f>+'Maj Techno Summ'!E15</f>
        <v>871.21390493777415</v>
      </c>
      <c r="I52" s="3368">
        <f>+'Maj Techno Summ'!F15</f>
        <v>881.94094102597955</v>
      </c>
      <c r="J52" s="3368">
        <f>+'Maj Techno Summ'!G15</f>
        <v>947.9223925902055</v>
      </c>
      <c r="K52" s="3368">
        <f>+'Maj Techno Summ'!H15</f>
        <v>1000.1442543781549</v>
      </c>
      <c r="L52" s="3369">
        <f>+'Maj Techno Summ'!I15</f>
        <v>907.53182051840793</v>
      </c>
      <c r="M52" s="3369">
        <f>+'Maj Techno Summ'!J15</f>
        <v>919.55624529729766</v>
      </c>
      <c r="N52" s="3368">
        <f>+'Maj Techno Summ'!K15</f>
        <v>866.91251568708628</v>
      </c>
      <c r="O52" s="3368" t="e">
        <f>+'Maj Techno Summ'!L15</f>
        <v>#REF!</v>
      </c>
      <c r="P52" s="3370">
        <f>+'Maj Techno Summ'!M15</f>
        <v>893.57387182882724</v>
      </c>
      <c r="Q52" s="3371" t="e">
        <f>+'Maj Techno Summ'!N15</f>
        <v>#REF!</v>
      </c>
      <c r="R52" s="3368">
        <f>+'Maj Techno Summ'!O15</f>
        <v>866.91251568708628</v>
      </c>
      <c r="S52" s="3368" t="e">
        <f>+'Maj Techno Summ'!P15</f>
        <v>#REF!</v>
      </c>
      <c r="T52" s="3372">
        <f>+'Maj Techno Summ'!Q15</f>
        <v>886.03657048055231</v>
      </c>
      <c r="U52" s="3369" t="e">
        <f>+'Maj Techno Summ'!R15</f>
        <v>#REF!</v>
      </c>
      <c r="V52" s="3368">
        <f>+'Maj Techno Summ'!S15</f>
        <v>866.91251568708628</v>
      </c>
      <c r="W52" s="3368" t="e">
        <f>+'Maj Techno Summ'!T15</f>
        <v>#REF!</v>
      </c>
      <c r="X52" s="3372">
        <f>+'Maj Techno Summ'!U15</f>
        <v>881.82167508527675</v>
      </c>
      <c r="Y52" s="3369" t="e">
        <f>+'Maj Techno Summ'!V15</f>
        <v>#REF!</v>
      </c>
      <c r="Z52" s="3368">
        <f>+'Maj Techno Summ'!W15</f>
        <v>973.86831544015627</v>
      </c>
      <c r="AA52" s="3368" t="e">
        <f>+'Maj Techno Summ'!X15</f>
        <v>#REF!</v>
      </c>
      <c r="AB52" s="3370">
        <f>+'Maj Techno Summ'!Y15</f>
        <v>894.94289353723502</v>
      </c>
      <c r="AC52" s="3370" t="e">
        <f>+'Maj Techno Summ'!Z15</f>
        <v>#REF!</v>
      </c>
      <c r="AD52" s="3373">
        <f>+'Maj Techno Summ'!AA15</f>
        <v>894.25996597721985</v>
      </c>
      <c r="AE52" s="3374" t="e">
        <f>+'Maj Techno Summ'!AB15</f>
        <v>#REF!</v>
      </c>
      <c r="AF52" s="3368">
        <f>+'Maj Techno Summ'!AC15</f>
        <v>865.57463192982163</v>
      </c>
      <c r="AG52" s="3368" t="e">
        <f>+'Maj Techno Summ'!AD15</f>
        <v>#REF!</v>
      </c>
      <c r="AH52" s="3372">
        <f>+'Maj Techno Summ'!AE15</f>
        <v>889.46986523712758</v>
      </c>
      <c r="AI52" s="3369" t="e">
        <f>+'Maj Techno Summ'!AF15</f>
        <v>#REF!</v>
      </c>
      <c r="AJ52" s="3368">
        <f>+'Maj Techno Summ'!AG15</f>
        <v>865.57463192982152</v>
      </c>
      <c r="AK52" s="3368" t="e">
        <f>+'Maj Techno Summ'!AH15</f>
        <v>#REF!</v>
      </c>
      <c r="AL52" s="3372">
        <f>+'Maj Techno Summ'!AI15</f>
        <v>886.14117602018939</v>
      </c>
      <c r="AM52" s="3369" t="e">
        <f>+'Maj Techno Summ'!AJ15</f>
        <v>#REF!</v>
      </c>
      <c r="AN52" s="3368">
        <f>+'Maj Techno Summ'!AK15</f>
        <v>865.57463192982163</v>
      </c>
      <c r="AO52" s="3368" t="e">
        <f>+'Maj Techno Summ'!AL15</f>
        <v>#REF!</v>
      </c>
      <c r="AP52" s="3370">
        <f>+'Maj Techno Summ'!AM15</f>
        <v>870.33179535973113</v>
      </c>
      <c r="AQ52" s="3370" t="e">
        <f>+'Maj Techno Summ'!AN15</f>
        <v>#REF!</v>
      </c>
      <c r="AR52" s="3372">
        <f>+'Maj Techno Summ'!AO15</f>
        <v>885.33171671830166</v>
      </c>
      <c r="AS52" s="3369" t="e">
        <f>+'Maj Techno Summ'!AP15</f>
        <v>#REF!</v>
      </c>
      <c r="AT52" s="3368">
        <f>+'Maj Techno Summ'!AQ15</f>
        <v>865.57463192982141</v>
      </c>
      <c r="AU52" s="3368" t="e">
        <f>+'Maj Techno Summ'!AR15</f>
        <v>#REF!</v>
      </c>
      <c r="AV52" s="3372">
        <f>+'Maj Techno Summ'!AS15</f>
        <v>883.09602431188978</v>
      </c>
      <c r="AW52" s="3369" t="e">
        <f>+'Maj Techno Summ'!AT15</f>
        <v>#REF!</v>
      </c>
      <c r="AX52" s="3368">
        <f>+'Maj Techno Summ'!AU15</f>
        <v>865.57463192982152</v>
      </c>
      <c r="AY52" s="3368" t="e">
        <f>+'Maj Techno Summ'!AV15</f>
        <v>#REF!</v>
      </c>
      <c r="AZ52" s="3372">
        <f>+'Maj Techno Summ'!AW15</f>
        <v>881.4864296827858</v>
      </c>
      <c r="BA52" s="3369" t="e">
        <f>+'Maj Techno Summ'!AX15</f>
        <v>#REF!</v>
      </c>
      <c r="BB52" s="3368">
        <f>+'Maj Techno Summ'!AY15</f>
        <v>865.57463192982141</v>
      </c>
      <c r="BC52" s="3368" t="e">
        <f>+'Maj Techno Summ'!AZ15</f>
        <v>#REF!</v>
      </c>
      <c r="BD52" s="3318">
        <f>+'Maj Techno Summ'!BA15</f>
        <v>870.33179535973125</v>
      </c>
      <c r="BE52" s="3318" t="e">
        <f>+'Maj Techno Summ'!BB15</f>
        <v>#REF!</v>
      </c>
      <c r="BF52" s="3316">
        <f>+'Maj Techno Summ'!BC15</f>
        <v>870.33179535973113</v>
      </c>
      <c r="BG52" s="3317" t="e">
        <f>+'Maj Techno Summ'!BD15</f>
        <v>#REF!</v>
      </c>
      <c r="BH52" s="3313">
        <f>+'Maj Techno Summ'!BE15</f>
        <v>881.28655614013428</v>
      </c>
      <c r="BI52" s="2908" t="e">
        <f>+'Maj Techno Summ'!BF15</f>
        <v>#REF!</v>
      </c>
    </row>
    <row r="53" spans="3:62" x14ac:dyDescent="0.25">
      <c r="C53" s="5940" t="s">
        <v>1017</v>
      </c>
      <c r="D53" s="3239" t="s">
        <v>361</v>
      </c>
      <c r="E53" s="3240" t="s">
        <v>268</v>
      </c>
      <c r="F53" s="3375">
        <v>1062.9741019163143</v>
      </c>
      <c r="G53" s="3376">
        <f>+'Maj Techno Summ'!D16</f>
        <v>1062</v>
      </c>
      <c r="H53" s="3377">
        <f>+'Maj Techno Summ'!E16</f>
        <v>1062</v>
      </c>
      <c r="I53" s="3377">
        <f>+'Maj Techno Summ'!F16</f>
        <v>1055.9173214589698</v>
      </c>
      <c r="J53" s="3377">
        <f>+'Maj Techno Summ'!G16</f>
        <v>1062</v>
      </c>
      <c r="K53" s="3377">
        <f>+'Maj Techno Summ'!H16</f>
        <v>1046.1685772909627</v>
      </c>
      <c r="L53" s="3378">
        <f>+'Maj Techno Summ'!I16</f>
        <v>1062</v>
      </c>
      <c r="M53" s="3378">
        <f>+'Maj Techno Summ'!J16</f>
        <v>1052.9439859022937</v>
      </c>
      <c r="N53" s="3377">
        <f>+'Maj Techno Summ'!K16</f>
        <v>1062</v>
      </c>
      <c r="O53" s="3377">
        <f>+'Maj Techno Summ'!L16</f>
        <v>1061.9196518424501</v>
      </c>
      <c r="P53" s="3379">
        <f>+'Maj Techno Summ'!M16</f>
        <v>1062</v>
      </c>
      <c r="Q53" s="3380">
        <f>+'Maj Techno Summ'!N16</f>
        <v>1056.8139788183623</v>
      </c>
      <c r="R53" s="3377">
        <f>+'Maj Techno Summ'!O16</f>
        <v>1062</v>
      </c>
      <c r="S53" s="3377">
        <f>+'Maj Techno Summ'!P16</f>
        <v>1051.7068973673629</v>
      </c>
      <c r="T53" s="3381">
        <f>+'Maj Techno Summ'!Q16</f>
        <v>1062</v>
      </c>
      <c r="U53" s="3378">
        <f>+'Maj Techno Summ'!R16</f>
        <v>1055.2308560898057</v>
      </c>
      <c r="V53" s="3377">
        <f>+'Maj Techno Summ'!S16</f>
        <v>1062</v>
      </c>
      <c r="W53" s="3377">
        <f>+'Maj Techno Summ'!T16</f>
        <v>1060.1658095630878</v>
      </c>
      <c r="X53" s="3381">
        <f>+'Maj Techno Summ'!U16</f>
        <v>1062</v>
      </c>
      <c r="Y53" s="3378">
        <f>+'Maj Techno Summ'!V16</f>
        <v>1056.341403358575</v>
      </c>
      <c r="Z53" s="3377">
        <f>+'Maj Techno Summ'!W16</f>
        <v>1062</v>
      </c>
      <c r="AA53" s="3377">
        <f>+'Maj Techno Summ'!X16</f>
        <v>1063.8152587426769</v>
      </c>
      <c r="AB53" s="3379">
        <f>+'Maj Techno Summ'!Y16</f>
        <v>1062</v>
      </c>
      <c r="AC53" s="3379">
        <f>+'Maj Techno Summ'!Z16</f>
        <v>1058.3307154265726</v>
      </c>
      <c r="AD53" s="3382">
        <f>+'Maj Techno Summ'!AA16</f>
        <v>1062</v>
      </c>
      <c r="AE53" s="3383">
        <f>+'Maj Techno Summ'!AB16</f>
        <v>1057.6630902943707</v>
      </c>
      <c r="AF53" s="3377">
        <f>+'Maj Techno Summ'!AC16</f>
        <v>1062</v>
      </c>
      <c r="AG53" s="3377">
        <f>+'Maj Techno Summ'!AD16</f>
        <v>1064.5745280439282</v>
      </c>
      <c r="AH53" s="3381">
        <f>+'Maj Techno Summ'!AE16</f>
        <v>1062</v>
      </c>
      <c r="AI53" s="3378">
        <f>+'Maj Techno Summ'!AF16</f>
        <v>1058.5102587464057</v>
      </c>
      <c r="AJ53" s="3377">
        <f>+'Maj Techno Summ'!AG16</f>
        <v>1062</v>
      </c>
      <c r="AK53" s="3377">
        <f>+'Maj Techno Summ'!AH16</f>
        <v>1059.8754259222144</v>
      </c>
      <c r="AL53" s="3381">
        <f>+'Maj Techno Summ'!AI16</f>
        <v>1062</v>
      </c>
      <c r="AM53" s="3378">
        <f>+'Maj Techno Summ'!AJ16</f>
        <v>1058.6954868948621</v>
      </c>
      <c r="AN53" s="3377">
        <f>+'Maj Techno Summ'!AK16</f>
        <v>1062</v>
      </c>
      <c r="AO53" s="3377">
        <f>+'Maj Techno Summ'!AL16</f>
        <v>1068.1895334200926</v>
      </c>
      <c r="AP53" s="3379">
        <f>+'Maj Techno Summ'!AM16</f>
        <v>1062</v>
      </c>
      <c r="AQ53" s="3379">
        <f>+'Maj Techno Summ'!AN16</f>
        <v>1064.2149663799164</v>
      </c>
      <c r="AR53" s="3381">
        <f>+'Maj Techno Summ'!AO16</f>
        <v>1062</v>
      </c>
      <c r="AS53" s="3378">
        <f>+'Maj Techno Summ'!AP16</f>
        <v>1059.8508649996184</v>
      </c>
      <c r="AT53" s="3377">
        <f>+'Maj Techno Summ'!AQ16</f>
        <v>1062</v>
      </c>
      <c r="AU53" s="3377">
        <f>+'Maj Techno Summ'!AR16</f>
        <v>1062.1673163865344</v>
      </c>
      <c r="AV53" s="3381">
        <f>+'Maj Techno Summ'!AS16</f>
        <v>1062</v>
      </c>
      <c r="AW53" s="3378">
        <f>+'Maj Techno Summ'!AT16</f>
        <v>1060.0961239359929</v>
      </c>
      <c r="AX53" s="3377">
        <f>+'Maj Techno Summ'!AU16</f>
        <v>1062</v>
      </c>
      <c r="AY53" s="3303">
        <f>+'Maj Techno Summ'!AV16</f>
        <v>1052.23913066978</v>
      </c>
      <c r="AZ53" s="3381">
        <f>+'Maj Techno Summ'!AW16</f>
        <v>1062</v>
      </c>
      <c r="BA53" s="3378">
        <f>+'Maj Techno Summ'!AX16</f>
        <v>1059.4746060330874</v>
      </c>
      <c r="BB53" s="3377">
        <f>+'Maj Techno Summ'!AY16</f>
        <v>1062</v>
      </c>
      <c r="BC53" s="3303">
        <f>+'Maj Techno Summ'!AZ16</f>
        <v>1038.4428162825402</v>
      </c>
      <c r="BD53" s="3318">
        <f>+'Maj Techno Summ'!BA16</f>
        <v>1062</v>
      </c>
      <c r="BE53" s="3318">
        <f>+'Maj Techno Summ'!BB16</f>
        <v>1050.6127742040003</v>
      </c>
      <c r="BF53" s="3316">
        <f>+'Maj Techno Summ'!BC16</f>
        <v>1062</v>
      </c>
      <c r="BG53" s="3317">
        <f>+'Maj Techno Summ'!BD16</f>
        <v>1057.3549740205385</v>
      </c>
      <c r="BH53" s="3313">
        <f>+'Maj Techno Summ'!BE16</f>
        <v>1062</v>
      </c>
      <c r="BI53" s="2908">
        <f>+'Maj Techno Summ'!BF16</f>
        <v>1057.5081604035747</v>
      </c>
    </row>
    <row r="54" spans="3:62" x14ac:dyDescent="0.25">
      <c r="C54" s="5941"/>
      <c r="D54" s="3338" t="s">
        <v>362</v>
      </c>
      <c r="E54" s="506" t="s">
        <v>268</v>
      </c>
      <c r="F54" s="3339">
        <v>38.506404738512508</v>
      </c>
      <c r="G54" s="3340">
        <f>+'Maj Techno Summ'!D17</f>
        <v>34</v>
      </c>
      <c r="H54" s="3312">
        <f>+'Maj Techno Summ'!E17</f>
        <v>34</v>
      </c>
      <c r="I54" s="3312">
        <f>+'Maj Techno Summ'!F17</f>
        <v>40.079112648168227</v>
      </c>
      <c r="J54" s="3312">
        <f>+'Maj Techno Summ'!G17</f>
        <v>34</v>
      </c>
      <c r="K54" s="3312">
        <f>+'Maj Techno Summ'!H17</f>
        <v>49.211420871571342</v>
      </c>
      <c r="L54" s="2908">
        <f>+'Maj Techno Summ'!I17</f>
        <v>34</v>
      </c>
      <c r="M54" s="2908">
        <f>+'Maj Techno Summ'!J17</f>
        <v>42.864437228156802</v>
      </c>
      <c r="N54" s="3312">
        <f>+'Maj Techno Summ'!K17</f>
        <v>34</v>
      </c>
      <c r="O54" s="3312">
        <f>+'Maj Techno Summ'!L17</f>
        <v>34.520831536271892</v>
      </c>
      <c r="P54" s="3314">
        <f>+'Maj Techno Summ'!M17</f>
        <v>34</v>
      </c>
      <c r="Q54" s="3315">
        <f>+'Maj Techno Summ'!N17</f>
        <v>39.266966562765653</v>
      </c>
      <c r="R54" s="3312">
        <f>+'Maj Techno Summ'!O17</f>
        <v>34</v>
      </c>
      <c r="S54" s="3312">
        <f>+'Maj Techno Summ'!P17</f>
        <v>44.526180507919989</v>
      </c>
      <c r="T54" s="3313">
        <f>+'Maj Techno Summ'!Q17</f>
        <v>34</v>
      </c>
      <c r="U54" s="2908">
        <f>+'Maj Techno Summ'!R17</f>
        <v>40.897248204208232</v>
      </c>
      <c r="V54" s="3312">
        <f>+'Maj Techno Summ'!S17</f>
        <v>34</v>
      </c>
      <c r="W54" s="3312">
        <f>+'Maj Techno Summ'!T17</f>
        <v>36.183939197549044</v>
      </c>
      <c r="X54" s="3313">
        <f>+'Maj Techno Summ'!U17</f>
        <v>34</v>
      </c>
      <c r="Y54" s="2908">
        <f>+'Maj Techno Summ'!V17</f>
        <v>39.836579147741695</v>
      </c>
      <c r="Z54" s="3312">
        <f>+'Maj Techno Summ'!W17</f>
        <v>34</v>
      </c>
      <c r="AA54" s="3312">
        <f>+'Maj Techno Summ'!X17</f>
        <v>34.040564785957052</v>
      </c>
      <c r="AB54" s="3314">
        <f>+'Maj Techno Summ'!Y17</f>
        <v>34</v>
      </c>
      <c r="AC54" s="3314">
        <f>+'Maj Techno Summ'!Z17</f>
        <v>38.453569056342083</v>
      </c>
      <c r="AD54" s="3316">
        <f>+'Maj Techno Summ'!AA17</f>
        <v>34</v>
      </c>
      <c r="AE54" s="3317">
        <f>+'Maj Techno Summ'!AB17</f>
        <v>38.811603941779161</v>
      </c>
      <c r="AF54" s="3312">
        <f>+'Maj Techno Summ'!AC17</f>
        <v>34</v>
      </c>
      <c r="AG54" s="3312">
        <f>+'Maj Techno Summ'!AD17</f>
        <v>30.862550990228854</v>
      </c>
      <c r="AH54" s="3313">
        <f>+'Maj Techno Summ'!AE17</f>
        <v>34</v>
      </c>
      <c r="AI54" s="2908">
        <f>+'Maj Techno Summ'!AF17</f>
        <v>37.837249961011558</v>
      </c>
      <c r="AJ54" s="3312">
        <f>+'Maj Techno Summ'!AG17</f>
        <v>34</v>
      </c>
      <c r="AK54" s="3312">
        <f>+'Maj Techno Summ'!AH17</f>
        <v>36.4868280014989</v>
      </c>
      <c r="AL54" s="3313">
        <f>+'Maj Techno Summ'!AI17</f>
        <v>34</v>
      </c>
      <c r="AM54" s="2908">
        <f>+'Maj Techno Summ'!AJ17</f>
        <v>37.654022467977626</v>
      </c>
      <c r="AN54" s="3312">
        <f>+'Maj Techno Summ'!AK17</f>
        <v>34</v>
      </c>
      <c r="AO54" s="3312">
        <f>+'Maj Techno Summ'!AL17</f>
        <v>27.934205192754888</v>
      </c>
      <c r="AP54" s="3314">
        <f>+'Maj Techno Summ'!AM17</f>
        <v>34</v>
      </c>
      <c r="AQ54" s="3314">
        <f>+'Maj Techno Summ'!AN17</f>
        <v>31.802546542511827</v>
      </c>
      <c r="AR54" s="3313">
        <f>+'Maj Techno Summ'!AO17</f>
        <v>34</v>
      </c>
      <c r="AS54" s="2908">
        <f>+'Maj Techno Summ'!AP17</f>
        <v>36.471169189117056</v>
      </c>
      <c r="AT54" s="3312">
        <f>+'Maj Techno Summ'!AQ17</f>
        <v>34</v>
      </c>
      <c r="AU54" s="3312">
        <f>+'Maj Techno Summ'!AR17</f>
        <v>33.23306160572163</v>
      </c>
      <c r="AV54" s="3313">
        <f>+'Maj Techno Summ'!AS17</f>
        <v>34</v>
      </c>
      <c r="AW54" s="2908">
        <f>+'Maj Techno Summ'!AT17</f>
        <v>36.128328054502418</v>
      </c>
      <c r="AX54" s="3312">
        <f>+'Maj Techno Summ'!AU17</f>
        <v>34</v>
      </c>
      <c r="AY54" s="3354">
        <f>+'Maj Techno Summ'!AV17</f>
        <v>43.482725818307607</v>
      </c>
      <c r="AZ54" s="3313">
        <f>+'Maj Techno Summ'!AW17</f>
        <v>34</v>
      </c>
      <c r="BA54" s="2908">
        <f>+'Maj Techno Summ'!AX17</f>
        <v>36.710088751046428</v>
      </c>
      <c r="BB54" s="3312">
        <f>+'Maj Techno Summ'!AY17</f>
        <v>34</v>
      </c>
      <c r="BC54" s="3354">
        <f>+'Maj Techno Summ'!AZ17</f>
        <v>54.990465926048749</v>
      </c>
      <c r="BD54" s="3318">
        <f>+'Maj Techno Summ'!BA17</f>
        <v>34</v>
      </c>
      <c r="BE54" s="3318">
        <f>+'Maj Techno Summ'!BB17</f>
        <v>44.153243986348834</v>
      </c>
      <c r="BF54" s="3316">
        <f>+'Maj Techno Summ'!BC17</f>
        <v>34</v>
      </c>
      <c r="BG54" s="3317">
        <f>+'Maj Techno Summ'!BD17</f>
        <v>38.031372675973174</v>
      </c>
      <c r="BH54" s="3313">
        <f>+'Maj Techno Summ'!BE17</f>
        <v>34</v>
      </c>
      <c r="BI54" s="2908">
        <f>+'Maj Techno Summ'!BF17</f>
        <v>38.419280799273835</v>
      </c>
    </row>
    <row r="55" spans="3:62" x14ac:dyDescent="0.25">
      <c r="C55" s="5941"/>
      <c r="D55" s="3338" t="s">
        <v>285</v>
      </c>
      <c r="E55" s="506" t="s">
        <v>268</v>
      </c>
      <c r="F55" s="3339">
        <v>1101.4805066548267</v>
      </c>
      <c r="G55" s="3340">
        <f>+'Maj Techno Summ'!D18</f>
        <v>1096</v>
      </c>
      <c r="H55" s="3312">
        <f>+'Maj Techno Summ'!E18</f>
        <v>1096</v>
      </c>
      <c r="I55" s="3312">
        <f>+'Maj Techno Summ'!F18</f>
        <v>1095.9964341071379</v>
      </c>
      <c r="J55" s="3312">
        <f>+'Maj Techno Summ'!G18</f>
        <v>1096</v>
      </c>
      <c r="K55" s="3312">
        <f>+'Maj Techno Summ'!H18</f>
        <v>1095.3799981625341</v>
      </c>
      <c r="L55" s="2908">
        <f>+'Maj Techno Summ'!I18</f>
        <v>1096</v>
      </c>
      <c r="M55" s="2908">
        <f>+'Maj Techno Summ'!J18</f>
        <v>1095.8084231304504</v>
      </c>
      <c r="N55" s="3312">
        <f>+'Maj Techno Summ'!K18</f>
        <v>1096</v>
      </c>
      <c r="O55" s="3312">
        <f>+'Maj Techno Summ'!L18</f>
        <v>1096.4404833787221</v>
      </c>
      <c r="P55" s="3314">
        <f>+'Maj Techno Summ'!M18</f>
        <v>1096</v>
      </c>
      <c r="Q55" s="3315">
        <f>+'Maj Techno Summ'!N18</f>
        <v>1096.080945381128</v>
      </c>
      <c r="R55" s="3312">
        <f>+'Maj Techno Summ'!O18</f>
        <v>1096</v>
      </c>
      <c r="S55" s="3312">
        <f>+'Maj Techno Summ'!P18</f>
        <v>1096.2330778752828</v>
      </c>
      <c r="T55" s="3313">
        <f>+'Maj Techno Summ'!Q18</f>
        <v>1096</v>
      </c>
      <c r="U55" s="2908">
        <f>+'Maj Techno Summ'!R18</f>
        <v>1096.1281042940138</v>
      </c>
      <c r="V55" s="3312">
        <f>+'Maj Techno Summ'!S18</f>
        <v>1096</v>
      </c>
      <c r="W55" s="3312">
        <f>+'Maj Techno Summ'!T18</f>
        <v>1096.3497487606369</v>
      </c>
      <c r="X55" s="3313">
        <f>+'Maj Techno Summ'!U18</f>
        <v>1096</v>
      </c>
      <c r="Y55" s="2908">
        <f>+'Maj Techno Summ'!V18</f>
        <v>1096.1779825063168</v>
      </c>
      <c r="Z55" s="3312">
        <f>+'Maj Techno Summ'!W18</f>
        <v>1096</v>
      </c>
      <c r="AA55" s="3312">
        <f>+'Maj Techno Summ'!X18</f>
        <v>1097.8558235286339</v>
      </c>
      <c r="AB55" s="3314">
        <f>+'Maj Techno Summ'!Y18</f>
        <v>1096</v>
      </c>
      <c r="AC55" s="3314">
        <f>+'Maj Techno Summ'!Z18</f>
        <v>1096.7842844829147</v>
      </c>
      <c r="AD55" s="3316">
        <f>+'Maj Techno Summ'!AA18</f>
        <v>1096</v>
      </c>
      <c r="AE55" s="3317">
        <f>+'Maj Techno Summ'!AB18</f>
        <v>1096.4746942361498</v>
      </c>
      <c r="AF55" s="3312">
        <f>+'Maj Techno Summ'!AC18</f>
        <v>1096</v>
      </c>
      <c r="AG55" s="3312">
        <f>+'Maj Techno Summ'!AD18</f>
        <v>1095.437079034157</v>
      </c>
      <c r="AH55" s="3313">
        <f>+'Maj Techno Summ'!AE18</f>
        <v>1096</v>
      </c>
      <c r="AI55" s="2908">
        <f>+'Maj Techno Summ'!AF18</f>
        <v>1096.3475087074173</v>
      </c>
      <c r="AJ55" s="3312">
        <f>+'Maj Techno Summ'!AG18</f>
        <v>1096</v>
      </c>
      <c r="AK55" s="3312">
        <f>+'Maj Techno Summ'!AH18</f>
        <v>1096.3622539237133</v>
      </c>
      <c r="AL55" s="3313">
        <f>+'Maj Techno Summ'!AI18</f>
        <v>1096</v>
      </c>
      <c r="AM55" s="2908">
        <f>+'Maj Techno Summ'!AJ18</f>
        <v>1096.3495093628399</v>
      </c>
      <c r="AN55" s="3312">
        <f>+'Maj Techno Summ'!AK18</f>
        <v>1096</v>
      </c>
      <c r="AO55" s="3312">
        <f>+'Maj Techno Summ'!AL18</f>
        <v>1096.1237386128475</v>
      </c>
      <c r="AP55" s="3314">
        <f>+'Maj Techno Summ'!AM18</f>
        <v>1096</v>
      </c>
      <c r="AQ55" s="3314">
        <f>+'Maj Techno Summ'!AN18</f>
        <v>1096.0175129224283</v>
      </c>
      <c r="AR55" s="3313">
        <f>+'Maj Techno Summ'!AO18</f>
        <v>1096</v>
      </c>
      <c r="AS55" s="2908">
        <f>+'Maj Techno Summ'!AP18</f>
        <v>1096.3220341887354</v>
      </c>
      <c r="AT55" s="3312">
        <f>+'Maj Techno Summ'!AQ18</f>
        <v>1096</v>
      </c>
      <c r="AU55" s="3312">
        <f>+'Maj Techno Summ'!AR18</f>
        <v>1095.4003779922559</v>
      </c>
      <c r="AV55" s="3313">
        <f>+'Maj Techno Summ'!AS18</f>
        <v>1096</v>
      </c>
      <c r="AW55" s="2908">
        <f>+'Maj Techno Summ'!AT18</f>
        <v>1096.2244519904953</v>
      </c>
      <c r="AX55" s="3312">
        <f>+'Maj Techno Summ'!AU18</f>
        <v>1096</v>
      </c>
      <c r="AY55" s="3354">
        <f>+'Maj Techno Summ'!AV18</f>
        <v>1095.7218564880877</v>
      </c>
      <c r="AZ55" s="3313">
        <f>+'Maj Techno Summ'!AW18</f>
        <v>1096</v>
      </c>
      <c r="BA55" s="2908">
        <f>+'Maj Techno Summ'!AX18</f>
        <v>1096.1846947841339</v>
      </c>
      <c r="BB55" s="3312">
        <f>+'Maj Techno Summ'!AY18</f>
        <v>1096</v>
      </c>
      <c r="BC55" s="3354">
        <f>+'Maj Techno Summ'!AZ18</f>
        <v>1093.4332822085889</v>
      </c>
      <c r="BD55" s="3318">
        <f>+'Maj Techno Summ'!BA18</f>
        <v>1096</v>
      </c>
      <c r="BE55" s="3318">
        <f>+'Maj Techno Summ'!BB18</f>
        <v>1094.7660181903491</v>
      </c>
      <c r="BF55" s="3316">
        <f>+'Maj Techno Summ'!BC18</f>
        <v>1096</v>
      </c>
      <c r="BG55" s="3317">
        <f>+'Maj Techno Summ'!BD18</f>
        <v>1095.3863466965117</v>
      </c>
      <c r="BH55" s="3313">
        <f>+'Maj Techno Summ'!BE18</f>
        <v>1096</v>
      </c>
      <c r="BI55" s="2908">
        <f>+'Maj Techno Summ'!BF18</f>
        <v>1095.9274412028485</v>
      </c>
    </row>
    <row r="56" spans="3:62" x14ac:dyDescent="0.25">
      <c r="C56" s="5941"/>
      <c r="D56" s="3338" t="str">
        <f>+'Maj Techno Summ'!B19</f>
        <v>Ferro Alloys (FeMn+LCFeMn+SiMn+FeSi)</v>
      </c>
      <c r="E56" s="506" t="s">
        <v>268</v>
      </c>
      <c r="F56" s="3384">
        <v>22.930617482833931</v>
      </c>
      <c r="G56" s="3385">
        <f>+'Maj Techno Summ'!D19</f>
        <v>18.044117849203303</v>
      </c>
      <c r="H56" s="3267">
        <f>+'Maj Techno Summ'!E19</f>
        <v>18.044117849203303</v>
      </c>
      <c r="I56" s="3267">
        <f>+'Maj Techno Summ'!F19</f>
        <v>17.484522412263804</v>
      </c>
      <c r="J56" s="3267">
        <f>+'Maj Techno Summ'!G19</f>
        <v>18.044117849203303</v>
      </c>
      <c r="K56" s="3267">
        <f>+'Maj Techno Summ'!H19</f>
        <v>17.037392431681997</v>
      </c>
      <c r="L56" s="2895">
        <f>+'Maj Techno Summ'!I19</f>
        <v>18.044117849203303</v>
      </c>
      <c r="M56" s="2895">
        <f>+'Maj Techno Summ'!J20</f>
        <v>0</v>
      </c>
      <c r="N56" s="3267">
        <f>+'Maj Techno Summ'!K19</f>
        <v>18.044117849203303</v>
      </c>
      <c r="O56" s="3267">
        <f>+'Maj Techno Summ'!L19</f>
        <v>19.733624149219764</v>
      </c>
      <c r="P56" s="3268">
        <f>+'Maj Techno Summ'!M19</f>
        <v>18.044117849203303</v>
      </c>
      <c r="Q56" s="3269">
        <f>+'Maj Techno Summ'!N19</f>
        <v>18.376682487956927</v>
      </c>
      <c r="R56" s="3267">
        <f>+'Maj Techno Summ'!O19</f>
        <v>18.044117849203303</v>
      </c>
      <c r="S56" s="3267">
        <f>+'Maj Techno Summ'!P19</f>
        <v>20.120845849989355</v>
      </c>
      <c r="T56" s="3260">
        <f>+'Maj Techno Summ'!Q19</f>
        <v>18.044117849203303</v>
      </c>
      <c r="U56" s="2895">
        <f>+'Maj Techno Summ'!R19</f>
        <v>18.917348362829372</v>
      </c>
      <c r="V56" s="3267">
        <f>+'Maj Techno Summ'!S19</f>
        <v>18.044117849203303</v>
      </c>
      <c r="W56" s="3267">
        <f>+'Maj Techno Summ'!T19</f>
        <v>19.080809016000202</v>
      </c>
      <c r="X56" s="3313">
        <f>+'Maj Techno Summ'!U19</f>
        <v>18.044117849203303</v>
      </c>
      <c r="Y56" s="2908">
        <f>+'Maj Techno Summ'!V19</f>
        <v>18.954133062606779</v>
      </c>
      <c r="Z56" s="3267">
        <f>+'Maj Techno Summ'!W19</f>
        <v>18.044117849203303</v>
      </c>
      <c r="AA56" s="3267">
        <f>+'Maj Techno Summ'!X19</f>
        <v>17.254404951354879</v>
      </c>
      <c r="AB56" s="3314">
        <f>+'Maj Techno Summ'!Y19</f>
        <v>18.044117849203303</v>
      </c>
      <c r="AC56" s="3314">
        <f>+'Maj Techno Summ'!Z19</f>
        <v>18.871242154982866</v>
      </c>
      <c r="AD56" s="3316">
        <f>+'Maj Techno Summ'!AA19</f>
        <v>18.044117849203303</v>
      </c>
      <c r="AE56" s="3317">
        <f>+'Maj Techno Summ'!AB19</f>
        <v>18.653550789657704</v>
      </c>
      <c r="AF56" s="3267">
        <f>+'Maj Techno Summ'!AC19</f>
        <v>18.044117849203303</v>
      </c>
      <c r="AG56" s="3267">
        <f>+'Maj Techno Summ'!AD19</f>
        <v>17.868203860469528</v>
      </c>
      <c r="AH56" s="3313">
        <f>+'Maj Techno Summ'!AE19</f>
        <v>18.044117849203303</v>
      </c>
      <c r="AI56" s="2908">
        <f>+'Maj Techno Summ'!AF19</f>
        <v>18.557287006864698</v>
      </c>
      <c r="AJ56" s="3267">
        <f>+'Maj Techno Summ'!AG19</f>
        <v>18.044117849203303</v>
      </c>
      <c r="AK56" s="3267">
        <f>+'Maj Techno Summ'!AH19</f>
        <v>16.204651811313191</v>
      </c>
      <c r="AL56" s="3313">
        <f>+'Maj Techno Summ'!AI19</f>
        <v>18.044117849203303</v>
      </c>
      <c r="AM56" s="2908">
        <f>+'Maj Techno Summ'!AJ19</f>
        <v>18.2380775583899</v>
      </c>
      <c r="AN56" s="3267">
        <f>+'Maj Techno Summ'!AK19</f>
        <v>18.044117849203303</v>
      </c>
      <c r="AO56" s="3267">
        <f>+'Maj Techno Summ'!AL19</f>
        <v>17.49634117722356</v>
      </c>
      <c r="AP56" s="3314">
        <f>+'Maj Techno Summ'!AM19</f>
        <v>18.044117849203303</v>
      </c>
      <c r="AQ56" s="3314">
        <f>+'Maj Techno Summ'!AN19</f>
        <v>17.138980636573425</v>
      </c>
      <c r="AR56" s="3313">
        <f>+'Maj Techno Summ'!AO19</f>
        <v>18.044117849203303</v>
      </c>
      <c r="AS56" s="2908">
        <f>+'Maj Techno Summ'!AP19</f>
        <v>18.147811940665861</v>
      </c>
      <c r="AT56" s="3267">
        <f>+'Maj Techno Summ'!AQ19</f>
        <v>18.044117849203303</v>
      </c>
      <c r="AU56" s="3267">
        <f>+'Maj Techno Summ'!AR19</f>
        <v>17.201717189877527</v>
      </c>
      <c r="AV56" s="3313">
        <f>+'Maj Techno Summ'!AS19</f>
        <v>18.044117849203303</v>
      </c>
      <c r="AW56" s="2908">
        <f>+'Maj Techno Summ'!AT19</f>
        <v>18.047642261475303</v>
      </c>
      <c r="AX56" s="3267">
        <f>+'Maj Techno Summ'!AU19</f>
        <v>18.044117849203303</v>
      </c>
      <c r="AY56" s="3267">
        <f>+'Maj Techno Summ'!AV19</f>
        <v>16.786191464521988</v>
      </c>
      <c r="AZ56" s="3313">
        <f>+'Maj Techno Summ'!AW19</f>
        <v>18.044117849203303</v>
      </c>
      <c r="BA56" s="2908">
        <f>+'Maj Techno Summ'!AX19</f>
        <v>17.9478567293542</v>
      </c>
      <c r="BB56" s="3267">
        <f>+'Maj Techno Summ'!AY19</f>
        <v>18.044117849203303</v>
      </c>
      <c r="BC56" s="3267">
        <f>+'Maj Techno Summ'!AZ19</f>
        <v>17.903332780633395</v>
      </c>
      <c r="BD56" s="3318">
        <f>+'Maj Techno Summ'!BA19</f>
        <v>18.044117849203303</v>
      </c>
      <c r="BE56" s="3318">
        <f>+'Maj Techno Summ'!BB19</f>
        <v>17.342903822846601</v>
      </c>
      <c r="BF56" s="3316">
        <f>+'Maj Techno Summ'!BC19</f>
        <v>18.044117849203303</v>
      </c>
      <c r="BG56" s="3317">
        <f>+'Maj Techno Summ'!BD19</f>
        <v>17.241825198805891</v>
      </c>
      <c r="BH56" s="3313">
        <f>+'Maj Techno Summ'!BE19</f>
        <v>18.044117849203303</v>
      </c>
      <c r="BI56" s="2908">
        <f>+'Maj Techno Summ'!BF19</f>
        <v>17.94369379669801</v>
      </c>
    </row>
    <row r="57" spans="3:62" x14ac:dyDescent="0.25">
      <c r="C57" s="5941"/>
      <c r="D57" s="3338" t="s">
        <v>1012</v>
      </c>
      <c r="E57" s="506" t="s">
        <v>1013</v>
      </c>
      <c r="F57" s="3339">
        <v>150.30561739885829</v>
      </c>
      <c r="G57" s="3340">
        <f>+SMS!D52</f>
        <v>156.00000000000003</v>
      </c>
      <c r="H57" s="3312">
        <f>+SMS!E52</f>
        <v>156.00000000000003</v>
      </c>
      <c r="I57" s="3312">
        <f>+SMS!F52</f>
        <v>157.42330042313117</v>
      </c>
      <c r="J57" s="3312">
        <f>+SMS!G52</f>
        <v>156.00000000000003</v>
      </c>
      <c r="K57" s="3312">
        <f>+SMS!H52</f>
        <v>155.98845541401275</v>
      </c>
      <c r="L57" s="2908">
        <f>+SMS!I52</f>
        <v>156</v>
      </c>
      <c r="M57" s="2908">
        <f>+SMS!J52</f>
        <v>156.98288856304984</v>
      </c>
      <c r="N57" s="3312">
        <f>+SMS!K52</f>
        <v>156.00000000000003</v>
      </c>
      <c r="O57" s="3312">
        <f>+SMS!L52</f>
        <v>156.46098971722364</v>
      </c>
      <c r="P57" s="3314">
        <f>+SMS!M52</f>
        <v>156.00000000000003</v>
      </c>
      <c r="Q57" s="3315">
        <f>+SMS!N52</f>
        <v>156.75743753470294</v>
      </c>
      <c r="R57" s="3312">
        <f>+SMS!O52</f>
        <v>156.00000000000003</v>
      </c>
      <c r="S57" s="3312">
        <f>+SMS!P52</f>
        <v>157.55390683229814</v>
      </c>
      <c r="T57" s="3313">
        <f>+SMS!Q52</f>
        <v>152.54152623272623</v>
      </c>
      <c r="U57" s="2908">
        <f>+SMS!R52</f>
        <v>157.00346891788183</v>
      </c>
      <c r="V57" s="3312">
        <f>+SMS!S52</f>
        <v>156.00000000000003</v>
      </c>
      <c r="W57" s="3312">
        <f>+SMS!T52</f>
        <v>156.84606600660064</v>
      </c>
      <c r="X57" s="3313">
        <f>+SMS!U52</f>
        <v>151.97030125171003</v>
      </c>
      <c r="Y57" s="2908">
        <f>+SMS!V52</f>
        <v>156.96801991972649</v>
      </c>
      <c r="Z57" s="3312">
        <f>+SMS!W52</f>
        <v>156.00000000000003</v>
      </c>
      <c r="AA57" s="3312">
        <f>+SMS!X52</f>
        <v>156.66201657458564</v>
      </c>
      <c r="AB57" s="3314">
        <f>+SMS!Y52</f>
        <v>150</v>
      </c>
      <c r="AC57" s="3314">
        <f>+SMS!Z52</f>
        <v>157.03699540782856</v>
      </c>
      <c r="AD57" s="3316">
        <f>+SMS!AA52</f>
        <v>151.76242212385179</v>
      </c>
      <c r="AE57" s="3317">
        <f>+SMS!AB52</f>
        <v>156.91381896024467</v>
      </c>
      <c r="AF57" s="3312">
        <f>+SMS!AC52</f>
        <v>156.00000000000003</v>
      </c>
      <c r="AG57" s="3312">
        <f>+SMS!AD52</f>
        <v>156.50769432314411</v>
      </c>
      <c r="AH57" s="3313">
        <f>+SMS!AE52</f>
        <v>151.46259166846193</v>
      </c>
      <c r="AI57" s="2908">
        <f>+SMS!AF52</f>
        <v>156.86392489270389</v>
      </c>
      <c r="AJ57" s="3312">
        <f>+SMS!AG52</f>
        <v>156.00000000000003</v>
      </c>
      <c r="AK57" s="3312">
        <f>+SMS!AH52</f>
        <v>157.51657515442687</v>
      </c>
      <c r="AL57" s="3313">
        <f>+SMS!AI52</f>
        <v>151.25558218167217</v>
      </c>
      <c r="AM57" s="2908">
        <f>+SMS!AJ52</f>
        <v>156.95216015588755</v>
      </c>
      <c r="AN57" s="3312">
        <f>+SMS!AK52</f>
        <v>156.00000000000003</v>
      </c>
      <c r="AO57" s="3312">
        <f>+SMS!AL52</f>
        <v>155.82804521276597</v>
      </c>
      <c r="AP57" s="3314">
        <f>+SMS!AM52</f>
        <v>150</v>
      </c>
      <c r="AQ57" s="3314">
        <f>+SMS!AN52</f>
        <v>156.61674135411593</v>
      </c>
      <c r="AR57" s="3313">
        <f>+SMS!AO52</f>
        <v>151.09557805673737</v>
      </c>
      <c r="AS57" s="2908">
        <f>+SMS!AP52</f>
        <v>156.8144947479847</v>
      </c>
      <c r="AT57" s="3312">
        <f>+SMS!AQ52</f>
        <v>156.00000000000003</v>
      </c>
      <c r="AU57" s="3267">
        <f>+SMS!AR52</f>
        <v>156.08992470910337</v>
      </c>
      <c r="AV57" s="3313">
        <f>+SMS!AS52</f>
        <v>150.97005184658553</v>
      </c>
      <c r="AW57" s="2908">
        <f>+SMS!AT52</f>
        <v>156.73746106825789</v>
      </c>
      <c r="AX57" s="3312">
        <f>+SMS!AU52</f>
        <v>156.00000000000003</v>
      </c>
      <c r="AY57" s="3267">
        <f>+SMS!AV52</f>
        <v>156.13178902953587</v>
      </c>
      <c r="AZ57" s="3313">
        <f>+SMS!AW52</f>
        <v>150.87995994068706</v>
      </c>
      <c r="BA57" s="2908">
        <f>+SMS!AX52</f>
        <v>156.68937897769143</v>
      </c>
      <c r="BB57" s="3312">
        <f>+SMS!AY52</f>
        <v>156.00000000000003</v>
      </c>
      <c r="BC57" s="3267">
        <f>+SMS!AZ52</f>
        <v>158.08646788990828</v>
      </c>
      <c r="BD57" s="3318">
        <f>+SMS!BA52</f>
        <v>150</v>
      </c>
      <c r="BE57" s="3318">
        <f>+SMS!BB52</f>
        <v>156.83209491850434</v>
      </c>
      <c r="BF57" s="3316">
        <f>+SMS!BC52</f>
        <v>150</v>
      </c>
      <c r="BG57" s="3317">
        <f>+SMS!BD52</f>
        <v>156.72527663686881</v>
      </c>
      <c r="BH57" s="3313">
        <f>+SMS!BE52</f>
        <v>150.79711257437484</v>
      </c>
      <c r="BI57" s="2908">
        <f>+SMS!BF52</f>
        <v>156.81895763690514</v>
      </c>
    </row>
    <row r="58" spans="3:62" x14ac:dyDescent="0.25">
      <c r="C58" s="5941"/>
      <c r="D58" s="3338" t="s">
        <v>1374</v>
      </c>
      <c r="E58" s="506" t="s">
        <v>268</v>
      </c>
      <c r="F58" s="3386">
        <v>10.871440685841032</v>
      </c>
      <c r="G58" s="3353">
        <f>+SMS!D104</f>
        <v>7</v>
      </c>
      <c r="H58" s="3354">
        <f>+SMS!E104</f>
        <v>7</v>
      </c>
      <c r="I58" s="3354">
        <f>+SMS!F104</f>
        <v>6.8</v>
      </c>
      <c r="J58" s="3354">
        <f>+SMS!G104</f>
        <v>7</v>
      </c>
      <c r="K58" s="3354">
        <f>+SMS!H104</f>
        <v>6.34</v>
      </c>
      <c r="L58" s="2896">
        <f>+SMS!I104</f>
        <v>7</v>
      </c>
      <c r="M58" s="2896">
        <f>+SMS!J104</f>
        <v>6.6597014823140412</v>
      </c>
      <c r="N58" s="3354">
        <f>+SMS!K104</f>
        <v>9</v>
      </c>
      <c r="O58" s="3354">
        <f>+SMS!L104</f>
        <v>6.4</v>
      </c>
      <c r="P58" s="3269">
        <f>+SMS!M104</f>
        <v>7.7881279065128046</v>
      </c>
      <c r="Q58" s="3268">
        <f>+SMS!N104</f>
        <v>6.5477272952677819</v>
      </c>
      <c r="R58" s="3267">
        <f>+SMS!O104</f>
        <v>9</v>
      </c>
      <c r="S58" s="3267">
        <f>+SMS!P104</f>
        <v>6.46</v>
      </c>
      <c r="T58" s="2908">
        <f>+SMS!Q104</f>
        <v>8.133617137800675</v>
      </c>
      <c r="U58" s="2895">
        <f>+SMS!R104</f>
        <v>6.5205330794743261</v>
      </c>
      <c r="V58" s="3267">
        <f>+SMS!S104</f>
        <v>9</v>
      </c>
      <c r="W58" s="3267">
        <f>+SMS!T104</f>
        <v>7.3</v>
      </c>
      <c r="X58" s="2908">
        <f>+SMS!U104</f>
        <v>8.3258178456906453</v>
      </c>
      <c r="Y58" s="2895">
        <f>+SMS!V104</f>
        <v>6.6959419996136083</v>
      </c>
      <c r="Z58" s="3267">
        <f>+SMS!W104</f>
        <v>9</v>
      </c>
      <c r="AA58" s="3267">
        <f>+SMS!X104</f>
        <v>6.6</v>
      </c>
      <c r="AB58" s="3268">
        <f>+SMS!Y104</f>
        <v>9</v>
      </c>
      <c r="AC58" s="3268">
        <f>+SMS!Z104</f>
        <v>6.7821711080568869</v>
      </c>
      <c r="AD58" s="3271">
        <f>+SMS!AA104</f>
        <v>8.3961222471429569</v>
      </c>
      <c r="AE58" s="3272">
        <f>+SMS!AB104</f>
        <v>6.6789754835430486</v>
      </c>
      <c r="AF58" s="3267">
        <f>+SMS!AC104</f>
        <v>9</v>
      </c>
      <c r="AG58" s="3267">
        <f>+SMS!AD104</f>
        <v>6.4</v>
      </c>
      <c r="AH58" s="3276">
        <f>+SMS!AE104</f>
        <v>8.4978643503843028</v>
      </c>
      <c r="AI58" s="2896">
        <f>+SMS!AF104</f>
        <v>6.644780105227734</v>
      </c>
      <c r="AJ58" s="3267">
        <f>+SMS!AG104</f>
        <v>9</v>
      </c>
      <c r="AK58" s="3267">
        <f>+SMS!AH104</f>
        <v>6.85</v>
      </c>
      <c r="AL58" s="3276">
        <f>+SMS!AI104</f>
        <v>8.5683447012074243</v>
      </c>
      <c r="AM58" s="2896">
        <f>+SMS!AJ104</f>
        <v>6.6726246811952183</v>
      </c>
      <c r="AN58" s="3267">
        <f>+SMS!AK104</f>
        <v>9</v>
      </c>
      <c r="AO58" s="3267">
        <f>+SMS!AL104</f>
        <v>6.3</v>
      </c>
      <c r="AP58" s="3268">
        <f>+SMS!AM104</f>
        <v>8.9999999999999982</v>
      </c>
      <c r="AQ58" s="3268">
        <f>+SMS!AN104</f>
        <v>6.5241538997431059</v>
      </c>
      <c r="AR58" s="3276">
        <f>+SMS!AO104</f>
        <v>8.6229534991080836</v>
      </c>
      <c r="AS58" s="2896">
        <f>+SMS!AP104</f>
        <v>6.6272781161872825</v>
      </c>
      <c r="AT58" s="3267">
        <f>+SMS!AQ104</f>
        <v>7</v>
      </c>
      <c r="AU58" s="3354">
        <f>+SMS!AR104</f>
        <v>6.53</v>
      </c>
      <c r="AV58" s="3276">
        <f>+SMS!AS104</f>
        <v>8.4381978937096189</v>
      </c>
      <c r="AW58" s="2896">
        <f>+SMS!AT104</f>
        <v>6.6169786005387472</v>
      </c>
      <c r="AX58" s="3267">
        <f>+SMS!AU104</f>
        <v>7</v>
      </c>
      <c r="AY58" s="3354">
        <f>+SMS!AV104</f>
        <v>6.75</v>
      </c>
      <c r="AZ58" s="3276">
        <f>+SMS!AW104</f>
        <v>8.3054067304085635</v>
      </c>
      <c r="BA58" s="2896">
        <f>+SMS!AX104</f>
        <v>6.6275010966684365</v>
      </c>
      <c r="BB58" s="3267">
        <f>+SMS!AY104</f>
        <v>7</v>
      </c>
      <c r="BC58" s="3354">
        <f>+SMS!AZ104</f>
        <v>5.3</v>
      </c>
      <c r="BD58" s="3279">
        <f>+SMS!BA104</f>
        <v>6.9999999999999991</v>
      </c>
      <c r="BE58" s="3279">
        <f>+SMS!BB104</f>
        <v>6.138710826635366</v>
      </c>
      <c r="BF58" s="3280">
        <f>+SMS!BC104</f>
        <v>8.0052267084803326</v>
      </c>
      <c r="BG58" s="3281">
        <f>+SMS!BD104</f>
        <v>6.3297634292735072</v>
      </c>
      <c r="BH58" s="3276">
        <f>+SMS!BE104</f>
        <v>8.1831536287994879</v>
      </c>
      <c r="BI58" s="2896">
        <f>+SMS!BF104</f>
        <v>6.5033814301693473</v>
      </c>
    </row>
    <row r="59" spans="3:62" x14ac:dyDescent="0.25">
      <c r="C59" s="5941"/>
      <c r="D59" s="3338" t="s">
        <v>1375</v>
      </c>
      <c r="E59" s="506" t="s">
        <v>268</v>
      </c>
      <c r="F59" s="3386">
        <v>0.35658561453086035</v>
      </c>
      <c r="G59" s="3353">
        <v>0.32</v>
      </c>
      <c r="H59" s="3354">
        <v>0.32</v>
      </c>
      <c r="I59" s="3354">
        <f>+SMS!F117*1000/SMS!F5</f>
        <v>0.35448827645525161</v>
      </c>
      <c r="J59" s="3354">
        <v>0.32</v>
      </c>
      <c r="K59" s="3354">
        <f>+SMS!H117*1000/SMS!H5</f>
        <v>0.35230346770653626</v>
      </c>
      <c r="L59" s="2896">
        <v>0.32</v>
      </c>
      <c r="M59" s="2896">
        <f>+SMS!J117*1000/SMS!J5</f>
        <v>0.35382191682726882</v>
      </c>
      <c r="N59" s="3354">
        <v>0.32</v>
      </c>
      <c r="O59" s="3354">
        <f>+SMS!L117*1000/SMS!L5</f>
        <v>0.31315695431972496</v>
      </c>
      <c r="P59" s="3277">
        <f>+$G$59</f>
        <v>0.32</v>
      </c>
      <c r="Q59" s="3319">
        <f>+SMS!N117*1000/SMS!N5</f>
        <v>0.33628860867101162</v>
      </c>
      <c r="R59" s="3354">
        <v>0.32</v>
      </c>
      <c r="S59" s="3354">
        <f>+SMS!P117*1000/SMS!P5</f>
        <v>0.30284788419235043</v>
      </c>
      <c r="T59" s="2896">
        <v>0.32</v>
      </c>
      <c r="U59" s="2896">
        <f>+SMS!R117*1000/SMS!R5</f>
        <v>0.32592245894547489</v>
      </c>
      <c r="V59" s="3354">
        <v>0.32</v>
      </c>
      <c r="W59" s="3354">
        <f>+SMS!T117*1000/SMS!T5</f>
        <v>0.32853439496342929</v>
      </c>
      <c r="X59" s="2896">
        <v>0.32</v>
      </c>
      <c r="Y59" s="2896">
        <f>+SMS!V117*1000/SMS!V5</f>
        <v>0.32651024126736394</v>
      </c>
      <c r="Z59" s="3354">
        <v>0.32</v>
      </c>
      <c r="AA59" s="3354">
        <f>+SMS!X117*1000/SMS!X5</f>
        <v>0.32431109955168019</v>
      </c>
      <c r="AB59" s="3277">
        <v>0.32</v>
      </c>
      <c r="AC59" s="3277">
        <f>+SMS!Z117*1000/SMS!Z5</f>
        <v>0.31812719406347867</v>
      </c>
      <c r="AD59" s="3280">
        <v>0.32</v>
      </c>
      <c r="AE59" s="3281">
        <f>+SMS!AB117*1000/SMS!AB5</f>
        <v>0.32612134200102744</v>
      </c>
      <c r="AF59" s="3354">
        <v>0.32</v>
      </c>
      <c r="AG59" s="3354">
        <f>+SMS!AD117*1000/SMS!AD5</f>
        <v>0.33404389484433683</v>
      </c>
      <c r="AH59" s="3276">
        <f>+$G$59</f>
        <v>0.32</v>
      </c>
      <c r="AI59" s="3276">
        <f>+SMS!AF117*1000/SMS!AF5</f>
        <v>0.32709244773497714</v>
      </c>
      <c r="AJ59" s="3354">
        <v>0.32</v>
      </c>
      <c r="AK59" s="3354">
        <f>+SMS!AH117*1000/SMS!AH5</f>
        <v>0.329604970762782</v>
      </c>
      <c r="AL59" s="3276">
        <f>+$G$59</f>
        <v>0.32</v>
      </c>
      <c r="AM59" s="3276">
        <f>+SMS!AJ117*1000/SMS!AJ5</f>
        <v>0.3274333510299301</v>
      </c>
      <c r="AN59" s="3354">
        <v>0.32</v>
      </c>
      <c r="AO59" s="3354">
        <f>+SMS!AL117*1000/SMS!AL5</f>
        <v>0.34963411772235614</v>
      </c>
      <c r="AP59" s="3277">
        <v>0.32</v>
      </c>
      <c r="AQ59" s="3277">
        <f>+SMS!AN117*1000/SMS!AN5</f>
        <v>0.33814153402128544</v>
      </c>
      <c r="AR59" s="3276">
        <v>0.32</v>
      </c>
      <c r="AS59" s="3276">
        <f>+SMS!AP117*1000/SMS!AP5</f>
        <v>0.3301350735964948</v>
      </c>
      <c r="AT59" s="3354">
        <v>0.32</v>
      </c>
      <c r="AU59" s="3354">
        <f>+SMS!AR117*1000/SMS!AR5</f>
        <v>0.3297741255092152</v>
      </c>
      <c r="AV59" s="3276">
        <f>+$G$59</f>
        <v>0.32</v>
      </c>
      <c r="AW59" s="3276">
        <f>+SMS!AT117*1000/SMS!AT5</f>
        <v>0.33009685749385065</v>
      </c>
      <c r="AX59" s="3354">
        <v>0.32</v>
      </c>
      <c r="AY59" s="3354">
        <f>+SMS!AV117*1000/SMS!AV5</f>
        <v>0.27797055389804126</v>
      </c>
      <c r="AZ59" s="3276">
        <f>+$G$59</f>
        <v>0.32</v>
      </c>
      <c r="BA59" s="3276">
        <f>+SMS!AX117*1000/SMS!AX5</f>
        <v>0.3259734696024032</v>
      </c>
      <c r="BB59" s="3354">
        <v>0.32</v>
      </c>
      <c r="BC59" s="3354">
        <f>+SMS!AZ117*1000/SMS!AZ5</f>
        <v>0.36157768197645496</v>
      </c>
      <c r="BD59" s="3279">
        <f>+$G$59</f>
        <v>0.32</v>
      </c>
      <c r="BE59" s="3279">
        <f>+SMS!BB117*1000/SMS!BB5</f>
        <v>0.32685162684566632</v>
      </c>
      <c r="BF59" s="3280">
        <f>+$G$59</f>
        <v>0.32</v>
      </c>
      <c r="BG59" s="3281">
        <f>+SMS!BD117*1000/SMS!BD5</f>
        <v>0.33244769614859587</v>
      </c>
      <c r="BH59" s="3276">
        <f>+$G$59</f>
        <v>0.32</v>
      </c>
      <c r="BI59" s="2896">
        <f>+SMS!BF117*1000/SMS!BF5</f>
        <v>0.32930241823899609</v>
      </c>
    </row>
    <row r="60" spans="3:62" x14ac:dyDescent="0.25">
      <c r="C60" s="5941"/>
      <c r="D60" s="3338" t="s">
        <v>1938</v>
      </c>
      <c r="E60" s="506" t="s">
        <v>268</v>
      </c>
      <c r="F60" s="3339">
        <v>64.983071452256169</v>
      </c>
      <c r="G60" s="3385">
        <f>+SMS!D87</f>
        <v>67</v>
      </c>
      <c r="H60" s="3267">
        <f>+SMS!E87</f>
        <v>67</v>
      </c>
      <c r="I60" s="3267">
        <f>+SMS!F87</f>
        <v>68.289355229922805</v>
      </c>
      <c r="J60" s="3267">
        <f>+SMS!G87</f>
        <v>67</v>
      </c>
      <c r="K60" s="3267">
        <f>+SMS!H87</f>
        <v>75.155743499309679</v>
      </c>
      <c r="L60" s="2908">
        <f>+SMS!I87</f>
        <v>67.000000000000014</v>
      </c>
      <c r="M60" s="2908">
        <f>+SMS!J87</f>
        <v>70.383576246347957</v>
      </c>
      <c r="N60" s="3267">
        <f>+SMS!K87</f>
        <v>67</v>
      </c>
      <c r="O60" s="3267">
        <f>+SMS!L87</f>
        <v>65.464649688461819</v>
      </c>
      <c r="P60" s="3268">
        <f>+SMS!M87</f>
        <v>67.000000000000014</v>
      </c>
      <c r="Q60" s="3269">
        <f>+SMS!N87</f>
        <v>68.262705801599807</v>
      </c>
      <c r="R60" s="3267">
        <f>+SMS!O87</f>
        <v>67</v>
      </c>
      <c r="S60" s="3267">
        <f>+SMS!P87</f>
        <v>67.290631356027248</v>
      </c>
      <c r="T60" s="3260">
        <f>+SMS!Q87</f>
        <v>66.999999999999972</v>
      </c>
      <c r="U60" s="2895">
        <f>+SMS!R87</f>
        <v>67.96137680598342</v>
      </c>
      <c r="V60" s="3267">
        <f>+SMS!S87</f>
        <v>67</v>
      </c>
      <c r="W60" s="3267">
        <f>+SMS!T87</f>
        <v>66.414641519197389</v>
      </c>
      <c r="X60" s="3260">
        <f>+SMS!U87</f>
        <v>66.999999999999943</v>
      </c>
      <c r="Y60" s="2895">
        <f>+SMS!V87</f>
        <v>67.613304356875659</v>
      </c>
      <c r="Z60" s="3267">
        <f>+SMS!W87</f>
        <v>67</v>
      </c>
      <c r="AA60" s="3267">
        <f>+SMS!X87</f>
        <v>68.575733557390777</v>
      </c>
      <c r="AB60" s="3268">
        <f>+SMS!Y87</f>
        <v>66.999999999999957</v>
      </c>
      <c r="AC60" s="3268">
        <f>+SMS!Z87</f>
        <v>67.406720046217799</v>
      </c>
      <c r="AD60" s="3271">
        <f>+SMS!AA87</f>
        <v>66.999999999999986</v>
      </c>
      <c r="AE60" s="3272">
        <f>+SMS!AB87</f>
        <v>67.783501439661293</v>
      </c>
      <c r="AF60" s="3267">
        <f>+SMS!AC87</f>
        <v>67</v>
      </c>
      <c r="AG60" s="3267">
        <f>+SMS!AD87</f>
        <v>71.552707957324643</v>
      </c>
      <c r="AH60" s="3260">
        <f>+SMS!AE87</f>
        <v>66.999999911994351</v>
      </c>
      <c r="AI60" s="2895">
        <f>+SMS!AF87</f>
        <v>68.24551223553712</v>
      </c>
      <c r="AJ60" s="3267">
        <f>+SMS!AG87</f>
        <v>67</v>
      </c>
      <c r="AK60" s="3267">
        <f>+SMS!AH87</f>
        <v>62.36940780164327</v>
      </c>
      <c r="AL60" s="3260">
        <f>+SMS!AI87</f>
        <v>66.999999924346909</v>
      </c>
      <c r="AM60" s="2895">
        <f>+SMS!AJ87</f>
        <v>67.448233579406562</v>
      </c>
      <c r="AN60" s="3267">
        <f>+SMS!AK87</f>
        <v>67</v>
      </c>
      <c r="AO60" s="3267">
        <f>+SMS!AL87</f>
        <v>65.495923502012104</v>
      </c>
      <c r="AP60" s="3268">
        <f>+SMS!AM87</f>
        <v>66.999999824073754</v>
      </c>
      <c r="AQ60" s="3268">
        <f>+SMS!AN87</f>
        <v>66.067936107692702</v>
      </c>
      <c r="AR60" s="3260">
        <f>+SMS!AO87</f>
        <v>66.999999933917778</v>
      </c>
      <c r="AS60" s="2895">
        <f>+SMS!AP87</f>
        <v>67.210646772665271</v>
      </c>
      <c r="AT60" s="3267">
        <f>+SMS!AQ87</f>
        <v>67</v>
      </c>
      <c r="AU60" s="3267">
        <f>+SMS!AR87</f>
        <v>73.035191195794482</v>
      </c>
      <c r="AV60" s="3260">
        <f>+SMS!AS87</f>
        <v>66.999999941440521</v>
      </c>
      <c r="AW60" s="2895">
        <f>+SMS!AT87</f>
        <v>67.827333068141357</v>
      </c>
      <c r="AX60" s="3267">
        <f>+SMS!AU87</f>
        <v>67</v>
      </c>
      <c r="AY60" s="3267">
        <f>+SMS!AV87</f>
        <v>79.770573566623924</v>
      </c>
      <c r="AZ60" s="3260">
        <f>+SMS!AW87</f>
        <v>66.999999946847424</v>
      </c>
      <c r="BA60" s="2895">
        <f>+SMS!AX87</f>
        <v>68.772089314579162</v>
      </c>
      <c r="BB60" s="3267">
        <f>+SMS!AY87</f>
        <v>67</v>
      </c>
      <c r="BC60" s="3267">
        <f>+SMS!AZ87</f>
        <v>64.357329704304775</v>
      </c>
      <c r="BD60" s="3270">
        <f>+SMS!BA87</f>
        <v>67</v>
      </c>
      <c r="BE60" s="3270">
        <f>+SMS!BB87</f>
        <v>71.74023828391563</v>
      </c>
      <c r="BF60" s="3271">
        <f>+SMS!BC87</f>
        <v>66.99999991157712</v>
      </c>
      <c r="BG60" s="3272">
        <f>+SMS!BD87</f>
        <v>68.928648089047456</v>
      </c>
      <c r="BH60" s="3260">
        <f>+SMS!BE87</f>
        <v>66.999999951825231</v>
      </c>
      <c r="BI60" s="2895">
        <f>+SMS!BF87</f>
        <v>68.359315033285895</v>
      </c>
      <c r="BJ60" s="4501"/>
    </row>
    <row r="61" spans="3:62" ht="14.4" thickBot="1" x14ac:dyDescent="0.3">
      <c r="C61" s="5943"/>
      <c r="D61" s="3242" t="s">
        <v>522</v>
      </c>
      <c r="E61" s="3243" t="s">
        <v>268</v>
      </c>
      <c r="F61" s="3355">
        <v>18.939404807363346</v>
      </c>
      <c r="G61" s="3356">
        <f>+SMS!D82</f>
        <v>23</v>
      </c>
      <c r="H61" s="3357">
        <f>+SMS!E82</f>
        <v>23</v>
      </c>
      <c r="I61" s="3357">
        <f>+SMS!F82</f>
        <v>22.008882109916829</v>
      </c>
      <c r="J61" s="3357">
        <f>+SMS!G82</f>
        <v>23</v>
      </c>
      <c r="K61" s="3357">
        <f>+SMS!H82</f>
        <v>20.902575776522742</v>
      </c>
      <c r="L61" s="3358">
        <f>+SMS!I82</f>
        <v>23.000000000000007</v>
      </c>
      <c r="M61" s="3358">
        <f>+SMS!J82</f>
        <v>21.671463093819586</v>
      </c>
      <c r="N61" s="3357">
        <f>+SMS!K82</f>
        <v>24</v>
      </c>
      <c r="O61" s="3357">
        <f>+SMS!L82</f>
        <v>22.060477307146794</v>
      </c>
      <c r="P61" s="3359">
        <f>+SMS!M82</f>
        <v>23.394063953256406</v>
      </c>
      <c r="Q61" s="3360">
        <f>+SMS!N82</f>
        <v>21.839192523792448</v>
      </c>
      <c r="R61" s="3357">
        <f>+SMS!O82</f>
        <v>24</v>
      </c>
      <c r="S61" s="3357">
        <f>+SMS!P82</f>
        <v>21.28556689598382</v>
      </c>
      <c r="T61" s="3361">
        <f>+SMS!Q82</f>
        <v>23.566808568900328</v>
      </c>
      <c r="U61" s="3358">
        <f>+SMS!R82</f>
        <v>21.667576599585324</v>
      </c>
      <c r="V61" s="3357">
        <f>+SMS!S82</f>
        <v>24</v>
      </c>
      <c r="W61" s="3357">
        <f>+SMS!T82</f>
        <v>20.490225244073791</v>
      </c>
      <c r="X61" s="3361">
        <f>+SMS!U82</f>
        <v>23.662908922845308</v>
      </c>
      <c r="Y61" s="3358">
        <f>+SMS!V82</f>
        <v>21.402629149770046</v>
      </c>
      <c r="Z61" s="3357">
        <f>+SMS!W82</f>
        <v>24</v>
      </c>
      <c r="AA61" s="3357">
        <f>+SMS!X82</f>
        <v>21.489120842013946</v>
      </c>
      <c r="AB61" s="3359">
        <f>+SMS!Y82</f>
        <v>23.999999999999986</v>
      </c>
      <c r="AC61" s="3359">
        <f>+SMS!Z82</f>
        <v>21.086696286737315</v>
      </c>
      <c r="AD61" s="3362">
        <f>+SMS!AA82</f>
        <v>23.698061123571474</v>
      </c>
      <c r="AE61" s="3363">
        <f>+SMS!AB82</f>
        <v>21.417924439747971</v>
      </c>
      <c r="AF61" s="3357">
        <f>+SMS!AC82</f>
        <v>24</v>
      </c>
      <c r="AG61" s="3357">
        <f>+SMS!AD82</f>
        <v>20.556769367366794</v>
      </c>
      <c r="AH61" s="3361">
        <f>+SMS!AE82</f>
        <v>23.748932143997518</v>
      </c>
      <c r="AI61" s="3358">
        <f>+SMS!AF82</f>
        <v>21.312368286616309</v>
      </c>
      <c r="AJ61" s="3357">
        <f>+SMS!AG82</f>
        <v>24</v>
      </c>
      <c r="AK61" s="3357">
        <f>+SMS!AH82</f>
        <v>16.687095713690947</v>
      </c>
      <c r="AL61" s="3361">
        <f>+SMS!AI82</f>
        <v>23.784172323747796</v>
      </c>
      <c r="AM61" s="3358">
        <f>+SMS!AJ82</f>
        <v>20.684804372008369</v>
      </c>
      <c r="AN61" s="3357">
        <f>+SMS!AK82</f>
        <v>24</v>
      </c>
      <c r="AO61" s="3357">
        <f>+SMS!AL82</f>
        <v>0</v>
      </c>
      <c r="AP61" s="3359">
        <f>+SMS!AM82</f>
        <v>23.999999936981641</v>
      </c>
      <c r="AQ61" s="3359">
        <f>+SMS!AN82</f>
        <v>11.683853072287775</v>
      </c>
      <c r="AR61" s="3361">
        <f>+SMS!AO82</f>
        <v>23.811476726068737</v>
      </c>
      <c r="AS61" s="3358">
        <f>+SMS!AP82</f>
        <v>18.167562528247107</v>
      </c>
      <c r="AT61" s="3357">
        <f>+SMS!AQ82</f>
        <v>24</v>
      </c>
      <c r="AU61" s="3357">
        <f>+SMS!AR82</f>
        <v>12.219798359446182</v>
      </c>
      <c r="AV61" s="3361">
        <f>+SMS!AS82</f>
        <v>23.832938050497052</v>
      </c>
      <c r="AW61" s="3358">
        <f>+SMS!AT82</f>
        <v>17.53783007448504</v>
      </c>
      <c r="AX61" s="3357">
        <f>+SMS!AU82</f>
        <v>24</v>
      </c>
      <c r="AY61" s="3357">
        <f>+SMS!AV82</f>
        <v>22.98312628566465</v>
      </c>
      <c r="AZ61" s="3361">
        <f>+SMS!AW82</f>
        <v>23.848363153466032</v>
      </c>
      <c r="BA61" s="3358">
        <f>+SMS!AX82</f>
        <v>17.96857394252234</v>
      </c>
      <c r="BB61" s="3357">
        <f>+SMS!AY82</f>
        <v>24</v>
      </c>
      <c r="BC61" s="3357">
        <f>+SMS!AZ82</f>
        <v>19.915818254812269</v>
      </c>
      <c r="BD61" s="3318">
        <f>+SMS!BA82</f>
        <v>24</v>
      </c>
      <c r="BE61" s="3318">
        <f>+SMS!BB82</f>
        <v>18.10082629849909</v>
      </c>
      <c r="BF61" s="3316">
        <f>+SMS!BC82</f>
        <v>23.999999968326136</v>
      </c>
      <c r="BG61" s="3317">
        <f>+SMS!BD82</f>
        <v>14.920124981285243</v>
      </c>
      <c r="BH61" s="3313">
        <f>+SMS!BE82</f>
        <v>23.862564148728147</v>
      </c>
      <c r="BI61" s="2908">
        <f>+SMS!BF82</f>
        <v>18.150638752945376</v>
      </c>
    </row>
    <row r="62" spans="3:62" x14ac:dyDescent="0.25">
      <c r="C62" s="5940" t="s">
        <v>1018</v>
      </c>
      <c r="D62" s="3388" t="s">
        <v>34</v>
      </c>
      <c r="E62" s="3389"/>
      <c r="F62" s="3389"/>
      <c r="G62" s="3390"/>
      <c r="H62" s="3391"/>
      <c r="I62" s="3392"/>
      <c r="J62" s="3391"/>
      <c r="K62" s="3392"/>
      <c r="L62" s="3249"/>
      <c r="M62" s="3250"/>
      <c r="N62" s="3391"/>
      <c r="O62" s="3392"/>
      <c r="P62" s="3391"/>
      <c r="Q62" s="3392"/>
      <c r="R62" s="3391"/>
      <c r="S62" s="3392"/>
      <c r="T62" s="3391"/>
      <c r="U62" s="3392"/>
      <c r="V62" s="3391"/>
      <c r="W62" s="3392"/>
      <c r="X62" s="3391"/>
      <c r="Y62" s="3392"/>
      <c r="Z62" s="3391"/>
      <c r="AA62" s="3392"/>
      <c r="AB62" s="3391"/>
      <c r="AC62" s="3392"/>
      <c r="AD62" s="3393"/>
      <c r="AE62" s="3392"/>
      <c r="AF62" s="3391"/>
      <c r="AG62" s="3392"/>
      <c r="AH62" s="3391"/>
      <c r="AI62" s="3392"/>
      <c r="AJ62" s="3391"/>
      <c r="AK62" s="3392"/>
      <c r="AL62" s="3391"/>
      <c r="AM62" s="3392"/>
      <c r="AN62" s="3391"/>
      <c r="AO62" s="3392"/>
      <c r="AP62" s="3391"/>
      <c r="AQ62" s="3392"/>
      <c r="AR62" s="3391"/>
      <c r="AS62" s="3392"/>
      <c r="AT62" s="3391"/>
      <c r="AU62" s="3392"/>
      <c r="AV62" s="3391"/>
      <c r="AW62" s="3392"/>
      <c r="AX62" s="3391"/>
      <c r="AY62" s="3392"/>
      <c r="AZ62" s="3391"/>
      <c r="BA62" s="3392"/>
      <c r="BB62" s="3391"/>
      <c r="BC62" s="3392"/>
      <c r="BD62" s="3392"/>
      <c r="BE62" s="3392"/>
      <c r="BF62" s="3392"/>
      <c r="BG62" s="3392"/>
      <c r="BH62" s="3392"/>
      <c r="BI62" s="3392"/>
    </row>
    <row r="63" spans="3:62" x14ac:dyDescent="0.25">
      <c r="C63" s="5941"/>
      <c r="D63" s="3394" t="s">
        <v>1015</v>
      </c>
      <c r="E63" s="506" t="s">
        <v>49</v>
      </c>
      <c r="F63" s="3386">
        <v>95.450038252944893</v>
      </c>
      <c r="G63" s="3395">
        <v>96</v>
      </c>
      <c r="H63" s="3266">
        <f>++'Maj Techno Summ'!E21</f>
        <v>96</v>
      </c>
      <c r="I63" s="3267">
        <f>++'Maj Techno Summ'!F21</f>
        <v>95.641659787281753</v>
      </c>
      <c r="J63" s="3266">
        <f>++'Maj Techno Summ'!G21</f>
        <v>96</v>
      </c>
      <c r="K63" s="3267">
        <f>++'Maj Techno Summ'!H21</f>
        <v>95.154917676635392</v>
      </c>
      <c r="L63" s="3260">
        <f>++'Maj Techno Summ'!I21</f>
        <v>96</v>
      </c>
      <c r="M63" s="2895">
        <f>++'Maj Techno Summ'!J21</f>
        <v>95.474960825270287</v>
      </c>
      <c r="N63" s="3266">
        <f>++'Maj Techno Summ'!K21</f>
        <v>96</v>
      </c>
      <c r="O63" s="3267">
        <f>++'Maj Techno Summ'!L21</f>
        <v>95.257540790258943</v>
      </c>
      <c r="P63" s="3268">
        <f>++'Maj Techno Summ'!M21</f>
        <v>96</v>
      </c>
      <c r="Q63" s="3269">
        <f>++'Maj Techno Summ'!N21</f>
        <v>95.143785568670268</v>
      </c>
      <c r="R63" s="3266">
        <f>++'Maj Techno Summ'!O21</f>
        <v>96</v>
      </c>
      <c r="S63" s="3267">
        <f>++'Maj Techno Summ'!P21</f>
        <v>95.75055357177952</v>
      </c>
      <c r="T63" s="3260">
        <f>+WRM!Q161</f>
        <v>95.999999999999986</v>
      </c>
      <c r="U63" s="2895">
        <f>+WRM!R161</f>
        <v>95.335711108967288</v>
      </c>
      <c r="V63" s="3266">
        <f>++'Maj Techno Summ'!S21</f>
        <v>96</v>
      </c>
      <c r="W63" s="3267">
        <f>++'Maj Techno Summ'!T21</f>
        <v>95.876083003897975</v>
      </c>
      <c r="X63" s="3260">
        <f>+WRM!U161</f>
        <v>95.999999999999986</v>
      </c>
      <c r="Y63" s="2895">
        <f>+WRM!V161</f>
        <v>95.447174998303552</v>
      </c>
      <c r="Z63" s="3266">
        <f>++'Maj Techno Summ'!W21</f>
        <v>96</v>
      </c>
      <c r="AA63" s="3267">
        <f>++'Maj Techno Summ'!X21</f>
        <v>95.610321120425965</v>
      </c>
      <c r="AB63" s="3268">
        <f>+WRM!Y161</f>
        <v>95.999999999999986</v>
      </c>
      <c r="AC63" s="3268">
        <f>+WRM!Z161</f>
        <v>95.743417030300961</v>
      </c>
      <c r="AD63" s="3271">
        <f>+WRM!AA161</f>
        <v>95.999999999999986</v>
      </c>
      <c r="AE63" s="3272">
        <f>+WRM!AB161</f>
        <v>95.476492563267513</v>
      </c>
      <c r="AF63" s="3266">
        <f>++'Maj Techno Summ'!AC21</f>
        <v>96</v>
      </c>
      <c r="AG63" s="3267">
        <f>++'Maj Techno Summ'!AD21</f>
        <v>95.954340193087916</v>
      </c>
      <c r="AH63" s="3260">
        <f>++'Maj Techno Summ'!AE21</f>
        <v>96</v>
      </c>
      <c r="AI63" s="2895">
        <f>++'Maj Techno Summ'!AF21</f>
        <v>95.531895556434733</v>
      </c>
      <c r="AJ63" s="3266">
        <f>++'Maj Techno Summ'!AG21</f>
        <v>96</v>
      </c>
      <c r="AK63" s="3267">
        <f>++'Maj Techno Summ'!AH21</f>
        <v>95.766381296125843</v>
      </c>
      <c r="AL63" s="3260">
        <f>++'Maj Techno Summ'!AI21</f>
        <v>96</v>
      </c>
      <c r="AM63" s="2895">
        <f>++'Maj Techno Summ'!AJ21</f>
        <v>95.559582619518153</v>
      </c>
      <c r="AN63" s="3266">
        <f>++'Maj Techno Summ'!AK21</f>
        <v>96</v>
      </c>
      <c r="AO63" s="3267">
        <f>++'Maj Techno Summ'!AL21</f>
        <v>95.336201881591947</v>
      </c>
      <c r="AP63" s="3268">
        <f>+WRM!AM161</f>
        <v>96</v>
      </c>
      <c r="AQ63" s="3268">
        <f>+WRM!AN161</f>
        <v>95.643377799808036</v>
      </c>
      <c r="AR63" s="3260">
        <f>+WRM!AO161</f>
        <v>96</v>
      </c>
      <c r="AS63" s="2895">
        <f>+WRM!AP161</f>
        <v>95.530311869008372</v>
      </c>
      <c r="AT63" s="3266">
        <f>++'Maj Techno Summ'!AQ21</f>
        <v>96</v>
      </c>
      <c r="AU63" s="3267">
        <f>++'Maj Techno Summ'!AR21</f>
        <v>95.804245221551284</v>
      </c>
      <c r="AV63" s="3260">
        <f>+WRM!AS161</f>
        <v>96</v>
      </c>
      <c r="AW63" s="2895">
        <f>+WRM!AT161</f>
        <v>95.562280312282851</v>
      </c>
      <c r="AX63" s="3266">
        <f>++'Maj Techno Summ'!AU21</f>
        <v>96</v>
      </c>
      <c r="AY63" s="3267">
        <f>++'Maj Techno Summ'!AV21</f>
        <v>95.614821440744819</v>
      </c>
      <c r="AZ63" s="3260">
        <f>+WRM!AW161</f>
        <v>95.999999999999986</v>
      </c>
      <c r="BA63" s="2895">
        <f>+WRM!AX161</f>
        <v>95.566975569572307</v>
      </c>
      <c r="BB63" s="3266">
        <f>++'Maj Techno Summ'!AY21</f>
        <v>96</v>
      </c>
      <c r="BC63" s="3267">
        <f>++'Maj Techno Summ'!AZ21</f>
        <v>95.474822787338823</v>
      </c>
      <c r="BD63" s="3270">
        <f>+WRM!BA161</f>
        <v>96</v>
      </c>
      <c r="BE63" s="3270">
        <f>+WRM!BB161</f>
        <v>95.629455026212497</v>
      </c>
      <c r="BF63" s="3271">
        <f>+WRM!BC161</f>
        <v>96</v>
      </c>
      <c r="BG63" s="3272">
        <f>+WRM!BD161</f>
        <v>95.635827963269534</v>
      </c>
      <c r="BH63" s="3260">
        <f>+WRM!BE161</f>
        <v>95.999999999999986</v>
      </c>
      <c r="BI63" s="2895">
        <f>+WRM!BF161</f>
        <v>95.557718627041353</v>
      </c>
    </row>
    <row r="64" spans="3:62" x14ac:dyDescent="0.25">
      <c r="C64" s="5941"/>
      <c r="D64" s="3394" t="s">
        <v>1014</v>
      </c>
      <c r="E64" s="506" t="s">
        <v>49</v>
      </c>
      <c r="F64" s="3386">
        <v>83.928534989967247</v>
      </c>
      <c r="G64" s="3395">
        <v>88.333333333333329</v>
      </c>
      <c r="H64" s="3266">
        <f>+WRM!E168</f>
        <v>88.333333333333329</v>
      </c>
      <c r="I64" s="3267">
        <f>+WRM!F168</f>
        <v>89.711922887343206</v>
      </c>
      <c r="J64" s="3266">
        <f>+WRM!G168</f>
        <v>88.333333333333329</v>
      </c>
      <c r="K64" s="3267">
        <f>+WRM!H168</f>
        <v>88.31542507755249</v>
      </c>
      <c r="L64" s="3260">
        <f>+WRM!I168</f>
        <v>88.333333333333329</v>
      </c>
      <c r="M64" s="2895">
        <f>+WRM!J168</f>
        <v>89.18330184986641</v>
      </c>
      <c r="N64" s="3266">
        <f>+WRM!K168</f>
        <v>87.5</v>
      </c>
      <c r="O64" s="3267">
        <f>+WRM!L168</f>
        <v>86.854769958474236</v>
      </c>
      <c r="P64" s="3268">
        <f>+WRM!M168</f>
        <v>88.031914893617028</v>
      </c>
      <c r="Q64" s="3269">
        <f>+WRM!N168</f>
        <v>88.29317522391824</v>
      </c>
      <c r="R64" s="3266">
        <f>+WRM!O168</f>
        <v>87.499999999999986</v>
      </c>
      <c r="S64" s="3267">
        <f>+WRM!P168</f>
        <v>90.630082367137078</v>
      </c>
      <c r="T64" s="3260">
        <f>+WRM!Q168</f>
        <v>87.887196695921517</v>
      </c>
      <c r="U64" s="2895">
        <f>+WRM!R168</f>
        <v>88.961769959323362</v>
      </c>
      <c r="V64" s="3266">
        <f>+WRM!S168</f>
        <v>87.499999999999986</v>
      </c>
      <c r="W64" s="3267">
        <f>+WRM!T168</f>
        <v>84.869758490770593</v>
      </c>
      <c r="X64" s="3260">
        <f>+WRM!U168</f>
        <v>87.804383116883102</v>
      </c>
      <c r="Y64" s="2895">
        <f>+WRM!V168</f>
        <v>88.074456767701705</v>
      </c>
      <c r="Z64" s="3266">
        <f>+WRM!W168</f>
        <v>87.5</v>
      </c>
      <c r="AA64" s="3267">
        <f>+WRM!X168</f>
        <v>89.801001759848418</v>
      </c>
      <c r="AB64" s="3268">
        <f>+WRM!Y168</f>
        <v>87.499999999999986</v>
      </c>
      <c r="AC64" s="3268">
        <f>+WRM!Z168</f>
        <v>88.458240285841896</v>
      </c>
      <c r="AD64" s="3271">
        <f>+WRM!AA168</f>
        <v>87.768432355046528</v>
      </c>
      <c r="AE64" s="3272">
        <f>+WRM!AB168</f>
        <v>88.382414016245392</v>
      </c>
      <c r="AF64" s="3266">
        <f>+WRM!AC168</f>
        <v>87.499999999999986</v>
      </c>
      <c r="AG64" s="3267">
        <f>+WRM!AD168</f>
        <v>87.28705440900562</v>
      </c>
      <c r="AH64" s="3260">
        <f>+WRM!AE168</f>
        <v>87.725835591689233</v>
      </c>
      <c r="AI64" s="2895">
        <f>+WRM!AF168</f>
        <v>88.257517413701621</v>
      </c>
      <c r="AJ64" s="3266">
        <f>+WRM!AG168</f>
        <v>87.5</v>
      </c>
      <c r="AK64" s="3267">
        <f>+WRM!AH168</f>
        <v>79.323044052739604</v>
      </c>
      <c r="AL64" s="3260">
        <f>+WRM!AI168</f>
        <v>87.695771339075932</v>
      </c>
      <c r="AM64" s="2895">
        <f>+WRM!AJ168</f>
        <v>87.077368684899454</v>
      </c>
      <c r="AN64" s="3266">
        <f>+WRM!AK168</f>
        <v>87.499999999999986</v>
      </c>
      <c r="AO64" s="3267">
        <f>+WRM!AL168</f>
        <v>89.793221178997243</v>
      </c>
      <c r="AP64" s="3268">
        <f>+WRM!AM168</f>
        <v>87.499999999999972</v>
      </c>
      <c r="AQ64" s="3268">
        <f>+WRM!AN168</f>
        <v>85.335904201339559</v>
      </c>
      <c r="AR64" s="3260">
        <f>+WRM!AO168</f>
        <v>87.67209729233592</v>
      </c>
      <c r="AS64" s="2895">
        <f>+WRM!AP168</f>
        <v>87.400119104491282</v>
      </c>
      <c r="AT64" s="3266">
        <f>+WRM!AQ168</f>
        <v>87.499999999999986</v>
      </c>
      <c r="AU64" s="3267">
        <f>+WRM!AR168</f>
        <v>90.734048864678257</v>
      </c>
      <c r="AV64" s="3260">
        <f>+WRM!AS168</f>
        <v>87.653531218014322</v>
      </c>
      <c r="AW64" s="2895">
        <f>+WRM!AT168</f>
        <v>87.760872610126739</v>
      </c>
      <c r="AX64" s="3266">
        <f>+WRM!AU168</f>
        <v>87.5</v>
      </c>
      <c r="AY64" s="3267">
        <f>+WRM!AV168</f>
        <v>88.716628582998283</v>
      </c>
      <c r="AZ64" s="3260">
        <f>+WRM!AW168</f>
        <v>87.639899272523792</v>
      </c>
      <c r="BA64" s="2895">
        <f>+WRM!AX168</f>
        <v>87.848458261876786</v>
      </c>
      <c r="BB64" s="3266">
        <f>+WRM!AY168</f>
        <v>87.499999999999986</v>
      </c>
      <c r="BC64" s="3267">
        <f>+WRM!AZ168</f>
        <v>90.31983761246434</v>
      </c>
      <c r="BD64" s="3270">
        <f>+WRM!BA168</f>
        <v>87.499999999999986</v>
      </c>
      <c r="BE64" s="3270">
        <f>+WRM!BB168</f>
        <v>89.949218858395525</v>
      </c>
      <c r="BF64" s="3271">
        <f>+WRM!BC168</f>
        <v>87.499999999999986</v>
      </c>
      <c r="BG64" s="3272">
        <f>+WRM!BD168</f>
        <v>87.749393905667034</v>
      </c>
      <c r="BH64" s="3260">
        <f>+WRM!BE168</f>
        <v>87.627377717391312</v>
      </c>
      <c r="BI64" s="2895">
        <f>+WRM!BF168</f>
        <v>88.066227566620313</v>
      </c>
    </row>
    <row r="65" spans="3:61" x14ac:dyDescent="0.25">
      <c r="C65" s="5941"/>
      <c r="D65" s="3394" t="s">
        <v>309</v>
      </c>
      <c r="E65" s="506" t="s">
        <v>525</v>
      </c>
      <c r="F65" s="3386">
        <v>75.551242533855927</v>
      </c>
      <c r="G65" s="3395">
        <v>80.000984627503101</v>
      </c>
      <c r="H65" s="3266">
        <f>+WRM!E178</f>
        <v>78.259005145797602</v>
      </c>
      <c r="I65" s="3267">
        <f>+WRM!F178</f>
        <v>76.065443667775682</v>
      </c>
      <c r="J65" s="3266">
        <f>+WRM!G178</f>
        <v>76.907301066447914</v>
      </c>
      <c r="K65" s="3267">
        <f>+WRM!H178</f>
        <v>65.739004276114855</v>
      </c>
      <c r="L65" s="3260">
        <f>+WRM!I178</f>
        <v>77.568134171907758</v>
      </c>
      <c r="M65" s="2895">
        <f>+WRM!J178</f>
        <v>72.194580669783406</v>
      </c>
      <c r="N65" s="3266">
        <f>+WRM!K178</f>
        <v>79.365079365079367</v>
      </c>
      <c r="O65" s="3267">
        <f>+WRM!L178</f>
        <v>72.744229490548719</v>
      </c>
      <c r="P65" s="3268">
        <f>+WRM!M178</f>
        <v>78.214165827458885</v>
      </c>
      <c r="Q65" s="3269">
        <f>+WRM!N178</f>
        <v>72.212351764537772</v>
      </c>
      <c r="R65" s="3266">
        <f>+WRM!O178</f>
        <v>79.51567723863738</v>
      </c>
      <c r="S65" s="3267">
        <f>+WRM!P178</f>
        <v>81.731808972503629</v>
      </c>
      <c r="T65" s="3260">
        <f>+WRM!Q178</f>
        <v>78.566708275203766</v>
      </c>
      <c r="U65" s="2895">
        <f>+WRM!R178</f>
        <v>74.986966204930056</v>
      </c>
      <c r="V65" s="3266">
        <f>+WRM!S178</f>
        <v>79.51567723863738</v>
      </c>
      <c r="W65" s="3267">
        <f>+WRM!T178</f>
        <v>74.194404522372338</v>
      </c>
      <c r="X65" s="3260">
        <f>+WRM!U178</f>
        <v>78.768970033125342</v>
      </c>
      <c r="Y65" s="2895">
        <f>+WRM!V178</f>
        <v>74.821360169237039</v>
      </c>
      <c r="Z65" s="3266">
        <f>+WRM!W178</f>
        <v>72.150072150072148</v>
      </c>
      <c r="AA65" s="3267">
        <f>+WRM!X178</f>
        <v>74.178997829233012</v>
      </c>
      <c r="AB65" s="3268">
        <f>+WRM!Y178</f>
        <v>77.759427470410131</v>
      </c>
      <c r="AC65" s="3268">
        <f>+WRM!Z178</f>
        <v>76.818952024154584</v>
      </c>
      <c r="AD65" s="3271">
        <f>+WRM!AA178</f>
        <v>77.989601386481809</v>
      </c>
      <c r="AE65" s="3272">
        <f>+WRM!AB178</f>
        <v>74.704945442226673</v>
      </c>
      <c r="AF65" s="3266">
        <f>+WRM!AC178</f>
        <v>76.804915514592935</v>
      </c>
      <c r="AG65" s="3267">
        <f>+WRM!AD178</f>
        <v>77.468532370389482</v>
      </c>
      <c r="AH65" s="3260">
        <f>+WRM!AE178</f>
        <v>77.802090931193788</v>
      </c>
      <c r="AI65" s="2895">
        <f>+WRM!AF178</f>
        <v>75.016594030415135</v>
      </c>
      <c r="AJ65" s="3266">
        <f>+WRM!AG178</f>
        <v>79.365079365079367</v>
      </c>
      <c r="AK65" s="3267">
        <f>+WRM!AH178</f>
        <v>73.605578395236748</v>
      </c>
      <c r="AL65" s="3260">
        <f>+WRM!AI178</f>
        <v>78.009698503057137</v>
      </c>
      <c r="AM65" s="2895">
        <f>+WRM!AJ178</f>
        <v>74.846811232648903</v>
      </c>
      <c r="AN65" s="3266">
        <f>+WRM!AK178</f>
        <v>79.51567723863738</v>
      </c>
      <c r="AO65" s="3267">
        <f>+WRM!AL178</f>
        <v>80.965319514289234</v>
      </c>
      <c r="AP65" s="3268">
        <f>+WRM!AM178</f>
        <v>78.553160394592624</v>
      </c>
      <c r="AQ65" s="3268">
        <f>+WRM!AN178</f>
        <v>77.52846949696756</v>
      </c>
      <c r="AR65" s="3260">
        <f>+WRM!AO178</f>
        <v>78.191454557351307</v>
      </c>
      <c r="AS65" s="2895">
        <f>+WRM!AP178</f>
        <v>75.593840670592698</v>
      </c>
      <c r="AT65" s="3266">
        <f>+WRM!AQ178</f>
        <v>80.419264479985543</v>
      </c>
      <c r="AU65" s="3267">
        <f>+WRM!AR178</f>
        <v>79.515336146941721</v>
      </c>
      <c r="AV65" s="3260">
        <f>+WRM!AS178</f>
        <v>78.431372549019613</v>
      </c>
      <c r="AW65" s="2895">
        <f>+WRM!AT178</f>
        <v>76.032548303757594</v>
      </c>
      <c r="AX65" s="3266">
        <f>+WRM!AU178</f>
        <v>80.032012805122051</v>
      </c>
      <c r="AY65" s="3267">
        <f>+WRM!AV178</f>
        <v>73.201682316118962</v>
      </c>
      <c r="AZ65" s="3260">
        <f>+WRM!AW178</f>
        <v>78.573265579411313</v>
      </c>
      <c r="BA65" s="2895">
        <f>+WRM!AX178</f>
        <v>75.77056347589955</v>
      </c>
      <c r="BB65" s="3266">
        <f>+WRM!AY178</f>
        <v>80.419264479985543</v>
      </c>
      <c r="BC65" s="3267">
        <f>+WRM!AZ178</f>
        <v>85.084307710997052</v>
      </c>
      <c r="BD65" s="3270">
        <f>+WRM!BA178</f>
        <v>80.298786181139121</v>
      </c>
      <c r="BE65" s="3270">
        <f>+WRM!BB178</f>
        <v>79.409594323615622</v>
      </c>
      <c r="BF65" s="3271">
        <f>+WRM!BC178</f>
        <v>79.416381937390341</v>
      </c>
      <c r="BG65" s="3272">
        <f>+WRM!BD178</f>
        <v>78.537265282488221</v>
      </c>
      <c r="BH65" s="3260">
        <f>+WRM!BE178</f>
        <v>78.738249830409913</v>
      </c>
      <c r="BI65" s="2895">
        <f>+WRM!BF178</f>
        <v>76.612259573160031</v>
      </c>
    </row>
    <row r="66" spans="3:61" x14ac:dyDescent="0.25">
      <c r="C66" s="5941"/>
      <c r="D66" s="3396" t="s">
        <v>91</v>
      </c>
      <c r="E66" s="1418"/>
      <c r="F66" s="3397"/>
      <c r="G66" s="3398"/>
      <c r="H66" s="3259"/>
      <c r="I66" s="2914"/>
      <c r="J66" s="3259"/>
      <c r="K66" s="2914"/>
      <c r="L66" s="3260"/>
      <c r="M66" s="2895"/>
      <c r="N66" s="3259"/>
      <c r="O66" s="2914"/>
      <c r="P66" s="3259"/>
      <c r="Q66" s="2914"/>
      <c r="R66" s="3259"/>
      <c r="S66" s="2914"/>
      <c r="T66" s="3259"/>
      <c r="U66" s="2914"/>
      <c r="V66" s="3259"/>
      <c r="W66" s="2914"/>
      <c r="X66" s="3259"/>
      <c r="Y66" s="2914"/>
      <c r="Z66" s="3259"/>
      <c r="AA66" s="2914"/>
      <c r="AB66" s="3259"/>
      <c r="AC66" s="3259"/>
      <c r="AD66" s="3259"/>
      <c r="AE66" s="3261"/>
      <c r="AF66" s="3259"/>
      <c r="AG66" s="2914"/>
      <c r="AH66" s="3259"/>
      <c r="AI66" s="2914"/>
      <c r="AJ66" s="3259"/>
      <c r="AK66" s="2914"/>
      <c r="AL66" s="3259"/>
      <c r="AM66" s="2914"/>
      <c r="AN66" s="3259"/>
      <c r="AO66" s="2914"/>
      <c r="AP66" s="3259"/>
      <c r="AQ66" s="3259"/>
      <c r="AR66" s="3259"/>
      <c r="AS66" s="2914"/>
      <c r="AT66" s="3259"/>
      <c r="AU66" s="2914"/>
      <c r="AV66" s="3259"/>
      <c r="AW66" s="2914"/>
      <c r="AX66" s="3259"/>
      <c r="AY66" s="2914"/>
      <c r="AZ66" s="3259"/>
      <c r="BA66" s="2914"/>
      <c r="BB66" s="3259"/>
      <c r="BC66" s="2914"/>
      <c r="BD66" s="2914"/>
      <c r="BE66" s="2914"/>
      <c r="BF66" s="2914"/>
      <c r="BG66" s="2914"/>
      <c r="BH66" s="2914"/>
      <c r="BI66" s="2914"/>
    </row>
    <row r="67" spans="3:61" x14ac:dyDescent="0.25">
      <c r="C67" s="5941"/>
      <c r="D67" s="3394" t="s">
        <v>1015</v>
      </c>
      <c r="E67" s="506" t="s">
        <v>49</v>
      </c>
      <c r="F67" s="3386">
        <v>95.450022221864671</v>
      </c>
      <c r="G67" s="3399">
        <v>96.5</v>
      </c>
      <c r="H67" s="3266">
        <f>+'Maj Techno Summ'!E22</f>
        <v>96.5</v>
      </c>
      <c r="I67" s="3267">
        <f>+'Maj Techno Summ'!F22</f>
        <v>95.918610762252314</v>
      </c>
      <c r="J67" s="3266">
        <f>+'Maj Techno Summ'!G22</f>
        <v>96.5</v>
      </c>
      <c r="K67" s="3267">
        <f>+'Maj Techno Summ'!H22</f>
        <v>95.961240042042363</v>
      </c>
      <c r="L67" s="3260">
        <f>+'Maj Techno Summ'!I22</f>
        <v>96.5</v>
      </c>
      <c r="M67" s="2895">
        <f>+'Maj Techno Summ'!J22</f>
        <v>95.931726229498125</v>
      </c>
      <c r="N67" s="3266">
        <f>+'Maj Techno Summ'!K22</f>
        <v>96.5</v>
      </c>
      <c r="O67" s="3267">
        <f>+'Maj Techno Summ'!L22</f>
        <v>96.419419676816304</v>
      </c>
      <c r="P67" s="3268">
        <f>+'Maj Techno Summ'!M22</f>
        <v>96.5</v>
      </c>
      <c r="Q67" s="3269">
        <f>+'Maj Techno Summ'!N22</f>
        <v>96.129015094235243</v>
      </c>
      <c r="R67" s="3266">
        <f>+'Maj Techno Summ'!O22</f>
        <v>96.5</v>
      </c>
      <c r="S67" s="3267">
        <f>+'Maj Techno Summ'!P22</f>
        <v>96.454667703108399</v>
      </c>
      <c r="T67" s="3260">
        <f>+BM!Q58</f>
        <v>96.5</v>
      </c>
      <c r="U67" s="2895">
        <f>+BM!R58</f>
        <v>96.235155294852277</v>
      </c>
      <c r="V67" s="3266">
        <f>+'Maj Techno Summ'!S22</f>
        <v>96.5</v>
      </c>
      <c r="W67" s="3267">
        <f>+'Maj Techno Summ'!T22</f>
        <v>96.329019569725332</v>
      </c>
      <c r="X67" s="3260">
        <f>+BM!U58</f>
        <v>96.5</v>
      </c>
      <c r="Y67" s="2895">
        <f>+BM!V58</f>
        <v>96.255752772109346</v>
      </c>
      <c r="Z67" s="3266">
        <f>+'Maj Techno Summ'!W22</f>
        <v>96.5</v>
      </c>
      <c r="AA67" s="3267">
        <f>+'Maj Techno Summ'!X22</f>
        <v>96.394637106483472</v>
      </c>
      <c r="AB67" s="3268">
        <f>+BM!Y58</f>
        <v>96.5</v>
      </c>
      <c r="AC67" s="3268">
        <f>+BM!Z58</f>
        <v>96.395894549603327</v>
      </c>
      <c r="AD67" s="3271">
        <f>+BM!AA58</f>
        <v>96.5</v>
      </c>
      <c r="AE67" s="3272">
        <f>+BM!AB58</f>
        <v>96.280856695332602</v>
      </c>
      <c r="AF67" s="3266">
        <f>+'Maj Techno Summ'!AC22</f>
        <v>96.5</v>
      </c>
      <c r="AG67" s="3267">
        <f>+'Maj Techno Summ'!AD22</f>
        <v>96.409969459870908</v>
      </c>
      <c r="AH67" s="3260">
        <f>+'Maj Techno Summ'!AE22</f>
        <v>96.5</v>
      </c>
      <c r="AI67" s="2895">
        <f>+'Maj Techno Summ'!AF22</f>
        <v>96.294757230079497</v>
      </c>
      <c r="AJ67" s="3266">
        <f>+'Maj Techno Summ'!AG22</f>
        <v>96.5</v>
      </c>
      <c r="AK67" s="3267">
        <f>+'Maj Techno Summ'!AH22</f>
        <v>96.083717767346542</v>
      </c>
      <c r="AL67" s="3260">
        <f>+'Maj Techno Summ'!AI22</f>
        <v>96.5</v>
      </c>
      <c r="AM67" s="2895">
        <f>+'Maj Techno Summ'!AJ22</f>
        <v>96.267577959633968</v>
      </c>
      <c r="AN67" s="3266">
        <f>+'Maj Techno Summ'!AK22</f>
        <v>96.5</v>
      </c>
      <c r="AO67" s="3267">
        <f>+'Maj Techno Summ'!AL22</f>
        <v>95.865818289064322</v>
      </c>
      <c r="AP67" s="3268">
        <f>+BM!AM58</f>
        <v>96.5</v>
      </c>
      <c r="AQ67" s="3268">
        <f>+BM!AN58</f>
        <v>96.077497770373839</v>
      </c>
      <c r="AR67" s="3260">
        <f>+BM!AO58</f>
        <v>96.499999999999972</v>
      </c>
      <c r="AS67" s="2895">
        <f>+BM!AP58</f>
        <v>96.214839315282248</v>
      </c>
      <c r="AT67" s="3266">
        <f>+'Maj Techno Summ'!AQ22</f>
        <v>96.5</v>
      </c>
      <c r="AU67" s="3267">
        <f>+'Maj Techno Summ'!AR22</f>
        <v>95.990775355915758</v>
      </c>
      <c r="AV67" s="3260">
        <f>+'Maj Techno Summ'!AS22</f>
        <v>96.5</v>
      </c>
      <c r="AW67" s="2895">
        <f>+'Maj Techno Summ'!AT22</f>
        <v>96.187698391643892</v>
      </c>
      <c r="AX67" s="3266">
        <f>+'Maj Techno Summ'!AU22</f>
        <v>96.5</v>
      </c>
      <c r="AY67" s="3267">
        <f>+'Maj Techno Summ'!AV22</f>
        <v>95.9606442036267</v>
      </c>
      <c r="AZ67" s="3260">
        <f>+'Maj Techno Summ'!AW22</f>
        <v>96.5</v>
      </c>
      <c r="BA67" s="2895">
        <f>+'Maj Techno Summ'!AX22</f>
        <v>96.166201075340012</v>
      </c>
      <c r="BB67" s="3266">
        <f>+'Maj Techno Summ'!AY22</f>
        <v>96.5</v>
      </c>
      <c r="BC67" s="3267">
        <f>+'Maj Techno Summ'!AZ22</f>
        <v>93.352457710962938</v>
      </c>
      <c r="BD67" s="3270">
        <f>+'Maj Techno Summ'!BA22</f>
        <v>96.5</v>
      </c>
      <c r="BE67" s="3270">
        <f>+'Maj Techno Summ'!BB22</f>
        <v>95.076496488136257</v>
      </c>
      <c r="BF67" s="3271">
        <f>+'Maj Techno Summ'!BC22</f>
        <v>96.5</v>
      </c>
      <c r="BG67" s="3272">
        <f>+'Maj Techno Summ'!BD22</f>
        <v>95.530624031950111</v>
      </c>
      <c r="BH67" s="3260">
        <f>+'Maj Techno Summ'!BE22</f>
        <v>96.5</v>
      </c>
      <c r="BI67" s="2895">
        <f>+'Maj Techno Summ'!BF22</f>
        <v>95.894897804185575</v>
      </c>
    </row>
    <row r="68" spans="3:61" x14ac:dyDescent="0.25">
      <c r="C68" s="5941"/>
      <c r="D68" s="3394" t="s">
        <v>1014</v>
      </c>
      <c r="E68" s="506" t="s">
        <v>49</v>
      </c>
      <c r="F68" s="3384">
        <v>80.103400582885854</v>
      </c>
      <c r="G68" s="3395">
        <v>90.000000000000014</v>
      </c>
      <c r="H68" s="3266">
        <f>+BM!E69</f>
        <v>90</v>
      </c>
      <c r="I68" s="3267">
        <f>+BM!F69</f>
        <v>87.996182713884096</v>
      </c>
      <c r="J68" s="3266">
        <f>+BM!G69</f>
        <v>90</v>
      </c>
      <c r="K68" s="3267">
        <f>+BM!H69</f>
        <v>88.697717529834335</v>
      </c>
      <c r="L68" s="3260">
        <f>+BM!I69</f>
        <v>90</v>
      </c>
      <c r="M68" s="2895">
        <f>+BM!J69</f>
        <v>88.212303464030128</v>
      </c>
      <c r="N68" s="3266">
        <f>+BM!K69</f>
        <v>85.416666666666657</v>
      </c>
      <c r="O68" s="3267">
        <f>+BM!L69</f>
        <v>89.794951435866395</v>
      </c>
      <c r="P68" s="3268">
        <f>+BM!M69</f>
        <v>88.304794520547929</v>
      </c>
      <c r="Q68" s="3269">
        <f>+BM!N69</f>
        <v>88.851782523611007</v>
      </c>
      <c r="R68" s="3266">
        <f>+BM!O69</f>
        <v>85.416666666666657</v>
      </c>
      <c r="S68" s="3267">
        <f>+BM!P69</f>
        <v>91.998045920859767</v>
      </c>
      <c r="T68" s="3260">
        <f>+BM!Q69</f>
        <v>87.504125412541242</v>
      </c>
      <c r="U68" s="2895">
        <f>+BM!R69</f>
        <v>89.806170534364711</v>
      </c>
      <c r="V68" s="3266">
        <f>+BM!S69</f>
        <v>85.416666666666657</v>
      </c>
      <c r="W68" s="3267">
        <f>+BM!T69</f>
        <v>88.592158073479467</v>
      </c>
      <c r="X68" s="3260">
        <f>+BM!U69</f>
        <v>87.051033591731269</v>
      </c>
      <c r="Y68" s="2895">
        <f>+BM!V69</f>
        <v>89.534723181002349</v>
      </c>
      <c r="Z68" s="3266">
        <f>+BM!W69</f>
        <v>85.416666666666657</v>
      </c>
      <c r="AA68" s="3267">
        <f>+BM!X69</f>
        <v>88.752251093336241</v>
      </c>
      <c r="AB68" s="3268">
        <f>+BM!Y69</f>
        <v>85.416666666666657</v>
      </c>
      <c r="AC68" s="3268">
        <f>+BM!Z69</f>
        <v>89.819511619659863</v>
      </c>
      <c r="AD68" s="3271">
        <f>+BM!AA69</f>
        <v>86.850907029478449</v>
      </c>
      <c r="AE68" s="3272">
        <f>+BM!AB69</f>
        <v>89.391731154375549</v>
      </c>
      <c r="AF68" s="3266">
        <f>+BM!AC69</f>
        <v>85.416666666666657</v>
      </c>
      <c r="AG68" s="3267">
        <f>+BM!AD69</f>
        <v>87.445632141540742</v>
      </c>
      <c r="AH68" s="3260">
        <f>+BM!AE69</f>
        <v>86.621428571428567</v>
      </c>
      <c r="AI68" s="2895">
        <f>+BM!AF69</f>
        <v>89.171586777402453</v>
      </c>
      <c r="AJ68" s="3266">
        <f>+BM!AG69</f>
        <v>85.416666666666657</v>
      </c>
      <c r="AK68" s="3267">
        <f>+BM!AH69</f>
        <v>86.010299230850265</v>
      </c>
      <c r="AL68" s="3260">
        <f>+BM!AI69</f>
        <v>86.460396039603964</v>
      </c>
      <c r="AM68" s="2895">
        <f>+BM!AJ69</f>
        <v>88.739560684811806</v>
      </c>
      <c r="AN68" s="3266">
        <f>+BM!AK69</f>
        <v>85.416666666666657</v>
      </c>
      <c r="AO68" s="3267">
        <f>+BM!AL69</f>
        <v>89.435071511498649</v>
      </c>
      <c r="AP68" s="3268">
        <f>+BM!AM69</f>
        <v>85.416666666666657</v>
      </c>
      <c r="AQ68" s="3268">
        <f>+BM!AN69</f>
        <v>87.692347765138237</v>
      </c>
      <c r="AR68" s="3260">
        <f>+BM!AO69</f>
        <v>86.333333333333343</v>
      </c>
      <c r="AS68" s="2895">
        <f>+BM!AP69</f>
        <v>88.828025097471027</v>
      </c>
      <c r="AT68" s="3266">
        <f>+BM!AQ69</f>
        <v>85.416666666666657</v>
      </c>
      <c r="AU68" s="3267">
        <f>+BM!AR69</f>
        <v>91.673922236871562</v>
      </c>
      <c r="AV68" s="3260">
        <f>+BM!AS69</f>
        <v>86.23385012919897</v>
      </c>
      <c r="AW68" s="2895">
        <f>+BM!AT69</f>
        <v>89.14715826354194</v>
      </c>
      <c r="AX68" s="3266">
        <f>+BM!AU69</f>
        <v>85.416666666666671</v>
      </c>
      <c r="AY68" s="3267">
        <f>+BM!AV69</f>
        <v>89.441607642892436</v>
      </c>
      <c r="AZ68" s="3260">
        <f>+BM!AW69</f>
        <v>86.161134651600761</v>
      </c>
      <c r="BA68" s="2895">
        <f>+BM!AX69</f>
        <v>89.174318315332286</v>
      </c>
      <c r="BB68" s="3266">
        <f>+BM!AY69</f>
        <v>85.416666666666657</v>
      </c>
      <c r="BC68" s="3267">
        <f>+BM!AZ69</f>
        <v>89.341466450890067</v>
      </c>
      <c r="BD68" s="3270">
        <f>+BM!BA69</f>
        <v>85.416666666666657</v>
      </c>
      <c r="BE68" s="3270">
        <f>+BM!BB69</f>
        <v>90.175528726774544</v>
      </c>
      <c r="BF68" s="3271">
        <f>+BM!BC69</f>
        <v>85.416666666666657</v>
      </c>
      <c r="BG68" s="3272">
        <f>+BM!BD69</f>
        <v>88.99654625011803</v>
      </c>
      <c r="BH68" s="3260">
        <f>+BM!BE69</f>
        <v>86.094151670951163</v>
      </c>
      <c r="BI68" s="2895">
        <f>+BM!BF69</f>
        <v>89.189749212189284</v>
      </c>
    </row>
    <row r="69" spans="3:61" x14ac:dyDescent="0.25">
      <c r="C69" s="5941"/>
      <c r="D69" s="3394" t="s">
        <v>309</v>
      </c>
      <c r="E69" s="506" t="s">
        <v>525</v>
      </c>
      <c r="F69" s="3384">
        <v>129.35729675734254</v>
      </c>
      <c r="G69" s="3395">
        <v>143.22916666666666</v>
      </c>
      <c r="H69" s="3266">
        <f>+BM!E79</f>
        <v>137.88244766505636</v>
      </c>
      <c r="I69" s="3267">
        <f>+BM!F79</f>
        <v>131.30293988334273</v>
      </c>
      <c r="J69" s="3266">
        <f>+BM!G79</f>
        <v>142.91465378421898</v>
      </c>
      <c r="K69" s="3267">
        <f>+BM!H79</f>
        <v>130.07479589837385</v>
      </c>
      <c r="L69" s="3260">
        <f>+BM!I79</f>
        <v>140.39855072463769</v>
      </c>
      <c r="M69" s="2895">
        <f>+BM!J79</f>
        <v>130.92250546249105</v>
      </c>
      <c r="N69" s="3266">
        <f>+BM!K79</f>
        <v>137.30803974706413</v>
      </c>
      <c r="O69" s="3267">
        <f>+BM!L79</f>
        <v>129.52573430263243</v>
      </c>
      <c r="P69" s="3268">
        <f>+BM!M79</f>
        <v>139.29287053196305</v>
      </c>
      <c r="Q69" s="3269">
        <f>+BM!N79</f>
        <v>130.35214024083706</v>
      </c>
      <c r="R69" s="3266">
        <f>+BM!O79</f>
        <v>137.63066202090593</v>
      </c>
      <c r="S69" s="3267">
        <f>+BM!P79</f>
        <v>140.27690632965184</v>
      </c>
      <c r="T69" s="3260">
        <f>+BM!Q79</f>
        <v>138.84305313280845</v>
      </c>
      <c r="U69" s="2895">
        <f>+BM!R79</f>
        <v>133.43619870303468</v>
      </c>
      <c r="V69" s="3266">
        <f>+BM!S79</f>
        <v>137.63066202090593</v>
      </c>
      <c r="W69" s="3267">
        <f>+BM!T79</f>
        <v>132.17232096184014</v>
      </c>
      <c r="X69" s="3260">
        <f>+BM!U79</f>
        <v>138.58483915253609</v>
      </c>
      <c r="Y69" s="2895">
        <f>+BM!V79</f>
        <v>133.15657671549741</v>
      </c>
      <c r="Z69" s="3266">
        <f>+BM!W79</f>
        <v>128.72628726287263</v>
      </c>
      <c r="AA69" s="3267">
        <f>+BM!X79</f>
        <v>132.73645138861181</v>
      </c>
      <c r="AB69" s="3268">
        <f>+BM!Y79</f>
        <v>135.46473302570863</v>
      </c>
      <c r="AC69" s="3268">
        <f>+BM!Z79</f>
        <v>135.21851851856002</v>
      </c>
      <c r="AD69" s="3271">
        <f>+BM!AA79</f>
        <v>137.39760451682386</v>
      </c>
      <c r="AE69" s="3272">
        <f>+BM!AB79</f>
        <v>133.08035058749098</v>
      </c>
      <c r="AF69" s="3266">
        <f>+BM!AC79</f>
        <v>135.88850174216029</v>
      </c>
      <c r="AG69" s="3267">
        <f>+BM!AD79</f>
        <v>128.85754931714737</v>
      </c>
      <c r="AH69" s="3260">
        <f>+BM!AE79</f>
        <v>137.1595063357247</v>
      </c>
      <c r="AI69" s="2895">
        <f>+BM!AF79</f>
        <v>132.61190954916884</v>
      </c>
      <c r="AJ69" s="3266">
        <f>+BM!AG79</f>
        <v>137.30803974706413</v>
      </c>
      <c r="AK69" s="3267">
        <f>+BM!AH79</f>
        <v>128.11234207016528</v>
      </c>
      <c r="AL69" s="3260">
        <f>+BM!AI79</f>
        <v>137.179120145052</v>
      </c>
      <c r="AM69" s="2895">
        <f>+BM!AJ79</f>
        <v>132.01590451209688</v>
      </c>
      <c r="AN69" s="3266">
        <f>+BM!AK79</f>
        <v>137.63066202090593</v>
      </c>
      <c r="AO69" s="3267">
        <f>+BM!AL79</f>
        <v>135.25398828923409</v>
      </c>
      <c r="AP69" s="3268">
        <f>+BM!AM79</f>
        <v>136.93799588598296</v>
      </c>
      <c r="AQ69" s="3268">
        <f>+BM!AN79</f>
        <v>131.09614999306046</v>
      </c>
      <c r="AR69" s="3260">
        <f>+BM!AO79</f>
        <v>137.23350679872419</v>
      </c>
      <c r="AS69" s="2895">
        <f>+BM!AP79</f>
        <v>132.43058216946551</v>
      </c>
      <c r="AT69" s="3266">
        <f>+BM!AQ79</f>
        <v>137.63066202090593</v>
      </c>
      <c r="AU69" s="3267">
        <f>+BM!AR79</f>
        <v>139.70140019537632</v>
      </c>
      <c r="AV69" s="3260">
        <f>+BM!AS79</f>
        <v>137.27620046445426</v>
      </c>
      <c r="AW69" s="2895">
        <f>+BM!AT79</f>
        <v>133.26902668077628</v>
      </c>
      <c r="AX69" s="3266">
        <f>+BM!AU79</f>
        <v>138.4049554781262</v>
      </c>
      <c r="AY69" s="3267">
        <f>+BM!AV79</f>
        <v>136.38732965009225</v>
      </c>
      <c r="AZ69" s="3260">
        <f>+BM!AW79</f>
        <v>137.3757726853591</v>
      </c>
      <c r="BA69" s="2895">
        <f>+BM!AX79</f>
        <v>133.55752152581545</v>
      </c>
      <c r="BB69" s="3266">
        <f>+BM!AY79</f>
        <v>139.37282229965157</v>
      </c>
      <c r="BC69" s="3267">
        <f>+BM!AZ79</f>
        <v>135.77081707724892</v>
      </c>
      <c r="BD69" s="3270">
        <f>+BM!BA79</f>
        <v>138.47170491409349</v>
      </c>
      <c r="BE69" s="3270">
        <f>+BM!BB79</f>
        <v>137.33692126552486</v>
      </c>
      <c r="BF69" s="3271">
        <f>+BM!BC79</f>
        <v>137.69644395591337</v>
      </c>
      <c r="BG69" s="3272">
        <f>+BM!BD79</f>
        <v>134.41730489221916</v>
      </c>
      <c r="BH69" s="3260">
        <f>+BM!BE79</f>
        <v>137.55404186494977</v>
      </c>
      <c r="BI69" s="2895">
        <f>+BM!BF79</f>
        <v>133.76219764639535</v>
      </c>
    </row>
    <row r="70" spans="3:61" x14ac:dyDescent="0.25">
      <c r="C70" s="5941"/>
      <c r="D70" s="3396" t="s">
        <v>109</v>
      </c>
      <c r="E70" s="1418"/>
      <c r="F70" s="3397"/>
      <c r="G70" s="3398"/>
      <c r="H70" s="3259"/>
      <c r="I70" s="2914"/>
      <c r="J70" s="3259"/>
      <c r="K70" s="2914"/>
      <c r="L70" s="3260"/>
      <c r="M70" s="2895"/>
      <c r="N70" s="3259"/>
      <c r="O70" s="2914"/>
      <c r="P70" s="3259"/>
      <c r="Q70" s="2914"/>
      <c r="R70" s="3259"/>
      <c r="S70" s="2914"/>
      <c r="T70" s="3259"/>
      <c r="U70" s="2914"/>
      <c r="V70" s="3259"/>
      <c r="W70" s="2914"/>
      <c r="X70" s="3259"/>
      <c r="Y70" s="2914"/>
      <c r="Z70" s="3259"/>
      <c r="AA70" s="2914"/>
      <c r="AB70" s="3259"/>
      <c r="AC70" s="3259"/>
      <c r="AD70" s="3259"/>
      <c r="AE70" s="3261"/>
      <c r="AF70" s="3259"/>
      <c r="AG70" s="2914"/>
      <c r="AH70" s="3259"/>
      <c r="AI70" s="2914"/>
      <c r="AJ70" s="3259"/>
      <c r="AK70" s="2914"/>
      <c r="AL70" s="3259"/>
      <c r="AM70" s="2914"/>
      <c r="AN70" s="3259"/>
      <c r="AO70" s="2914"/>
      <c r="AP70" s="3259"/>
      <c r="AQ70" s="3259"/>
      <c r="AR70" s="3259"/>
      <c r="AS70" s="2914"/>
      <c r="AT70" s="3259"/>
      <c r="AU70" s="2914"/>
      <c r="AV70" s="3259"/>
      <c r="AW70" s="2914"/>
      <c r="AX70" s="3259"/>
      <c r="AY70" s="2914"/>
      <c r="AZ70" s="3259"/>
      <c r="BA70" s="2914"/>
      <c r="BB70" s="3259"/>
      <c r="BC70" s="2914"/>
      <c r="BD70" s="2914"/>
      <c r="BE70" s="2914"/>
      <c r="BF70" s="2914"/>
      <c r="BG70" s="2914"/>
      <c r="BH70" s="2914"/>
      <c r="BI70" s="2914"/>
    </row>
    <row r="71" spans="3:61" x14ac:dyDescent="0.25">
      <c r="C71" s="5941"/>
      <c r="D71" s="3394" t="s">
        <v>1015</v>
      </c>
      <c r="E71" s="506" t="s">
        <v>49</v>
      </c>
      <c r="F71" s="3384">
        <v>93.371871065542948</v>
      </c>
      <c r="G71" s="3399">
        <v>94.75</v>
      </c>
      <c r="H71" s="3266">
        <f>+'Maj Techno Summ'!E23</f>
        <v>94.75</v>
      </c>
      <c r="I71" s="3267">
        <f>+'Maj Techno Summ'!F23</f>
        <v>93.988402716340801</v>
      </c>
      <c r="J71" s="3266">
        <f>+'Maj Techno Summ'!G23</f>
        <v>94.75</v>
      </c>
      <c r="K71" s="3267">
        <f>+'Maj Techno Summ'!H23</f>
        <v>92.538149008307627</v>
      </c>
      <c r="L71" s="3260">
        <f>+'Maj Techno Summ'!I23</f>
        <v>94.75</v>
      </c>
      <c r="M71" s="2895">
        <f>+'Maj Techno Summ'!J23</f>
        <v>93.742927390617425</v>
      </c>
      <c r="N71" s="3266">
        <f>+'Maj Techno Summ'!K23</f>
        <v>94.75</v>
      </c>
      <c r="O71" s="3267">
        <f>+'Maj Techno Summ'!L23</f>
        <v>94.300657609568276</v>
      </c>
      <c r="P71" s="3268">
        <f>+'Maj Techno Summ'!M23</f>
        <v>94.75</v>
      </c>
      <c r="Q71" s="3269">
        <f>+'Maj Techno Summ'!N23</f>
        <v>92.597989360792781</v>
      </c>
      <c r="R71" s="3266">
        <f>+'Maj Techno Summ'!O23</f>
        <v>94.75</v>
      </c>
      <c r="S71" s="3267">
        <f>+'Maj Techno Summ'!P23</f>
        <v>94.039736544191683</v>
      </c>
      <c r="T71" s="3260">
        <f>+USM!R123</f>
        <v>94.75</v>
      </c>
      <c r="U71" s="2895">
        <f>+USM!S123</f>
        <v>90.479723428744251</v>
      </c>
      <c r="V71" s="3266">
        <f>+'Maj Techno Summ'!S23</f>
        <v>94.75</v>
      </c>
      <c r="W71" s="3267">
        <f>+'Maj Techno Summ'!T23</f>
        <v>93.446166495534285</v>
      </c>
      <c r="X71" s="3260">
        <f>+USM!V123</f>
        <v>94.75</v>
      </c>
      <c r="Y71" s="2895">
        <f>+USM!W123</f>
        <v>91.072105750810408</v>
      </c>
      <c r="Z71" s="3266">
        <f>+'Maj Techno Summ'!W23</f>
        <v>94.75</v>
      </c>
      <c r="AA71" s="3267">
        <f>+'Maj Techno Summ'!X23</f>
        <v>93.972449866117088</v>
      </c>
      <c r="AB71" s="3268">
        <f>+USM!Z123</f>
        <v>94.75</v>
      </c>
      <c r="AC71" s="3268">
        <f>+USM!AA123</f>
        <v>93.843139792150197</v>
      </c>
      <c r="AD71" s="3271">
        <f>+USM!AB123</f>
        <v>94.75</v>
      </c>
      <c r="AE71" s="3272">
        <f>+USM!AC123</f>
        <v>93.289412958846668</v>
      </c>
      <c r="AF71" s="3266">
        <f>+'Maj Techno Summ'!AC23</f>
        <v>94.75</v>
      </c>
      <c r="AG71" s="3267">
        <f>+'Maj Techno Summ'!AD23</f>
        <v>93.165855556550625</v>
      </c>
      <c r="AH71" s="3260">
        <f>+'Maj Techno Summ'!AE23</f>
        <v>94.75</v>
      </c>
      <c r="AI71" s="2895">
        <f>+'Maj Techno Summ'!AF23</f>
        <v>93.277235108276429</v>
      </c>
      <c r="AJ71" s="3266">
        <f>+'Maj Techno Summ'!AG23</f>
        <v>94.75</v>
      </c>
      <c r="AK71" s="3267">
        <f>+'Maj Techno Summ'!AH23</f>
        <v>93.342593762703558</v>
      </c>
      <c r="AL71" s="3260">
        <f>+'Maj Techno Summ'!AI23</f>
        <v>94.75</v>
      </c>
      <c r="AM71" s="2895">
        <f>+'Maj Techno Summ'!AJ23</f>
        <v>93.286381832346379</v>
      </c>
      <c r="AN71" s="3266">
        <f>+'Maj Techno Summ'!AK23</f>
        <v>94.75</v>
      </c>
      <c r="AO71" s="3267">
        <f>+'Maj Techno Summ'!AL23</f>
        <v>93.351849425160552</v>
      </c>
      <c r="AP71" s="3268">
        <f>+USM!AN123</f>
        <v>94.75</v>
      </c>
      <c r="AQ71" s="3268">
        <f>+USM!AO123</f>
        <v>93.306454828873257</v>
      </c>
      <c r="AR71" s="3260">
        <f>+USM!AP123</f>
        <v>94.75</v>
      </c>
      <c r="AS71" s="2895">
        <f>+USM!AQ123</f>
        <v>93.294977166474069</v>
      </c>
      <c r="AT71" s="3266">
        <f>+'Maj Techno Summ'!AQ23</f>
        <v>94.75</v>
      </c>
      <c r="AU71" s="3267">
        <f>+'Maj Techno Summ'!AR23</f>
        <v>93.24126088594636</v>
      </c>
      <c r="AV71" s="3260">
        <f>+USM!AT123</f>
        <v>94.75</v>
      </c>
      <c r="AW71" s="2895">
        <f>+USM!AU123</f>
        <v>93.288407608699814</v>
      </c>
      <c r="AX71" s="3266">
        <f>+'Maj Techno Summ'!AU23</f>
        <v>94.75</v>
      </c>
      <c r="AY71" s="3267">
        <f>+'Maj Techno Summ'!AV23</f>
        <v>94.33991758409546</v>
      </c>
      <c r="AZ71" s="3260">
        <f>+USM!AX123</f>
        <v>94.749999999999986</v>
      </c>
      <c r="BA71" s="2895">
        <f>+USM!AY123</f>
        <v>93.398386260154766</v>
      </c>
      <c r="BB71" s="3266">
        <f>+'Maj Techno Summ'!AY23</f>
        <v>94.75</v>
      </c>
      <c r="BC71" s="3267">
        <f>+'Maj Techno Summ'!AZ23</f>
        <v>94.146464563073792</v>
      </c>
      <c r="BD71" s="3270">
        <f>+USM!BB123</f>
        <v>94.749999999999986</v>
      </c>
      <c r="BE71" s="3270">
        <f>+USM!BC123</f>
        <v>93.91164228167537</v>
      </c>
      <c r="BF71" s="3271">
        <f>+USM!BD123</f>
        <v>94.75</v>
      </c>
      <c r="BG71" s="3272">
        <f>+USM!BE123</f>
        <v>93.649582875146166</v>
      </c>
      <c r="BH71" s="3260">
        <f>+USM!BF123</f>
        <v>94.749999999999986</v>
      </c>
      <c r="BI71" s="2895">
        <f>+USM!BG123</f>
        <v>93.479654622392289</v>
      </c>
    </row>
    <row r="72" spans="3:61" x14ac:dyDescent="0.25">
      <c r="C72" s="5941"/>
      <c r="D72" s="3394" t="s">
        <v>1014</v>
      </c>
      <c r="E72" s="506" t="s">
        <v>49</v>
      </c>
      <c r="F72" s="3384">
        <v>68.17523999238459</v>
      </c>
      <c r="G72" s="3395">
        <v>83.333333333333343</v>
      </c>
      <c r="H72" s="3266">
        <f>+USM!F134</f>
        <v>83.333333333333343</v>
      </c>
      <c r="I72" s="3267">
        <f>+USM!G134</f>
        <v>79.140094582572488</v>
      </c>
      <c r="J72" s="3266">
        <f>+USM!H134</f>
        <v>83.333333333333343</v>
      </c>
      <c r="K72" s="3267">
        <f>+USM!I134</f>
        <v>57.883179622310053</v>
      </c>
      <c r="L72" s="3260">
        <f>+USM!J134</f>
        <v>83.333333333333343</v>
      </c>
      <c r="M72" s="2895">
        <f>+USM!K134</f>
        <v>73.988754079750279</v>
      </c>
      <c r="N72" s="3266">
        <f>+USM!L134</f>
        <v>83.333333333333343</v>
      </c>
      <c r="O72" s="3267">
        <f>+USM!M134</f>
        <v>83.92194585680916</v>
      </c>
      <c r="P72" s="3268">
        <f>+USM!N134</f>
        <v>83.333333333333343</v>
      </c>
      <c r="Q72" s="3269">
        <f>+USM!O134</f>
        <v>78.324136828005379</v>
      </c>
      <c r="R72" s="3266">
        <f>+USM!P134</f>
        <v>83.333333333333343</v>
      </c>
      <c r="S72" s="3267">
        <f>+USM!Q134</f>
        <v>81.618114743671271</v>
      </c>
      <c r="T72" s="3260">
        <f>+USM!R134</f>
        <v>83.333333333333343</v>
      </c>
      <c r="U72" s="2895">
        <f>+USM!S134</f>
        <v>79.379568489986696</v>
      </c>
      <c r="V72" s="3266">
        <f>+USM!T134</f>
        <v>83.333333333333343</v>
      </c>
      <c r="W72" s="3267">
        <f>+USM!U134</f>
        <v>72.268449051971047</v>
      </c>
      <c r="X72" s="3260">
        <f>+USM!V134</f>
        <v>83.333333333333343</v>
      </c>
      <c r="Y72" s="2895">
        <f>+USM!W134</f>
        <v>77.743553533134573</v>
      </c>
      <c r="Z72" s="3266">
        <f>+USM!X134</f>
        <v>83.333333333333343</v>
      </c>
      <c r="AA72" s="3267">
        <f>+USM!Y134</f>
        <v>74.749416449265411</v>
      </c>
      <c r="AB72" s="3268">
        <f>+USM!Z134</f>
        <v>83.333333333333343</v>
      </c>
      <c r="AC72" s="3268">
        <f>+USM!AA134</f>
        <v>76.34260289210232</v>
      </c>
      <c r="AD72" s="3271">
        <f>+USM!AB134</f>
        <v>83.333333333333343</v>
      </c>
      <c r="AE72" s="3272">
        <f>+USM!AC134</f>
        <v>77.186531453288381</v>
      </c>
      <c r="AF72" s="3266">
        <f>+USM!AD134</f>
        <v>83.333333333333343</v>
      </c>
      <c r="AG72" s="3267">
        <f>+USM!AE134</f>
        <v>62.101313320825533</v>
      </c>
      <c r="AH72" s="3260">
        <f>+USM!AF134</f>
        <v>83.333333333333343</v>
      </c>
      <c r="AI72" s="2895">
        <f>+USM!AG134</f>
        <v>75.539841468502303</v>
      </c>
      <c r="AJ72" s="3266">
        <f>+USM!AH134</f>
        <v>83.333333333333343</v>
      </c>
      <c r="AK72" s="3267">
        <f>+USM!AI134</f>
        <v>78.297395687482506</v>
      </c>
      <c r="AL72" s="3260">
        <f>+USM!AJ134</f>
        <v>83.333333333333343</v>
      </c>
      <c r="AM72" s="2895">
        <f>+USM!AK134</f>
        <v>75.925349567078385</v>
      </c>
      <c r="AN72" s="3266">
        <f>+USM!AL134</f>
        <v>83.333333333333343</v>
      </c>
      <c r="AO72" s="3267">
        <f>+USM!AM134</f>
        <v>77.512387244314581</v>
      </c>
      <c r="AP72" s="3268">
        <f>+USM!AN134</f>
        <v>83.333333333333343</v>
      </c>
      <c r="AQ72" s="3268">
        <f>+USM!AO134</f>
        <v>74.0636042402827</v>
      </c>
      <c r="AR72" s="3260">
        <f>+USM!AP134</f>
        <v>83.333333333333343</v>
      </c>
      <c r="AS72" s="2895">
        <f>+USM!AQ134</f>
        <v>76.137221977226716</v>
      </c>
      <c r="AT72" s="3266">
        <f>+USM!AR134</f>
        <v>83.333333333333343</v>
      </c>
      <c r="AU72" s="3267">
        <f>+USM!AS134</f>
        <v>83.563991037300667</v>
      </c>
      <c r="AV72" s="3260">
        <f>+USM!AT134</f>
        <v>83.333333333333343</v>
      </c>
      <c r="AW72" s="2895">
        <f>+USM!AU134</f>
        <v>76.983970746612556</v>
      </c>
      <c r="AX72" s="3266">
        <f>+USM!AV134</f>
        <v>83.333333333333343</v>
      </c>
      <c r="AY72" s="3267">
        <f>+USM!AW134</f>
        <v>82.635592001150911</v>
      </c>
      <c r="AZ72" s="3260">
        <f>+USM!AX134</f>
        <v>83.333333333333343</v>
      </c>
      <c r="BA72" s="2895">
        <f>+USM!AY134</f>
        <v>77.518481731432104</v>
      </c>
      <c r="BB72" s="3266">
        <f>+USM!AZ134</f>
        <v>83.333333333333343</v>
      </c>
      <c r="BC72" s="3267">
        <f>+USM!BA134</f>
        <v>84.668618578653167</v>
      </c>
      <c r="BD72" s="3270">
        <f>+USM!BB134</f>
        <v>83.333333333333343</v>
      </c>
      <c r="BE72" s="3270">
        <f>+USM!BC134</f>
        <v>83.647741701432977</v>
      </c>
      <c r="BF72" s="3271">
        <f>+USM!BD134</f>
        <v>83.333333333333343</v>
      </c>
      <c r="BG72" s="3272">
        <f>+USM!BE134</f>
        <v>79.112321437102864</v>
      </c>
      <c r="BH72" s="3260">
        <f>+USM!BF134</f>
        <v>83.333333333333343</v>
      </c>
      <c r="BI72" s="2895">
        <f>+USM!BG134</f>
        <v>78.181685388635145</v>
      </c>
    </row>
    <row r="73" spans="3:61" ht="14.4" thickBot="1" x14ac:dyDescent="0.3">
      <c r="C73" s="5943"/>
      <c r="D73" s="5250" t="s">
        <v>309</v>
      </c>
      <c r="E73" s="5251" t="s">
        <v>525</v>
      </c>
      <c r="F73" s="5252">
        <v>72.378210767795224</v>
      </c>
      <c r="G73" s="5253">
        <v>133.22884012539186</v>
      </c>
      <c r="H73" s="5254">
        <f>+USM!F144</f>
        <v>124.44444444444444</v>
      </c>
      <c r="I73" s="5255">
        <f>+USM!G144</f>
        <v>111.86413070681192</v>
      </c>
      <c r="J73" s="5254">
        <f>+USM!H144</f>
        <v>132.22222222222223</v>
      </c>
      <c r="K73" s="5255">
        <f>+USM!I144</f>
        <v>95.926415781487094</v>
      </c>
      <c r="L73" s="5256">
        <f>+USM!J144</f>
        <v>128.33333333333334</v>
      </c>
      <c r="M73" s="5257">
        <f>+USM!K144</f>
        <v>108.8425601327199</v>
      </c>
      <c r="N73" s="5254">
        <f>+USM!L144</f>
        <v>115.74074074074075</v>
      </c>
      <c r="O73" s="5255">
        <f>+USM!M144</f>
        <v>115.29320386441785</v>
      </c>
      <c r="P73" s="5258">
        <f>+USM!N144</f>
        <v>123.61111111111111</v>
      </c>
      <c r="Q73" s="5259">
        <f>+USM!O144</f>
        <v>110.1779958878881</v>
      </c>
      <c r="R73" s="5254">
        <f>+USM!P144</f>
        <v>116.07142857142857</v>
      </c>
      <c r="S73" s="5255">
        <f>+USM!Q144</f>
        <v>107.22079862842892</v>
      </c>
      <c r="T73" s="5256">
        <f>+USM!R144</f>
        <v>121.5</v>
      </c>
      <c r="U73" s="5257">
        <f>+USM!S144</f>
        <v>106.17644578215297</v>
      </c>
      <c r="V73" s="5254">
        <f>+USM!T144</f>
        <v>116.07142857142857</v>
      </c>
      <c r="W73" s="5255">
        <f>+USM!U144</f>
        <v>100.58050509626275</v>
      </c>
      <c r="X73" s="5256">
        <f>+USM!V144</f>
        <v>120.3125</v>
      </c>
      <c r="Y73" s="5257">
        <f>+USM!W144</f>
        <v>104.97968666134277</v>
      </c>
      <c r="Z73" s="5254">
        <f>+USM!X144</f>
        <v>111.66666666666667</v>
      </c>
      <c r="AA73" s="5255">
        <f>+USM!Y144</f>
        <v>110.20583982365905</v>
      </c>
      <c r="AB73" s="5258">
        <f>+USM!Z144</f>
        <v>115.14084507042253</v>
      </c>
      <c r="AC73" s="5258">
        <f>+USM!AA144</f>
        <v>106.11754003963165</v>
      </c>
      <c r="AD73" s="5260">
        <f>+USM!AB144</f>
        <v>119.4055944055944</v>
      </c>
      <c r="AE73" s="5261">
        <f>+USM!AC144</f>
        <v>107.87236197745304</v>
      </c>
      <c r="AF73" s="5254">
        <f>+USM!AD144</f>
        <v>119.64285714285714</v>
      </c>
      <c r="AG73" s="5255">
        <f>+USM!AE144</f>
        <v>119.47591943605239</v>
      </c>
      <c r="AH73" s="5256">
        <f>+USM!AF144</f>
        <v>119.44444444444444</v>
      </c>
      <c r="AI73" s="5257">
        <f>+USM!AG144</f>
        <v>108.91366258668842</v>
      </c>
      <c r="AJ73" s="5254">
        <f>+USM!AH144</f>
        <v>120.37037037037037</v>
      </c>
      <c r="AK73" s="5255">
        <f>+USM!AI144</f>
        <v>105.27906437768243</v>
      </c>
      <c r="AL73" s="5256">
        <f>+USM!AJ144</f>
        <v>119.57070707070707</v>
      </c>
      <c r="AM73" s="5257">
        <f>+USM!AK144</f>
        <v>108.38966851847158</v>
      </c>
      <c r="AN73" s="5254">
        <f>+USM!AL144</f>
        <v>120.53571428571429</v>
      </c>
      <c r="AO73" s="5255">
        <f>+USM!AM144</f>
        <v>104.21999016554662</v>
      </c>
      <c r="AP73" s="5258">
        <f>+USM!AN144</f>
        <v>120.18072289156626</v>
      </c>
      <c r="AQ73" s="5258">
        <f>+USM!AO144</f>
        <v>107.72120038167937</v>
      </c>
      <c r="AR73" s="5256">
        <f>+USM!AP144</f>
        <v>119.69026548672566</v>
      </c>
      <c r="AS73" s="5257">
        <f>+USM!AQ144</f>
        <v>107.822954689328</v>
      </c>
      <c r="AT73" s="5254">
        <f>+USM!AR144</f>
        <v>121.42857142857143</v>
      </c>
      <c r="AU73" s="5255">
        <f>+USM!AS144</f>
        <v>106.31541577287064</v>
      </c>
      <c r="AV73" s="5256">
        <f>+USM!AT144</f>
        <v>119.88188976377953</v>
      </c>
      <c r="AW73" s="5257">
        <f>+USM!AU144</f>
        <v>107.63638458567891</v>
      </c>
      <c r="AX73" s="5254">
        <f>+USM!AV144</f>
        <v>122</v>
      </c>
      <c r="AY73" s="5255">
        <f>+USM!AW144</f>
        <v>113.39707103064063</v>
      </c>
      <c r="AZ73" s="5256">
        <f>+USM!AX144</f>
        <v>120.07168458781362</v>
      </c>
      <c r="BA73" s="5257">
        <f>+USM!AY144</f>
        <v>108.21717535709178</v>
      </c>
      <c r="BB73" s="5254">
        <f>+USM!AZ144</f>
        <v>122.32142857142857</v>
      </c>
      <c r="BC73" s="5255">
        <f>+USM!BA144</f>
        <v>119.05717573090223</v>
      </c>
      <c r="BD73" s="5262">
        <f>+USM!BB144</f>
        <v>121.91358024691358</v>
      </c>
      <c r="BE73" s="5262">
        <f>+USM!BC144</f>
        <v>112.91522628212078</v>
      </c>
      <c r="BF73" s="5260">
        <f>+USM!BD144</f>
        <v>121.03658536585365</v>
      </c>
      <c r="BG73" s="5261">
        <f>+USM!BE144</f>
        <v>110.61415894679634</v>
      </c>
      <c r="BH73" s="5256">
        <f>+USM!BF144</f>
        <v>120.27687296416939</v>
      </c>
      <c r="BI73" s="5257">
        <f>+USM!BG144</f>
        <v>109.3060535528153</v>
      </c>
    </row>
    <row r="74" spans="3:61" x14ac:dyDescent="0.25">
      <c r="C74" s="5935" t="s">
        <v>1019</v>
      </c>
      <c r="D74" s="3299" t="s">
        <v>1331</v>
      </c>
      <c r="E74" s="3240" t="s">
        <v>321</v>
      </c>
      <c r="F74" s="3300">
        <v>6.2012037687729737</v>
      </c>
      <c r="G74" s="3300">
        <f>+'Maj Techno Summ'!D24</f>
        <v>5.8862780487827759</v>
      </c>
      <c r="H74" s="5267">
        <f>+'Maj Techno Summ'!E24</f>
        <v>6.0987916828744853</v>
      </c>
      <c r="I74" s="5267">
        <f>+'Maj Techno Summ'!F24</f>
        <v>6.1129633927110598</v>
      </c>
      <c r="J74" s="5267">
        <f>+'Maj Techno Summ'!G24</f>
        <v>6.2451991353129825</v>
      </c>
      <c r="K74" s="5267">
        <f>+'Maj Techno Summ'!H24</f>
        <v>7.322422332784706</v>
      </c>
      <c r="L74" s="5268">
        <f>+'Maj Techno Summ'!I24</f>
        <v>6.1674201762050309</v>
      </c>
      <c r="M74" s="5268">
        <f>+'Maj Techno Summ'!J24</f>
        <v>6.4818444720466326</v>
      </c>
      <c r="N74" s="5267">
        <f>+'Maj Techno Summ'!K24</f>
        <v>5.8881874827843568</v>
      </c>
      <c r="O74" s="5267">
        <f>+'Maj Techno Summ'!L24</f>
        <v>5.9510024504802947</v>
      </c>
      <c r="P74" s="5269">
        <f>+'Maj Techno Summ'!M24</f>
        <v>5.9135485641504033</v>
      </c>
      <c r="Q74" s="5269">
        <f>+'Maj Techno Summ'!N24</f>
        <v>6.0018291327647386</v>
      </c>
      <c r="R74" s="5267">
        <f>+'Maj Techno Summ'!O24</f>
        <v>5.9044904422712001</v>
      </c>
      <c r="S74" s="5267">
        <f>+'Maj Techno Summ'!P24</f>
        <v>5.9231909835586922</v>
      </c>
      <c r="T74" s="5268">
        <f>+'Maj Techno Summ'!Q24</f>
        <v>5.9112818034949903</v>
      </c>
      <c r="U74" s="5268">
        <f>+'Maj Techno Summ'!R24</f>
        <v>5.9807714639072804</v>
      </c>
      <c r="V74" s="5267">
        <f>+'Maj Techno Summ'!S24</f>
        <v>5.9110636073860041</v>
      </c>
      <c r="W74" s="5267">
        <f>+'Maj Techno Summ'!T24</f>
        <v>6.028154237488426</v>
      </c>
      <c r="X74" s="5268">
        <f>+'Maj Techno Summ'!U24</f>
        <v>5.9112381298980665</v>
      </c>
      <c r="Y74" s="5270">
        <f>+'Maj Techno Summ'!V24</f>
        <v>5.990273829903412</v>
      </c>
      <c r="Z74" s="5267">
        <f>+'Maj Techno Summ'!W24</f>
        <v>6.4404862064644854</v>
      </c>
      <c r="AA74" s="5267">
        <f>+'Maj Techno Summ'!X24</f>
        <v>6.2161034181344306</v>
      </c>
      <c r="AB74" s="5269">
        <f>+'Maj Techno Summ'!Y24</f>
        <v>6.0185038105368784</v>
      </c>
      <c r="AC74" s="5269">
        <f>+'Maj Techno Summ'!Z24</f>
        <v>6.0504489425821761</v>
      </c>
      <c r="AD74" s="5271">
        <f>+'Maj Techno Summ'!AA24</f>
        <v>5.9615465955288425</v>
      </c>
      <c r="AE74" s="5271">
        <f>+'Maj Techno Summ'!AB24</f>
        <v>6.0267096597919014</v>
      </c>
      <c r="AF74" s="5267">
        <f>+'Maj Techno Summ'!AC24</f>
        <v>5.8977730271407953</v>
      </c>
      <c r="AG74" s="5267">
        <f>+'Maj Techno Summ'!AD24</f>
        <v>6.5564134070696864</v>
      </c>
      <c r="AH74" s="5268">
        <f>+'Maj Techno Summ'!AE24</f>
        <v>5.9515643417563009</v>
      </c>
      <c r="AI74" s="5268">
        <f>+'Maj Techno Summ'!AF24</f>
        <v>6.0869783861382887</v>
      </c>
      <c r="AJ74" s="5267">
        <f>+'Maj Techno Summ'!AG24</f>
        <v>5.9674105355612586</v>
      </c>
      <c r="AK74" s="5267">
        <f>+'Maj Techno Summ'!AH24</f>
        <v>6.0353483427745793</v>
      </c>
      <c r="AL74" s="5268">
        <f>+'Maj Techno Summ'!AI24</f>
        <v>5.9533717467066625</v>
      </c>
      <c r="AM74" s="5268">
        <f>+'Maj Techno Summ'!AJ24</f>
        <v>6.080153206462656</v>
      </c>
      <c r="AN74" s="5267">
        <f>+'Maj Techno Summ'!AK24</f>
        <v>5.9619079993755575</v>
      </c>
      <c r="AO74" s="5267">
        <f>+'Maj Techno Summ'!AL24</f>
        <v>6.135536634867977</v>
      </c>
      <c r="AP74" s="5269">
        <f>+'Maj Techno Summ'!AM24</f>
        <v>5.9413395829166165</v>
      </c>
      <c r="AQ74" s="5269">
        <f>+'Maj Techno Summ'!AN24</f>
        <v>6.2170647548230979</v>
      </c>
      <c r="AR74" s="5268">
        <f>+'Maj Techno Summ'!AO24</f>
        <v>5.9544516697335066</v>
      </c>
      <c r="AS74" s="5268">
        <f>+'Maj Techno Summ'!AP24</f>
        <v>6.0868930934408567</v>
      </c>
      <c r="AT74" s="5267">
        <f>+'Maj Techno Summ'!AQ24</f>
        <v>5.9566700099316927</v>
      </c>
      <c r="AU74" s="5267">
        <f>+'Maj Techno Summ'!AR24</f>
        <v>6.1463268879699946</v>
      </c>
      <c r="AV74" s="5268">
        <f>+'Maj Techno Summ'!AS24</f>
        <v>5.9547042036394506</v>
      </c>
      <c r="AW74" s="5268">
        <f>+'Maj Techno Summ'!AT24</f>
        <v>6.0931857656347352</v>
      </c>
      <c r="AX74" s="5267">
        <f>+'Maj Techno Summ'!AU24</f>
        <v>5.9639133095730053</v>
      </c>
      <c r="AY74" s="5267">
        <f>+'Maj Techno Summ'!AV24</f>
        <v>6.180550765571363</v>
      </c>
      <c r="AZ74" s="5268">
        <f>+'Maj Techno Summ'!AW24</f>
        <v>5.9555544954492401</v>
      </c>
      <c r="BA74" s="5270">
        <f>+'Maj Techno Summ'!AX24</f>
        <v>6.0935992399466539</v>
      </c>
      <c r="BB74" s="5267">
        <f>+'Maj Techno Summ'!AY24</f>
        <v>5.8906678130989905</v>
      </c>
      <c r="BC74" s="5267">
        <f>+'Maj Techno Summ'!AZ24</f>
        <v>5.9116955600412062</v>
      </c>
      <c r="BD74" s="5269">
        <f>+'Maj Techno Summ'!BA24</f>
        <v>5.9360969398660011</v>
      </c>
      <c r="BE74" s="5269">
        <f>+'Maj Techno Summ'!BB24</f>
        <v>6.0462702726947715</v>
      </c>
      <c r="BF74" s="5271">
        <f>+'Maj Techno Summ'!BC24</f>
        <v>5.9387319622747556</v>
      </c>
      <c r="BG74" s="5271">
        <f>+'Maj Techno Summ'!BD24</f>
        <v>6.1309279889789305</v>
      </c>
      <c r="BH74" s="5268">
        <f>+'Maj Techno Summ'!BE24</f>
        <v>5.9494777700994659</v>
      </c>
      <c r="BI74" s="3305">
        <f>+'Maj Techno Summ'!BF24</f>
        <v>6.0765914769086553</v>
      </c>
    </row>
    <row r="75" spans="3:61" ht="14.4" thickBot="1" x14ac:dyDescent="0.3">
      <c r="C75" s="5937"/>
      <c r="D75" s="5272" t="s">
        <v>2261</v>
      </c>
      <c r="E75" s="5263" t="s">
        <v>364</v>
      </c>
      <c r="F75" s="5265">
        <v>516.74946439793155</v>
      </c>
      <c r="G75" s="5265">
        <f>+'Maj Techno Summ'!D25</f>
        <v>458.20336960360322</v>
      </c>
      <c r="H75" s="5173">
        <f>+'Maj Techno Summ'!E25</f>
        <v>494.08443338317159</v>
      </c>
      <c r="I75" s="5173">
        <f>+'Maj Techno Summ'!F25</f>
        <v>492.29361101653404</v>
      </c>
      <c r="J75" s="5173">
        <f>+'Maj Techno Summ'!G25</f>
        <v>516.21137758811233</v>
      </c>
      <c r="K75" s="5173">
        <f>+'Maj Techno Summ'!H25</f>
        <v>777.2887637898956</v>
      </c>
      <c r="L75" s="4950">
        <f>+'Maj Techno Summ'!I25</f>
        <v>504.7240389454073</v>
      </c>
      <c r="M75" s="4950">
        <f>+'Maj Techno Summ'!J25</f>
        <v>578.07115582206268</v>
      </c>
      <c r="N75" s="5173">
        <f>+'Maj Techno Summ'!K25</f>
        <v>461.30940171262648</v>
      </c>
      <c r="O75" s="5173">
        <f>+'Maj Techno Summ'!L25</f>
        <v>452.70788686245868</v>
      </c>
      <c r="P75" s="4948">
        <f>+'Maj Techno Summ'!M25</f>
        <v>487.58849546238611</v>
      </c>
      <c r="Q75" s="4948">
        <f>+'Maj Techno Summ'!N25</f>
        <v>523.78919094011644</v>
      </c>
      <c r="R75" s="5173">
        <f>+'Maj Techno Summ'!O25</f>
        <v>467.7439435313612</v>
      </c>
      <c r="S75" s="5173">
        <f>+'Maj Techno Summ'!P25</f>
        <v>442.75384913193756</v>
      </c>
      <c r="T75" s="4950">
        <f>+'Maj Techno Summ'!Q25</f>
        <v>481.92875329729821</v>
      </c>
      <c r="U75" s="4950">
        <f>+'Maj Techno Summ'!R25</f>
        <v>498.19739037725031</v>
      </c>
      <c r="V75" s="5173">
        <f>+'Maj Techno Summ'!S25</f>
        <v>467.7439435313612</v>
      </c>
      <c r="W75" s="5173">
        <f>+'Maj Techno Summ'!T25</f>
        <v>478.64470311607982</v>
      </c>
      <c r="X75" s="4950">
        <f>+'Maj Techno Summ'!U25</f>
        <v>478.78095529773464</v>
      </c>
      <c r="Y75" s="4950">
        <f>+'Maj Techno Summ'!V25</f>
        <v>493.86725175299352</v>
      </c>
      <c r="Z75" s="5173">
        <f>+'Maj Techno Summ'!W25</f>
        <v>583.45256429103893</v>
      </c>
      <c r="AA75" s="5173">
        <f>+'Maj Techno Summ'!X25</f>
        <v>460.52954687490472</v>
      </c>
      <c r="AB75" s="4948">
        <f>+'Maj Techno Summ'!Y25</f>
        <v>491.95795398331109</v>
      </c>
      <c r="AC75" s="4948">
        <f>+'Maj Techno Summ'!Z25</f>
        <v>460.01161602494744</v>
      </c>
      <c r="AD75" s="4952">
        <f>+'Maj Techno Summ'!AA25</f>
        <v>489.78321862595743</v>
      </c>
      <c r="AE75" s="4952">
        <f>+'Maj Techno Summ'!AB25</f>
        <v>487.73688777587023</v>
      </c>
      <c r="AF75" s="5173">
        <f>+'Maj Techno Summ'!AC25</f>
        <v>460.88039496676566</v>
      </c>
      <c r="AG75" s="5173">
        <f>+'Maj Techno Summ'!AD25</f>
        <v>521.99079603557163</v>
      </c>
      <c r="AH75" s="4950">
        <f>+'Maj Techno Summ'!AE25</f>
        <v>484.9085663554302</v>
      </c>
      <c r="AI75" s="4950">
        <f>+'Maj Techno Summ'!AF25</f>
        <v>492.13841613383426</v>
      </c>
      <c r="AJ75" s="5173">
        <f>+'Maj Techno Summ'!AG25</f>
        <v>462.80371337713393</v>
      </c>
      <c r="AK75" s="5173">
        <f>+'Maj Techno Summ'!AH25</f>
        <v>473.49810583154363</v>
      </c>
      <c r="AL75" s="4950">
        <f>+'Maj Techno Summ'!AI25</f>
        <v>481.8053566806384</v>
      </c>
      <c r="AM75" s="4950">
        <f>+'Maj Techno Summ'!AJ25</f>
        <v>489.64754802306481</v>
      </c>
      <c r="AN75" s="5173">
        <f>+'Maj Techno Summ'!AK25</f>
        <v>463.03105379435601</v>
      </c>
      <c r="AO75" s="5173">
        <f>+'Maj Techno Summ'!AL25</f>
        <v>443.87203984592827</v>
      </c>
      <c r="AP75" s="4948">
        <f>+'Maj Techno Summ'!AM25</f>
        <v>462.23235342889933</v>
      </c>
      <c r="AQ75" s="4948">
        <f>+'Maj Techno Summ'!AN25</f>
        <v>476.38290609386956</v>
      </c>
      <c r="AR75" s="4950">
        <f>+'Maj Techno Summ'!AO25</f>
        <v>479.42811239318422</v>
      </c>
      <c r="AS75" s="4950">
        <f>+'Maj Techno Summ'!AP25</f>
        <v>483.87451499658926</v>
      </c>
      <c r="AT75" s="5173">
        <f>+'Maj Techno Summ'!AQ25</f>
        <v>459.24603448350217</v>
      </c>
      <c r="AU75" s="5173">
        <f>+'Maj Techno Summ'!AR25</f>
        <v>461.48646553886596</v>
      </c>
      <c r="AV75" s="4950">
        <f>+'Maj Techno Summ'!AS25</f>
        <v>477.13011007836917</v>
      </c>
      <c r="AW75" s="4950">
        <f>+'Maj Techno Summ'!AT25</f>
        <v>481.43203218787778</v>
      </c>
      <c r="AX75" s="5173">
        <f>+'Maj Techno Summ'!AU25</f>
        <v>463.10735494009629</v>
      </c>
      <c r="AY75" s="5173">
        <f>+'Maj Techno Summ'!AV25</f>
        <v>502.65661012599321</v>
      </c>
      <c r="AZ75" s="4950">
        <f>+'Maj Techno Summ'!AW25</f>
        <v>475.83750530217827</v>
      </c>
      <c r="BA75" s="4950">
        <f>+'Maj Techno Summ'!AX25</f>
        <v>483.17461169696037</v>
      </c>
      <c r="BB75" s="5173">
        <f>+'Maj Techno Summ'!AY25</f>
        <v>459.76937063497422</v>
      </c>
      <c r="BC75" s="5173">
        <f>+'Maj Techno Summ'!AZ25</f>
        <v>450.62512378028765</v>
      </c>
      <c r="BD75" s="4948">
        <f>+'Maj Techno Summ'!BA25</f>
        <v>460.61776153124572</v>
      </c>
      <c r="BE75" s="4948">
        <f>+'Maj Techno Summ'!BB25</f>
        <v>469.35440124772992</v>
      </c>
      <c r="BF75" s="4952">
        <f>+'Maj Techno Summ'!BC25</f>
        <v>461.4296796870504</v>
      </c>
      <c r="BG75" s="4952">
        <f>+'Maj Techno Summ'!BD25</f>
        <v>472.81898702018145</v>
      </c>
      <c r="BH75" s="4950">
        <f>+'Maj Techno Summ'!BE25</f>
        <v>474.33218120535423</v>
      </c>
      <c r="BI75" s="5249">
        <f>+'Maj Techno Summ'!BF25</f>
        <v>480.11059020038255</v>
      </c>
    </row>
    <row r="76" spans="3:61" ht="16.2" thickBot="1" x14ac:dyDescent="0.3">
      <c r="C76" s="5266"/>
      <c r="D76" s="5272" t="s">
        <v>2262</v>
      </c>
      <c r="E76" s="5263" t="s">
        <v>364</v>
      </c>
      <c r="F76" s="3355"/>
      <c r="G76" s="3355">
        <v>347.14074720070874</v>
      </c>
      <c r="H76" s="5274" t="e">
        <f>'Maj Techno Summ'!#REF!</f>
        <v>#REF!</v>
      </c>
      <c r="I76" s="5274" t="e">
        <f>'Maj Techno Summ'!#REF!</f>
        <v>#REF!</v>
      </c>
      <c r="J76" s="5274" t="e">
        <f>'Maj Techno Summ'!#REF!</f>
        <v>#REF!</v>
      </c>
      <c r="K76" s="5274" t="e">
        <f>'Maj Techno Summ'!#REF!</f>
        <v>#REF!</v>
      </c>
      <c r="L76" s="5275" t="e">
        <f>'Maj Techno Summ'!#REF!</f>
        <v>#REF!</v>
      </c>
      <c r="M76" s="5275" t="e">
        <f>'Maj Techno Summ'!#REF!</f>
        <v>#REF!</v>
      </c>
      <c r="N76" s="5274" t="e">
        <f>'Maj Techno Summ'!#REF!</f>
        <v>#REF!</v>
      </c>
      <c r="O76" s="5274" t="e">
        <f>'Maj Techno Summ'!#REF!</f>
        <v>#REF!</v>
      </c>
      <c r="P76" s="5276" t="e">
        <f>'Maj Techno Summ'!#REF!</f>
        <v>#REF!</v>
      </c>
      <c r="Q76" s="5276" t="e">
        <f>'Maj Techno Summ'!#REF!</f>
        <v>#REF!</v>
      </c>
      <c r="R76" s="5274" t="e">
        <f>'Maj Techno Summ'!#REF!</f>
        <v>#REF!</v>
      </c>
      <c r="S76" s="5274" t="e">
        <f>'Maj Techno Summ'!#REF!</f>
        <v>#REF!</v>
      </c>
      <c r="T76" s="5275" t="e">
        <f>'Maj Techno Summ'!#REF!</f>
        <v>#REF!</v>
      </c>
      <c r="U76" s="5275" t="e">
        <f>'Maj Techno Summ'!#REF!</f>
        <v>#REF!</v>
      </c>
      <c r="V76" s="5274" t="e">
        <f>'Maj Techno Summ'!#REF!</f>
        <v>#REF!</v>
      </c>
      <c r="W76" s="5274" t="e">
        <f>'Maj Techno Summ'!#REF!</f>
        <v>#REF!</v>
      </c>
      <c r="X76" s="5275" t="e">
        <f>'Maj Techno Summ'!#REF!</f>
        <v>#REF!</v>
      </c>
      <c r="Y76" s="5275" t="e">
        <f>'Maj Techno Summ'!#REF!</f>
        <v>#REF!</v>
      </c>
      <c r="Z76" s="5274" t="e">
        <f>'Maj Techno Summ'!#REF!</f>
        <v>#REF!</v>
      </c>
      <c r="AA76" s="5274" t="e">
        <f>'Maj Techno Summ'!#REF!</f>
        <v>#REF!</v>
      </c>
      <c r="AB76" s="5276" t="e">
        <f>'Maj Techno Summ'!#REF!</f>
        <v>#REF!</v>
      </c>
      <c r="AC76" s="5276" t="e">
        <f>'Maj Techno Summ'!#REF!</f>
        <v>#REF!</v>
      </c>
      <c r="AD76" s="5277" t="e">
        <f>'Maj Techno Summ'!#REF!</f>
        <v>#REF!</v>
      </c>
      <c r="AE76" s="5277" t="e">
        <f>'Maj Techno Summ'!#REF!</f>
        <v>#REF!</v>
      </c>
      <c r="AF76" s="5274" t="e">
        <f>'Maj Techno Summ'!#REF!</f>
        <v>#REF!</v>
      </c>
      <c r="AG76" s="5274" t="e">
        <f>'Maj Techno Summ'!#REF!</f>
        <v>#REF!</v>
      </c>
      <c r="AH76" s="5275" t="e">
        <f>'Maj Techno Summ'!#REF!</f>
        <v>#REF!</v>
      </c>
      <c r="AI76" s="5275" t="e">
        <f>'Maj Techno Summ'!#REF!</f>
        <v>#REF!</v>
      </c>
      <c r="AJ76" s="5274" t="e">
        <f>'Maj Techno Summ'!#REF!</f>
        <v>#REF!</v>
      </c>
      <c r="AK76" s="5274" t="e">
        <f>'Maj Techno Summ'!#REF!</f>
        <v>#REF!</v>
      </c>
      <c r="AL76" s="5275" t="e">
        <f>'Maj Techno Summ'!#REF!</f>
        <v>#REF!</v>
      </c>
      <c r="AM76" s="5275" t="e">
        <f>'Maj Techno Summ'!#REF!</f>
        <v>#REF!</v>
      </c>
      <c r="AN76" s="5274" t="e">
        <f>'Maj Techno Summ'!#REF!</f>
        <v>#REF!</v>
      </c>
      <c r="AO76" s="5274" t="e">
        <f>'Maj Techno Summ'!#REF!</f>
        <v>#REF!</v>
      </c>
      <c r="AP76" s="5276" t="e">
        <f>'Maj Techno Summ'!#REF!</f>
        <v>#REF!</v>
      </c>
      <c r="AQ76" s="5276" t="e">
        <f>'Maj Techno Summ'!#REF!</f>
        <v>#REF!</v>
      </c>
      <c r="AR76" s="5275" t="e">
        <f>'Maj Techno Summ'!#REF!</f>
        <v>#REF!</v>
      </c>
      <c r="AS76" s="5275" t="e">
        <f>'Maj Techno Summ'!#REF!</f>
        <v>#REF!</v>
      </c>
      <c r="AT76" s="5274" t="e">
        <f>'Maj Techno Summ'!#REF!</f>
        <v>#REF!</v>
      </c>
      <c r="AU76" s="5274" t="e">
        <f>'Maj Techno Summ'!#REF!</f>
        <v>#REF!</v>
      </c>
      <c r="AV76" s="5275" t="e">
        <f>'Maj Techno Summ'!#REF!</f>
        <v>#REF!</v>
      </c>
      <c r="AW76" s="5275" t="e">
        <f>'Maj Techno Summ'!#REF!</f>
        <v>#REF!</v>
      </c>
      <c r="AX76" s="5274" t="e">
        <f>'Maj Techno Summ'!#REF!</f>
        <v>#REF!</v>
      </c>
      <c r="AY76" s="5274" t="e">
        <f>'Maj Techno Summ'!#REF!</f>
        <v>#REF!</v>
      </c>
      <c r="AZ76" s="5275" t="e">
        <f>'Maj Techno Summ'!#REF!</f>
        <v>#REF!</v>
      </c>
      <c r="BA76" s="5275" t="e">
        <f>'Maj Techno Summ'!#REF!</f>
        <v>#REF!</v>
      </c>
      <c r="BB76" s="5274" t="e">
        <f>'Maj Techno Summ'!#REF!</f>
        <v>#REF!</v>
      </c>
      <c r="BC76" s="5274" t="e">
        <f>'Maj Techno Summ'!#REF!</f>
        <v>#REF!</v>
      </c>
      <c r="BD76" s="5276" t="e">
        <f>'Maj Techno Summ'!#REF!</f>
        <v>#REF!</v>
      </c>
      <c r="BE76" s="5276" t="e">
        <f>'Maj Techno Summ'!#REF!</f>
        <v>#REF!</v>
      </c>
      <c r="BF76" s="5277" t="e">
        <f>'Maj Techno Summ'!#REF!</f>
        <v>#REF!</v>
      </c>
      <c r="BG76" s="5277" t="e">
        <f>'Maj Techno Summ'!#REF!</f>
        <v>#REF!</v>
      </c>
      <c r="BH76" s="5275" t="e">
        <f>'Maj Techno Summ'!#REF!</f>
        <v>#REF!</v>
      </c>
      <c r="BI76" s="3358" t="e">
        <f>'Maj Techno Summ'!#REF!</f>
        <v>#REF!</v>
      </c>
    </row>
    <row r="77" spans="3:61" x14ac:dyDescent="0.25">
      <c r="C77" s="5935" t="s">
        <v>1020</v>
      </c>
      <c r="D77" s="3299"/>
      <c r="E77" s="3240" t="s">
        <v>29</v>
      </c>
      <c r="F77" s="3300">
        <v>3.0186531588909742</v>
      </c>
      <c r="G77" s="3400">
        <f>+'Maj Techno Summ'!D27</f>
        <v>2.8000000000000003</v>
      </c>
      <c r="H77" s="3302">
        <f>+'Maj Techno Summ'!E27</f>
        <v>2.8000000000000003</v>
      </c>
      <c r="I77" s="3303">
        <f>+'Maj Techno Summ'!F27</f>
        <v>2.82</v>
      </c>
      <c r="J77" s="3302">
        <f>+'Maj Techno Summ'!G27</f>
        <v>2.8000000000000003</v>
      </c>
      <c r="K77" s="3303">
        <f>+'Maj Techno Summ'!H27</f>
        <v>2.82</v>
      </c>
      <c r="L77" s="3304">
        <f>+'Maj Techno Summ'!I27</f>
        <v>2.8000000000000003</v>
      </c>
      <c r="M77" s="3305">
        <f>+'Maj Techno Summ'!J27</f>
        <v>2.8199999999999994</v>
      </c>
      <c r="N77" s="3302">
        <f>+'Maj Techno Summ'!K27</f>
        <v>2.8000000000000003</v>
      </c>
      <c r="O77" s="3303">
        <f>+'Maj Techno Summ'!L27</f>
        <v>2.96</v>
      </c>
      <c r="P77" s="3306">
        <f>+'Maj Techno Summ'!M27</f>
        <v>2.8000000000000003</v>
      </c>
      <c r="Q77" s="3307">
        <f>+'Maj Techno Summ'!N27</f>
        <v>2.8803630986115043</v>
      </c>
      <c r="R77" s="3302">
        <f>+'Maj Techno Summ'!O27</f>
        <v>2.8000000000000003</v>
      </c>
      <c r="S77" s="3303">
        <f>+'Maj Techno Summ'!P27</f>
        <v>2.9</v>
      </c>
      <c r="T77" s="3304">
        <f>+'Maj Techno Summ'!Q27</f>
        <v>2.8000000000000003</v>
      </c>
      <c r="U77" s="3305">
        <f>+'Maj Techno Summ'!R27</f>
        <v>2.8864502591952599</v>
      </c>
      <c r="V77" s="3302">
        <f>+'Maj Techno Summ'!S27</f>
        <v>2.8000000000000003</v>
      </c>
      <c r="W77" s="3303">
        <f>+'Maj Techno Summ'!T27</f>
        <v>2.9</v>
      </c>
      <c r="X77" s="3304">
        <f>+'Maj Techno Summ'!U27</f>
        <v>2.8000000000000003</v>
      </c>
      <c r="Y77" s="3305">
        <f>+'Maj Techno Summ'!V27</f>
        <v>2.8894994526121192</v>
      </c>
      <c r="Z77" s="3302">
        <f>+'Maj Techno Summ'!W27</f>
        <v>2.8000000000000003</v>
      </c>
      <c r="AA77" s="3303">
        <f>+'Maj Techno Summ'!X27</f>
        <v>2.9049999999999998</v>
      </c>
      <c r="AB77" s="3306">
        <f>+'Maj Techno Summ'!Y27</f>
        <v>2.8000000000000003</v>
      </c>
      <c r="AC77" s="3306">
        <f>+'Maj Techno Summ'!Z27</f>
        <v>2.9015794263163683</v>
      </c>
      <c r="AD77" s="3308">
        <f>+'Maj Techno Summ'!AA27</f>
        <v>2.8000000000000003</v>
      </c>
      <c r="AE77" s="3309">
        <f>+'Maj Techno Summ'!AB27</f>
        <v>2.8922405908770932</v>
      </c>
      <c r="AF77" s="3302">
        <f>+'Maj Techno Summ'!AC27</f>
        <v>2.8000000000000003</v>
      </c>
      <c r="AG77" s="3303">
        <f>+'Maj Techno Summ'!AD27</f>
        <v>2.94</v>
      </c>
      <c r="AH77" s="3304">
        <f>+'Maj Techno Summ'!AE27</f>
        <v>2.8000000000000003</v>
      </c>
      <c r="AI77" s="3305">
        <f>+'Maj Techno Summ'!AF27</f>
        <v>2.8980946933320202</v>
      </c>
      <c r="AJ77" s="3302">
        <f>+'Maj Techno Summ'!AG27</f>
        <v>2.8000000000000003</v>
      </c>
      <c r="AK77" s="3303">
        <f>+'Maj Techno Summ'!AH27</f>
        <v>2.86</v>
      </c>
      <c r="AL77" s="3304">
        <f>+'Maj Techno Summ'!AI27</f>
        <v>2.8000000000000003</v>
      </c>
      <c r="AM77" s="3305">
        <f>+'Maj Techno Summ'!AJ27</f>
        <v>2.8929259421072979</v>
      </c>
      <c r="AN77" s="3302">
        <f>+'Maj Techno Summ'!AK27</f>
        <v>2.8000000000000003</v>
      </c>
      <c r="AO77" s="3303">
        <f>+'Maj Techno Summ'!AL27</f>
        <v>2.87</v>
      </c>
      <c r="AP77" s="3306">
        <f>+'Maj Techno Summ'!AM27</f>
        <v>2.8000000000000003</v>
      </c>
      <c r="AQ77" s="3306">
        <f>+'Maj Techno Summ'!AN27</f>
        <v>2.8859377390882455</v>
      </c>
      <c r="AR77" s="3304">
        <f>+'Maj Techno Summ'!AO27</f>
        <v>2.8000000000000003</v>
      </c>
      <c r="AS77" s="3305">
        <f>+'Maj Techno Summ'!AP27</f>
        <v>2.8901359693099993</v>
      </c>
      <c r="AT77" s="3302">
        <f>+'Maj Techno Summ'!AQ27</f>
        <v>2.85</v>
      </c>
      <c r="AU77" s="3303">
        <f>+'Maj Techno Summ'!AR27</f>
        <v>2.88</v>
      </c>
      <c r="AV77" s="3304">
        <f>+'Maj Techno Summ'!AS27</f>
        <v>2.8000000000000003</v>
      </c>
      <c r="AW77" s="3305">
        <f>+'Maj Techno Summ'!AT27</f>
        <v>2.8890628032309973</v>
      </c>
      <c r="AX77" s="3302">
        <f>+'Maj Techno Summ'!AU27</f>
        <v>2.85</v>
      </c>
      <c r="AY77" s="3303">
        <f>+'Maj Techno Summ'!AV27</f>
        <v>2.86</v>
      </c>
      <c r="AZ77" s="3304">
        <f>+'Maj Techno Summ'!AW27</f>
        <v>2.8000000000000003</v>
      </c>
      <c r="BA77" s="3305">
        <f>+'Maj Techno Summ'!AX27</f>
        <v>2.8867638255044459</v>
      </c>
      <c r="BB77" s="3302">
        <f>+'Maj Techno Summ'!AY27</f>
        <v>2.85</v>
      </c>
      <c r="BC77" s="3303">
        <f>+'Maj Techno Summ'!AZ27</f>
        <v>2.87</v>
      </c>
      <c r="BD77" s="3310">
        <f>+'Maj Techno Summ'!BA27</f>
        <v>2.8000000000000003</v>
      </c>
      <c r="BE77" s="3310">
        <f>+'Maj Techno Summ'!BB27</f>
        <v>2.8706576616643975</v>
      </c>
      <c r="BF77" s="3308">
        <f>+'Maj Techno Summ'!BC27</f>
        <v>2.8000000000000003</v>
      </c>
      <c r="BG77" s="3309">
        <f>+'Maj Techno Summ'!BD27</f>
        <v>2.8782315390123565</v>
      </c>
      <c r="BH77" s="3304">
        <f>+'Maj Techno Summ'!BE27</f>
        <v>2.8000000000000003</v>
      </c>
      <c r="BI77" s="3305">
        <f>+'Maj Techno Summ'!BF27</f>
        <v>2.8851964291112657</v>
      </c>
    </row>
    <row r="78" spans="3:61" x14ac:dyDescent="0.25">
      <c r="C78" s="5936"/>
      <c r="D78" s="5272" t="s">
        <v>365</v>
      </c>
      <c r="E78" s="5263" t="s">
        <v>404</v>
      </c>
      <c r="F78" s="5264">
        <v>2.4470555125122435</v>
      </c>
      <c r="G78" s="5279">
        <f>+'Maj Techno Summ'!D28</f>
        <v>2.5099999999999998</v>
      </c>
      <c r="H78" s="5280">
        <f>+'Maj Techno Summ'!E28</f>
        <v>2.5099999999999998</v>
      </c>
      <c r="I78" s="5281">
        <f>+'Maj Techno Summ'!F28</f>
        <v>2.68</v>
      </c>
      <c r="J78" s="5280">
        <f>+'Maj Techno Summ'!G28</f>
        <v>2.5099999999999998</v>
      </c>
      <c r="K78" s="5281">
        <f>+'Maj Techno Summ'!H28</f>
        <v>3.08</v>
      </c>
      <c r="L78" s="5247">
        <f>+'Maj Techno Summ'!I28</f>
        <v>2.5099999999999998</v>
      </c>
      <c r="M78" s="5248">
        <f>+'Maj Techno Summ'!J28</f>
        <v>2.8019987110312687</v>
      </c>
      <c r="N78" s="5280">
        <f>+'Maj Techno Summ'!K28</f>
        <v>2.5099999999999998</v>
      </c>
      <c r="O78" s="5281">
        <f>+'Maj Techno Summ'!L28</f>
        <v>2.34</v>
      </c>
      <c r="P78" s="5282">
        <f>+'Maj Techno Summ'!M28</f>
        <v>2.5099999999999998</v>
      </c>
      <c r="Q78" s="5283">
        <f>+'Maj Techno Summ'!N28</f>
        <v>2.6028010413714933</v>
      </c>
      <c r="R78" s="5280">
        <f>+'Maj Techno Summ'!O28</f>
        <v>2.5099999999999998</v>
      </c>
      <c r="S78" s="5281">
        <f>+'Maj Techno Summ'!P28</f>
        <v>2.35</v>
      </c>
      <c r="T78" s="5247">
        <f>+'Maj Techno Summ'!Q28</f>
        <v>2.5099999999999998</v>
      </c>
      <c r="U78" s="5248">
        <f>+'Maj Techno Summ'!R28</f>
        <v>2.5244363083555945</v>
      </c>
      <c r="V78" s="5280">
        <f>+'Maj Techno Summ'!S28</f>
        <v>2.5099999999999998</v>
      </c>
      <c r="W78" s="5281">
        <f>+'Maj Techno Summ'!T28</f>
        <v>2.4</v>
      </c>
      <c r="X78" s="5247">
        <f>+'Maj Techno Summ'!U28</f>
        <v>2.5099999999999998</v>
      </c>
      <c r="Y78" s="5248">
        <f>+'Maj Techno Summ'!V28</f>
        <v>2.496433531201109</v>
      </c>
      <c r="Z78" s="5280">
        <f>+'Maj Techno Summ'!W28</f>
        <v>2.5099999999999998</v>
      </c>
      <c r="AA78" s="5281">
        <f>+'Maj Techno Summ'!X28</f>
        <v>2.4500000000000002</v>
      </c>
      <c r="AB78" s="5282">
        <f>+'Maj Techno Summ'!Y28</f>
        <v>2.5099999999999998</v>
      </c>
      <c r="AC78" s="5282">
        <f>+'Maj Techno Summ'!Z28</f>
        <v>2.3981330008034742</v>
      </c>
      <c r="AD78" s="5246">
        <f>+'Maj Techno Summ'!AA28</f>
        <v>2.5099999999999998</v>
      </c>
      <c r="AE78" s="3281">
        <f>+'Maj Techno Summ'!AB28</f>
        <v>2.4982221612431208</v>
      </c>
      <c r="AF78" s="5280">
        <f>+'Maj Techno Summ'!AC28</f>
        <v>2.5099999999999998</v>
      </c>
      <c r="AG78" s="5281">
        <f>+'Maj Techno Summ'!AD28</f>
        <v>2.78</v>
      </c>
      <c r="AH78" s="5247">
        <f>+'Maj Techno Summ'!AE28</f>
        <v>2.5099999999999998</v>
      </c>
      <c r="AI78" s="5248">
        <f>+'Maj Techno Summ'!AF28</f>
        <v>2.5327610378310932</v>
      </c>
      <c r="AJ78" s="5280">
        <f>+'Maj Techno Summ'!AG28</f>
        <v>2.5099999999999998</v>
      </c>
      <c r="AK78" s="5281">
        <f>+'Maj Techno Summ'!AH28</f>
        <v>2.41</v>
      </c>
      <c r="AL78" s="5247">
        <f>+'Maj Techno Summ'!AI28</f>
        <v>2.5099999999999998</v>
      </c>
      <c r="AM78" s="5248">
        <f>+'Maj Techno Summ'!AJ28</f>
        <v>2.5061046164469567</v>
      </c>
      <c r="AN78" s="5280">
        <f>+'Maj Techno Summ'!AK28</f>
        <v>2.5099999999999998</v>
      </c>
      <c r="AO78" s="5281">
        <f>+'Maj Techno Summ'!AL28</f>
        <v>2.4</v>
      </c>
      <c r="AP78" s="5282">
        <f>+'Maj Techno Summ'!AM28</f>
        <v>2.5099999999999998</v>
      </c>
      <c r="AQ78" s="5282">
        <f>+'Maj Techno Summ'!AN28</f>
        <v>2.5094618298531417</v>
      </c>
      <c r="AR78" s="5247">
        <f>+'Maj Techno Summ'!AO28</f>
        <v>2.5099999999999998</v>
      </c>
      <c r="AS78" s="5248">
        <f>+'Maj Techno Summ'!AP28</f>
        <v>2.4931922138870384</v>
      </c>
      <c r="AT78" s="5280">
        <f>+'Maj Techno Summ'!AQ28</f>
        <v>2.5099999999999998</v>
      </c>
      <c r="AU78" s="5281">
        <f>+'Maj Techno Summ'!AR28</f>
        <v>2.4</v>
      </c>
      <c r="AV78" s="5247">
        <f>+'Maj Techno Summ'!AS28</f>
        <v>2.5099999999999998</v>
      </c>
      <c r="AW78" s="5248">
        <f>+'Maj Techno Summ'!AT28</f>
        <v>2.4833253013390677</v>
      </c>
      <c r="AX78" s="5280">
        <f>+'Maj Techno Summ'!AU28</f>
        <v>2.5099999999999998</v>
      </c>
      <c r="AY78" s="5281">
        <f>+'Maj Techno Summ'!AV28</f>
        <v>2.48</v>
      </c>
      <c r="AZ78" s="5247">
        <f>+'Maj Techno Summ'!AW28</f>
        <v>2.5099999999999998</v>
      </c>
      <c r="BA78" s="5248">
        <f>+'Maj Techno Summ'!AX28</f>
        <v>2.483062257418224</v>
      </c>
      <c r="BB78" s="5280">
        <f>+'Maj Techno Summ'!AY28</f>
        <v>2.5099999999999998</v>
      </c>
      <c r="BC78" s="5281">
        <f>+'Maj Techno Summ'!AZ28</f>
        <v>2.37</v>
      </c>
      <c r="BD78" s="3350">
        <f>+'Maj Techno Summ'!BA28</f>
        <v>2.5099999999999998</v>
      </c>
      <c r="BE78" s="3279">
        <f>+'Maj Techno Summ'!BB28</f>
        <v>2.4115605155409652</v>
      </c>
      <c r="BF78" s="5284">
        <f>+'Maj Techno Summ'!BC28</f>
        <v>2.5099999999999998</v>
      </c>
      <c r="BG78" s="3281">
        <f>+'Maj Techno Summ'!BD28</f>
        <v>2.4600872687920416</v>
      </c>
      <c r="BH78" s="5285">
        <f>+'Maj Techno Summ'!BE28</f>
        <v>2.5099999999999998</v>
      </c>
      <c r="BI78" s="5248">
        <f>+'Maj Techno Summ'!BF28</f>
        <v>2.4724910799483122</v>
      </c>
    </row>
    <row r="79" spans="3:61" ht="14.4" thickBot="1" x14ac:dyDescent="0.3">
      <c r="C79" s="5937"/>
      <c r="D79" s="5273" t="s">
        <v>366</v>
      </c>
      <c r="E79" s="3243" t="s">
        <v>405</v>
      </c>
      <c r="F79" s="3401">
        <v>0.52806819520607939</v>
      </c>
      <c r="G79" s="5286">
        <f>+'Maj Techno Summ'!D29</f>
        <v>0.5</v>
      </c>
      <c r="H79" s="5287">
        <f>+'Maj Techno Summ'!E29</f>
        <v>0.5</v>
      </c>
      <c r="I79" s="3387">
        <f>+'Maj Techno Summ'!F29</f>
        <v>0.52</v>
      </c>
      <c r="J79" s="5287">
        <f>+'Maj Techno Summ'!G29</f>
        <v>0.5</v>
      </c>
      <c r="K79" s="3387">
        <f>+'Maj Techno Summ'!H29</f>
        <v>0.56000000000000005</v>
      </c>
      <c r="L79" s="5288">
        <f>+'Maj Techno Summ'!I29</f>
        <v>0.5</v>
      </c>
      <c r="M79" s="3402">
        <f>+'Maj Techno Summ'!J29</f>
        <v>0.53219987110312683</v>
      </c>
      <c r="N79" s="5287">
        <f>+'Maj Techno Summ'!K29</f>
        <v>0.5</v>
      </c>
      <c r="O79" s="3387">
        <f>+'Maj Techno Summ'!L29</f>
        <v>0.5</v>
      </c>
      <c r="P79" s="5289">
        <f>+'Maj Techno Summ'!M29</f>
        <v>0.5</v>
      </c>
      <c r="Q79" s="3403">
        <f>+'Maj Techno Summ'!N29</f>
        <v>0.51831641399829975</v>
      </c>
      <c r="R79" s="5287">
        <f>+'Maj Techno Summ'!O29</f>
        <v>0.5</v>
      </c>
      <c r="S79" s="3387">
        <f>+'Maj Techno Summ'!P29</f>
        <v>0.5</v>
      </c>
      <c r="T79" s="5288">
        <f>+'Maj Techno Summ'!Q29</f>
        <v>0.5</v>
      </c>
      <c r="U79" s="3402">
        <f>+'Maj Techno Summ'!R29</f>
        <v>0.51263858575440358</v>
      </c>
      <c r="V79" s="5287">
        <f>+'Maj Techno Summ'!S29</f>
        <v>0.5</v>
      </c>
      <c r="W79" s="3387">
        <f>+'Maj Techno Summ'!T29</f>
        <v>0.5</v>
      </c>
      <c r="X79" s="5288">
        <f>+'Maj Techno Summ'!U29</f>
        <v>0.5</v>
      </c>
      <c r="Y79" s="3402">
        <f>+'Maj Techno Summ'!V29</f>
        <v>0.50979443596319429</v>
      </c>
      <c r="Z79" s="5287">
        <f>+'Maj Techno Summ'!W29</f>
        <v>0.5</v>
      </c>
      <c r="AA79" s="3387">
        <f>+'Maj Techno Summ'!X29</f>
        <v>0.5</v>
      </c>
      <c r="AB79" s="5289">
        <f>+'Maj Techno Summ'!Y29</f>
        <v>0.5</v>
      </c>
      <c r="AC79" s="5289">
        <f>+'Maj Techno Summ'!Z29</f>
        <v>0.5</v>
      </c>
      <c r="AD79" s="5290">
        <f>+'Maj Techno Summ'!AA29</f>
        <v>0.5</v>
      </c>
      <c r="AE79" s="3404">
        <f>+'Maj Techno Summ'!AB29</f>
        <v>0.50806237434429058</v>
      </c>
      <c r="AF79" s="5287">
        <f>+'Maj Techno Summ'!AC29</f>
        <v>0.5</v>
      </c>
      <c r="AG79" s="3387">
        <f>+'Maj Techno Summ'!AD29</f>
        <v>0.5</v>
      </c>
      <c r="AH79" s="5288">
        <f>+'Maj Techno Summ'!AE29</f>
        <v>0.5</v>
      </c>
      <c r="AI79" s="3402">
        <f>+'Maj Techno Summ'!AF29</f>
        <v>0.50707413001069779</v>
      </c>
      <c r="AJ79" s="5287">
        <f>+'Maj Techno Summ'!AG29</f>
        <v>0.5</v>
      </c>
      <c r="AK79" s="3387">
        <f>+'Maj Techno Summ'!AH29</f>
        <v>0.46</v>
      </c>
      <c r="AL79" s="5288">
        <f>+'Maj Techno Summ'!AI29</f>
        <v>0.5</v>
      </c>
      <c r="AM79" s="3402">
        <f>+'Maj Techno Summ'!AJ29</f>
        <v>0.50068703391243374</v>
      </c>
      <c r="AN79" s="5287">
        <f>+'Maj Techno Summ'!AK29</f>
        <v>0.5</v>
      </c>
      <c r="AO79" s="3387">
        <f>+'Maj Techno Summ'!AL29</f>
        <v>0.49</v>
      </c>
      <c r="AP79" s="5289">
        <f>+'Maj Techno Summ'!AM29</f>
        <v>0.5</v>
      </c>
      <c r="AQ79" s="5289">
        <f>+'Maj Techno Summ'!AN29</f>
        <v>0.48208007551300947</v>
      </c>
      <c r="AR79" s="5288">
        <f>+'Maj Techno Summ'!AO29</f>
        <v>0.5</v>
      </c>
      <c r="AS79" s="3402">
        <f>+'Maj Techno Summ'!AP29</f>
        <v>0.49938647519340917</v>
      </c>
      <c r="AT79" s="5287">
        <f>+'Maj Techno Summ'!AQ29</f>
        <v>0.5</v>
      </c>
      <c r="AU79" s="3387">
        <f>+'Maj Techno Summ'!AR29</f>
        <v>0.5</v>
      </c>
      <c r="AV79" s="5288">
        <f>+'Maj Techno Summ'!AS29</f>
        <v>0.5</v>
      </c>
      <c r="AW79" s="3402">
        <f>+'Maj Techno Summ'!AT29</f>
        <v>0.49945143336276848</v>
      </c>
      <c r="AX79" s="5287">
        <f>+'Maj Techno Summ'!AU29</f>
        <v>0.5</v>
      </c>
      <c r="AY79" s="3387">
        <f>+'Maj Techno Summ'!AV29</f>
        <v>0.52</v>
      </c>
      <c r="AZ79" s="5288">
        <f>+'Maj Techno Summ'!AW29</f>
        <v>0.5</v>
      </c>
      <c r="BA79" s="3402">
        <f>+'Maj Techno Summ'!AX29</f>
        <v>0.50107690275180405</v>
      </c>
      <c r="BB79" s="5287">
        <f>+'Maj Techno Summ'!AY29</f>
        <v>0.5</v>
      </c>
      <c r="BC79" s="3387">
        <f>+'Maj Techno Summ'!AZ29</f>
        <v>0.5</v>
      </c>
      <c r="BD79" s="3279">
        <f>+'Maj Techno Summ'!BA29</f>
        <v>0.5</v>
      </c>
      <c r="BE79" s="3279">
        <f>+'Maj Techno Summ'!BB29</f>
        <v>0.50565536150682489</v>
      </c>
      <c r="BF79" s="5246">
        <f>+'Maj Techno Summ'!BC29</f>
        <v>0.5</v>
      </c>
      <c r="BG79" s="3281">
        <f>+'Maj Techno Summ'!BD29</f>
        <v>0.49396979738255292</v>
      </c>
      <c r="BH79" s="5247">
        <f>+'Maj Techno Summ'!BE29</f>
        <v>0.5</v>
      </c>
      <c r="BI79" s="5248">
        <f>+'Maj Techno Summ'!BF29</f>
        <v>0.50097621371226853</v>
      </c>
    </row>
    <row r="80" spans="3:61" ht="16.2" thickBot="1" x14ac:dyDescent="0.3">
      <c r="C80" s="5278" t="s">
        <v>1021</v>
      </c>
      <c r="D80" s="5291" t="s">
        <v>520</v>
      </c>
      <c r="E80" s="3405" t="s">
        <v>521</v>
      </c>
      <c r="F80" s="3406">
        <v>639.11266207165545</v>
      </c>
      <c r="G80" s="3407">
        <f>+'Maj Techno Summ'!D30</f>
        <v>832.79094265846709</v>
      </c>
      <c r="H80" s="3408">
        <f>+'Maj Techno Summ'!E30</f>
        <v>694.95531888890366</v>
      </c>
      <c r="I80" s="3409">
        <f>+'Maj Techno Summ'!F30</f>
        <v>802.23728490316716</v>
      </c>
      <c r="J80" s="3408">
        <f>+'Maj Techno Summ'!G30</f>
        <v>598.01649379778178</v>
      </c>
      <c r="K80" s="3409">
        <f>+'Maj Techno Summ'!H30</f>
        <v>351.97887314582897</v>
      </c>
      <c r="L80" s="3410">
        <f>+'Maj Techno Summ'!I30</f>
        <v>645.70800184808866</v>
      </c>
      <c r="M80" s="3411">
        <f>+'Maj Techno Summ'!J30</f>
        <v>573.64039878101153</v>
      </c>
      <c r="N80" s="3408">
        <f>+'Maj Techno Summ'!K30</f>
        <v>817.70562892885039</v>
      </c>
      <c r="O80" s="3409">
        <f>+'Maj Techno Summ'!L30</f>
        <v>850.75383150272273</v>
      </c>
      <c r="P80" s="3412">
        <f>+'Maj Techno Summ'!M30</f>
        <v>703.72050374551338</v>
      </c>
      <c r="Q80" s="3413">
        <f>+'Maj Techno Summ'!N30</f>
        <v>666.77603405259936</v>
      </c>
      <c r="R80" s="3408">
        <f>+'Maj Techno Summ'!O30</f>
        <v>802.355516552626</v>
      </c>
      <c r="S80" s="3409">
        <f>+'Maj Techno Summ'!P30</f>
        <v>858.73073141775944</v>
      </c>
      <c r="T80" s="3410">
        <f>+'Maj Techno Summ'!Q30</f>
        <v>729.27107125340615</v>
      </c>
      <c r="U80" s="3411">
        <f>+'Maj Techno Summ'!R30</f>
        <v>716.21532548907055</v>
      </c>
      <c r="V80" s="3408">
        <f>+'Maj Techno Summ'!S30</f>
        <v>803.0385660843109</v>
      </c>
      <c r="W80" s="3409">
        <f>+'Maj Techno Summ'!T30</f>
        <v>807.72736148331228</v>
      </c>
      <c r="X80" s="3410">
        <f>+'Maj Techno Summ'!U30</f>
        <v>744.43855354813525</v>
      </c>
      <c r="Y80" s="3411">
        <f>+'Maj Techno Summ'!V30</f>
        <v>734.90507213474314</v>
      </c>
      <c r="Z80" s="3408">
        <f>+'Maj Techno Summ'!W30</f>
        <v>444.87961481035342</v>
      </c>
      <c r="AA80" s="3409">
        <f>+'Maj Techno Summ'!X30</f>
        <v>800.50814464028986</v>
      </c>
      <c r="AB80" s="3412">
        <f>+'Maj Techno Summ'!Y30</f>
        <v>690.03884183027776</v>
      </c>
      <c r="AC80" s="3412">
        <f>+'Maj Techno Summ'!Z30</f>
        <v>822.67304970318651</v>
      </c>
      <c r="AD80" s="3414">
        <f>+'Maj Techno Summ'!AA30</f>
        <v>694.8696354413961</v>
      </c>
      <c r="AE80" s="3414">
        <f>+'Maj Techno Summ'!AB30</f>
        <v>745.67866506409973</v>
      </c>
      <c r="AF80" s="3408">
        <f>+'Maj Techno Summ'!AC30</f>
        <v>821.61133260872475</v>
      </c>
      <c r="AG80" s="3409">
        <f>+'Maj Techno Summ'!AD30</f>
        <v>627.19218779449864</v>
      </c>
      <c r="AH80" s="3410">
        <f>+'Maj Techno Summ'!AE30</f>
        <v>713.35785298456824</v>
      </c>
      <c r="AI80" s="3411">
        <f>+'Maj Techno Summ'!AF30</f>
        <v>728.48850222235978</v>
      </c>
      <c r="AJ80" s="3408">
        <f>+'Maj Techno Summ'!AG30</f>
        <v>825.17752502414544</v>
      </c>
      <c r="AK80" s="3409">
        <f>+'Maj Techno Summ'!AH30</f>
        <v>812.21648212896196</v>
      </c>
      <c r="AL80" s="3410">
        <f>+'Maj Techno Summ'!AI30</f>
        <v>727.14379583492598</v>
      </c>
      <c r="AM80" s="3411">
        <f>+'Maj Techno Summ'!AJ30</f>
        <v>738.77388264637341</v>
      </c>
      <c r="AN80" s="3408">
        <f>+'Maj Techno Summ'!AK30</f>
        <v>824.42828574909777</v>
      </c>
      <c r="AO80" s="3409">
        <f>+'Maj Techno Summ'!AL30</f>
        <v>805.04627302386416</v>
      </c>
      <c r="AP80" s="3412">
        <f>+'Maj Techno Summ'!AM30</f>
        <v>823.72805861312543</v>
      </c>
      <c r="AQ80" s="3412">
        <f>+'Maj Techno Summ'!AN30</f>
        <v>747.27457978871462</v>
      </c>
      <c r="AR80" s="3410">
        <f>+'Maj Techno Summ'!AO30</f>
        <v>738.13817196188916</v>
      </c>
      <c r="AS80" s="3411">
        <f>+'Maj Techno Summ'!AP30</f>
        <v>746.21128969020106</v>
      </c>
      <c r="AT80" s="3408">
        <f>+'Maj Techno Summ'!AQ30</f>
        <v>838.81244623945884</v>
      </c>
      <c r="AU80" s="3409">
        <f>+'Maj Techno Summ'!AR30</f>
        <v>789.63550917454529</v>
      </c>
      <c r="AV80" s="3410">
        <f>+'Maj Techno Summ'!AS30</f>
        <v>748.33978175926586</v>
      </c>
      <c r="AW80" s="3411">
        <f>+'Maj Techno Summ'!AT30</f>
        <v>750.56885160960132</v>
      </c>
      <c r="AX80" s="3408">
        <f>+'Maj Techno Summ'!AU30</f>
        <v>830.48772690547321</v>
      </c>
      <c r="AY80" s="3409">
        <f>+'Maj Techno Summ'!AV30</f>
        <v>707.99769922610335</v>
      </c>
      <c r="AZ80" s="3410">
        <f>+'Maj Techno Summ'!AW30</f>
        <v>755.2261043135577</v>
      </c>
      <c r="BA80" s="3411">
        <f>+'Maj Techno Summ'!AX30</f>
        <v>747.05753385081255</v>
      </c>
      <c r="BB80" s="3408">
        <f>+'Maj Techno Summ'!AY30</f>
        <v>839.77411141141556</v>
      </c>
      <c r="BC80" s="3409">
        <f>+'Maj Techno Summ'!AZ30</f>
        <v>837.34047478274499</v>
      </c>
      <c r="BD80" s="5292">
        <f>+'Maj Techno Summ'!BA30</f>
        <v>836.55358401556646</v>
      </c>
      <c r="BE80" s="5292">
        <f>+'Maj Techno Summ'!BB30</f>
        <v>780.49294118867783</v>
      </c>
      <c r="BF80" s="5293">
        <f>+'Maj Techno Summ'!BC30</f>
        <v>830.07564496772477</v>
      </c>
      <c r="BG80" s="3363">
        <f>+'Maj Techno Summ'!BD30</f>
        <v>763.66364360461557</v>
      </c>
      <c r="BH80" s="5294">
        <f>+'Maj Techno Summ'!BE30</f>
        <v>762.39999894243067</v>
      </c>
      <c r="BI80" s="3358">
        <f>+'Maj Techno Summ'!BF30</f>
        <v>754.62718395115428</v>
      </c>
    </row>
    <row r="81" spans="20:21" x14ac:dyDescent="0.25">
      <c r="T81" s="1166"/>
      <c r="U81" s="1166"/>
    </row>
  </sheetData>
  <mergeCells count="36">
    <mergeCell ref="C77:C79"/>
    <mergeCell ref="C4:C5"/>
    <mergeCell ref="X4:Y4"/>
    <mergeCell ref="C36:C51"/>
    <mergeCell ref="C53:C61"/>
    <mergeCell ref="H4:I4"/>
    <mergeCell ref="J4:K4"/>
    <mergeCell ref="N4:O4"/>
    <mergeCell ref="L4:M4"/>
    <mergeCell ref="C6:C27"/>
    <mergeCell ref="C28:C35"/>
    <mergeCell ref="P4:Q4"/>
    <mergeCell ref="C74:C75"/>
    <mergeCell ref="C62:C73"/>
    <mergeCell ref="BB4:BC4"/>
    <mergeCell ref="AR4:AS4"/>
    <mergeCell ref="BF4:BG4"/>
    <mergeCell ref="AD4:AE4"/>
    <mergeCell ref="AX4:AY4"/>
    <mergeCell ref="AL4:AM4"/>
    <mergeCell ref="C3:BI3"/>
    <mergeCell ref="BH4:BI4"/>
    <mergeCell ref="Z4:AA4"/>
    <mergeCell ref="R4:S4"/>
    <mergeCell ref="AN4:AO4"/>
    <mergeCell ref="AP4:AQ4"/>
    <mergeCell ref="V4:W4"/>
    <mergeCell ref="T4:U4"/>
    <mergeCell ref="AB4:AC4"/>
    <mergeCell ref="AF4:AG4"/>
    <mergeCell ref="AH4:AI4"/>
    <mergeCell ref="AJ4:AK4"/>
    <mergeCell ref="AZ4:BA4"/>
    <mergeCell ref="AT4:AU4"/>
    <mergeCell ref="AV4:AW4"/>
    <mergeCell ref="BD4:BE4"/>
  </mergeCells>
  <printOptions horizontalCentered="1" verticalCentered="1"/>
  <pageMargins left="0" right="0" top="0" bottom="0" header="0" footer="0"/>
  <pageSetup paperSize="9" scale="48"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tabColor rgb="FF00FF00"/>
    <pageSetUpPr fitToPage="1"/>
  </sheetPr>
  <dimension ref="A1:BI251"/>
  <sheetViews>
    <sheetView topLeftCell="A2" zoomScaleNormal="100" workbookViewId="0">
      <pane xSplit="3" topLeftCell="E1" activePane="topRight" state="frozen"/>
      <selection pane="topRight" activeCell="G241" sqref="G241"/>
    </sheetView>
  </sheetViews>
  <sheetFormatPr defaultRowHeight="15.6" x14ac:dyDescent="0.3"/>
  <cols>
    <col min="2" max="2" width="79.109375" bestFit="1" customWidth="1"/>
    <col min="3" max="3" width="15.109375" customWidth="1"/>
    <col min="4" max="4" width="5.44140625" hidden="1" customWidth="1"/>
    <col min="5" max="5" width="13.33203125" customWidth="1"/>
    <col min="6" max="6" width="10" hidden="1" customWidth="1"/>
    <col min="7" max="7" width="12.88671875" customWidth="1"/>
    <col min="8" max="8" width="66.6640625" hidden="1" customWidth="1"/>
    <col min="9" max="9" width="10.6640625" customWidth="1"/>
    <col min="10" max="10" width="10" hidden="1" customWidth="1"/>
    <col min="11" max="11" width="10.6640625" hidden="1" customWidth="1"/>
    <col min="12" max="12" width="10" hidden="1" customWidth="1"/>
    <col min="13" max="13" width="10.88671875" style="140" hidden="1" customWidth="1"/>
    <col min="14" max="14" width="10" hidden="1" customWidth="1"/>
    <col min="15" max="15" width="10.6640625" style="88" hidden="1" customWidth="1"/>
    <col min="16" max="16" width="10" hidden="1" customWidth="1"/>
    <col min="17" max="17" width="10.6640625" hidden="1" customWidth="1"/>
    <col min="18" max="18" width="10" hidden="1" customWidth="1"/>
    <col min="19" max="19" width="10.6640625" hidden="1" customWidth="1"/>
    <col min="20" max="20" width="10" hidden="1" customWidth="1"/>
    <col min="21" max="21" width="12.33203125" hidden="1" customWidth="1"/>
    <col min="22" max="22" width="10" hidden="1" customWidth="1"/>
    <col min="23" max="23" width="10.6640625" hidden="1" customWidth="1"/>
    <col min="24" max="24" width="9.5546875" hidden="1" customWidth="1"/>
    <col min="25" max="25" width="10.88671875" style="140" hidden="1" customWidth="1"/>
    <col min="26" max="26" width="10" hidden="1" customWidth="1"/>
    <col min="27" max="27" width="12.44140625" hidden="1" customWidth="1"/>
    <col min="28" max="28" width="9.109375" hidden="1" customWidth="1"/>
    <col min="29" max="29" width="10.88671875" hidden="1" customWidth="1"/>
    <col min="30" max="30" width="10" hidden="1" customWidth="1"/>
    <col min="31" max="31" width="12.33203125" hidden="1" customWidth="1"/>
    <col min="32" max="32" width="5.44140625" hidden="1" customWidth="1"/>
    <col min="33" max="33" width="10.88671875" hidden="1" customWidth="1"/>
    <col min="34" max="34" width="9.109375" hidden="1" customWidth="1"/>
    <col min="35" max="35" width="12.33203125" hidden="1" customWidth="1"/>
    <col min="36" max="36" width="9.109375" hidden="1" customWidth="1"/>
    <col min="37" max="37" width="10.88671875" hidden="1" customWidth="1"/>
    <col min="38" max="38" width="9.109375" hidden="1" customWidth="1"/>
    <col min="39" max="39" width="10.88671875" hidden="1" customWidth="1"/>
    <col min="40" max="40" width="9.109375" hidden="1" customWidth="1"/>
    <col min="41" max="41" width="12.33203125" hidden="1" customWidth="1"/>
    <col min="42" max="42" width="9.109375" hidden="1" customWidth="1"/>
    <col min="43" max="43" width="10.6640625" hidden="1" customWidth="1"/>
    <col min="44" max="44" width="9.109375" hidden="1" customWidth="1"/>
    <col min="45" max="45" width="12.33203125" hidden="1" customWidth="1"/>
    <col min="46" max="46" width="9.109375" hidden="1" customWidth="1"/>
    <col min="47" max="47" width="14.109375" hidden="1" customWidth="1"/>
    <col min="48" max="48" width="9.109375" hidden="1" customWidth="1"/>
    <col min="49" max="49" width="12.33203125" style="29" hidden="1" customWidth="1"/>
    <col min="50" max="50" width="9.109375" hidden="1" customWidth="1"/>
    <col min="51" max="51" width="10.5546875" hidden="1" customWidth="1"/>
    <col min="52" max="52" width="9.109375" hidden="1" customWidth="1"/>
    <col min="53" max="53" width="10.88671875" hidden="1" customWidth="1"/>
    <col min="54" max="54" width="9.109375" hidden="1" customWidth="1"/>
    <col min="55" max="55" width="12" hidden="1" customWidth="1"/>
    <col min="56" max="56" width="9.109375" hidden="1" customWidth="1"/>
    <col min="57" max="57" width="12.33203125" hidden="1" customWidth="1"/>
    <col min="58" max="59" width="9.109375" customWidth="1"/>
  </cols>
  <sheetData>
    <row r="1" spans="1:61" hidden="1" x14ac:dyDescent="0.3">
      <c r="B1" s="236"/>
      <c r="E1" s="510"/>
      <c r="F1" s="510"/>
      <c r="I1" s="584"/>
      <c r="J1" s="137"/>
      <c r="M1" s="2059"/>
      <c r="N1" s="137"/>
      <c r="Q1" s="584"/>
      <c r="R1" s="137"/>
      <c r="U1" s="584"/>
      <c r="V1" s="137"/>
      <c r="X1" s="23"/>
      <c r="Y1" s="2059"/>
      <c r="AA1" s="417"/>
    </row>
    <row r="2" spans="1:61" ht="43.5" customHeight="1" thickBot="1" x14ac:dyDescent="0.35">
      <c r="A2" s="137"/>
      <c r="B2" s="5954" t="s">
        <v>1060</v>
      </c>
      <c r="C2" s="5954"/>
      <c r="D2" s="5954"/>
      <c r="E2" s="5954"/>
      <c r="F2" s="5954"/>
      <c r="G2" s="5954"/>
      <c r="H2" s="5954"/>
      <c r="I2" s="5954"/>
      <c r="J2" s="5954"/>
      <c r="K2" s="5954"/>
      <c r="L2" s="5954"/>
      <c r="M2" s="5954"/>
      <c r="N2" s="5954"/>
      <c r="O2" s="5954"/>
      <c r="P2" s="5954"/>
      <c r="Q2" s="5954"/>
      <c r="R2" s="5954"/>
      <c r="S2" s="5954"/>
      <c r="T2" s="5954"/>
      <c r="U2" s="5954"/>
      <c r="V2" s="5954"/>
      <c r="W2" s="5954"/>
      <c r="X2" s="5954"/>
      <c r="Y2" s="5954"/>
      <c r="Z2" s="5954"/>
      <c r="AA2" s="5954"/>
    </row>
    <row r="3" spans="1:61" ht="16.2" thickBot="1" x14ac:dyDescent="0.35">
      <c r="B3" s="5955" t="s">
        <v>170</v>
      </c>
      <c r="C3" s="5887" t="s">
        <v>171</v>
      </c>
      <c r="D3" s="5880" t="s">
        <v>2211</v>
      </c>
      <c r="E3" s="5958"/>
      <c r="F3" s="5880" t="s">
        <v>2260</v>
      </c>
      <c r="G3" s="5880"/>
      <c r="H3" s="5959" t="s">
        <v>14</v>
      </c>
      <c r="I3" s="5960"/>
      <c r="J3" s="5892" t="s">
        <v>1963</v>
      </c>
      <c r="K3" s="5889"/>
      <c r="L3" s="5961" t="s">
        <v>604</v>
      </c>
      <c r="M3" s="5962"/>
      <c r="N3" s="5892" t="s">
        <v>1985</v>
      </c>
      <c r="O3" s="5889"/>
      <c r="P3" s="5945" t="s">
        <v>17</v>
      </c>
      <c r="Q3" s="5879"/>
      <c r="R3" s="5892" t="s">
        <v>1988</v>
      </c>
      <c r="S3" s="5889"/>
      <c r="T3" s="5945" t="s">
        <v>18</v>
      </c>
      <c r="U3" s="5879"/>
      <c r="V3" s="5880" t="s">
        <v>2019</v>
      </c>
      <c r="W3" s="5880"/>
      <c r="X3" s="5961" t="s">
        <v>625</v>
      </c>
      <c r="Y3" s="5962"/>
      <c r="Z3" s="5934" t="s">
        <v>623</v>
      </c>
      <c r="AA3" s="5884"/>
      <c r="AB3" s="5892" t="s">
        <v>2043</v>
      </c>
      <c r="AC3" s="5889"/>
      <c r="AD3" s="5945" t="s">
        <v>24</v>
      </c>
      <c r="AE3" s="5879"/>
      <c r="AF3" s="5892" t="s">
        <v>2064</v>
      </c>
      <c r="AG3" s="5889"/>
      <c r="AH3" s="5945" t="s">
        <v>27</v>
      </c>
      <c r="AI3" s="5879"/>
      <c r="AJ3" s="5880" t="s">
        <v>2088</v>
      </c>
      <c r="AK3" s="5880"/>
      <c r="AL3" s="5881" t="s">
        <v>627</v>
      </c>
      <c r="AM3" s="5882"/>
      <c r="AN3" s="5945" t="s">
        <v>1565</v>
      </c>
      <c r="AO3" s="5879"/>
      <c r="AP3" s="5892" t="s">
        <v>2099</v>
      </c>
      <c r="AQ3" s="5889"/>
      <c r="AR3" s="5945" t="s">
        <v>28</v>
      </c>
      <c r="AS3" s="5879"/>
      <c r="AT3" s="5892" t="s">
        <v>2136</v>
      </c>
      <c r="AU3" s="5889"/>
      <c r="AV3" s="5945" t="s">
        <v>30</v>
      </c>
      <c r="AW3" s="5879"/>
      <c r="AX3" s="5892" t="s">
        <v>2154</v>
      </c>
      <c r="AY3" s="5889"/>
      <c r="AZ3" s="5881" t="s">
        <v>628</v>
      </c>
      <c r="BA3" s="5882"/>
      <c r="BB3" s="5934" t="s">
        <v>634</v>
      </c>
      <c r="BC3" s="5884"/>
      <c r="BD3" s="5945" t="s">
        <v>1961</v>
      </c>
      <c r="BE3" s="5879"/>
    </row>
    <row r="4" spans="1:61" ht="16.2" thickBot="1" x14ac:dyDescent="0.35">
      <c r="B4" s="5956"/>
      <c r="C4" s="5957"/>
      <c r="D4" s="504" t="s">
        <v>172</v>
      </c>
      <c r="E4" s="144" t="s">
        <v>173</v>
      </c>
      <c r="F4" s="504" t="s">
        <v>172</v>
      </c>
      <c r="G4" s="165" t="s">
        <v>173</v>
      </c>
      <c r="H4" s="1540" t="s">
        <v>172</v>
      </c>
      <c r="I4" s="1514" t="s">
        <v>173</v>
      </c>
      <c r="J4" s="947" t="s">
        <v>172</v>
      </c>
      <c r="K4" s="165" t="s">
        <v>173</v>
      </c>
      <c r="L4" s="2054" t="s">
        <v>172</v>
      </c>
      <c r="M4" s="2055" t="s">
        <v>173</v>
      </c>
      <c r="N4" s="947" t="s">
        <v>172</v>
      </c>
      <c r="O4" s="165" t="s">
        <v>173</v>
      </c>
      <c r="P4" s="134" t="s">
        <v>172</v>
      </c>
      <c r="Q4" s="150" t="s">
        <v>173</v>
      </c>
      <c r="R4" s="947" t="s">
        <v>172</v>
      </c>
      <c r="S4" s="165" t="s">
        <v>173</v>
      </c>
      <c r="T4" s="134" t="s">
        <v>172</v>
      </c>
      <c r="U4" s="4502" t="s">
        <v>173</v>
      </c>
      <c r="V4" s="947" t="s">
        <v>172</v>
      </c>
      <c r="W4" s="148" t="s">
        <v>173</v>
      </c>
      <c r="X4" s="2054" t="s">
        <v>172</v>
      </c>
      <c r="Y4" s="2055" t="s">
        <v>173</v>
      </c>
      <c r="Z4" s="431" t="s">
        <v>172</v>
      </c>
      <c r="AA4" s="431" t="s">
        <v>173</v>
      </c>
      <c r="AB4" s="947" t="s">
        <v>172</v>
      </c>
      <c r="AC4" s="3710" t="s">
        <v>173</v>
      </c>
      <c r="AD4" s="134" t="s">
        <v>172</v>
      </c>
      <c r="AE4" s="150" t="s">
        <v>173</v>
      </c>
      <c r="AF4" s="947" t="s">
        <v>172</v>
      </c>
      <c r="AG4" s="165" t="s">
        <v>173</v>
      </c>
      <c r="AH4" s="134" t="s">
        <v>172</v>
      </c>
      <c r="AI4" s="150" t="s">
        <v>173</v>
      </c>
      <c r="AJ4" s="947" t="s">
        <v>172</v>
      </c>
      <c r="AK4" s="148" t="s">
        <v>173</v>
      </c>
      <c r="AL4" s="648" t="s">
        <v>172</v>
      </c>
      <c r="AM4" s="2055" t="s">
        <v>173</v>
      </c>
      <c r="AN4" s="134" t="s">
        <v>172</v>
      </c>
      <c r="AO4" s="150" t="s">
        <v>173</v>
      </c>
      <c r="AP4" s="947" t="s">
        <v>172</v>
      </c>
      <c r="AQ4" s="165" t="s">
        <v>173</v>
      </c>
      <c r="AR4" s="134" t="s">
        <v>172</v>
      </c>
      <c r="AS4" s="150" t="s">
        <v>173</v>
      </c>
      <c r="AT4" s="947" t="s">
        <v>172</v>
      </c>
      <c r="AU4" s="165" t="s">
        <v>173</v>
      </c>
      <c r="AV4" s="134" t="s">
        <v>172</v>
      </c>
      <c r="AW4" s="150" t="s">
        <v>173</v>
      </c>
      <c r="AX4" s="947" t="s">
        <v>172</v>
      </c>
      <c r="AY4" s="165" t="s">
        <v>173</v>
      </c>
      <c r="AZ4" s="648" t="s">
        <v>172</v>
      </c>
      <c r="BA4" s="2055" t="s">
        <v>173</v>
      </c>
      <c r="BB4" s="431" t="s">
        <v>172</v>
      </c>
      <c r="BC4" s="431" t="s">
        <v>173</v>
      </c>
      <c r="BD4" s="134" t="s">
        <v>172</v>
      </c>
      <c r="BE4" s="150" t="s">
        <v>173</v>
      </c>
    </row>
    <row r="5" spans="1:61" ht="24.6" x14ac:dyDescent="0.3">
      <c r="A5" s="137"/>
      <c r="B5" s="2928" t="s">
        <v>1559</v>
      </c>
      <c r="C5" s="191"/>
      <c r="D5" s="247"/>
      <c r="E5" s="5324">
        <f>+E6+E14+E20+E25+E12</f>
        <v>5965.35</v>
      </c>
      <c r="F5" s="247"/>
      <c r="G5" s="5324">
        <f>+G6+G14+G20+G25+G12</f>
        <v>2163.5299999999997</v>
      </c>
      <c r="H5" s="5325"/>
      <c r="I5" s="5326">
        <f>+E5+G5</f>
        <v>8128.88</v>
      </c>
      <c r="J5" s="247"/>
      <c r="K5" s="5324">
        <f>+K6+K14+K20+K25</f>
        <v>6803.8099999999995</v>
      </c>
      <c r="L5" s="5327"/>
      <c r="M5" s="5327">
        <f>+E5+G5+K5</f>
        <v>14932.689999999999</v>
      </c>
      <c r="N5" s="247"/>
      <c r="O5" s="5328">
        <f>+O6+O14+O20+O25</f>
        <v>3865.36</v>
      </c>
      <c r="P5" s="5329"/>
      <c r="Q5" s="5325">
        <f>+M5+O5</f>
        <v>18798.05</v>
      </c>
      <c r="R5" s="247"/>
      <c r="S5" s="5324">
        <f>+S6+S14+S20+S25</f>
        <v>6257.93</v>
      </c>
      <c r="T5" s="341"/>
      <c r="U5" s="5325">
        <f>+Q5+S5</f>
        <v>25055.98</v>
      </c>
      <c r="V5" s="415"/>
      <c r="W5" s="5324">
        <f>+W6+W14+W20+W25</f>
        <v>5182.59</v>
      </c>
      <c r="X5" s="5327"/>
      <c r="Y5" s="5327">
        <f>+O5+S5+W5</f>
        <v>15305.880000000001</v>
      </c>
      <c r="Z5" s="983"/>
      <c r="AA5" s="5330">
        <f>M5+Y5</f>
        <v>30238.57</v>
      </c>
      <c r="AB5" s="247"/>
      <c r="AC5" s="5324">
        <f>+AC6+AC14+AC20+AC25</f>
        <v>5221.92</v>
      </c>
      <c r="AD5" s="5329"/>
      <c r="AE5" s="5329">
        <f>AA5+AC5</f>
        <v>35460.49</v>
      </c>
      <c r="AF5" s="247"/>
      <c r="AG5" s="5324">
        <f>+AG6+AG14+AG20+AG25</f>
        <v>0</v>
      </c>
      <c r="AH5" s="5329"/>
      <c r="AI5" s="5329">
        <f t="shared" ref="AI5:AI24" si="0">+AE5+AG5</f>
        <v>35460.49</v>
      </c>
      <c r="AJ5" s="415"/>
      <c r="AK5" s="5324">
        <f>+AK6+AK14+AK20+AK25</f>
        <v>2959.9700000000003</v>
      </c>
      <c r="AL5" s="5331"/>
      <c r="AM5" s="5327">
        <f>+AC5+AG5+AK5</f>
        <v>8181.89</v>
      </c>
      <c r="AN5" s="5329"/>
      <c r="AO5" s="5329">
        <f>AI5+AK5</f>
        <v>38420.46</v>
      </c>
      <c r="AP5" s="415"/>
      <c r="AQ5" s="5324">
        <f>+AQ6+AQ14+AQ20+AQ25</f>
        <v>6204.6100000000006</v>
      </c>
      <c r="AR5" s="5329"/>
      <c r="AS5" s="5329">
        <f t="shared" ref="AS5:AS25" si="1">+AO5+AQ5</f>
        <v>44625.07</v>
      </c>
      <c r="AT5" s="247"/>
      <c r="AU5" s="5324">
        <f>+AU6+AU14+AU20+AU25</f>
        <v>3912.1100000000006</v>
      </c>
      <c r="AV5" s="5329"/>
      <c r="AW5" s="5329">
        <f t="shared" ref="AW5:AW25" si="2">+AS5+AU5</f>
        <v>48537.18</v>
      </c>
      <c r="AX5" s="247"/>
      <c r="AY5" s="5324">
        <f>+AY6+AY14+AY20+AY25+AY12</f>
        <v>3740.4</v>
      </c>
      <c r="AZ5" s="5331"/>
      <c r="BA5" s="5327">
        <f>+AQ5+AU5+AY5</f>
        <v>13857.12</v>
      </c>
      <c r="BB5" s="983"/>
      <c r="BC5" s="5330">
        <f>BA5+AM5</f>
        <v>22039.010000000002</v>
      </c>
      <c r="BD5" s="5329"/>
      <c r="BE5" s="2814">
        <f t="shared" ref="BE5:BE25" si="3">+AW5+AY5</f>
        <v>52277.58</v>
      </c>
      <c r="BH5" s="23"/>
      <c r="BI5" s="23"/>
    </row>
    <row r="6" spans="1:61" ht="23.4" x14ac:dyDescent="0.3">
      <c r="A6" s="137"/>
      <c r="B6" s="5312" t="s">
        <v>1281</v>
      </c>
      <c r="C6" s="4932" t="s">
        <v>351</v>
      </c>
      <c r="D6" s="5313">
        <f t="shared" ref="D6:F6" si="4">+D7+D8</f>
        <v>0</v>
      </c>
      <c r="E6" s="5313">
        <f>+E7+E8</f>
        <v>3823.51</v>
      </c>
      <c r="F6" s="5313">
        <f t="shared" si="4"/>
        <v>0</v>
      </c>
      <c r="G6" s="5313">
        <f>+G7+G8</f>
        <v>1274.8499999999999</v>
      </c>
      <c r="H6" s="5314"/>
      <c r="I6" s="5313">
        <f t="shared" ref="I6:I25" si="5">+E6+G6</f>
        <v>5098.3600000000006</v>
      </c>
      <c r="J6" s="5313">
        <f t="shared" ref="J6:AF6" si="6">+J7+J8</f>
        <v>0</v>
      </c>
      <c r="K6" s="5313">
        <f>+K7+K8</f>
        <v>5738.21</v>
      </c>
      <c r="L6" s="5315"/>
      <c r="M6" s="4964">
        <f t="shared" ref="M6:M26" si="7">+E6+G6+K6</f>
        <v>10836.57</v>
      </c>
      <c r="N6" s="5313">
        <f t="shared" si="6"/>
        <v>0</v>
      </c>
      <c r="O6" s="5313">
        <f>+O7+O8</f>
        <v>3402.26</v>
      </c>
      <c r="P6" s="5316"/>
      <c r="Q6" s="4965">
        <f t="shared" ref="Q6:Q66" si="8">+M6+O6</f>
        <v>14238.83</v>
      </c>
      <c r="R6" s="5313">
        <f t="shared" si="6"/>
        <v>0</v>
      </c>
      <c r="S6" s="5313">
        <f>+S7+S8</f>
        <v>3769.97</v>
      </c>
      <c r="T6" s="5314"/>
      <c r="U6" s="4965">
        <f t="shared" ref="U6:U66" si="9">+Q6+S6</f>
        <v>18008.8</v>
      </c>
      <c r="V6" s="5313">
        <f t="shared" si="6"/>
        <v>0</v>
      </c>
      <c r="W6" s="5313">
        <f>+W7+W8</f>
        <v>3271.59</v>
      </c>
      <c r="X6" s="5315"/>
      <c r="Y6" s="4964">
        <f t="shared" ref="Y6:Y69" si="10">+O6+S6+W6</f>
        <v>10443.82</v>
      </c>
      <c r="Z6" s="5317"/>
      <c r="AA6" s="5105">
        <f t="shared" ref="AA6:AA69" si="11">M6+Y6</f>
        <v>21280.39</v>
      </c>
      <c r="AB6" s="5313">
        <f t="shared" si="6"/>
        <v>0</v>
      </c>
      <c r="AC6" s="5313">
        <f>+AC7+AC8</f>
        <v>3217.8199999999997</v>
      </c>
      <c r="AD6" s="5316"/>
      <c r="AE6" s="5062">
        <f t="shared" ref="AE6:AE14" si="12">AA6+AC6</f>
        <v>24498.21</v>
      </c>
      <c r="AF6" s="5313">
        <f t="shared" si="6"/>
        <v>0</v>
      </c>
      <c r="AG6" s="5313">
        <f>+AG7+AG8</f>
        <v>0</v>
      </c>
      <c r="AH6" s="5316"/>
      <c r="AI6" s="5062">
        <f t="shared" si="0"/>
        <v>24498.21</v>
      </c>
      <c r="AJ6" s="5313">
        <f t="shared" ref="AJ6" si="13">+AJ7+AJ8</f>
        <v>0</v>
      </c>
      <c r="AK6" s="5313">
        <f>+AK7+AK8</f>
        <v>2256.63</v>
      </c>
      <c r="AL6" s="5318"/>
      <c r="AM6" s="4964">
        <f t="shared" ref="AM6:AM69" si="14">+AC6+AG6+AK6</f>
        <v>5474.45</v>
      </c>
      <c r="AN6" s="5316"/>
      <c r="AO6" s="5062">
        <f t="shared" ref="AO6:AO72" si="15">AI6+AK6</f>
        <v>26754.84</v>
      </c>
      <c r="AP6" s="5313">
        <f t="shared" ref="AP6" si="16">+AP7+AP8</f>
        <v>0</v>
      </c>
      <c r="AQ6" s="5313">
        <f>+AQ7+AQ8</f>
        <v>4277.21</v>
      </c>
      <c r="AR6" s="5316"/>
      <c r="AS6" s="5062">
        <f t="shared" si="1"/>
        <v>31032.05</v>
      </c>
      <c r="AT6" s="5313">
        <f t="shared" ref="AT6" si="17">+AT7+AT8</f>
        <v>0</v>
      </c>
      <c r="AU6" s="5313">
        <f>+AU7+AU8</f>
        <v>3140.78</v>
      </c>
      <c r="AV6" s="5062"/>
      <c r="AW6" s="5062">
        <f t="shared" si="2"/>
        <v>34172.83</v>
      </c>
      <c r="AX6" s="5313">
        <f t="shared" ref="AX6" si="18">+AX7+AX8</f>
        <v>0</v>
      </c>
      <c r="AY6" s="5313">
        <f>+AY7+AY8</f>
        <v>1971.02</v>
      </c>
      <c r="AZ6" s="5318"/>
      <c r="BA6" s="4964">
        <f t="shared" ref="BA6:BA66" si="19">+AQ6+AU6+AY6</f>
        <v>9389.01</v>
      </c>
      <c r="BB6" s="5317"/>
      <c r="BC6" s="5105">
        <f>BA6+AM6</f>
        <v>14863.46</v>
      </c>
      <c r="BD6" s="5316"/>
      <c r="BE6" s="4406">
        <f t="shared" si="3"/>
        <v>36143.85</v>
      </c>
      <c r="BH6" s="23"/>
      <c r="BI6" s="23"/>
    </row>
    <row r="7" spans="1:61" ht="17.399999999999999" x14ac:dyDescent="0.3">
      <c r="A7" s="137"/>
      <c r="B7" s="4049" t="s">
        <v>1847</v>
      </c>
      <c r="C7" s="4932" t="s">
        <v>351</v>
      </c>
      <c r="D7" s="4967"/>
      <c r="E7" s="4967">
        <v>1862.01</v>
      </c>
      <c r="F7" s="4967"/>
      <c r="G7" s="4967">
        <v>894.55</v>
      </c>
      <c r="H7" s="4965"/>
      <c r="I7" s="5332">
        <f t="shared" si="5"/>
        <v>2756.56</v>
      </c>
      <c r="J7" s="4967"/>
      <c r="K7" s="4967">
        <v>1754.69</v>
      </c>
      <c r="L7" s="4964"/>
      <c r="M7" s="4964">
        <f t="shared" si="7"/>
        <v>4511.25</v>
      </c>
      <c r="N7" s="4967"/>
      <c r="O7" s="4967">
        <v>1441.38</v>
      </c>
      <c r="P7" s="5062"/>
      <c r="Q7" s="4965">
        <f t="shared" si="8"/>
        <v>5952.63</v>
      </c>
      <c r="R7" s="4967"/>
      <c r="S7" s="4967">
        <v>3769.97</v>
      </c>
      <c r="T7" s="4930"/>
      <c r="U7" s="4965">
        <f t="shared" si="9"/>
        <v>9722.6</v>
      </c>
      <c r="V7" s="4967"/>
      <c r="W7" s="4967">
        <v>3271.59</v>
      </c>
      <c r="X7" s="4964"/>
      <c r="Y7" s="4964">
        <f t="shared" si="10"/>
        <v>8482.94</v>
      </c>
      <c r="Z7" s="5317"/>
      <c r="AA7" s="5105">
        <f t="shared" si="11"/>
        <v>12994.19</v>
      </c>
      <c r="AB7" s="4967"/>
      <c r="AC7" s="4967">
        <v>601.74</v>
      </c>
      <c r="AD7" s="5062"/>
      <c r="AE7" s="5062">
        <f t="shared" si="12"/>
        <v>13595.93</v>
      </c>
      <c r="AF7" s="4967"/>
      <c r="AG7" s="4967"/>
      <c r="AH7" s="5062"/>
      <c r="AI7" s="5062">
        <f t="shared" si="0"/>
        <v>13595.93</v>
      </c>
      <c r="AJ7" s="4967"/>
      <c r="AK7" s="4967">
        <v>2256.63</v>
      </c>
      <c r="AL7" s="5319"/>
      <c r="AM7" s="4964">
        <f t="shared" si="14"/>
        <v>2858.37</v>
      </c>
      <c r="AN7" s="5062"/>
      <c r="AO7" s="5062">
        <f t="shared" si="15"/>
        <v>15852.560000000001</v>
      </c>
      <c r="AP7" s="4967"/>
      <c r="AQ7" s="4967">
        <v>4277.21</v>
      </c>
      <c r="AR7" s="5062"/>
      <c r="AS7" s="5062">
        <f t="shared" si="1"/>
        <v>20129.77</v>
      </c>
      <c r="AT7" s="4967"/>
      <c r="AU7" s="4967">
        <v>3140.78</v>
      </c>
      <c r="AV7" s="5062"/>
      <c r="AW7" s="5062">
        <f t="shared" si="2"/>
        <v>23270.55</v>
      </c>
      <c r="AX7" s="4967"/>
      <c r="AY7" s="4967">
        <v>1971.02</v>
      </c>
      <c r="AZ7" s="5319"/>
      <c r="BA7" s="4964">
        <f t="shared" si="19"/>
        <v>9389.01</v>
      </c>
      <c r="BB7" s="5317"/>
      <c r="BC7" s="5105">
        <f t="shared" ref="BC7:BC70" si="20">BA7+AM7</f>
        <v>12247.380000000001</v>
      </c>
      <c r="BD7" s="5062"/>
      <c r="BE7" s="4406">
        <f t="shared" si="3"/>
        <v>25241.57</v>
      </c>
      <c r="BH7" s="23"/>
      <c r="BI7" s="23"/>
    </row>
    <row r="8" spans="1:61" ht="17.399999999999999" x14ac:dyDescent="0.3">
      <c r="A8" s="137"/>
      <c r="B8" s="4049" t="s">
        <v>1560</v>
      </c>
      <c r="C8" s="4932" t="s">
        <v>351</v>
      </c>
      <c r="D8" s="4967">
        <f t="shared" ref="D8:F8" si="21">+D9+D10</f>
        <v>0</v>
      </c>
      <c r="E8" s="4967">
        <f>+E9+E10</f>
        <v>1961.5</v>
      </c>
      <c r="F8" s="4967">
        <f t="shared" si="21"/>
        <v>0</v>
      </c>
      <c r="G8" s="4967">
        <f>+G9+G10</f>
        <v>380.3</v>
      </c>
      <c r="H8" s="4965"/>
      <c r="I8" s="5332">
        <f t="shared" si="5"/>
        <v>2341.8000000000002</v>
      </c>
      <c r="J8" s="4967">
        <f t="shared" ref="J8:AF8" si="22">+J9+J10</f>
        <v>0</v>
      </c>
      <c r="K8" s="4967">
        <f>+K9+K10</f>
        <v>3983.52</v>
      </c>
      <c r="L8" s="4964"/>
      <c r="M8" s="4964">
        <f t="shared" si="7"/>
        <v>6325.32</v>
      </c>
      <c r="N8" s="4967">
        <f t="shared" si="22"/>
        <v>0</v>
      </c>
      <c r="O8" s="4967">
        <f>+O9+O10</f>
        <v>1960.88</v>
      </c>
      <c r="P8" s="5062"/>
      <c r="Q8" s="4965">
        <f t="shared" si="8"/>
        <v>8286.2000000000007</v>
      </c>
      <c r="R8" s="4967">
        <f t="shared" si="22"/>
        <v>0</v>
      </c>
      <c r="S8" s="4967">
        <f>+S9+S10</f>
        <v>0</v>
      </c>
      <c r="T8" s="4930"/>
      <c r="U8" s="4965">
        <f t="shared" si="9"/>
        <v>8286.2000000000007</v>
      </c>
      <c r="V8" s="4967">
        <f t="shared" si="22"/>
        <v>0</v>
      </c>
      <c r="W8" s="4967">
        <f>+W9+W10</f>
        <v>0</v>
      </c>
      <c r="X8" s="4964"/>
      <c r="Y8" s="4964">
        <f t="shared" si="10"/>
        <v>1960.88</v>
      </c>
      <c r="Z8" s="5317"/>
      <c r="AA8" s="5105">
        <f t="shared" si="11"/>
        <v>8286.2000000000007</v>
      </c>
      <c r="AB8" s="4967">
        <f t="shared" si="22"/>
        <v>0</v>
      </c>
      <c r="AC8" s="4967">
        <f>+AC9+AC10</f>
        <v>2616.08</v>
      </c>
      <c r="AD8" s="5062"/>
      <c r="AE8" s="5062">
        <f t="shared" si="12"/>
        <v>10902.28</v>
      </c>
      <c r="AF8" s="4967">
        <f t="shared" si="22"/>
        <v>0</v>
      </c>
      <c r="AG8" s="4967">
        <f>+AG9+AG10</f>
        <v>0</v>
      </c>
      <c r="AH8" s="5062"/>
      <c r="AI8" s="5062">
        <f t="shared" si="0"/>
        <v>10902.28</v>
      </c>
      <c r="AJ8" s="4967">
        <f t="shared" ref="AJ8" si="23">+AJ9+AJ10</f>
        <v>0</v>
      </c>
      <c r="AK8" s="4967">
        <f>+AK9+AK10</f>
        <v>0</v>
      </c>
      <c r="AL8" s="5319"/>
      <c r="AM8" s="4964">
        <f t="shared" si="14"/>
        <v>2616.08</v>
      </c>
      <c r="AN8" s="5062"/>
      <c r="AO8" s="5062">
        <f t="shared" si="15"/>
        <v>10902.28</v>
      </c>
      <c r="AP8" s="4967">
        <f t="shared" ref="AP8" si="24">+AP9+AP10</f>
        <v>0</v>
      </c>
      <c r="AQ8" s="4967">
        <f>+AQ9+AQ10</f>
        <v>0</v>
      </c>
      <c r="AR8" s="5062"/>
      <c r="AS8" s="5062">
        <f t="shared" si="1"/>
        <v>10902.28</v>
      </c>
      <c r="AT8" s="4967">
        <f t="shared" ref="AT8" si="25">+AT9+AT10</f>
        <v>0</v>
      </c>
      <c r="AU8" s="4967">
        <f>+AU9+AU10</f>
        <v>0</v>
      </c>
      <c r="AV8" s="5062"/>
      <c r="AW8" s="5062">
        <f t="shared" si="2"/>
        <v>10902.28</v>
      </c>
      <c r="AX8" s="4967">
        <f t="shared" ref="AX8" si="26">+AX9+AX10</f>
        <v>0</v>
      </c>
      <c r="AY8" s="4967">
        <f>+AY9+AY10</f>
        <v>0</v>
      </c>
      <c r="AZ8" s="5319"/>
      <c r="BA8" s="4964">
        <f t="shared" si="19"/>
        <v>0</v>
      </c>
      <c r="BB8" s="5317"/>
      <c r="BC8" s="5105">
        <f t="shared" si="20"/>
        <v>2616.08</v>
      </c>
      <c r="BD8" s="5062"/>
      <c r="BE8" s="4406">
        <f t="shared" si="3"/>
        <v>10902.28</v>
      </c>
      <c r="BH8" s="23"/>
      <c r="BI8" s="23"/>
    </row>
    <row r="9" spans="1:61" ht="18" hidden="1" x14ac:dyDescent="0.3">
      <c r="A9" s="137"/>
      <c r="B9" s="5333" t="s">
        <v>1532</v>
      </c>
      <c r="C9" s="4932" t="s">
        <v>351</v>
      </c>
      <c r="D9" s="5059"/>
      <c r="E9" s="5059"/>
      <c r="F9" s="5059"/>
      <c r="G9" s="5059"/>
      <c r="H9" s="4965"/>
      <c r="I9" s="5185">
        <f t="shared" si="5"/>
        <v>0</v>
      </c>
      <c r="J9" s="5059"/>
      <c r="K9" s="5059"/>
      <c r="L9" s="4964"/>
      <c r="M9" s="4964">
        <f t="shared" si="7"/>
        <v>0</v>
      </c>
      <c r="N9" s="5059"/>
      <c r="O9" s="5059"/>
      <c r="P9" s="5062"/>
      <c r="Q9" s="4965">
        <f t="shared" si="8"/>
        <v>0</v>
      </c>
      <c r="R9" s="5059"/>
      <c r="S9" s="5059"/>
      <c r="T9" s="4930"/>
      <c r="U9" s="4965">
        <f t="shared" si="9"/>
        <v>0</v>
      </c>
      <c r="V9" s="5059"/>
      <c r="W9" s="5059"/>
      <c r="X9" s="4964"/>
      <c r="Y9" s="4964">
        <f t="shared" si="10"/>
        <v>0</v>
      </c>
      <c r="Z9" s="5317"/>
      <c r="AA9" s="5105">
        <f t="shared" si="11"/>
        <v>0</v>
      </c>
      <c r="AB9" s="5059"/>
      <c r="AC9" s="5059"/>
      <c r="AD9" s="5062"/>
      <c r="AE9" s="5062">
        <f t="shared" si="12"/>
        <v>0</v>
      </c>
      <c r="AF9" s="5059"/>
      <c r="AG9" s="5059"/>
      <c r="AH9" s="5062"/>
      <c r="AI9" s="5062">
        <f t="shared" si="0"/>
        <v>0</v>
      </c>
      <c r="AJ9" s="5059"/>
      <c r="AK9" s="5059"/>
      <c r="AL9" s="5319"/>
      <c r="AM9" s="4964">
        <f t="shared" si="14"/>
        <v>0</v>
      </c>
      <c r="AN9" s="5062"/>
      <c r="AO9" s="5062">
        <f t="shared" si="15"/>
        <v>0</v>
      </c>
      <c r="AP9" s="5059"/>
      <c r="AQ9" s="5059"/>
      <c r="AR9" s="5062"/>
      <c r="AS9" s="5062">
        <f t="shared" si="1"/>
        <v>0</v>
      </c>
      <c r="AT9" s="5059"/>
      <c r="AU9" s="5059"/>
      <c r="AV9" s="5062"/>
      <c r="AW9" s="5062">
        <f t="shared" si="2"/>
        <v>0</v>
      </c>
      <c r="AX9" s="5059"/>
      <c r="AY9" s="5059"/>
      <c r="AZ9" s="5319"/>
      <c r="BA9" s="4964">
        <f t="shared" si="19"/>
        <v>0</v>
      </c>
      <c r="BB9" s="5317"/>
      <c r="BC9" s="5105">
        <f t="shared" si="20"/>
        <v>0</v>
      </c>
      <c r="BD9" s="5062"/>
      <c r="BE9" s="4406">
        <f t="shared" si="3"/>
        <v>0</v>
      </c>
      <c r="BH9" s="23"/>
      <c r="BI9" s="23"/>
    </row>
    <row r="10" spans="1:61" ht="18" x14ac:dyDescent="0.3">
      <c r="A10" s="137"/>
      <c r="B10" s="5333" t="s">
        <v>1533</v>
      </c>
      <c r="C10" s="4932" t="s">
        <v>351</v>
      </c>
      <c r="D10" s="5059"/>
      <c r="E10" s="5059">
        <v>1961.5</v>
      </c>
      <c r="F10" s="5059"/>
      <c r="G10" s="5059">
        <v>380.3</v>
      </c>
      <c r="H10" s="4965"/>
      <c r="I10" s="5185">
        <f t="shared" si="5"/>
        <v>2341.8000000000002</v>
      </c>
      <c r="J10" s="5059"/>
      <c r="K10" s="5059">
        <v>3983.52</v>
      </c>
      <c r="L10" s="4964"/>
      <c r="M10" s="4964">
        <f t="shared" si="7"/>
        <v>6325.32</v>
      </c>
      <c r="N10" s="5059"/>
      <c r="O10" s="5059">
        <v>1960.88</v>
      </c>
      <c r="P10" s="5062"/>
      <c r="Q10" s="4965">
        <f t="shared" si="8"/>
        <v>8286.2000000000007</v>
      </c>
      <c r="R10" s="5059"/>
      <c r="S10" s="5059"/>
      <c r="T10" s="4930"/>
      <c r="U10" s="4965">
        <f t="shared" si="9"/>
        <v>8286.2000000000007</v>
      </c>
      <c r="V10" s="5059"/>
      <c r="W10" s="5059"/>
      <c r="X10" s="4964"/>
      <c r="Y10" s="4964">
        <f t="shared" si="10"/>
        <v>1960.88</v>
      </c>
      <c r="Z10" s="5317"/>
      <c r="AA10" s="5105">
        <f t="shared" si="11"/>
        <v>8286.2000000000007</v>
      </c>
      <c r="AB10" s="5059"/>
      <c r="AC10" s="5059">
        <v>2616.08</v>
      </c>
      <c r="AD10" s="5062"/>
      <c r="AE10" s="5062">
        <f t="shared" si="12"/>
        <v>10902.28</v>
      </c>
      <c r="AF10" s="5059"/>
      <c r="AG10" s="5059"/>
      <c r="AH10" s="5062"/>
      <c r="AI10" s="5062">
        <f t="shared" si="0"/>
        <v>10902.28</v>
      </c>
      <c r="AJ10" s="5059"/>
      <c r="AK10" s="5059"/>
      <c r="AL10" s="5319"/>
      <c r="AM10" s="4964">
        <f t="shared" si="14"/>
        <v>2616.08</v>
      </c>
      <c r="AN10" s="5062"/>
      <c r="AO10" s="5062">
        <f t="shared" si="15"/>
        <v>10902.28</v>
      </c>
      <c r="AP10" s="5059"/>
      <c r="AQ10" s="5059"/>
      <c r="AR10" s="5062"/>
      <c r="AS10" s="5062">
        <f t="shared" si="1"/>
        <v>10902.28</v>
      </c>
      <c r="AT10" s="5059"/>
      <c r="AU10" s="5059"/>
      <c r="AV10" s="5062"/>
      <c r="AW10" s="5062">
        <f t="shared" si="2"/>
        <v>10902.28</v>
      </c>
      <c r="AX10" s="5059"/>
      <c r="AY10" s="5059"/>
      <c r="AZ10" s="5319"/>
      <c r="BA10" s="4964">
        <f t="shared" si="19"/>
        <v>0</v>
      </c>
      <c r="BB10" s="5317"/>
      <c r="BC10" s="5105">
        <f t="shared" si="20"/>
        <v>2616.08</v>
      </c>
      <c r="BD10" s="5062"/>
      <c r="BE10" s="4406">
        <f t="shared" si="3"/>
        <v>10902.28</v>
      </c>
      <c r="BH10" s="23"/>
      <c r="BI10" s="23"/>
    </row>
    <row r="11" spans="1:61" ht="15" thickBot="1" x14ac:dyDescent="0.35">
      <c r="B11" s="2515"/>
      <c r="M11"/>
      <c r="O11"/>
      <c r="Q11">
        <f t="shared" si="8"/>
        <v>0</v>
      </c>
      <c r="U11">
        <f t="shared" si="9"/>
        <v>0</v>
      </c>
      <c r="Y11"/>
      <c r="AW11"/>
      <c r="BE11" s="1597"/>
    </row>
    <row r="12" spans="1:61" ht="24" thickBot="1" x14ac:dyDescent="0.35">
      <c r="A12" s="137"/>
      <c r="B12" s="5345" t="s">
        <v>2171</v>
      </c>
      <c r="C12" s="724"/>
      <c r="D12" s="5346"/>
      <c r="E12" s="5346">
        <v>516.76</v>
      </c>
      <c r="F12" s="5346"/>
      <c r="G12" s="5346">
        <v>0</v>
      </c>
      <c r="H12" s="5347"/>
      <c r="I12" s="5346">
        <f t="shared" si="5"/>
        <v>516.76</v>
      </c>
      <c r="J12" s="5346"/>
      <c r="K12" s="5346"/>
      <c r="L12" s="5348"/>
      <c r="M12" s="1081"/>
      <c r="N12" s="5346"/>
      <c r="O12" s="5346"/>
      <c r="P12" s="5349"/>
      <c r="Q12" s="2931"/>
      <c r="R12" s="5346"/>
      <c r="S12" s="5346"/>
      <c r="T12" s="5347"/>
      <c r="U12" s="2931"/>
      <c r="V12" s="5346"/>
      <c r="W12" s="5346"/>
      <c r="X12" s="5348"/>
      <c r="Y12" s="1081"/>
      <c r="Z12" s="5350"/>
      <c r="AA12" s="1082"/>
      <c r="AB12" s="5346"/>
      <c r="AC12" s="5346"/>
      <c r="AD12" s="5349"/>
      <c r="AE12" s="5351"/>
      <c r="AF12" s="5346"/>
      <c r="AG12" s="5346"/>
      <c r="AH12" s="5349"/>
      <c r="AI12" s="5351"/>
      <c r="AJ12" s="5346"/>
      <c r="AK12" s="5346"/>
      <c r="AL12" s="5352"/>
      <c r="AM12" s="1081"/>
      <c r="AN12" s="5349"/>
      <c r="AO12" s="5351"/>
      <c r="AP12" s="5346"/>
      <c r="AQ12" s="5346"/>
      <c r="AR12" s="5349"/>
      <c r="AS12" s="5351"/>
      <c r="AT12" s="5346"/>
      <c r="AU12" s="5346"/>
      <c r="AV12" s="5351"/>
      <c r="AW12" s="5351"/>
      <c r="AX12" s="5346"/>
      <c r="AY12" s="5346">
        <v>186.41</v>
      </c>
      <c r="AZ12" s="5352"/>
      <c r="BA12" s="1081">
        <f t="shared" ref="BA12" si="27">+AQ12+AU12+AY12</f>
        <v>186.41</v>
      </c>
      <c r="BB12" s="5350"/>
      <c r="BC12" s="1082">
        <f t="shared" ref="BC12" si="28">BA12+AM12</f>
        <v>186.41</v>
      </c>
      <c r="BD12" s="5353"/>
      <c r="BE12" s="5343">
        <f t="shared" ref="BE12" si="29">+AW12+AY12</f>
        <v>186.41</v>
      </c>
      <c r="BH12" s="23"/>
      <c r="BI12" s="23"/>
    </row>
    <row r="13" spans="1:61" s="137" customFormat="1" ht="10.5" customHeight="1" thickBot="1" x14ac:dyDescent="0.35">
      <c r="B13" s="5354"/>
      <c r="C13" s="5355"/>
      <c r="D13" s="2717"/>
      <c r="E13" s="2717"/>
      <c r="F13" s="2717"/>
      <c r="G13" s="2717"/>
      <c r="H13" s="2091"/>
      <c r="I13" s="5356"/>
      <c r="J13" s="2717"/>
      <c r="K13" s="2717"/>
      <c r="L13" s="5357"/>
      <c r="M13" s="5357"/>
      <c r="N13" s="2717"/>
      <c r="O13" s="2717"/>
      <c r="P13" s="2717"/>
      <c r="Q13" s="2091"/>
      <c r="R13" s="2717"/>
      <c r="S13" s="2717"/>
      <c r="T13" s="2091"/>
      <c r="U13" s="2091"/>
      <c r="V13" s="2717"/>
      <c r="W13" s="2717"/>
      <c r="X13" s="5357"/>
      <c r="Y13" s="5357"/>
      <c r="Z13" s="5358"/>
      <c r="AA13" s="5357"/>
      <c r="AB13" s="2717"/>
      <c r="AC13" s="2717"/>
      <c r="AD13" s="2717"/>
      <c r="AE13" s="2717"/>
      <c r="AF13" s="2717"/>
      <c r="AG13" s="2717"/>
      <c r="AH13" s="2717"/>
      <c r="AI13" s="2717"/>
      <c r="AJ13" s="2717"/>
      <c r="AK13" s="2717"/>
      <c r="AL13" s="5344"/>
      <c r="AM13" s="5357"/>
      <c r="AN13" s="2717"/>
      <c r="AO13" s="2717"/>
      <c r="AP13" s="2717"/>
      <c r="AQ13" s="2717"/>
      <c r="AR13" s="2717"/>
      <c r="AS13" s="2717"/>
      <c r="AT13" s="2717"/>
      <c r="AU13" s="2717"/>
      <c r="AV13" s="2717"/>
      <c r="AW13" s="2717"/>
      <c r="AX13" s="2717"/>
      <c r="AY13" s="2717"/>
      <c r="AZ13" s="5344"/>
      <c r="BA13" s="5357"/>
      <c r="BB13" s="5358"/>
      <c r="BC13" s="5357"/>
      <c r="BD13" s="2717"/>
      <c r="BE13" s="5359"/>
      <c r="BH13" s="507"/>
      <c r="BI13" s="507"/>
    </row>
    <row r="14" spans="1:61" ht="23.4" x14ac:dyDescent="0.3">
      <c r="A14" s="137"/>
      <c r="B14" s="5360" t="s">
        <v>1282</v>
      </c>
      <c r="C14" s="191"/>
      <c r="D14" s="5361"/>
      <c r="E14" s="5361">
        <f>E15+E16</f>
        <v>0</v>
      </c>
      <c r="F14" s="5361">
        <f t="shared" ref="F14:G14" si="30">F15+F16</f>
        <v>0</v>
      </c>
      <c r="G14" s="5361">
        <f t="shared" si="30"/>
        <v>0</v>
      </c>
      <c r="H14" s="5362"/>
      <c r="I14" s="5361">
        <f t="shared" si="5"/>
        <v>0</v>
      </c>
      <c r="J14" s="5361"/>
      <c r="K14" s="5361"/>
      <c r="L14" s="2231"/>
      <c r="M14" s="5327">
        <f t="shared" si="7"/>
        <v>0</v>
      </c>
      <c r="N14" s="5361"/>
      <c r="O14" s="5361"/>
      <c r="P14" s="5363"/>
      <c r="Q14" s="5325">
        <f t="shared" si="8"/>
        <v>0</v>
      </c>
      <c r="R14" s="5361"/>
      <c r="S14" s="5361">
        <v>239.04</v>
      </c>
      <c r="T14" s="5362"/>
      <c r="U14" s="5325">
        <f t="shared" si="9"/>
        <v>239.04</v>
      </c>
      <c r="V14" s="5361"/>
      <c r="W14" s="5361">
        <v>497.22999999999996</v>
      </c>
      <c r="X14" s="2231"/>
      <c r="Y14" s="5327">
        <f t="shared" si="10"/>
        <v>736.27</v>
      </c>
      <c r="Z14" s="983"/>
      <c r="AA14" s="5330">
        <f t="shared" si="11"/>
        <v>736.27</v>
      </c>
      <c r="AB14" s="5361"/>
      <c r="AC14" s="5361"/>
      <c r="AD14" s="5363"/>
      <c r="AE14" s="5329">
        <f t="shared" si="12"/>
        <v>736.27</v>
      </c>
      <c r="AF14" s="5361"/>
      <c r="AG14" s="5361"/>
      <c r="AH14" s="5363"/>
      <c r="AI14" s="5329">
        <f t="shared" si="0"/>
        <v>736.27</v>
      </c>
      <c r="AJ14" s="5361"/>
      <c r="AK14" s="5361"/>
      <c r="AL14" s="5364"/>
      <c r="AM14" s="5327">
        <f t="shared" si="14"/>
        <v>0</v>
      </c>
      <c r="AN14" s="5363"/>
      <c r="AO14" s="5329">
        <f t="shared" si="15"/>
        <v>736.27</v>
      </c>
      <c r="AP14" s="5361"/>
      <c r="AQ14" s="5361">
        <v>337.56</v>
      </c>
      <c r="AR14" s="5363"/>
      <c r="AS14" s="5329">
        <f t="shared" si="1"/>
        <v>1073.83</v>
      </c>
      <c r="AT14" s="5361"/>
      <c r="AU14" s="5361">
        <v>289.99</v>
      </c>
      <c r="AV14" s="5363"/>
      <c r="AW14" s="5329">
        <f t="shared" si="2"/>
        <v>1363.82</v>
      </c>
      <c r="AX14" s="5361"/>
      <c r="AY14" s="5361">
        <v>38.71</v>
      </c>
      <c r="AZ14" s="5364"/>
      <c r="BA14" s="5327">
        <f t="shared" si="19"/>
        <v>666.26</v>
      </c>
      <c r="BB14" s="983"/>
      <c r="BC14" s="5330">
        <f t="shared" si="20"/>
        <v>666.26</v>
      </c>
      <c r="BD14" s="5363"/>
      <c r="BE14" s="2814">
        <f t="shared" si="3"/>
        <v>1402.53</v>
      </c>
      <c r="BF14" s="23"/>
      <c r="BH14" s="23"/>
      <c r="BI14" s="23"/>
    </row>
    <row r="15" spans="1:61" ht="23.4" x14ac:dyDescent="0.3">
      <c r="A15" s="137"/>
      <c r="B15" s="5312" t="s">
        <v>1847</v>
      </c>
      <c r="C15" s="5076"/>
      <c r="D15" s="5313"/>
      <c r="E15" s="5313"/>
      <c r="F15" s="5313"/>
      <c r="G15" s="5313">
        <v>0</v>
      </c>
      <c r="H15" s="5314"/>
      <c r="I15" s="5313">
        <f t="shared" si="5"/>
        <v>0</v>
      </c>
      <c r="J15" s="5313"/>
      <c r="K15" s="5313"/>
      <c r="L15" s="5315"/>
      <c r="M15" s="4964"/>
      <c r="N15" s="5313"/>
      <c r="O15" s="5313"/>
      <c r="P15" s="5316"/>
      <c r="Q15" s="4965"/>
      <c r="R15" s="5313"/>
      <c r="S15" s="5313"/>
      <c r="T15" s="5314"/>
      <c r="U15" s="4965"/>
      <c r="V15" s="5313"/>
      <c r="W15" s="5313"/>
      <c r="X15" s="5315"/>
      <c r="Y15" s="4964"/>
      <c r="Z15" s="5317"/>
      <c r="AA15" s="5105"/>
      <c r="AB15" s="5313"/>
      <c r="AC15" s="5313"/>
      <c r="AD15" s="5316"/>
      <c r="AE15" s="5062"/>
      <c r="AF15" s="5313"/>
      <c r="AG15" s="5313"/>
      <c r="AH15" s="5316"/>
      <c r="AI15" s="5062"/>
      <c r="AJ15" s="5313"/>
      <c r="AK15" s="5313"/>
      <c r="AL15" s="5318"/>
      <c r="AM15" s="4964"/>
      <c r="AN15" s="5316"/>
      <c r="AO15" s="5062"/>
      <c r="AP15" s="5313"/>
      <c r="AQ15" s="5313"/>
      <c r="AR15" s="5316"/>
      <c r="AS15" s="5062"/>
      <c r="AT15" s="5313"/>
      <c r="AU15" s="5313"/>
      <c r="AV15" s="5316"/>
      <c r="AW15" s="5062"/>
      <c r="AX15" s="5313"/>
      <c r="AY15" s="5313"/>
      <c r="AZ15" s="5318"/>
      <c r="BA15" s="4964"/>
      <c r="BB15" s="5317"/>
      <c r="BC15" s="5105"/>
      <c r="BD15" s="5316"/>
      <c r="BE15" s="4406"/>
      <c r="BF15" s="23"/>
      <c r="BH15" s="23"/>
      <c r="BI15" s="23"/>
    </row>
    <row r="16" spans="1:61" ht="23.4" x14ac:dyDescent="0.3">
      <c r="A16" s="137"/>
      <c r="B16" s="5312" t="s">
        <v>1560</v>
      </c>
      <c r="C16" s="5076"/>
      <c r="D16" s="5313"/>
      <c r="E16" s="5313">
        <f>E17+E18</f>
        <v>0</v>
      </c>
      <c r="F16" s="5313"/>
      <c r="G16" s="5313">
        <f>G17+G18</f>
        <v>0</v>
      </c>
      <c r="H16" s="5314"/>
      <c r="I16" s="5313">
        <f t="shared" si="5"/>
        <v>0</v>
      </c>
      <c r="J16" s="5313"/>
      <c r="K16" s="5313"/>
      <c r="L16" s="5315"/>
      <c r="M16" s="4964"/>
      <c r="N16" s="5313"/>
      <c r="O16" s="5313"/>
      <c r="P16" s="5316"/>
      <c r="Q16" s="4965"/>
      <c r="R16" s="5313"/>
      <c r="S16" s="5313"/>
      <c r="T16" s="5314"/>
      <c r="U16" s="4965"/>
      <c r="V16" s="5313"/>
      <c r="W16" s="5313"/>
      <c r="X16" s="5315"/>
      <c r="Y16" s="4964"/>
      <c r="Z16" s="5317"/>
      <c r="AA16" s="5105"/>
      <c r="AB16" s="5313"/>
      <c r="AC16" s="5313"/>
      <c r="AD16" s="5316"/>
      <c r="AE16" s="5062"/>
      <c r="AF16" s="5313"/>
      <c r="AG16" s="5313"/>
      <c r="AH16" s="5316"/>
      <c r="AI16" s="5062"/>
      <c r="AJ16" s="5313"/>
      <c r="AK16" s="5313"/>
      <c r="AL16" s="5318"/>
      <c r="AM16" s="4964"/>
      <c r="AN16" s="5316"/>
      <c r="AO16" s="5062"/>
      <c r="AP16" s="5313"/>
      <c r="AQ16" s="5313"/>
      <c r="AR16" s="5316"/>
      <c r="AS16" s="5062"/>
      <c r="AT16" s="5313"/>
      <c r="AU16" s="5313"/>
      <c r="AV16" s="5316"/>
      <c r="AW16" s="5062"/>
      <c r="AX16" s="5313"/>
      <c r="AY16" s="5313"/>
      <c r="AZ16" s="5318"/>
      <c r="BA16" s="4964"/>
      <c r="BB16" s="5317"/>
      <c r="BC16" s="5105"/>
      <c r="BD16" s="5316"/>
      <c r="BE16" s="4406"/>
      <c r="BF16" s="23"/>
      <c r="BH16" s="23"/>
      <c r="BI16" s="23"/>
    </row>
    <row r="17" spans="1:61" ht="18" x14ac:dyDescent="0.3">
      <c r="A17" s="137"/>
      <c r="B17" s="5333" t="s">
        <v>2268</v>
      </c>
      <c r="C17" s="5076"/>
      <c r="D17" s="4928"/>
      <c r="E17" s="4928"/>
      <c r="F17" s="4928"/>
      <c r="G17" s="4928"/>
      <c r="H17" s="4965"/>
      <c r="I17" s="4965">
        <f t="shared" si="5"/>
        <v>0</v>
      </c>
      <c r="J17" s="4928"/>
      <c r="K17" s="4928"/>
      <c r="L17" s="4964"/>
      <c r="M17" s="4964"/>
      <c r="N17" s="4928"/>
      <c r="O17" s="4928"/>
      <c r="P17" s="5062"/>
      <c r="Q17" s="4965">
        <f t="shared" si="8"/>
        <v>0</v>
      </c>
      <c r="R17" s="4928"/>
      <c r="S17" s="4928"/>
      <c r="T17" s="4930"/>
      <c r="U17" s="4965">
        <f t="shared" si="9"/>
        <v>0</v>
      </c>
      <c r="V17" s="4928"/>
      <c r="W17" s="4928"/>
      <c r="X17" s="4964"/>
      <c r="Y17" s="4964"/>
      <c r="Z17" s="5317"/>
      <c r="AA17" s="5105"/>
      <c r="AB17" s="4928"/>
      <c r="AC17" s="4928"/>
      <c r="AD17" s="5062"/>
      <c r="AE17" s="5062"/>
      <c r="AF17" s="4928"/>
      <c r="AG17" s="4928"/>
      <c r="AH17" s="5062"/>
      <c r="AI17" s="5062"/>
      <c r="AJ17" s="4928"/>
      <c r="AK17" s="4928"/>
      <c r="AL17" s="5319"/>
      <c r="AM17" s="4964"/>
      <c r="AN17" s="5062"/>
      <c r="AO17" s="5062"/>
      <c r="AP17" s="4928"/>
      <c r="AQ17" s="4928"/>
      <c r="AR17" s="5062"/>
      <c r="AS17" s="5062"/>
      <c r="AT17" s="4928"/>
      <c r="AU17" s="4928"/>
      <c r="AV17" s="5062"/>
      <c r="AW17" s="5062"/>
      <c r="AX17" s="4928"/>
      <c r="AY17" s="4928"/>
      <c r="AZ17" s="5319"/>
      <c r="BA17" s="4964"/>
      <c r="BB17" s="5317"/>
      <c r="BC17" s="5105"/>
      <c r="BD17" s="5062"/>
      <c r="BE17" s="4406"/>
      <c r="BH17" s="23"/>
      <c r="BI17" s="23"/>
    </row>
    <row r="18" spans="1:61" ht="18.600000000000001" thickBot="1" x14ac:dyDescent="0.35">
      <c r="A18" s="137"/>
      <c r="B18" s="5336" t="s">
        <v>1533</v>
      </c>
      <c r="C18" s="5365"/>
      <c r="D18" s="4074"/>
      <c r="E18" s="4074"/>
      <c r="F18" s="4074"/>
      <c r="G18" s="4074"/>
      <c r="H18" s="5338"/>
      <c r="I18" s="5338">
        <f t="shared" si="5"/>
        <v>0</v>
      </c>
      <c r="J18" s="4074"/>
      <c r="K18" s="4074"/>
      <c r="L18" s="4075"/>
      <c r="M18" s="4075"/>
      <c r="N18" s="4074"/>
      <c r="O18" s="4074"/>
      <c r="P18" s="5339"/>
      <c r="Q18" s="5338"/>
      <c r="R18" s="4074"/>
      <c r="S18" s="4074"/>
      <c r="T18" s="4133"/>
      <c r="U18" s="5338"/>
      <c r="V18" s="4074"/>
      <c r="W18" s="4074"/>
      <c r="X18" s="4075"/>
      <c r="Y18" s="4075"/>
      <c r="Z18" s="4259"/>
      <c r="AA18" s="5340"/>
      <c r="AB18" s="4074"/>
      <c r="AC18" s="4074"/>
      <c r="AD18" s="5339"/>
      <c r="AE18" s="5339"/>
      <c r="AF18" s="4074"/>
      <c r="AG18" s="4074"/>
      <c r="AH18" s="5339"/>
      <c r="AI18" s="5339"/>
      <c r="AJ18" s="4074"/>
      <c r="AK18" s="4074"/>
      <c r="AL18" s="5341"/>
      <c r="AM18" s="4075"/>
      <c r="AN18" s="5339"/>
      <c r="AO18" s="5339"/>
      <c r="AP18" s="4074"/>
      <c r="AQ18" s="4074"/>
      <c r="AR18" s="5339"/>
      <c r="AS18" s="5339"/>
      <c r="AT18" s="4074"/>
      <c r="AU18" s="4074"/>
      <c r="AV18" s="5339"/>
      <c r="AW18" s="5339"/>
      <c r="AX18" s="4074"/>
      <c r="AY18" s="4074"/>
      <c r="AZ18" s="5341"/>
      <c r="BA18" s="4075"/>
      <c r="BB18" s="4259"/>
      <c r="BC18" s="5340"/>
      <c r="BD18" s="5339"/>
      <c r="BE18" s="5342"/>
      <c r="BH18" s="23"/>
      <c r="BI18" s="23"/>
    </row>
    <row r="19" spans="1:61" ht="15" thickBot="1" x14ac:dyDescent="0.35">
      <c r="B19" s="2515"/>
      <c r="M19"/>
      <c r="O19"/>
      <c r="Y19"/>
      <c r="AW19"/>
      <c r="BE19" s="1597"/>
    </row>
    <row r="20" spans="1:61" ht="23.4" x14ac:dyDescent="0.3">
      <c r="A20" s="137"/>
      <c r="B20" s="5360" t="s">
        <v>1561</v>
      </c>
      <c r="C20" s="750" t="s">
        <v>351</v>
      </c>
      <c r="D20" s="5361"/>
      <c r="E20" s="5361">
        <f>+E21+E23+E24</f>
        <v>1625.08</v>
      </c>
      <c r="F20" s="5361"/>
      <c r="G20" s="5361">
        <f>+G21+G23+G24</f>
        <v>888.68</v>
      </c>
      <c r="H20" s="5362"/>
      <c r="I20" s="5361">
        <f t="shared" si="5"/>
        <v>2513.7599999999998</v>
      </c>
      <c r="J20" s="5361"/>
      <c r="K20" s="5361">
        <f>+K21+K23+K24</f>
        <v>1065.5999999999999</v>
      </c>
      <c r="L20" s="2231"/>
      <c r="M20" s="5327">
        <f t="shared" si="7"/>
        <v>3579.3599999999997</v>
      </c>
      <c r="N20" s="5361"/>
      <c r="O20" s="5361">
        <f>+O21+O23+O24</f>
        <v>463.1</v>
      </c>
      <c r="P20" s="5363"/>
      <c r="Q20" s="5325">
        <f t="shared" si="8"/>
        <v>4042.4599999999996</v>
      </c>
      <c r="R20" s="5361"/>
      <c r="S20" s="5361">
        <f>+S21+S23+S24</f>
        <v>2248.92</v>
      </c>
      <c r="T20" s="5362"/>
      <c r="U20" s="5325">
        <f t="shared" si="9"/>
        <v>6291.3799999999992</v>
      </c>
      <c r="V20" s="5361"/>
      <c r="W20" s="5361">
        <f>+W21+W23+W24</f>
        <v>1413.7700000000002</v>
      </c>
      <c r="X20" s="2231"/>
      <c r="Y20" s="5327">
        <f t="shared" si="10"/>
        <v>4125.79</v>
      </c>
      <c r="Z20" s="983"/>
      <c r="AA20" s="5330">
        <f t="shared" si="11"/>
        <v>7705.15</v>
      </c>
      <c r="AB20" s="5361"/>
      <c r="AC20" s="5361">
        <f>+AC21+AC23+AC24</f>
        <v>2004.1</v>
      </c>
      <c r="AD20" s="5363"/>
      <c r="AE20" s="5329">
        <f t="shared" ref="AE20:AE23" si="31">AA20+AC20</f>
        <v>9709.25</v>
      </c>
      <c r="AF20" s="5361"/>
      <c r="AG20" s="5361">
        <f>+AG21+AG23+AG24</f>
        <v>0</v>
      </c>
      <c r="AH20" s="5363"/>
      <c r="AI20" s="5329">
        <f t="shared" si="0"/>
        <v>9709.25</v>
      </c>
      <c r="AJ20" s="5361"/>
      <c r="AK20" s="5361">
        <f>+AK21+AK23+AK24</f>
        <v>703.34</v>
      </c>
      <c r="AL20" s="5363"/>
      <c r="AM20" s="5327">
        <f t="shared" si="14"/>
        <v>2707.44</v>
      </c>
      <c r="AN20" s="5363"/>
      <c r="AO20" s="5329">
        <f t="shared" si="15"/>
        <v>10412.59</v>
      </c>
      <c r="AP20" s="5361"/>
      <c r="AQ20" s="5361">
        <f>+AQ21+AQ23+AQ24</f>
        <v>1589.84</v>
      </c>
      <c r="AR20" s="5363"/>
      <c r="AS20" s="5329">
        <f t="shared" si="1"/>
        <v>12002.43</v>
      </c>
      <c r="AT20" s="5361"/>
      <c r="AU20" s="5361">
        <f>+AU21+AU23+AU24</f>
        <v>481.34000000000003</v>
      </c>
      <c r="AV20" s="5363"/>
      <c r="AW20" s="5329">
        <f t="shared" si="2"/>
        <v>12483.77</v>
      </c>
      <c r="AX20" s="5361"/>
      <c r="AY20" s="5361">
        <f>+AY21+AY23+AY24</f>
        <v>1544.2600000000002</v>
      </c>
      <c r="AZ20" s="5363"/>
      <c r="BA20" s="5327">
        <f t="shared" si="19"/>
        <v>3615.44</v>
      </c>
      <c r="BB20" s="983"/>
      <c r="BC20" s="5330">
        <f t="shared" si="20"/>
        <v>6322.88</v>
      </c>
      <c r="BD20" s="5373"/>
      <c r="BE20" s="5343">
        <f>+AW20+AY20</f>
        <v>14028.03</v>
      </c>
      <c r="BH20" s="23"/>
      <c r="BI20" s="23"/>
    </row>
    <row r="21" spans="1:61" ht="17.399999999999999" x14ac:dyDescent="0.3">
      <c r="A21" s="137"/>
      <c r="B21" s="4049" t="s">
        <v>1847</v>
      </c>
      <c r="C21" s="4932" t="s">
        <v>351</v>
      </c>
      <c r="D21" s="4967"/>
      <c r="E21" s="4967">
        <v>1625.08</v>
      </c>
      <c r="F21" s="4967"/>
      <c r="G21" s="4967">
        <v>888.68</v>
      </c>
      <c r="H21" s="4965"/>
      <c r="I21" s="5332">
        <f t="shared" si="5"/>
        <v>2513.7599999999998</v>
      </c>
      <c r="J21" s="4967">
        <v>0</v>
      </c>
      <c r="K21" s="4967">
        <v>1065.5999999999999</v>
      </c>
      <c r="L21" s="4964"/>
      <c r="M21" s="4964">
        <f t="shared" si="7"/>
        <v>3579.3599999999997</v>
      </c>
      <c r="N21" s="4967">
        <v>0</v>
      </c>
      <c r="O21" s="4967">
        <v>398.74</v>
      </c>
      <c r="P21" s="5062"/>
      <c r="Q21" s="4965">
        <f t="shared" si="8"/>
        <v>3978.0999999999995</v>
      </c>
      <c r="R21" s="4967">
        <v>0</v>
      </c>
      <c r="S21" s="4967">
        <v>353.2</v>
      </c>
      <c r="T21" s="4930"/>
      <c r="U21" s="4965">
        <f t="shared" si="9"/>
        <v>4331.2999999999993</v>
      </c>
      <c r="V21" s="4967">
        <v>0</v>
      </c>
      <c r="W21" s="4967">
        <v>453.39000000000004</v>
      </c>
      <c r="X21" s="4964"/>
      <c r="Y21" s="4964">
        <f t="shared" si="10"/>
        <v>1205.3300000000002</v>
      </c>
      <c r="Z21" s="5317"/>
      <c r="AA21" s="5105">
        <f t="shared" si="11"/>
        <v>4784.6899999999996</v>
      </c>
      <c r="AB21" s="4967"/>
      <c r="AC21" s="4967"/>
      <c r="AD21" s="5062"/>
      <c r="AE21" s="5062">
        <f t="shared" si="31"/>
        <v>4784.6899999999996</v>
      </c>
      <c r="AF21" s="4967"/>
      <c r="AG21" s="4967"/>
      <c r="AH21" s="5062"/>
      <c r="AI21" s="5062">
        <f t="shared" si="0"/>
        <v>4784.6899999999996</v>
      </c>
      <c r="AJ21" s="4967">
        <v>0</v>
      </c>
      <c r="AK21" s="4967">
        <v>703.34</v>
      </c>
      <c r="AL21" s="4954"/>
      <c r="AM21" s="4964">
        <f t="shared" si="14"/>
        <v>703.34</v>
      </c>
      <c r="AN21" s="5062"/>
      <c r="AO21" s="5062">
        <f t="shared" si="15"/>
        <v>5488.03</v>
      </c>
      <c r="AP21" s="4967">
        <v>0</v>
      </c>
      <c r="AQ21" s="4967">
        <v>1589.84</v>
      </c>
      <c r="AR21" s="5062"/>
      <c r="AS21" s="5062">
        <f t="shared" si="1"/>
        <v>7077.87</v>
      </c>
      <c r="AT21" s="4967"/>
      <c r="AU21" s="4967">
        <v>481.34000000000003</v>
      </c>
      <c r="AV21" s="5062"/>
      <c r="AW21" s="5062">
        <f t="shared" si="2"/>
        <v>7559.21</v>
      </c>
      <c r="AX21" s="4967"/>
      <c r="AY21" s="4967">
        <v>1544.2600000000002</v>
      </c>
      <c r="AZ21" s="4954"/>
      <c r="BA21" s="4964">
        <f t="shared" si="19"/>
        <v>3615.44</v>
      </c>
      <c r="BB21" s="5317"/>
      <c r="BC21" s="5105">
        <f t="shared" si="20"/>
        <v>4318.78</v>
      </c>
      <c r="BD21" s="4852"/>
      <c r="BE21" s="5343">
        <f t="shared" si="3"/>
        <v>9103.4700000000012</v>
      </c>
      <c r="BF21" s="23"/>
      <c r="BH21" s="23"/>
      <c r="BI21" s="23"/>
    </row>
    <row r="22" spans="1:61" ht="17.399999999999999" x14ac:dyDescent="0.3">
      <c r="A22" s="137"/>
      <c r="B22" s="4049" t="s">
        <v>1560</v>
      </c>
      <c r="C22" s="4932" t="s">
        <v>351</v>
      </c>
      <c r="D22" s="4967">
        <f t="shared" ref="D22:F22" si="32">+D24+D23</f>
        <v>0</v>
      </c>
      <c r="E22" s="4967">
        <f>+E24+E23</f>
        <v>0</v>
      </c>
      <c r="F22" s="4967">
        <f t="shared" si="32"/>
        <v>0</v>
      </c>
      <c r="G22" s="4967">
        <f>+G24+G23</f>
        <v>0</v>
      </c>
      <c r="H22" s="4967">
        <f t="shared" ref="H22:BE22" si="33">+H24+H23</f>
        <v>0</v>
      </c>
      <c r="I22" s="5332">
        <f t="shared" si="33"/>
        <v>0</v>
      </c>
      <c r="J22" s="4967">
        <f t="shared" si="33"/>
        <v>0</v>
      </c>
      <c r="K22" s="4967">
        <f>+K24+K23</f>
        <v>0</v>
      </c>
      <c r="L22" s="4967">
        <f t="shared" si="33"/>
        <v>0</v>
      </c>
      <c r="M22" s="4967">
        <f t="shared" si="33"/>
        <v>0</v>
      </c>
      <c r="N22" s="4967">
        <f t="shared" si="33"/>
        <v>0</v>
      </c>
      <c r="O22" s="4967">
        <f>+O24+O23</f>
        <v>64.36</v>
      </c>
      <c r="P22" s="4967">
        <f t="shared" si="33"/>
        <v>0</v>
      </c>
      <c r="Q22" s="4965">
        <f t="shared" si="8"/>
        <v>64.36</v>
      </c>
      <c r="R22" s="4967">
        <f t="shared" si="33"/>
        <v>0</v>
      </c>
      <c r="S22" s="4967">
        <f>+S24+S23</f>
        <v>1895.72</v>
      </c>
      <c r="T22" s="4967">
        <f t="shared" si="33"/>
        <v>0</v>
      </c>
      <c r="U22" s="4965">
        <f t="shared" si="9"/>
        <v>1960.08</v>
      </c>
      <c r="V22" s="4967">
        <f t="shared" si="33"/>
        <v>0</v>
      </c>
      <c r="W22" s="4967">
        <f>+W24+W23</f>
        <v>960.38000000000011</v>
      </c>
      <c r="X22" s="4967">
        <f t="shared" si="33"/>
        <v>0</v>
      </c>
      <c r="Y22" s="4967">
        <f t="shared" si="33"/>
        <v>2920.46</v>
      </c>
      <c r="Z22" s="4967">
        <f t="shared" si="33"/>
        <v>0</v>
      </c>
      <c r="AA22" s="4967">
        <f t="shared" si="33"/>
        <v>2920.46</v>
      </c>
      <c r="AB22" s="4967">
        <f t="shared" si="33"/>
        <v>0</v>
      </c>
      <c r="AC22" s="4967">
        <f>+AC24+AC23</f>
        <v>2004.1</v>
      </c>
      <c r="AD22" s="4967">
        <f t="shared" si="33"/>
        <v>0</v>
      </c>
      <c r="AE22" s="4967">
        <f t="shared" si="31"/>
        <v>4924.5599999999995</v>
      </c>
      <c r="AF22" s="4967">
        <f t="shared" si="33"/>
        <v>0</v>
      </c>
      <c r="AG22" s="4967">
        <f>+AG24+AG23</f>
        <v>0</v>
      </c>
      <c r="AH22" s="4967">
        <f t="shared" si="33"/>
        <v>0</v>
      </c>
      <c r="AI22" s="4967">
        <f t="shared" si="0"/>
        <v>4924.5599999999995</v>
      </c>
      <c r="AJ22" s="4967">
        <f t="shared" si="33"/>
        <v>0</v>
      </c>
      <c r="AK22" s="4967">
        <f>+AK24+AK23</f>
        <v>0</v>
      </c>
      <c r="AL22" s="4967">
        <f t="shared" si="33"/>
        <v>0</v>
      </c>
      <c r="AM22" s="4967">
        <f t="shared" si="33"/>
        <v>2004.1</v>
      </c>
      <c r="AN22" s="4967">
        <f t="shared" si="33"/>
        <v>0</v>
      </c>
      <c r="AO22" s="4967">
        <f t="shared" si="33"/>
        <v>4924.5600000000004</v>
      </c>
      <c r="AP22" s="4967">
        <f t="shared" ref="AP22" si="34">+AP24+AP23</f>
        <v>0</v>
      </c>
      <c r="AQ22" s="4967">
        <f>+AQ24+AQ23</f>
        <v>0</v>
      </c>
      <c r="AR22" s="4967">
        <f t="shared" si="33"/>
        <v>0</v>
      </c>
      <c r="AS22" s="4967">
        <f t="shared" si="33"/>
        <v>4924.5600000000004</v>
      </c>
      <c r="AT22" s="4967">
        <f t="shared" si="33"/>
        <v>0</v>
      </c>
      <c r="AU22" s="4967">
        <f>+AU24+AU23</f>
        <v>0</v>
      </c>
      <c r="AV22" s="4967">
        <f t="shared" si="33"/>
        <v>0</v>
      </c>
      <c r="AW22" s="4967">
        <f t="shared" ref="AW22:AX22" si="35">+AW24+AW23</f>
        <v>4924.5600000000004</v>
      </c>
      <c r="AX22" s="4967">
        <f t="shared" si="35"/>
        <v>0</v>
      </c>
      <c r="AY22" s="4967">
        <f>+AY24+AY23</f>
        <v>0</v>
      </c>
      <c r="AZ22" s="4967">
        <f t="shared" si="33"/>
        <v>0</v>
      </c>
      <c r="BA22" s="4967">
        <f t="shared" si="33"/>
        <v>0</v>
      </c>
      <c r="BB22" s="4967">
        <f t="shared" si="33"/>
        <v>0</v>
      </c>
      <c r="BC22" s="4967">
        <f t="shared" si="33"/>
        <v>2004.1</v>
      </c>
      <c r="BD22" s="4058">
        <f t="shared" si="33"/>
        <v>0</v>
      </c>
      <c r="BE22" s="5343">
        <f t="shared" si="33"/>
        <v>4924.5600000000004</v>
      </c>
      <c r="BH22" s="23"/>
      <c r="BI22" s="23"/>
    </row>
    <row r="23" spans="1:61" ht="15.75" customHeight="1" thickBot="1" x14ac:dyDescent="0.35">
      <c r="A23" s="137"/>
      <c r="B23" s="5333" t="s">
        <v>1533</v>
      </c>
      <c r="C23" s="4932" t="s">
        <v>351</v>
      </c>
      <c r="D23" s="4967"/>
      <c r="E23" s="4967"/>
      <c r="F23" s="4967"/>
      <c r="G23" s="4967"/>
      <c r="H23" s="4965"/>
      <c r="I23" s="4965">
        <f t="shared" si="5"/>
        <v>0</v>
      </c>
      <c r="J23" s="4967"/>
      <c r="K23" s="4967"/>
      <c r="L23" s="4964"/>
      <c r="M23" s="4964">
        <f t="shared" si="7"/>
        <v>0</v>
      </c>
      <c r="N23" s="4967"/>
      <c r="O23" s="4967">
        <v>64.36</v>
      </c>
      <c r="P23" s="5062"/>
      <c r="Q23" s="4965">
        <f t="shared" si="8"/>
        <v>64.36</v>
      </c>
      <c r="R23" s="4967"/>
      <c r="S23" s="4967"/>
      <c r="T23" s="4930"/>
      <c r="U23" s="4965">
        <f t="shared" si="9"/>
        <v>64.36</v>
      </c>
      <c r="V23" s="4967"/>
      <c r="W23" s="4967">
        <v>960.38000000000011</v>
      </c>
      <c r="X23" s="4964"/>
      <c r="Y23" s="4964">
        <f t="shared" si="10"/>
        <v>1024.74</v>
      </c>
      <c r="Z23" s="5317"/>
      <c r="AA23" s="5105">
        <f t="shared" si="11"/>
        <v>1024.74</v>
      </c>
      <c r="AB23" s="4967"/>
      <c r="AC23" s="4967">
        <v>2004.1</v>
      </c>
      <c r="AD23" s="5062"/>
      <c r="AE23" s="5062">
        <f t="shared" si="31"/>
        <v>3028.84</v>
      </c>
      <c r="AF23" s="4967"/>
      <c r="AG23" s="4967"/>
      <c r="AH23" s="5062"/>
      <c r="AI23" s="5062">
        <f t="shared" si="0"/>
        <v>3028.84</v>
      </c>
      <c r="AJ23" s="4967"/>
      <c r="AK23" s="4967"/>
      <c r="AL23" s="4954"/>
      <c r="AM23" s="4964">
        <f t="shared" si="14"/>
        <v>2004.1</v>
      </c>
      <c r="AN23" s="5062"/>
      <c r="AO23" s="5062">
        <f t="shared" si="15"/>
        <v>3028.84</v>
      </c>
      <c r="AP23" s="4967"/>
      <c r="AQ23" s="4967"/>
      <c r="AR23" s="5062"/>
      <c r="AS23" s="5062">
        <f t="shared" si="1"/>
        <v>3028.84</v>
      </c>
      <c r="AT23" s="4967"/>
      <c r="AU23" s="4967"/>
      <c r="AV23" s="5062"/>
      <c r="AW23" s="5062">
        <f t="shared" si="2"/>
        <v>3028.84</v>
      </c>
      <c r="AX23" s="4967"/>
      <c r="AY23" s="4967"/>
      <c r="AZ23" s="4954"/>
      <c r="BA23" s="4964">
        <f t="shared" si="19"/>
        <v>0</v>
      </c>
      <c r="BB23" s="5317"/>
      <c r="BC23" s="5105">
        <f t="shared" si="20"/>
        <v>2004.1</v>
      </c>
      <c r="BD23" s="4852"/>
      <c r="BE23" s="5366">
        <f t="shared" si="3"/>
        <v>3028.84</v>
      </c>
      <c r="BH23" s="23"/>
      <c r="BI23" s="23"/>
    </row>
    <row r="24" spans="1:61" ht="21" customHeight="1" thickBot="1" x14ac:dyDescent="0.35">
      <c r="A24" s="137"/>
      <c r="B24" s="5336" t="s">
        <v>1532</v>
      </c>
      <c r="C24" s="4073" t="s">
        <v>351</v>
      </c>
      <c r="D24" s="4074"/>
      <c r="E24" s="4074"/>
      <c r="F24" s="4074"/>
      <c r="G24" s="4074"/>
      <c r="H24" s="5338"/>
      <c r="I24" s="5338">
        <f t="shared" si="5"/>
        <v>0</v>
      </c>
      <c r="J24" s="4074"/>
      <c r="K24" s="4074"/>
      <c r="L24" s="4075"/>
      <c r="M24" s="4075">
        <f t="shared" si="7"/>
        <v>0</v>
      </c>
      <c r="N24" s="4074"/>
      <c r="O24" s="4074"/>
      <c r="P24" s="5339"/>
      <c r="Q24" s="5338">
        <f t="shared" si="8"/>
        <v>0</v>
      </c>
      <c r="R24" s="4074"/>
      <c r="S24" s="4074">
        <v>1895.72</v>
      </c>
      <c r="T24" s="4133"/>
      <c r="U24" s="5338">
        <f t="shared" si="9"/>
        <v>1895.72</v>
      </c>
      <c r="V24" s="4074"/>
      <c r="W24" s="4074"/>
      <c r="X24" s="4075"/>
      <c r="Y24" s="4075">
        <f t="shared" si="10"/>
        <v>1895.72</v>
      </c>
      <c r="Z24" s="4259"/>
      <c r="AA24" s="5340">
        <f t="shared" si="11"/>
        <v>1895.72</v>
      </c>
      <c r="AB24" s="4074"/>
      <c r="AC24" s="4074"/>
      <c r="AD24" s="5339"/>
      <c r="AE24" s="5339">
        <f t="shared" ref="AE24:AE25" si="36">AA24+AC24</f>
        <v>1895.72</v>
      </c>
      <c r="AF24" s="4074"/>
      <c r="AG24" s="4074"/>
      <c r="AH24" s="5339"/>
      <c r="AI24" s="5339">
        <f t="shared" si="0"/>
        <v>1895.72</v>
      </c>
      <c r="AJ24" s="4074"/>
      <c r="AK24" s="4074"/>
      <c r="AL24" s="4136"/>
      <c r="AM24" s="4075">
        <f t="shared" si="14"/>
        <v>0</v>
      </c>
      <c r="AN24" s="5339"/>
      <c r="AO24" s="5339">
        <f t="shared" si="15"/>
        <v>1895.72</v>
      </c>
      <c r="AP24" s="4074"/>
      <c r="AQ24" s="4074"/>
      <c r="AR24" s="5339"/>
      <c r="AS24" s="5339">
        <f t="shared" si="1"/>
        <v>1895.72</v>
      </c>
      <c r="AT24" s="4074"/>
      <c r="AU24" s="4074"/>
      <c r="AV24" s="5339"/>
      <c r="AW24" s="5339">
        <f t="shared" si="2"/>
        <v>1895.72</v>
      </c>
      <c r="AX24" s="4074"/>
      <c r="AY24" s="4074"/>
      <c r="AZ24" s="4136"/>
      <c r="BA24" s="4075">
        <f t="shared" si="19"/>
        <v>0</v>
      </c>
      <c r="BB24" s="4259"/>
      <c r="BC24" s="5340">
        <f t="shared" ref="BC24" si="37">BA24+AM24</f>
        <v>0</v>
      </c>
      <c r="BD24" s="5374"/>
      <c r="BE24" s="5367">
        <f t="shared" ref="BE24" si="38">+AW24+AY24</f>
        <v>1895.72</v>
      </c>
      <c r="BH24" s="23"/>
      <c r="BI24" s="23"/>
    </row>
    <row r="25" spans="1:61" ht="23.4" hidden="1" x14ac:dyDescent="0.3">
      <c r="A25" s="29"/>
      <c r="B25" s="5368" t="s">
        <v>1562</v>
      </c>
      <c r="C25" s="727" t="s">
        <v>351</v>
      </c>
      <c r="D25" s="5369"/>
      <c r="E25" s="5369"/>
      <c r="F25" s="5369"/>
      <c r="G25" s="5369"/>
      <c r="H25" s="5370"/>
      <c r="I25" s="2930">
        <f t="shared" si="5"/>
        <v>0</v>
      </c>
      <c r="J25" s="5369"/>
      <c r="K25" s="5369"/>
      <c r="L25" s="2933"/>
      <c r="M25" s="5320">
        <f t="shared" si="7"/>
        <v>0</v>
      </c>
      <c r="N25" s="5369"/>
      <c r="O25" s="5369"/>
      <c r="P25" s="5371"/>
      <c r="Q25" s="2930">
        <f t="shared" si="8"/>
        <v>0</v>
      </c>
      <c r="R25" s="5369"/>
      <c r="S25" s="5369"/>
      <c r="T25" s="5370"/>
      <c r="U25" s="2930">
        <f t="shared" si="9"/>
        <v>0</v>
      </c>
      <c r="V25" s="5369"/>
      <c r="W25" s="5369"/>
      <c r="X25" s="2933"/>
      <c r="Y25" s="5320">
        <f t="shared" si="10"/>
        <v>0</v>
      </c>
      <c r="Z25" s="5322"/>
      <c r="AA25" s="5323">
        <f t="shared" si="11"/>
        <v>0</v>
      </c>
      <c r="AB25" s="5369"/>
      <c r="AC25" s="5369"/>
      <c r="AD25" s="5371"/>
      <c r="AE25" s="5321">
        <f t="shared" si="36"/>
        <v>0</v>
      </c>
      <c r="AF25" s="5369"/>
      <c r="AG25" s="5369"/>
      <c r="AH25" s="5371"/>
      <c r="AI25" s="5321">
        <f t="shared" ref="AI25" si="39">+AC25+W25+S25+O25+K25+E25+G25+AG25</f>
        <v>0</v>
      </c>
      <c r="AJ25" s="5369"/>
      <c r="AK25" s="5369"/>
      <c r="AL25" s="5372"/>
      <c r="AM25" s="5320">
        <f t="shared" si="14"/>
        <v>0</v>
      </c>
      <c r="AN25" s="5371"/>
      <c r="AO25" s="5321">
        <f t="shared" si="15"/>
        <v>0</v>
      </c>
      <c r="AP25" s="5369"/>
      <c r="AQ25" s="5369"/>
      <c r="AR25" s="5371"/>
      <c r="AS25" s="5321">
        <f t="shared" si="1"/>
        <v>0</v>
      </c>
      <c r="AT25" s="5369"/>
      <c r="AU25" s="5369"/>
      <c r="AV25" s="5371"/>
      <c r="AW25" s="5321">
        <f t="shared" si="2"/>
        <v>0</v>
      </c>
      <c r="AX25" s="5369"/>
      <c r="AY25" s="5369"/>
      <c r="AZ25" s="5372"/>
      <c r="BA25" s="5320">
        <f t="shared" si="19"/>
        <v>0</v>
      </c>
      <c r="BB25" s="5322"/>
      <c r="BC25" s="5323">
        <f t="shared" si="20"/>
        <v>0</v>
      </c>
      <c r="BD25" s="5371"/>
      <c r="BE25" s="231">
        <f t="shared" si="3"/>
        <v>0</v>
      </c>
      <c r="BH25" s="23"/>
      <c r="BI25" s="23"/>
    </row>
    <row r="26" spans="1:61" hidden="1" x14ac:dyDescent="0.3">
      <c r="A26" s="29"/>
      <c r="B26" s="1513"/>
      <c r="C26" s="146"/>
      <c r="D26" s="1031"/>
      <c r="E26" s="1031"/>
      <c r="F26" s="1031"/>
      <c r="G26" s="1031"/>
      <c r="H26" s="1515"/>
      <c r="I26" s="1515"/>
      <c r="J26" s="1031"/>
      <c r="K26" s="1031"/>
      <c r="L26" s="734"/>
      <c r="M26" s="734">
        <f t="shared" si="7"/>
        <v>0</v>
      </c>
      <c r="N26" s="1031"/>
      <c r="O26" s="1031"/>
      <c r="P26" s="544"/>
      <c r="Q26" s="1515">
        <f t="shared" si="8"/>
        <v>0</v>
      </c>
      <c r="R26" s="1031"/>
      <c r="S26" s="1031"/>
      <c r="T26" s="718"/>
      <c r="U26" s="1515">
        <f t="shared" si="9"/>
        <v>0</v>
      </c>
      <c r="V26" s="1031"/>
      <c r="W26" s="1031"/>
      <c r="X26" s="734"/>
      <c r="Y26" s="734"/>
      <c r="Z26" s="434"/>
      <c r="AA26" s="482"/>
      <c r="AB26" s="1031"/>
      <c r="AC26" s="1031"/>
      <c r="AD26" s="544"/>
      <c r="AE26" s="544"/>
      <c r="AF26" s="1031"/>
      <c r="AG26" s="1031"/>
      <c r="AH26" s="544"/>
      <c r="AI26" s="544"/>
      <c r="AJ26" s="1031"/>
      <c r="AK26" s="1031"/>
      <c r="AL26" s="552"/>
      <c r="AM26" s="734"/>
      <c r="AN26" s="544"/>
      <c r="AO26" s="544"/>
      <c r="AP26" s="1031"/>
      <c r="AQ26" s="1031"/>
      <c r="AR26" s="544"/>
      <c r="AS26" s="544"/>
      <c r="AT26" s="1031"/>
      <c r="AU26" s="1031"/>
      <c r="AV26" s="544"/>
      <c r="AW26" s="544"/>
      <c r="AX26" s="1031"/>
      <c r="AY26" s="1031"/>
      <c r="AZ26" s="552"/>
      <c r="BA26" s="734"/>
      <c r="BB26" s="434"/>
      <c r="BC26" s="482"/>
      <c r="BD26" s="544"/>
      <c r="BE26" s="231"/>
      <c r="BH26" s="23"/>
      <c r="BI26" s="23"/>
    </row>
    <row r="27" spans="1:61" ht="15" thickBot="1" x14ac:dyDescent="0.35">
      <c r="M27"/>
      <c r="O27"/>
      <c r="Y27"/>
      <c r="AW27"/>
    </row>
    <row r="28" spans="1:61" ht="24.6" x14ac:dyDescent="0.3">
      <c r="A28" s="29"/>
      <c r="B28" s="2223" t="s">
        <v>1563</v>
      </c>
      <c r="C28" s="750"/>
      <c r="D28" s="247"/>
      <c r="E28" s="247"/>
      <c r="F28" s="247"/>
      <c r="G28" s="247"/>
      <c r="H28" s="5325"/>
      <c r="I28" s="5325"/>
      <c r="J28" s="247"/>
      <c r="K28" s="247"/>
      <c r="L28" s="5327"/>
      <c r="M28" s="5327"/>
      <c r="N28" s="247"/>
      <c r="O28" s="247"/>
      <c r="P28" s="5329"/>
      <c r="Q28" s="5325">
        <f t="shared" si="8"/>
        <v>0</v>
      </c>
      <c r="R28" s="247"/>
      <c r="S28" s="247"/>
      <c r="T28" s="341"/>
      <c r="U28" s="5325">
        <f t="shared" si="9"/>
        <v>0</v>
      </c>
      <c r="V28" s="247"/>
      <c r="W28" s="247"/>
      <c r="X28" s="5327"/>
      <c r="Y28" s="5327"/>
      <c r="Z28" s="983"/>
      <c r="AA28" s="5330"/>
      <c r="AB28" s="247"/>
      <c r="AC28" s="247"/>
      <c r="AD28" s="247"/>
      <c r="AE28" s="341"/>
      <c r="AF28" s="247"/>
      <c r="AG28" s="247"/>
      <c r="AH28" s="5329"/>
      <c r="AI28" s="5329"/>
      <c r="AJ28" s="247"/>
      <c r="AK28" s="247"/>
      <c r="AL28" s="5331"/>
      <c r="AM28" s="5327"/>
      <c r="AN28" s="5329"/>
      <c r="AO28" s="5329"/>
      <c r="AP28" s="247"/>
      <c r="AQ28" s="247"/>
      <c r="AR28" s="5329"/>
      <c r="AS28" s="5329"/>
      <c r="AT28" s="247"/>
      <c r="AU28" s="247"/>
      <c r="AV28" s="5329"/>
      <c r="AW28" s="5329"/>
      <c r="AX28" s="247"/>
      <c r="AY28" s="247"/>
      <c r="AZ28" s="5331"/>
      <c r="BA28" s="5327"/>
      <c r="BB28" s="983"/>
      <c r="BC28" s="5330"/>
      <c r="BD28" s="5329"/>
      <c r="BE28" s="2814"/>
      <c r="BH28" s="23"/>
      <c r="BI28" s="23"/>
    </row>
    <row r="29" spans="1:61" ht="20.399999999999999" x14ac:dyDescent="0.3">
      <c r="A29" s="29"/>
      <c r="B29" s="5375" t="s">
        <v>654</v>
      </c>
      <c r="C29" s="4932"/>
      <c r="D29" s="4928"/>
      <c r="E29" s="4928"/>
      <c r="F29" s="4928"/>
      <c r="G29" s="4928"/>
      <c r="H29" s="4965"/>
      <c r="I29" s="4965"/>
      <c r="J29" s="4928"/>
      <c r="K29" s="4928"/>
      <c r="L29" s="4964"/>
      <c r="M29" s="4964"/>
      <c r="N29" s="4928"/>
      <c r="O29" s="4928"/>
      <c r="P29" s="5062"/>
      <c r="Q29" s="4965">
        <f t="shared" si="8"/>
        <v>0</v>
      </c>
      <c r="R29" s="4928"/>
      <c r="S29" s="4928"/>
      <c r="T29" s="4930"/>
      <c r="U29" s="4965">
        <f t="shared" si="9"/>
        <v>0</v>
      </c>
      <c r="V29" s="4928"/>
      <c r="W29" s="4928"/>
      <c r="X29" s="4964"/>
      <c r="Y29" s="4964"/>
      <c r="Z29" s="5317"/>
      <c r="AA29" s="5105"/>
      <c r="AB29" s="4928"/>
      <c r="AC29" s="4928"/>
      <c r="AD29" s="4928"/>
      <c r="AE29" s="4930"/>
      <c r="AF29" s="4928"/>
      <c r="AG29" s="4928"/>
      <c r="AH29" s="5062"/>
      <c r="AI29" s="5062"/>
      <c r="AJ29" s="4928"/>
      <c r="AK29" s="4928"/>
      <c r="AL29" s="5319"/>
      <c r="AM29" s="4964"/>
      <c r="AN29" s="5062"/>
      <c r="AO29" s="5062"/>
      <c r="AP29" s="4928"/>
      <c r="AQ29" s="4928"/>
      <c r="AR29" s="5062"/>
      <c r="AS29" s="5062"/>
      <c r="AT29" s="4928"/>
      <c r="AU29" s="4928"/>
      <c r="AV29" s="5062"/>
      <c r="AW29" s="5062"/>
      <c r="AX29" s="4928"/>
      <c r="AY29" s="4928"/>
      <c r="AZ29" s="5319"/>
      <c r="BA29" s="4964"/>
      <c r="BB29" s="5317"/>
      <c r="BC29" s="5105"/>
      <c r="BD29" s="5062"/>
      <c r="BE29" s="4406"/>
      <c r="BH29" s="23"/>
      <c r="BI29" s="23"/>
    </row>
    <row r="30" spans="1:61" x14ac:dyDescent="0.3">
      <c r="A30" s="137"/>
      <c r="B30" s="4488" t="s">
        <v>655</v>
      </c>
      <c r="C30" s="4932" t="s">
        <v>351</v>
      </c>
      <c r="D30" s="5315"/>
      <c r="E30" s="5315">
        <f>+SUM(E31:E33)</f>
        <v>3763.2799999999997</v>
      </c>
      <c r="F30" s="5315"/>
      <c r="G30" s="5315">
        <f>+SUM(G31:G33)</f>
        <v>3786.56</v>
      </c>
      <c r="H30" s="5376"/>
      <c r="I30" s="5376">
        <f t="shared" ref="I30:I84" si="40">+E30+G30</f>
        <v>7549.84</v>
      </c>
      <c r="J30" s="5315"/>
      <c r="K30" s="5315">
        <f>+SUM(K31:K33)</f>
        <v>3733.8799999999997</v>
      </c>
      <c r="L30" s="5315"/>
      <c r="M30" s="5377">
        <f t="shared" ref="M30:M106" si="41">+E30+G30+K30</f>
        <v>11283.72</v>
      </c>
      <c r="N30" s="5315"/>
      <c r="O30" s="5315">
        <f>+SUM(O31:O33)</f>
        <v>3296.2</v>
      </c>
      <c r="P30" s="5315"/>
      <c r="Q30" s="4965">
        <f t="shared" si="8"/>
        <v>14579.919999999998</v>
      </c>
      <c r="R30" s="5315"/>
      <c r="S30" s="5315">
        <f>+SUM(S31:S33)</f>
        <v>4139.91</v>
      </c>
      <c r="T30" s="5315"/>
      <c r="U30" s="4965">
        <f t="shared" si="9"/>
        <v>18719.829999999998</v>
      </c>
      <c r="V30" s="5315"/>
      <c r="W30" s="5315">
        <f>+SUM(W31:W33)</f>
        <v>3638.23</v>
      </c>
      <c r="X30" s="5315"/>
      <c r="Y30" s="5377">
        <f t="shared" si="10"/>
        <v>11074.34</v>
      </c>
      <c r="Z30" s="5315"/>
      <c r="AA30" s="5105">
        <f t="shared" si="11"/>
        <v>22358.059999999998</v>
      </c>
      <c r="AB30" s="5315"/>
      <c r="AC30" s="5315">
        <f>+SUM(AC31:AC33)</f>
        <v>3772.73</v>
      </c>
      <c r="AD30" s="5315"/>
      <c r="AE30" s="5315">
        <f t="shared" ref="AE30:AE56" si="42">+AA30+AC30</f>
        <v>26130.789999999997</v>
      </c>
      <c r="AF30" s="5315"/>
      <c r="AG30" s="5315">
        <f>+SUM(AG31:AG33)</f>
        <v>3250.18</v>
      </c>
      <c r="AH30" s="5315"/>
      <c r="AI30" s="5315">
        <f t="shared" ref="AI30:AI84" si="43">+AE30+AG30</f>
        <v>29380.969999999998</v>
      </c>
      <c r="AJ30" s="5315"/>
      <c r="AK30" s="5315">
        <f>+SUM(AK31:AK33)</f>
        <v>3867.1499999999996</v>
      </c>
      <c r="AL30" s="5315"/>
      <c r="AM30" s="5377">
        <f t="shared" si="14"/>
        <v>10890.06</v>
      </c>
      <c r="AN30" s="5315"/>
      <c r="AO30" s="5315">
        <f t="shared" si="15"/>
        <v>33248.119999999995</v>
      </c>
      <c r="AP30" s="5315"/>
      <c r="AQ30" s="5315">
        <f>+SUM(AQ31:AQ33)</f>
        <v>3801.7400000000002</v>
      </c>
      <c r="AR30" s="5315"/>
      <c r="AS30" s="5315">
        <f t="shared" ref="AS30:AS56" si="44">+AO30+AQ30</f>
        <v>37049.859999999993</v>
      </c>
      <c r="AT30" s="5315"/>
      <c r="AU30" s="5315">
        <f>+SUM(AU31:AU33)</f>
        <v>2739.5099999999989</v>
      </c>
      <c r="AV30" s="5315"/>
      <c r="AW30" s="5315">
        <f t="shared" ref="AW30:AW56" si="45">+AS30+AU30</f>
        <v>39789.369999999995</v>
      </c>
      <c r="AX30" s="5315"/>
      <c r="AY30" s="5315">
        <f>+SUM(AY31:AY33)</f>
        <v>3821.0799999999995</v>
      </c>
      <c r="AZ30" s="5315"/>
      <c r="BA30" s="5377">
        <f t="shared" si="19"/>
        <v>10362.329999999998</v>
      </c>
      <c r="BB30" s="5315"/>
      <c r="BC30" s="5105">
        <f t="shared" si="20"/>
        <v>21252.39</v>
      </c>
      <c r="BD30" s="5315"/>
      <c r="BE30" s="5378">
        <f t="shared" ref="BE30:BE56" si="46">+AW30+AY30</f>
        <v>43610.45</v>
      </c>
      <c r="BH30" s="23"/>
      <c r="BI30" s="23"/>
    </row>
    <row r="31" spans="1:61" x14ac:dyDescent="0.3">
      <c r="B31" s="4059" t="s">
        <v>341</v>
      </c>
      <c r="C31" s="4932" t="s">
        <v>351</v>
      </c>
      <c r="D31" s="4923"/>
      <c r="E31" s="4923">
        <v>832.58</v>
      </c>
      <c r="F31" s="4923"/>
      <c r="G31" s="4923">
        <v>615.87</v>
      </c>
      <c r="H31" s="4965"/>
      <c r="I31" s="4965">
        <f t="shared" si="40"/>
        <v>1448.45</v>
      </c>
      <c r="J31" s="4923"/>
      <c r="K31" s="4923">
        <v>496.04</v>
      </c>
      <c r="L31" s="5379"/>
      <c r="M31" s="5377">
        <f t="shared" si="41"/>
        <v>1944.49</v>
      </c>
      <c r="N31" s="4923"/>
      <c r="O31" s="4923">
        <v>495.96000000000009</v>
      </c>
      <c r="P31" s="4923"/>
      <c r="Q31" s="4965">
        <f t="shared" si="8"/>
        <v>2440.4500000000003</v>
      </c>
      <c r="R31" s="4923"/>
      <c r="S31" s="4923">
        <v>614.64</v>
      </c>
      <c r="T31" s="4923"/>
      <c r="U31" s="4965">
        <f t="shared" si="9"/>
        <v>3055.09</v>
      </c>
      <c r="V31" s="4923"/>
      <c r="W31" s="4923">
        <v>499.5200000000001</v>
      </c>
      <c r="X31" s="5379"/>
      <c r="Y31" s="5377">
        <f t="shared" si="10"/>
        <v>1610.1200000000003</v>
      </c>
      <c r="Z31" s="4923"/>
      <c r="AA31" s="4938">
        <f t="shared" si="11"/>
        <v>3554.6100000000006</v>
      </c>
      <c r="AB31" s="4923"/>
      <c r="AC31" s="4923">
        <v>697.99</v>
      </c>
      <c r="AD31" s="4923"/>
      <c r="AE31" s="5062">
        <f t="shared" ref="AE31:AE33" si="47">AA31+AC31</f>
        <v>4252.6000000000004</v>
      </c>
      <c r="AF31" s="4923"/>
      <c r="AG31" s="4923">
        <v>417.66</v>
      </c>
      <c r="AH31" s="4923"/>
      <c r="AI31" s="4930">
        <f t="shared" si="43"/>
        <v>4670.26</v>
      </c>
      <c r="AJ31" s="4923"/>
      <c r="AK31" s="4923">
        <v>496.73</v>
      </c>
      <c r="AL31" s="4923"/>
      <c r="AM31" s="5377">
        <f t="shared" si="14"/>
        <v>1612.38</v>
      </c>
      <c r="AN31" s="4923"/>
      <c r="AO31" s="4930">
        <f t="shared" si="15"/>
        <v>5166.99</v>
      </c>
      <c r="AP31" s="4923"/>
      <c r="AQ31" s="4923">
        <v>317.53000000000003</v>
      </c>
      <c r="AR31" s="4923"/>
      <c r="AS31" s="4930">
        <f t="shared" si="44"/>
        <v>5484.5199999999995</v>
      </c>
      <c r="AT31" s="4923"/>
      <c r="AU31" s="4923">
        <v>395.65999999999991</v>
      </c>
      <c r="AV31" s="4923"/>
      <c r="AW31" s="4930">
        <f t="shared" si="45"/>
        <v>5880.1799999999994</v>
      </c>
      <c r="AX31" s="4923"/>
      <c r="AY31" s="4923">
        <v>654.19000000000017</v>
      </c>
      <c r="AZ31" s="4923"/>
      <c r="BA31" s="5377">
        <f t="shared" si="19"/>
        <v>1367.38</v>
      </c>
      <c r="BB31" s="4923"/>
      <c r="BC31" s="4938">
        <f t="shared" si="20"/>
        <v>2979.76</v>
      </c>
      <c r="BD31" s="4923"/>
      <c r="BE31" s="4064">
        <f t="shared" si="46"/>
        <v>6534.37</v>
      </c>
      <c r="BH31" s="23"/>
      <c r="BI31" s="23"/>
    </row>
    <row r="32" spans="1:61" x14ac:dyDescent="0.3">
      <c r="B32" s="4059" t="s">
        <v>656</v>
      </c>
      <c r="C32" s="4932" t="s">
        <v>351</v>
      </c>
      <c r="D32" s="4923"/>
      <c r="E32" s="4923">
        <v>2920.72</v>
      </c>
      <c r="F32" s="4923"/>
      <c r="G32" s="4923">
        <v>3170.69</v>
      </c>
      <c r="H32" s="4965"/>
      <c r="I32" s="4965">
        <f t="shared" si="40"/>
        <v>6091.41</v>
      </c>
      <c r="J32" s="4923"/>
      <c r="K32" s="4923">
        <v>3227.91</v>
      </c>
      <c r="L32" s="5379"/>
      <c r="M32" s="5377">
        <f t="shared" si="41"/>
        <v>9319.32</v>
      </c>
      <c r="N32" s="4923"/>
      <c r="O32" s="4923">
        <v>2790.2599999999998</v>
      </c>
      <c r="P32" s="4923"/>
      <c r="Q32" s="4965">
        <f t="shared" si="8"/>
        <v>12109.58</v>
      </c>
      <c r="R32" s="4923"/>
      <c r="S32" s="4923">
        <v>3515.37</v>
      </c>
      <c r="T32" s="4923"/>
      <c r="U32" s="4965">
        <f t="shared" si="9"/>
        <v>15624.95</v>
      </c>
      <c r="V32" s="4923"/>
      <c r="W32" s="4923">
        <v>3138.71</v>
      </c>
      <c r="X32" s="5379"/>
      <c r="Y32" s="5377">
        <f t="shared" si="10"/>
        <v>9444.34</v>
      </c>
      <c r="Z32" s="4923"/>
      <c r="AA32" s="4938">
        <f t="shared" si="11"/>
        <v>18763.66</v>
      </c>
      <c r="AB32" s="4923"/>
      <c r="AC32" s="4923">
        <v>3064.85</v>
      </c>
      <c r="AD32" s="4923"/>
      <c r="AE32" s="5062">
        <f t="shared" si="47"/>
        <v>21828.51</v>
      </c>
      <c r="AF32" s="4923"/>
      <c r="AG32" s="4923">
        <v>2832.52</v>
      </c>
      <c r="AH32" s="4923"/>
      <c r="AI32" s="4930">
        <f t="shared" si="43"/>
        <v>24661.03</v>
      </c>
      <c r="AJ32" s="4923"/>
      <c r="AK32" s="4923">
        <v>3360.43</v>
      </c>
      <c r="AL32" s="4923"/>
      <c r="AM32" s="5377">
        <f t="shared" si="14"/>
        <v>9257.7999999999993</v>
      </c>
      <c r="AN32" s="4923"/>
      <c r="AO32" s="4930">
        <f t="shared" si="15"/>
        <v>28021.46</v>
      </c>
      <c r="AP32" s="4923"/>
      <c r="AQ32" s="4923">
        <v>3474.2200000000003</v>
      </c>
      <c r="AR32" s="4923"/>
      <c r="AS32" s="4930">
        <f t="shared" si="44"/>
        <v>31495.68</v>
      </c>
      <c r="AT32" s="4923"/>
      <c r="AU32" s="4923">
        <v>2343.849999999999</v>
      </c>
      <c r="AV32" s="4923"/>
      <c r="AW32" s="4930">
        <f t="shared" si="45"/>
        <v>33839.53</v>
      </c>
      <c r="AX32" s="4923"/>
      <c r="AY32" s="4923">
        <v>3147.1299999999992</v>
      </c>
      <c r="AZ32" s="4923"/>
      <c r="BA32" s="5377">
        <f t="shared" si="19"/>
        <v>8965.1999999999989</v>
      </c>
      <c r="BB32" s="4923"/>
      <c r="BC32" s="4938">
        <f t="shared" si="20"/>
        <v>18223</v>
      </c>
      <c r="BD32" s="4923"/>
      <c r="BE32" s="4064">
        <f t="shared" si="46"/>
        <v>36986.659999999996</v>
      </c>
      <c r="BH32" s="23"/>
      <c r="BI32" s="23"/>
    </row>
    <row r="33" spans="1:61" x14ac:dyDescent="0.3">
      <c r="B33" s="4059" t="s">
        <v>773</v>
      </c>
      <c r="C33" s="4932" t="s">
        <v>351</v>
      </c>
      <c r="D33" s="4923"/>
      <c r="E33" s="4923">
        <v>9.98</v>
      </c>
      <c r="F33" s="4923"/>
      <c r="G33" s="4923"/>
      <c r="H33" s="4965"/>
      <c r="I33" s="4965">
        <f t="shared" si="40"/>
        <v>9.98</v>
      </c>
      <c r="J33" s="4923"/>
      <c r="K33" s="4923">
        <v>9.93</v>
      </c>
      <c r="L33" s="5379"/>
      <c r="M33" s="5377">
        <f t="shared" si="41"/>
        <v>19.91</v>
      </c>
      <c r="N33" s="4923"/>
      <c r="O33" s="4923">
        <v>9.98</v>
      </c>
      <c r="P33" s="4923"/>
      <c r="Q33" s="4965">
        <f t="shared" si="8"/>
        <v>29.89</v>
      </c>
      <c r="R33" s="4923"/>
      <c r="S33" s="4923">
        <v>9.9</v>
      </c>
      <c r="T33" s="4923"/>
      <c r="U33" s="4965">
        <f t="shared" si="9"/>
        <v>39.79</v>
      </c>
      <c r="V33" s="4923"/>
      <c r="W33" s="4923"/>
      <c r="X33" s="5379"/>
      <c r="Y33" s="5377">
        <f t="shared" si="10"/>
        <v>19.880000000000003</v>
      </c>
      <c r="Z33" s="4923"/>
      <c r="AA33" s="4938">
        <f t="shared" si="11"/>
        <v>39.790000000000006</v>
      </c>
      <c r="AB33" s="4923"/>
      <c r="AC33" s="4923">
        <v>9.89</v>
      </c>
      <c r="AD33" s="4923"/>
      <c r="AE33" s="5062">
        <f t="shared" si="47"/>
        <v>49.680000000000007</v>
      </c>
      <c r="AF33" s="4923"/>
      <c r="AG33" s="4923"/>
      <c r="AH33" s="4923"/>
      <c r="AI33" s="4930">
        <f t="shared" si="43"/>
        <v>49.680000000000007</v>
      </c>
      <c r="AJ33" s="4923"/>
      <c r="AK33" s="4923">
        <v>9.99</v>
      </c>
      <c r="AL33" s="4923"/>
      <c r="AM33" s="5377">
        <f t="shared" si="14"/>
        <v>19.880000000000003</v>
      </c>
      <c r="AN33" s="4923"/>
      <c r="AO33" s="4930">
        <f t="shared" si="15"/>
        <v>59.670000000000009</v>
      </c>
      <c r="AP33" s="4923"/>
      <c r="AQ33" s="4923">
        <v>9.99</v>
      </c>
      <c r="AR33" s="4923"/>
      <c r="AS33" s="4930">
        <f t="shared" si="44"/>
        <v>69.660000000000011</v>
      </c>
      <c r="AT33" s="4923"/>
      <c r="AU33" s="4923"/>
      <c r="AV33" s="4923"/>
      <c r="AW33" s="4930">
        <f t="shared" si="45"/>
        <v>69.660000000000011</v>
      </c>
      <c r="AX33" s="4923"/>
      <c r="AY33" s="4923">
        <v>19.759999999999998</v>
      </c>
      <c r="AZ33" s="4923"/>
      <c r="BA33" s="5377">
        <f t="shared" si="19"/>
        <v>29.75</v>
      </c>
      <c r="BB33" s="4923"/>
      <c r="BC33" s="4938">
        <f t="shared" si="20"/>
        <v>49.63</v>
      </c>
      <c r="BD33" s="4923"/>
      <c r="BE33" s="4064">
        <f t="shared" si="46"/>
        <v>89.420000000000016</v>
      </c>
      <c r="BH33" s="23"/>
      <c r="BI33" s="23"/>
    </row>
    <row r="34" spans="1:61" x14ac:dyDescent="0.3">
      <c r="B34" s="4488" t="s">
        <v>680</v>
      </c>
      <c r="C34" s="4932" t="s">
        <v>351</v>
      </c>
      <c r="D34" s="5315"/>
      <c r="E34" s="5315">
        <v>912.68</v>
      </c>
      <c r="F34" s="5315"/>
      <c r="G34" s="5315">
        <v>618.23</v>
      </c>
      <c r="H34" s="5376"/>
      <c r="I34" s="5376">
        <f t="shared" si="40"/>
        <v>1530.9099999999999</v>
      </c>
      <c r="J34" s="5315"/>
      <c r="K34" s="5315"/>
      <c r="L34" s="5315"/>
      <c r="M34" s="5377">
        <f t="shared" si="41"/>
        <v>1530.9099999999999</v>
      </c>
      <c r="N34" s="5315"/>
      <c r="O34" s="5315"/>
      <c r="P34" s="5315"/>
      <c r="Q34" s="4965">
        <f t="shared" si="8"/>
        <v>1530.9099999999999</v>
      </c>
      <c r="R34" s="5315"/>
      <c r="S34" s="5315"/>
      <c r="T34" s="5315"/>
      <c r="U34" s="4965">
        <f t="shared" si="9"/>
        <v>1530.9099999999999</v>
      </c>
      <c r="V34" s="5380"/>
      <c r="W34" s="5315"/>
      <c r="X34" s="5315"/>
      <c r="Y34" s="5377">
        <f t="shared" si="10"/>
        <v>0</v>
      </c>
      <c r="Z34" s="5380"/>
      <c r="AA34" s="5105">
        <f t="shared" si="11"/>
        <v>1530.9099999999999</v>
      </c>
      <c r="AB34" s="5315"/>
      <c r="AC34" s="5315"/>
      <c r="AD34" s="5315"/>
      <c r="AE34" s="5315">
        <f t="shared" si="42"/>
        <v>1530.9099999999999</v>
      </c>
      <c r="AF34" s="5315"/>
      <c r="AG34" s="5315">
        <v>161.78</v>
      </c>
      <c r="AH34" s="5315"/>
      <c r="AI34" s="5315">
        <f t="shared" si="43"/>
        <v>1692.6899999999998</v>
      </c>
      <c r="AJ34" s="5380"/>
      <c r="AK34" s="5315">
        <v>619.12</v>
      </c>
      <c r="AL34" s="5380"/>
      <c r="AM34" s="5377">
        <f t="shared" si="14"/>
        <v>780.9</v>
      </c>
      <c r="AN34" s="5315"/>
      <c r="AO34" s="5315">
        <f t="shared" si="15"/>
        <v>2311.81</v>
      </c>
      <c r="AP34" s="5380"/>
      <c r="AQ34" s="5315"/>
      <c r="AR34" s="5315"/>
      <c r="AS34" s="5315">
        <f t="shared" si="44"/>
        <v>2311.81</v>
      </c>
      <c r="AT34" s="5315"/>
      <c r="AU34" s="5315">
        <v>55.97</v>
      </c>
      <c r="AV34" s="5315"/>
      <c r="AW34" s="5315">
        <f t="shared" si="45"/>
        <v>2367.7799999999997</v>
      </c>
      <c r="AX34" s="5315"/>
      <c r="AY34" s="5315">
        <v>44.58</v>
      </c>
      <c r="AZ34" s="5380"/>
      <c r="BA34" s="5377">
        <f t="shared" si="19"/>
        <v>100.55</v>
      </c>
      <c r="BB34" s="5380"/>
      <c r="BC34" s="5105">
        <f t="shared" si="20"/>
        <v>881.44999999999993</v>
      </c>
      <c r="BD34" s="5315"/>
      <c r="BE34" s="5378">
        <f t="shared" si="46"/>
        <v>2412.3599999999997</v>
      </c>
      <c r="BH34" s="23"/>
      <c r="BI34" s="23"/>
    </row>
    <row r="35" spans="1:61" x14ac:dyDescent="0.3">
      <c r="A35" s="137"/>
      <c r="B35" s="4488" t="s">
        <v>629</v>
      </c>
      <c r="C35" s="5076"/>
      <c r="D35" s="5315"/>
      <c r="E35" s="5315">
        <f>+SUM(E36:E45)</f>
        <v>0</v>
      </c>
      <c r="F35" s="5315"/>
      <c r="G35" s="5315">
        <f>+SUM(G36:G45)</f>
        <v>67.27</v>
      </c>
      <c r="H35" s="5376"/>
      <c r="I35" s="5376">
        <f t="shared" si="40"/>
        <v>67.27</v>
      </c>
      <c r="J35" s="5315"/>
      <c r="K35" s="5315">
        <f>+SUM(K36:K45)</f>
        <v>0</v>
      </c>
      <c r="L35" s="5315"/>
      <c r="M35" s="5377">
        <f t="shared" si="41"/>
        <v>67.27</v>
      </c>
      <c r="N35" s="5315"/>
      <c r="O35" s="5315">
        <f>+SUM(O36:O45)</f>
        <v>64.239999999999995</v>
      </c>
      <c r="P35" s="5315"/>
      <c r="Q35" s="4965">
        <f t="shared" si="8"/>
        <v>131.51</v>
      </c>
      <c r="R35" s="5315"/>
      <c r="S35" s="5315">
        <f>+SUM(S36:S45)</f>
        <v>362.28999999999996</v>
      </c>
      <c r="T35" s="5315"/>
      <c r="U35" s="4965">
        <f t="shared" si="9"/>
        <v>493.79999999999995</v>
      </c>
      <c r="V35" s="5315"/>
      <c r="W35" s="5315">
        <f>+SUM(W36:W45)</f>
        <v>361.07</v>
      </c>
      <c r="X35" s="5315"/>
      <c r="Y35" s="5377">
        <f t="shared" si="10"/>
        <v>787.59999999999991</v>
      </c>
      <c r="Z35" s="5315"/>
      <c r="AA35" s="5105">
        <f t="shared" si="11"/>
        <v>854.86999999999989</v>
      </c>
      <c r="AB35" s="5315"/>
      <c r="AC35" s="5315">
        <f>+SUM(AC36:AC45)</f>
        <v>51.45</v>
      </c>
      <c r="AD35" s="5315"/>
      <c r="AE35" s="5315">
        <f t="shared" si="42"/>
        <v>906.31999999999994</v>
      </c>
      <c r="AF35" s="5315"/>
      <c r="AG35" s="5315">
        <f>+SUM(AG36:AG45)</f>
        <v>0</v>
      </c>
      <c r="AH35" s="5315"/>
      <c r="AI35" s="5315">
        <f t="shared" si="43"/>
        <v>906.31999999999994</v>
      </c>
      <c r="AJ35" s="5315"/>
      <c r="AK35" s="5315">
        <f>+SUM(AK36:AK45)</f>
        <v>77.87</v>
      </c>
      <c r="AL35" s="5315"/>
      <c r="AM35" s="5377">
        <f t="shared" si="14"/>
        <v>129.32</v>
      </c>
      <c r="AN35" s="5315"/>
      <c r="AO35" s="5315">
        <f t="shared" si="15"/>
        <v>984.18999999999994</v>
      </c>
      <c r="AP35" s="5315"/>
      <c r="AQ35" s="5315">
        <f>+SUM(AQ36:AQ45)</f>
        <v>135.05000000000001</v>
      </c>
      <c r="AR35" s="5315"/>
      <c r="AS35" s="5315">
        <f t="shared" si="44"/>
        <v>1119.24</v>
      </c>
      <c r="AT35" s="5315"/>
      <c r="AU35" s="5315">
        <f>+SUM(AU36:AU45)</f>
        <v>200.46</v>
      </c>
      <c r="AV35" s="5315"/>
      <c r="AW35" s="5315">
        <f t="shared" si="45"/>
        <v>1319.7</v>
      </c>
      <c r="AX35" s="5315"/>
      <c r="AY35" s="5315">
        <f>+SUM(AY36:AY45)</f>
        <v>0</v>
      </c>
      <c r="AZ35" s="5315"/>
      <c r="BA35" s="5377">
        <f t="shared" si="19"/>
        <v>335.51</v>
      </c>
      <c r="BB35" s="5315"/>
      <c r="BC35" s="5105">
        <f t="shared" si="20"/>
        <v>464.83</v>
      </c>
      <c r="BD35" s="5315"/>
      <c r="BE35" s="5378">
        <f t="shared" si="46"/>
        <v>1319.7</v>
      </c>
      <c r="BH35" s="23"/>
      <c r="BI35" s="23"/>
    </row>
    <row r="36" spans="1:61" x14ac:dyDescent="0.3">
      <c r="B36" s="4059" t="s">
        <v>795</v>
      </c>
      <c r="C36" s="4932" t="s">
        <v>351</v>
      </c>
      <c r="D36" s="4923"/>
      <c r="E36" s="4923"/>
      <c r="F36" s="4923"/>
      <c r="G36" s="4923"/>
      <c r="H36" s="4965"/>
      <c r="I36" s="4965">
        <f t="shared" si="40"/>
        <v>0</v>
      </c>
      <c r="J36" s="4923"/>
      <c r="K36" s="4923"/>
      <c r="L36" s="5379"/>
      <c r="M36" s="5377">
        <f t="shared" si="41"/>
        <v>0</v>
      </c>
      <c r="N36" s="4923"/>
      <c r="O36" s="4923">
        <v>23.4</v>
      </c>
      <c r="P36" s="4923"/>
      <c r="Q36" s="4965">
        <f t="shared" si="8"/>
        <v>23.4</v>
      </c>
      <c r="R36" s="4923"/>
      <c r="S36" s="4923">
        <v>45.92</v>
      </c>
      <c r="T36" s="4923"/>
      <c r="U36" s="4965">
        <f t="shared" si="9"/>
        <v>69.319999999999993</v>
      </c>
      <c r="V36" s="4923"/>
      <c r="W36" s="4923">
        <v>76.56</v>
      </c>
      <c r="X36" s="5379"/>
      <c r="Y36" s="5377">
        <f t="shared" si="10"/>
        <v>145.88</v>
      </c>
      <c r="Z36" s="4923"/>
      <c r="AA36" s="4938">
        <f t="shared" si="11"/>
        <v>145.88</v>
      </c>
      <c r="AB36" s="4923"/>
      <c r="AC36" s="4923">
        <v>19.38</v>
      </c>
      <c r="AD36" s="4923"/>
      <c r="AE36" s="5062">
        <f t="shared" ref="AE36:AE41" si="48">AA36+AC36</f>
        <v>165.26</v>
      </c>
      <c r="AF36" s="4923"/>
      <c r="AG36" s="4923"/>
      <c r="AH36" s="4923"/>
      <c r="AI36" s="4930">
        <f t="shared" si="43"/>
        <v>165.26</v>
      </c>
      <c r="AJ36" s="4923"/>
      <c r="AK36" s="4923"/>
      <c r="AL36" s="4923"/>
      <c r="AM36" s="5377">
        <f t="shared" si="14"/>
        <v>19.38</v>
      </c>
      <c r="AN36" s="4923"/>
      <c r="AO36" s="4930">
        <f t="shared" si="15"/>
        <v>165.26</v>
      </c>
      <c r="AP36" s="4923"/>
      <c r="AQ36" s="4923">
        <v>92.07</v>
      </c>
      <c r="AR36" s="4923"/>
      <c r="AS36" s="4930">
        <f t="shared" si="44"/>
        <v>257.33</v>
      </c>
      <c r="AT36" s="4923"/>
      <c r="AU36" s="4923"/>
      <c r="AV36" s="4923"/>
      <c r="AW36" s="4930">
        <f t="shared" si="45"/>
        <v>257.33</v>
      </c>
      <c r="AX36" s="4923"/>
      <c r="AY36" s="4923"/>
      <c r="AZ36" s="4923"/>
      <c r="BA36" s="5377">
        <f t="shared" si="19"/>
        <v>92.07</v>
      </c>
      <c r="BB36" s="4923"/>
      <c r="BC36" s="4938">
        <f t="shared" si="20"/>
        <v>111.44999999999999</v>
      </c>
      <c r="BD36" s="4923"/>
      <c r="BE36" s="4064">
        <f t="shared" si="46"/>
        <v>257.33</v>
      </c>
      <c r="BH36" s="23"/>
      <c r="BI36" s="23"/>
    </row>
    <row r="37" spans="1:61" x14ac:dyDescent="0.3">
      <c r="B37" s="4059" t="s">
        <v>774</v>
      </c>
      <c r="C37" s="4932" t="s">
        <v>351</v>
      </c>
      <c r="D37" s="4923"/>
      <c r="E37" s="4923"/>
      <c r="F37" s="4923"/>
      <c r="G37" s="4923">
        <v>67.27</v>
      </c>
      <c r="H37" s="4965"/>
      <c r="I37" s="4965">
        <f t="shared" si="40"/>
        <v>67.27</v>
      </c>
      <c r="J37" s="4923"/>
      <c r="K37" s="4923"/>
      <c r="L37" s="5379"/>
      <c r="M37" s="5377">
        <f t="shared" si="41"/>
        <v>67.27</v>
      </c>
      <c r="N37" s="4923"/>
      <c r="O37" s="4923">
        <v>25.83</v>
      </c>
      <c r="P37" s="4923"/>
      <c r="Q37" s="4965">
        <f t="shared" si="8"/>
        <v>93.1</v>
      </c>
      <c r="R37" s="4923"/>
      <c r="S37" s="4923">
        <v>25.96</v>
      </c>
      <c r="T37" s="4923"/>
      <c r="U37" s="4965">
        <f t="shared" si="9"/>
        <v>119.06</v>
      </c>
      <c r="V37" s="4923"/>
      <c r="W37" s="4923">
        <v>81.59</v>
      </c>
      <c r="X37" s="5379"/>
      <c r="Y37" s="5377">
        <f t="shared" si="10"/>
        <v>133.38</v>
      </c>
      <c r="Z37" s="4923"/>
      <c r="AA37" s="4938">
        <f t="shared" si="11"/>
        <v>200.64999999999998</v>
      </c>
      <c r="AB37" s="4923"/>
      <c r="AC37" s="4923">
        <v>32.07</v>
      </c>
      <c r="AD37" s="4923"/>
      <c r="AE37" s="5062">
        <f t="shared" si="48"/>
        <v>232.71999999999997</v>
      </c>
      <c r="AF37" s="4923"/>
      <c r="AG37" s="4923"/>
      <c r="AH37" s="4923"/>
      <c r="AI37" s="4930">
        <f t="shared" si="43"/>
        <v>232.71999999999997</v>
      </c>
      <c r="AJ37" s="4923"/>
      <c r="AK37" s="4923"/>
      <c r="AL37" s="4923"/>
      <c r="AM37" s="5377">
        <f t="shared" si="14"/>
        <v>32.07</v>
      </c>
      <c r="AN37" s="4923"/>
      <c r="AO37" s="4930">
        <f t="shared" si="15"/>
        <v>232.71999999999997</v>
      </c>
      <c r="AP37" s="4923"/>
      <c r="AQ37" s="4923">
        <v>22.7</v>
      </c>
      <c r="AR37" s="4923"/>
      <c r="AS37" s="4930">
        <f t="shared" si="44"/>
        <v>255.41999999999996</v>
      </c>
      <c r="AT37" s="4923"/>
      <c r="AU37" s="4923">
        <v>159.32000000000002</v>
      </c>
      <c r="AV37" s="4923"/>
      <c r="AW37" s="4930">
        <f t="shared" si="45"/>
        <v>414.74</v>
      </c>
      <c r="AX37" s="4923"/>
      <c r="AY37" s="4923"/>
      <c r="AZ37" s="4923"/>
      <c r="BA37" s="5377">
        <f t="shared" si="19"/>
        <v>182.02</v>
      </c>
      <c r="BB37" s="4923"/>
      <c r="BC37" s="4938">
        <f t="shared" si="20"/>
        <v>214.09</v>
      </c>
      <c r="BD37" s="4923"/>
      <c r="BE37" s="4064">
        <f t="shared" si="46"/>
        <v>414.74</v>
      </c>
      <c r="BH37" s="23"/>
      <c r="BI37" s="23"/>
    </row>
    <row r="38" spans="1:61" x14ac:dyDescent="0.3">
      <c r="B38" s="4059" t="s">
        <v>2010</v>
      </c>
      <c r="C38" s="4932" t="s">
        <v>351</v>
      </c>
      <c r="D38" s="4923"/>
      <c r="E38" s="4923"/>
      <c r="F38" s="4923"/>
      <c r="G38" s="4923"/>
      <c r="H38" s="4965"/>
      <c r="I38" s="4965">
        <f t="shared" si="40"/>
        <v>0</v>
      </c>
      <c r="J38" s="4923"/>
      <c r="K38" s="4923"/>
      <c r="L38" s="5379"/>
      <c r="M38" s="5377">
        <f t="shared" si="41"/>
        <v>0</v>
      </c>
      <c r="N38" s="4923"/>
      <c r="O38" s="4923"/>
      <c r="P38" s="4923"/>
      <c r="Q38" s="4965">
        <f t="shared" si="8"/>
        <v>0</v>
      </c>
      <c r="R38" s="4923"/>
      <c r="S38" s="4923">
        <v>276.02999999999997</v>
      </c>
      <c r="T38" s="4923"/>
      <c r="U38" s="4965">
        <f t="shared" si="9"/>
        <v>276.02999999999997</v>
      </c>
      <c r="V38" s="4923"/>
      <c r="W38" s="4923">
        <v>194.61</v>
      </c>
      <c r="X38" s="5379"/>
      <c r="Y38" s="5377">
        <f t="shared" si="10"/>
        <v>470.64</v>
      </c>
      <c r="Z38" s="4923"/>
      <c r="AA38" s="4938">
        <f t="shared" si="11"/>
        <v>470.64</v>
      </c>
      <c r="AB38" s="4923"/>
      <c r="AC38" s="4923"/>
      <c r="AD38" s="4923"/>
      <c r="AE38" s="5062">
        <f t="shared" si="48"/>
        <v>470.64</v>
      </c>
      <c r="AF38" s="4923"/>
      <c r="AG38" s="4923"/>
      <c r="AH38" s="4923"/>
      <c r="AI38" s="4930">
        <f t="shared" si="43"/>
        <v>470.64</v>
      </c>
      <c r="AJ38" s="4923"/>
      <c r="AK38" s="4923"/>
      <c r="AL38" s="4923"/>
      <c r="AM38" s="5377">
        <f t="shared" si="14"/>
        <v>0</v>
      </c>
      <c r="AN38" s="4923"/>
      <c r="AO38" s="4930">
        <f t="shared" si="15"/>
        <v>470.64</v>
      </c>
      <c r="AP38" s="4923"/>
      <c r="AQ38" s="4923"/>
      <c r="AR38" s="4923"/>
      <c r="AS38" s="4930">
        <f t="shared" si="44"/>
        <v>470.64</v>
      </c>
      <c r="AT38" s="4923"/>
      <c r="AU38" s="4923"/>
      <c r="AV38" s="4923"/>
      <c r="AW38" s="4930">
        <f t="shared" si="45"/>
        <v>470.64</v>
      </c>
      <c r="AX38" s="4923"/>
      <c r="AY38" s="4923"/>
      <c r="AZ38" s="4923"/>
      <c r="BA38" s="5377">
        <f t="shared" si="19"/>
        <v>0</v>
      </c>
      <c r="BB38" s="4923"/>
      <c r="BC38" s="4938">
        <f t="shared" si="20"/>
        <v>0</v>
      </c>
      <c r="BD38" s="4923"/>
      <c r="BE38" s="4064">
        <f t="shared" si="46"/>
        <v>470.64</v>
      </c>
      <c r="BH38" s="23"/>
      <c r="BI38" s="23"/>
    </row>
    <row r="39" spans="1:61" x14ac:dyDescent="0.3">
      <c r="B39" s="4059" t="s">
        <v>2143</v>
      </c>
      <c r="C39" s="4932" t="s">
        <v>351</v>
      </c>
      <c r="D39" s="4923"/>
      <c r="E39" s="4923"/>
      <c r="F39" s="4923"/>
      <c r="G39" s="4923"/>
      <c r="H39" s="4965"/>
      <c r="I39" s="4965"/>
      <c r="J39" s="4923"/>
      <c r="K39" s="4923"/>
      <c r="L39" s="5379"/>
      <c r="M39" s="5377"/>
      <c r="N39" s="4923"/>
      <c r="O39" s="4923"/>
      <c r="P39" s="4923"/>
      <c r="Q39" s="4965"/>
      <c r="R39" s="4923"/>
      <c r="S39" s="4923"/>
      <c r="T39" s="4923"/>
      <c r="U39" s="4965"/>
      <c r="V39" s="4923"/>
      <c r="W39" s="4923"/>
      <c r="X39" s="5379"/>
      <c r="Y39" s="5377"/>
      <c r="Z39" s="4923"/>
      <c r="AA39" s="4938"/>
      <c r="AB39" s="4923"/>
      <c r="AC39" s="4923"/>
      <c r="AD39" s="4923"/>
      <c r="AE39" s="5062"/>
      <c r="AF39" s="4923"/>
      <c r="AG39" s="4923"/>
      <c r="AH39" s="4923"/>
      <c r="AI39" s="4930"/>
      <c r="AJ39" s="4923"/>
      <c r="AK39" s="4923"/>
      <c r="AL39" s="4923"/>
      <c r="AM39" s="5377"/>
      <c r="AN39" s="4923"/>
      <c r="AO39" s="4930"/>
      <c r="AP39" s="4923"/>
      <c r="AQ39" s="4923"/>
      <c r="AR39" s="4923"/>
      <c r="AS39" s="4930"/>
      <c r="AT39" s="4923"/>
      <c r="AU39" s="4923">
        <v>2.95</v>
      </c>
      <c r="AV39" s="4923"/>
      <c r="AW39" s="4930">
        <f t="shared" si="45"/>
        <v>2.95</v>
      </c>
      <c r="AX39" s="4923"/>
      <c r="AY39" s="4923"/>
      <c r="AZ39" s="4923"/>
      <c r="BA39" s="5377">
        <f t="shared" ref="BA39" si="49">+AQ39+AU39+AY39</f>
        <v>2.95</v>
      </c>
      <c r="BB39" s="4923"/>
      <c r="BC39" s="4938">
        <f t="shared" ref="BC39" si="50">BA39+AM39</f>
        <v>2.95</v>
      </c>
      <c r="BD39" s="4923"/>
      <c r="BE39" s="4064">
        <f t="shared" ref="BE39" si="51">+AW39+AY39</f>
        <v>2.95</v>
      </c>
      <c r="BH39" s="23"/>
      <c r="BI39" s="23"/>
    </row>
    <row r="40" spans="1:61" x14ac:dyDescent="0.3">
      <c r="B40" s="4059" t="s">
        <v>1994</v>
      </c>
      <c r="C40" s="4932" t="s">
        <v>351</v>
      </c>
      <c r="D40" s="4923"/>
      <c r="E40" s="4923"/>
      <c r="F40" s="4923"/>
      <c r="G40" s="4923"/>
      <c r="H40" s="4965"/>
      <c r="I40" s="4965">
        <f t="shared" si="40"/>
        <v>0</v>
      </c>
      <c r="J40" s="4923"/>
      <c r="K40" s="4923"/>
      <c r="L40" s="5379"/>
      <c r="M40" s="5377">
        <f t="shared" si="41"/>
        <v>0</v>
      </c>
      <c r="N40" s="4923"/>
      <c r="O40" s="4923">
        <v>15.01</v>
      </c>
      <c r="P40" s="4923"/>
      <c r="Q40" s="4965">
        <f t="shared" si="8"/>
        <v>15.01</v>
      </c>
      <c r="R40" s="4923"/>
      <c r="S40" s="4923">
        <v>14.38</v>
      </c>
      <c r="T40" s="4923"/>
      <c r="U40" s="4965">
        <f t="shared" si="9"/>
        <v>29.39</v>
      </c>
      <c r="V40" s="4923"/>
      <c r="W40" s="4923">
        <v>6.81</v>
      </c>
      <c r="X40" s="5379"/>
      <c r="Y40" s="5377">
        <f t="shared" si="10"/>
        <v>36.200000000000003</v>
      </c>
      <c r="Z40" s="4923"/>
      <c r="AA40" s="4938">
        <f t="shared" si="11"/>
        <v>36.200000000000003</v>
      </c>
      <c r="AB40" s="4923"/>
      <c r="AC40" s="4923"/>
      <c r="AD40" s="4923"/>
      <c r="AE40" s="5062">
        <f t="shared" si="48"/>
        <v>36.200000000000003</v>
      </c>
      <c r="AF40" s="4923"/>
      <c r="AG40" s="4923"/>
      <c r="AH40" s="4923"/>
      <c r="AI40" s="4930">
        <f t="shared" si="43"/>
        <v>36.200000000000003</v>
      </c>
      <c r="AJ40" s="4923"/>
      <c r="AK40" s="4923"/>
      <c r="AL40" s="4923"/>
      <c r="AM40" s="5377">
        <f t="shared" si="14"/>
        <v>0</v>
      </c>
      <c r="AN40" s="4923"/>
      <c r="AO40" s="4930">
        <f t="shared" si="15"/>
        <v>36.200000000000003</v>
      </c>
      <c r="AP40" s="4923"/>
      <c r="AQ40" s="4923"/>
      <c r="AR40" s="4923"/>
      <c r="AS40" s="4930">
        <f t="shared" si="44"/>
        <v>36.200000000000003</v>
      </c>
      <c r="AT40" s="4923"/>
      <c r="AU40" s="4923"/>
      <c r="AV40" s="4923"/>
      <c r="AW40" s="4930">
        <f t="shared" si="45"/>
        <v>36.200000000000003</v>
      </c>
      <c r="AX40" s="4923"/>
      <c r="AY40" s="4923"/>
      <c r="AZ40" s="4923"/>
      <c r="BA40" s="5377">
        <f t="shared" si="19"/>
        <v>0</v>
      </c>
      <c r="BB40" s="4923"/>
      <c r="BC40" s="4938">
        <f t="shared" si="20"/>
        <v>0</v>
      </c>
      <c r="BD40" s="4923"/>
      <c r="BE40" s="4064">
        <f t="shared" si="46"/>
        <v>36.200000000000003</v>
      </c>
      <c r="BH40" s="23"/>
      <c r="BI40" s="23"/>
    </row>
    <row r="41" spans="1:61" ht="14.25" customHeight="1" x14ac:dyDescent="0.3">
      <c r="B41" s="4059" t="s">
        <v>897</v>
      </c>
      <c r="C41" s="4932" t="s">
        <v>351</v>
      </c>
      <c r="D41" s="5184"/>
      <c r="E41" s="5184"/>
      <c r="F41" s="5184"/>
      <c r="G41" s="5184"/>
      <c r="H41" s="5185"/>
      <c r="I41" s="4965">
        <f t="shared" si="40"/>
        <v>0</v>
      </c>
      <c r="J41" s="5184"/>
      <c r="K41" s="5184"/>
      <c r="L41" s="5379"/>
      <c r="M41" s="5377">
        <f t="shared" si="41"/>
        <v>0</v>
      </c>
      <c r="N41" s="5184"/>
      <c r="O41" s="5184"/>
      <c r="P41" s="5184"/>
      <c r="Q41" s="4965">
        <f t="shared" si="8"/>
        <v>0</v>
      </c>
      <c r="R41" s="5184"/>
      <c r="S41" s="5184"/>
      <c r="T41" s="5184"/>
      <c r="U41" s="4965">
        <f t="shared" si="9"/>
        <v>0</v>
      </c>
      <c r="V41" s="5184"/>
      <c r="W41" s="5184"/>
      <c r="X41" s="5379"/>
      <c r="Y41" s="5377">
        <f t="shared" si="10"/>
        <v>0</v>
      </c>
      <c r="Z41" s="4923"/>
      <c r="AA41" s="5105">
        <f t="shared" si="11"/>
        <v>0</v>
      </c>
      <c r="AB41" s="5184"/>
      <c r="AC41" s="5184"/>
      <c r="AD41" s="5184"/>
      <c r="AE41" s="5062">
        <f t="shared" si="48"/>
        <v>0</v>
      </c>
      <c r="AF41" s="5184"/>
      <c r="AG41" s="5184"/>
      <c r="AH41" s="5184"/>
      <c r="AI41" s="5062">
        <f t="shared" si="43"/>
        <v>0</v>
      </c>
      <c r="AJ41" s="5184"/>
      <c r="AK41" s="5184"/>
      <c r="AL41" s="5184"/>
      <c r="AM41" s="5377">
        <f t="shared" si="14"/>
        <v>0</v>
      </c>
      <c r="AN41" s="5184"/>
      <c r="AO41" s="5062">
        <f t="shared" si="15"/>
        <v>0</v>
      </c>
      <c r="AP41" s="5184"/>
      <c r="AQ41" s="5184"/>
      <c r="AR41" s="5184"/>
      <c r="AS41" s="5062">
        <f t="shared" si="44"/>
        <v>0</v>
      </c>
      <c r="AT41" s="5184"/>
      <c r="AU41" s="5184">
        <v>9.98</v>
      </c>
      <c r="AV41" s="5184"/>
      <c r="AW41" s="5062">
        <f t="shared" si="45"/>
        <v>9.98</v>
      </c>
      <c r="AX41" s="5184"/>
      <c r="AY41" s="5184"/>
      <c r="AZ41" s="5184"/>
      <c r="BA41" s="5377">
        <f t="shared" si="19"/>
        <v>9.98</v>
      </c>
      <c r="BB41" s="4923"/>
      <c r="BC41" s="5105">
        <f t="shared" si="20"/>
        <v>9.98</v>
      </c>
      <c r="BD41" s="5184"/>
      <c r="BE41" s="4406">
        <f t="shared" si="46"/>
        <v>9.98</v>
      </c>
      <c r="BH41" s="23"/>
      <c r="BI41" s="23"/>
    </row>
    <row r="42" spans="1:61" x14ac:dyDescent="0.3">
      <c r="B42" s="4059" t="s">
        <v>1595</v>
      </c>
      <c r="C42" s="4932" t="s">
        <v>351</v>
      </c>
      <c r="D42" s="5184"/>
      <c r="E42" s="5184"/>
      <c r="F42" s="5184"/>
      <c r="G42" s="5184"/>
      <c r="H42" s="5185"/>
      <c r="I42" s="4965">
        <f t="shared" si="40"/>
        <v>0</v>
      </c>
      <c r="J42" s="5184"/>
      <c r="K42" s="5184"/>
      <c r="L42" s="5379"/>
      <c r="M42" s="5377">
        <f t="shared" si="41"/>
        <v>0</v>
      </c>
      <c r="N42" s="5184"/>
      <c r="O42" s="5184"/>
      <c r="P42" s="5184"/>
      <c r="Q42" s="4965">
        <f t="shared" si="8"/>
        <v>0</v>
      </c>
      <c r="R42" s="5184"/>
      <c r="S42" s="5184"/>
      <c r="T42" s="5184"/>
      <c r="U42" s="4965">
        <f t="shared" si="9"/>
        <v>0</v>
      </c>
      <c r="V42" s="5184"/>
      <c r="W42" s="5184"/>
      <c r="X42" s="5379"/>
      <c r="Y42" s="5377">
        <f t="shared" si="10"/>
        <v>0</v>
      </c>
      <c r="Z42" s="4923"/>
      <c r="AA42" s="5105">
        <f t="shared" si="11"/>
        <v>0</v>
      </c>
      <c r="AB42" s="5184"/>
      <c r="AC42" s="5184"/>
      <c r="AD42" s="5184"/>
      <c r="AE42" s="5062"/>
      <c r="AF42" s="5184"/>
      <c r="AG42" s="5184"/>
      <c r="AH42" s="5184"/>
      <c r="AI42" s="5062">
        <f t="shared" si="43"/>
        <v>0</v>
      </c>
      <c r="AJ42" s="5184"/>
      <c r="AK42" s="5184">
        <v>77.87</v>
      </c>
      <c r="AL42" s="5184"/>
      <c r="AM42" s="5377">
        <f t="shared" si="14"/>
        <v>77.87</v>
      </c>
      <c r="AN42" s="5184"/>
      <c r="AO42" s="5062">
        <f t="shared" si="15"/>
        <v>77.87</v>
      </c>
      <c r="AP42" s="5184"/>
      <c r="AQ42" s="5184"/>
      <c r="AR42" s="5184"/>
      <c r="AS42" s="5062">
        <f t="shared" si="44"/>
        <v>77.87</v>
      </c>
      <c r="AT42" s="5184"/>
      <c r="AU42" s="5184"/>
      <c r="AV42" s="5184"/>
      <c r="AW42" s="5062">
        <f t="shared" si="45"/>
        <v>77.87</v>
      </c>
      <c r="AX42" s="5184"/>
      <c r="AY42" s="5184"/>
      <c r="AZ42" s="5184"/>
      <c r="BA42" s="5377">
        <f t="shared" si="19"/>
        <v>0</v>
      </c>
      <c r="BB42" s="4923"/>
      <c r="BC42" s="5105">
        <f t="shared" si="20"/>
        <v>77.87</v>
      </c>
      <c r="BD42" s="5184"/>
      <c r="BE42" s="4406">
        <f t="shared" si="46"/>
        <v>77.87</v>
      </c>
      <c r="BH42" s="23"/>
      <c r="BI42" s="23"/>
    </row>
    <row r="43" spans="1:61" x14ac:dyDescent="0.3">
      <c r="B43" s="4059" t="s">
        <v>2114</v>
      </c>
      <c r="C43" s="4932" t="s">
        <v>351</v>
      </c>
      <c r="D43" s="5184"/>
      <c r="E43" s="5184"/>
      <c r="F43" s="5184"/>
      <c r="G43" s="5184"/>
      <c r="H43" s="5185"/>
      <c r="I43" s="4965"/>
      <c r="J43" s="5184"/>
      <c r="K43" s="5184"/>
      <c r="L43" s="5379"/>
      <c r="M43" s="5377"/>
      <c r="N43" s="5184"/>
      <c r="O43" s="5184"/>
      <c r="P43" s="5184"/>
      <c r="Q43" s="4965"/>
      <c r="R43" s="5184"/>
      <c r="S43" s="5184"/>
      <c r="T43" s="5184"/>
      <c r="U43" s="4965"/>
      <c r="V43" s="5184"/>
      <c r="W43" s="5184"/>
      <c r="X43" s="5379"/>
      <c r="Y43" s="5377"/>
      <c r="Z43" s="4923"/>
      <c r="AA43" s="5105"/>
      <c r="AB43" s="5184"/>
      <c r="AC43" s="5184"/>
      <c r="AD43" s="5184"/>
      <c r="AE43" s="5062"/>
      <c r="AF43" s="5184"/>
      <c r="AG43" s="5184"/>
      <c r="AH43" s="5184"/>
      <c r="AI43" s="5062"/>
      <c r="AJ43" s="5184"/>
      <c r="AK43" s="5184"/>
      <c r="AL43" s="5184"/>
      <c r="AM43" s="5377"/>
      <c r="AN43" s="5184"/>
      <c r="AO43" s="5062"/>
      <c r="AP43" s="5184"/>
      <c r="AQ43" s="5184">
        <v>20.28</v>
      </c>
      <c r="AR43" s="5184"/>
      <c r="AS43" s="5062">
        <f t="shared" si="44"/>
        <v>20.28</v>
      </c>
      <c r="AT43" s="5184"/>
      <c r="AU43" s="5184">
        <v>28.21</v>
      </c>
      <c r="AV43" s="5184"/>
      <c r="AW43" s="5062">
        <f t="shared" si="45"/>
        <v>48.49</v>
      </c>
      <c r="AX43" s="5184"/>
      <c r="AY43" s="5184"/>
      <c r="AZ43" s="5184"/>
      <c r="BA43" s="5377">
        <f t="shared" ref="BA43" si="52">+AQ43+AU43+AY43</f>
        <v>48.49</v>
      </c>
      <c r="BB43" s="4923"/>
      <c r="BC43" s="5105">
        <f t="shared" ref="BC43" si="53">BA43+AM43</f>
        <v>48.49</v>
      </c>
      <c r="BD43" s="5184"/>
      <c r="BE43" s="4406">
        <f t="shared" ref="BE43" si="54">+AW43+AY43</f>
        <v>48.49</v>
      </c>
      <c r="BH43" s="23"/>
      <c r="BI43" s="23"/>
    </row>
    <row r="44" spans="1:61" x14ac:dyDescent="0.3">
      <c r="B44" s="4059" t="s">
        <v>1470</v>
      </c>
      <c r="C44" s="4932" t="s">
        <v>351</v>
      </c>
      <c r="D44" s="5184"/>
      <c r="E44" s="5184"/>
      <c r="F44" s="5184"/>
      <c r="G44" s="5184"/>
      <c r="H44" s="5185"/>
      <c r="I44" s="4965">
        <f t="shared" si="40"/>
        <v>0</v>
      </c>
      <c r="J44" s="5184"/>
      <c r="K44" s="5184"/>
      <c r="L44" s="5379"/>
      <c r="M44" s="5377">
        <f t="shared" si="41"/>
        <v>0</v>
      </c>
      <c r="N44" s="5184"/>
      <c r="O44" s="5184"/>
      <c r="P44" s="5184"/>
      <c r="Q44" s="4965">
        <f t="shared" si="8"/>
        <v>0</v>
      </c>
      <c r="R44" s="5184"/>
      <c r="S44" s="5184"/>
      <c r="T44" s="5184"/>
      <c r="U44" s="4965">
        <f t="shared" si="9"/>
        <v>0</v>
      </c>
      <c r="V44" s="5184"/>
      <c r="W44" s="5184">
        <v>0.5</v>
      </c>
      <c r="X44" s="5379"/>
      <c r="Y44" s="5377">
        <f t="shared" si="10"/>
        <v>0.5</v>
      </c>
      <c r="Z44" s="4923"/>
      <c r="AA44" s="5105">
        <f t="shared" si="11"/>
        <v>0.5</v>
      </c>
      <c r="AB44" s="5184"/>
      <c r="AC44" s="5184"/>
      <c r="AD44" s="5184"/>
      <c r="AE44" s="5062">
        <f t="shared" si="42"/>
        <v>0.5</v>
      </c>
      <c r="AF44" s="5184"/>
      <c r="AG44" s="5184"/>
      <c r="AH44" s="5184"/>
      <c r="AI44" s="5062">
        <f t="shared" si="43"/>
        <v>0.5</v>
      </c>
      <c r="AJ44" s="5184"/>
      <c r="AK44" s="5184"/>
      <c r="AL44" s="5184"/>
      <c r="AM44" s="5377">
        <f t="shared" si="14"/>
        <v>0</v>
      </c>
      <c r="AN44" s="5184"/>
      <c r="AO44" s="5062">
        <f t="shared" si="15"/>
        <v>0.5</v>
      </c>
      <c r="AP44" s="5184"/>
      <c r="AQ44" s="5184"/>
      <c r="AR44" s="5184"/>
      <c r="AS44" s="5062">
        <f t="shared" si="44"/>
        <v>0.5</v>
      </c>
      <c r="AT44" s="5184"/>
      <c r="AU44" s="5184"/>
      <c r="AV44" s="5184"/>
      <c r="AW44" s="5062">
        <f t="shared" si="45"/>
        <v>0.5</v>
      </c>
      <c r="AX44" s="5184"/>
      <c r="AY44" s="5184"/>
      <c r="AZ44" s="5184"/>
      <c r="BA44" s="5377">
        <f t="shared" si="19"/>
        <v>0</v>
      </c>
      <c r="BB44" s="4923"/>
      <c r="BC44" s="5105">
        <f t="shared" si="20"/>
        <v>0</v>
      </c>
      <c r="BD44" s="5184"/>
      <c r="BE44" s="4406">
        <f t="shared" si="46"/>
        <v>0.5</v>
      </c>
      <c r="BH44" s="23"/>
      <c r="BI44" s="23"/>
    </row>
    <row r="45" spans="1:61" x14ac:dyDescent="0.3">
      <c r="B45" s="4059" t="s">
        <v>1469</v>
      </c>
      <c r="C45" s="4932" t="s">
        <v>351</v>
      </c>
      <c r="D45" s="5184"/>
      <c r="E45" s="5184"/>
      <c r="F45" s="5184"/>
      <c r="G45" s="5184"/>
      <c r="H45" s="5185"/>
      <c r="I45" s="4965">
        <f t="shared" si="40"/>
        <v>0</v>
      </c>
      <c r="J45" s="5184"/>
      <c r="K45" s="5184"/>
      <c r="L45" s="5379"/>
      <c r="M45" s="5377">
        <f t="shared" si="41"/>
        <v>0</v>
      </c>
      <c r="N45" s="5184"/>
      <c r="O45" s="5184"/>
      <c r="P45" s="5184"/>
      <c r="Q45" s="4965">
        <f t="shared" si="8"/>
        <v>0</v>
      </c>
      <c r="R45" s="5184"/>
      <c r="S45" s="5184"/>
      <c r="T45" s="5184"/>
      <c r="U45" s="4965">
        <f t="shared" si="9"/>
        <v>0</v>
      </c>
      <c r="V45" s="5184"/>
      <c r="W45" s="5184">
        <v>1</v>
      </c>
      <c r="X45" s="5379"/>
      <c r="Y45" s="5377">
        <f t="shared" si="10"/>
        <v>1</v>
      </c>
      <c r="Z45" s="4923"/>
      <c r="AA45" s="5105">
        <f t="shared" si="11"/>
        <v>1</v>
      </c>
      <c r="AB45" s="5184"/>
      <c r="AC45" s="5184"/>
      <c r="AD45" s="5184"/>
      <c r="AE45" s="5062">
        <f t="shared" si="42"/>
        <v>1</v>
      </c>
      <c r="AF45" s="5184"/>
      <c r="AG45" s="5184"/>
      <c r="AH45" s="5184"/>
      <c r="AI45" s="5062">
        <f t="shared" si="43"/>
        <v>1</v>
      </c>
      <c r="AJ45" s="5184"/>
      <c r="AK45" s="5184"/>
      <c r="AL45" s="5184"/>
      <c r="AM45" s="5377">
        <f t="shared" si="14"/>
        <v>0</v>
      </c>
      <c r="AN45" s="5184"/>
      <c r="AO45" s="5062">
        <f t="shared" si="15"/>
        <v>1</v>
      </c>
      <c r="AP45" s="5184"/>
      <c r="AQ45" s="5184"/>
      <c r="AR45" s="5184"/>
      <c r="AS45" s="5062">
        <f t="shared" si="44"/>
        <v>1</v>
      </c>
      <c r="AT45" s="5184"/>
      <c r="AU45" s="5184"/>
      <c r="AV45" s="5184"/>
      <c r="AW45" s="5062">
        <f t="shared" si="45"/>
        <v>1</v>
      </c>
      <c r="AX45" s="5184"/>
      <c r="AY45" s="5184"/>
      <c r="AZ45" s="5184"/>
      <c r="BA45" s="5377">
        <f t="shared" si="19"/>
        <v>0</v>
      </c>
      <c r="BB45" s="4923"/>
      <c r="BC45" s="5105">
        <f t="shared" si="20"/>
        <v>0</v>
      </c>
      <c r="BD45" s="5184"/>
      <c r="BE45" s="4406">
        <f t="shared" si="46"/>
        <v>1</v>
      </c>
      <c r="BH45" s="23"/>
      <c r="BI45" s="23"/>
    </row>
    <row r="46" spans="1:61" x14ac:dyDescent="0.3">
      <c r="A46" s="137"/>
      <c r="B46" s="4488" t="s">
        <v>681</v>
      </c>
      <c r="C46" s="5076"/>
      <c r="D46" s="5315"/>
      <c r="E46" s="5315">
        <f>+SUM(E47:E50)</f>
        <v>1287.4299999999998</v>
      </c>
      <c r="F46" s="5315"/>
      <c r="G46" s="5315">
        <f>+SUM(G47:G50)</f>
        <v>250.29999999999998</v>
      </c>
      <c r="H46" s="5376"/>
      <c r="I46" s="5376">
        <f t="shared" si="40"/>
        <v>1537.7299999999998</v>
      </c>
      <c r="J46" s="5315"/>
      <c r="K46" s="5315">
        <f>+SUM(K47:K50)</f>
        <v>10.09</v>
      </c>
      <c r="L46" s="5315"/>
      <c r="M46" s="5377">
        <f t="shared" si="41"/>
        <v>1547.8199999999997</v>
      </c>
      <c r="N46" s="5315"/>
      <c r="O46" s="5315">
        <f>+SUM(O47:O50)</f>
        <v>1010.86</v>
      </c>
      <c r="P46" s="5315"/>
      <c r="Q46" s="4965">
        <f t="shared" si="8"/>
        <v>2558.6799999999998</v>
      </c>
      <c r="R46" s="5315"/>
      <c r="S46" s="5315">
        <f>+SUM(S47:S50)</f>
        <v>496.32</v>
      </c>
      <c r="T46" s="5315"/>
      <c r="U46" s="4965">
        <f t="shared" si="9"/>
        <v>3055</v>
      </c>
      <c r="V46" s="5315"/>
      <c r="W46" s="5315">
        <f>+SUM(W47:W50)</f>
        <v>598.43000000000006</v>
      </c>
      <c r="X46" s="5315"/>
      <c r="Y46" s="5377">
        <f t="shared" si="10"/>
        <v>2105.61</v>
      </c>
      <c r="Z46" s="5315"/>
      <c r="AA46" s="5105">
        <f t="shared" si="11"/>
        <v>3653.43</v>
      </c>
      <c r="AB46" s="5315"/>
      <c r="AC46" s="5315">
        <f>+SUM(AC47:AC50)</f>
        <v>422.38</v>
      </c>
      <c r="AD46" s="5315"/>
      <c r="AE46" s="5315">
        <f t="shared" si="42"/>
        <v>4075.81</v>
      </c>
      <c r="AF46" s="5315"/>
      <c r="AG46" s="5315">
        <f>+SUM(AG47:AG50)</f>
        <v>1498.65</v>
      </c>
      <c r="AH46" s="5315"/>
      <c r="AI46" s="5315">
        <f t="shared" si="43"/>
        <v>5574.46</v>
      </c>
      <c r="AJ46" s="5315"/>
      <c r="AK46" s="5315">
        <f>+SUM(AK47:AK50)</f>
        <v>1993.44</v>
      </c>
      <c r="AL46" s="5315"/>
      <c r="AM46" s="5377">
        <f t="shared" si="14"/>
        <v>3914.4700000000003</v>
      </c>
      <c r="AN46" s="5315"/>
      <c r="AO46" s="5315">
        <f t="shared" si="15"/>
        <v>7567.9</v>
      </c>
      <c r="AP46" s="5315"/>
      <c r="AQ46" s="5315">
        <f>+SUM(AQ47:AQ50)</f>
        <v>2530.9499999999998</v>
      </c>
      <c r="AR46" s="5315"/>
      <c r="AS46" s="5315">
        <f t="shared" si="44"/>
        <v>10098.849999999999</v>
      </c>
      <c r="AT46" s="5315"/>
      <c r="AU46" s="5315">
        <f>+SUM(AU47:AU50)</f>
        <v>951.22000000000014</v>
      </c>
      <c r="AV46" s="5315"/>
      <c r="AW46" s="5315">
        <f t="shared" si="45"/>
        <v>11050.069999999998</v>
      </c>
      <c r="AX46" s="5315"/>
      <c r="AY46" s="5315">
        <f>+SUM(AY47:AY50)</f>
        <v>1690.7299999999998</v>
      </c>
      <c r="AZ46" s="5315"/>
      <c r="BA46" s="5377">
        <f t="shared" si="19"/>
        <v>5172.8999999999996</v>
      </c>
      <c r="BB46" s="5315"/>
      <c r="BC46" s="5105">
        <f t="shared" si="20"/>
        <v>9087.369999999999</v>
      </c>
      <c r="BD46" s="5315"/>
      <c r="BE46" s="5378">
        <f t="shared" si="46"/>
        <v>12740.799999999997</v>
      </c>
      <c r="BH46" s="23"/>
      <c r="BI46" s="23"/>
    </row>
    <row r="47" spans="1:61" x14ac:dyDescent="0.3">
      <c r="B47" s="4059" t="s">
        <v>1052</v>
      </c>
      <c r="C47" s="4932" t="s">
        <v>351</v>
      </c>
      <c r="D47" s="5184"/>
      <c r="E47" s="5184">
        <v>763.17</v>
      </c>
      <c r="F47" s="5184"/>
      <c r="G47" s="5184">
        <v>235.63</v>
      </c>
      <c r="H47" s="5185"/>
      <c r="I47" s="5185">
        <f t="shared" si="40"/>
        <v>998.8</v>
      </c>
      <c r="J47" s="5184"/>
      <c r="K47" s="5184"/>
      <c r="L47" s="5379"/>
      <c r="M47" s="5377">
        <f t="shared" si="41"/>
        <v>998.8</v>
      </c>
      <c r="N47" s="5184"/>
      <c r="O47" s="5184"/>
      <c r="P47" s="5184"/>
      <c r="Q47" s="4965">
        <f t="shared" si="8"/>
        <v>998.8</v>
      </c>
      <c r="R47" s="5184"/>
      <c r="S47" s="5184"/>
      <c r="T47" s="5184"/>
      <c r="U47" s="4965">
        <f t="shared" si="9"/>
        <v>998.8</v>
      </c>
      <c r="V47" s="5184"/>
      <c r="W47" s="5184">
        <v>239.28</v>
      </c>
      <c r="X47" s="5379"/>
      <c r="Y47" s="5377">
        <f t="shared" si="10"/>
        <v>239.28</v>
      </c>
      <c r="Z47" s="5184"/>
      <c r="AA47" s="5105">
        <f t="shared" si="11"/>
        <v>1238.08</v>
      </c>
      <c r="AB47" s="5184"/>
      <c r="AC47" s="5184">
        <v>260.27</v>
      </c>
      <c r="AD47" s="5184"/>
      <c r="AE47" s="5062">
        <f t="shared" si="42"/>
        <v>1498.35</v>
      </c>
      <c r="AF47" s="5184"/>
      <c r="AG47" s="5184">
        <v>1000</v>
      </c>
      <c r="AH47" s="5184"/>
      <c r="AI47" s="5062">
        <f t="shared" si="43"/>
        <v>2498.35</v>
      </c>
      <c r="AJ47" s="5184"/>
      <c r="AK47" s="5184">
        <v>499.89</v>
      </c>
      <c r="AL47" s="5184"/>
      <c r="AM47" s="5377">
        <f t="shared" si="14"/>
        <v>1760.1599999999999</v>
      </c>
      <c r="AN47" s="5184"/>
      <c r="AO47" s="5062">
        <f t="shared" si="15"/>
        <v>2998.24</v>
      </c>
      <c r="AP47" s="5184"/>
      <c r="AQ47" s="5184">
        <v>997.06000000000017</v>
      </c>
      <c r="AR47" s="5184"/>
      <c r="AS47" s="5062">
        <f t="shared" si="44"/>
        <v>3995.3</v>
      </c>
      <c r="AT47" s="5184"/>
      <c r="AU47" s="5184"/>
      <c r="AV47" s="5184"/>
      <c r="AW47" s="5062">
        <f t="shared" si="45"/>
        <v>3995.3</v>
      </c>
      <c r="AX47" s="5184"/>
      <c r="AY47" s="5184">
        <v>999.50999999999976</v>
      </c>
      <c r="AZ47" s="5184"/>
      <c r="BA47" s="5377">
        <f t="shared" si="19"/>
        <v>1996.57</v>
      </c>
      <c r="BB47" s="5184"/>
      <c r="BC47" s="5105">
        <f t="shared" si="20"/>
        <v>3756.7299999999996</v>
      </c>
      <c r="BD47" s="5184"/>
      <c r="BE47" s="4406">
        <f t="shared" si="46"/>
        <v>4994.8099999999995</v>
      </c>
      <c r="BH47" s="23"/>
      <c r="BI47" s="23"/>
    </row>
    <row r="48" spans="1:61" x14ac:dyDescent="0.3">
      <c r="B48" s="4059" t="s">
        <v>1362</v>
      </c>
      <c r="C48" s="4932" t="s">
        <v>351</v>
      </c>
      <c r="D48" s="5184"/>
      <c r="E48" s="5184">
        <v>25.01</v>
      </c>
      <c r="F48" s="5184"/>
      <c r="G48" s="5184">
        <v>14.67</v>
      </c>
      <c r="H48" s="5185"/>
      <c r="I48" s="5185">
        <f t="shared" si="40"/>
        <v>39.68</v>
      </c>
      <c r="J48" s="5184"/>
      <c r="K48" s="5184"/>
      <c r="L48" s="5379"/>
      <c r="M48" s="5377">
        <f t="shared" si="41"/>
        <v>39.68</v>
      </c>
      <c r="N48" s="5184"/>
      <c r="O48" s="5184">
        <v>14.46</v>
      </c>
      <c r="P48" s="5184"/>
      <c r="Q48" s="4965">
        <f t="shared" si="8"/>
        <v>54.14</v>
      </c>
      <c r="R48" s="5184"/>
      <c r="S48" s="5184"/>
      <c r="T48" s="5184"/>
      <c r="U48" s="4965">
        <f t="shared" si="9"/>
        <v>54.14</v>
      </c>
      <c r="V48" s="5184"/>
      <c r="W48" s="5184">
        <v>23.98</v>
      </c>
      <c r="X48" s="5379"/>
      <c r="Y48" s="5377">
        <f t="shared" si="10"/>
        <v>38.44</v>
      </c>
      <c r="Z48" s="5184"/>
      <c r="AA48" s="5105">
        <f t="shared" si="11"/>
        <v>78.12</v>
      </c>
      <c r="AB48" s="5184"/>
      <c r="AC48" s="5184"/>
      <c r="AD48" s="5184"/>
      <c r="AE48" s="5062">
        <f t="shared" si="42"/>
        <v>78.12</v>
      </c>
      <c r="AF48" s="5184"/>
      <c r="AG48" s="5184"/>
      <c r="AH48" s="5184"/>
      <c r="AI48" s="5062">
        <f t="shared" si="43"/>
        <v>78.12</v>
      </c>
      <c r="AJ48" s="5184"/>
      <c r="AK48" s="5184"/>
      <c r="AL48" s="5184"/>
      <c r="AM48" s="5377">
        <f t="shared" si="14"/>
        <v>0</v>
      </c>
      <c r="AN48" s="5184"/>
      <c r="AO48" s="5062">
        <f t="shared" si="15"/>
        <v>78.12</v>
      </c>
      <c r="AP48" s="5184"/>
      <c r="AQ48" s="5184">
        <v>36.82</v>
      </c>
      <c r="AR48" s="5184"/>
      <c r="AS48" s="5062">
        <f t="shared" si="44"/>
        <v>114.94</v>
      </c>
      <c r="AT48" s="5184"/>
      <c r="AU48" s="5184">
        <v>416.56000000000006</v>
      </c>
      <c r="AV48" s="5184"/>
      <c r="AW48" s="5062">
        <f t="shared" si="45"/>
        <v>531.5</v>
      </c>
      <c r="AX48" s="5184"/>
      <c r="AY48" s="5184">
        <v>64.63</v>
      </c>
      <c r="AZ48" s="5184"/>
      <c r="BA48" s="5377">
        <f t="shared" si="19"/>
        <v>518.01</v>
      </c>
      <c r="BB48" s="5184"/>
      <c r="BC48" s="5105">
        <f t="shared" si="20"/>
        <v>518.01</v>
      </c>
      <c r="BD48" s="5184"/>
      <c r="BE48" s="4406">
        <f t="shared" si="46"/>
        <v>596.13</v>
      </c>
      <c r="BH48" s="23"/>
      <c r="BI48" s="23"/>
    </row>
    <row r="49" spans="1:61" ht="15.75" hidden="1" customHeight="1" x14ac:dyDescent="0.3">
      <c r="B49" s="4059" t="s">
        <v>1280</v>
      </c>
      <c r="C49" s="4932" t="s">
        <v>351</v>
      </c>
      <c r="D49" s="5184"/>
      <c r="E49" s="5184"/>
      <c r="F49" s="5184"/>
      <c r="G49" s="5184"/>
      <c r="H49" s="5185"/>
      <c r="I49" s="5185">
        <f t="shared" si="40"/>
        <v>0</v>
      </c>
      <c r="J49" s="5184"/>
      <c r="K49" s="5184">
        <v>10.09</v>
      </c>
      <c r="L49" s="5379"/>
      <c r="M49" s="5377">
        <f t="shared" si="41"/>
        <v>10.09</v>
      </c>
      <c r="N49" s="5184"/>
      <c r="O49" s="5184"/>
      <c r="P49" s="5184"/>
      <c r="Q49" s="4965">
        <f t="shared" si="8"/>
        <v>10.09</v>
      </c>
      <c r="R49" s="5184"/>
      <c r="S49" s="5184"/>
      <c r="T49" s="5184"/>
      <c r="U49" s="4965">
        <f t="shared" si="9"/>
        <v>10.09</v>
      </c>
      <c r="V49" s="5184"/>
      <c r="W49" s="5184"/>
      <c r="X49" s="5379"/>
      <c r="Y49" s="5377">
        <f t="shared" si="10"/>
        <v>0</v>
      </c>
      <c r="Z49" s="5184"/>
      <c r="AA49" s="5105">
        <f t="shared" si="11"/>
        <v>10.09</v>
      </c>
      <c r="AB49" s="5184"/>
      <c r="AC49" s="5184"/>
      <c r="AD49" s="5184"/>
      <c r="AE49" s="5062">
        <f t="shared" si="42"/>
        <v>10.09</v>
      </c>
      <c r="AF49" s="5184"/>
      <c r="AG49" s="5184"/>
      <c r="AH49" s="5184"/>
      <c r="AI49" s="5062">
        <f t="shared" si="43"/>
        <v>10.09</v>
      </c>
      <c r="AJ49" s="5184"/>
      <c r="AK49" s="5184"/>
      <c r="AL49" s="5184"/>
      <c r="AM49" s="5377">
        <f t="shared" si="14"/>
        <v>0</v>
      </c>
      <c r="AN49" s="5184"/>
      <c r="AO49" s="5062">
        <f t="shared" si="15"/>
        <v>10.09</v>
      </c>
      <c r="AP49" s="5184"/>
      <c r="AQ49" s="5184"/>
      <c r="AR49" s="5184"/>
      <c r="AS49" s="5062">
        <f t="shared" si="44"/>
        <v>10.09</v>
      </c>
      <c r="AT49" s="5184"/>
      <c r="AU49" s="5184">
        <v>35.590000000000003</v>
      </c>
      <c r="AV49" s="5184"/>
      <c r="AW49" s="5062">
        <f t="shared" si="45"/>
        <v>45.680000000000007</v>
      </c>
      <c r="AX49" s="5184"/>
      <c r="AY49" s="5184">
        <v>127.03</v>
      </c>
      <c r="AZ49" s="5184"/>
      <c r="BA49" s="5377">
        <f t="shared" si="19"/>
        <v>162.62</v>
      </c>
      <c r="BB49" s="5184"/>
      <c r="BC49" s="5105">
        <f t="shared" si="20"/>
        <v>162.62</v>
      </c>
      <c r="BD49" s="5184"/>
      <c r="BE49" s="4406">
        <f t="shared" si="46"/>
        <v>172.71</v>
      </c>
      <c r="BH49" s="23"/>
      <c r="BI49" s="23"/>
    </row>
    <row r="50" spans="1:61" x14ac:dyDescent="0.3">
      <c r="A50" s="137"/>
      <c r="B50" s="4059" t="s">
        <v>682</v>
      </c>
      <c r="C50" s="4932" t="s">
        <v>351</v>
      </c>
      <c r="D50" s="4923"/>
      <c r="E50" s="5184">
        <v>499.25</v>
      </c>
      <c r="F50" s="4923"/>
      <c r="G50" s="5184"/>
      <c r="H50" s="4965"/>
      <c r="I50" s="4965">
        <f t="shared" si="40"/>
        <v>499.25</v>
      </c>
      <c r="J50" s="4923"/>
      <c r="K50" s="4923"/>
      <c r="L50" s="5379"/>
      <c r="M50" s="5377">
        <f t="shared" si="41"/>
        <v>499.25</v>
      </c>
      <c r="N50" s="4923"/>
      <c r="O50" s="4923">
        <v>996.4</v>
      </c>
      <c r="P50" s="4923"/>
      <c r="Q50" s="4965">
        <f t="shared" si="8"/>
        <v>1495.65</v>
      </c>
      <c r="R50" s="4923"/>
      <c r="S50" s="4923">
        <v>496.32</v>
      </c>
      <c r="T50" s="4923"/>
      <c r="U50" s="4965">
        <f t="shared" si="9"/>
        <v>1991.97</v>
      </c>
      <c r="V50" s="4923"/>
      <c r="W50" s="4923">
        <v>335.17</v>
      </c>
      <c r="X50" s="5379"/>
      <c r="Y50" s="5377">
        <f t="shared" si="10"/>
        <v>1827.89</v>
      </c>
      <c r="Z50" s="4923"/>
      <c r="AA50" s="4938">
        <f t="shared" si="11"/>
        <v>2327.1400000000003</v>
      </c>
      <c r="AB50" s="4923"/>
      <c r="AC50" s="4923">
        <v>162.11000000000001</v>
      </c>
      <c r="AD50" s="4923"/>
      <c r="AE50" s="4930">
        <f t="shared" si="42"/>
        <v>2489.2500000000005</v>
      </c>
      <c r="AF50" s="4923"/>
      <c r="AG50" s="4923">
        <v>498.65</v>
      </c>
      <c r="AH50" s="4923"/>
      <c r="AI50" s="4930">
        <f t="shared" si="43"/>
        <v>2987.9000000000005</v>
      </c>
      <c r="AJ50" s="4923"/>
      <c r="AK50" s="4923">
        <v>1493.55</v>
      </c>
      <c r="AL50" s="4923"/>
      <c r="AM50" s="5377">
        <f t="shared" si="14"/>
        <v>2154.31</v>
      </c>
      <c r="AN50" s="4923"/>
      <c r="AO50" s="4930">
        <f t="shared" si="15"/>
        <v>4481.4500000000007</v>
      </c>
      <c r="AP50" s="4923"/>
      <c r="AQ50" s="4923">
        <v>1497.07</v>
      </c>
      <c r="AR50" s="4923"/>
      <c r="AS50" s="4930">
        <f t="shared" si="44"/>
        <v>5978.52</v>
      </c>
      <c r="AT50" s="4923"/>
      <c r="AU50" s="4923">
        <v>499.07000000000005</v>
      </c>
      <c r="AV50" s="4923"/>
      <c r="AW50" s="4930">
        <f t="shared" si="45"/>
        <v>6477.59</v>
      </c>
      <c r="AX50" s="4923"/>
      <c r="AY50" s="4923">
        <v>499.56</v>
      </c>
      <c r="AZ50" s="4923"/>
      <c r="BA50" s="5377">
        <f t="shared" si="19"/>
        <v>2495.6999999999998</v>
      </c>
      <c r="BB50" s="4923"/>
      <c r="BC50" s="4938">
        <f t="shared" si="20"/>
        <v>4650.01</v>
      </c>
      <c r="BD50" s="4923"/>
      <c r="BE50" s="4064">
        <f t="shared" si="46"/>
        <v>6977.1500000000005</v>
      </c>
      <c r="BH50" s="23"/>
      <c r="BI50" s="23"/>
    </row>
    <row r="51" spans="1:61" x14ac:dyDescent="0.3">
      <c r="B51" s="4488" t="s">
        <v>683</v>
      </c>
      <c r="C51" s="5076"/>
      <c r="D51" s="5315"/>
      <c r="E51" s="5315">
        <f>+SUM(E52:E55)</f>
        <v>74.989999999999995</v>
      </c>
      <c r="F51" s="5315"/>
      <c r="G51" s="5315">
        <f>+SUM(G52:G55)</f>
        <v>56.97</v>
      </c>
      <c r="H51" s="5376"/>
      <c r="I51" s="5376">
        <f t="shared" si="40"/>
        <v>131.95999999999998</v>
      </c>
      <c r="J51" s="5315"/>
      <c r="K51" s="5315">
        <f>+SUM(K52:K55)</f>
        <v>44.959999999999994</v>
      </c>
      <c r="L51" s="5315"/>
      <c r="M51" s="5377">
        <f t="shared" si="41"/>
        <v>176.91999999999996</v>
      </c>
      <c r="N51" s="5315"/>
      <c r="O51" s="5315">
        <f>+SUM(O52:O55)</f>
        <v>52.61</v>
      </c>
      <c r="P51" s="5315"/>
      <c r="Q51" s="4965">
        <f t="shared" si="8"/>
        <v>229.52999999999997</v>
      </c>
      <c r="R51" s="5315"/>
      <c r="S51" s="5315">
        <f>+SUM(S52:S55)</f>
        <v>0</v>
      </c>
      <c r="T51" s="5315"/>
      <c r="U51" s="4965">
        <f t="shared" si="9"/>
        <v>229.52999999999997</v>
      </c>
      <c r="V51" s="5315"/>
      <c r="W51" s="5315">
        <f>+SUM(W52:W55)</f>
        <v>0</v>
      </c>
      <c r="X51" s="5315"/>
      <c r="Y51" s="5377">
        <f t="shared" si="10"/>
        <v>52.61</v>
      </c>
      <c r="Z51" s="5315"/>
      <c r="AA51" s="5105">
        <f t="shared" si="11"/>
        <v>229.52999999999997</v>
      </c>
      <c r="AB51" s="5315"/>
      <c r="AC51" s="5315">
        <f>+SUM(AC52:AC55)</f>
        <v>24.98</v>
      </c>
      <c r="AD51" s="5315"/>
      <c r="AE51" s="5315">
        <f t="shared" si="42"/>
        <v>254.50999999999996</v>
      </c>
      <c r="AF51" s="5315"/>
      <c r="AG51" s="5315">
        <f>+SUM(AG52:AG55)</f>
        <v>49.98</v>
      </c>
      <c r="AH51" s="5315"/>
      <c r="AI51" s="5315">
        <f t="shared" si="43"/>
        <v>304.48999999999995</v>
      </c>
      <c r="AJ51" s="5315"/>
      <c r="AK51" s="5315">
        <f>+SUM(AK52:AK55)</f>
        <v>50.06</v>
      </c>
      <c r="AL51" s="5315"/>
      <c r="AM51" s="5377">
        <f t="shared" si="14"/>
        <v>125.02</v>
      </c>
      <c r="AN51" s="5315"/>
      <c r="AO51" s="5315">
        <f t="shared" si="15"/>
        <v>354.54999999999995</v>
      </c>
      <c r="AP51" s="5315"/>
      <c r="AQ51" s="5315">
        <f>+SUM(AQ52:AQ55)</f>
        <v>115.35</v>
      </c>
      <c r="AR51" s="5315"/>
      <c r="AS51" s="5315">
        <f t="shared" si="44"/>
        <v>469.9</v>
      </c>
      <c r="AT51" s="5315"/>
      <c r="AU51" s="5315">
        <f>+SUM(AU52:AU55)</f>
        <v>59.489999999999995</v>
      </c>
      <c r="AV51" s="5315"/>
      <c r="AW51" s="5315">
        <f t="shared" si="45"/>
        <v>529.39</v>
      </c>
      <c r="AX51" s="5315"/>
      <c r="AY51" s="5315">
        <f>+SUM(AY52:AY55)</f>
        <v>19.98</v>
      </c>
      <c r="AZ51" s="5315"/>
      <c r="BA51" s="5377">
        <f t="shared" si="19"/>
        <v>194.81999999999996</v>
      </c>
      <c r="BB51" s="5315"/>
      <c r="BC51" s="5105">
        <f t="shared" si="20"/>
        <v>319.83999999999997</v>
      </c>
      <c r="BD51" s="5315"/>
      <c r="BE51" s="5378">
        <f t="shared" si="46"/>
        <v>549.37</v>
      </c>
      <c r="BH51" s="23"/>
      <c r="BI51" s="23"/>
    </row>
    <row r="52" spans="1:61" x14ac:dyDescent="0.3">
      <c r="B52" s="4059" t="s">
        <v>868</v>
      </c>
      <c r="C52" s="4932" t="s">
        <v>351</v>
      </c>
      <c r="D52" s="4923"/>
      <c r="E52" s="4923">
        <v>24.99</v>
      </c>
      <c r="F52" s="4923"/>
      <c r="G52" s="4923">
        <v>25</v>
      </c>
      <c r="H52" s="4965"/>
      <c r="I52" s="4965">
        <f t="shared" si="40"/>
        <v>49.989999999999995</v>
      </c>
      <c r="J52" s="4923"/>
      <c r="K52" s="4923"/>
      <c r="L52" s="5379"/>
      <c r="M52" s="5296">
        <f t="shared" si="41"/>
        <v>49.989999999999995</v>
      </c>
      <c r="N52" s="4923"/>
      <c r="O52" s="4923">
        <v>24.99</v>
      </c>
      <c r="P52" s="4923"/>
      <c r="Q52" s="4965">
        <f t="shared" si="8"/>
        <v>74.97999999999999</v>
      </c>
      <c r="R52" s="4923"/>
      <c r="S52" s="4923"/>
      <c r="T52" s="4923"/>
      <c r="U52" s="4965">
        <f t="shared" si="9"/>
        <v>74.97999999999999</v>
      </c>
      <c r="V52" s="4923"/>
      <c r="W52" s="4923"/>
      <c r="X52" s="5379"/>
      <c r="Y52" s="5296">
        <f t="shared" si="10"/>
        <v>24.99</v>
      </c>
      <c r="Z52" s="4923"/>
      <c r="AA52" s="4938">
        <f t="shared" si="11"/>
        <v>74.97999999999999</v>
      </c>
      <c r="AB52" s="4923"/>
      <c r="AC52" s="4923">
        <v>24.98</v>
      </c>
      <c r="AD52" s="4923"/>
      <c r="AE52" s="4930">
        <f t="shared" si="42"/>
        <v>99.96</v>
      </c>
      <c r="AF52" s="4923"/>
      <c r="AG52" s="4923"/>
      <c r="AH52" s="4923"/>
      <c r="AI52" s="4930">
        <f t="shared" si="43"/>
        <v>99.96</v>
      </c>
      <c r="AJ52" s="4923"/>
      <c r="AK52" s="4923">
        <v>24.99</v>
      </c>
      <c r="AL52" s="4923"/>
      <c r="AM52" s="5296">
        <f t="shared" si="14"/>
        <v>49.97</v>
      </c>
      <c r="AN52" s="4923"/>
      <c r="AO52" s="4930">
        <f t="shared" si="15"/>
        <v>124.94999999999999</v>
      </c>
      <c r="AP52" s="4923"/>
      <c r="AQ52" s="4923">
        <v>24.95</v>
      </c>
      <c r="AR52" s="4923"/>
      <c r="AS52" s="4930">
        <f t="shared" si="44"/>
        <v>149.89999999999998</v>
      </c>
      <c r="AT52" s="4923"/>
      <c r="AU52" s="4923">
        <v>24.98</v>
      </c>
      <c r="AV52" s="4923"/>
      <c r="AW52" s="4930">
        <f t="shared" si="45"/>
        <v>174.87999999999997</v>
      </c>
      <c r="AX52" s="4923"/>
      <c r="AY52" s="4923"/>
      <c r="AZ52" s="4923"/>
      <c r="BA52" s="5296">
        <f t="shared" si="19"/>
        <v>49.93</v>
      </c>
      <c r="BB52" s="4923"/>
      <c r="BC52" s="4938">
        <f t="shared" si="20"/>
        <v>99.9</v>
      </c>
      <c r="BD52" s="4923"/>
      <c r="BE52" s="4064">
        <f t="shared" si="46"/>
        <v>174.87999999999997</v>
      </c>
      <c r="BH52" s="23"/>
      <c r="BI52" s="23"/>
    </row>
    <row r="53" spans="1:61" ht="15.75" hidden="1" customHeight="1" x14ac:dyDescent="0.3">
      <c r="B53" s="4059" t="s">
        <v>1211</v>
      </c>
      <c r="C53" s="4932" t="s">
        <v>351</v>
      </c>
      <c r="D53" s="4923"/>
      <c r="E53" s="4923"/>
      <c r="F53" s="4923"/>
      <c r="G53" s="4923"/>
      <c r="H53" s="4965"/>
      <c r="I53" s="4965">
        <f t="shared" si="40"/>
        <v>0</v>
      </c>
      <c r="J53" s="4923"/>
      <c r="K53" s="4923"/>
      <c r="L53" s="5379"/>
      <c r="M53" s="5296">
        <f t="shared" si="41"/>
        <v>0</v>
      </c>
      <c r="N53" s="4923"/>
      <c r="O53" s="4923"/>
      <c r="P53" s="4923"/>
      <c r="Q53" s="4965">
        <f t="shared" si="8"/>
        <v>0</v>
      </c>
      <c r="R53" s="4923"/>
      <c r="S53" s="4923"/>
      <c r="T53" s="4923"/>
      <c r="U53" s="4965">
        <f t="shared" si="9"/>
        <v>0</v>
      </c>
      <c r="V53" s="4923"/>
      <c r="W53" s="4923"/>
      <c r="X53" s="5379"/>
      <c r="Y53" s="5296">
        <f t="shared" si="10"/>
        <v>0</v>
      </c>
      <c r="Z53" s="4923"/>
      <c r="AA53" s="4938">
        <f t="shared" si="11"/>
        <v>0</v>
      </c>
      <c r="AB53" s="4923"/>
      <c r="AC53" s="4923"/>
      <c r="AD53" s="4923"/>
      <c r="AE53" s="4930">
        <f t="shared" si="42"/>
        <v>0</v>
      </c>
      <c r="AF53" s="4923"/>
      <c r="AG53" s="4923"/>
      <c r="AH53" s="4923"/>
      <c r="AI53" s="4930">
        <f t="shared" si="43"/>
        <v>0</v>
      </c>
      <c r="AJ53" s="4923"/>
      <c r="AK53" s="4923"/>
      <c r="AL53" s="4923"/>
      <c r="AM53" s="5296">
        <f t="shared" si="14"/>
        <v>0</v>
      </c>
      <c r="AN53" s="4923"/>
      <c r="AO53" s="4930">
        <f t="shared" si="15"/>
        <v>0</v>
      </c>
      <c r="AP53" s="4923"/>
      <c r="AQ53" s="4923"/>
      <c r="AR53" s="4923"/>
      <c r="AS53" s="4930">
        <f t="shared" si="44"/>
        <v>0</v>
      </c>
      <c r="AT53" s="4923"/>
      <c r="AU53" s="4923"/>
      <c r="AV53" s="4923"/>
      <c r="AW53" s="4930">
        <f t="shared" si="45"/>
        <v>0</v>
      </c>
      <c r="AX53" s="4923"/>
      <c r="AY53" s="4923"/>
      <c r="AZ53" s="4923"/>
      <c r="BA53" s="5296">
        <f t="shared" si="19"/>
        <v>0</v>
      </c>
      <c r="BB53" s="4923"/>
      <c r="BC53" s="4938">
        <f t="shared" si="20"/>
        <v>0</v>
      </c>
      <c r="BD53" s="4923"/>
      <c r="BE53" s="4064">
        <f t="shared" si="46"/>
        <v>0</v>
      </c>
      <c r="BH53" s="23"/>
      <c r="BI53" s="23"/>
    </row>
    <row r="54" spans="1:61" hidden="1" x14ac:dyDescent="0.3">
      <c r="B54" s="4059" t="s">
        <v>1471</v>
      </c>
      <c r="C54" s="4932" t="s">
        <v>351</v>
      </c>
      <c r="D54" s="4923"/>
      <c r="E54" s="4923"/>
      <c r="F54" s="4923"/>
      <c r="G54" s="4923"/>
      <c r="H54" s="4965"/>
      <c r="I54" s="4965">
        <f t="shared" si="40"/>
        <v>0</v>
      </c>
      <c r="J54" s="4923"/>
      <c r="K54" s="4923">
        <v>19.989999999999998</v>
      </c>
      <c r="L54" s="5379"/>
      <c r="M54" s="5296">
        <f t="shared" si="41"/>
        <v>19.989999999999998</v>
      </c>
      <c r="N54" s="4923"/>
      <c r="O54" s="4923"/>
      <c r="P54" s="4923"/>
      <c r="Q54" s="4965">
        <f t="shared" si="8"/>
        <v>19.989999999999998</v>
      </c>
      <c r="R54" s="4923"/>
      <c r="S54" s="4923"/>
      <c r="T54" s="4923"/>
      <c r="U54" s="4965">
        <f t="shared" si="9"/>
        <v>19.989999999999998</v>
      </c>
      <c r="V54" s="4923"/>
      <c r="W54" s="4923"/>
      <c r="X54" s="5379"/>
      <c r="Y54" s="5296">
        <f t="shared" si="10"/>
        <v>0</v>
      </c>
      <c r="Z54" s="4923"/>
      <c r="AA54" s="4938">
        <f t="shared" si="11"/>
        <v>19.989999999999998</v>
      </c>
      <c r="AB54" s="4923"/>
      <c r="AC54" s="4923"/>
      <c r="AD54" s="4923"/>
      <c r="AE54" s="4930">
        <f t="shared" si="42"/>
        <v>19.989999999999998</v>
      </c>
      <c r="AF54" s="4923"/>
      <c r="AG54" s="4923"/>
      <c r="AH54" s="4923"/>
      <c r="AI54" s="4930">
        <f t="shared" si="43"/>
        <v>19.989999999999998</v>
      </c>
      <c r="AJ54" s="4923"/>
      <c r="AK54" s="4923">
        <v>25.07</v>
      </c>
      <c r="AL54" s="4923"/>
      <c r="AM54" s="5296">
        <f t="shared" si="14"/>
        <v>25.07</v>
      </c>
      <c r="AN54" s="4923"/>
      <c r="AO54" s="4930">
        <f t="shared" si="15"/>
        <v>45.06</v>
      </c>
      <c r="AP54" s="4923"/>
      <c r="AQ54" s="4923">
        <v>24.93</v>
      </c>
      <c r="AR54" s="4923"/>
      <c r="AS54" s="4930">
        <f t="shared" si="44"/>
        <v>69.990000000000009</v>
      </c>
      <c r="AT54" s="4923"/>
      <c r="AU54" s="4923"/>
      <c r="AV54" s="4923"/>
      <c r="AW54" s="4930">
        <f t="shared" si="45"/>
        <v>69.990000000000009</v>
      </c>
      <c r="AX54" s="4923"/>
      <c r="AY54" s="4923">
        <v>19.98</v>
      </c>
      <c r="AZ54" s="4923"/>
      <c r="BA54" s="5296">
        <f t="shared" si="19"/>
        <v>44.91</v>
      </c>
      <c r="BB54" s="4923"/>
      <c r="BC54" s="4938">
        <f t="shared" si="20"/>
        <v>69.97999999999999</v>
      </c>
      <c r="BD54" s="4923"/>
      <c r="BE54" s="4064">
        <f t="shared" si="46"/>
        <v>89.970000000000013</v>
      </c>
      <c r="BH54" s="23"/>
      <c r="BI54" s="23"/>
    </row>
    <row r="55" spans="1:61" x14ac:dyDescent="0.3">
      <c r="A55" s="137"/>
      <c r="B55" s="4059" t="s">
        <v>618</v>
      </c>
      <c r="C55" s="4932" t="s">
        <v>351</v>
      </c>
      <c r="D55" s="4923"/>
      <c r="E55" s="4923">
        <v>50</v>
      </c>
      <c r="F55" s="4923"/>
      <c r="G55" s="4923">
        <v>31.97</v>
      </c>
      <c r="H55" s="4965"/>
      <c r="I55" s="4965">
        <f t="shared" si="40"/>
        <v>81.97</v>
      </c>
      <c r="J55" s="4923"/>
      <c r="K55" s="4923">
        <v>24.97</v>
      </c>
      <c r="L55" s="5379"/>
      <c r="M55" s="5296">
        <f t="shared" si="41"/>
        <v>106.94</v>
      </c>
      <c r="N55" s="4923"/>
      <c r="O55" s="4923">
        <v>27.62</v>
      </c>
      <c r="P55" s="4923"/>
      <c r="Q55" s="4965">
        <f t="shared" si="8"/>
        <v>134.56</v>
      </c>
      <c r="R55" s="4923"/>
      <c r="S55" s="4923"/>
      <c r="T55" s="4923"/>
      <c r="U55" s="4965">
        <f t="shared" si="9"/>
        <v>134.56</v>
      </c>
      <c r="V55" s="4923"/>
      <c r="W55" s="4923"/>
      <c r="X55" s="5379"/>
      <c r="Y55" s="5296">
        <f t="shared" si="10"/>
        <v>27.62</v>
      </c>
      <c r="Z55" s="4923"/>
      <c r="AA55" s="4938">
        <f t="shared" si="11"/>
        <v>134.56</v>
      </c>
      <c r="AB55" s="4923"/>
      <c r="AC55" s="4923"/>
      <c r="AD55" s="4923"/>
      <c r="AE55" s="4930">
        <f t="shared" si="42"/>
        <v>134.56</v>
      </c>
      <c r="AF55" s="4923"/>
      <c r="AG55" s="4923">
        <v>49.98</v>
      </c>
      <c r="AH55" s="4923"/>
      <c r="AI55" s="4930">
        <f t="shared" si="43"/>
        <v>184.54</v>
      </c>
      <c r="AJ55" s="4923"/>
      <c r="AK55" s="4923"/>
      <c r="AL55" s="4923"/>
      <c r="AM55" s="5296">
        <f t="shared" si="14"/>
        <v>49.98</v>
      </c>
      <c r="AN55" s="4923"/>
      <c r="AO55" s="4930">
        <f t="shared" si="15"/>
        <v>184.54</v>
      </c>
      <c r="AP55" s="4923"/>
      <c r="AQ55" s="4923">
        <v>65.47</v>
      </c>
      <c r="AR55" s="4923"/>
      <c r="AS55" s="4930">
        <f t="shared" si="44"/>
        <v>250.01</v>
      </c>
      <c r="AT55" s="4923"/>
      <c r="AU55" s="4923">
        <v>34.51</v>
      </c>
      <c r="AV55" s="4923"/>
      <c r="AW55" s="4930">
        <f t="shared" si="45"/>
        <v>284.52</v>
      </c>
      <c r="AX55" s="4923"/>
      <c r="AY55" s="4923"/>
      <c r="AZ55" s="4923"/>
      <c r="BA55" s="5296">
        <f t="shared" si="19"/>
        <v>99.97999999999999</v>
      </c>
      <c r="BB55" s="4923"/>
      <c r="BC55" s="4938">
        <f t="shared" si="20"/>
        <v>149.95999999999998</v>
      </c>
      <c r="BD55" s="4923"/>
      <c r="BE55" s="4064">
        <f t="shared" si="46"/>
        <v>284.52</v>
      </c>
      <c r="BH55" s="23"/>
      <c r="BI55" s="23"/>
    </row>
    <row r="56" spans="1:61" x14ac:dyDescent="0.3">
      <c r="B56" s="4488" t="s">
        <v>636</v>
      </c>
      <c r="C56" s="5076"/>
      <c r="D56" s="5315"/>
      <c r="E56" s="5315">
        <f>+SUM(E57:E61)</f>
        <v>49.57</v>
      </c>
      <c r="F56" s="5315"/>
      <c r="G56" s="5315">
        <f>+SUM(G57:G61)</f>
        <v>0</v>
      </c>
      <c r="H56" s="5376">
        <f>+SUM(H57:H61)</f>
        <v>0</v>
      </c>
      <c r="I56" s="5376">
        <f t="shared" si="40"/>
        <v>49.57</v>
      </c>
      <c r="J56" s="5315"/>
      <c r="K56" s="5315">
        <f>+SUM(K57:K61)</f>
        <v>0</v>
      </c>
      <c r="L56" s="5315"/>
      <c r="M56" s="5377">
        <f t="shared" si="41"/>
        <v>49.57</v>
      </c>
      <c r="N56" s="5315"/>
      <c r="O56" s="5315">
        <f>+SUM(O57:O61)</f>
        <v>18.39</v>
      </c>
      <c r="P56" s="5315"/>
      <c r="Q56" s="4965">
        <f t="shared" si="8"/>
        <v>67.960000000000008</v>
      </c>
      <c r="R56" s="5315"/>
      <c r="S56" s="5315">
        <f>+SUM(S57:S61)</f>
        <v>138.43</v>
      </c>
      <c r="T56" s="5315"/>
      <c r="U56" s="4965">
        <f t="shared" si="9"/>
        <v>206.39000000000001</v>
      </c>
      <c r="V56" s="5315"/>
      <c r="W56" s="5315">
        <f>+SUM(W57:W61)</f>
        <v>381.20999999999992</v>
      </c>
      <c r="X56" s="5315"/>
      <c r="Y56" s="5377">
        <f t="shared" si="10"/>
        <v>538.03</v>
      </c>
      <c r="Z56" s="5315"/>
      <c r="AA56" s="5105">
        <f t="shared" si="11"/>
        <v>587.6</v>
      </c>
      <c r="AB56" s="5315"/>
      <c r="AC56" s="5315">
        <f>+SUM(AC57:AC61)</f>
        <v>285</v>
      </c>
      <c r="AD56" s="5315"/>
      <c r="AE56" s="5315">
        <f t="shared" si="42"/>
        <v>872.6</v>
      </c>
      <c r="AF56" s="5315"/>
      <c r="AG56" s="5315">
        <f>+SUM(AG57:AG61)</f>
        <v>244.22</v>
      </c>
      <c r="AH56" s="5315"/>
      <c r="AI56" s="5315">
        <f t="shared" si="43"/>
        <v>1116.82</v>
      </c>
      <c r="AJ56" s="5315"/>
      <c r="AK56" s="5315">
        <f>+SUM(AK57:AK61)</f>
        <v>416.07000000000005</v>
      </c>
      <c r="AL56" s="5315"/>
      <c r="AM56" s="5377">
        <f t="shared" si="14"/>
        <v>945.29000000000008</v>
      </c>
      <c r="AN56" s="5315"/>
      <c r="AO56" s="5315">
        <f t="shared" si="15"/>
        <v>1532.8899999999999</v>
      </c>
      <c r="AP56" s="5315"/>
      <c r="AQ56" s="5315">
        <f>+SUM(AQ57:AQ61)</f>
        <v>630.79000000000008</v>
      </c>
      <c r="AR56" s="5315"/>
      <c r="AS56" s="5315">
        <f t="shared" si="44"/>
        <v>2163.6799999999998</v>
      </c>
      <c r="AT56" s="5315"/>
      <c r="AU56" s="5315">
        <f>+SUM(AU57:AU61)</f>
        <v>71.78</v>
      </c>
      <c r="AV56" s="5315"/>
      <c r="AW56" s="5315">
        <f t="shared" si="45"/>
        <v>2235.46</v>
      </c>
      <c r="AX56" s="5315"/>
      <c r="AY56" s="5315">
        <f>+SUM(AY57:AY61)</f>
        <v>630.38</v>
      </c>
      <c r="AZ56" s="5315"/>
      <c r="BA56" s="5377">
        <f t="shared" si="19"/>
        <v>1332.95</v>
      </c>
      <c r="BB56" s="5315"/>
      <c r="BC56" s="5105">
        <f t="shared" si="20"/>
        <v>2278.2400000000002</v>
      </c>
      <c r="BD56" s="5315"/>
      <c r="BE56" s="5378">
        <f t="shared" si="46"/>
        <v>2865.84</v>
      </c>
      <c r="BH56" s="23"/>
      <c r="BI56" s="23"/>
    </row>
    <row r="57" spans="1:61" hidden="1" x14ac:dyDescent="0.3">
      <c r="B57" s="4059" t="s">
        <v>1365</v>
      </c>
      <c r="C57" s="5076" t="s">
        <v>351</v>
      </c>
      <c r="D57" s="5315"/>
      <c r="E57" s="5061"/>
      <c r="F57" s="5315"/>
      <c r="G57" s="5061"/>
      <c r="H57" s="5376"/>
      <c r="I57" s="5376">
        <f t="shared" si="40"/>
        <v>0</v>
      </c>
      <c r="J57" s="5061"/>
      <c r="K57" s="5061"/>
      <c r="L57" s="5315"/>
      <c r="M57" s="5296">
        <f t="shared" si="41"/>
        <v>0</v>
      </c>
      <c r="N57" s="5315"/>
      <c r="O57" s="5061">
        <v>18.39</v>
      </c>
      <c r="P57" s="5315"/>
      <c r="Q57" s="4965">
        <f t="shared" si="8"/>
        <v>18.39</v>
      </c>
      <c r="R57" s="5315"/>
      <c r="S57" s="5061"/>
      <c r="T57" s="5315"/>
      <c r="U57" s="4965">
        <f t="shared" si="9"/>
        <v>18.39</v>
      </c>
      <c r="V57" s="5315"/>
      <c r="W57" s="5061"/>
      <c r="X57" s="5315"/>
      <c r="Y57" s="5296">
        <f t="shared" si="10"/>
        <v>18.39</v>
      </c>
      <c r="Z57" s="5315"/>
      <c r="AA57" s="5105">
        <f t="shared" si="11"/>
        <v>18.39</v>
      </c>
      <c r="AB57" s="5315"/>
      <c r="AC57" s="5061"/>
      <c r="AD57" s="5315"/>
      <c r="AE57" s="5058">
        <f>AA57+AC57</f>
        <v>18.39</v>
      </c>
      <c r="AF57" s="5315"/>
      <c r="AG57" s="5061"/>
      <c r="AH57" s="5315"/>
      <c r="AI57" s="5058">
        <f t="shared" si="43"/>
        <v>18.39</v>
      </c>
      <c r="AJ57" s="5315"/>
      <c r="AK57" s="5061"/>
      <c r="AL57" s="5315"/>
      <c r="AM57" s="5296">
        <f t="shared" si="14"/>
        <v>0</v>
      </c>
      <c r="AN57" s="5315"/>
      <c r="AO57" s="5058">
        <f t="shared" si="15"/>
        <v>18.39</v>
      </c>
      <c r="AP57" s="5315"/>
      <c r="AQ57" s="5061"/>
      <c r="AR57" s="5315"/>
      <c r="AS57" s="5058">
        <f t="shared" ref="AS57:AS61" si="55">AO57+AQ57</f>
        <v>18.39</v>
      </c>
      <c r="AT57" s="5315"/>
      <c r="AU57" s="5061"/>
      <c r="AV57" s="5315"/>
      <c r="AW57" s="5058">
        <f t="shared" ref="AW57:AW61" si="56">AS57+AU57</f>
        <v>18.39</v>
      </c>
      <c r="AX57" s="5315"/>
      <c r="AY57" s="5061">
        <v>108.64</v>
      </c>
      <c r="AZ57" s="5315"/>
      <c r="BA57" s="5296">
        <f t="shared" si="19"/>
        <v>108.64</v>
      </c>
      <c r="BB57" s="5315"/>
      <c r="BC57" s="5105">
        <f t="shared" si="20"/>
        <v>108.64</v>
      </c>
      <c r="BD57" s="5315"/>
      <c r="BE57" s="4406">
        <f t="shared" ref="BE57:BE61" si="57">AW57+AY57</f>
        <v>127.03</v>
      </c>
      <c r="BH57" s="23"/>
      <c r="BI57" s="23"/>
    </row>
    <row r="58" spans="1:61" hidden="1" x14ac:dyDescent="0.3">
      <c r="B58" s="4059" t="s">
        <v>2117</v>
      </c>
      <c r="C58" s="5076"/>
      <c r="D58" s="5315"/>
      <c r="E58" s="5061"/>
      <c r="F58" s="5315"/>
      <c r="G58" s="5061"/>
      <c r="H58" s="5376"/>
      <c r="I58" s="5376"/>
      <c r="J58" s="5061"/>
      <c r="K58" s="5061"/>
      <c r="L58" s="5315"/>
      <c r="M58" s="5296"/>
      <c r="N58" s="5315"/>
      <c r="O58" s="5061"/>
      <c r="P58" s="5315"/>
      <c r="Q58" s="4965"/>
      <c r="R58" s="5315"/>
      <c r="S58" s="5061"/>
      <c r="T58" s="5315"/>
      <c r="U58" s="4965"/>
      <c r="V58" s="5315"/>
      <c r="W58" s="5061"/>
      <c r="X58" s="5315"/>
      <c r="Y58" s="5296"/>
      <c r="Z58" s="5315"/>
      <c r="AA58" s="5105"/>
      <c r="AB58" s="5315"/>
      <c r="AC58" s="5061"/>
      <c r="AD58" s="5315"/>
      <c r="AE58" s="5058"/>
      <c r="AF58" s="5315"/>
      <c r="AG58" s="5061"/>
      <c r="AH58" s="5315"/>
      <c r="AI58" s="5058"/>
      <c r="AJ58" s="5315"/>
      <c r="AK58" s="5061"/>
      <c r="AL58" s="5315"/>
      <c r="AM58" s="5296"/>
      <c r="AN58" s="5315"/>
      <c r="AO58" s="5058"/>
      <c r="AP58" s="5315"/>
      <c r="AQ58" s="5061">
        <v>19.84</v>
      </c>
      <c r="AR58" s="5315"/>
      <c r="AS58" s="5058">
        <f t="shared" si="55"/>
        <v>19.84</v>
      </c>
      <c r="AT58" s="5315"/>
      <c r="AU58" s="5061"/>
      <c r="AV58" s="5315"/>
      <c r="AW58" s="5058">
        <f t="shared" si="56"/>
        <v>19.84</v>
      </c>
      <c r="AX58" s="5315"/>
      <c r="AY58" s="5061"/>
      <c r="AZ58" s="5315"/>
      <c r="BA58" s="5296">
        <f t="shared" ref="BA58" si="58">+AQ58+AU58+AY58</f>
        <v>19.84</v>
      </c>
      <c r="BB58" s="5315"/>
      <c r="BC58" s="5105">
        <f t="shared" ref="BC58" si="59">BA58+AM58</f>
        <v>19.84</v>
      </c>
      <c r="BD58" s="5315"/>
      <c r="BE58" s="4406">
        <f t="shared" si="57"/>
        <v>19.84</v>
      </c>
      <c r="BH58" s="23"/>
      <c r="BI58" s="23"/>
    </row>
    <row r="59" spans="1:61" hidden="1" x14ac:dyDescent="0.3">
      <c r="B59" s="4059" t="s">
        <v>1399</v>
      </c>
      <c r="C59" s="5076" t="s">
        <v>351</v>
      </c>
      <c r="D59" s="5315"/>
      <c r="E59" s="5061"/>
      <c r="F59" s="5315"/>
      <c r="G59" s="5061"/>
      <c r="H59" s="5376"/>
      <c r="I59" s="5376">
        <f t="shared" si="40"/>
        <v>0</v>
      </c>
      <c r="J59" s="5061"/>
      <c r="K59" s="5061"/>
      <c r="L59" s="5315"/>
      <c r="M59" s="5296">
        <f t="shared" si="41"/>
        <v>0</v>
      </c>
      <c r="N59" s="5315"/>
      <c r="O59" s="5061"/>
      <c r="P59" s="5315"/>
      <c r="Q59" s="4965">
        <f t="shared" si="8"/>
        <v>0</v>
      </c>
      <c r="R59" s="5315"/>
      <c r="S59" s="5061"/>
      <c r="T59" s="5315"/>
      <c r="U59" s="4965">
        <f t="shared" si="9"/>
        <v>0</v>
      </c>
      <c r="V59" s="5315"/>
      <c r="W59" s="5061"/>
      <c r="X59" s="5315"/>
      <c r="Y59" s="5296">
        <f t="shared" si="10"/>
        <v>0</v>
      </c>
      <c r="Z59" s="5315"/>
      <c r="AA59" s="5105">
        <f t="shared" si="11"/>
        <v>0</v>
      </c>
      <c r="AB59" s="5315"/>
      <c r="AC59" s="5061"/>
      <c r="AD59" s="5315"/>
      <c r="AE59" s="5058">
        <f>AA59+AC59</f>
        <v>0</v>
      </c>
      <c r="AF59" s="5315"/>
      <c r="AG59" s="5061"/>
      <c r="AH59" s="5315"/>
      <c r="AI59" s="5058">
        <f t="shared" si="43"/>
        <v>0</v>
      </c>
      <c r="AJ59" s="5315"/>
      <c r="AK59" s="5061"/>
      <c r="AL59" s="5315"/>
      <c r="AM59" s="5296">
        <f t="shared" si="14"/>
        <v>0</v>
      </c>
      <c r="AN59" s="5315"/>
      <c r="AO59" s="5058">
        <f t="shared" si="15"/>
        <v>0</v>
      </c>
      <c r="AP59" s="5315"/>
      <c r="AQ59" s="5061"/>
      <c r="AR59" s="5315"/>
      <c r="AS59" s="5058">
        <f t="shared" si="55"/>
        <v>0</v>
      </c>
      <c r="AT59" s="5315"/>
      <c r="AU59" s="5061">
        <v>42.510000000000005</v>
      </c>
      <c r="AV59" s="5315"/>
      <c r="AW59" s="5058">
        <f t="shared" si="56"/>
        <v>42.510000000000005</v>
      </c>
      <c r="AX59" s="5315"/>
      <c r="AY59" s="5061">
        <v>22.6</v>
      </c>
      <c r="AZ59" s="5315"/>
      <c r="BA59" s="5296">
        <f t="shared" si="19"/>
        <v>65.110000000000014</v>
      </c>
      <c r="BB59" s="5315"/>
      <c r="BC59" s="5105">
        <f t="shared" si="20"/>
        <v>65.110000000000014</v>
      </c>
      <c r="BD59" s="5315"/>
      <c r="BE59" s="4406">
        <f t="shared" si="57"/>
        <v>65.110000000000014</v>
      </c>
      <c r="BH59" s="23"/>
      <c r="BI59" s="23"/>
    </row>
    <row r="60" spans="1:61" x14ac:dyDescent="0.3">
      <c r="B60" s="4059" t="s">
        <v>2035</v>
      </c>
      <c r="C60" s="5076" t="s">
        <v>351</v>
      </c>
      <c r="D60" s="5315"/>
      <c r="E60" s="5061">
        <v>49.57</v>
      </c>
      <c r="F60" s="5315"/>
      <c r="G60" s="5061"/>
      <c r="H60" s="5376"/>
      <c r="I60" s="5376">
        <f t="shared" ref="I60:I61" si="60">+E60+G60</f>
        <v>49.57</v>
      </c>
      <c r="J60" s="5061"/>
      <c r="K60" s="5061"/>
      <c r="L60" s="5315"/>
      <c r="M60" s="5296">
        <f t="shared" si="41"/>
        <v>49.57</v>
      </c>
      <c r="N60" s="5315"/>
      <c r="O60" s="5061"/>
      <c r="P60" s="5315"/>
      <c r="Q60" s="4965">
        <f t="shared" si="8"/>
        <v>49.57</v>
      </c>
      <c r="R60" s="5315"/>
      <c r="S60" s="5061"/>
      <c r="T60" s="5315"/>
      <c r="U60" s="4965">
        <f t="shared" si="9"/>
        <v>49.57</v>
      </c>
      <c r="V60" s="5315"/>
      <c r="W60" s="5061">
        <v>19.89</v>
      </c>
      <c r="X60" s="5315"/>
      <c r="Y60" s="5296">
        <f t="shared" si="10"/>
        <v>19.89</v>
      </c>
      <c r="Z60" s="5315"/>
      <c r="AA60" s="5105">
        <f t="shared" si="11"/>
        <v>69.460000000000008</v>
      </c>
      <c r="AB60" s="5315"/>
      <c r="AC60" s="5061"/>
      <c r="AD60" s="5315"/>
      <c r="AE60" s="5058">
        <f>AA60+AC60</f>
        <v>69.460000000000008</v>
      </c>
      <c r="AF60" s="5315"/>
      <c r="AG60" s="5061">
        <v>29.76</v>
      </c>
      <c r="AH60" s="5315"/>
      <c r="AI60" s="5058">
        <f t="shared" si="43"/>
        <v>99.220000000000013</v>
      </c>
      <c r="AJ60" s="5315"/>
      <c r="AK60" s="5061">
        <v>29.6</v>
      </c>
      <c r="AL60" s="5315"/>
      <c r="AM60" s="5296">
        <f t="shared" si="14"/>
        <v>59.36</v>
      </c>
      <c r="AN60" s="5315"/>
      <c r="AO60" s="5058">
        <f t="shared" si="15"/>
        <v>128.82000000000002</v>
      </c>
      <c r="AP60" s="5315"/>
      <c r="AQ60" s="5061"/>
      <c r="AR60" s="5315"/>
      <c r="AS60" s="5058">
        <f t="shared" si="55"/>
        <v>128.82000000000002</v>
      </c>
      <c r="AT60" s="5315"/>
      <c r="AU60" s="5061">
        <v>29.27</v>
      </c>
      <c r="AV60" s="5315"/>
      <c r="AW60" s="5058">
        <f t="shared" si="56"/>
        <v>158.09000000000003</v>
      </c>
      <c r="AX60" s="5315"/>
      <c r="AY60" s="5061"/>
      <c r="AZ60" s="5315"/>
      <c r="BA60" s="5296">
        <f t="shared" si="19"/>
        <v>29.27</v>
      </c>
      <c r="BB60" s="5315"/>
      <c r="BC60" s="5105">
        <f t="shared" si="20"/>
        <v>88.63</v>
      </c>
      <c r="BD60" s="5315"/>
      <c r="BE60" s="4406">
        <f t="shared" si="57"/>
        <v>158.09000000000003</v>
      </c>
      <c r="BH60" s="23"/>
      <c r="BI60" s="23"/>
    </row>
    <row r="61" spans="1:61" hidden="1" x14ac:dyDescent="0.3">
      <c r="B61" s="4059" t="s">
        <v>1522</v>
      </c>
      <c r="C61" s="5076" t="s">
        <v>351</v>
      </c>
      <c r="D61" s="5315"/>
      <c r="E61" s="5061"/>
      <c r="F61" s="5315"/>
      <c r="G61" s="5061"/>
      <c r="H61" s="5376"/>
      <c r="I61" s="5376">
        <f t="shared" si="60"/>
        <v>0</v>
      </c>
      <c r="J61" s="5061"/>
      <c r="K61" s="5061"/>
      <c r="L61" s="5315"/>
      <c r="M61" s="5296">
        <f t="shared" si="41"/>
        <v>0</v>
      </c>
      <c r="N61" s="5315"/>
      <c r="O61" s="5061"/>
      <c r="P61" s="5315"/>
      <c r="Q61" s="4965">
        <f t="shared" si="8"/>
        <v>0</v>
      </c>
      <c r="R61" s="5315"/>
      <c r="S61" s="5061">
        <v>138.43</v>
      </c>
      <c r="T61" s="5315"/>
      <c r="U61" s="4965">
        <f t="shared" si="9"/>
        <v>138.43</v>
      </c>
      <c r="V61" s="5315"/>
      <c r="W61" s="5061">
        <v>361.31999999999994</v>
      </c>
      <c r="X61" s="5315"/>
      <c r="Y61" s="5296">
        <f t="shared" si="10"/>
        <v>499.74999999999994</v>
      </c>
      <c r="Z61" s="5315"/>
      <c r="AA61" s="5105">
        <f t="shared" si="11"/>
        <v>499.74999999999994</v>
      </c>
      <c r="AB61" s="5315"/>
      <c r="AC61" s="5061">
        <v>285</v>
      </c>
      <c r="AD61" s="5315"/>
      <c r="AE61" s="5058">
        <f>AA61+AC61</f>
        <v>784.75</v>
      </c>
      <c r="AF61" s="5315"/>
      <c r="AG61" s="5061">
        <v>214.46</v>
      </c>
      <c r="AH61" s="5315"/>
      <c r="AI61" s="5058">
        <f t="shared" si="43"/>
        <v>999.21</v>
      </c>
      <c r="AJ61" s="5315"/>
      <c r="AK61" s="5061">
        <v>386.47</v>
      </c>
      <c r="AL61" s="5315"/>
      <c r="AM61" s="5296">
        <f t="shared" si="14"/>
        <v>885.93000000000006</v>
      </c>
      <c r="AN61" s="5315"/>
      <c r="AO61" s="5058">
        <f t="shared" si="15"/>
        <v>1385.68</v>
      </c>
      <c r="AP61" s="5315"/>
      <c r="AQ61" s="5061">
        <v>610.95000000000005</v>
      </c>
      <c r="AR61" s="5315"/>
      <c r="AS61" s="5058">
        <f t="shared" si="55"/>
        <v>1996.63</v>
      </c>
      <c r="AT61" s="5315"/>
      <c r="AU61" s="5061"/>
      <c r="AV61" s="5315"/>
      <c r="AW61" s="5058">
        <f t="shared" si="56"/>
        <v>1996.63</v>
      </c>
      <c r="AX61" s="5315"/>
      <c r="AY61" s="5061">
        <v>499.14</v>
      </c>
      <c r="AZ61" s="5315"/>
      <c r="BA61" s="5296">
        <f t="shared" si="19"/>
        <v>1110.0900000000001</v>
      </c>
      <c r="BB61" s="5315"/>
      <c r="BC61" s="5105">
        <f t="shared" si="20"/>
        <v>1996.0200000000002</v>
      </c>
      <c r="BD61" s="5315"/>
      <c r="BE61" s="4406">
        <f t="shared" si="57"/>
        <v>2495.77</v>
      </c>
      <c r="BH61" s="23"/>
      <c r="BI61" s="23"/>
    </row>
    <row r="62" spans="1:61" x14ac:dyDescent="0.3">
      <c r="B62" s="4488" t="s">
        <v>657</v>
      </c>
      <c r="C62" s="5076"/>
      <c r="D62" s="5315"/>
      <c r="E62" s="5315">
        <f>+SUM(E63:E101)</f>
        <v>1135.8800000000001</v>
      </c>
      <c r="F62" s="5315"/>
      <c r="G62" s="5315">
        <f>+SUM(G63:G101)</f>
        <v>505.4</v>
      </c>
      <c r="H62" s="5376"/>
      <c r="I62" s="5376">
        <f t="shared" si="40"/>
        <v>1641.2800000000002</v>
      </c>
      <c r="J62" s="5315"/>
      <c r="K62" s="5315">
        <f>+SUM(K63:K101)</f>
        <v>5083.7900000000009</v>
      </c>
      <c r="L62" s="5315"/>
      <c r="M62" s="5377">
        <f t="shared" si="41"/>
        <v>6725.0700000000015</v>
      </c>
      <c r="N62" s="5315"/>
      <c r="O62" s="5315">
        <f>+SUM(O63:O101)</f>
        <v>4821.8800000000019</v>
      </c>
      <c r="P62" s="5315"/>
      <c r="Q62" s="4965">
        <f t="shared" si="8"/>
        <v>11546.950000000004</v>
      </c>
      <c r="R62" s="5315"/>
      <c r="S62" s="5315">
        <f>+SUM(S63:S101)</f>
        <v>2666.23</v>
      </c>
      <c r="T62" s="5315"/>
      <c r="U62" s="4965">
        <f t="shared" si="9"/>
        <v>14213.180000000004</v>
      </c>
      <c r="V62" s="5315"/>
      <c r="W62" s="5315">
        <f>+SUM(W63:W101)</f>
        <v>2568.4000000000005</v>
      </c>
      <c r="X62" s="5315"/>
      <c r="Y62" s="5377">
        <f t="shared" si="10"/>
        <v>10056.510000000002</v>
      </c>
      <c r="Z62" s="5315"/>
      <c r="AA62" s="5105">
        <f t="shared" si="11"/>
        <v>16781.580000000002</v>
      </c>
      <c r="AB62" s="5315"/>
      <c r="AC62" s="5315">
        <f>+SUM(AC63:AC101)</f>
        <v>5110.1400000000003</v>
      </c>
      <c r="AD62" s="5315"/>
      <c r="AE62" s="5315">
        <f t="shared" ref="AE62:AE101" si="61">+AA62+AC62</f>
        <v>21891.72</v>
      </c>
      <c r="AF62" s="5315"/>
      <c r="AG62" s="5315">
        <f>+SUM(AG63:AG101)</f>
        <v>8437.7000000000007</v>
      </c>
      <c r="AH62" s="5315"/>
      <c r="AI62" s="5315">
        <f t="shared" si="43"/>
        <v>30329.420000000002</v>
      </c>
      <c r="AJ62" s="5315"/>
      <c r="AK62" s="5315">
        <f>+SUM(AK63:AK101)</f>
        <v>4102.4399999999996</v>
      </c>
      <c r="AL62" s="5315"/>
      <c r="AM62" s="5377">
        <f t="shared" si="14"/>
        <v>17650.28</v>
      </c>
      <c r="AN62" s="5315"/>
      <c r="AO62" s="5315">
        <f t="shared" si="15"/>
        <v>34431.86</v>
      </c>
      <c r="AP62" s="5315"/>
      <c r="AQ62" s="5315">
        <f>+SUM(AQ63:AQ101)</f>
        <v>2464.0500000000002</v>
      </c>
      <c r="AR62" s="5315"/>
      <c r="AS62" s="5315">
        <f t="shared" ref="AS62:AS98" si="62">+AO62+AQ62</f>
        <v>36895.910000000003</v>
      </c>
      <c r="AT62" s="5315"/>
      <c r="AU62" s="5315">
        <f>+SUM(AU63:AU101)</f>
        <v>1348.69</v>
      </c>
      <c r="AV62" s="5315"/>
      <c r="AW62" s="5315">
        <f t="shared" ref="AW62:AW105" si="63">+AS62+AU62</f>
        <v>38244.600000000006</v>
      </c>
      <c r="AX62" s="5315"/>
      <c r="AY62" s="5315">
        <f>+SUM(AY63:AY101)</f>
        <v>1644.88</v>
      </c>
      <c r="AZ62" s="5315"/>
      <c r="BA62" s="5377">
        <f t="shared" si="19"/>
        <v>5457.6200000000008</v>
      </c>
      <c r="BB62" s="5315"/>
      <c r="BC62" s="5105">
        <f t="shared" si="20"/>
        <v>23107.9</v>
      </c>
      <c r="BD62" s="5315"/>
      <c r="BE62" s="5378">
        <f t="shared" ref="BE62:BE73" si="64">+AW62+AY62</f>
        <v>39889.480000000003</v>
      </c>
      <c r="BH62" s="23"/>
      <c r="BI62" s="23"/>
    </row>
    <row r="63" spans="1:61" x14ac:dyDescent="0.3">
      <c r="B63" s="4059" t="s">
        <v>635</v>
      </c>
      <c r="C63" s="4932" t="s">
        <v>351</v>
      </c>
      <c r="D63" s="5229"/>
      <c r="E63" s="5229">
        <v>469.06</v>
      </c>
      <c r="F63" s="5229"/>
      <c r="G63" s="5229">
        <v>347.63</v>
      </c>
      <c r="H63" s="5381"/>
      <c r="I63" s="5381">
        <f t="shared" si="40"/>
        <v>816.69</v>
      </c>
      <c r="J63" s="5229"/>
      <c r="K63" s="5229">
        <v>401.94</v>
      </c>
      <c r="L63" s="5382"/>
      <c r="M63" s="5296">
        <f t="shared" si="41"/>
        <v>1218.6300000000001</v>
      </c>
      <c r="N63" s="5229"/>
      <c r="O63" s="5383">
        <v>276.52999999999997</v>
      </c>
      <c r="P63" s="5229"/>
      <c r="Q63" s="4965">
        <f t="shared" si="8"/>
        <v>1495.16</v>
      </c>
      <c r="R63" s="5229"/>
      <c r="S63" s="5229">
        <v>258.63</v>
      </c>
      <c r="T63" s="5229"/>
      <c r="U63" s="4965">
        <f t="shared" si="9"/>
        <v>1753.79</v>
      </c>
      <c r="V63" s="5229"/>
      <c r="W63" s="5229">
        <v>251.28999999999996</v>
      </c>
      <c r="X63" s="5382"/>
      <c r="Y63" s="5296">
        <f t="shared" si="10"/>
        <v>786.44999999999993</v>
      </c>
      <c r="Z63" s="5229"/>
      <c r="AA63" s="5384">
        <f t="shared" si="11"/>
        <v>2005.08</v>
      </c>
      <c r="AB63" s="5229"/>
      <c r="AC63" s="5229">
        <v>383.17</v>
      </c>
      <c r="AD63" s="5229"/>
      <c r="AE63" s="5385">
        <f t="shared" si="61"/>
        <v>2388.25</v>
      </c>
      <c r="AF63" s="5229"/>
      <c r="AG63" s="5229">
        <v>469.26</v>
      </c>
      <c r="AH63" s="5229"/>
      <c r="AI63" s="5385">
        <f t="shared" si="43"/>
        <v>2857.51</v>
      </c>
      <c r="AJ63" s="5229"/>
      <c r="AK63" s="5229">
        <v>623.94000000000005</v>
      </c>
      <c r="AL63" s="5229"/>
      <c r="AM63" s="5296">
        <f t="shared" si="14"/>
        <v>1476.3700000000001</v>
      </c>
      <c r="AN63" s="5229"/>
      <c r="AO63" s="5385">
        <f t="shared" si="15"/>
        <v>3481.4500000000003</v>
      </c>
      <c r="AP63" s="5229"/>
      <c r="AQ63" s="5229">
        <v>413.71</v>
      </c>
      <c r="AR63" s="5229"/>
      <c r="AS63" s="5385">
        <f t="shared" si="62"/>
        <v>3895.1600000000003</v>
      </c>
      <c r="AT63" s="5229"/>
      <c r="AU63" s="5229">
        <v>580.66000000000008</v>
      </c>
      <c r="AV63" s="5229"/>
      <c r="AW63" s="5385">
        <f t="shared" si="63"/>
        <v>4475.8200000000006</v>
      </c>
      <c r="AX63" s="5229"/>
      <c r="AY63" s="5229">
        <v>380.54000000000008</v>
      </c>
      <c r="AZ63" s="5229"/>
      <c r="BA63" s="5296">
        <f t="shared" si="19"/>
        <v>1374.9100000000003</v>
      </c>
      <c r="BB63" s="5229"/>
      <c r="BC63" s="5384">
        <f t="shared" si="20"/>
        <v>2851.2800000000007</v>
      </c>
      <c r="BD63" s="5229"/>
      <c r="BE63" s="5386">
        <f t="shared" si="64"/>
        <v>4856.3600000000006</v>
      </c>
      <c r="BH63" s="23"/>
      <c r="BI63" s="23"/>
    </row>
    <row r="64" spans="1:61" ht="15.6" customHeight="1" x14ac:dyDescent="0.3">
      <c r="B64" s="4059" t="s">
        <v>1944</v>
      </c>
      <c r="C64" s="4932" t="s">
        <v>351</v>
      </c>
      <c r="D64" s="4923"/>
      <c r="E64" s="4923">
        <v>100</v>
      </c>
      <c r="F64" s="4923"/>
      <c r="G64" s="4923"/>
      <c r="H64" s="4965"/>
      <c r="I64" s="5381">
        <f t="shared" si="40"/>
        <v>100</v>
      </c>
      <c r="J64" s="4923"/>
      <c r="K64" s="4923"/>
      <c r="L64" s="5379"/>
      <c r="M64" s="5296">
        <f t="shared" si="41"/>
        <v>100</v>
      </c>
      <c r="N64" s="4923"/>
      <c r="O64" s="4923">
        <v>650</v>
      </c>
      <c r="P64" s="4923"/>
      <c r="Q64" s="4965">
        <f t="shared" si="8"/>
        <v>750</v>
      </c>
      <c r="R64" s="4923"/>
      <c r="S64" s="4923"/>
      <c r="T64" s="4923"/>
      <c r="U64" s="4965">
        <f t="shared" si="9"/>
        <v>750</v>
      </c>
      <c r="V64" s="4923"/>
      <c r="W64" s="4923"/>
      <c r="X64" s="5379"/>
      <c r="Y64" s="5296">
        <f t="shared" si="10"/>
        <v>650</v>
      </c>
      <c r="Z64" s="4923"/>
      <c r="AA64" s="4938">
        <f t="shared" si="11"/>
        <v>750</v>
      </c>
      <c r="AB64" s="4923"/>
      <c r="AC64" s="4923"/>
      <c r="AD64" s="4923"/>
      <c r="AE64" s="5385">
        <f t="shared" si="61"/>
        <v>750</v>
      </c>
      <c r="AF64" s="4923"/>
      <c r="AG64" s="4923"/>
      <c r="AH64" s="4923"/>
      <c r="AI64" s="4930">
        <f t="shared" si="43"/>
        <v>750</v>
      </c>
      <c r="AJ64" s="4923"/>
      <c r="AK64" s="4923"/>
      <c r="AL64" s="4923"/>
      <c r="AM64" s="5296">
        <f t="shared" si="14"/>
        <v>0</v>
      </c>
      <c r="AN64" s="4923"/>
      <c r="AO64" s="5385">
        <f t="shared" si="15"/>
        <v>750</v>
      </c>
      <c r="AP64" s="4923"/>
      <c r="AQ64" s="4923"/>
      <c r="AR64" s="4923"/>
      <c r="AS64" s="5385">
        <f t="shared" si="62"/>
        <v>750</v>
      </c>
      <c r="AT64" s="4923"/>
      <c r="AU64" s="4923"/>
      <c r="AV64" s="4923"/>
      <c r="AW64" s="5385">
        <f t="shared" si="63"/>
        <v>750</v>
      </c>
      <c r="AX64" s="4923"/>
      <c r="AY64" s="4923"/>
      <c r="AZ64" s="4923"/>
      <c r="BA64" s="5296">
        <f t="shared" si="19"/>
        <v>0</v>
      </c>
      <c r="BB64" s="4923"/>
      <c r="BC64" s="4938">
        <f t="shared" si="20"/>
        <v>0</v>
      </c>
      <c r="BD64" s="4923"/>
      <c r="BE64" s="4064">
        <f t="shared" si="64"/>
        <v>750</v>
      </c>
      <c r="BH64" s="23"/>
      <c r="BI64" s="23"/>
    </row>
    <row r="65" spans="2:61" ht="15.6" hidden="1" customHeight="1" x14ac:dyDescent="0.3">
      <c r="B65" s="4059" t="s">
        <v>1318</v>
      </c>
      <c r="C65" s="4932" t="s">
        <v>351</v>
      </c>
      <c r="D65" s="4923"/>
      <c r="E65" s="4923"/>
      <c r="F65" s="4923"/>
      <c r="G65" s="4923"/>
      <c r="H65" s="4965"/>
      <c r="I65" s="5381">
        <f t="shared" si="40"/>
        <v>0</v>
      </c>
      <c r="J65" s="4923"/>
      <c r="K65" s="4923"/>
      <c r="L65" s="5379"/>
      <c r="M65" s="5296">
        <f t="shared" si="41"/>
        <v>0</v>
      </c>
      <c r="N65" s="4923"/>
      <c r="O65" s="4923"/>
      <c r="P65" s="4923"/>
      <c r="Q65" s="4965">
        <f t="shared" si="8"/>
        <v>0</v>
      </c>
      <c r="R65" s="4923"/>
      <c r="S65" s="4923">
        <v>500</v>
      </c>
      <c r="T65" s="4923"/>
      <c r="U65" s="4965">
        <f t="shared" si="9"/>
        <v>500</v>
      </c>
      <c r="V65" s="4923"/>
      <c r="W65" s="4923"/>
      <c r="X65" s="5379"/>
      <c r="Y65" s="5296">
        <f t="shared" si="10"/>
        <v>500</v>
      </c>
      <c r="Z65" s="4923"/>
      <c r="AA65" s="4938">
        <f t="shared" si="11"/>
        <v>500</v>
      </c>
      <c r="AB65" s="4923"/>
      <c r="AC65" s="4923"/>
      <c r="AD65" s="4923"/>
      <c r="AE65" s="5385">
        <f t="shared" si="61"/>
        <v>500</v>
      </c>
      <c r="AF65" s="4923"/>
      <c r="AG65" s="4923">
        <v>945</v>
      </c>
      <c r="AH65" s="4923"/>
      <c r="AI65" s="4930">
        <f t="shared" si="43"/>
        <v>1445</v>
      </c>
      <c r="AJ65" s="4923"/>
      <c r="AK65" s="4923">
        <v>240</v>
      </c>
      <c r="AL65" s="4923"/>
      <c r="AM65" s="5296">
        <f t="shared" si="14"/>
        <v>1185</v>
      </c>
      <c r="AN65" s="4923"/>
      <c r="AO65" s="5385">
        <f t="shared" si="15"/>
        <v>1685</v>
      </c>
      <c r="AP65" s="4923"/>
      <c r="AQ65" s="4923">
        <v>260</v>
      </c>
      <c r="AR65" s="4923"/>
      <c r="AS65" s="5385">
        <f t="shared" si="62"/>
        <v>1945</v>
      </c>
      <c r="AT65" s="4923"/>
      <c r="AU65" s="4923"/>
      <c r="AV65" s="4923"/>
      <c r="AW65" s="5385">
        <f t="shared" si="63"/>
        <v>1945</v>
      </c>
      <c r="AX65" s="4923"/>
      <c r="AY65" s="4923">
        <v>624</v>
      </c>
      <c r="AZ65" s="4923"/>
      <c r="BA65" s="5296">
        <f t="shared" si="19"/>
        <v>884</v>
      </c>
      <c r="BB65" s="4923"/>
      <c r="BC65" s="4938">
        <f t="shared" si="20"/>
        <v>2069</v>
      </c>
      <c r="BD65" s="4923"/>
      <c r="BE65" s="4064">
        <f t="shared" si="64"/>
        <v>2569</v>
      </c>
      <c r="BH65" s="23"/>
      <c r="BI65" s="23"/>
    </row>
    <row r="66" spans="2:61" ht="15.6" customHeight="1" x14ac:dyDescent="0.3">
      <c r="B66" s="4059" t="s">
        <v>1317</v>
      </c>
      <c r="C66" s="4932" t="s">
        <v>351</v>
      </c>
      <c r="D66" s="4923"/>
      <c r="E66" s="4923">
        <v>49.8</v>
      </c>
      <c r="F66" s="4923"/>
      <c r="G66" s="4923"/>
      <c r="H66" s="4965"/>
      <c r="I66" s="5381">
        <f t="shared" si="40"/>
        <v>49.8</v>
      </c>
      <c r="J66" s="4923"/>
      <c r="K66" s="4923">
        <v>84.42</v>
      </c>
      <c r="L66" s="5379"/>
      <c r="M66" s="5296">
        <f t="shared" si="41"/>
        <v>134.22</v>
      </c>
      <c r="N66" s="4923"/>
      <c r="O66" s="4923">
        <v>15.57</v>
      </c>
      <c r="P66" s="4923"/>
      <c r="Q66" s="4965">
        <f t="shared" si="8"/>
        <v>149.79</v>
      </c>
      <c r="R66" s="4923"/>
      <c r="S66" s="4923"/>
      <c r="T66" s="4923"/>
      <c r="U66" s="4965">
        <f t="shared" si="9"/>
        <v>149.79</v>
      </c>
      <c r="V66" s="4923"/>
      <c r="W66" s="4923">
        <v>49.900000000000006</v>
      </c>
      <c r="X66" s="5379"/>
      <c r="Y66" s="5296">
        <f t="shared" si="10"/>
        <v>65.47</v>
      </c>
      <c r="Z66" s="4923"/>
      <c r="AA66" s="4938">
        <f t="shared" si="11"/>
        <v>199.69</v>
      </c>
      <c r="AB66" s="4923"/>
      <c r="AC66" s="4923"/>
      <c r="AD66" s="4923"/>
      <c r="AE66" s="5385">
        <f t="shared" si="61"/>
        <v>199.69</v>
      </c>
      <c r="AF66" s="4923"/>
      <c r="AG66" s="4923"/>
      <c r="AH66" s="4923"/>
      <c r="AI66" s="4930">
        <f t="shared" si="43"/>
        <v>199.69</v>
      </c>
      <c r="AJ66" s="4923"/>
      <c r="AK66" s="4923"/>
      <c r="AL66" s="4923"/>
      <c r="AM66" s="5296">
        <f t="shared" si="14"/>
        <v>0</v>
      </c>
      <c r="AN66" s="4923"/>
      <c r="AO66" s="5385">
        <f t="shared" si="15"/>
        <v>199.69</v>
      </c>
      <c r="AP66" s="4923"/>
      <c r="AQ66" s="4923">
        <v>99.929999999999993</v>
      </c>
      <c r="AR66" s="4923"/>
      <c r="AS66" s="5385">
        <f t="shared" si="62"/>
        <v>299.62</v>
      </c>
      <c r="AT66" s="4923"/>
      <c r="AU66" s="4923">
        <v>27.51</v>
      </c>
      <c r="AV66" s="4923"/>
      <c r="AW66" s="5385">
        <f t="shared" si="63"/>
        <v>327.13</v>
      </c>
      <c r="AX66" s="4923"/>
      <c r="AY66" s="4923">
        <v>22.46</v>
      </c>
      <c r="AZ66" s="4923"/>
      <c r="BA66" s="5296">
        <f t="shared" si="19"/>
        <v>149.9</v>
      </c>
      <c r="BB66" s="4923"/>
      <c r="BC66" s="4938">
        <f t="shared" si="20"/>
        <v>149.9</v>
      </c>
      <c r="BD66" s="4923"/>
      <c r="BE66" s="4064">
        <f t="shared" si="64"/>
        <v>349.59</v>
      </c>
      <c r="BH66" s="23"/>
      <c r="BI66" s="23"/>
    </row>
    <row r="67" spans="2:61" ht="15.6" customHeight="1" x14ac:dyDescent="0.3">
      <c r="B67" s="4059" t="s">
        <v>1776</v>
      </c>
      <c r="C67" s="4932"/>
      <c r="D67" s="4923"/>
      <c r="E67" s="4923">
        <v>171</v>
      </c>
      <c r="F67" s="4923"/>
      <c r="G67" s="4923"/>
      <c r="H67" s="4965"/>
      <c r="I67" s="5381">
        <f t="shared" si="40"/>
        <v>171</v>
      </c>
      <c r="J67" s="4923"/>
      <c r="K67" s="4923"/>
      <c r="L67" s="5379"/>
      <c r="M67" s="5296">
        <f t="shared" si="41"/>
        <v>171</v>
      </c>
      <c r="N67" s="4923"/>
      <c r="O67" s="4923">
        <v>16</v>
      </c>
      <c r="P67" s="4923"/>
      <c r="Q67" s="4965">
        <f t="shared" ref="Q67:Q134" si="65">+M67+O67</f>
        <v>187</v>
      </c>
      <c r="R67" s="4923"/>
      <c r="S67" s="4923"/>
      <c r="T67" s="4923"/>
      <c r="U67" s="4965">
        <f t="shared" ref="U67:U118" si="66">+Q67+S67</f>
        <v>187</v>
      </c>
      <c r="V67" s="4923"/>
      <c r="W67" s="4923"/>
      <c r="X67" s="5379"/>
      <c r="Y67" s="5296">
        <f t="shared" si="10"/>
        <v>16</v>
      </c>
      <c r="Z67" s="4923"/>
      <c r="AA67" s="4938">
        <f t="shared" si="11"/>
        <v>187</v>
      </c>
      <c r="AB67" s="4923"/>
      <c r="AC67" s="4923">
        <v>95</v>
      </c>
      <c r="AD67" s="4923"/>
      <c r="AE67" s="5385">
        <f t="shared" si="61"/>
        <v>282</v>
      </c>
      <c r="AF67" s="4923"/>
      <c r="AG67" s="4923"/>
      <c r="AH67" s="4923"/>
      <c r="AI67" s="4930">
        <f t="shared" si="43"/>
        <v>282</v>
      </c>
      <c r="AJ67" s="4923"/>
      <c r="AK67" s="4923"/>
      <c r="AL67" s="4923"/>
      <c r="AM67" s="5296">
        <f t="shared" si="14"/>
        <v>95</v>
      </c>
      <c r="AN67" s="4923"/>
      <c r="AO67" s="5385">
        <f t="shared" si="15"/>
        <v>282</v>
      </c>
      <c r="AP67" s="4923"/>
      <c r="AQ67" s="4923"/>
      <c r="AR67" s="4923"/>
      <c r="AS67" s="5385">
        <f t="shared" si="62"/>
        <v>282</v>
      </c>
      <c r="AT67" s="4923"/>
      <c r="AU67" s="4923">
        <v>1</v>
      </c>
      <c r="AV67" s="4923"/>
      <c r="AW67" s="5385">
        <f t="shared" si="63"/>
        <v>283</v>
      </c>
      <c r="AX67" s="4923"/>
      <c r="AY67" s="4923">
        <v>16</v>
      </c>
      <c r="AZ67" s="4923"/>
      <c r="BA67" s="5296">
        <f t="shared" ref="BA67:BA69" si="67">+AQ67+AU67+AY67</f>
        <v>17</v>
      </c>
      <c r="BB67" s="4923"/>
      <c r="BC67" s="4938">
        <f t="shared" ref="BC67:BC69" si="68">BA67+AM67</f>
        <v>112</v>
      </c>
      <c r="BD67" s="4923"/>
      <c r="BE67" s="4064">
        <f t="shared" si="64"/>
        <v>299</v>
      </c>
      <c r="BH67" s="23"/>
      <c r="BI67" s="23"/>
    </row>
    <row r="68" spans="2:61" ht="15.6" customHeight="1" x14ac:dyDescent="0.3">
      <c r="B68" s="4059" t="s">
        <v>1803</v>
      </c>
      <c r="C68" s="4932" t="s">
        <v>351</v>
      </c>
      <c r="D68" s="4923"/>
      <c r="E68" s="4923"/>
      <c r="F68" s="4923"/>
      <c r="G68" s="4923"/>
      <c r="H68" s="4965"/>
      <c r="I68" s="5381">
        <f t="shared" si="40"/>
        <v>0</v>
      </c>
      <c r="J68" s="4923"/>
      <c r="K68" s="4923"/>
      <c r="L68" s="5379"/>
      <c r="M68" s="5296">
        <f t="shared" si="41"/>
        <v>0</v>
      </c>
      <c r="N68" s="4923"/>
      <c r="O68" s="4923">
        <v>7</v>
      </c>
      <c r="P68" s="4923"/>
      <c r="Q68" s="4965">
        <f t="shared" si="65"/>
        <v>7</v>
      </c>
      <c r="R68" s="4923"/>
      <c r="S68" s="4923"/>
      <c r="T68" s="4923"/>
      <c r="U68" s="4965">
        <f t="shared" si="66"/>
        <v>7</v>
      </c>
      <c r="V68" s="4923"/>
      <c r="W68" s="4923"/>
      <c r="X68" s="5379"/>
      <c r="Y68" s="5296">
        <f t="shared" si="10"/>
        <v>7</v>
      </c>
      <c r="Z68" s="4923"/>
      <c r="AA68" s="4938">
        <f t="shared" si="11"/>
        <v>7</v>
      </c>
      <c r="AB68" s="4923"/>
      <c r="AC68" s="4923">
        <v>3</v>
      </c>
      <c r="AD68" s="4923"/>
      <c r="AE68" s="5385">
        <f t="shared" si="61"/>
        <v>10</v>
      </c>
      <c r="AF68" s="4923"/>
      <c r="AG68" s="4923"/>
      <c r="AH68" s="4923"/>
      <c r="AI68" s="4930">
        <f t="shared" si="43"/>
        <v>10</v>
      </c>
      <c r="AJ68" s="4923"/>
      <c r="AK68" s="4923">
        <v>15</v>
      </c>
      <c r="AL68" s="4923"/>
      <c r="AM68" s="5296">
        <f t="shared" si="14"/>
        <v>18</v>
      </c>
      <c r="AN68" s="4923"/>
      <c r="AO68" s="5385">
        <f t="shared" si="15"/>
        <v>25</v>
      </c>
      <c r="AP68" s="4923"/>
      <c r="AQ68" s="4923"/>
      <c r="AR68" s="4923"/>
      <c r="AS68" s="5385">
        <f t="shared" si="62"/>
        <v>25</v>
      </c>
      <c r="AT68" s="4923"/>
      <c r="AU68" s="4923"/>
      <c r="AV68" s="4923"/>
      <c r="AW68" s="5385">
        <f t="shared" si="63"/>
        <v>25</v>
      </c>
      <c r="AX68" s="4923"/>
      <c r="AY68" s="4923"/>
      <c r="AZ68" s="4923"/>
      <c r="BA68" s="5296">
        <f t="shared" si="67"/>
        <v>0</v>
      </c>
      <c r="BB68" s="4923"/>
      <c r="BC68" s="4938">
        <f t="shared" si="68"/>
        <v>18</v>
      </c>
      <c r="BD68" s="4923"/>
      <c r="BE68" s="4064">
        <f t="shared" si="64"/>
        <v>25</v>
      </c>
      <c r="BH68" s="23"/>
      <c r="BI68" s="23"/>
    </row>
    <row r="69" spans="2:61" ht="15.6" customHeight="1" x14ac:dyDescent="0.3">
      <c r="B69" s="2929" t="s">
        <v>1703</v>
      </c>
      <c r="C69" s="4932" t="s">
        <v>351</v>
      </c>
      <c r="D69" s="4923"/>
      <c r="E69" s="4923">
        <v>119</v>
      </c>
      <c r="F69" s="4923"/>
      <c r="G69" s="4923">
        <v>36</v>
      </c>
      <c r="H69" s="4965"/>
      <c r="I69" s="5381">
        <f t="shared" si="40"/>
        <v>155</v>
      </c>
      <c r="J69" s="4923"/>
      <c r="K69" s="4923"/>
      <c r="L69" s="5379"/>
      <c r="M69" s="5296">
        <f t="shared" si="41"/>
        <v>155</v>
      </c>
      <c r="N69" s="4923"/>
      <c r="O69" s="4923">
        <v>206</v>
      </c>
      <c r="P69" s="4923"/>
      <c r="Q69" s="4965">
        <f t="shared" si="65"/>
        <v>361</v>
      </c>
      <c r="R69" s="4923"/>
      <c r="S69" s="4923">
        <v>23</v>
      </c>
      <c r="T69" s="4923"/>
      <c r="U69" s="4965">
        <f t="shared" si="66"/>
        <v>384</v>
      </c>
      <c r="V69" s="4923"/>
      <c r="W69" s="4923"/>
      <c r="X69" s="5379"/>
      <c r="Y69" s="5296">
        <f t="shared" si="10"/>
        <v>229</v>
      </c>
      <c r="Z69" s="4923"/>
      <c r="AA69" s="4938">
        <f t="shared" si="11"/>
        <v>384</v>
      </c>
      <c r="AB69" s="4923"/>
      <c r="AC69" s="4923"/>
      <c r="AD69" s="4923"/>
      <c r="AE69" s="5385">
        <f t="shared" si="61"/>
        <v>384</v>
      </c>
      <c r="AF69" s="4923"/>
      <c r="AG69" s="4923"/>
      <c r="AH69" s="4923"/>
      <c r="AI69" s="4930">
        <f t="shared" si="43"/>
        <v>384</v>
      </c>
      <c r="AJ69" s="4923"/>
      <c r="AK69" s="4923"/>
      <c r="AL69" s="4923"/>
      <c r="AM69" s="5296">
        <f t="shared" si="14"/>
        <v>0</v>
      </c>
      <c r="AN69" s="4923"/>
      <c r="AO69" s="5385">
        <f t="shared" si="15"/>
        <v>384</v>
      </c>
      <c r="AP69" s="4923"/>
      <c r="AQ69" s="4923"/>
      <c r="AR69" s="4923"/>
      <c r="AS69" s="5385">
        <f t="shared" si="62"/>
        <v>384</v>
      </c>
      <c r="AT69" s="4923"/>
      <c r="AU69" s="4923"/>
      <c r="AV69" s="4923"/>
      <c r="AW69" s="5385">
        <f t="shared" si="63"/>
        <v>384</v>
      </c>
      <c r="AX69" s="4923"/>
      <c r="AY69" s="4923">
        <v>159</v>
      </c>
      <c r="AZ69" s="4923"/>
      <c r="BA69" s="5296">
        <f t="shared" si="67"/>
        <v>159</v>
      </c>
      <c r="BB69" s="4923"/>
      <c r="BC69" s="4938">
        <f t="shared" si="68"/>
        <v>159</v>
      </c>
      <c r="BD69" s="4923"/>
      <c r="BE69" s="4064">
        <f t="shared" si="64"/>
        <v>543</v>
      </c>
      <c r="BH69" s="23"/>
      <c r="BI69" s="23"/>
    </row>
    <row r="70" spans="2:61" ht="15.6" customHeight="1" x14ac:dyDescent="0.3">
      <c r="B70" s="4059" t="s">
        <v>1825</v>
      </c>
      <c r="C70" s="4932" t="s">
        <v>351</v>
      </c>
      <c r="D70" s="4923"/>
      <c r="E70" s="4923"/>
      <c r="F70" s="4923"/>
      <c r="G70" s="4923">
        <v>19.62</v>
      </c>
      <c r="H70" s="4965"/>
      <c r="I70" s="5381">
        <f t="shared" si="40"/>
        <v>19.62</v>
      </c>
      <c r="J70" s="4923"/>
      <c r="K70" s="4923">
        <v>28.62</v>
      </c>
      <c r="L70" s="5379"/>
      <c r="M70" s="5296">
        <f t="shared" si="41"/>
        <v>48.24</v>
      </c>
      <c r="N70" s="4923"/>
      <c r="O70" s="4923">
        <v>66.609999999999985</v>
      </c>
      <c r="P70" s="4923"/>
      <c r="Q70" s="4965">
        <f t="shared" si="65"/>
        <v>114.85</v>
      </c>
      <c r="R70" s="4923"/>
      <c r="S70" s="4923">
        <v>39.630000000000003</v>
      </c>
      <c r="T70" s="4923"/>
      <c r="U70" s="4965">
        <f t="shared" si="66"/>
        <v>154.47999999999999</v>
      </c>
      <c r="V70" s="4923"/>
      <c r="W70" s="4923">
        <v>20.159999999999997</v>
      </c>
      <c r="X70" s="5379"/>
      <c r="Y70" s="5296">
        <f t="shared" ref="Y70" si="69">+O70+S70+W70</f>
        <v>126.39999999999998</v>
      </c>
      <c r="Z70" s="4923"/>
      <c r="AA70" s="4938">
        <f t="shared" ref="AA70:AA143" si="70">M70+Y70</f>
        <v>174.64</v>
      </c>
      <c r="AB70" s="4923"/>
      <c r="AC70" s="4923">
        <v>7.07</v>
      </c>
      <c r="AD70" s="4923"/>
      <c r="AE70" s="5385">
        <f t="shared" si="61"/>
        <v>181.70999999999998</v>
      </c>
      <c r="AF70" s="4923"/>
      <c r="AG70" s="4923">
        <v>14.83</v>
      </c>
      <c r="AH70" s="4923"/>
      <c r="AI70" s="4930">
        <f t="shared" si="43"/>
        <v>196.54</v>
      </c>
      <c r="AJ70" s="4923"/>
      <c r="AK70" s="4923">
        <v>34.61</v>
      </c>
      <c r="AL70" s="4923"/>
      <c r="AM70" s="5296">
        <f t="shared" ref="AM70:AM75" si="71">+AC70+AG70+AK70</f>
        <v>56.51</v>
      </c>
      <c r="AN70" s="4923"/>
      <c r="AO70" s="5385">
        <f t="shared" si="15"/>
        <v>231.14999999999998</v>
      </c>
      <c r="AP70" s="4923"/>
      <c r="AQ70" s="4923">
        <v>26.040000000000003</v>
      </c>
      <c r="AR70" s="4923"/>
      <c r="AS70" s="5385">
        <f t="shared" si="62"/>
        <v>257.19</v>
      </c>
      <c r="AT70" s="4923"/>
      <c r="AU70" s="4923">
        <v>11.51</v>
      </c>
      <c r="AV70" s="4923"/>
      <c r="AW70" s="5385">
        <f t="shared" si="63"/>
        <v>268.7</v>
      </c>
      <c r="AX70" s="4923"/>
      <c r="AY70" s="4923">
        <v>9.16</v>
      </c>
      <c r="AZ70" s="4923"/>
      <c r="BA70" s="5296">
        <f t="shared" ref="BA70:BA143" si="72">+AQ70+AU70+AY70</f>
        <v>46.710000000000008</v>
      </c>
      <c r="BB70" s="4923"/>
      <c r="BC70" s="4938">
        <f t="shared" si="20"/>
        <v>103.22</v>
      </c>
      <c r="BD70" s="4923"/>
      <c r="BE70" s="4064">
        <f t="shared" si="64"/>
        <v>277.86</v>
      </c>
      <c r="BH70" s="23"/>
      <c r="BI70" s="23"/>
    </row>
    <row r="71" spans="2:61" ht="15.6" customHeight="1" x14ac:dyDescent="0.3">
      <c r="B71" s="4059" t="s">
        <v>1544</v>
      </c>
      <c r="C71" s="4932" t="s">
        <v>351</v>
      </c>
      <c r="D71" s="4923"/>
      <c r="E71" s="4923"/>
      <c r="F71" s="4923"/>
      <c r="G71" s="4923">
        <v>5.94</v>
      </c>
      <c r="H71" s="4965"/>
      <c r="I71" s="5381">
        <f t="shared" si="40"/>
        <v>5.94</v>
      </c>
      <c r="J71" s="4923"/>
      <c r="K71" s="4923"/>
      <c r="L71" s="5379"/>
      <c r="M71" s="5296">
        <f t="shared" si="41"/>
        <v>5.94</v>
      </c>
      <c r="N71" s="4923"/>
      <c r="O71" s="4923"/>
      <c r="P71" s="4923"/>
      <c r="Q71" s="4965">
        <f t="shared" si="65"/>
        <v>5.94</v>
      </c>
      <c r="R71" s="4923"/>
      <c r="S71" s="4923"/>
      <c r="T71" s="4923"/>
      <c r="U71" s="4965">
        <f t="shared" si="66"/>
        <v>5.94</v>
      </c>
      <c r="V71" s="4923"/>
      <c r="W71" s="4923">
        <v>2.5</v>
      </c>
      <c r="X71" s="5379"/>
      <c r="Y71" s="5296">
        <f t="shared" ref="Y71:Y143" si="73">+O71+S71+W71</f>
        <v>2.5</v>
      </c>
      <c r="Z71" s="4923"/>
      <c r="AA71" s="4938">
        <f t="shared" si="70"/>
        <v>8.4400000000000013</v>
      </c>
      <c r="AB71" s="4923"/>
      <c r="AC71" s="4923"/>
      <c r="AD71" s="4923"/>
      <c r="AE71" s="5385">
        <f t="shared" si="61"/>
        <v>8.4400000000000013</v>
      </c>
      <c r="AF71" s="4923"/>
      <c r="AG71" s="4923"/>
      <c r="AH71" s="4923"/>
      <c r="AI71" s="4930">
        <f t="shared" si="43"/>
        <v>8.4400000000000013</v>
      </c>
      <c r="AJ71" s="4923"/>
      <c r="AK71" s="4923"/>
      <c r="AL71" s="4923"/>
      <c r="AM71" s="5296">
        <f t="shared" si="71"/>
        <v>0</v>
      </c>
      <c r="AN71" s="4923"/>
      <c r="AO71" s="5385">
        <f t="shared" si="15"/>
        <v>8.4400000000000013</v>
      </c>
      <c r="AP71" s="4923"/>
      <c r="AQ71" s="4923">
        <v>19.989999999999998</v>
      </c>
      <c r="AR71" s="4923"/>
      <c r="AS71" s="5385">
        <f t="shared" si="62"/>
        <v>28.43</v>
      </c>
      <c r="AT71" s="4923"/>
      <c r="AU71" s="4923"/>
      <c r="AV71" s="4923"/>
      <c r="AW71" s="5385">
        <f t="shared" si="63"/>
        <v>28.43</v>
      </c>
      <c r="AX71" s="4923"/>
      <c r="AY71" s="4923"/>
      <c r="AZ71" s="4923"/>
      <c r="BA71" s="5296">
        <f t="shared" si="72"/>
        <v>19.989999999999998</v>
      </c>
      <c r="BB71" s="4923"/>
      <c r="BC71" s="4938">
        <f t="shared" ref="BC71:BC144" si="74">BA71+AM71</f>
        <v>19.989999999999998</v>
      </c>
      <c r="BD71" s="4923"/>
      <c r="BE71" s="4064">
        <f t="shared" si="64"/>
        <v>28.43</v>
      </c>
      <c r="BH71" s="23"/>
      <c r="BI71" s="23"/>
    </row>
    <row r="72" spans="2:61" ht="15.6" customHeight="1" x14ac:dyDescent="0.3">
      <c r="B72" s="2929" t="s">
        <v>1316</v>
      </c>
      <c r="C72" s="727" t="s">
        <v>351</v>
      </c>
      <c r="D72" s="4923"/>
      <c r="E72" s="1095"/>
      <c r="F72" s="4923"/>
      <c r="G72" s="1095"/>
      <c r="H72" s="2930"/>
      <c r="I72" s="5381">
        <f t="shared" si="40"/>
        <v>0</v>
      </c>
      <c r="J72" s="4923"/>
      <c r="K72" s="1095">
        <v>499.28</v>
      </c>
      <c r="L72" s="5379"/>
      <c r="M72" s="5296">
        <f t="shared" si="41"/>
        <v>499.28</v>
      </c>
      <c r="N72" s="4923"/>
      <c r="O72" s="1095"/>
      <c r="P72" s="4923"/>
      <c r="Q72" s="4965">
        <f t="shared" si="65"/>
        <v>499.28</v>
      </c>
      <c r="R72" s="4923"/>
      <c r="S72" s="1095">
        <v>498.38</v>
      </c>
      <c r="T72" s="4923"/>
      <c r="U72" s="4965">
        <f t="shared" si="66"/>
        <v>997.66</v>
      </c>
      <c r="V72" s="4923"/>
      <c r="W72" s="1095"/>
      <c r="X72" s="5379"/>
      <c r="Y72" s="5296">
        <f t="shared" si="73"/>
        <v>498.38</v>
      </c>
      <c r="Z72" s="4923"/>
      <c r="AA72" s="4938">
        <f t="shared" si="70"/>
        <v>997.66</v>
      </c>
      <c r="AB72" s="4923"/>
      <c r="AC72" s="1095">
        <v>228.4</v>
      </c>
      <c r="AD72" s="4923"/>
      <c r="AE72" s="5385">
        <f t="shared" si="61"/>
        <v>1226.06</v>
      </c>
      <c r="AF72" s="4923"/>
      <c r="AG72" s="1095">
        <v>1771.32</v>
      </c>
      <c r="AH72" s="4923"/>
      <c r="AI72" s="4930">
        <f t="shared" si="43"/>
        <v>2997.38</v>
      </c>
      <c r="AJ72" s="4923"/>
      <c r="AK72" s="1095">
        <v>1999.91</v>
      </c>
      <c r="AL72" s="4923"/>
      <c r="AM72" s="5296">
        <f t="shared" si="71"/>
        <v>3999.63</v>
      </c>
      <c r="AN72" s="4923"/>
      <c r="AO72" s="5385">
        <f t="shared" si="15"/>
        <v>4997.29</v>
      </c>
      <c r="AP72" s="4923"/>
      <c r="AQ72" s="1095">
        <v>353.26</v>
      </c>
      <c r="AR72" s="4923"/>
      <c r="AS72" s="5385">
        <f t="shared" si="62"/>
        <v>5350.55</v>
      </c>
      <c r="AT72" s="4923"/>
      <c r="AU72" s="1095"/>
      <c r="AV72" s="4923"/>
      <c r="AW72" s="5385">
        <f t="shared" si="63"/>
        <v>5350.55</v>
      </c>
      <c r="AX72" s="4923"/>
      <c r="AY72" s="1095"/>
      <c r="AZ72" s="4923"/>
      <c r="BA72" s="5296">
        <f t="shared" si="72"/>
        <v>353.26</v>
      </c>
      <c r="BB72" s="4923"/>
      <c r="BC72" s="4938">
        <f t="shared" si="74"/>
        <v>4352.8900000000003</v>
      </c>
      <c r="BD72" s="4923"/>
      <c r="BE72" s="4064">
        <f t="shared" si="64"/>
        <v>5350.55</v>
      </c>
      <c r="BH72" s="23"/>
      <c r="BI72" s="23"/>
    </row>
    <row r="73" spans="2:61" ht="15.6" customHeight="1" x14ac:dyDescent="0.3">
      <c r="B73" s="4059" t="s">
        <v>1363</v>
      </c>
      <c r="C73" s="4932" t="s">
        <v>351</v>
      </c>
      <c r="D73" s="4923"/>
      <c r="E73" s="4923"/>
      <c r="F73" s="4923"/>
      <c r="G73" s="4923"/>
      <c r="H73" s="4965"/>
      <c r="I73" s="5381">
        <f t="shared" si="40"/>
        <v>0</v>
      </c>
      <c r="J73" s="4923"/>
      <c r="K73" s="4923">
        <v>2504.23</v>
      </c>
      <c r="L73" s="5379"/>
      <c r="M73" s="5296">
        <f t="shared" si="41"/>
        <v>2504.23</v>
      </c>
      <c r="N73" s="4923"/>
      <c r="O73" s="4923">
        <v>1876.0100000000011</v>
      </c>
      <c r="P73" s="4923"/>
      <c r="Q73" s="4965">
        <f t="shared" si="65"/>
        <v>4380.2400000000016</v>
      </c>
      <c r="R73" s="4923"/>
      <c r="S73" s="4923"/>
      <c r="T73" s="4923"/>
      <c r="U73" s="4965">
        <f t="shared" si="66"/>
        <v>4380.2400000000016</v>
      </c>
      <c r="V73" s="4923"/>
      <c r="W73" s="4923"/>
      <c r="X73" s="5379"/>
      <c r="Y73" s="5296">
        <f t="shared" si="73"/>
        <v>1876.0100000000011</v>
      </c>
      <c r="Z73" s="4923"/>
      <c r="AA73" s="4938">
        <f t="shared" si="70"/>
        <v>4380.2400000000016</v>
      </c>
      <c r="AB73" s="4923"/>
      <c r="AC73" s="4923">
        <v>997.59</v>
      </c>
      <c r="AD73" s="4923"/>
      <c r="AE73" s="5385">
        <f t="shared" si="61"/>
        <v>5377.8300000000017</v>
      </c>
      <c r="AF73" s="4923"/>
      <c r="AG73" s="4923">
        <v>4999.29</v>
      </c>
      <c r="AH73" s="4923"/>
      <c r="AI73" s="4930">
        <f t="shared" si="43"/>
        <v>10377.120000000003</v>
      </c>
      <c r="AJ73" s="4923"/>
      <c r="AK73" s="4923"/>
      <c r="AL73" s="4923"/>
      <c r="AM73" s="5296">
        <f t="shared" si="71"/>
        <v>5996.88</v>
      </c>
      <c r="AN73" s="4923"/>
      <c r="AO73" s="5385">
        <f t="shared" ref="AO73:AO100" si="75">AI73+AK73</f>
        <v>10377.120000000003</v>
      </c>
      <c r="AP73" s="4923"/>
      <c r="AQ73" s="4923"/>
      <c r="AR73" s="4923"/>
      <c r="AS73" s="5385">
        <f t="shared" si="62"/>
        <v>10377.120000000003</v>
      </c>
      <c r="AT73" s="4923"/>
      <c r="AU73" s="4923"/>
      <c r="AV73" s="4923"/>
      <c r="AW73" s="5385">
        <f t="shared" si="63"/>
        <v>10377.120000000003</v>
      </c>
      <c r="AX73" s="4923"/>
      <c r="AY73" s="4923"/>
      <c r="AZ73" s="4923"/>
      <c r="BA73" s="5296">
        <f t="shared" si="72"/>
        <v>0</v>
      </c>
      <c r="BB73" s="4923"/>
      <c r="BC73" s="4938">
        <f t="shared" si="74"/>
        <v>5996.88</v>
      </c>
      <c r="BD73" s="4923"/>
      <c r="BE73" s="4064">
        <f t="shared" si="64"/>
        <v>10377.120000000003</v>
      </c>
      <c r="BH73" s="23"/>
      <c r="BI73" s="23"/>
    </row>
    <row r="74" spans="2:61" ht="15.6" customHeight="1" x14ac:dyDescent="0.3">
      <c r="B74" s="4059" t="s">
        <v>2145</v>
      </c>
      <c r="C74" s="4932" t="s">
        <v>351</v>
      </c>
      <c r="D74" s="4923"/>
      <c r="E74" s="4923">
        <v>6.78</v>
      </c>
      <c r="F74" s="4923"/>
      <c r="G74" s="4923"/>
      <c r="H74" s="4965"/>
      <c r="I74" s="5381">
        <f t="shared" si="40"/>
        <v>6.78</v>
      </c>
      <c r="J74" s="4923"/>
      <c r="K74" s="4923"/>
      <c r="L74" s="5379"/>
      <c r="M74" s="5296"/>
      <c r="N74" s="4923"/>
      <c r="O74" s="4923"/>
      <c r="P74" s="4923"/>
      <c r="Q74" s="4965"/>
      <c r="R74" s="4923"/>
      <c r="S74" s="4923"/>
      <c r="T74" s="4923"/>
      <c r="U74" s="4965"/>
      <c r="V74" s="4923"/>
      <c r="W74" s="4923"/>
      <c r="X74" s="5379"/>
      <c r="Y74" s="5296"/>
      <c r="Z74" s="4923"/>
      <c r="AA74" s="4938"/>
      <c r="AB74" s="4923"/>
      <c r="AC74" s="4923"/>
      <c r="AD74" s="4923"/>
      <c r="AE74" s="5385"/>
      <c r="AF74" s="4923"/>
      <c r="AG74" s="4923"/>
      <c r="AH74" s="4923"/>
      <c r="AI74" s="4930"/>
      <c r="AJ74" s="4923"/>
      <c r="AK74" s="4923"/>
      <c r="AL74" s="4923"/>
      <c r="AM74" s="5296"/>
      <c r="AN74" s="4923"/>
      <c r="AO74" s="5385"/>
      <c r="AP74" s="4923"/>
      <c r="AQ74" s="4923"/>
      <c r="AR74" s="4923"/>
      <c r="AS74" s="5385"/>
      <c r="AT74" s="4923"/>
      <c r="AU74" s="4923">
        <v>12.23</v>
      </c>
      <c r="AV74" s="4923"/>
      <c r="AW74" s="5385">
        <f t="shared" si="63"/>
        <v>12.23</v>
      </c>
      <c r="AX74" s="4923"/>
      <c r="AY74" s="4923"/>
      <c r="AZ74" s="4923"/>
      <c r="BA74" s="5296">
        <f t="shared" ref="BA74:BA78" si="76">+AQ74+AU74+AY74</f>
        <v>12.23</v>
      </c>
      <c r="BB74" s="4923"/>
      <c r="BC74" s="4938">
        <f t="shared" ref="BC74:BC78" si="77">BA74+AM74</f>
        <v>12.23</v>
      </c>
      <c r="BD74" s="4923"/>
      <c r="BE74" s="4064">
        <f t="shared" ref="BE74:BE78" si="78">+AW74+AY74</f>
        <v>12.23</v>
      </c>
      <c r="BH74" s="23"/>
      <c r="BI74" s="23"/>
    </row>
    <row r="75" spans="2:61" ht="15.6" customHeight="1" x14ac:dyDescent="0.3">
      <c r="B75" s="4059" t="s">
        <v>1230</v>
      </c>
      <c r="C75" s="4932" t="s">
        <v>351</v>
      </c>
      <c r="D75" s="4923"/>
      <c r="E75" s="4923"/>
      <c r="F75" s="4923"/>
      <c r="G75" s="4923"/>
      <c r="H75" s="4965"/>
      <c r="I75" s="5381">
        <f t="shared" si="40"/>
        <v>0</v>
      </c>
      <c r="J75" s="4923"/>
      <c r="K75" s="4923">
        <v>44</v>
      </c>
      <c r="L75" s="5379"/>
      <c r="M75" s="5296">
        <f t="shared" si="41"/>
        <v>44</v>
      </c>
      <c r="N75" s="4923"/>
      <c r="O75" s="4923">
        <v>55</v>
      </c>
      <c r="P75" s="4923"/>
      <c r="Q75" s="4965">
        <f t="shared" si="65"/>
        <v>99</v>
      </c>
      <c r="R75" s="4923"/>
      <c r="S75" s="4923"/>
      <c r="T75" s="4923"/>
      <c r="U75" s="4965">
        <f t="shared" si="66"/>
        <v>99</v>
      </c>
      <c r="V75" s="4923"/>
      <c r="W75" s="4923"/>
      <c r="X75" s="5379"/>
      <c r="Y75" s="5296">
        <f t="shared" si="73"/>
        <v>55</v>
      </c>
      <c r="Z75" s="4923"/>
      <c r="AA75" s="4938">
        <f t="shared" si="70"/>
        <v>99</v>
      </c>
      <c r="AB75" s="4923"/>
      <c r="AC75" s="4923"/>
      <c r="AD75" s="4923"/>
      <c r="AE75" s="5385">
        <f t="shared" si="61"/>
        <v>99</v>
      </c>
      <c r="AF75" s="4923"/>
      <c r="AG75" s="4923"/>
      <c r="AH75" s="4923"/>
      <c r="AI75" s="4930">
        <f t="shared" si="43"/>
        <v>99</v>
      </c>
      <c r="AJ75" s="4923"/>
      <c r="AK75" s="4923">
        <v>228</v>
      </c>
      <c r="AL75" s="4923"/>
      <c r="AM75" s="5296">
        <f t="shared" si="71"/>
        <v>228</v>
      </c>
      <c r="AN75" s="4923"/>
      <c r="AO75" s="5385">
        <f t="shared" si="75"/>
        <v>327</v>
      </c>
      <c r="AP75" s="4923"/>
      <c r="AQ75" s="4923"/>
      <c r="AR75" s="4923"/>
      <c r="AS75" s="5385">
        <f t="shared" si="62"/>
        <v>327</v>
      </c>
      <c r="AT75" s="4923"/>
      <c r="AU75" s="4923">
        <v>30</v>
      </c>
      <c r="AV75" s="4923"/>
      <c r="AW75" s="5385">
        <f t="shared" si="63"/>
        <v>357</v>
      </c>
      <c r="AX75" s="4923"/>
      <c r="AY75" s="4923">
        <v>50</v>
      </c>
      <c r="AZ75" s="4923"/>
      <c r="BA75" s="5296">
        <f t="shared" si="76"/>
        <v>80</v>
      </c>
      <c r="BB75" s="4923"/>
      <c r="BC75" s="4938">
        <f t="shared" si="77"/>
        <v>308</v>
      </c>
      <c r="BD75" s="4923"/>
      <c r="BE75" s="4064">
        <f t="shared" si="78"/>
        <v>407</v>
      </c>
      <c r="BH75" s="23"/>
      <c r="BI75" s="23"/>
    </row>
    <row r="76" spans="2:61" ht="15.6" customHeight="1" x14ac:dyDescent="0.3">
      <c r="B76" s="4059" t="s">
        <v>2156</v>
      </c>
      <c r="C76" s="4932" t="s">
        <v>351</v>
      </c>
      <c r="D76" s="4923"/>
      <c r="E76" s="4923">
        <v>114.64</v>
      </c>
      <c r="F76" s="4923"/>
      <c r="G76" s="4923"/>
      <c r="H76" s="4965"/>
      <c r="I76" s="5381">
        <f t="shared" si="40"/>
        <v>114.64</v>
      </c>
      <c r="J76" s="4923"/>
      <c r="K76" s="4923"/>
      <c r="L76" s="5379"/>
      <c r="M76" s="5296"/>
      <c r="N76" s="4923"/>
      <c r="O76" s="4923"/>
      <c r="P76" s="4923"/>
      <c r="Q76" s="4965"/>
      <c r="R76" s="4923"/>
      <c r="S76" s="4923"/>
      <c r="T76" s="4923"/>
      <c r="U76" s="4965"/>
      <c r="V76" s="4923"/>
      <c r="W76" s="4923"/>
      <c r="X76" s="5379"/>
      <c r="Y76" s="5296"/>
      <c r="Z76" s="4923"/>
      <c r="AA76" s="4938"/>
      <c r="AB76" s="4923"/>
      <c r="AC76" s="4923"/>
      <c r="AD76" s="4923"/>
      <c r="AE76" s="5385"/>
      <c r="AF76" s="4923"/>
      <c r="AG76" s="4923"/>
      <c r="AH76" s="4923"/>
      <c r="AI76" s="4930"/>
      <c r="AJ76" s="4923"/>
      <c r="AK76" s="4923"/>
      <c r="AL76" s="4923"/>
      <c r="AM76" s="5296"/>
      <c r="AN76" s="4923"/>
      <c r="AO76" s="5385"/>
      <c r="AP76" s="4923"/>
      <c r="AQ76" s="4923"/>
      <c r="AR76" s="4923"/>
      <c r="AS76" s="5385"/>
      <c r="AT76" s="4923"/>
      <c r="AU76" s="4923"/>
      <c r="AV76" s="4923"/>
      <c r="AW76" s="5385"/>
      <c r="AX76" s="4923"/>
      <c r="AY76" s="4923">
        <v>64.959999999999994</v>
      </c>
      <c r="AZ76" s="4923"/>
      <c r="BA76" s="5296">
        <f t="shared" si="76"/>
        <v>64.959999999999994</v>
      </c>
      <c r="BB76" s="4923"/>
      <c r="BC76" s="4938">
        <f t="shared" si="77"/>
        <v>64.959999999999994</v>
      </c>
      <c r="BD76" s="4923"/>
      <c r="BE76" s="4064">
        <f t="shared" si="78"/>
        <v>64.959999999999994</v>
      </c>
      <c r="BH76" s="23"/>
      <c r="BI76" s="23"/>
    </row>
    <row r="77" spans="2:61" ht="15.6" customHeight="1" x14ac:dyDescent="0.3">
      <c r="B77" s="4059" t="s">
        <v>2147</v>
      </c>
      <c r="C77" s="4932" t="s">
        <v>351</v>
      </c>
      <c r="D77" s="4923"/>
      <c r="E77" s="4923"/>
      <c r="F77" s="4923"/>
      <c r="G77" s="4923"/>
      <c r="H77" s="4965"/>
      <c r="I77" s="5381"/>
      <c r="J77" s="4923"/>
      <c r="K77" s="4923"/>
      <c r="L77" s="5379"/>
      <c r="M77" s="5296"/>
      <c r="N77" s="4923"/>
      <c r="O77" s="4923"/>
      <c r="P77" s="4923"/>
      <c r="Q77" s="4965"/>
      <c r="R77" s="4923"/>
      <c r="S77" s="4923"/>
      <c r="T77" s="4923"/>
      <c r="U77" s="4965"/>
      <c r="V77" s="4923"/>
      <c r="W77" s="4923"/>
      <c r="X77" s="5379"/>
      <c r="Y77" s="5296"/>
      <c r="Z77" s="4923"/>
      <c r="AA77" s="4938"/>
      <c r="AB77" s="4923"/>
      <c r="AC77" s="4923"/>
      <c r="AD77" s="4923"/>
      <c r="AE77" s="5385"/>
      <c r="AF77" s="4923"/>
      <c r="AG77" s="4923"/>
      <c r="AH77" s="4923"/>
      <c r="AI77" s="4930"/>
      <c r="AJ77" s="4923"/>
      <c r="AK77" s="4923"/>
      <c r="AL77" s="4923"/>
      <c r="AM77" s="5296"/>
      <c r="AN77" s="4923"/>
      <c r="AO77" s="5385"/>
      <c r="AP77" s="4923"/>
      <c r="AQ77" s="4923"/>
      <c r="AR77" s="4923"/>
      <c r="AS77" s="5385">
        <f t="shared" si="62"/>
        <v>0</v>
      </c>
      <c r="AT77" s="4923"/>
      <c r="AU77" s="4923">
        <v>3</v>
      </c>
      <c r="AV77" s="4923"/>
      <c r="AW77" s="5385">
        <f t="shared" si="63"/>
        <v>3</v>
      </c>
      <c r="AX77" s="4923"/>
      <c r="AY77" s="4923"/>
      <c r="AZ77" s="4923"/>
      <c r="BA77" s="5296">
        <f t="shared" si="76"/>
        <v>3</v>
      </c>
      <c r="BB77" s="4923"/>
      <c r="BC77" s="4938">
        <f t="shared" si="77"/>
        <v>3</v>
      </c>
      <c r="BD77" s="4923"/>
      <c r="BE77" s="4064">
        <f t="shared" si="78"/>
        <v>3</v>
      </c>
      <c r="BH77" s="23"/>
      <c r="BI77" s="23"/>
    </row>
    <row r="78" spans="2:61" ht="15.6" customHeight="1" x14ac:dyDescent="0.3">
      <c r="B78" s="4059" t="s">
        <v>2146</v>
      </c>
      <c r="C78" s="4932" t="s">
        <v>351</v>
      </c>
      <c r="D78" s="4923"/>
      <c r="E78" s="4923"/>
      <c r="F78" s="4923"/>
      <c r="G78" s="4923"/>
      <c r="H78" s="4965"/>
      <c r="I78" s="5381"/>
      <c r="J78" s="4923"/>
      <c r="K78" s="4923"/>
      <c r="L78" s="5379"/>
      <c r="M78" s="5296"/>
      <c r="N78" s="4923"/>
      <c r="O78" s="4923"/>
      <c r="P78" s="4923"/>
      <c r="Q78" s="4965"/>
      <c r="R78" s="4923"/>
      <c r="S78" s="4923"/>
      <c r="T78" s="4923"/>
      <c r="U78" s="4965"/>
      <c r="V78" s="4923"/>
      <c r="W78" s="4923"/>
      <c r="X78" s="5379"/>
      <c r="Y78" s="5296"/>
      <c r="Z78" s="4923"/>
      <c r="AA78" s="4938"/>
      <c r="AB78" s="4923"/>
      <c r="AC78" s="4923"/>
      <c r="AD78" s="4923"/>
      <c r="AE78" s="5385"/>
      <c r="AF78" s="4923"/>
      <c r="AG78" s="4923"/>
      <c r="AH78" s="4923"/>
      <c r="AI78" s="4930"/>
      <c r="AJ78" s="4923"/>
      <c r="AK78" s="4923"/>
      <c r="AL78" s="4923"/>
      <c r="AM78" s="5296"/>
      <c r="AN78" s="4923"/>
      <c r="AO78" s="5385"/>
      <c r="AP78" s="4923"/>
      <c r="AQ78" s="4923"/>
      <c r="AR78" s="4923"/>
      <c r="AS78" s="5385">
        <f t="shared" si="62"/>
        <v>0</v>
      </c>
      <c r="AT78" s="4923"/>
      <c r="AU78" s="4923">
        <v>1.35</v>
      </c>
      <c r="AV78" s="4923"/>
      <c r="AW78" s="5385">
        <f t="shared" si="63"/>
        <v>1.35</v>
      </c>
      <c r="AX78" s="4923"/>
      <c r="AY78" s="4923"/>
      <c r="AZ78" s="4923"/>
      <c r="BA78" s="5296">
        <f t="shared" si="76"/>
        <v>1.35</v>
      </c>
      <c r="BB78" s="4923"/>
      <c r="BC78" s="4938">
        <f t="shared" si="77"/>
        <v>1.35</v>
      </c>
      <c r="BD78" s="4923"/>
      <c r="BE78" s="4064">
        <f t="shared" si="78"/>
        <v>1.35</v>
      </c>
      <c r="BH78" s="23"/>
      <c r="BI78" s="23"/>
    </row>
    <row r="79" spans="2:61" ht="15.6" customHeight="1" x14ac:dyDescent="0.3">
      <c r="B79" s="4059" t="s">
        <v>1398</v>
      </c>
      <c r="C79" s="4932" t="s">
        <v>351</v>
      </c>
      <c r="D79" s="4923"/>
      <c r="E79" s="4923"/>
      <c r="F79" s="4923"/>
      <c r="G79" s="4923"/>
      <c r="H79" s="4965"/>
      <c r="I79" s="5381">
        <f t="shared" si="40"/>
        <v>0</v>
      </c>
      <c r="J79" s="4923"/>
      <c r="K79" s="4923"/>
      <c r="L79" s="5379"/>
      <c r="M79" s="5296">
        <f t="shared" si="41"/>
        <v>0</v>
      </c>
      <c r="N79" s="4923"/>
      <c r="O79" s="4923"/>
      <c r="P79" s="4923"/>
      <c r="Q79" s="4965">
        <f t="shared" si="65"/>
        <v>0</v>
      </c>
      <c r="R79" s="4923"/>
      <c r="S79" s="4923"/>
      <c r="T79" s="4923"/>
      <c r="U79" s="4965">
        <f t="shared" si="66"/>
        <v>0</v>
      </c>
      <c r="V79" s="4923"/>
      <c r="W79" s="4923"/>
      <c r="X79" s="5379"/>
      <c r="Y79" s="5296">
        <f t="shared" si="73"/>
        <v>0</v>
      </c>
      <c r="Z79" s="4923"/>
      <c r="AA79" s="4938">
        <f t="shared" si="70"/>
        <v>0</v>
      </c>
      <c r="AB79" s="4923"/>
      <c r="AC79" s="4923"/>
      <c r="AD79" s="4923"/>
      <c r="AE79" s="5385">
        <f t="shared" si="61"/>
        <v>0</v>
      </c>
      <c r="AF79" s="4923"/>
      <c r="AG79" s="4923"/>
      <c r="AH79" s="4923"/>
      <c r="AI79" s="4930">
        <f t="shared" si="43"/>
        <v>0</v>
      </c>
      <c r="AJ79" s="4923"/>
      <c r="AK79" s="4923"/>
      <c r="AL79" s="4923"/>
      <c r="AM79" s="5296">
        <f t="shared" ref="AM79:AM143" si="79">+AC79+AG79+AK79</f>
        <v>0</v>
      </c>
      <c r="AN79" s="4923"/>
      <c r="AO79" s="5385">
        <f t="shared" si="75"/>
        <v>0</v>
      </c>
      <c r="AP79" s="4923"/>
      <c r="AQ79" s="4923"/>
      <c r="AR79" s="4923"/>
      <c r="AS79" s="5385">
        <f t="shared" si="62"/>
        <v>0</v>
      </c>
      <c r="AT79" s="4923"/>
      <c r="AU79" s="4923"/>
      <c r="AV79" s="4923"/>
      <c r="AW79" s="5385">
        <f t="shared" si="63"/>
        <v>0</v>
      </c>
      <c r="AX79" s="4923"/>
      <c r="AY79" s="4923"/>
      <c r="AZ79" s="4923"/>
      <c r="BA79" s="5296">
        <f t="shared" si="72"/>
        <v>0</v>
      </c>
      <c r="BB79" s="4923"/>
      <c r="BC79" s="4938">
        <f t="shared" si="74"/>
        <v>0</v>
      </c>
      <c r="BD79" s="4923"/>
      <c r="BE79" s="4064">
        <f t="shared" ref="BE79:BE88" si="80">+AW79+AY79</f>
        <v>0</v>
      </c>
      <c r="BH79" s="23"/>
      <c r="BI79" s="23"/>
    </row>
    <row r="80" spans="2:61" ht="15.6" customHeight="1" x14ac:dyDescent="0.3">
      <c r="B80" s="4059" t="s">
        <v>1397</v>
      </c>
      <c r="C80" s="4932" t="s">
        <v>351</v>
      </c>
      <c r="D80" s="4923"/>
      <c r="E80" s="4923"/>
      <c r="F80" s="4923"/>
      <c r="G80" s="4923"/>
      <c r="H80" s="4965"/>
      <c r="I80" s="5381">
        <f t="shared" si="40"/>
        <v>0</v>
      </c>
      <c r="J80" s="4923"/>
      <c r="K80" s="4923"/>
      <c r="L80" s="5379"/>
      <c r="M80" s="5296">
        <f t="shared" si="41"/>
        <v>0</v>
      </c>
      <c r="N80" s="4923"/>
      <c r="O80" s="4923"/>
      <c r="P80" s="4923"/>
      <c r="Q80" s="4965">
        <f t="shared" si="65"/>
        <v>0</v>
      </c>
      <c r="R80" s="4923"/>
      <c r="S80" s="4923"/>
      <c r="T80" s="4923"/>
      <c r="U80" s="4965">
        <f t="shared" si="66"/>
        <v>0</v>
      </c>
      <c r="V80" s="4923"/>
      <c r="W80" s="4923"/>
      <c r="X80" s="5379"/>
      <c r="Y80" s="5296">
        <f t="shared" si="73"/>
        <v>0</v>
      </c>
      <c r="Z80" s="4923"/>
      <c r="AA80" s="4938">
        <f t="shared" si="70"/>
        <v>0</v>
      </c>
      <c r="AB80" s="4923"/>
      <c r="AC80" s="4923">
        <v>150</v>
      </c>
      <c r="AD80" s="4923"/>
      <c r="AE80" s="5385">
        <f t="shared" si="61"/>
        <v>150</v>
      </c>
      <c r="AF80" s="4923"/>
      <c r="AG80" s="4923"/>
      <c r="AH80" s="4923"/>
      <c r="AI80" s="4930">
        <f t="shared" si="43"/>
        <v>150</v>
      </c>
      <c r="AJ80" s="4923"/>
      <c r="AK80" s="4923"/>
      <c r="AL80" s="4923"/>
      <c r="AM80" s="5296">
        <f t="shared" si="79"/>
        <v>150</v>
      </c>
      <c r="AN80" s="4923"/>
      <c r="AO80" s="5385">
        <f t="shared" si="75"/>
        <v>150</v>
      </c>
      <c r="AP80" s="4923"/>
      <c r="AQ80" s="4923"/>
      <c r="AR80" s="4923"/>
      <c r="AS80" s="5385">
        <f t="shared" si="62"/>
        <v>150</v>
      </c>
      <c r="AT80" s="4923"/>
      <c r="AU80" s="4923"/>
      <c r="AV80" s="4923"/>
      <c r="AW80" s="5385">
        <f t="shared" si="63"/>
        <v>150</v>
      </c>
      <c r="AX80" s="4923"/>
      <c r="AY80" s="4923">
        <v>60</v>
      </c>
      <c r="AZ80" s="4923"/>
      <c r="BA80" s="5296">
        <f t="shared" si="72"/>
        <v>60</v>
      </c>
      <c r="BB80" s="4923"/>
      <c r="BC80" s="4938">
        <f t="shared" si="74"/>
        <v>210</v>
      </c>
      <c r="BD80" s="4923"/>
      <c r="BE80" s="4064">
        <f t="shared" si="80"/>
        <v>210</v>
      </c>
      <c r="BH80" s="23"/>
      <c r="BI80" s="23"/>
    </row>
    <row r="81" spans="2:61" ht="15.6" customHeight="1" x14ac:dyDescent="0.3">
      <c r="B81" s="4059" t="s">
        <v>1800</v>
      </c>
      <c r="C81" s="4932" t="s">
        <v>351</v>
      </c>
      <c r="D81" s="4923"/>
      <c r="E81" s="4923"/>
      <c r="F81" s="4923"/>
      <c r="G81" s="4923">
        <v>1</v>
      </c>
      <c r="H81" s="4965"/>
      <c r="I81" s="5381">
        <f t="shared" si="40"/>
        <v>1</v>
      </c>
      <c r="J81" s="4923"/>
      <c r="K81" s="4923"/>
      <c r="L81" s="5379"/>
      <c r="M81" s="5296">
        <f t="shared" si="41"/>
        <v>1</v>
      </c>
      <c r="N81" s="4923"/>
      <c r="O81" s="4923"/>
      <c r="P81" s="4923"/>
      <c r="Q81" s="4965">
        <f t="shared" si="65"/>
        <v>1</v>
      </c>
      <c r="R81" s="4923"/>
      <c r="S81" s="4923"/>
      <c r="T81" s="4923"/>
      <c r="U81" s="4965">
        <f t="shared" si="66"/>
        <v>1</v>
      </c>
      <c r="V81" s="4923"/>
      <c r="W81" s="4923"/>
      <c r="X81" s="5379"/>
      <c r="Y81" s="5296">
        <f t="shared" si="73"/>
        <v>0</v>
      </c>
      <c r="Z81" s="4923"/>
      <c r="AA81" s="4938">
        <f t="shared" si="70"/>
        <v>1</v>
      </c>
      <c r="AB81" s="4923"/>
      <c r="AC81" s="4923"/>
      <c r="AD81" s="4923"/>
      <c r="AE81" s="5385">
        <f t="shared" si="61"/>
        <v>1</v>
      </c>
      <c r="AF81" s="4923"/>
      <c r="AG81" s="4923">
        <v>1</v>
      </c>
      <c r="AH81" s="4923"/>
      <c r="AI81" s="4930">
        <f t="shared" si="43"/>
        <v>2</v>
      </c>
      <c r="AJ81" s="4923"/>
      <c r="AK81" s="4923"/>
      <c r="AL81" s="4923"/>
      <c r="AM81" s="5296">
        <f t="shared" si="79"/>
        <v>1</v>
      </c>
      <c r="AN81" s="4923"/>
      <c r="AO81" s="5385">
        <f t="shared" si="75"/>
        <v>2</v>
      </c>
      <c r="AP81" s="4923"/>
      <c r="AQ81" s="4923"/>
      <c r="AR81" s="4923"/>
      <c r="AS81" s="5385">
        <f t="shared" si="62"/>
        <v>2</v>
      </c>
      <c r="AT81" s="4923"/>
      <c r="AU81" s="4923">
        <v>1</v>
      </c>
      <c r="AV81" s="4923"/>
      <c r="AW81" s="5385">
        <f t="shared" si="63"/>
        <v>3</v>
      </c>
      <c r="AX81" s="4923"/>
      <c r="AY81" s="4923"/>
      <c r="AZ81" s="4923"/>
      <c r="BA81" s="5296">
        <f t="shared" si="72"/>
        <v>1</v>
      </c>
      <c r="BB81" s="4923"/>
      <c r="BC81" s="4938">
        <f t="shared" si="74"/>
        <v>2</v>
      </c>
      <c r="BD81" s="4923"/>
      <c r="BE81" s="4064">
        <f t="shared" si="80"/>
        <v>3</v>
      </c>
      <c r="BH81" s="23"/>
      <c r="BI81" s="23"/>
    </row>
    <row r="82" spans="2:61" x14ac:dyDescent="0.3">
      <c r="B82" s="4059" t="s">
        <v>1080</v>
      </c>
      <c r="C82" s="4932" t="s">
        <v>351</v>
      </c>
      <c r="D82" s="4923"/>
      <c r="E82" s="4923"/>
      <c r="F82" s="4923"/>
      <c r="G82" s="4923"/>
      <c r="H82" s="4965"/>
      <c r="I82" s="5381">
        <f t="shared" si="40"/>
        <v>0</v>
      </c>
      <c r="J82" s="4923"/>
      <c r="K82" s="4923">
        <v>292</v>
      </c>
      <c r="L82" s="5379"/>
      <c r="M82" s="5296">
        <f t="shared" si="41"/>
        <v>292</v>
      </c>
      <c r="N82" s="4923"/>
      <c r="O82" s="4923"/>
      <c r="P82" s="4923"/>
      <c r="Q82" s="4965">
        <f t="shared" si="65"/>
        <v>292</v>
      </c>
      <c r="R82" s="4923"/>
      <c r="S82" s="4923">
        <v>440</v>
      </c>
      <c r="T82" s="4923"/>
      <c r="U82" s="4965">
        <f t="shared" si="66"/>
        <v>732</v>
      </c>
      <c r="V82" s="4923"/>
      <c r="W82" s="4923">
        <v>401</v>
      </c>
      <c r="X82" s="5379"/>
      <c r="Y82" s="5296">
        <f t="shared" si="73"/>
        <v>841</v>
      </c>
      <c r="Z82" s="4923"/>
      <c r="AA82" s="4938">
        <f t="shared" si="70"/>
        <v>1133</v>
      </c>
      <c r="AB82" s="4923"/>
      <c r="AC82" s="4923"/>
      <c r="AD82" s="4923"/>
      <c r="AE82" s="5385">
        <f t="shared" si="61"/>
        <v>1133</v>
      </c>
      <c r="AF82" s="4923"/>
      <c r="AG82" s="4923"/>
      <c r="AH82" s="4923"/>
      <c r="AI82" s="4930">
        <f t="shared" si="43"/>
        <v>1133</v>
      </c>
      <c r="AJ82" s="4923"/>
      <c r="AK82" s="4923"/>
      <c r="AL82" s="4923"/>
      <c r="AM82" s="5296">
        <f t="shared" si="79"/>
        <v>0</v>
      </c>
      <c r="AN82" s="4923"/>
      <c r="AO82" s="5385">
        <f t="shared" si="75"/>
        <v>1133</v>
      </c>
      <c r="AP82" s="4923"/>
      <c r="AQ82" s="4923">
        <v>185</v>
      </c>
      <c r="AR82" s="4923"/>
      <c r="AS82" s="5385">
        <f t="shared" si="62"/>
        <v>1318</v>
      </c>
      <c r="AT82" s="4923"/>
      <c r="AU82" s="4923">
        <v>334</v>
      </c>
      <c r="AV82" s="4923"/>
      <c r="AW82" s="5385">
        <f t="shared" si="63"/>
        <v>1652</v>
      </c>
      <c r="AX82" s="4923"/>
      <c r="AY82" s="4923">
        <v>92</v>
      </c>
      <c r="AZ82" s="4923"/>
      <c r="BA82" s="5296">
        <f t="shared" si="72"/>
        <v>611</v>
      </c>
      <c r="BB82" s="4923"/>
      <c r="BC82" s="4938">
        <f t="shared" si="74"/>
        <v>611</v>
      </c>
      <c r="BD82" s="4923"/>
      <c r="BE82" s="4064">
        <f t="shared" si="80"/>
        <v>1744</v>
      </c>
      <c r="BH82" s="23"/>
      <c r="BI82" s="23"/>
    </row>
    <row r="83" spans="2:61" x14ac:dyDescent="0.3">
      <c r="B83" s="4059" t="s">
        <v>1760</v>
      </c>
      <c r="C83" s="4932" t="s">
        <v>351</v>
      </c>
      <c r="D83" s="4923"/>
      <c r="E83" s="4923"/>
      <c r="F83" s="4923"/>
      <c r="G83" s="4923"/>
      <c r="H83" s="4965"/>
      <c r="I83" s="5381">
        <f t="shared" si="40"/>
        <v>0</v>
      </c>
      <c r="J83" s="4923"/>
      <c r="K83" s="4923">
        <v>154.28</v>
      </c>
      <c r="L83" s="5379"/>
      <c r="M83" s="5296">
        <f t="shared" si="41"/>
        <v>154.28</v>
      </c>
      <c r="N83" s="4923"/>
      <c r="O83" s="4923">
        <v>1365.8100000000002</v>
      </c>
      <c r="P83" s="4923"/>
      <c r="Q83" s="4965">
        <f t="shared" si="65"/>
        <v>1520.0900000000001</v>
      </c>
      <c r="R83" s="4923"/>
      <c r="S83" s="4923">
        <v>592.26</v>
      </c>
      <c r="T83" s="4923"/>
      <c r="U83" s="4965">
        <f t="shared" si="66"/>
        <v>2112.3500000000004</v>
      </c>
      <c r="V83" s="4923"/>
      <c r="W83" s="4923">
        <v>1501.4700000000005</v>
      </c>
      <c r="X83" s="5379"/>
      <c r="Y83" s="5296">
        <f t="shared" si="73"/>
        <v>3459.5400000000009</v>
      </c>
      <c r="Z83" s="4923"/>
      <c r="AA83" s="4938">
        <f t="shared" si="70"/>
        <v>3613.8200000000011</v>
      </c>
      <c r="AB83" s="4923"/>
      <c r="AC83" s="4923">
        <v>2905.36</v>
      </c>
      <c r="AD83" s="4923"/>
      <c r="AE83" s="5385">
        <f t="shared" si="61"/>
        <v>6519.1800000000012</v>
      </c>
      <c r="AF83" s="4923"/>
      <c r="AG83" s="4923"/>
      <c r="AH83" s="4923"/>
      <c r="AI83" s="4930">
        <f t="shared" si="43"/>
        <v>6519.1800000000012</v>
      </c>
      <c r="AJ83" s="4923"/>
      <c r="AK83" s="4923"/>
      <c r="AL83" s="4923"/>
      <c r="AM83" s="5296">
        <f t="shared" si="79"/>
        <v>2905.36</v>
      </c>
      <c r="AN83" s="4923"/>
      <c r="AO83" s="5385">
        <f t="shared" si="75"/>
        <v>6519.1800000000012</v>
      </c>
      <c r="AP83" s="4923"/>
      <c r="AQ83" s="4923"/>
      <c r="AR83" s="4923"/>
      <c r="AS83" s="5385">
        <f t="shared" si="62"/>
        <v>6519.1800000000012</v>
      </c>
      <c r="AT83" s="4923"/>
      <c r="AU83" s="4923"/>
      <c r="AV83" s="4923"/>
      <c r="AW83" s="5385">
        <f t="shared" si="63"/>
        <v>6519.1800000000012</v>
      </c>
      <c r="AX83" s="4923"/>
      <c r="AY83" s="4923"/>
      <c r="AZ83" s="4923"/>
      <c r="BA83" s="5296">
        <f t="shared" si="72"/>
        <v>0</v>
      </c>
      <c r="BB83" s="4923"/>
      <c r="BC83" s="4938">
        <f t="shared" si="74"/>
        <v>2905.36</v>
      </c>
      <c r="BD83" s="4923"/>
      <c r="BE83" s="4064">
        <f t="shared" si="80"/>
        <v>6519.1800000000012</v>
      </c>
      <c r="BH83" s="23"/>
      <c r="BI83" s="23"/>
    </row>
    <row r="84" spans="2:61" x14ac:dyDescent="0.3">
      <c r="B84" s="4059" t="s">
        <v>1925</v>
      </c>
      <c r="C84" s="4932" t="s">
        <v>351</v>
      </c>
      <c r="D84" s="4923"/>
      <c r="E84" s="4923"/>
      <c r="F84" s="4923"/>
      <c r="G84" s="4923"/>
      <c r="H84" s="4965"/>
      <c r="I84" s="5381">
        <f t="shared" si="40"/>
        <v>0</v>
      </c>
      <c r="J84" s="4923"/>
      <c r="K84" s="4923">
        <v>6.09</v>
      </c>
      <c r="L84" s="5379"/>
      <c r="M84" s="5296">
        <f t="shared" si="41"/>
        <v>6.09</v>
      </c>
      <c r="N84" s="4923"/>
      <c r="O84" s="4923"/>
      <c r="P84" s="4923"/>
      <c r="Q84" s="4965">
        <f t="shared" si="65"/>
        <v>6.09</v>
      </c>
      <c r="R84" s="4923"/>
      <c r="S84" s="4923"/>
      <c r="T84" s="4923"/>
      <c r="U84" s="4965">
        <f t="shared" si="66"/>
        <v>6.09</v>
      </c>
      <c r="V84" s="4923"/>
      <c r="W84" s="4923"/>
      <c r="X84" s="5379"/>
      <c r="Y84" s="5296">
        <f t="shared" si="73"/>
        <v>0</v>
      </c>
      <c r="Z84" s="4923"/>
      <c r="AA84" s="4938">
        <f t="shared" si="70"/>
        <v>6.09</v>
      </c>
      <c r="AB84" s="4923"/>
      <c r="AC84" s="4923"/>
      <c r="AD84" s="4923"/>
      <c r="AE84" s="5385">
        <f t="shared" si="61"/>
        <v>6.09</v>
      </c>
      <c r="AF84" s="4923"/>
      <c r="AG84" s="4923"/>
      <c r="AH84" s="4923"/>
      <c r="AI84" s="4930">
        <f t="shared" si="43"/>
        <v>6.09</v>
      </c>
      <c r="AJ84" s="4923"/>
      <c r="AK84" s="4923"/>
      <c r="AL84" s="4923"/>
      <c r="AM84" s="5296">
        <f t="shared" si="79"/>
        <v>0</v>
      </c>
      <c r="AN84" s="4923"/>
      <c r="AO84" s="5385">
        <f t="shared" si="75"/>
        <v>6.09</v>
      </c>
      <c r="AP84" s="4923"/>
      <c r="AQ84" s="4923"/>
      <c r="AR84" s="4923"/>
      <c r="AS84" s="5385">
        <f t="shared" si="62"/>
        <v>6.09</v>
      </c>
      <c r="AT84" s="4923"/>
      <c r="AU84" s="4923"/>
      <c r="AV84" s="4923"/>
      <c r="AW84" s="5385">
        <f t="shared" si="63"/>
        <v>6.09</v>
      </c>
      <c r="AX84" s="4923"/>
      <c r="AY84" s="4923"/>
      <c r="AZ84" s="4923"/>
      <c r="BA84" s="5296">
        <f t="shared" si="72"/>
        <v>0</v>
      </c>
      <c r="BB84" s="4923"/>
      <c r="BC84" s="4938">
        <f t="shared" si="74"/>
        <v>0</v>
      </c>
      <c r="BD84" s="4923"/>
      <c r="BE84" s="4064">
        <f t="shared" si="80"/>
        <v>6.09</v>
      </c>
      <c r="BH84" s="23"/>
      <c r="BI84" s="23"/>
    </row>
    <row r="85" spans="2:61" x14ac:dyDescent="0.3">
      <c r="B85" s="4059" t="s">
        <v>1977</v>
      </c>
      <c r="C85" s="4932" t="s">
        <v>351</v>
      </c>
      <c r="D85" s="4923"/>
      <c r="E85" s="4923">
        <v>46.54</v>
      </c>
      <c r="F85" s="4923"/>
      <c r="G85" s="4923">
        <v>48.79</v>
      </c>
      <c r="H85" s="4965"/>
      <c r="I85" s="5381">
        <f t="shared" ref="I85:I88" si="81">+E85+G85</f>
        <v>95.33</v>
      </c>
      <c r="J85" s="4923"/>
      <c r="K85" s="4923">
        <v>14.73</v>
      </c>
      <c r="L85" s="5379"/>
      <c r="M85" s="5296">
        <f t="shared" si="41"/>
        <v>110.06</v>
      </c>
      <c r="N85" s="4923"/>
      <c r="O85" s="4923">
        <v>159.13000000000002</v>
      </c>
      <c r="P85" s="4923"/>
      <c r="Q85" s="4965">
        <f t="shared" si="65"/>
        <v>269.19000000000005</v>
      </c>
      <c r="R85" s="4923"/>
      <c r="S85" s="4923">
        <v>14.78</v>
      </c>
      <c r="T85" s="4923"/>
      <c r="U85" s="4965">
        <f t="shared" si="66"/>
        <v>283.97000000000003</v>
      </c>
      <c r="V85" s="4923"/>
      <c r="W85" s="4923">
        <v>39.56</v>
      </c>
      <c r="X85" s="5379"/>
      <c r="Y85" s="5296">
        <f t="shared" si="73"/>
        <v>213.47000000000003</v>
      </c>
      <c r="Z85" s="4923"/>
      <c r="AA85" s="4938">
        <f t="shared" si="70"/>
        <v>323.53000000000003</v>
      </c>
      <c r="AB85" s="4923"/>
      <c r="AC85" s="4923"/>
      <c r="AD85" s="4923"/>
      <c r="AE85" s="5385">
        <f t="shared" si="61"/>
        <v>323.53000000000003</v>
      </c>
      <c r="AF85" s="4923"/>
      <c r="AG85" s="4923"/>
      <c r="AH85" s="4923"/>
      <c r="AI85" s="4930">
        <f t="shared" ref="AI85:AI104" si="82">+AE85+AG85</f>
        <v>323.53000000000003</v>
      </c>
      <c r="AJ85" s="4923"/>
      <c r="AK85" s="4923">
        <v>34.53</v>
      </c>
      <c r="AL85" s="4923"/>
      <c r="AM85" s="5296">
        <f t="shared" si="79"/>
        <v>34.53</v>
      </c>
      <c r="AN85" s="4923"/>
      <c r="AO85" s="5385">
        <f t="shared" si="75"/>
        <v>358.06000000000006</v>
      </c>
      <c r="AP85" s="4923"/>
      <c r="AQ85" s="4923">
        <v>45.94</v>
      </c>
      <c r="AR85" s="4923"/>
      <c r="AS85" s="5385">
        <f t="shared" si="62"/>
        <v>404.00000000000006</v>
      </c>
      <c r="AT85" s="4923"/>
      <c r="AU85" s="4923">
        <v>19.059999999999999</v>
      </c>
      <c r="AV85" s="4923"/>
      <c r="AW85" s="5385">
        <f t="shared" si="63"/>
        <v>423.06000000000006</v>
      </c>
      <c r="AX85" s="4923"/>
      <c r="AY85" s="4923">
        <v>114.3</v>
      </c>
      <c r="AZ85" s="4923"/>
      <c r="BA85" s="5296">
        <f t="shared" si="72"/>
        <v>179.3</v>
      </c>
      <c r="BB85" s="4923"/>
      <c r="BC85" s="4938">
        <f t="shared" si="74"/>
        <v>213.83</v>
      </c>
      <c r="BD85" s="4923"/>
      <c r="BE85" s="4064">
        <f t="shared" si="80"/>
        <v>537.36</v>
      </c>
      <c r="BH85" s="23"/>
      <c r="BI85" s="23"/>
    </row>
    <row r="86" spans="2:61" x14ac:dyDescent="0.3">
      <c r="B86" s="4059" t="s">
        <v>2148</v>
      </c>
      <c r="C86" s="4932" t="s">
        <v>351</v>
      </c>
      <c r="D86" s="4923"/>
      <c r="E86" s="4923"/>
      <c r="F86" s="4923"/>
      <c r="G86" s="4923">
        <v>9.15</v>
      </c>
      <c r="H86" s="4965"/>
      <c r="I86" s="5381"/>
      <c r="J86" s="4923"/>
      <c r="K86" s="4923"/>
      <c r="L86" s="5379"/>
      <c r="M86" s="5296"/>
      <c r="N86" s="4923"/>
      <c r="O86" s="4923"/>
      <c r="P86" s="4923"/>
      <c r="Q86" s="4965"/>
      <c r="R86" s="4923"/>
      <c r="S86" s="4923"/>
      <c r="T86" s="4923"/>
      <c r="U86" s="4965"/>
      <c r="V86" s="4923"/>
      <c r="W86" s="4923"/>
      <c r="X86" s="5379"/>
      <c r="Y86" s="5296"/>
      <c r="Z86" s="4923"/>
      <c r="AA86" s="4938"/>
      <c r="AB86" s="4923"/>
      <c r="AC86" s="4923"/>
      <c r="AD86" s="4923"/>
      <c r="AE86" s="5385"/>
      <c r="AF86" s="4923"/>
      <c r="AG86" s="4923"/>
      <c r="AH86" s="4923"/>
      <c r="AI86" s="4930"/>
      <c r="AJ86" s="4923"/>
      <c r="AK86" s="4923"/>
      <c r="AL86" s="4923"/>
      <c r="AM86" s="5296"/>
      <c r="AN86" s="4923"/>
      <c r="AO86" s="5385"/>
      <c r="AP86" s="4923"/>
      <c r="AQ86" s="4923"/>
      <c r="AR86" s="4923"/>
      <c r="AS86" s="5385"/>
      <c r="AT86" s="4923"/>
      <c r="AU86" s="4923">
        <v>6.67</v>
      </c>
      <c r="AV86" s="4923"/>
      <c r="AW86" s="5385">
        <f t="shared" si="63"/>
        <v>6.67</v>
      </c>
      <c r="AX86" s="4923"/>
      <c r="AY86" s="4923">
        <v>8.2200000000000006</v>
      </c>
      <c r="AZ86" s="4923"/>
      <c r="BA86" s="5296">
        <f t="shared" ref="BA86" si="83">+AQ86+AU86+AY86</f>
        <v>14.89</v>
      </c>
      <c r="BB86" s="4923"/>
      <c r="BC86" s="4938">
        <f t="shared" ref="BC86" si="84">BA86+AM86</f>
        <v>14.89</v>
      </c>
      <c r="BD86" s="4923"/>
      <c r="BE86" s="4064">
        <f t="shared" ref="BE86" si="85">+AW86+AY86</f>
        <v>14.89</v>
      </c>
      <c r="BH86" s="23"/>
      <c r="BI86" s="23"/>
    </row>
    <row r="87" spans="2:61" ht="18" customHeight="1" x14ac:dyDescent="0.3">
      <c r="B87" s="4059" t="s">
        <v>1801</v>
      </c>
      <c r="C87" s="4932" t="s">
        <v>351</v>
      </c>
      <c r="D87" s="4923"/>
      <c r="E87" s="4923">
        <v>29.65</v>
      </c>
      <c r="F87" s="4923"/>
      <c r="G87" s="4923"/>
      <c r="H87" s="4965"/>
      <c r="I87" s="5381">
        <f t="shared" si="81"/>
        <v>29.65</v>
      </c>
      <c r="J87" s="4923"/>
      <c r="K87" s="4923">
        <v>129.52000000000001</v>
      </c>
      <c r="L87" s="5379"/>
      <c r="M87" s="5296">
        <f t="shared" si="41"/>
        <v>159.17000000000002</v>
      </c>
      <c r="N87" s="4923"/>
      <c r="O87" s="4923"/>
      <c r="P87" s="4923"/>
      <c r="Q87" s="4965">
        <f t="shared" si="65"/>
        <v>159.17000000000002</v>
      </c>
      <c r="R87" s="4923"/>
      <c r="S87" s="4923">
        <v>14.98</v>
      </c>
      <c r="T87" s="4923"/>
      <c r="U87" s="4965">
        <f t="shared" si="66"/>
        <v>174.15</v>
      </c>
      <c r="V87" s="4923"/>
      <c r="W87" s="4923"/>
      <c r="X87" s="5379"/>
      <c r="Y87" s="5296">
        <f t="shared" si="73"/>
        <v>14.98</v>
      </c>
      <c r="Z87" s="4923"/>
      <c r="AA87" s="4938">
        <f t="shared" si="70"/>
        <v>174.15</v>
      </c>
      <c r="AB87" s="4923"/>
      <c r="AC87" s="4923"/>
      <c r="AD87" s="4923"/>
      <c r="AE87" s="5385">
        <f t="shared" si="61"/>
        <v>174.15</v>
      </c>
      <c r="AF87" s="4923"/>
      <c r="AG87" s="4923"/>
      <c r="AH87" s="4923"/>
      <c r="AI87" s="4930">
        <f t="shared" si="82"/>
        <v>174.15</v>
      </c>
      <c r="AJ87" s="4923"/>
      <c r="AK87" s="4923">
        <v>19.64</v>
      </c>
      <c r="AL87" s="4923"/>
      <c r="AM87" s="5296">
        <f t="shared" si="79"/>
        <v>19.64</v>
      </c>
      <c r="AN87" s="4923"/>
      <c r="AO87" s="5385">
        <f t="shared" si="75"/>
        <v>193.79000000000002</v>
      </c>
      <c r="AP87" s="4923"/>
      <c r="AQ87" s="4923">
        <v>19.559999999999999</v>
      </c>
      <c r="AR87" s="4923"/>
      <c r="AS87" s="5385">
        <f t="shared" si="62"/>
        <v>213.35000000000002</v>
      </c>
      <c r="AT87" s="4923"/>
      <c r="AU87" s="4923"/>
      <c r="AV87" s="4923"/>
      <c r="AW87" s="5385">
        <f t="shared" si="63"/>
        <v>213.35000000000002</v>
      </c>
      <c r="AX87" s="4923"/>
      <c r="AY87" s="4923"/>
      <c r="AZ87" s="4923"/>
      <c r="BA87" s="5296">
        <f t="shared" si="72"/>
        <v>19.559999999999999</v>
      </c>
      <c r="BB87" s="4923"/>
      <c r="BC87" s="4938">
        <f t="shared" si="74"/>
        <v>39.200000000000003</v>
      </c>
      <c r="BD87" s="4923"/>
      <c r="BE87" s="4064">
        <f t="shared" si="80"/>
        <v>213.35000000000002</v>
      </c>
      <c r="BH87" s="23"/>
      <c r="BI87" s="23"/>
    </row>
    <row r="88" spans="2:61" x14ac:dyDescent="0.3">
      <c r="B88" s="4059" t="s">
        <v>1364</v>
      </c>
      <c r="C88" s="4932" t="s">
        <v>351</v>
      </c>
      <c r="D88" s="4923"/>
      <c r="E88" s="4923"/>
      <c r="F88" s="4923"/>
      <c r="G88" s="4923">
        <v>8.08</v>
      </c>
      <c r="H88" s="4965"/>
      <c r="I88" s="5381">
        <f t="shared" si="81"/>
        <v>8.08</v>
      </c>
      <c r="J88" s="4923"/>
      <c r="K88" s="4923">
        <v>14.13</v>
      </c>
      <c r="L88" s="5379"/>
      <c r="M88" s="5296">
        <f t="shared" si="41"/>
        <v>22.21</v>
      </c>
      <c r="N88" s="4923"/>
      <c r="O88" s="4923">
        <v>15.509999999999998</v>
      </c>
      <c r="P88" s="4923"/>
      <c r="Q88" s="4965">
        <f t="shared" si="65"/>
        <v>37.72</v>
      </c>
      <c r="R88" s="4923"/>
      <c r="S88" s="4923"/>
      <c r="T88" s="4923"/>
      <c r="U88" s="4965">
        <f t="shared" si="66"/>
        <v>37.72</v>
      </c>
      <c r="V88" s="4923"/>
      <c r="W88" s="4923"/>
      <c r="X88" s="5379"/>
      <c r="Y88" s="5296">
        <f t="shared" si="73"/>
        <v>15.509999999999998</v>
      </c>
      <c r="Z88" s="4923"/>
      <c r="AA88" s="4938">
        <f t="shared" si="70"/>
        <v>37.72</v>
      </c>
      <c r="AB88" s="4923"/>
      <c r="AC88" s="4923"/>
      <c r="AD88" s="4923"/>
      <c r="AE88" s="5385">
        <f t="shared" si="61"/>
        <v>37.72</v>
      </c>
      <c r="AF88" s="4923"/>
      <c r="AG88" s="4923"/>
      <c r="AH88" s="4923"/>
      <c r="AI88" s="4930">
        <f t="shared" si="82"/>
        <v>37.72</v>
      </c>
      <c r="AJ88" s="4923"/>
      <c r="AK88" s="4923">
        <v>15.81</v>
      </c>
      <c r="AL88" s="4923"/>
      <c r="AM88" s="5296">
        <f t="shared" si="79"/>
        <v>15.81</v>
      </c>
      <c r="AN88" s="4923"/>
      <c r="AO88" s="5385">
        <f t="shared" si="75"/>
        <v>53.53</v>
      </c>
      <c r="AP88" s="4923"/>
      <c r="AQ88" s="4923"/>
      <c r="AR88" s="4923"/>
      <c r="AS88" s="5385">
        <f t="shared" si="62"/>
        <v>53.53</v>
      </c>
      <c r="AT88" s="4923"/>
      <c r="AU88" s="4923">
        <v>14.069999999999999</v>
      </c>
      <c r="AV88" s="4923"/>
      <c r="AW88" s="5385">
        <f t="shared" si="63"/>
        <v>67.599999999999994</v>
      </c>
      <c r="AX88" s="4923"/>
      <c r="AY88" s="4923">
        <v>9.85</v>
      </c>
      <c r="AZ88" s="4923"/>
      <c r="BA88" s="5296">
        <f t="shared" si="72"/>
        <v>23.919999999999998</v>
      </c>
      <c r="BB88" s="4923"/>
      <c r="BC88" s="4938">
        <f t="shared" si="74"/>
        <v>39.729999999999997</v>
      </c>
      <c r="BD88" s="4923"/>
      <c r="BE88" s="4064">
        <f t="shared" si="80"/>
        <v>77.449999999999989</v>
      </c>
      <c r="BH88" s="23"/>
      <c r="BI88" s="23"/>
    </row>
    <row r="89" spans="2:61" x14ac:dyDescent="0.3">
      <c r="B89" s="4059" t="s">
        <v>2144</v>
      </c>
      <c r="C89" s="4932" t="s">
        <v>351</v>
      </c>
      <c r="D89" s="4923"/>
      <c r="E89" s="4923"/>
      <c r="F89" s="4923"/>
      <c r="G89" s="4923"/>
      <c r="H89" s="4965"/>
      <c r="I89" s="5381"/>
      <c r="J89" s="4923"/>
      <c r="K89" s="4923"/>
      <c r="L89" s="5379"/>
      <c r="M89" s="5296"/>
      <c r="N89" s="4923"/>
      <c r="O89" s="4923"/>
      <c r="P89" s="4923"/>
      <c r="Q89" s="4965"/>
      <c r="R89" s="4923"/>
      <c r="S89" s="4923"/>
      <c r="T89" s="4923"/>
      <c r="U89" s="4965"/>
      <c r="V89" s="4923"/>
      <c r="W89" s="4923"/>
      <c r="X89" s="5379"/>
      <c r="Y89" s="5296"/>
      <c r="Z89" s="4923"/>
      <c r="AA89" s="4938"/>
      <c r="AB89" s="4923"/>
      <c r="AC89" s="4923"/>
      <c r="AD89" s="4923"/>
      <c r="AE89" s="5385"/>
      <c r="AF89" s="4923"/>
      <c r="AG89" s="4923"/>
      <c r="AH89" s="4923"/>
      <c r="AI89" s="4930"/>
      <c r="AJ89" s="4923"/>
      <c r="AK89" s="4923"/>
      <c r="AL89" s="4923"/>
      <c r="AM89" s="5296"/>
      <c r="AN89" s="4923"/>
      <c r="AO89" s="5385"/>
      <c r="AP89" s="4923"/>
      <c r="AQ89" s="4923"/>
      <c r="AR89" s="4923"/>
      <c r="AS89" s="5385"/>
      <c r="AT89" s="4923"/>
      <c r="AU89" s="4923">
        <v>110</v>
      </c>
      <c r="AV89" s="4923"/>
      <c r="AW89" s="5385">
        <f t="shared" si="63"/>
        <v>110</v>
      </c>
      <c r="AX89" s="4923"/>
      <c r="AY89" s="4923"/>
      <c r="AZ89" s="4923"/>
      <c r="BA89" s="5296">
        <f t="shared" ref="BA89" si="86">+AQ89+AU89+AY89</f>
        <v>110</v>
      </c>
      <c r="BB89" s="4923"/>
      <c r="BC89" s="4938">
        <f t="shared" ref="BC89" si="87">BA89+AM89</f>
        <v>110</v>
      </c>
      <c r="BD89" s="4923"/>
      <c r="BE89" s="4064">
        <f t="shared" ref="BE89" si="88">+AW89+AY89</f>
        <v>110</v>
      </c>
      <c r="BH89" s="23"/>
      <c r="BI89" s="23"/>
    </row>
    <row r="90" spans="2:61" x14ac:dyDescent="0.3">
      <c r="B90" s="4059" t="s">
        <v>1945</v>
      </c>
      <c r="C90" s="4932" t="s">
        <v>351</v>
      </c>
      <c r="D90" s="5184"/>
      <c r="E90" s="5184"/>
      <c r="F90" s="5184"/>
      <c r="G90" s="5184"/>
      <c r="H90" s="5185"/>
      <c r="I90" s="4965">
        <f t="shared" ref="I90:I115" si="89">+E90+G90</f>
        <v>0</v>
      </c>
      <c r="J90" s="5184"/>
      <c r="K90" s="5184"/>
      <c r="L90" s="5379"/>
      <c r="M90" s="5296">
        <f t="shared" si="41"/>
        <v>0</v>
      </c>
      <c r="N90" s="5184"/>
      <c r="O90" s="5184"/>
      <c r="P90" s="5184"/>
      <c r="Q90" s="4965">
        <f t="shared" si="65"/>
        <v>0</v>
      </c>
      <c r="R90" s="5184"/>
      <c r="S90" s="5184">
        <v>8.83</v>
      </c>
      <c r="T90" s="5184"/>
      <c r="U90" s="4965">
        <f t="shared" si="66"/>
        <v>8.83</v>
      </c>
      <c r="V90" s="5184"/>
      <c r="W90" s="5184"/>
      <c r="X90" s="5379"/>
      <c r="Y90" s="5296">
        <f t="shared" si="73"/>
        <v>8.83</v>
      </c>
      <c r="Z90" s="5184"/>
      <c r="AA90" s="5105">
        <f t="shared" si="70"/>
        <v>8.83</v>
      </c>
      <c r="AB90" s="5184"/>
      <c r="AC90" s="5184"/>
      <c r="AD90" s="5184"/>
      <c r="AE90" s="5385">
        <f t="shared" si="61"/>
        <v>8.83</v>
      </c>
      <c r="AF90" s="5184"/>
      <c r="AG90" s="5184"/>
      <c r="AH90" s="5184"/>
      <c r="AI90" s="4930">
        <f t="shared" si="82"/>
        <v>8.83</v>
      </c>
      <c r="AJ90" s="5184"/>
      <c r="AK90" s="5184"/>
      <c r="AL90" s="5184"/>
      <c r="AM90" s="5296">
        <f t="shared" si="79"/>
        <v>0</v>
      </c>
      <c r="AN90" s="5184"/>
      <c r="AO90" s="5385">
        <f t="shared" si="75"/>
        <v>8.83</v>
      </c>
      <c r="AP90" s="5184"/>
      <c r="AQ90" s="5184"/>
      <c r="AR90" s="5184"/>
      <c r="AS90" s="5385">
        <f t="shared" si="62"/>
        <v>8.83</v>
      </c>
      <c r="AT90" s="5184"/>
      <c r="AU90" s="5184"/>
      <c r="AV90" s="5184"/>
      <c r="AW90" s="5385">
        <f t="shared" si="63"/>
        <v>8.83</v>
      </c>
      <c r="AX90" s="5184"/>
      <c r="AY90" s="5184"/>
      <c r="AZ90" s="5184"/>
      <c r="BA90" s="5296">
        <f t="shared" si="72"/>
        <v>0</v>
      </c>
      <c r="BB90" s="5184"/>
      <c r="BC90" s="5105">
        <f t="shared" si="74"/>
        <v>0</v>
      </c>
      <c r="BD90" s="5184"/>
      <c r="BE90" s="4406">
        <f>+AW90+AY90</f>
        <v>8.83</v>
      </c>
      <c r="BH90" s="23"/>
      <c r="BI90" s="23"/>
    </row>
    <row r="91" spans="2:61" x14ac:dyDescent="0.3">
      <c r="B91" s="4059" t="s">
        <v>2116</v>
      </c>
      <c r="C91" s="4932" t="s">
        <v>351</v>
      </c>
      <c r="D91" s="5184"/>
      <c r="E91" s="5184"/>
      <c r="F91" s="5184"/>
      <c r="G91" s="5184"/>
      <c r="H91" s="5185"/>
      <c r="I91" s="4965"/>
      <c r="J91" s="5184"/>
      <c r="K91" s="5184"/>
      <c r="L91" s="5379"/>
      <c r="M91" s="5296"/>
      <c r="N91" s="5184"/>
      <c r="O91" s="5184"/>
      <c r="P91" s="5184"/>
      <c r="Q91" s="4965"/>
      <c r="R91" s="5184"/>
      <c r="S91" s="5184"/>
      <c r="T91" s="5184"/>
      <c r="U91" s="4965"/>
      <c r="V91" s="5184"/>
      <c r="W91" s="5184"/>
      <c r="X91" s="5379"/>
      <c r="Y91" s="5296"/>
      <c r="Z91" s="5184"/>
      <c r="AA91" s="5105"/>
      <c r="AB91" s="5184"/>
      <c r="AC91" s="5184"/>
      <c r="AD91" s="5184"/>
      <c r="AE91" s="5385"/>
      <c r="AF91" s="5184"/>
      <c r="AG91" s="5184"/>
      <c r="AH91" s="5184"/>
      <c r="AI91" s="4930"/>
      <c r="AJ91" s="5184"/>
      <c r="AK91" s="5184"/>
      <c r="AL91" s="5184"/>
      <c r="AM91" s="5296"/>
      <c r="AN91" s="5184"/>
      <c r="AO91" s="5385"/>
      <c r="AP91" s="5184"/>
      <c r="AQ91" s="5184">
        <v>898.86</v>
      </c>
      <c r="AR91" s="5184"/>
      <c r="AS91" s="5385">
        <f t="shared" si="62"/>
        <v>898.86</v>
      </c>
      <c r="AT91" s="5184"/>
      <c r="AU91" s="5184">
        <v>100.53</v>
      </c>
      <c r="AV91" s="5184"/>
      <c r="AW91" s="5385">
        <f t="shared" si="63"/>
        <v>999.39</v>
      </c>
      <c r="AX91" s="5184"/>
      <c r="AY91" s="5184"/>
      <c r="AZ91" s="5184"/>
      <c r="BA91" s="5296">
        <f t="shared" si="72"/>
        <v>999.39</v>
      </c>
      <c r="BB91" s="5184"/>
      <c r="BC91" s="5105">
        <f t="shared" si="74"/>
        <v>999.39</v>
      </c>
      <c r="BD91" s="5184"/>
      <c r="BE91" s="4406">
        <f t="shared" ref="BE91:BE92" si="90">+AW91+AY91</f>
        <v>999.39</v>
      </c>
      <c r="BH91" s="23"/>
      <c r="BI91" s="23"/>
    </row>
    <row r="92" spans="2:61" x14ac:dyDescent="0.3">
      <c r="B92" s="4059" t="s">
        <v>2115</v>
      </c>
      <c r="C92" s="4932" t="s">
        <v>351</v>
      </c>
      <c r="D92" s="5184"/>
      <c r="E92" s="5184"/>
      <c r="F92" s="5184"/>
      <c r="G92" s="5184"/>
      <c r="H92" s="5185"/>
      <c r="I92" s="4965"/>
      <c r="J92" s="5184"/>
      <c r="K92" s="5184"/>
      <c r="L92" s="5379"/>
      <c r="M92" s="5296"/>
      <c r="N92" s="5184"/>
      <c r="O92" s="5184"/>
      <c r="P92" s="5184"/>
      <c r="Q92" s="4965"/>
      <c r="R92" s="5184"/>
      <c r="S92" s="5184"/>
      <c r="T92" s="5184"/>
      <c r="U92" s="4965"/>
      <c r="V92" s="5184"/>
      <c r="W92" s="5184"/>
      <c r="X92" s="5379"/>
      <c r="Y92" s="5296"/>
      <c r="Z92" s="5184"/>
      <c r="AA92" s="5105"/>
      <c r="AB92" s="5184"/>
      <c r="AC92" s="5184"/>
      <c r="AD92" s="5184"/>
      <c r="AE92" s="5385"/>
      <c r="AF92" s="5184"/>
      <c r="AG92" s="5184"/>
      <c r="AH92" s="5184"/>
      <c r="AI92" s="4930"/>
      <c r="AJ92" s="5184"/>
      <c r="AK92" s="5184"/>
      <c r="AL92" s="5184"/>
      <c r="AM92" s="5296"/>
      <c r="AN92" s="5184"/>
      <c r="AO92" s="5385"/>
      <c r="AP92" s="5184"/>
      <c r="AQ92" s="5184">
        <v>4.42</v>
      </c>
      <c r="AR92" s="5184"/>
      <c r="AS92" s="5385">
        <f t="shared" si="62"/>
        <v>4.42</v>
      </c>
      <c r="AT92" s="5184"/>
      <c r="AU92" s="5184"/>
      <c r="AV92" s="5184"/>
      <c r="AW92" s="5385">
        <f t="shared" si="63"/>
        <v>4.42</v>
      </c>
      <c r="AX92" s="5184"/>
      <c r="AY92" s="5184"/>
      <c r="AZ92" s="5184"/>
      <c r="BA92" s="5296">
        <f t="shared" si="72"/>
        <v>4.42</v>
      </c>
      <c r="BB92" s="5184"/>
      <c r="BC92" s="5105">
        <f t="shared" si="74"/>
        <v>4.42</v>
      </c>
      <c r="BD92" s="5184"/>
      <c r="BE92" s="4406">
        <f t="shared" si="90"/>
        <v>4.42</v>
      </c>
      <c r="BH92" s="23"/>
      <c r="BI92" s="23"/>
    </row>
    <row r="93" spans="2:61" x14ac:dyDescent="0.3">
      <c r="B93" s="4059" t="s">
        <v>2011</v>
      </c>
      <c r="C93" s="4932" t="s">
        <v>351</v>
      </c>
      <c r="D93" s="5184"/>
      <c r="E93" s="5184"/>
      <c r="F93" s="5184"/>
      <c r="G93" s="5184"/>
      <c r="H93" s="5185"/>
      <c r="I93" s="4965">
        <f t="shared" si="89"/>
        <v>0</v>
      </c>
      <c r="J93" s="5184"/>
      <c r="K93" s="5184"/>
      <c r="L93" s="5379"/>
      <c r="M93" s="5296">
        <f t="shared" si="41"/>
        <v>0</v>
      </c>
      <c r="N93" s="5184"/>
      <c r="O93" s="5184"/>
      <c r="P93" s="5184"/>
      <c r="Q93" s="4965">
        <f t="shared" si="65"/>
        <v>0</v>
      </c>
      <c r="R93" s="5184"/>
      <c r="S93" s="5184">
        <v>14.8</v>
      </c>
      <c r="T93" s="5184"/>
      <c r="U93" s="4965">
        <f t="shared" si="66"/>
        <v>14.8</v>
      </c>
      <c r="V93" s="5184"/>
      <c r="W93" s="5184"/>
      <c r="X93" s="5379"/>
      <c r="Y93" s="5296">
        <f t="shared" ref="Y93" si="91">+O93+S93+W93</f>
        <v>14.8</v>
      </c>
      <c r="Z93" s="5184"/>
      <c r="AA93" s="5105">
        <f t="shared" ref="AA93" si="92">M93+Y93</f>
        <v>14.8</v>
      </c>
      <c r="AB93" s="5184"/>
      <c r="AC93" s="5184"/>
      <c r="AD93" s="5184"/>
      <c r="AE93" s="5385">
        <f t="shared" si="61"/>
        <v>14.8</v>
      </c>
      <c r="AF93" s="5184"/>
      <c r="AG93" s="5184"/>
      <c r="AH93" s="5184"/>
      <c r="AI93" s="4930">
        <f t="shared" si="82"/>
        <v>14.8</v>
      </c>
      <c r="AJ93" s="5184"/>
      <c r="AK93" s="5184"/>
      <c r="AL93" s="5184"/>
      <c r="AM93" s="5296">
        <f t="shared" si="79"/>
        <v>0</v>
      </c>
      <c r="AN93" s="5184"/>
      <c r="AO93" s="5385">
        <f t="shared" si="75"/>
        <v>14.8</v>
      </c>
      <c r="AP93" s="5184"/>
      <c r="AQ93" s="5184"/>
      <c r="AR93" s="5184"/>
      <c r="AS93" s="5385">
        <f t="shared" si="62"/>
        <v>14.8</v>
      </c>
      <c r="AT93" s="5184"/>
      <c r="AU93" s="5184"/>
      <c r="AV93" s="5184"/>
      <c r="AW93" s="5385">
        <f t="shared" si="63"/>
        <v>14.8</v>
      </c>
      <c r="AX93" s="5184"/>
      <c r="AY93" s="5184"/>
      <c r="AZ93" s="5184"/>
      <c r="BA93" s="5296">
        <f t="shared" ref="BA93:BA94" si="93">+AQ93+AU93+AY93</f>
        <v>0</v>
      </c>
      <c r="BB93" s="5184"/>
      <c r="BC93" s="5105">
        <f t="shared" ref="BC93:BC94" si="94">BA93+AM93</f>
        <v>0</v>
      </c>
      <c r="BD93" s="5184"/>
      <c r="BE93" s="4406">
        <f t="shared" ref="BE93:BE94" si="95">+AW93+AY93</f>
        <v>14.8</v>
      </c>
      <c r="BH93" s="23"/>
      <c r="BI93" s="23"/>
    </row>
    <row r="94" spans="2:61" x14ac:dyDescent="0.3">
      <c r="B94" s="4059" t="s">
        <v>2012</v>
      </c>
      <c r="C94" s="4932" t="s">
        <v>351</v>
      </c>
      <c r="D94" s="5184"/>
      <c r="E94" s="5184"/>
      <c r="F94" s="5184"/>
      <c r="G94" s="5184"/>
      <c r="H94" s="5185"/>
      <c r="I94" s="4965">
        <f t="shared" si="89"/>
        <v>0</v>
      </c>
      <c r="J94" s="5184"/>
      <c r="K94" s="5184"/>
      <c r="L94" s="5379"/>
      <c r="M94" s="5296">
        <f t="shared" si="41"/>
        <v>0</v>
      </c>
      <c r="N94" s="5184"/>
      <c r="O94" s="5184"/>
      <c r="P94" s="5184"/>
      <c r="Q94" s="4965">
        <f t="shared" si="65"/>
        <v>0</v>
      </c>
      <c r="R94" s="5184"/>
      <c r="S94" s="5184">
        <v>49.83</v>
      </c>
      <c r="T94" s="5184"/>
      <c r="U94" s="4965">
        <f t="shared" si="66"/>
        <v>49.83</v>
      </c>
      <c r="V94" s="5184"/>
      <c r="W94" s="5184"/>
      <c r="X94" s="5379"/>
      <c r="Y94" s="5296">
        <f t="shared" si="73"/>
        <v>49.83</v>
      </c>
      <c r="Z94" s="5184"/>
      <c r="AA94" s="5105">
        <f t="shared" si="70"/>
        <v>49.83</v>
      </c>
      <c r="AB94" s="5184"/>
      <c r="AC94" s="5184"/>
      <c r="AD94" s="5184"/>
      <c r="AE94" s="5385">
        <f t="shared" si="61"/>
        <v>49.83</v>
      </c>
      <c r="AF94" s="5184"/>
      <c r="AG94" s="5184"/>
      <c r="AH94" s="5184"/>
      <c r="AI94" s="4930">
        <f t="shared" si="82"/>
        <v>49.83</v>
      </c>
      <c r="AJ94" s="5184"/>
      <c r="AK94" s="5184"/>
      <c r="AL94" s="5184"/>
      <c r="AM94" s="5296">
        <f t="shared" si="79"/>
        <v>0</v>
      </c>
      <c r="AN94" s="5184"/>
      <c r="AO94" s="5385">
        <f t="shared" si="75"/>
        <v>49.83</v>
      </c>
      <c r="AP94" s="5184"/>
      <c r="AQ94" s="5184"/>
      <c r="AR94" s="5184"/>
      <c r="AS94" s="5385">
        <f t="shared" si="62"/>
        <v>49.83</v>
      </c>
      <c r="AT94" s="5184"/>
      <c r="AU94" s="5184">
        <v>59.17</v>
      </c>
      <c r="AV94" s="5184"/>
      <c r="AW94" s="5385">
        <f t="shared" si="63"/>
        <v>109</v>
      </c>
      <c r="AX94" s="5184"/>
      <c r="AY94" s="5184"/>
      <c r="AZ94" s="5184"/>
      <c r="BA94" s="5296">
        <f t="shared" si="93"/>
        <v>59.17</v>
      </c>
      <c r="BB94" s="5184"/>
      <c r="BC94" s="5105">
        <f t="shared" si="94"/>
        <v>59.17</v>
      </c>
      <c r="BD94" s="5184"/>
      <c r="BE94" s="4406">
        <f t="shared" si="95"/>
        <v>109</v>
      </c>
      <c r="BH94" s="23"/>
      <c r="BI94" s="23"/>
    </row>
    <row r="95" spans="2:61" x14ac:dyDescent="0.3">
      <c r="B95" s="4059" t="s">
        <v>1703</v>
      </c>
      <c r="C95" s="4932" t="s">
        <v>351</v>
      </c>
      <c r="D95" s="4923"/>
      <c r="E95" s="4923"/>
      <c r="F95" s="4923"/>
      <c r="G95" s="4923"/>
      <c r="H95" s="4965"/>
      <c r="I95" s="4965">
        <f t="shared" si="89"/>
        <v>0</v>
      </c>
      <c r="J95" s="4923"/>
      <c r="K95" s="4923">
        <v>13</v>
      </c>
      <c r="L95" s="5379"/>
      <c r="M95" s="5296">
        <f t="shared" si="41"/>
        <v>13</v>
      </c>
      <c r="N95" s="4923"/>
      <c r="O95" s="4923"/>
      <c r="P95" s="4923"/>
      <c r="Q95" s="4965">
        <f t="shared" si="65"/>
        <v>13</v>
      </c>
      <c r="R95" s="4923"/>
      <c r="S95" s="4923"/>
      <c r="T95" s="4923"/>
      <c r="U95" s="4965">
        <f t="shared" si="66"/>
        <v>13</v>
      </c>
      <c r="V95" s="4923"/>
      <c r="W95" s="4923">
        <v>82</v>
      </c>
      <c r="X95" s="5379"/>
      <c r="Y95" s="5296">
        <f t="shared" si="73"/>
        <v>82</v>
      </c>
      <c r="Z95" s="4923"/>
      <c r="AA95" s="4938">
        <f t="shared" si="70"/>
        <v>95</v>
      </c>
      <c r="AB95" s="4923"/>
      <c r="AC95" s="4923">
        <v>182</v>
      </c>
      <c r="AD95" s="4923"/>
      <c r="AE95" s="5385">
        <f t="shared" si="61"/>
        <v>277</v>
      </c>
      <c r="AF95" s="4923"/>
      <c r="AG95" s="4923">
        <v>237</v>
      </c>
      <c r="AH95" s="4923"/>
      <c r="AI95" s="4930">
        <f t="shared" si="82"/>
        <v>514</v>
      </c>
      <c r="AJ95" s="4923"/>
      <c r="AK95" s="4923">
        <v>862</v>
      </c>
      <c r="AL95" s="4923"/>
      <c r="AM95" s="5296">
        <f t="shared" si="79"/>
        <v>1281</v>
      </c>
      <c r="AN95" s="4923"/>
      <c r="AO95" s="5385">
        <f t="shared" si="75"/>
        <v>1376</v>
      </c>
      <c r="AP95" s="4923"/>
      <c r="AQ95" s="4923">
        <v>118</v>
      </c>
      <c r="AR95" s="4923"/>
      <c r="AS95" s="5385">
        <f t="shared" si="62"/>
        <v>1494</v>
      </c>
      <c r="AT95" s="4923"/>
      <c r="AU95" s="4923">
        <v>10</v>
      </c>
      <c r="AV95" s="4923"/>
      <c r="AW95" s="5385">
        <f t="shared" si="63"/>
        <v>1504</v>
      </c>
      <c r="AX95" s="4923"/>
      <c r="AY95" s="4923"/>
      <c r="AZ95" s="4923"/>
      <c r="BA95" s="5296">
        <f t="shared" si="72"/>
        <v>128</v>
      </c>
      <c r="BB95" s="4923"/>
      <c r="BC95" s="4938">
        <f t="shared" si="74"/>
        <v>1409</v>
      </c>
      <c r="BD95" s="4923"/>
      <c r="BE95" s="4064">
        <f t="shared" ref="BE95:BE105" si="96">+AW95+AY95</f>
        <v>1504</v>
      </c>
      <c r="BH95" s="23"/>
      <c r="BI95" s="23"/>
    </row>
    <row r="96" spans="2:61" x14ac:dyDescent="0.3">
      <c r="B96" s="4059" t="s">
        <v>1069</v>
      </c>
      <c r="C96" s="4932" t="s">
        <v>351</v>
      </c>
      <c r="D96" s="5184"/>
      <c r="E96" s="5184">
        <v>14.74</v>
      </c>
      <c r="F96" s="5184"/>
      <c r="G96" s="5184">
        <v>7.07</v>
      </c>
      <c r="H96" s="5185"/>
      <c r="I96" s="4965">
        <f t="shared" si="89"/>
        <v>21.810000000000002</v>
      </c>
      <c r="J96" s="5184"/>
      <c r="K96" s="5184">
        <v>15.6</v>
      </c>
      <c r="L96" s="5379"/>
      <c r="M96" s="5296">
        <f t="shared" si="41"/>
        <v>37.410000000000004</v>
      </c>
      <c r="N96" s="5184"/>
      <c r="O96" s="5184">
        <v>37.17</v>
      </c>
      <c r="P96" s="5184"/>
      <c r="Q96" s="4965">
        <f t="shared" si="65"/>
        <v>74.580000000000013</v>
      </c>
      <c r="R96" s="5184"/>
      <c r="S96" s="5184">
        <v>12.67</v>
      </c>
      <c r="T96" s="5184"/>
      <c r="U96" s="4965">
        <f t="shared" si="66"/>
        <v>87.250000000000014</v>
      </c>
      <c r="V96" s="5184"/>
      <c r="W96" s="5184">
        <v>19.990000000000002</v>
      </c>
      <c r="X96" s="5379"/>
      <c r="Y96" s="5296">
        <f t="shared" si="73"/>
        <v>69.830000000000013</v>
      </c>
      <c r="Z96" s="5184"/>
      <c r="AA96" s="5105">
        <f t="shared" si="70"/>
        <v>107.24000000000001</v>
      </c>
      <c r="AB96" s="5184"/>
      <c r="AC96" s="5184">
        <v>2.38</v>
      </c>
      <c r="AD96" s="5184"/>
      <c r="AE96" s="5385">
        <f t="shared" si="61"/>
        <v>109.62</v>
      </c>
      <c r="AF96" s="5184"/>
      <c r="AG96" s="5184"/>
      <c r="AH96" s="5184"/>
      <c r="AI96" s="4930">
        <f t="shared" si="82"/>
        <v>109.62</v>
      </c>
      <c r="AJ96" s="5184"/>
      <c r="AK96" s="5184">
        <v>2.14</v>
      </c>
      <c r="AL96" s="5184"/>
      <c r="AM96" s="5296">
        <f t="shared" si="79"/>
        <v>4.5199999999999996</v>
      </c>
      <c r="AN96" s="5184"/>
      <c r="AO96" s="5385">
        <f t="shared" si="75"/>
        <v>111.76</v>
      </c>
      <c r="AP96" s="5184"/>
      <c r="AQ96" s="5184">
        <v>12.36</v>
      </c>
      <c r="AR96" s="5184"/>
      <c r="AS96" s="5385">
        <f t="shared" si="62"/>
        <v>124.12</v>
      </c>
      <c r="AT96" s="5184"/>
      <c r="AU96" s="5184">
        <v>12.43</v>
      </c>
      <c r="AV96" s="5184"/>
      <c r="AW96" s="5385">
        <f t="shared" si="63"/>
        <v>136.55000000000001</v>
      </c>
      <c r="AX96" s="5184"/>
      <c r="AY96" s="5184"/>
      <c r="AZ96" s="5184"/>
      <c r="BA96" s="5296">
        <f t="shared" si="72"/>
        <v>24.79</v>
      </c>
      <c r="BB96" s="5184"/>
      <c r="BC96" s="5105">
        <f t="shared" si="74"/>
        <v>29.31</v>
      </c>
      <c r="BD96" s="5184"/>
      <c r="BE96" s="4406">
        <f t="shared" si="96"/>
        <v>136.55000000000001</v>
      </c>
      <c r="BH96" s="23"/>
      <c r="BI96" s="23"/>
    </row>
    <row r="97" spans="1:61" ht="15.75" customHeight="1" x14ac:dyDescent="0.3">
      <c r="A97" s="137"/>
      <c r="B97" s="4059" t="s">
        <v>630</v>
      </c>
      <c r="C97" s="4932" t="s">
        <v>351</v>
      </c>
      <c r="D97" s="4923"/>
      <c r="E97" s="4923"/>
      <c r="F97" s="4923"/>
      <c r="G97" s="4923"/>
      <c r="H97" s="4965"/>
      <c r="I97" s="4965">
        <f t="shared" si="89"/>
        <v>0</v>
      </c>
      <c r="J97" s="4923"/>
      <c r="K97" s="4923">
        <v>881.95</v>
      </c>
      <c r="L97" s="5379"/>
      <c r="M97" s="5296">
        <f t="shared" si="41"/>
        <v>881.95</v>
      </c>
      <c r="N97" s="4923"/>
      <c r="O97" s="4923">
        <v>75.539999999999992</v>
      </c>
      <c r="P97" s="4923"/>
      <c r="Q97" s="4965">
        <f t="shared" si="65"/>
        <v>957.49</v>
      </c>
      <c r="R97" s="4923"/>
      <c r="S97" s="4923"/>
      <c r="T97" s="4923"/>
      <c r="U97" s="4965">
        <f t="shared" si="66"/>
        <v>957.49</v>
      </c>
      <c r="V97" s="4923"/>
      <c r="W97" s="4923"/>
      <c r="X97" s="5379"/>
      <c r="Y97" s="5296">
        <f t="shared" si="73"/>
        <v>75.539999999999992</v>
      </c>
      <c r="Z97" s="4923"/>
      <c r="AA97" s="4938">
        <f t="shared" si="70"/>
        <v>957.49</v>
      </c>
      <c r="AB97" s="4923"/>
      <c r="AC97" s="4923"/>
      <c r="AD97" s="4923"/>
      <c r="AE97" s="5385">
        <f t="shared" si="61"/>
        <v>957.49</v>
      </c>
      <c r="AF97" s="4923"/>
      <c r="AG97" s="4923"/>
      <c r="AH97" s="4923"/>
      <c r="AI97" s="4930">
        <f t="shared" si="82"/>
        <v>957.49</v>
      </c>
      <c r="AJ97" s="4923"/>
      <c r="AK97" s="4923"/>
      <c r="AL97" s="4923"/>
      <c r="AM97" s="5296">
        <f t="shared" si="79"/>
        <v>0</v>
      </c>
      <c r="AN97" s="4923"/>
      <c r="AO97" s="5385">
        <f t="shared" si="75"/>
        <v>957.49</v>
      </c>
      <c r="AP97" s="4923"/>
      <c r="AQ97" s="4923"/>
      <c r="AR97" s="4923"/>
      <c r="AS97" s="5385">
        <f t="shared" si="62"/>
        <v>957.49</v>
      </c>
      <c r="AT97" s="4923"/>
      <c r="AU97" s="4923"/>
      <c r="AV97" s="4923"/>
      <c r="AW97" s="5385">
        <f t="shared" si="63"/>
        <v>957.49</v>
      </c>
      <c r="AX97" s="4923"/>
      <c r="AY97" s="4923"/>
      <c r="AZ97" s="4923"/>
      <c r="BA97" s="5296">
        <f t="shared" si="72"/>
        <v>0</v>
      </c>
      <c r="BB97" s="4923"/>
      <c r="BC97" s="4938">
        <f t="shared" si="74"/>
        <v>0</v>
      </c>
      <c r="BD97" s="4923"/>
      <c r="BE97" s="4064">
        <f t="shared" si="96"/>
        <v>957.49</v>
      </c>
      <c r="BH97" s="23"/>
      <c r="BI97" s="23"/>
    </row>
    <row r="98" spans="1:61" ht="15.75" customHeight="1" x14ac:dyDescent="0.3">
      <c r="A98" s="137"/>
      <c r="B98" s="4059" t="s">
        <v>2090</v>
      </c>
      <c r="C98" s="4932" t="s">
        <v>351</v>
      </c>
      <c r="D98" s="4923"/>
      <c r="E98" s="4923"/>
      <c r="F98" s="4923"/>
      <c r="G98" s="4923"/>
      <c r="H98" s="4965"/>
      <c r="I98" s="4965">
        <f t="shared" ref="I98:I101" si="97">+E98+G98</f>
        <v>0</v>
      </c>
      <c r="J98" s="4923"/>
      <c r="K98" s="4923"/>
      <c r="L98" s="5379"/>
      <c r="M98" s="5296">
        <f t="shared" si="41"/>
        <v>0</v>
      </c>
      <c r="N98" s="4923"/>
      <c r="O98" s="4923"/>
      <c r="P98" s="4923"/>
      <c r="Q98" s="4965">
        <f t="shared" si="65"/>
        <v>0</v>
      </c>
      <c r="R98" s="4923"/>
      <c r="S98" s="4923"/>
      <c r="T98" s="4923"/>
      <c r="U98" s="4965">
        <f t="shared" si="66"/>
        <v>0</v>
      </c>
      <c r="V98" s="4923"/>
      <c r="W98" s="4923"/>
      <c r="X98" s="5379"/>
      <c r="Y98" s="5296">
        <f t="shared" si="73"/>
        <v>0</v>
      </c>
      <c r="Z98" s="4923"/>
      <c r="AA98" s="4938">
        <f t="shared" si="70"/>
        <v>0</v>
      </c>
      <c r="AB98" s="4923"/>
      <c r="AC98" s="4923"/>
      <c r="AD98" s="4923"/>
      <c r="AE98" s="5385">
        <f t="shared" si="61"/>
        <v>0</v>
      </c>
      <c r="AF98" s="4923"/>
      <c r="AG98" s="4923"/>
      <c r="AH98" s="4923"/>
      <c r="AI98" s="4930">
        <f t="shared" si="82"/>
        <v>0</v>
      </c>
      <c r="AJ98" s="4923"/>
      <c r="AK98" s="4923">
        <v>9.3699999999999992</v>
      </c>
      <c r="AL98" s="4923"/>
      <c r="AM98" s="5296">
        <f t="shared" si="79"/>
        <v>9.3699999999999992</v>
      </c>
      <c r="AN98" s="4923"/>
      <c r="AO98" s="5385">
        <f t="shared" si="75"/>
        <v>9.3699999999999992</v>
      </c>
      <c r="AP98" s="4923"/>
      <c r="AQ98" s="4923">
        <v>6.98</v>
      </c>
      <c r="AR98" s="4923"/>
      <c r="AS98" s="5385">
        <f t="shared" si="62"/>
        <v>16.350000000000001</v>
      </c>
      <c r="AT98" s="4923"/>
      <c r="AU98" s="4923"/>
      <c r="AV98" s="4923"/>
      <c r="AW98" s="5385">
        <f t="shared" si="63"/>
        <v>16.350000000000001</v>
      </c>
      <c r="AX98" s="4923"/>
      <c r="AY98" s="4923"/>
      <c r="AZ98" s="4923"/>
      <c r="BA98" s="5296">
        <f t="shared" si="72"/>
        <v>6.98</v>
      </c>
      <c r="BB98" s="4923"/>
      <c r="BC98" s="4938">
        <f t="shared" si="74"/>
        <v>16.350000000000001</v>
      </c>
      <c r="BD98" s="4923"/>
      <c r="BE98" s="4064">
        <f t="shared" si="96"/>
        <v>16.350000000000001</v>
      </c>
      <c r="BH98" s="23"/>
      <c r="BI98" s="23"/>
    </row>
    <row r="99" spans="1:61" ht="15.75" customHeight="1" x14ac:dyDescent="0.3">
      <c r="A99" s="137"/>
      <c r="B99" s="4059" t="s">
        <v>839</v>
      </c>
      <c r="C99" s="4932" t="s">
        <v>351</v>
      </c>
      <c r="D99" s="4923"/>
      <c r="E99" s="4923"/>
      <c r="F99" s="4923"/>
      <c r="G99" s="4923"/>
      <c r="H99" s="4965"/>
      <c r="I99" s="4965">
        <f t="shared" si="97"/>
        <v>0</v>
      </c>
      <c r="J99" s="4923"/>
      <c r="K99" s="4923"/>
      <c r="L99" s="5379"/>
      <c r="M99" s="5296">
        <f t="shared" si="41"/>
        <v>0</v>
      </c>
      <c r="N99" s="4923"/>
      <c r="O99" s="4923"/>
      <c r="P99" s="4923"/>
      <c r="Q99" s="4965">
        <f t="shared" si="65"/>
        <v>0</v>
      </c>
      <c r="R99" s="4923"/>
      <c r="S99" s="4923"/>
      <c r="T99" s="4923"/>
      <c r="U99" s="4965">
        <f t="shared" si="66"/>
        <v>0</v>
      </c>
      <c r="V99" s="4923"/>
      <c r="W99" s="4923"/>
      <c r="X99" s="5379"/>
      <c r="Y99" s="5296">
        <f t="shared" si="73"/>
        <v>0</v>
      </c>
      <c r="Z99" s="4923"/>
      <c r="AA99" s="4938">
        <f t="shared" si="70"/>
        <v>0</v>
      </c>
      <c r="AB99" s="4923"/>
      <c r="AC99" s="4923">
        <v>156.16999999999999</v>
      </c>
      <c r="AD99" s="4923"/>
      <c r="AE99" s="5385">
        <f t="shared" si="61"/>
        <v>156.16999999999999</v>
      </c>
      <c r="AF99" s="4923"/>
      <c r="AG99" s="4923"/>
      <c r="AH99" s="4923"/>
      <c r="AI99" s="4930">
        <f t="shared" si="82"/>
        <v>156.16999999999999</v>
      </c>
      <c r="AJ99" s="4923"/>
      <c r="AK99" s="4923"/>
      <c r="AL99" s="4923"/>
      <c r="AM99" s="5296">
        <f t="shared" si="79"/>
        <v>156.16999999999999</v>
      </c>
      <c r="AN99" s="4923"/>
      <c r="AO99" s="5385">
        <f t="shared" si="75"/>
        <v>156.16999999999999</v>
      </c>
      <c r="AP99" s="4923"/>
      <c r="AQ99" s="4923"/>
      <c r="AR99" s="4923"/>
      <c r="AS99" s="4930">
        <f t="shared" ref="AS99:AS105" si="98">+AO99+AQ99</f>
        <v>156.16999999999999</v>
      </c>
      <c r="AT99" s="4923"/>
      <c r="AU99" s="4923"/>
      <c r="AV99" s="4923"/>
      <c r="AW99" s="4930">
        <f t="shared" si="63"/>
        <v>156.16999999999999</v>
      </c>
      <c r="AX99" s="4923"/>
      <c r="AY99" s="4923"/>
      <c r="AZ99" s="4923"/>
      <c r="BA99" s="5296">
        <f t="shared" si="72"/>
        <v>0</v>
      </c>
      <c r="BB99" s="4923"/>
      <c r="BC99" s="4938">
        <f t="shared" si="74"/>
        <v>156.16999999999999</v>
      </c>
      <c r="BD99" s="4923"/>
      <c r="BE99" s="4064">
        <f t="shared" si="96"/>
        <v>156.16999999999999</v>
      </c>
      <c r="BH99" s="23"/>
      <c r="BI99" s="23"/>
    </row>
    <row r="100" spans="1:61" ht="15.75" customHeight="1" x14ac:dyDescent="0.3">
      <c r="A100" s="137"/>
      <c r="B100" s="4059" t="s">
        <v>1802</v>
      </c>
      <c r="C100" s="4932" t="s">
        <v>351</v>
      </c>
      <c r="D100" s="4923"/>
      <c r="E100" s="4923"/>
      <c r="F100" s="4923"/>
      <c r="G100" s="4923"/>
      <c r="H100" s="4965"/>
      <c r="I100" s="4965">
        <f t="shared" si="97"/>
        <v>0</v>
      </c>
      <c r="J100" s="4923"/>
      <c r="K100" s="4923"/>
      <c r="L100" s="5379"/>
      <c r="M100" s="5296">
        <f t="shared" si="41"/>
        <v>0</v>
      </c>
      <c r="N100" s="4923"/>
      <c r="O100" s="4923"/>
      <c r="P100" s="4923"/>
      <c r="Q100" s="4965">
        <f t="shared" si="65"/>
        <v>0</v>
      </c>
      <c r="R100" s="4923"/>
      <c r="S100" s="4923">
        <v>198.44</v>
      </c>
      <c r="T100" s="4923"/>
      <c r="U100" s="4965">
        <f t="shared" si="66"/>
        <v>198.44</v>
      </c>
      <c r="V100" s="4923"/>
      <c r="W100" s="4923">
        <v>200.53</v>
      </c>
      <c r="X100" s="5379"/>
      <c r="Y100" s="5296">
        <f t="shared" si="73"/>
        <v>398.97</v>
      </c>
      <c r="Z100" s="4923"/>
      <c r="AA100" s="4938">
        <f t="shared" si="70"/>
        <v>398.97</v>
      </c>
      <c r="AB100" s="4923"/>
      <c r="AC100" s="4923"/>
      <c r="AD100" s="4923"/>
      <c r="AE100" s="5385">
        <f t="shared" si="61"/>
        <v>398.97</v>
      </c>
      <c r="AF100" s="4923"/>
      <c r="AG100" s="4923"/>
      <c r="AH100" s="4923"/>
      <c r="AI100" s="4930">
        <f t="shared" si="82"/>
        <v>398.97</v>
      </c>
      <c r="AJ100" s="4923"/>
      <c r="AK100" s="4923"/>
      <c r="AL100" s="4923"/>
      <c r="AM100" s="5296">
        <f t="shared" si="79"/>
        <v>0</v>
      </c>
      <c r="AN100" s="4923"/>
      <c r="AO100" s="5385">
        <f t="shared" si="75"/>
        <v>398.97</v>
      </c>
      <c r="AP100" s="4923"/>
      <c r="AQ100" s="4923"/>
      <c r="AR100" s="4923"/>
      <c r="AS100" s="4930">
        <f t="shared" si="98"/>
        <v>398.97</v>
      </c>
      <c r="AT100" s="4923"/>
      <c r="AU100" s="4923"/>
      <c r="AV100" s="4923"/>
      <c r="AW100" s="4930">
        <f t="shared" si="63"/>
        <v>398.97</v>
      </c>
      <c r="AX100" s="4923"/>
      <c r="AY100" s="4923"/>
      <c r="AZ100" s="4923"/>
      <c r="BA100" s="5296">
        <f t="shared" si="72"/>
        <v>0</v>
      </c>
      <c r="BB100" s="4923"/>
      <c r="BC100" s="4938">
        <f t="shared" si="74"/>
        <v>0</v>
      </c>
      <c r="BD100" s="4923"/>
      <c r="BE100" s="4064">
        <f t="shared" si="96"/>
        <v>398.97</v>
      </c>
      <c r="BH100" s="23"/>
      <c r="BI100" s="23"/>
    </row>
    <row r="101" spans="1:61" ht="15.75" customHeight="1" x14ac:dyDescent="0.3">
      <c r="A101" s="137"/>
      <c r="B101" s="4059" t="s">
        <v>2089</v>
      </c>
      <c r="C101" s="4932" t="s">
        <v>351</v>
      </c>
      <c r="D101" s="4923"/>
      <c r="E101" s="4923">
        <v>14.67</v>
      </c>
      <c r="F101" s="4923"/>
      <c r="G101" s="4923">
        <v>22.12</v>
      </c>
      <c r="H101" s="4965"/>
      <c r="I101" s="4965">
        <f t="shared" si="97"/>
        <v>36.79</v>
      </c>
      <c r="J101" s="4923"/>
      <c r="K101" s="4923"/>
      <c r="L101" s="5379"/>
      <c r="M101" s="5296">
        <f t="shared" si="41"/>
        <v>36.79</v>
      </c>
      <c r="N101" s="4923"/>
      <c r="O101" s="4923"/>
      <c r="P101" s="4923"/>
      <c r="Q101" s="4965">
        <f t="shared" si="65"/>
        <v>36.79</v>
      </c>
      <c r="R101" s="4923"/>
      <c r="S101" s="4923"/>
      <c r="T101" s="4923"/>
      <c r="U101" s="4965">
        <f t="shared" si="66"/>
        <v>36.79</v>
      </c>
      <c r="V101" s="4923"/>
      <c r="W101" s="4923"/>
      <c r="X101" s="5379"/>
      <c r="Y101" s="5296">
        <f t="shared" si="73"/>
        <v>0</v>
      </c>
      <c r="Z101" s="4923"/>
      <c r="AA101" s="4938">
        <f t="shared" si="70"/>
        <v>36.79</v>
      </c>
      <c r="AB101" s="4923"/>
      <c r="AC101" s="4923"/>
      <c r="AD101" s="4923"/>
      <c r="AE101" s="5385">
        <f t="shared" si="61"/>
        <v>36.79</v>
      </c>
      <c r="AF101" s="4923"/>
      <c r="AG101" s="4923"/>
      <c r="AH101" s="4923"/>
      <c r="AI101" s="4930">
        <f t="shared" si="82"/>
        <v>36.79</v>
      </c>
      <c r="AJ101" s="4923"/>
      <c r="AK101" s="4923">
        <v>17.489999999999998</v>
      </c>
      <c r="AL101" s="4923"/>
      <c r="AM101" s="5296">
        <f t="shared" si="79"/>
        <v>17.489999999999998</v>
      </c>
      <c r="AN101" s="4923"/>
      <c r="AO101" s="4930">
        <f t="shared" ref="AO101:AO147" si="99">AI101+AK101</f>
        <v>54.28</v>
      </c>
      <c r="AP101" s="4923"/>
      <c r="AQ101" s="4923"/>
      <c r="AR101" s="4923"/>
      <c r="AS101" s="4930">
        <f t="shared" si="98"/>
        <v>54.28</v>
      </c>
      <c r="AT101" s="4923"/>
      <c r="AU101" s="4923">
        <v>14.5</v>
      </c>
      <c r="AV101" s="4923"/>
      <c r="AW101" s="4930">
        <f t="shared" si="63"/>
        <v>68.78</v>
      </c>
      <c r="AX101" s="4923"/>
      <c r="AY101" s="4923">
        <v>34.39</v>
      </c>
      <c r="AZ101" s="4923"/>
      <c r="BA101" s="5296">
        <f t="shared" si="72"/>
        <v>48.89</v>
      </c>
      <c r="BB101" s="4923"/>
      <c r="BC101" s="4938">
        <f t="shared" si="74"/>
        <v>66.38</v>
      </c>
      <c r="BD101" s="4923"/>
      <c r="BE101" s="4064">
        <f t="shared" si="96"/>
        <v>103.17</v>
      </c>
      <c r="BH101" s="23"/>
      <c r="BI101" s="23"/>
    </row>
    <row r="102" spans="1:61" x14ac:dyDescent="0.3">
      <c r="A102" s="137"/>
      <c r="B102" s="4488" t="s">
        <v>947</v>
      </c>
      <c r="C102" s="5076" t="s">
        <v>351</v>
      </c>
      <c r="D102" s="5315"/>
      <c r="E102" s="5315">
        <f>+E103+E104</f>
        <v>296.7</v>
      </c>
      <c r="F102" s="5315"/>
      <c r="G102" s="5315">
        <f>+G103+G104</f>
        <v>0</v>
      </c>
      <c r="H102" s="5315"/>
      <c r="I102" s="5315">
        <f t="shared" si="89"/>
        <v>296.7</v>
      </c>
      <c r="J102" s="5315"/>
      <c r="K102" s="5315">
        <f>+K103+K104</f>
        <v>996.79</v>
      </c>
      <c r="L102" s="5315"/>
      <c r="M102" s="5377">
        <f t="shared" si="41"/>
        <v>1293.49</v>
      </c>
      <c r="N102" s="5315"/>
      <c r="O102" s="5315">
        <f>+O103+O104</f>
        <v>900.29000000000019</v>
      </c>
      <c r="P102" s="5315"/>
      <c r="Q102" s="4965">
        <f t="shared" si="65"/>
        <v>2193.7800000000002</v>
      </c>
      <c r="R102" s="5315"/>
      <c r="S102" s="5315">
        <f>+S103+S104</f>
        <v>98.82</v>
      </c>
      <c r="T102" s="5315"/>
      <c r="U102" s="4965">
        <f t="shared" si="66"/>
        <v>2292.6000000000004</v>
      </c>
      <c r="V102" s="5315"/>
      <c r="W102" s="5315">
        <f>+W103+W104</f>
        <v>199.97</v>
      </c>
      <c r="X102" s="5315"/>
      <c r="Y102" s="5377">
        <f t="shared" si="73"/>
        <v>1199.0800000000002</v>
      </c>
      <c r="Z102" s="5315"/>
      <c r="AA102" s="5105">
        <f t="shared" si="70"/>
        <v>2492.5700000000002</v>
      </c>
      <c r="AB102" s="5315"/>
      <c r="AC102" s="5315">
        <f>+AC103+AC104</f>
        <v>696.92</v>
      </c>
      <c r="AD102" s="5315"/>
      <c r="AE102" s="5315">
        <f t="shared" ref="AE102:AE104" si="100">+AA102+AC102</f>
        <v>3189.4900000000002</v>
      </c>
      <c r="AF102" s="5315"/>
      <c r="AG102" s="5315">
        <f>+AG103+AG104</f>
        <v>1596.1</v>
      </c>
      <c r="AH102" s="5315"/>
      <c r="AI102" s="5315">
        <f t="shared" si="82"/>
        <v>4785.59</v>
      </c>
      <c r="AJ102" s="5315"/>
      <c r="AK102" s="5315">
        <f>+AK103+AK104</f>
        <v>298.72000000000003</v>
      </c>
      <c r="AL102" s="5315"/>
      <c r="AM102" s="5377">
        <f t="shared" si="79"/>
        <v>2591.7399999999998</v>
      </c>
      <c r="AN102" s="5315"/>
      <c r="AO102" s="5315">
        <f t="shared" si="99"/>
        <v>5084.3100000000004</v>
      </c>
      <c r="AP102" s="5315"/>
      <c r="AQ102" s="5315">
        <f>+AQ103+AQ104</f>
        <v>99.25</v>
      </c>
      <c r="AR102" s="5315"/>
      <c r="AS102" s="5315">
        <f t="shared" si="98"/>
        <v>5183.5600000000004</v>
      </c>
      <c r="AT102" s="5315"/>
      <c r="AU102" s="5315">
        <f>+AU103+AU104</f>
        <v>647.95000000000016</v>
      </c>
      <c r="AV102" s="5315"/>
      <c r="AW102" s="5315">
        <f t="shared" si="63"/>
        <v>5831.51</v>
      </c>
      <c r="AX102" s="5315"/>
      <c r="AY102" s="5315">
        <f>+AY103+AY104</f>
        <v>99.5</v>
      </c>
      <c r="AZ102" s="5315"/>
      <c r="BA102" s="5377">
        <f t="shared" si="72"/>
        <v>846.70000000000016</v>
      </c>
      <c r="BB102" s="5315"/>
      <c r="BC102" s="5105">
        <f t="shared" si="74"/>
        <v>3438.44</v>
      </c>
      <c r="BD102" s="5315"/>
      <c r="BE102" s="5378">
        <f t="shared" si="96"/>
        <v>5931.01</v>
      </c>
      <c r="BH102" s="23"/>
      <c r="BI102" s="23"/>
    </row>
    <row r="103" spans="1:61" ht="20.399999999999999" x14ac:dyDescent="0.3">
      <c r="A103" s="137"/>
      <c r="B103" s="5387" t="s">
        <v>22</v>
      </c>
      <c r="C103" s="5076" t="s">
        <v>351</v>
      </c>
      <c r="D103" s="4923"/>
      <c r="E103" s="4923"/>
      <c r="F103" s="4923"/>
      <c r="G103" s="4923"/>
      <c r="H103" s="4965"/>
      <c r="I103" s="4965">
        <f t="shared" si="89"/>
        <v>0</v>
      </c>
      <c r="J103" s="4923"/>
      <c r="K103" s="4923"/>
      <c r="L103" s="5379"/>
      <c r="M103" s="5377">
        <f t="shared" si="41"/>
        <v>0</v>
      </c>
      <c r="N103" s="4923"/>
      <c r="O103" s="4923"/>
      <c r="P103" s="4923"/>
      <c r="Q103" s="4965">
        <f t="shared" si="65"/>
        <v>0</v>
      </c>
      <c r="R103" s="4923"/>
      <c r="S103" s="4923"/>
      <c r="T103" s="4923"/>
      <c r="U103" s="4965">
        <f t="shared" si="66"/>
        <v>0</v>
      </c>
      <c r="V103" s="4923"/>
      <c r="W103" s="4923"/>
      <c r="X103" s="5379"/>
      <c r="Y103" s="5377">
        <f t="shared" si="73"/>
        <v>0</v>
      </c>
      <c r="Z103" s="4923"/>
      <c r="AA103" s="4938">
        <f t="shared" si="70"/>
        <v>0</v>
      </c>
      <c r="AB103" s="4923"/>
      <c r="AC103" s="4923"/>
      <c r="AD103" s="4923"/>
      <c r="AE103" s="4930">
        <f t="shared" si="100"/>
        <v>0</v>
      </c>
      <c r="AF103" s="4923"/>
      <c r="AG103" s="4923"/>
      <c r="AH103" s="4923"/>
      <c r="AI103" s="4930">
        <f t="shared" si="82"/>
        <v>0</v>
      </c>
      <c r="AJ103" s="4923"/>
      <c r="AK103" s="4923"/>
      <c r="AL103" s="4923"/>
      <c r="AM103" s="5377">
        <f t="shared" si="79"/>
        <v>0</v>
      </c>
      <c r="AN103" s="4923"/>
      <c r="AO103" s="4930">
        <f t="shared" si="99"/>
        <v>0</v>
      </c>
      <c r="AP103" s="4923"/>
      <c r="AQ103" s="4923"/>
      <c r="AR103" s="4923"/>
      <c r="AS103" s="4930">
        <f t="shared" si="98"/>
        <v>0</v>
      </c>
      <c r="AT103" s="4923"/>
      <c r="AU103" s="4923"/>
      <c r="AV103" s="4923"/>
      <c r="AW103" s="4930">
        <f t="shared" si="63"/>
        <v>0</v>
      </c>
      <c r="AX103" s="4923"/>
      <c r="AY103" s="4923"/>
      <c r="AZ103" s="4923"/>
      <c r="BA103" s="5377">
        <f t="shared" si="72"/>
        <v>0</v>
      </c>
      <c r="BB103" s="4923"/>
      <c r="BC103" s="4938">
        <f t="shared" si="74"/>
        <v>0</v>
      </c>
      <c r="BD103" s="4923"/>
      <c r="BE103" s="4064">
        <f t="shared" si="96"/>
        <v>0</v>
      </c>
      <c r="BH103" s="23"/>
      <c r="BI103" s="23"/>
    </row>
    <row r="104" spans="1:61" ht="21" thickBot="1" x14ac:dyDescent="0.35">
      <c r="B104" s="2936" t="s">
        <v>23</v>
      </c>
      <c r="C104" s="5388" t="s">
        <v>351</v>
      </c>
      <c r="D104" s="4923"/>
      <c r="E104" s="4795">
        <v>296.7</v>
      </c>
      <c r="F104" s="4923"/>
      <c r="G104" s="4795"/>
      <c r="H104" s="5389"/>
      <c r="I104" s="5389">
        <f t="shared" si="89"/>
        <v>296.7</v>
      </c>
      <c r="J104" s="4923"/>
      <c r="K104" s="4795">
        <v>996.79</v>
      </c>
      <c r="L104" s="5379"/>
      <c r="M104" s="5377">
        <f t="shared" si="41"/>
        <v>1293.49</v>
      </c>
      <c r="N104" s="4923"/>
      <c r="O104" s="4795">
        <v>900.29000000000019</v>
      </c>
      <c r="P104" s="4923"/>
      <c r="Q104" s="4965">
        <f t="shared" si="65"/>
        <v>2193.7800000000002</v>
      </c>
      <c r="R104" s="4923"/>
      <c r="S104" s="4795">
        <v>98.82</v>
      </c>
      <c r="T104" s="4923"/>
      <c r="U104" s="4965">
        <f t="shared" si="66"/>
        <v>2292.6000000000004</v>
      </c>
      <c r="V104" s="4923"/>
      <c r="W104" s="4795">
        <v>199.97</v>
      </c>
      <c r="X104" s="5379"/>
      <c r="Y104" s="5377">
        <f t="shared" si="73"/>
        <v>1199.0800000000002</v>
      </c>
      <c r="Z104" s="4923"/>
      <c r="AA104" s="4938">
        <f t="shared" si="70"/>
        <v>2492.5700000000002</v>
      </c>
      <c r="AB104" s="4923"/>
      <c r="AC104" s="4795">
        <v>696.92</v>
      </c>
      <c r="AD104" s="4923"/>
      <c r="AE104" s="4930">
        <f t="shared" si="100"/>
        <v>3189.4900000000002</v>
      </c>
      <c r="AF104" s="4923"/>
      <c r="AG104" s="4795">
        <v>1596.1</v>
      </c>
      <c r="AH104" s="4923"/>
      <c r="AI104" s="4930">
        <f t="shared" si="82"/>
        <v>4785.59</v>
      </c>
      <c r="AJ104" s="4923"/>
      <c r="AK104" s="4795">
        <v>298.72000000000003</v>
      </c>
      <c r="AL104" s="4923"/>
      <c r="AM104" s="5377">
        <f t="shared" si="79"/>
        <v>2591.7399999999998</v>
      </c>
      <c r="AN104" s="4923"/>
      <c r="AO104" s="4930">
        <f t="shared" si="99"/>
        <v>5084.3100000000004</v>
      </c>
      <c r="AP104" s="4923"/>
      <c r="AQ104" s="4795">
        <v>99.25</v>
      </c>
      <c r="AR104" s="4923"/>
      <c r="AS104" s="4930">
        <f t="shared" si="98"/>
        <v>5183.5600000000004</v>
      </c>
      <c r="AT104" s="4923"/>
      <c r="AU104" s="4795">
        <v>647.95000000000016</v>
      </c>
      <c r="AV104" s="4923"/>
      <c r="AW104" s="4930">
        <f t="shared" si="63"/>
        <v>5831.51</v>
      </c>
      <c r="AX104" s="4923"/>
      <c r="AY104" s="4795">
        <v>99.5</v>
      </c>
      <c r="AZ104" s="4923"/>
      <c r="BA104" s="5377">
        <f t="shared" si="72"/>
        <v>846.70000000000016</v>
      </c>
      <c r="BB104" s="4923"/>
      <c r="BC104" s="4938">
        <f t="shared" si="74"/>
        <v>3438.44</v>
      </c>
      <c r="BD104" s="4923"/>
      <c r="BE104" s="4064">
        <f t="shared" si="96"/>
        <v>5931.01</v>
      </c>
      <c r="BH104" s="23"/>
      <c r="BI104" s="23"/>
    </row>
    <row r="105" spans="1:61" ht="16.2" thickBot="1" x14ac:dyDescent="0.35">
      <c r="A105" s="137"/>
      <c r="B105" s="2934" t="s">
        <v>1223</v>
      </c>
      <c r="C105" s="724" t="s">
        <v>351</v>
      </c>
      <c r="D105" s="4923"/>
      <c r="E105" s="2697"/>
      <c r="F105" s="4923"/>
      <c r="G105" s="2697"/>
      <c r="H105" s="2931"/>
      <c r="I105" s="2935">
        <f>+E105+G105</f>
        <v>0</v>
      </c>
      <c r="J105" s="5390"/>
      <c r="K105" s="2697"/>
      <c r="L105" s="5379"/>
      <c r="M105" s="5377">
        <f t="shared" si="41"/>
        <v>0</v>
      </c>
      <c r="N105" s="4923"/>
      <c r="O105" s="2697">
        <v>3071.800000000002</v>
      </c>
      <c r="P105" s="4923"/>
      <c r="Q105" s="4965">
        <f t="shared" si="65"/>
        <v>3071.800000000002</v>
      </c>
      <c r="R105" s="4923"/>
      <c r="S105" s="2697">
        <v>4523.51</v>
      </c>
      <c r="T105" s="4923"/>
      <c r="U105" s="4965">
        <f t="shared" si="66"/>
        <v>7595.3100000000022</v>
      </c>
      <c r="V105" s="4923"/>
      <c r="W105" s="2697">
        <v>8437.6100000000024</v>
      </c>
      <c r="X105" s="5379"/>
      <c r="Y105" s="5377">
        <f t="shared" si="73"/>
        <v>16032.920000000006</v>
      </c>
      <c r="Z105" s="4923"/>
      <c r="AA105" s="4938">
        <f t="shared" si="70"/>
        <v>16032.920000000006</v>
      </c>
      <c r="AB105" s="4923"/>
      <c r="AC105" s="2697">
        <v>15050.02</v>
      </c>
      <c r="AD105" s="4923"/>
      <c r="AE105" s="4930">
        <f t="shared" ref="AE105" si="101">+AA105+AC105</f>
        <v>31082.940000000006</v>
      </c>
      <c r="AF105" s="4923"/>
      <c r="AG105" s="2697">
        <v>11706.12</v>
      </c>
      <c r="AH105" s="4923"/>
      <c r="AI105" s="4930">
        <f t="shared" ref="AI105:AI115" si="102">+AE105+AG105</f>
        <v>42789.060000000005</v>
      </c>
      <c r="AJ105" s="4923"/>
      <c r="AK105" s="2697">
        <v>6843.46</v>
      </c>
      <c r="AL105" s="4923"/>
      <c r="AM105" s="5377">
        <f t="shared" si="79"/>
        <v>33599.599999999999</v>
      </c>
      <c r="AN105" s="4923"/>
      <c r="AO105" s="4930">
        <f t="shared" si="99"/>
        <v>49632.520000000004</v>
      </c>
      <c r="AP105" s="4923"/>
      <c r="AQ105" s="2697">
        <v>6263.2699999999968</v>
      </c>
      <c r="AR105" s="4923"/>
      <c r="AS105" s="4930">
        <f t="shared" si="98"/>
        <v>55895.79</v>
      </c>
      <c r="AT105" s="4923"/>
      <c r="AU105" s="2697"/>
      <c r="AV105" s="4923"/>
      <c r="AW105" s="4930">
        <f t="shared" si="63"/>
        <v>55895.79</v>
      </c>
      <c r="AX105" s="4923"/>
      <c r="AY105" s="2697"/>
      <c r="AZ105" s="4923"/>
      <c r="BA105" s="5377">
        <f t="shared" si="72"/>
        <v>6263.2699999999968</v>
      </c>
      <c r="BB105" s="4923"/>
      <c r="BC105" s="4938">
        <f t="shared" si="74"/>
        <v>39862.869999999995</v>
      </c>
      <c r="BD105" s="4923"/>
      <c r="BE105" s="4064">
        <f t="shared" si="96"/>
        <v>55895.79</v>
      </c>
      <c r="BH105" s="23"/>
      <c r="BI105" s="23"/>
    </row>
    <row r="106" spans="1:61" x14ac:dyDescent="0.3">
      <c r="A106" s="137"/>
      <c r="B106" s="2932" t="s">
        <v>880</v>
      </c>
      <c r="C106" s="211"/>
      <c r="D106" s="5315"/>
      <c r="E106" s="2933">
        <f>+E107+E108+E110+E109</f>
        <v>5243.17</v>
      </c>
      <c r="F106" s="5315"/>
      <c r="G106" s="2933">
        <f>+G107+G108+G110+G109</f>
        <v>10011.099999999999</v>
      </c>
      <c r="H106" s="2933"/>
      <c r="I106" s="2933">
        <f>+I107+I108+I110+I109</f>
        <v>15254.27</v>
      </c>
      <c r="J106" s="5315"/>
      <c r="K106" s="2933">
        <f>+K107+K108+K110+K109</f>
        <v>3441.08</v>
      </c>
      <c r="L106" s="5315"/>
      <c r="M106" s="5377">
        <f t="shared" si="41"/>
        <v>18695.349999999999</v>
      </c>
      <c r="N106" s="5315"/>
      <c r="O106" s="2933">
        <f>+O107+O108+O110+O109</f>
        <v>12321.94</v>
      </c>
      <c r="P106" s="5315"/>
      <c r="Q106" s="4965">
        <f t="shared" si="65"/>
        <v>31017.29</v>
      </c>
      <c r="R106" s="5315"/>
      <c r="S106" s="2933">
        <f>+S107+S108+S110+S109</f>
        <v>175.21</v>
      </c>
      <c r="T106" s="5315">
        <f>+T107+T108+T110+T109</f>
        <v>0</v>
      </c>
      <c r="U106" s="4965">
        <f t="shared" si="66"/>
        <v>31192.5</v>
      </c>
      <c r="V106" s="5315">
        <f>+V107+V108+V110+V109</f>
        <v>0</v>
      </c>
      <c r="W106" s="2933">
        <f>+W107+W108+W110+W109</f>
        <v>10771.1</v>
      </c>
      <c r="X106" s="5315"/>
      <c r="Y106" s="5377">
        <f t="shared" si="73"/>
        <v>23268.25</v>
      </c>
      <c r="Z106" s="5315"/>
      <c r="AA106" s="5105">
        <f t="shared" si="70"/>
        <v>41963.6</v>
      </c>
      <c r="AB106" s="5315"/>
      <c r="AC106" s="2933">
        <f>+AC107+AC108+AC110+AC109</f>
        <v>1727.19</v>
      </c>
      <c r="AD106" s="5315">
        <f>+AD107+AD108+AD110+AD109</f>
        <v>0</v>
      </c>
      <c r="AE106" s="5315">
        <f>+AE107+AE108+AE110+AE109</f>
        <v>43690.79</v>
      </c>
      <c r="AF106" s="5315"/>
      <c r="AG106" s="2933">
        <f>+AG107+AG108+AG110+AG109</f>
        <v>10528.789999999999</v>
      </c>
      <c r="AH106" s="5315">
        <f>+AH107+AH108+AH110+AH109</f>
        <v>0</v>
      </c>
      <c r="AI106" s="5315">
        <f t="shared" si="102"/>
        <v>54219.58</v>
      </c>
      <c r="AJ106" s="5315">
        <f>+AJ107+AJ108+AJ110+AJ109</f>
        <v>0</v>
      </c>
      <c r="AK106" s="2933">
        <f>+AK107+AK108+AK110+AK109</f>
        <v>11967.74</v>
      </c>
      <c r="AL106" s="5315"/>
      <c r="AM106" s="5377">
        <f t="shared" si="79"/>
        <v>24223.72</v>
      </c>
      <c r="AN106" s="5315">
        <f>+AN107+AN108+AN110+AN109</f>
        <v>0</v>
      </c>
      <c r="AO106" s="5315">
        <f t="shared" si="99"/>
        <v>66187.320000000007</v>
      </c>
      <c r="AP106" s="5315">
        <f>+AP107+AP108+AP110+AP109</f>
        <v>0</v>
      </c>
      <c r="AQ106" s="2933">
        <f>+AQ107+AQ108+AQ110+AQ109</f>
        <v>18122.189999999999</v>
      </c>
      <c r="AR106" s="5315">
        <f>+AR107+AR108+AR110+AR109</f>
        <v>0</v>
      </c>
      <c r="AS106" s="5315">
        <f>+AS107+AS108+AS110+AS109</f>
        <v>84309.51</v>
      </c>
      <c r="AT106" s="5315"/>
      <c r="AU106" s="2933">
        <f>+AU107+AU108+AU110+AU109</f>
        <v>14453.559999999998</v>
      </c>
      <c r="AV106" s="5315">
        <f>+AV107+AV108+AV110+AV109</f>
        <v>0</v>
      </c>
      <c r="AW106" s="5315">
        <f>+AW107+AW108+AW110+AW109</f>
        <v>98763.069999999992</v>
      </c>
      <c r="AX106" s="5315"/>
      <c r="AY106" s="2933">
        <f>+AY107+AY108+AY110+AY109</f>
        <v>4921.9299999999994</v>
      </c>
      <c r="AZ106" s="5315"/>
      <c r="BA106" s="5377">
        <f t="shared" si="72"/>
        <v>37497.679999999993</v>
      </c>
      <c r="BB106" s="5315"/>
      <c r="BC106" s="5105">
        <f t="shared" si="74"/>
        <v>61721.399999999994</v>
      </c>
      <c r="BD106" s="5315">
        <f>+BD107+BD108+BD110+BD109</f>
        <v>0</v>
      </c>
      <c r="BE106" s="5378">
        <f>+BE107+BE108+BE110+BE109</f>
        <v>103684.99999999999</v>
      </c>
      <c r="BH106" s="23"/>
      <c r="BI106" s="23"/>
    </row>
    <row r="107" spans="1:61" x14ac:dyDescent="0.3">
      <c r="B107" s="4059" t="s">
        <v>907</v>
      </c>
      <c r="C107" s="4932" t="s">
        <v>351</v>
      </c>
      <c r="D107" s="4928"/>
      <c r="E107" s="4928">
        <v>3762.94</v>
      </c>
      <c r="F107" s="4928"/>
      <c r="G107" s="4928">
        <v>9491.9599999999991</v>
      </c>
      <c r="H107" s="4965"/>
      <c r="I107" s="4965">
        <f t="shared" si="89"/>
        <v>13254.9</v>
      </c>
      <c r="J107" s="4928"/>
      <c r="K107" s="4928">
        <v>3441.08</v>
      </c>
      <c r="L107" s="5061"/>
      <c r="M107" s="5377">
        <f t="shared" ref="M107:M115" si="103">+E107+G107+K107</f>
        <v>16695.98</v>
      </c>
      <c r="N107" s="4928"/>
      <c r="O107" s="4928">
        <v>7462.4800000000014</v>
      </c>
      <c r="P107" s="4928"/>
      <c r="Q107" s="4965">
        <f t="shared" si="65"/>
        <v>24158.46</v>
      </c>
      <c r="R107" s="4928"/>
      <c r="S107" s="4928">
        <v>36.89</v>
      </c>
      <c r="T107" s="4928"/>
      <c r="U107" s="4965">
        <f t="shared" si="66"/>
        <v>24195.35</v>
      </c>
      <c r="V107" s="4928"/>
      <c r="W107" s="4928">
        <v>7271.5400000000009</v>
      </c>
      <c r="X107" s="5061"/>
      <c r="Y107" s="5377">
        <f t="shared" si="73"/>
        <v>14770.910000000003</v>
      </c>
      <c r="Z107" s="4928"/>
      <c r="AA107" s="4938">
        <f t="shared" si="70"/>
        <v>31466.890000000003</v>
      </c>
      <c r="AB107" s="4928"/>
      <c r="AC107" s="4928">
        <v>227.29</v>
      </c>
      <c r="AD107" s="4928"/>
      <c r="AE107" s="4930">
        <f t="shared" ref="AE107:AE110" si="104">+AA107+AC107</f>
        <v>31694.180000000004</v>
      </c>
      <c r="AF107" s="4928"/>
      <c r="AG107" s="4928">
        <v>7499.21</v>
      </c>
      <c r="AH107" s="4928"/>
      <c r="AI107" s="4930">
        <f t="shared" si="102"/>
        <v>39193.390000000007</v>
      </c>
      <c r="AJ107" s="4928"/>
      <c r="AK107" s="4928">
        <v>7498.31</v>
      </c>
      <c r="AL107" s="4928"/>
      <c r="AM107" s="5377">
        <f t="shared" si="79"/>
        <v>15224.810000000001</v>
      </c>
      <c r="AN107" s="4928"/>
      <c r="AO107" s="4930">
        <f t="shared" si="99"/>
        <v>46691.700000000004</v>
      </c>
      <c r="AP107" s="4928"/>
      <c r="AQ107" s="4928">
        <v>5623.5899999999983</v>
      </c>
      <c r="AR107" s="4928"/>
      <c r="AS107" s="4930">
        <f t="shared" ref="AS107:AS110" si="105">+AO107+AQ107</f>
        <v>52315.29</v>
      </c>
      <c r="AT107" s="4928"/>
      <c r="AU107" s="4928">
        <v>5113.6299999999992</v>
      </c>
      <c r="AV107" s="4928"/>
      <c r="AW107" s="4930">
        <f t="shared" ref="AW107:AW112" si="106">+AS107+AU107</f>
        <v>57428.92</v>
      </c>
      <c r="AX107" s="4928"/>
      <c r="AY107" s="4928">
        <v>1762.6700000000003</v>
      </c>
      <c r="AZ107" s="4928"/>
      <c r="BA107" s="5377">
        <f t="shared" si="72"/>
        <v>12499.889999999998</v>
      </c>
      <c r="BB107" s="4928"/>
      <c r="BC107" s="4938">
        <f t="shared" si="74"/>
        <v>27724.699999999997</v>
      </c>
      <c r="BD107" s="4928"/>
      <c r="BE107" s="4064">
        <f t="shared" ref="BE107:BE110" si="107">+AW107+AY107</f>
        <v>59191.59</v>
      </c>
      <c r="BH107" s="23"/>
      <c r="BI107" s="23"/>
    </row>
    <row r="108" spans="1:61" x14ac:dyDescent="0.3">
      <c r="A108" s="137"/>
      <c r="B108" s="4059" t="s">
        <v>1219</v>
      </c>
      <c r="C108" s="4932" t="s">
        <v>351</v>
      </c>
      <c r="D108" s="4928"/>
      <c r="E108" s="4928">
        <v>1480.23</v>
      </c>
      <c r="F108" s="4928"/>
      <c r="G108" s="4928">
        <v>519.14</v>
      </c>
      <c r="H108" s="4965"/>
      <c r="I108" s="4965">
        <f t="shared" si="89"/>
        <v>1999.37</v>
      </c>
      <c r="J108" s="4928"/>
      <c r="K108" s="4928"/>
      <c r="L108" s="5061"/>
      <c r="M108" s="5377">
        <f t="shared" si="103"/>
        <v>1999.37</v>
      </c>
      <c r="N108" s="4928"/>
      <c r="O108" s="4928">
        <v>2456.2199999999998</v>
      </c>
      <c r="P108" s="4928"/>
      <c r="Q108" s="4965">
        <f t="shared" si="65"/>
        <v>4455.59</v>
      </c>
      <c r="R108" s="4928"/>
      <c r="S108" s="4928">
        <v>42.35</v>
      </c>
      <c r="T108" s="4928"/>
      <c r="U108" s="4965">
        <f t="shared" si="66"/>
        <v>4497.9400000000005</v>
      </c>
      <c r="V108" s="4928"/>
      <c r="W108" s="4928">
        <v>2499.7500000000009</v>
      </c>
      <c r="X108" s="5061"/>
      <c r="Y108" s="5377">
        <f t="shared" si="73"/>
        <v>4998.3200000000006</v>
      </c>
      <c r="Z108" s="4928"/>
      <c r="AA108" s="4938">
        <f t="shared" si="70"/>
        <v>6997.6900000000005</v>
      </c>
      <c r="AB108" s="4928"/>
      <c r="AC108" s="4928"/>
      <c r="AD108" s="4928"/>
      <c r="AE108" s="4930">
        <f t="shared" si="104"/>
        <v>6997.6900000000005</v>
      </c>
      <c r="AF108" s="4928"/>
      <c r="AG108" s="4928">
        <v>2499.4499999999998</v>
      </c>
      <c r="AH108" s="4928"/>
      <c r="AI108" s="4930">
        <f t="shared" si="102"/>
        <v>9497.14</v>
      </c>
      <c r="AJ108" s="4928"/>
      <c r="AK108" s="4928">
        <v>2499.71</v>
      </c>
      <c r="AL108" s="4928"/>
      <c r="AM108" s="5377">
        <f t="shared" si="79"/>
        <v>4999.16</v>
      </c>
      <c r="AN108" s="4928"/>
      <c r="AO108" s="4930">
        <f t="shared" si="99"/>
        <v>11996.849999999999</v>
      </c>
      <c r="AP108" s="4928"/>
      <c r="AQ108" s="4928">
        <v>2499.9199999999996</v>
      </c>
      <c r="AR108" s="4928"/>
      <c r="AS108" s="4930">
        <f t="shared" si="105"/>
        <v>14496.769999999999</v>
      </c>
      <c r="AT108" s="4928"/>
      <c r="AU108" s="4928">
        <v>2499.7399999999998</v>
      </c>
      <c r="AV108" s="4928"/>
      <c r="AW108" s="4930">
        <f t="shared" si="106"/>
        <v>16996.509999999998</v>
      </c>
      <c r="AX108" s="4928"/>
      <c r="AY108" s="4928"/>
      <c r="AZ108" s="4928"/>
      <c r="BA108" s="5377">
        <f t="shared" si="72"/>
        <v>4999.66</v>
      </c>
      <c r="BB108" s="4928"/>
      <c r="BC108" s="4938">
        <f t="shared" si="74"/>
        <v>9998.82</v>
      </c>
      <c r="BD108" s="4928"/>
      <c r="BE108" s="4064">
        <f t="shared" si="107"/>
        <v>16996.509999999998</v>
      </c>
      <c r="BH108" s="23"/>
      <c r="BI108" s="23"/>
    </row>
    <row r="109" spans="1:61" hidden="1" x14ac:dyDescent="0.3">
      <c r="A109" s="137"/>
      <c r="B109" s="4059" t="s">
        <v>1302</v>
      </c>
      <c r="C109" s="4932" t="s">
        <v>351</v>
      </c>
      <c r="D109" s="4928"/>
      <c r="E109" s="4928"/>
      <c r="F109" s="4928"/>
      <c r="G109" s="4928"/>
      <c r="H109" s="4965"/>
      <c r="I109" s="4965">
        <f t="shared" si="89"/>
        <v>0</v>
      </c>
      <c r="J109" s="4928"/>
      <c r="K109" s="4928"/>
      <c r="L109" s="5061"/>
      <c r="M109" s="5377">
        <f t="shared" si="103"/>
        <v>0</v>
      </c>
      <c r="N109" s="4928"/>
      <c r="O109" s="4928">
        <v>2403.2400000000002</v>
      </c>
      <c r="P109" s="4928"/>
      <c r="Q109" s="4965">
        <f t="shared" si="65"/>
        <v>2403.2400000000002</v>
      </c>
      <c r="R109" s="4928"/>
      <c r="S109" s="4928">
        <v>95.97</v>
      </c>
      <c r="T109" s="4928"/>
      <c r="U109" s="4965">
        <f t="shared" si="66"/>
        <v>2499.21</v>
      </c>
      <c r="V109" s="4928"/>
      <c r="W109" s="4928">
        <v>999.81</v>
      </c>
      <c r="X109" s="5061"/>
      <c r="Y109" s="5377">
        <f t="shared" si="73"/>
        <v>3499.02</v>
      </c>
      <c r="Z109" s="4928"/>
      <c r="AA109" s="4938">
        <f t="shared" si="70"/>
        <v>3499.02</v>
      </c>
      <c r="AB109" s="4928"/>
      <c r="AC109" s="4928">
        <v>1499.9</v>
      </c>
      <c r="AD109" s="4928"/>
      <c r="AE109" s="4930">
        <f t="shared" si="104"/>
        <v>4998.92</v>
      </c>
      <c r="AF109" s="4928"/>
      <c r="AG109" s="4928">
        <v>530.13</v>
      </c>
      <c r="AH109" s="4928"/>
      <c r="AI109" s="4930">
        <f t="shared" si="102"/>
        <v>5529.05</v>
      </c>
      <c r="AJ109" s="4928"/>
      <c r="AK109" s="4928">
        <v>1969.72</v>
      </c>
      <c r="AL109" s="4928"/>
      <c r="AM109" s="5377">
        <f t="shared" si="79"/>
        <v>3999.75</v>
      </c>
      <c r="AN109" s="4928"/>
      <c r="AO109" s="4930">
        <f t="shared" si="99"/>
        <v>7498.77</v>
      </c>
      <c r="AP109" s="4928"/>
      <c r="AQ109" s="4928">
        <v>9998.68</v>
      </c>
      <c r="AR109" s="4928"/>
      <c r="AS109" s="4930">
        <f t="shared" si="105"/>
        <v>17497.45</v>
      </c>
      <c r="AT109" s="4928"/>
      <c r="AU109" s="4928">
        <v>6840.1899999999987</v>
      </c>
      <c r="AV109" s="4928"/>
      <c r="AW109" s="4930">
        <f t="shared" si="106"/>
        <v>24337.64</v>
      </c>
      <c r="AX109" s="4928"/>
      <c r="AY109" s="4928">
        <v>3159.2599999999993</v>
      </c>
      <c r="AZ109" s="4928"/>
      <c r="BA109" s="5377">
        <f t="shared" si="72"/>
        <v>19998.129999999997</v>
      </c>
      <c r="BB109" s="4928"/>
      <c r="BC109" s="4938">
        <f t="shared" si="74"/>
        <v>23997.879999999997</v>
      </c>
      <c r="BD109" s="4928"/>
      <c r="BE109" s="4064">
        <f t="shared" si="107"/>
        <v>27496.899999999998</v>
      </c>
      <c r="BH109" s="23"/>
      <c r="BI109" s="23"/>
    </row>
    <row r="110" spans="1:61" hidden="1" x14ac:dyDescent="0.3">
      <c r="A110" s="137"/>
      <c r="B110" s="4059" t="s">
        <v>1231</v>
      </c>
      <c r="C110" s="4932" t="s">
        <v>351</v>
      </c>
      <c r="D110" s="4933"/>
      <c r="E110" s="4933"/>
      <c r="F110" s="4933"/>
      <c r="G110" s="4933"/>
      <c r="H110" s="5060"/>
      <c r="I110" s="5060">
        <f t="shared" si="89"/>
        <v>0</v>
      </c>
      <c r="J110" s="4933"/>
      <c r="K110" s="4933"/>
      <c r="L110" s="5061"/>
      <c r="M110" s="5377">
        <f t="shared" si="103"/>
        <v>0</v>
      </c>
      <c r="N110" s="4933"/>
      <c r="O110" s="4933"/>
      <c r="P110" s="4933"/>
      <c r="Q110" s="4965">
        <f t="shared" si="65"/>
        <v>0</v>
      </c>
      <c r="R110" s="4933"/>
      <c r="S110" s="4933"/>
      <c r="T110" s="4933"/>
      <c r="U110" s="4965">
        <f t="shared" si="66"/>
        <v>0</v>
      </c>
      <c r="V110" s="4933"/>
      <c r="W110" s="4933"/>
      <c r="X110" s="5061"/>
      <c r="Y110" s="5377">
        <f t="shared" si="73"/>
        <v>0</v>
      </c>
      <c r="Z110" s="4933"/>
      <c r="AA110" s="4938">
        <f t="shared" si="70"/>
        <v>0</v>
      </c>
      <c r="AB110" s="4933"/>
      <c r="AC110" s="4933"/>
      <c r="AD110" s="4933"/>
      <c r="AE110" s="4940">
        <f t="shared" si="104"/>
        <v>0</v>
      </c>
      <c r="AF110" s="4933"/>
      <c r="AG110" s="4933"/>
      <c r="AH110" s="4933"/>
      <c r="AI110" s="4940">
        <f t="shared" si="102"/>
        <v>0</v>
      </c>
      <c r="AJ110" s="4933"/>
      <c r="AK110" s="4933"/>
      <c r="AL110" s="4933"/>
      <c r="AM110" s="5377">
        <f t="shared" si="79"/>
        <v>0</v>
      </c>
      <c r="AN110" s="4933"/>
      <c r="AO110" s="4940">
        <f t="shared" si="99"/>
        <v>0</v>
      </c>
      <c r="AP110" s="4933"/>
      <c r="AQ110" s="4933"/>
      <c r="AR110" s="4933"/>
      <c r="AS110" s="4940">
        <f t="shared" si="105"/>
        <v>0</v>
      </c>
      <c r="AT110" s="4933"/>
      <c r="AU110" s="4933"/>
      <c r="AV110" s="4933"/>
      <c r="AW110" s="4940">
        <f t="shared" si="106"/>
        <v>0</v>
      </c>
      <c r="AX110" s="4933"/>
      <c r="AY110" s="4933"/>
      <c r="AZ110" s="4933"/>
      <c r="BA110" s="5377">
        <f t="shared" si="72"/>
        <v>0</v>
      </c>
      <c r="BB110" s="4933"/>
      <c r="BC110" s="4938">
        <f t="shared" si="74"/>
        <v>0</v>
      </c>
      <c r="BD110" s="4933"/>
      <c r="BE110" s="4064">
        <f t="shared" si="107"/>
        <v>0</v>
      </c>
      <c r="BH110" s="23"/>
      <c r="BI110" s="23"/>
    </row>
    <row r="111" spans="1:61" x14ac:dyDescent="0.3">
      <c r="A111" s="137"/>
      <c r="B111" s="4488" t="s">
        <v>756</v>
      </c>
      <c r="C111" s="4932" t="s">
        <v>351</v>
      </c>
      <c r="D111" s="4923"/>
      <c r="E111" s="5315">
        <v>10746.62</v>
      </c>
      <c r="F111" s="4923"/>
      <c r="G111" s="5315">
        <v>12385.93</v>
      </c>
      <c r="H111" s="5314"/>
      <c r="I111" s="5315">
        <f>+E111+G111</f>
        <v>23132.550000000003</v>
      </c>
      <c r="J111" s="4923"/>
      <c r="K111" s="5315">
        <v>10995.34</v>
      </c>
      <c r="L111" s="5379"/>
      <c r="M111" s="5377">
        <f t="shared" si="103"/>
        <v>34127.89</v>
      </c>
      <c r="N111" s="4923"/>
      <c r="O111" s="5315">
        <v>7669.560000000004</v>
      </c>
      <c r="P111" s="4923"/>
      <c r="Q111" s="4965">
        <f t="shared" si="65"/>
        <v>41797.450000000004</v>
      </c>
      <c r="R111" s="4923"/>
      <c r="S111" s="5315">
        <v>9528.32</v>
      </c>
      <c r="T111" s="4923"/>
      <c r="U111" s="4965">
        <f t="shared" si="66"/>
        <v>51325.770000000004</v>
      </c>
      <c r="V111" s="4923"/>
      <c r="W111" s="5315">
        <v>1893.0800000000002</v>
      </c>
      <c r="X111" s="5379"/>
      <c r="Y111" s="5377">
        <f t="shared" si="73"/>
        <v>19090.960000000006</v>
      </c>
      <c r="Z111" s="4923"/>
      <c r="AA111" s="5105">
        <f t="shared" si="70"/>
        <v>53218.850000000006</v>
      </c>
      <c r="AB111" s="4923"/>
      <c r="AC111" s="5315"/>
      <c r="AD111" s="4923"/>
      <c r="AE111" s="5315">
        <f>+AA111+AC111</f>
        <v>53218.850000000006</v>
      </c>
      <c r="AF111" s="4923"/>
      <c r="AG111" s="5315">
        <v>9014.26</v>
      </c>
      <c r="AH111" s="4923"/>
      <c r="AI111" s="5315">
        <f t="shared" si="102"/>
        <v>62233.110000000008</v>
      </c>
      <c r="AJ111" s="4923"/>
      <c r="AK111" s="5315">
        <v>6343.67</v>
      </c>
      <c r="AL111" s="4923"/>
      <c r="AM111" s="5377">
        <f t="shared" si="79"/>
        <v>15357.93</v>
      </c>
      <c r="AN111" s="4923"/>
      <c r="AO111" s="5315">
        <f t="shared" si="99"/>
        <v>68576.780000000013</v>
      </c>
      <c r="AP111" s="4923"/>
      <c r="AQ111" s="5315">
        <v>3157.06</v>
      </c>
      <c r="AR111" s="4923"/>
      <c r="AS111" s="5315">
        <f>+AO111+AQ111</f>
        <v>71733.840000000011</v>
      </c>
      <c r="AT111" s="4923"/>
      <c r="AU111" s="5315">
        <v>13556.819999999998</v>
      </c>
      <c r="AV111" s="4923"/>
      <c r="AW111" s="5315">
        <f>+AS111+AU111</f>
        <v>85290.66</v>
      </c>
      <c r="AX111" s="4923"/>
      <c r="AY111" s="5315">
        <v>7994.9599999999982</v>
      </c>
      <c r="AZ111" s="4923"/>
      <c r="BA111" s="5377">
        <f t="shared" si="72"/>
        <v>24708.839999999997</v>
      </c>
      <c r="BB111" s="4923"/>
      <c r="BC111" s="5105">
        <f t="shared" si="74"/>
        <v>40066.769999999997</v>
      </c>
      <c r="BD111" s="4923"/>
      <c r="BE111" s="5378">
        <f>+AW111+AY111</f>
        <v>93285.62</v>
      </c>
      <c r="BH111" s="23"/>
      <c r="BI111" s="23"/>
    </row>
    <row r="112" spans="1:61" x14ac:dyDescent="0.3">
      <c r="A112" s="137"/>
      <c r="B112" s="4488" t="s">
        <v>2112</v>
      </c>
      <c r="C112" s="4932"/>
      <c r="D112" s="4923"/>
      <c r="E112" s="5315"/>
      <c r="F112" s="4923"/>
      <c r="G112" s="5315"/>
      <c r="H112" s="5314"/>
      <c r="I112" s="5315"/>
      <c r="J112" s="4923"/>
      <c r="K112" s="5315"/>
      <c r="L112" s="5379"/>
      <c r="M112" s="5377"/>
      <c r="N112" s="4923"/>
      <c r="O112" s="5315"/>
      <c r="P112" s="4923"/>
      <c r="Q112" s="4965"/>
      <c r="R112" s="4923"/>
      <c r="S112" s="5315"/>
      <c r="T112" s="4923"/>
      <c r="U112" s="4965"/>
      <c r="V112" s="4923"/>
      <c r="W112" s="5315"/>
      <c r="X112" s="5379"/>
      <c r="Y112" s="5377"/>
      <c r="Z112" s="4923"/>
      <c r="AA112" s="5105"/>
      <c r="AB112" s="4923"/>
      <c r="AC112" s="5315"/>
      <c r="AD112" s="4923"/>
      <c r="AE112" s="5315"/>
      <c r="AF112" s="4923"/>
      <c r="AG112" s="5315"/>
      <c r="AH112" s="4923"/>
      <c r="AI112" s="5315"/>
      <c r="AJ112" s="4923"/>
      <c r="AK112" s="5315"/>
      <c r="AL112" s="4923"/>
      <c r="AM112" s="5377">
        <f t="shared" si="79"/>
        <v>0</v>
      </c>
      <c r="AN112" s="4923"/>
      <c r="AO112" s="5315">
        <f t="shared" si="99"/>
        <v>0</v>
      </c>
      <c r="AP112" s="4923"/>
      <c r="AQ112" s="5315">
        <v>36.299999999999997</v>
      </c>
      <c r="AR112" s="4923"/>
      <c r="AS112" s="5315">
        <f>+AO112+AQ112</f>
        <v>36.299999999999997</v>
      </c>
      <c r="AT112" s="4923"/>
      <c r="AU112" s="5315"/>
      <c r="AV112" s="4923"/>
      <c r="AW112" s="5315">
        <f t="shared" si="106"/>
        <v>36.299999999999997</v>
      </c>
      <c r="AX112" s="4923"/>
      <c r="AY112" s="5315"/>
      <c r="AZ112" s="4923"/>
      <c r="BA112" s="5377">
        <f t="shared" ref="BA112" si="108">+AQ112+AU112+AY112</f>
        <v>36.299999999999997</v>
      </c>
      <c r="BB112" s="4923"/>
      <c r="BC112" s="5105">
        <f t="shared" ref="BC112" si="109">BA112+AM112</f>
        <v>36.299999999999997</v>
      </c>
      <c r="BD112" s="4923"/>
      <c r="BE112" s="5378">
        <f>+AW112+AY112</f>
        <v>36.299999999999997</v>
      </c>
      <c r="BH112" s="23"/>
      <c r="BI112" s="23"/>
    </row>
    <row r="113" spans="1:61" x14ac:dyDescent="0.3">
      <c r="A113" s="137"/>
      <c r="B113" s="4488" t="s">
        <v>658</v>
      </c>
      <c r="C113" s="5391"/>
      <c r="D113" s="5315"/>
      <c r="E113" s="5315">
        <f>+E114+E115</f>
        <v>69244.98</v>
      </c>
      <c r="F113" s="5315"/>
      <c r="G113" s="5315">
        <f>+G114+G115</f>
        <v>34890.6</v>
      </c>
      <c r="H113" s="5315"/>
      <c r="I113" s="5315">
        <f t="shared" si="89"/>
        <v>104135.57999999999</v>
      </c>
      <c r="J113" s="5315"/>
      <c r="K113" s="5315">
        <f>+K114+K115</f>
        <v>77025.87</v>
      </c>
      <c r="L113" s="5315"/>
      <c r="M113" s="5377">
        <f t="shared" si="103"/>
        <v>181161.44999999998</v>
      </c>
      <c r="N113" s="5315"/>
      <c r="O113" s="5315">
        <f>+O114+O115</f>
        <v>101956.98999999999</v>
      </c>
      <c r="P113" s="5315"/>
      <c r="Q113" s="4965">
        <f t="shared" si="65"/>
        <v>283118.43999999994</v>
      </c>
      <c r="R113" s="5315"/>
      <c r="S113" s="5315">
        <f>+S114+S115</f>
        <v>82745.340000000011</v>
      </c>
      <c r="T113" s="5315"/>
      <c r="U113" s="4965">
        <f t="shared" si="66"/>
        <v>365863.77999999997</v>
      </c>
      <c r="V113" s="5315"/>
      <c r="W113" s="5315">
        <f>+W114+W115</f>
        <v>87643.580000000016</v>
      </c>
      <c r="X113" s="5315"/>
      <c r="Y113" s="5377">
        <f t="shared" si="73"/>
        <v>272345.91000000003</v>
      </c>
      <c r="Z113" s="5315"/>
      <c r="AA113" s="5105">
        <f t="shared" si="70"/>
        <v>453507.36</v>
      </c>
      <c r="AB113" s="5315"/>
      <c r="AC113" s="5315">
        <f>+AC114+AC115</f>
        <v>66279.149999999994</v>
      </c>
      <c r="AD113" s="5315"/>
      <c r="AE113" s="5315">
        <f t="shared" ref="AE113:AE115" si="110">+AA113+AC113</f>
        <v>519786.51</v>
      </c>
      <c r="AF113" s="5315"/>
      <c r="AG113" s="5315">
        <f>+AG114+AG115</f>
        <v>97341.3</v>
      </c>
      <c r="AH113" s="5315"/>
      <c r="AI113" s="5315">
        <f t="shared" si="102"/>
        <v>617127.81000000006</v>
      </c>
      <c r="AJ113" s="5315"/>
      <c r="AK113" s="5315">
        <f>+AK114+AK115</f>
        <v>106037.09</v>
      </c>
      <c r="AL113" s="5315"/>
      <c r="AM113" s="5377">
        <f t="shared" si="79"/>
        <v>269657.54000000004</v>
      </c>
      <c r="AN113" s="5315"/>
      <c r="AO113" s="5315">
        <f t="shared" si="99"/>
        <v>723164.9</v>
      </c>
      <c r="AP113" s="5315"/>
      <c r="AQ113" s="5315">
        <f>+AQ114+AQ115</f>
        <v>88820.24</v>
      </c>
      <c r="AR113" s="5315"/>
      <c r="AS113" s="5315">
        <f t="shared" ref="AS113:AS115" si="111">+AO113+AQ113</f>
        <v>811985.14</v>
      </c>
      <c r="AT113" s="5315"/>
      <c r="AU113" s="5315">
        <f>+AU114+AU115</f>
        <v>77713.41</v>
      </c>
      <c r="AV113" s="5315"/>
      <c r="AW113" s="5315">
        <f t="shared" ref="AW113:AW115" si="112">+AS113+AU113</f>
        <v>889698.55</v>
      </c>
      <c r="AX113" s="5315"/>
      <c r="AY113" s="5315">
        <f>+AY114+AY115</f>
        <v>82951.210000000006</v>
      </c>
      <c r="AZ113" s="5315"/>
      <c r="BA113" s="5377">
        <f t="shared" si="72"/>
        <v>249484.86000000004</v>
      </c>
      <c r="BB113" s="5315"/>
      <c r="BC113" s="5105">
        <f t="shared" si="74"/>
        <v>519142.40000000008</v>
      </c>
      <c r="BD113" s="5315"/>
      <c r="BE113" s="5378">
        <f t="shared" ref="BE113:BE115" si="113">+AW113+AY113</f>
        <v>972649.76</v>
      </c>
      <c r="BH113" s="23"/>
      <c r="BI113" s="23"/>
    </row>
    <row r="114" spans="1:61" ht="20.399999999999999" x14ac:dyDescent="0.3">
      <c r="A114" s="137"/>
      <c r="B114" s="5387" t="s">
        <v>22</v>
      </c>
      <c r="C114" s="5392" t="s">
        <v>351</v>
      </c>
      <c r="D114" s="5059"/>
      <c r="E114" s="5059">
        <v>63621.86</v>
      </c>
      <c r="F114" s="5059"/>
      <c r="G114" s="5059">
        <v>30515.48</v>
      </c>
      <c r="H114" s="5185"/>
      <c r="I114" s="5185">
        <f t="shared" si="89"/>
        <v>94137.34</v>
      </c>
      <c r="J114" s="5059"/>
      <c r="K114" s="5059">
        <v>62604.31</v>
      </c>
      <c r="L114" s="5061"/>
      <c r="M114" s="5377">
        <f t="shared" si="103"/>
        <v>156741.65</v>
      </c>
      <c r="N114" s="5059"/>
      <c r="O114" s="5059">
        <v>79355.429999999993</v>
      </c>
      <c r="P114" s="5059"/>
      <c r="Q114" s="4965">
        <f t="shared" si="65"/>
        <v>236097.08</v>
      </c>
      <c r="R114" s="5059"/>
      <c r="S114" s="5059">
        <v>80730.63</v>
      </c>
      <c r="T114" s="5059"/>
      <c r="U114" s="4965">
        <f t="shared" si="66"/>
        <v>316827.70999999996</v>
      </c>
      <c r="V114" s="5059"/>
      <c r="W114" s="5059">
        <v>87052.140000000014</v>
      </c>
      <c r="X114" s="5061"/>
      <c r="Y114" s="5377">
        <f t="shared" si="73"/>
        <v>247138.2</v>
      </c>
      <c r="Z114" s="5059"/>
      <c r="AA114" s="5105">
        <f t="shared" si="70"/>
        <v>403879.85</v>
      </c>
      <c r="AB114" s="5059"/>
      <c r="AC114" s="5059">
        <v>66279.149999999994</v>
      </c>
      <c r="AD114" s="5059"/>
      <c r="AE114" s="5062">
        <f t="shared" si="110"/>
        <v>470159</v>
      </c>
      <c r="AF114" s="5059"/>
      <c r="AG114" s="5059">
        <v>96513.77</v>
      </c>
      <c r="AH114" s="5059"/>
      <c r="AI114" s="5062">
        <f t="shared" si="102"/>
        <v>566672.77</v>
      </c>
      <c r="AJ114" s="5059"/>
      <c r="AK114" s="5059">
        <v>97997.65</v>
      </c>
      <c r="AL114" s="5059"/>
      <c r="AM114" s="5377">
        <f t="shared" si="79"/>
        <v>260790.56999999998</v>
      </c>
      <c r="AN114" s="5059"/>
      <c r="AO114" s="5062">
        <f t="shared" si="99"/>
        <v>664670.42000000004</v>
      </c>
      <c r="AP114" s="5059"/>
      <c r="AQ114" s="5059">
        <v>73563.25</v>
      </c>
      <c r="AR114" s="5059"/>
      <c r="AS114" s="5062">
        <f t="shared" si="111"/>
        <v>738233.67</v>
      </c>
      <c r="AT114" s="5059"/>
      <c r="AU114" s="5059">
        <v>72969.84</v>
      </c>
      <c r="AV114" s="5059"/>
      <c r="AW114" s="5062">
        <f t="shared" si="112"/>
        <v>811203.51</v>
      </c>
      <c r="AX114" s="5059"/>
      <c r="AY114" s="5059">
        <v>79465.22</v>
      </c>
      <c r="AZ114" s="5059"/>
      <c r="BA114" s="5377">
        <f t="shared" si="72"/>
        <v>225998.31</v>
      </c>
      <c r="BB114" s="5059"/>
      <c r="BC114" s="5105">
        <f t="shared" si="74"/>
        <v>486788.88</v>
      </c>
      <c r="BD114" s="5059"/>
      <c r="BE114" s="4406">
        <f t="shared" si="113"/>
        <v>890668.73</v>
      </c>
      <c r="BH114" s="23"/>
      <c r="BI114" s="23"/>
    </row>
    <row r="115" spans="1:61" ht="21" thickBot="1" x14ac:dyDescent="0.35">
      <c r="B115" s="5387" t="s">
        <v>23</v>
      </c>
      <c r="C115" s="5393" t="s">
        <v>351</v>
      </c>
      <c r="D115" s="5059"/>
      <c r="E115" s="5059">
        <v>5623.12</v>
      </c>
      <c r="F115" s="5059"/>
      <c r="G115" s="5059">
        <v>4375.12</v>
      </c>
      <c r="H115" s="5185"/>
      <c r="I115" s="5185">
        <f t="shared" si="89"/>
        <v>9998.24</v>
      </c>
      <c r="J115" s="5059"/>
      <c r="K115" s="5059">
        <v>14421.56</v>
      </c>
      <c r="L115" s="5061"/>
      <c r="M115" s="5377">
        <f t="shared" si="103"/>
        <v>24419.8</v>
      </c>
      <c r="N115" s="5059"/>
      <c r="O115" s="5059">
        <v>22601.559999999994</v>
      </c>
      <c r="P115" s="5059"/>
      <c r="Q115" s="4965">
        <f t="shared" si="65"/>
        <v>47021.359999999993</v>
      </c>
      <c r="R115" s="5059"/>
      <c r="S115" s="5059">
        <v>2014.71</v>
      </c>
      <c r="T115" s="5059"/>
      <c r="U115" s="4965">
        <f t="shared" si="66"/>
        <v>49036.069999999992</v>
      </c>
      <c r="V115" s="5059"/>
      <c r="W115" s="5059">
        <v>591.43999999999994</v>
      </c>
      <c r="X115" s="5061"/>
      <c r="Y115" s="5377">
        <f t="shared" si="73"/>
        <v>25207.709999999992</v>
      </c>
      <c r="Z115" s="5059"/>
      <c r="AA115" s="5105">
        <f t="shared" si="70"/>
        <v>49627.509999999995</v>
      </c>
      <c r="AB115" s="5059"/>
      <c r="AC115" s="5059"/>
      <c r="AD115" s="5059"/>
      <c r="AE115" s="5062">
        <f t="shared" si="110"/>
        <v>49627.509999999995</v>
      </c>
      <c r="AF115" s="5059"/>
      <c r="AG115" s="5059">
        <v>827.53</v>
      </c>
      <c r="AH115" s="5059"/>
      <c r="AI115" s="5062">
        <f t="shared" si="102"/>
        <v>50455.039999999994</v>
      </c>
      <c r="AJ115" s="5059"/>
      <c r="AK115" s="5059">
        <v>8039.44</v>
      </c>
      <c r="AL115" s="5059"/>
      <c r="AM115" s="5377">
        <f t="shared" si="79"/>
        <v>8866.9699999999993</v>
      </c>
      <c r="AN115" s="5059"/>
      <c r="AO115" s="5062">
        <f t="shared" si="99"/>
        <v>58494.479999999996</v>
      </c>
      <c r="AP115" s="5059"/>
      <c r="AQ115" s="5059">
        <v>15256.990000000011</v>
      </c>
      <c r="AR115" s="5059"/>
      <c r="AS115" s="5062">
        <f t="shared" si="111"/>
        <v>73751.47</v>
      </c>
      <c r="AT115" s="5059"/>
      <c r="AU115" s="5059">
        <v>4743.5700000000006</v>
      </c>
      <c r="AV115" s="5059"/>
      <c r="AW115" s="5062">
        <f t="shared" si="112"/>
        <v>78495.040000000008</v>
      </c>
      <c r="AX115" s="5059"/>
      <c r="AY115" s="5059">
        <v>3485.9899999999993</v>
      </c>
      <c r="AZ115" s="5059"/>
      <c r="BA115" s="5377">
        <f t="shared" si="72"/>
        <v>23486.55000000001</v>
      </c>
      <c r="BB115" s="5059"/>
      <c r="BC115" s="5105">
        <f t="shared" si="74"/>
        <v>32353.520000000011</v>
      </c>
      <c r="BD115" s="5059"/>
      <c r="BE115" s="4406">
        <f t="shared" si="113"/>
        <v>81981.030000000013</v>
      </c>
      <c r="BH115" s="1111"/>
      <c r="BI115" s="23"/>
    </row>
    <row r="116" spans="1:61" ht="21" thickBot="1" x14ac:dyDescent="0.35">
      <c r="B116" s="2937" t="s">
        <v>757</v>
      </c>
      <c r="C116" s="2938"/>
      <c r="D116" s="4928"/>
      <c r="E116" s="2939"/>
      <c r="F116" s="4928"/>
      <c r="G116" s="2939"/>
      <c r="H116" s="2940"/>
      <c r="I116" s="2941"/>
      <c r="J116" s="5394"/>
      <c r="K116" s="2939"/>
      <c r="L116" s="5061"/>
      <c r="M116" s="5377"/>
      <c r="N116" s="4928"/>
      <c r="O116" s="2939"/>
      <c r="P116" s="4928"/>
      <c r="Q116" s="4965">
        <f>+M116+O116</f>
        <v>0</v>
      </c>
      <c r="R116" s="4928"/>
      <c r="S116" s="2939"/>
      <c r="T116" s="4928"/>
      <c r="U116" s="4965">
        <f>+Q116+S116</f>
        <v>0</v>
      </c>
      <c r="V116" s="4928"/>
      <c r="W116" s="2939"/>
      <c r="X116" s="5061"/>
      <c r="Y116" s="5377"/>
      <c r="Z116" s="4928"/>
      <c r="AA116" s="4938"/>
      <c r="AB116" s="4928"/>
      <c r="AC116" s="2939"/>
      <c r="AD116" s="4928"/>
      <c r="AE116" s="4930"/>
      <c r="AF116" s="4928"/>
      <c r="AG116" s="2939"/>
      <c r="AH116" s="4928"/>
      <c r="AI116" s="4930"/>
      <c r="AJ116" s="4928"/>
      <c r="AK116" s="2939"/>
      <c r="AL116" s="4928"/>
      <c r="AM116" s="5377"/>
      <c r="AN116" s="4928"/>
      <c r="AO116" s="4930"/>
      <c r="AP116" s="4928"/>
      <c r="AQ116" s="2939"/>
      <c r="AR116" s="4928"/>
      <c r="AS116" s="4930"/>
      <c r="AT116" s="4928"/>
      <c r="AU116" s="2939"/>
      <c r="AV116" s="4928"/>
      <c r="AW116" s="4930"/>
      <c r="AX116" s="4928"/>
      <c r="AY116" s="2939"/>
      <c r="AZ116" s="4928"/>
      <c r="BA116" s="5377"/>
      <c r="BB116" s="4928"/>
      <c r="BC116" s="4938"/>
      <c r="BD116" s="4928"/>
      <c r="BE116" s="4064"/>
      <c r="BH116" s="23"/>
      <c r="BI116" s="23"/>
    </row>
    <row r="117" spans="1:61" ht="16.2" thickBot="1" x14ac:dyDescent="0.35">
      <c r="B117" s="2977" t="s">
        <v>758</v>
      </c>
      <c r="C117" s="724" t="s">
        <v>351</v>
      </c>
      <c r="D117" s="4923"/>
      <c r="E117" s="2697">
        <v>39.06</v>
      </c>
      <c r="F117" s="4923"/>
      <c r="G117" s="2697">
        <v>41.82</v>
      </c>
      <c r="H117" s="2931"/>
      <c r="I117" s="2935">
        <f>+E117+G117</f>
        <v>80.88</v>
      </c>
      <c r="J117" s="5390"/>
      <c r="K117" s="2697">
        <v>41.716000000000001</v>
      </c>
      <c r="L117" s="5379"/>
      <c r="M117" s="5377">
        <f>+E117+G117+K117</f>
        <v>122.596</v>
      </c>
      <c r="N117" s="4923"/>
      <c r="O117" s="2697">
        <v>21.33</v>
      </c>
      <c r="P117" s="4923"/>
      <c r="Q117" s="4965">
        <f>+M117+O117</f>
        <v>143.92599999999999</v>
      </c>
      <c r="R117" s="4923"/>
      <c r="S117" s="2697">
        <v>35.173000000000002</v>
      </c>
      <c r="T117" s="4923"/>
      <c r="U117" s="4965">
        <f>+Q117+S117</f>
        <v>179.09899999999999</v>
      </c>
      <c r="V117" s="4923"/>
      <c r="W117" s="2697">
        <v>50.9</v>
      </c>
      <c r="X117" s="5379"/>
      <c r="Y117" s="5377">
        <f>+O117+S117+W117</f>
        <v>107.40299999999999</v>
      </c>
      <c r="Z117" s="4923"/>
      <c r="AA117" s="4938">
        <f>M117+Y117</f>
        <v>229.999</v>
      </c>
      <c r="AB117" s="4923"/>
      <c r="AC117" s="2697">
        <v>50.28</v>
      </c>
      <c r="AD117" s="4923"/>
      <c r="AE117" s="4930">
        <f>+AA117+AC117</f>
        <v>280.279</v>
      </c>
      <c r="AF117" s="4923"/>
      <c r="AG117" s="2697">
        <v>38.286999999999999</v>
      </c>
      <c r="AH117" s="4923"/>
      <c r="AI117" s="4930">
        <f>+AE117+AG117</f>
        <v>318.56599999999997</v>
      </c>
      <c r="AJ117" s="4923"/>
      <c r="AK117" s="2697">
        <v>37.97</v>
      </c>
      <c r="AL117" s="4923"/>
      <c r="AM117" s="5377">
        <f>+AC117+AG117+AK117</f>
        <v>126.53700000000001</v>
      </c>
      <c r="AN117" s="4923"/>
      <c r="AO117" s="4930">
        <f>AI117+AK117</f>
        <v>356.53599999999994</v>
      </c>
      <c r="AP117" s="4923"/>
      <c r="AQ117" s="2697">
        <v>44.19</v>
      </c>
      <c r="AR117" s="4923"/>
      <c r="AS117" s="4930">
        <f>+AO117+AQ117</f>
        <v>400.72599999999994</v>
      </c>
      <c r="AT117" s="4923"/>
      <c r="AU117" s="2697">
        <v>50.17</v>
      </c>
      <c r="AV117" s="4923"/>
      <c r="AW117" s="4930">
        <f>+AS117+AU117</f>
        <v>450.89599999999996</v>
      </c>
      <c r="AX117" s="4923"/>
      <c r="AY117" s="2697">
        <v>31.11</v>
      </c>
      <c r="AZ117" s="4923"/>
      <c r="BA117" s="5377">
        <f>+AQ117+AU117+AY117</f>
        <v>125.47</v>
      </c>
      <c r="BB117" s="4923"/>
      <c r="BC117" s="4938">
        <f>BA117+AM117</f>
        <v>252.00700000000001</v>
      </c>
      <c r="BD117" s="4923"/>
      <c r="BE117" s="4064">
        <f>+AW117+AY117</f>
        <v>482.00599999999997</v>
      </c>
      <c r="BH117" s="23"/>
      <c r="BI117" s="23"/>
    </row>
    <row r="118" spans="1:61" ht="21" thickBot="1" x14ac:dyDescent="0.35">
      <c r="A118" s="137"/>
      <c r="B118" s="5952" t="s">
        <v>2172</v>
      </c>
      <c r="C118" s="5953"/>
      <c r="D118" s="1243">
        <f t="shared" ref="D118:O118" si="114">+D30+D34+D35+D46+D51+D56+D62+D105+D106+D111+D115+D102+D112+D113-D115+D117</f>
        <v>0</v>
      </c>
      <c r="E118" s="1243">
        <f t="shared" si="114"/>
        <v>92794.36</v>
      </c>
      <c r="F118" s="1243">
        <f t="shared" ref="F118:G118" si="115">+F30+F34+F35+F46+F51+F56+F62+F105+F106+F111+F115+F102+F112+F113-F115+F117</f>
        <v>0</v>
      </c>
      <c r="G118" s="1243">
        <f t="shared" si="115"/>
        <v>62614.179999999993</v>
      </c>
      <c r="H118" s="1243">
        <f t="shared" si="114"/>
        <v>0</v>
      </c>
      <c r="I118" s="1243">
        <f t="shared" si="114"/>
        <v>155408.54</v>
      </c>
      <c r="J118" s="1243">
        <f t="shared" si="114"/>
        <v>0</v>
      </c>
      <c r="K118" s="1243">
        <f t="shared" si="114"/>
        <v>101373.51599999999</v>
      </c>
      <c r="L118" s="1243">
        <f t="shared" si="114"/>
        <v>0</v>
      </c>
      <c r="M118" s="1243">
        <f t="shared" si="114"/>
        <v>256782.05600000001</v>
      </c>
      <c r="N118" s="1243">
        <f t="shared" si="114"/>
        <v>0</v>
      </c>
      <c r="O118" s="1243">
        <f t="shared" si="114"/>
        <v>135206.09</v>
      </c>
      <c r="P118" s="1243">
        <f>+P30+P34+P35+P46+P51+P56+P62+P104+P117+P105+P106+P111+P115</f>
        <v>0</v>
      </c>
      <c r="Q118" s="4965">
        <f t="shared" si="65"/>
        <v>391988.14600000001</v>
      </c>
      <c r="R118" s="1243">
        <f>+R30+R34+R35+R46+R51+R56+R62+R104+R117+R105+R106+R111+R115</f>
        <v>0</v>
      </c>
      <c r="S118" s="1243">
        <f>+S30+S34+S35+S46+S51+S56+S62+S105+S106+S111+S115+S102+S112+S113-S115+S117</f>
        <v>104909.553</v>
      </c>
      <c r="T118" s="1243">
        <f>+T30+T34+T35+T46+T51+T56+T62+T104+T117+T105+T106+T111+T115</f>
        <v>0</v>
      </c>
      <c r="U118" s="4965">
        <f t="shared" si="66"/>
        <v>496897.69900000002</v>
      </c>
      <c r="V118" s="1243">
        <f>+V30+V34+V35+V46+V51+V56+V62+V104+V117+V105+V106+V111+V115</f>
        <v>0</v>
      </c>
      <c r="W118" s="1243">
        <f t="shared" ref="W118:BE118" si="116">+W30+W34+W35+W46+W51+W56+W62+W105+W106+W111+W115+W102+W112+W113-W115+W117</f>
        <v>116543.58000000002</v>
      </c>
      <c r="X118" s="1243">
        <f t="shared" si="116"/>
        <v>0</v>
      </c>
      <c r="Y118" s="1243">
        <f t="shared" si="116"/>
        <v>356659.22300000006</v>
      </c>
      <c r="Z118" s="1243">
        <f t="shared" si="116"/>
        <v>0</v>
      </c>
      <c r="AA118" s="1243">
        <f t="shared" si="116"/>
        <v>613441.27899999998</v>
      </c>
      <c r="AB118" s="1243">
        <f t="shared" si="116"/>
        <v>0</v>
      </c>
      <c r="AC118" s="1243">
        <f t="shared" si="116"/>
        <v>93470.239999999991</v>
      </c>
      <c r="AD118" s="1243">
        <f t="shared" si="116"/>
        <v>0</v>
      </c>
      <c r="AE118" s="1243">
        <f t="shared" si="116"/>
        <v>706911.51899999997</v>
      </c>
      <c r="AF118" s="1243">
        <f t="shared" si="116"/>
        <v>0</v>
      </c>
      <c r="AG118" s="1243">
        <f t="shared" si="116"/>
        <v>143867.36700000003</v>
      </c>
      <c r="AH118" s="1243">
        <f t="shared" si="116"/>
        <v>0</v>
      </c>
      <c r="AI118" s="1243">
        <f t="shared" si="116"/>
        <v>850778.88600000006</v>
      </c>
      <c r="AJ118" s="1243">
        <f t="shared" si="116"/>
        <v>0</v>
      </c>
      <c r="AK118" s="1243">
        <f t="shared" si="116"/>
        <v>142654.79999999999</v>
      </c>
      <c r="AL118" s="1243">
        <f t="shared" si="116"/>
        <v>0</v>
      </c>
      <c r="AM118" s="1243">
        <f t="shared" si="116"/>
        <v>379992.40700000006</v>
      </c>
      <c r="AN118" s="1243">
        <f t="shared" si="116"/>
        <v>0</v>
      </c>
      <c r="AO118" s="1243">
        <f t="shared" si="116"/>
        <v>993433.6860000001</v>
      </c>
      <c r="AP118" s="1243">
        <f t="shared" si="116"/>
        <v>0</v>
      </c>
      <c r="AQ118" s="1243">
        <f t="shared" si="116"/>
        <v>126220.43000000001</v>
      </c>
      <c r="AR118" s="1243">
        <f t="shared" si="116"/>
        <v>0</v>
      </c>
      <c r="AS118" s="1243">
        <f t="shared" si="116"/>
        <v>1119654.1159999999</v>
      </c>
      <c r="AT118" s="1243">
        <f t="shared" si="116"/>
        <v>0</v>
      </c>
      <c r="AU118" s="1243">
        <f t="shared" si="116"/>
        <v>111849.02999999998</v>
      </c>
      <c r="AV118" s="1243">
        <f t="shared" si="116"/>
        <v>0</v>
      </c>
      <c r="AW118" s="1243">
        <f t="shared" si="116"/>
        <v>1231503.1459999999</v>
      </c>
      <c r="AX118" s="1243">
        <f t="shared" si="116"/>
        <v>0</v>
      </c>
      <c r="AY118" s="1243">
        <f t="shared" si="116"/>
        <v>103850.34</v>
      </c>
      <c r="AZ118" s="1243">
        <f t="shared" si="116"/>
        <v>0</v>
      </c>
      <c r="BA118" s="1243">
        <f t="shared" si="116"/>
        <v>341919.8</v>
      </c>
      <c r="BB118" s="1243">
        <f t="shared" si="116"/>
        <v>0</v>
      </c>
      <c r="BC118" s="1243">
        <f t="shared" si="116"/>
        <v>721912.20700000005</v>
      </c>
      <c r="BD118" s="1243">
        <f t="shared" si="116"/>
        <v>0</v>
      </c>
      <c r="BE118" s="1243">
        <f t="shared" si="116"/>
        <v>1335353.486</v>
      </c>
      <c r="BH118" s="23"/>
      <c r="BI118" s="23"/>
    </row>
    <row r="119" spans="1:61" ht="14.4" x14ac:dyDescent="0.3">
      <c r="M119"/>
      <c r="O119"/>
      <c r="Y119"/>
      <c r="AW119"/>
    </row>
    <row r="120" spans="1:61" ht="15" thickBot="1" x14ac:dyDescent="0.35">
      <c r="M120"/>
      <c r="O120"/>
      <c r="Y120"/>
      <c r="AW120"/>
    </row>
    <row r="121" spans="1:61" ht="24.6" x14ac:dyDescent="0.3">
      <c r="B121" s="5295" t="s">
        <v>1039</v>
      </c>
      <c r="C121" s="2360"/>
      <c r="D121" s="2361"/>
      <c r="E121" s="2361"/>
      <c r="F121" s="2361"/>
      <c r="G121" s="2361"/>
      <c r="H121" s="2361"/>
      <c r="I121" s="2361"/>
      <c r="J121" s="2361"/>
      <c r="K121" s="2361"/>
      <c r="L121" s="2362"/>
      <c r="M121" s="2363"/>
      <c r="N121" s="2362"/>
      <c r="O121" s="5000"/>
      <c r="P121" s="2361"/>
      <c r="Q121" s="2361"/>
      <c r="R121" s="2361"/>
      <c r="S121" s="2361"/>
      <c r="T121" s="2361"/>
      <c r="U121" s="2361"/>
      <c r="V121" s="2361"/>
      <c r="W121" s="2361"/>
      <c r="X121" s="2362"/>
      <c r="Y121" s="2363"/>
      <c r="Z121" s="2362"/>
      <c r="AA121" s="2364"/>
      <c r="AB121" s="2362"/>
      <c r="AC121" s="2361"/>
      <c r="AD121" s="2361"/>
      <c r="AE121" s="2361"/>
      <c r="AF121" s="2361"/>
      <c r="AG121" s="2361"/>
      <c r="AH121" s="2361"/>
      <c r="AI121" s="2361"/>
      <c r="AJ121" s="2361"/>
      <c r="AK121" s="2361"/>
      <c r="AL121" s="2362"/>
      <c r="AM121" s="2363"/>
      <c r="AN121" s="2362"/>
      <c r="AO121" s="2362"/>
      <c r="AP121" s="2361"/>
      <c r="AQ121" s="2361"/>
      <c r="AR121" s="2361"/>
      <c r="AS121" s="2361"/>
      <c r="AT121" s="2361"/>
      <c r="AU121" s="2361"/>
      <c r="AV121" s="2362"/>
      <c r="AW121" s="2361"/>
      <c r="AX121" s="2361"/>
      <c r="AY121" s="2361"/>
      <c r="AZ121" s="2362"/>
      <c r="BA121" s="2363"/>
      <c r="BB121" s="2362"/>
      <c r="BC121" s="2364"/>
      <c r="BD121" s="2362"/>
      <c r="BE121" s="2365"/>
      <c r="BH121" s="23"/>
      <c r="BI121" s="23"/>
    </row>
    <row r="122" spans="1:61" hidden="1" x14ac:dyDescent="0.3">
      <c r="B122" s="4488" t="s">
        <v>1035</v>
      </c>
      <c r="C122" s="4932" t="s">
        <v>351</v>
      </c>
      <c r="D122" s="5315"/>
      <c r="E122" s="5315">
        <f>+E123+E124+E125</f>
        <v>0</v>
      </c>
      <c r="F122" s="5315"/>
      <c r="G122" s="5315">
        <f>+G123+G124+G125</f>
        <v>0</v>
      </c>
      <c r="H122" s="5376"/>
      <c r="I122" s="5376">
        <f t="shared" ref="I122:I167" si="117">+E122+G122</f>
        <v>0</v>
      </c>
      <c r="J122" s="5315"/>
      <c r="K122" s="5315">
        <f>+K123+K124+K125</f>
        <v>0</v>
      </c>
      <c r="L122" s="5315"/>
      <c r="M122" s="5377">
        <f t="shared" ref="M122:M136" si="118">+E122+G122+K122</f>
        <v>0</v>
      </c>
      <c r="N122" s="5315"/>
      <c r="O122" s="5315">
        <f>+O123+O124+O125</f>
        <v>0</v>
      </c>
      <c r="P122" s="5315"/>
      <c r="Q122" s="4965">
        <f t="shared" si="65"/>
        <v>0</v>
      </c>
      <c r="R122" s="5315"/>
      <c r="S122" s="5315">
        <f>+S123+S124+S125</f>
        <v>0</v>
      </c>
      <c r="T122" s="5315"/>
      <c r="U122" s="5185">
        <f t="shared" ref="U122:U178" si="119">+Q122+S122</f>
        <v>0</v>
      </c>
      <c r="V122" s="5315"/>
      <c r="W122" s="5315">
        <f>+W123+W124+W125</f>
        <v>0</v>
      </c>
      <c r="X122" s="5315"/>
      <c r="Y122" s="5377">
        <f t="shared" si="73"/>
        <v>0</v>
      </c>
      <c r="Z122" s="5315"/>
      <c r="AA122" s="5105">
        <f t="shared" si="70"/>
        <v>0</v>
      </c>
      <c r="AB122" s="5315"/>
      <c r="AC122" s="5315">
        <f>+AC123+AC124+AC125</f>
        <v>0</v>
      </c>
      <c r="AD122" s="5315"/>
      <c r="AE122" s="5315">
        <f t="shared" ref="AE122:AE137" si="120">+AA122+AC122</f>
        <v>0</v>
      </c>
      <c r="AF122" s="5315"/>
      <c r="AG122" s="5315">
        <f>+AG123+AG124+AG125</f>
        <v>0</v>
      </c>
      <c r="AH122" s="5315"/>
      <c r="AI122" s="5315">
        <f t="shared" ref="AI122:AI129" si="121">+AE122+AG122</f>
        <v>0</v>
      </c>
      <c r="AJ122" s="5315"/>
      <c r="AK122" s="5315">
        <f>+AK123+AK124+AK125</f>
        <v>0</v>
      </c>
      <c r="AL122" s="5315"/>
      <c r="AM122" s="5377">
        <f t="shared" si="79"/>
        <v>0</v>
      </c>
      <c r="AN122" s="5315"/>
      <c r="AO122" s="5315">
        <f t="shared" si="99"/>
        <v>0</v>
      </c>
      <c r="AP122" s="5315"/>
      <c r="AQ122" s="5315">
        <f>+AQ123+AQ124+AQ125</f>
        <v>0</v>
      </c>
      <c r="AR122" s="5315"/>
      <c r="AS122" s="5315">
        <f t="shared" ref="AS122:AS125" si="122">+AO122+AQ122</f>
        <v>0</v>
      </c>
      <c r="AT122" s="5315"/>
      <c r="AU122" s="5315">
        <f>+AU123+AU124+AU125</f>
        <v>0</v>
      </c>
      <c r="AV122" s="5315"/>
      <c r="AW122" s="5315">
        <f t="shared" ref="AW122:AW125" si="123">+AS122+AU122</f>
        <v>0</v>
      </c>
      <c r="AX122" s="5315"/>
      <c r="AY122" s="5315">
        <f>+AY123+AY124+AY125</f>
        <v>0</v>
      </c>
      <c r="AZ122" s="5315"/>
      <c r="BA122" s="5377">
        <f t="shared" si="72"/>
        <v>0</v>
      </c>
      <c r="BB122" s="5315"/>
      <c r="BC122" s="5105">
        <f t="shared" si="74"/>
        <v>0</v>
      </c>
      <c r="BD122" s="5315"/>
      <c r="BE122" s="5378">
        <f t="shared" ref="BE122:BE125" si="124">+AW122+AY122</f>
        <v>0</v>
      </c>
      <c r="BH122" s="23"/>
      <c r="BI122" s="23"/>
    </row>
    <row r="123" spans="1:61" hidden="1" x14ac:dyDescent="0.3">
      <c r="B123" s="5395" t="s">
        <v>1036</v>
      </c>
      <c r="C123" s="4932" t="s">
        <v>351</v>
      </c>
      <c r="D123" s="5184"/>
      <c r="E123" s="5184"/>
      <c r="F123" s="5184"/>
      <c r="G123" s="5184"/>
      <c r="H123" s="5185"/>
      <c r="I123" s="5185">
        <f t="shared" si="117"/>
        <v>0</v>
      </c>
      <c r="J123" s="5184"/>
      <c r="K123" s="5184"/>
      <c r="L123" s="5184"/>
      <c r="M123" s="5296">
        <f t="shared" si="118"/>
        <v>0</v>
      </c>
      <c r="N123" s="5184"/>
      <c r="O123" s="5184"/>
      <c r="P123" s="5184"/>
      <c r="Q123" s="4965">
        <f t="shared" si="65"/>
        <v>0</v>
      </c>
      <c r="R123" s="5184"/>
      <c r="S123" s="5184"/>
      <c r="T123" s="5184"/>
      <c r="U123" s="5185">
        <f t="shared" si="119"/>
        <v>0</v>
      </c>
      <c r="V123" s="5184"/>
      <c r="W123" s="5184"/>
      <c r="X123" s="5184"/>
      <c r="Y123" s="5296">
        <f t="shared" si="73"/>
        <v>0</v>
      </c>
      <c r="Z123" s="5184"/>
      <c r="AA123" s="5105">
        <f t="shared" si="70"/>
        <v>0</v>
      </c>
      <c r="AB123" s="5184"/>
      <c r="AC123" s="5184"/>
      <c r="AD123" s="5184"/>
      <c r="AE123" s="5062">
        <f t="shared" si="120"/>
        <v>0</v>
      </c>
      <c r="AF123" s="5184"/>
      <c r="AG123" s="5184"/>
      <c r="AH123" s="5184"/>
      <c r="AI123" s="5062">
        <f t="shared" si="121"/>
        <v>0</v>
      </c>
      <c r="AJ123" s="5184"/>
      <c r="AK123" s="5184"/>
      <c r="AL123" s="5184"/>
      <c r="AM123" s="5296">
        <f t="shared" si="79"/>
        <v>0</v>
      </c>
      <c r="AN123" s="5184"/>
      <c r="AO123" s="5062">
        <f t="shared" si="99"/>
        <v>0</v>
      </c>
      <c r="AP123" s="5184"/>
      <c r="AQ123" s="5184"/>
      <c r="AR123" s="5184"/>
      <c r="AS123" s="5062">
        <f t="shared" si="122"/>
        <v>0</v>
      </c>
      <c r="AT123" s="5184"/>
      <c r="AU123" s="5184"/>
      <c r="AV123" s="5184"/>
      <c r="AW123" s="5062">
        <f t="shared" si="123"/>
        <v>0</v>
      </c>
      <c r="AX123" s="5184"/>
      <c r="AY123" s="5184"/>
      <c r="AZ123" s="5184"/>
      <c r="BA123" s="5296">
        <f t="shared" si="72"/>
        <v>0</v>
      </c>
      <c r="BB123" s="5184"/>
      <c r="BC123" s="5105">
        <f t="shared" si="74"/>
        <v>0</v>
      </c>
      <c r="BD123" s="5184"/>
      <c r="BE123" s="4406">
        <f t="shared" si="124"/>
        <v>0</v>
      </c>
      <c r="BH123" s="23"/>
      <c r="BI123" s="23"/>
    </row>
    <row r="124" spans="1:61" hidden="1" x14ac:dyDescent="0.3">
      <c r="B124" s="5395" t="s">
        <v>1037</v>
      </c>
      <c r="C124" s="4932" t="s">
        <v>351</v>
      </c>
      <c r="D124" s="5184"/>
      <c r="E124" s="5184"/>
      <c r="F124" s="5184"/>
      <c r="G124" s="5184"/>
      <c r="H124" s="5185"/>
      <c r="I124" s="5185">
        <f t="shared" si="117"/>
        <v>0</v>
      </c>
      <c r="J124" s="5184"/>
      <c r="K124" s="5184"/>
      <c r="L124" s="5184"/>
      <c r="M124" s="5296">
        <f t="shared" si="118"/>
        <v>0</v>
      </c>
      <c r="N124" s="5184"/>
      <c r="O124" s="5184"/>
      <c r="P124" s="5184"/>
      <c r="Q124" s="4965">
        <f t="shared" si="65"/>
        <v>0</v>
      </c>
      <c r="R124" s="5184"/>
      <c r="S124" s="5184"/>
      <c r="T124" s="5184"/>
      <c r="U124" s="5185">
        <f t="shared" si="119"/>
        <v>0</v>
      </c>
      <c r="V124" s="5184"/>
      <c r="W124" s="5184"/>
      <c r="X124" s="5184"/>
      <c r="Y124" s="5296">
        <f t="shared" si="73"/>
        <v>0</v>
      </c>
      <c r="Z124" s="5184"/>
      <c r="AA124" s="5105">
        <f t="shared" si="70"/>
        <v>0</v>
      </c>
      <c r="AB124" s="5184"/>
      <c r="AC124" s="5184"/>
      <c r="AD124" s="5184"/>
      <c r="AE124" s="5062">
        <f t="shared" si="120"/>
        <v>0</v>
      </c>
      <c r="AF124" s="5184"/>
      <c r="AG124" s="5184"/>
      <c r="AH124" s="5184"/>
      <c r="AI124" s="5062">
        <f t="shared" si="121"/>
        <v>0</v>
      </c>
      <c r="AJ124" s="5184"/>
      <c r="AK124" s="5184"/>
      <c r="AL124" s="5184"/>
      <c r="AM124" s="5296">
        <f t="shared" si="79"/>
        <v>0</v>
      </c>
      <c r="AN124" s="5184"/>
      <c r="AO124" s="5062">
        <f t="shared" si="99"/>
        <v>0</v>
      </c>
      <c r="AP124" s="5184"/>
      <c r="AQ124" s="5184"/>
      <c r="AR124" s="5184"/>
      <c r="AS124" s="5062">
        <f t="shared" si="122"/>
        <v>0</v>
      </c>
      <c r="AT124" s="5184"/>
      <c r="AU124" s="5184"/>
      <c r="AV124" s="5184"/>
      <c r="AW124" s="5062">
        <f t="shared" si="123"/>
        <v>0</v>
      </c>
      <c r="AX124" s="5184"/>
      <c r="AY124" s="5184"/>
      <c r="AZ124" s="5184"/>
      <c r="BA124" s="5296">
        <f t="shared" si="72"/>
        <v>0</v>
      </c>
      <c r="BB124" s="5184"/>
      <c r="BC124" s="5105">
        <f t="shared" si="74"/>
        <v>0</v>
      </c>
      <c r="BD124" s="5184"/>
      <c r="BE124" s="4406">
        <f t="shared" si="124"/>
        <v>0</v>
      </c>
      <c r="BH124" s="23"/>
      <c r="BI124" s="23"/>
    </row>
    <row r="125" spans="1:61" hidden="1" x14ac:dyDescent="0.3">
      <c r="B125" s="5395" t="s">
        <v>1076</v>
      </c>
      <c r="C125" s="4932" t="s">
        <v>351</v>
      </c>
      <c r="D125" s="5184"/>
      <c r="E125" s="5184"/>
      <c r="F125" s="5184"/>
      <c r="G125" s="5184"/>
      <c r="H125" s="5185"/>
      <c r="I125" s="5185">
        <f t="shared" si="117"/>
        <v>0</v>
      </c>
      <c r="J125" s="5184"/>
      <c r="K125" s="5184"/>
      <c r="L125" s="5184"/>
      <c r="M125" s="5296">
        <f t="shared" si="118"/>
        <v>0</v>
      </c>
      <c r="N125" s="5184"/>
      <c r="O125" s="5184"/>
      <c r="P125" s="5184"/>
      <c r="Q125" s="4965">
        <f t="shared" si="65"/>
        <v>0</v>
      </c>
      <c r="R125" s="5184"/>
      <c r="S125" s="5184"/>
      <c r="T125" s="5184"/>
      <c r="U125" s="5185">
        <f t="shared" si="119"/>
        <v>0</v>
      </c>
      <c r="V125" s="5184"/>
      <c r="W125" s="5184"/>
      <c r="X125" s="5184"/>
      <c r="Y125" s="5296">
        <f t="shared" si="73"/>
        <v>0</v>
      </c>
      <c r="Z125" s="5184"/>
      <c r="AA125" s="5105">
        <f t="shared" si="70"/>
        <v>0</v>
      </c>
      <c r="AB125" s="5184"/>
      <c r="AC125" s="5184"/>
      <c r="AD125" s="5184"/>
      <c r="AE125" s="5062">
        <f t="shared" si="120"/>
        <v>0</v>
      </c>
      <c r="AF125" s="5184"/>
      <c r="AG125" s="5184"/>
      <c r="AH125" s="5184"/>
      <c r="AI125" s="5062">
        <f t="shared" si="121"/>
        <v>0</v>
      </c>
      <c r="AJ125" s="5184"/>
      <c r="AK125" s="5184"/>
      <c r="AL125" s="5184"/>
      <c r="AM125" s="5296">
        <f t="shared" si="79"/>
        <v>0</v>
      </c>
      <c r="AN125" s="5184"/>
      <c r="AO125" s="5062">
        <f t="shared" si="99"/>
        <v>0</v>
      </c>
      <c r="AP125" s="5184"/>
      <c r="AQ125" s="5184"/>
      <c r="AR125" s="5184"/>
      <c r="AS125" s="5062">
        <f t="shared" si="122"/>
        <v>0</v>
      </c>
      <c r="AT125" s="5184"/>
      <c r="AU125" s="5184"/>
      <c r="AV125" s="5184"/>
      <c r="AW125" s="5062">
        <f t="shared" si="123"/>
        <v>0</v>
      </c>
      <c r="AX125" s="5184"/>
      <c r="AY125" s="5184"/>
      <c r="AZ125" s="5184"/>
      <c r="BA125" s="5296">
        <f t="shared" si="72"/>
        <v>0</v>
      </c>
      <c r="BB125" s="5184"/>
      <c r="BC125" s="5105">
        <f t="shared" si="74"/>
        <v>0</v>
      </c>
      <c r="BD125" s="5184"/>
      <c r="BE125" s="4406">
        <f t="shared" si="124"/>
        <v>0</v>
      </c>
      <c r="BH125" s="23"/>
      <c r="BI125" s="23"/>
    </row>
    <row r="126" spans="1:61" hidden="1" x14ac:dyDescent="0.3">
      <c r="B126" s="4488" t="s">
        <v>1098</v>
      </c>
      <c r="C126" s="4932"/>
      <c r="D126" s="5315">
        <f t="shared" ref="D126:F126" si="125">+D127+D128</f>
        <v>0</v>
      </c>
      <c r="E126" s="5315">
        <f>+E127+E128</f>
        <v>0</v>
      </c>
      <c r="F126" s="5315">
        <f t="shared" si="125"/>
        <v>0</v>
      </c>
      <c r="G126" s="5315">
        <f>+G127+G128</f>
        <v>0</v>
      </c>
      <c r="H126" s="5315">
        <f t="shared" ref="H126:AI126" si="126">+H127+H128</f>
        <v>0</v>
      </c>
      <c r="I126" s="5315">
        <f t="shared" si="126"/>
        <v>0</v>
      </c>
      <c r="J126" s="5315">
        <f t="shared" si="126"/>
        <v>0</v>
      </c>
      <c r="K126" s="5315">
        <f>+K127+K128</f>
        <v>0</v>
      </c>
      <c r="L126" s="5315">
        <f t="shared" si="126"/>
        <v>0</v>
      </c>
      <c r="M126" s="5315">
        <f t="shared" si="126"/>
        <v>0</v>
      </c>
      <c r="N126" s="5315">
        <f t="shared" si="126"/>
        <v>0</v>
      </c>
      <c r="O126" s="5315">
        <f>+O127+O128</f>
        <v>0</v>
      </c>
      <c r="P126" s="5315">
        <f t="shared" si="126"/>
        <v>0</v>
      </c>
      <c r="Q126" s="4965">
        <f t="shared" si="65"/>
        <v>0</v>
      </c>
      <c r="R126" s="5315">
        <f t="shared" si="126"/>
        <v>0</v>
      </c>
      <c r="S126" s="5315">
        <f>+S127+S128</f>
        <v>0</v>
      </c>
      <c r="T126" s="5315">
        <f t="shared" si="126"/>
        <v>0</v>
      </c>
      <c r="U126" s="5316">
        <f t="shared" si="126"/>
        <v>0</v>
      </c>
      <c r="V126" s="5315">
        <f t="shared" si="126"/>
        <v>0</v>
      </c>
      <c r="W126" s="5315">
        <f>+W127+W128</f>
        <v>0</v>
      </c>
      <c r="X126" s="5315">
        <f t="shared" si="126"/>
        <v>0</v>
      </c>
      <c r="Y126" s="5315">
        <f t="shared" si="73"/>
        <v>0</v>
      </c>
      <c r="Z126" s="5315">
        <f t="shared" si="126"/>
        <v>0</v>
      </c>
      <c r="AA126" s="5105">
        <f t="shared" si="70"/>
        <v>0</v>
      </c>
      <c r="AB126" s="5315">
        <f t="shared" si="126"/>
        <v>0</v>
      </c>
      <c r="AC126" s="5315">
        <f>+AC127+AC128</f>
        <v>0</v>
      </c>
      <c r="AD126" s="5315">
        <f t="shared" si="126"/>
        <v>0</v>
      </c>
      <c r="AE126" s="5315">
        <f t="shared" si="126"/>
        <v>0</v>
      </c>
      <c r="AF126" s="5315">
        <f t="shared" si="126"/>
        <v>0</v>
      </c>
      <c r="AG126" s="5315">
        <f>+AG127+AG128</f>
        <v>0</v>
      </c>
      <c r="AH126" s="5315">
        <f t="shared" si="126"/>
        <v>0</v>
      </c>
      <c r="AI126" s="5315">
        <f t="shared" si="126"/>
        <v>0</v>
      </c>
      <c r="AJ126" s="5315">
        <f t="shared" ref="AJ126:AN126" si="127">+AJ127+AJ128</f>
        <v>0</v>
      </c>
      <c r="AK126" s="5315">
        <f>+AK127+AK128</f>
        <v>0</v>
      </c>
      <c r="AL126" s="5315">
        <f t="shared" si="127"/>
        <v>0</v>
      </c>
      <c r="AM126" s="5315">
        <f t="shared" si="79"/>
        <v>0</v>
      </c>
      <c r="AN126" s="5315">
        <f t="shared" si="127"/>
        <v>0</v>
      </c>
      <c r="AO126" s="5315">
        <f t="shared" si="99"/>
        <v>0</v>
      </c>
      <c r="AP126" s="5315">
        <f t="shared" ref="AP126" si="128">+AP127+AP128</f>
        <v>0</v>
      </c>
      <c r="AQ126" s="5315">
        <f>+AQ127+AQ128</f>
        <v>0</v>
      </c>
      <c r="AR126" s="5315">
        <f t="shared" ref="AR126:AS126" si="129">+AR127+AR128</f>
        <v>0</v>
      </c>
      <c r="AS126" s="5315">
        <f t="shared" si="129"/>
        <v>0</v>
      </c>
      <c r="AT126" s="5315">
        <f t="shared" ref="AT126:AW126" si="130">+AT127+AT128</f>
        <v>0</v>
      </c>
      <c r="AU126" s="5315">
        <f>+AU127+AU128</f>
        <v>0</v>
      </c>
      <c r="AV126" s="5315">
        <f t="shared" si="130"/>
        <v>0</v>
      </c>
      <c r="AW126" s="5315">
        <f t="shared" si="130"/>
        <v>0</v>
      </c>
      <c r="AX126" s="5315">
        <f t="shared" ref="AX126" si="131">+AX127+AX128</f>
        <v>0</v>
      </c>
      <c r="AY126" s="5315">
        <f>+AY127+AY128</f>
        <v>0</v>
      </c>
      <c r="AZ126" s="5315">
        <f t="shared" ref="AZ126:BE126" si="132">+AZ127+AZ128</f>
        <v>0</v>
      </c>
      <c r="BA126" s="5315">
        <f t="shared" si="72"/>
        <v>0</v>
      </c>
      <c r="BB126" s="5315">
        <f t="shared" si="132"/>
        <v>0</v>
      </c>
      <c r="BC126" s="5105">
        <f t="shared" si="74"/>
        <v>0</v>
      </c>
      <c r="BD126" s="5315">
        <f t="shared" si="132"/>
        <v>0</v>
      </c>
      <c r="BE126" s="5378">
        <f t="shared" si="132"/>
        <v>0</v>
      </c>
      <c r="BH126" s="23"/>
      <c r="BI126" s="23"/>
    </row>
    <row r="127" spans="1:61" hidden="1" x14ac:dyDescent="0.3">
      <c r="B127" s="5395" t="s">
        <v>1319</v>
      </c>
      <c r="C127" s="4932" t="s">
        <v>351</v>
      </c>
      <c r="D127" s="5184"/>
      <c r="E127" s="5184"/>
      <c r="F127" s="5184"/>
      <c r="G127" s="5184"/>
      <c r="H127" s="5185"/>
      <c r="I127" s="5185">
        <f t="shared" si="117"/>
        <v>0</v>
      </c>
      <c r="J127" s="5184"/>
      <c r="K127" s="5184"/>
      <c r="L127" s="5184"/>
      <c r="M127" s="5296">
        <f t="shared" si="118"/>
        <v>0</v>
      </c>
      <c r="N127" s="5184"/>
      <c r="O127" s="5184"/>
      <c r="P127" s="5184"/>
      <c r="Q127" s="4965">
        <f t="shared" si="65"/>
        <v>0</v>
      </c>
      <c r="R127" s="5184"/>
      <c r="S127" s="5184"/>
      <c r="T127" s="5184"/>
      <c r="U127" s="5185">
        <f t="shared" si="119"/>
        <v>0</v>
      </c>
      <c r="V127" s="5184"/>
      <c r="W127" s="5184"/>
      <c r="X127" s="5184"/>
      <c r="Y127" s="5296">
        <f t="shared" si="73"/>
        <v>0</v>
      </c>
      <c r="Z127" s="5184"/>
      <c r="AA127" s="5105">
        <f t="shared" si="70"/>
        <v>0</v>
      </c>
      <c r="AB127" s="5184"/>
      <c r="AC127" s="5184"/>
      <c r="AD127" s="5184"/>
      <c r="AE127" s="5062">
        <f t="shared" si="120"/>
        <v>0</v>
      </c>
      <c r="AF127" s="5184"/>
      <c r="AG127" s="5184"/>
      <c r="AH127" s="5184"/>
      <c r="AI127" s="5062">
        <f t="shared" si="121"/>
        <v>0</v>
      </c>
      <c r="AJ127" s="5184"/>
      <c r="AK127" s="5184"/>
      <c r="AL127" s="5184"/>
      <c r="AM127" s="5296">
        <f t="shared" si="79"/>
        <v>0</v>
      </c>
      <c r="AN127" s="5184"/>
      <c r="AO127" s="5062">
        <f t="shared" si="99"/>
        <v>0</v>
      </c>
      <c r="AP127" s="5184"/>
      <c r="AQ127" s="5184"/>
      <c r="AR127" s="5184"/>
      <c r="AS127" s="5062">
        <f t="shared" ref="AS127:AS128" si="133">+AO127+AQ127</f>
        <v>0</v>
      </c>
      <c r="AT127" s="5184"/>
      <c r="AU127" s="5184"/>
      <c r="AV127" s="5184"/>
      <c r="AW127" s="5062">
        <f t="shared" ref="AW127:AW128" si="134">+AS127+AU127</f>
        <v>0</v>
      </c>
      <c r="AX127" s="5184"/>
      <c r="AY127" s="5184"/>
      <c r="AZ127" s="5184"/>
      <c r="BA127" s="5296">
        <f t="shared" si="72"/>
        <v>0</v>
      </c>
      <c r="BB127" s="5184"/>
      <c r="BC127" s="5105">
        <f t="shared" si="74"/>
        <v>0</v>
      </c>
      <c r="BD127" s="5184"/>
      <c r="BE127" s="4406">
        <f t="shared" ref="BE127:BE129" si="135">+AW127+AY127</f>
        <v>0</v>
      </c>
      <c r="BH127" s="23"/>
      <c r="BI127" s="23"/>
    </row>
    <row r="128" spans="1:61" hidden="1" x14ac:dyDescent="0.3">
      <c r="B128" s="5395" t="s">
        <v>1224</v>
      </c>
      <c r="C128" s="4932" t="s">
        <v>351</v>
      </c>
      <c r="D128" s="5184"/>
      <c r="E128" s="5184"/>
      <c r="F128" s="5184"/>
      <c r="G128" s="5184"/>
      <c r="H128" s="5185"/>
      <c r="I128" s="5185">
        <f t="shared" si="117"/>
        <v>0</v>
      </c>
      <c r="J128" s="5184"/>
      <c r="K128" s="5184"/>
      <c r="L128" s="5184"/>
      <c r="M128" s="5296">
        <f t="shared" si="118"/>
        <v>0</v>
      </c>
      <c r="N128" s="5184"/>
      <c r="O128" s="5184"/>
      <c r="P128" s="5184"/>
      <c r="Q128" s="4965">
        <f t="shared" si="65"/>
        <v>0</v>
      </c>
      <c r="R128" s="5184"/>
      <c r="S128" s="5184"/>
      <c r="T128" s="5184"/>
      <c r="U128" s="5185">
        <f t="shared" si="119"/>
        <v>0</v>
      </c>
      <c r="V128" s="5184"/>
      <c r="W128" s="5184"/>
      <c r="X128" s="5184"/>
      <c r="Y128" s="5296">
        <f t="shared" si="73"/>
        <v>0</v>
      </c>
      <c r="Z128" s="5184"/>
      <c r="AA128" s="5105">
        <f t="shared" si="70"/>
        <v>0</v>
      </c>
      <c r="AB128" s="5184"/>
      <c r="AC128" s="5184"/>
      <c r="AD128" s="5184"/>
      <c r="AE128" s="5062">
        <f t="shared" si="120"/>
        <v>0</v>
      </c>
      <c r="AF128" s="5184"/>
      <c r="AG128" s="5184"/>
      <c r="AH128" s="5184"/>
      <c r="AI128" s="5062">
        <f t="shared" si="121"/>
        <v>0</v>
      </c>
      <c r="AJ128" s="5184"/>
      <c r="AK128" s="5184"/>
      <c r="AL128" s="5184"/>
      <c r="AM128" s="5296">
        <f t="shared" si="79"/>
        <v>0</v>
      </c>
      <c r="AN128" s="5184"/>
      <c r="AO128" s="5062">
        <f t="shared" si="99"/>
        <v>0</v>
      </c>
      <c r="AP128" s="5184"/>
      <c r="AQ128" s="5184"/>
      <c r="AR128" s="5184"/>
      <c r="AS128" s="5062">
        <f t="shared" si="133"/>
        <v>0</v>
      </c>
      <c r="AT128" s="5184"/>
      <c r="AU128" s="5184"/>
      <c r="AV128" s="5184"/>
      <c r="AW128" s="5062">
        <f t="shared" si="134"/>
        <v>0</v>
      </c>
      <c r="AX128" s="5184"/>
      <c r="AY128" s="5184"/>
      <c r="AZ128" s="5184"/>
      <c r="BA128" s="5296">
        <f t="shared" si="72"/>
        <v>0</v>
      </c>
      <c r="BB128" s="5184"/>
      <c r="BC128" s="5105">
        <f t="shared" si="74"/>
        <v>0</v>
      </c>
      <c r="BD128" s="5184"/>
      <c r="BE128" s="4406">
        <f t="shared" si="135"/>
        <v>0</v>
      </c>
      <c r="BH128" s="23"/>
      <c r="BI128" s="23"/>
    </row>
    <row r="129" spans="1:61" hidden="1" x14ac:dyDescent="0.3">
      <c r="B129" s="4488" t="s">
        <v>1978</v>
      </c>
      <c r="C129" s="4932"/>
      <c r="D129" s="5315"/>
      <c r="E129" s="5315"/>
      <c r="F129" s="5315"/>
      <c r="G129" s="5315"/>
      <c r="H129" s="5315"/>
      <c r="I129" s="5315"/>
      <c r="J129" s="5315"/>
      <c r="K129" s="5315">
        <v>2500</v>
      </c>
      <c r="L129" s="5315"/>
      <c r="M129" s="5315">
        <f>I129+K129</f>
        <v>2500</v>
      </c>
      <c r="N129" s="5315"/>
      <c r="O129" s="5315">
        <v>7430</v>
      </c>
      <c r="P129" s="5315"/>
      <c r="Q129" s="4965">
        <f t="shared" si="65"/>
        <v>9930</v>
      </c>
      <c r="R129" s="5315"/>
      <c r="S129" s="5315">
        <v>2070</v>
      </c>
      <c r="T129" s="5315"/>
      <c r="U129" s="4965">
        <f t="shared" si="119"/>
        <v>12000</v>
      </c>
      <c r="V129" s="5315"/>
      <c r="W129" s="5315"/>
      <c r="X129" s="5315"/>
      <c r="Y129" s="5315">
        <f t="shared" ref="Y129" si="136">+O129+S129+W129</f>
        <v>9500</v>
      </c>
      <c r="Z129" s="5315">
        <f t="shared" ref="D129:BE133" si="137">+Z130</f>
        <v>0</v>
      </c>
      <c r="AA129" s="5315">
        <f t="shared" ref="AA129" si="138">M129+Y129</f>
        <v>12000</v>
      </c>
      <c r="AB129" s="5315"/>
      <c r="AC129" s="5315"/>
      <c r="AD129" s="5315"/>
      <c r="AE129" s="5315">
        <f t="shared" si="120"/>
        <v>12000</v>
      </c>
      <c r="AF129" s="5315"/>
      <c r="AG129" s="5315"/>
      <c r="AH129" s="5315"/>
      <c r="AI129" s="5315">
        <f t="shared" si="121"/>
        <v>12000</v>
      </c>
      <c r="AJ129" s="5315"/>
      <c r="AK129" s="5315">
        <v>1500</v>
      </c>
      <c r="AL129" s="5315"/>
      <c r="AM129" s="5315">
        <f t="shared" ref="AM129" si="139">+AC129+AG129+AK129</f>
        <v>1500</v>
      </c>
      <c r="AN129" s="5315">
        <f t="shared" si="137"/>
        <v>0</v>
      </c>
      <c r="AO129" s="5315">
        <f t="shared" ref="AO129" si="140">AI129+AK129</f>
        <v>13500</v>
      </c>
      <c r="AP129" s="5315"/>
      <c r="AQ129" s="5315"/>
      <c r="AR129" s="5315"/>
      <c r="AS129" s="5315">
        <f t="shared" ref="AS129:AS133" si="141">+AO129+AQ129</f>
        <v>13500</v>
      </c>
      <c r="AT129" s="5315"/>
      <c r="AU129" s="5315"/>
      <c r="AV129" s="5315"/>
      <c r="AW129" s="5315">
        <f t="shared" ref="AW129:AW133" si="142">+AS129+AU129</f>
        <v>13500</v>
      </c>
      <c r="AX129" s="5315"/>
      <c r="AY129" s="5315"/>
      <c r="AZ129" s="5315"/>
      <c r="BA129" s="5315">
        <f t="shared" ref="BA129" si="143">+AQ129+AU129+AY129</f>
        <v>0</v>
      </c>
      <c r="BB129" s="5315"/>
      <c r="BC129" s="5315">
        <f t="shared" ref="BC129" si="144">BA129+AM129</f>
        <v>1500</v>
      </c>
      <c r="BD129" s="5315"/>
      <c r="BE129" s="5378">
        <f t="shared" si="135"/>
        <v>13500</v>
      </c>
      <c r="BH129" s="23"/>
      <c r="BI129" s="23"/>
    </row>
    <row r="130" spans="1:61" hidden="1" x14ac:dyDescent="0.3">
      <c r="B130" s="4488" t="s">
        <v>908</v>
      </c>
      <c r="C130" s="4932" t="s">
        <v>351</v>
      </c>
      <c r="D130" s="5315">
        <f t="shared" si="137"/>
        <v>0</v>
      </c>
      <c r="E130" s="5315">
        <f>+E131</f>
        <v>0</v>
      </c>
      <c r="F130" s="5315">
        <f t="shared" si="137"/>
        <v>0</v>
      </c>
      <c r="G130" s="5315">
        <f>+G131</f>
        <v>0</v>
      </c>
      <c r="H130" s="5315">
        <f t="shared" si="137"/>
        <v>0</v>
      </c>
      <c r="I130" s="5315">
        <f t="shared" si="137"/>
        <v>0</v>
      </c>
      <c r="J130" s="5315">
        <f t="shared" si="137"/>
        <v>0</v>
      </c>
      <c r="K130" s="5315">
        <f>+K131</f>
        <v>10.38</v>
      </c>
      <c r="L130" s="5315">
        <f t="shared" si="137"/>
        <v>0</v>
      </c>
      <c r="M130" s="5315">
        <f t="shared" si="137"/>
        <v>10.38</v>
      </c>
      <c r="N130" s="5315">
        <f t="shared" si="137"/>
        <v>0</v>
      </c>
      <c r="O130" s="5315">
        <f>+O131</f>
        <v>10.34</v>
      </c>
      <c r="P130" s="5315">
        <f t="shared" si="137"/>
        <v>0</v>
      </c>
      <c r="Q130" s="4965">
        <f t="shared" si="65"/>
        <v>20.72</v>
      </c>
      <c r="R130" s="5315">
        <f t="shared" si="137"/>
        <v>0</v>
      </c>
      <c r="S130" s="5315">
        <f>+S131</f>
        <v>14.13</v>
      </c>
      <c r="T130" s="5315">
        <f t="shared" si="137"/>
        <v>0</v>
      </c>
      <c r="U130" s="4965">
        <f t="shared" si="119"/>
        <v>34.85</v>
      </c>
      <c r="V130" s="5315">
        <f t="shared" si="137"/>
        <v>0</v>
      </c>
      <c r="W130" s="5315">
        <f>+W131</f>
        <v>0</v>
      </c>
      <c r="X130" s="5315">
        <f t="shared" si="137"/>
        <v>0</v>
      </c>
      <c r="Y130" s="5315">
        <f t="shared" si="73"/>
        <v>24.47</v>
      </c>
      <c r="Z130" s="5315">
        <f t="shared" si="137"/>
        <v>0</v>
      </c>
      <c r="AA130" s="5105">
        <f t="shared" si="70"/>
        <v>34.85</v>
      </c>
      <c r="AB130" s="5315">
        <f t="shared" si="137"/>
        <v>0</v>
      </c>
      <c r="AC130" s="5315">
        <f>+AC131</f>
        <v>0</v>
      </c>
      <c r="AD130" s="5315">
        <f t="shared" si="137"/>
        <v>0</v>
      </c>
      <c r="AE130" s="5315">
        <f t="shared" si="137"/>
        <v>34.85</v>
      </c>
      <c r="AF130" s="5315">
        <f t="shared" si="137"/>
        <v>0</v>
      </c>
      <c r="AG130" s="5315">
        <f>+AG131</f>
        <v>0</v>
      </c>
      <c r="AH130" s="5315">
        <f t="shared" si="137"/>
        <v>0</v>
      </c>
      <c r="AI130" s="5315">
        <f t="shared" ref="AI130:AI137" si="145">+AE130+AG130</f>
        <v>34.85</v>
      </c>
      <c r="AJ130" s="5315">
        <f t="shared" si="137"/>
        <v>0</v>
      </c>
      <c r="AK130" s="5315">
        <f>+AK131</f>
        <v>0</v>
      </c>
      <c r="AL130" s="5315">
        <f t="shared" si="137"/>
        <v>0</v>
      </c>
      <c r="AM130" s="5315">
        <f t="shared" si="79"/>
        <v>0</v>
      </c>
      <c r="AN130" s="5315">
        <f t="shared" si="137"/>
        <v>0</v>
      </c>
      <c r="AO130" s="5315">
        <f t="shared" si="99"/>
        <v>34.85</v>
      </c>
      <c r="AP130" s="5315">
        <f t="shared" si="137"/>
        <v>0</v>
      </c>
      <c r="AQ130" s="5315">
        <f>+AQ131</f>
        <v>0</v>
      </c>
      <c r="AR130" s="5315">
        <f t="shared" si="137"/>
        <v>0</v>
      </c>
      <c r="AS130" s="5315">
        <f t="shared" si="137"/>
        <v>34.85</v>
      </c>
      <c r="AT130" s="5315">
        <f t="shared" si="137"/>
        <v>0</v>
      </c>
      <c r="AU130" s="5315">
        <f>+AU131</f>
        <v>0</v>
      </c>
      <c r="AV130" s="5315">
        <f t="shared" si="137"/>
        <v>0</v>
      </c>
      <c r="AW130" s="5315">
        <f t="shared" si="137"/>
        <v>34.85</v>
      </c>
      <c r="AX130" s="5315">
        <f t="shared" si="137"/>
        <v>0</v>
      </c>
      <c r="AY130" s="5315">
        <f>+AY131</f>
        <v>0</v>
      </c>
      <c r="AZ130" s="5315">
        <f t="shared" si="137"/>
        <v>0</v>
      </c>
      <c r="BA130" s="5315">
        <f t="shared" si="72"/>
        <v>0</v>
      </c>
      <c r="BB130" s="5315">
        <f t="shared" si="137"/>
        <v>0</v>
      </c>
      <c r="BC130" s="5105">
        <f t="shared" si="74"/>
        <v>0</v>
      </c>
      <c r="BD130" s="5315">
        <f t="shared" si="137"/>
        <v>0</v>
      </c>
      <c r="BE130" s="5378">
        <f t="shared" si="137"/>
        <v>34.85</v>
      </c>
      <c r="BH130" s="23"/>
      <c r="BI130" s="23"/>
    </row>
    <row r="131" spans="1:61" hidden="1" x14ac:dyDescent="0.3">
      <c r="B131" s="4059" t="s">
        <v>839</v>
      </c>
      <c r="C131" s="4932" t="s">
        <v>351</v>
      </c>
      <c r="D131" s="5184"/>
      <c r="E131" s="5184"/>
      <c r="F131" s="5184"/>
      <c r="G131" s="5184"/>
      <c r="H131" s="5185"/>
      <c r="I131" s="5185">
        <f t="shared" si="117"/>
        <v>0</v>
      </c>
      <c r="J131" s="5184"/>
      <c r="K131" s="5184">
        <v>10.38</v>
      </c>
      <c r="L131" s="5184"/>
      <c r="M131" s="5296">
        <f t="shared" si="118"/>
        <v>10.38</v>
      </c>
      <c r="N131" s="5184"/>
      <c r="O131" s="5184">
        <v>10.34</v>
      </c>
      <c r="P131" s="5184"/>
      <c r="Q131" s="4965">
        <f t="shared" si="65"/>
        <v>20.72</v>
      </c>
      <c r="R131" s="5184"/>
      <c r="S131" s="5184">
        <v>14.13</v>
      </c>
      <c r="T131" s="5184"/>
      <c r="U131" s="4965">
        <f t="shared" si="119"/>
        <v>34.85</v>
      </c>
      <c r="V131" s="5184"/>
      <c r="W131" s="5184"/>
      <c r="X131" s="5184"/>
      <c r="Y131" s="5296">
        <f t="shared" si="73"/>
        <v>24.47</v>
      </c>
      <c r="Z131" s="5184"/>
      <c r="AA131" s="5105">
        <f t="shared" si="70"/>
        <v>34.85</v>
      </c>
      <c r="AB131" s="5184"/>
      <c r="AC131" s="5184"/>
      <c r="AD131" s="5184"/>
      <c r="AE131" s="5062">
        <f t="shared" si="120"/>
        <v>34.85</v>
      </c>
      <c r="AF131" s="5184"/>
      <c r="AG131" s="5184"/>
      <c r="AH131" s="5184"/>
      <c r="AI131" s="5062">
        <f t="shared" si="145"/>
        <v>34.85</v>
      </c>
      <c r="AJ131" s="5184"/>
      <c r="AK131" s="5184"/>
      <c r="AL131" s="5184"/>
      <c r="AM131" s="5296">
        <f t="shared" si="79"/>
        <v>0</v>
      </c>
      <c r="AN131" s="5184"/>
      <c r="AO131" s="5062">
        <f t="shared" si="99"/>
        <v>34.85</v>
      </c>
      <c r="AP131" s="5184"/>
      <c r="AQ131" s="5184"/>
      <c r="AR131" s="5184"/>
      <c r="AS131" s="5062">
        <f t="shared" si="141"/>
        <v>34.85</v>
      </c>
      <c r="AT131" s="5184"/>
      <c r="AU131" s="5184"/>
      <c r="AV131" s="5184"/>
      <c r="AW131" s="5062">
        <f t="shared" si="142"/>
        <v>34.85</v>
      </c>
      <c r="AX131" s="5184"/>
      <c r="AY131" s="5184"/>
      <c r="AZ131" s="5184"/>
      <c r="BA131" s="5296">
        <f t="shared" si="72"/>
        <v>0</v>
      </c>
      <c r="BB131" s="5184"/>
      <c r="BC131" s="5105">
        <f t="shared" si="74"/>
        <v>0</v>
      </c>
      <c r="BD131" s="5184"/>
      <c r="BE131" s="4406">
        <f t="shared" ref="BE131:BE133" si="146">+AW131+AY131</f>
        <v>34.85</v>
      </c>
      <c r="BH131" s="23"/>
      <c r="BI131" s="23"/>
    </row>
    <row r="132" spans="1:61" hidden="1" x14ac:dyDescent="0.3">
      <c r="B132" s="4488" t="s">
        <v>636</v>
      </c>
      <c r="C132" s="4932" t="s">
        <v>351</v>
      </c>
      <c r="D132" s="5315"/>
      <c r="E132" s="5315">
        <f>+E133</f>
        <v>0</v>
      </c>
      <c r="F132" s="5315"/>
      <c r="G132" s="5315">
        <f>+G133</f>
        <v>0</v>
      </c>
      <c r="H132" s="5315"/>
      <c r="I132" s="5315">
        <f t="shared" si="117"/>
        <v>0</v>
      </c>
      <c r="J132" s="5315"/>
      <c r="K132" s="5315">
        <f>+K133</f>
        <v>10.97</v>
      </c>
      <c r="L132" s="5315"/>
      <c r="M132" s="5315">
        <f>+M133</f>
        <v>10.97</v>
      </c>
      <c r="N132" s="5315"/>
      <c r="O132" s="5315">
        <f>+O133</f>
        <v>0</v>
      </c>
      <c r="P132" s="5315"/>
      <c r="Q132" s="4965">
        <f t="shared" si="65"/>
        <v>10.97</v>
      </c>
      <c r="R132" s="5315"/>
      <c r="S132" s="5315">
        <f>+S133</f>
        <v>8.2799999999999994</v>
      </c>
      <c r="T132" s="5315"/>
      <c r="U132" s="4965">
        <f t="shared" si="119"/>
        <v>19.25</v>
      </c>
      <c r="V132" s="5315"/>
      <c r="W132" s="5315">
        <f>+W133</f>
        <v>0</v>
      </c>
      <c r="X132" s="5315"/>
      <c r="Y132" s="5296">
        <f t="shared" ref="Y132:Y133" si="147">+O132+S132+W132</f>
        <v>8.2799999999999994</v>
      </c>
      <c r="Z132" s="5184"/>
      <c r="AA132" s="5105">
        <f t="shared" ref="AA132:AA133" si="148">M132+Y132</f>
        <v>19.25</v>
      </c>
      <c r="AB132" s="5315"/>
      <c r="AC132" s="5315">
        <f>+AC133</f>
        <v>0</v>
      </c>
      <c r="AD132" s="5315"/>
      <c r="AE132" s="5315">
        <f t="shared" si="120"/>
        <v>19.25</v>
      </c>
      <c r="AF132" s="5315"/>
      <c r="AG132" s="5315">
        <f>+AG133</f>
        <v>0</v>
      </c>
      <c r="AH132" s="5315"/>
      <c r="AI132" s="5315">
        <f t="shared" si="145"/>
        <v>19.25</v>
      </c>
      <c r="AJ132" s="5315"/>
      <c r="AK132" s="5315">
        <f>+AK133</f>
        <v>12.45</v>
      </c>
      <c r="AL132" s="5315"/>
      <c r="AM132" s="5315">
        <f t="shared" ref="AM132:AM133" si="149">+AC132+AG132+AK132</f>
        <v>12.45</v>
      </c>
      <c r="AN132" s="5315">
        <f t="shared" si="137"/>
        <v>0</v>
      </c>
      <c r="AO132" s="5315">
        <f t="shared" ref="AO132:AO133" si="150">AI132+AK132</f>
        <v>31.7</v>
      </c>
      <c r="AP132" s="5315"/>
      <c r="AQ132" s="5315">
        <f>+AQ133</f>
        <v>0</v>
      </c>
      <c r="AR132" s="5315"/>
      <c r="AS132" s="5315"/>
      <c r="AT132" s="5315"/>
      <c r="AU132" s="5315">
        <f>+AU133</f>
        <v>12.16</v>
      </c>
      <c r="AV132" s="5315"/>
      <c r="AW132" s="5315">
        <f>AW133</f>
        <v>43.86</v>
      </c>
      <c r="AX132" s="5315"/>
      <c r="AY132" s="5315">
        <f>+AY133</f>
        <v>0</v>
      </c>
      <c r="AZ132" s="5315"/>
      <c r="BA132" s="5315">
        <f t="shared" ref="BA132:BA133" si="151">+AQ132+AU132+AY132</f>
        <v>12.16</v>
      </c>
      <c r="BB132" s="5315"/>
      <c r="BC132" s="5105">
        <f t="shared" ref="BC132:BC133" si="152">BA132+AM132</f>
        <v>24.61</v>
      </c>
      <c r="BD132" s="5315"/>
      <c r="BE132" s="5378">
        <f t="shared" si="146"/>
        <v>43.86</v>
      </c>
      <c r="BH132" s="23"/>
      <c r="BI132" s="23"/>
    </row>
    <row r="133" spans="1:61" hidden="1" x14ac:dyDescent="0.3">
      <c r="B133" s="4059" t="s">
        <v>1946</v>
      </c>
      <c r="C133" s="4932" t="s">
        <v>351</v>
      </c>
      <c r="D133" s="5184"/>
      <c r="E133" s="5184"/>
      <c r="F133" s="5184"/>
      <c r="G133" s="5184"/>
      <c r="H133" s="5185"/>
      <c r="I133" s="5185">
        <f t="shared" si="117"/>
        <v>0</v>
      </c>
      <c r="J133" s="5184"/>
      <c r="K133" s="5184">
        <v>10.97</v>
      </c>
      <c r="L133" s="5184"/>
      <c r="M133" s="5296">
        <f t="shared" si="118"/>
        <v>10.97</v>
      </c>
      <c r="N133" s="5184"/>
      <c r="O133" s="5184"/>
      <c r="P133" s="5184"/>
      <c r="Q133" s="4965">
        <f t="shared" si="65"/>
        <v>10.97</v>
      </c>
      <c r="R133" s="5184"/>
      <c r="S133" s="5184">
        <v>8.2799999999999994</v>
      </c>
      <c r="T133" s="5184"/>
      <c r="U133" s="4965">
        <f t="shared" si="119"/>
        <v>19.25</v>
      </c>
      <c r="V133" s="5184"/>
      <c r="W133" s="5184"/>
      <c r="X133" s="5184"/>
      <c r="Y133" s="5296">
        <f t="shared" si="147"/>
        <v>8.2799999999999994</v>
      </c>
      <c r="Z133" s="5184"/>
      <c r="AA133" s="5105">
        <f t="shared" si="148"/>
        <v>19.25</v>
      </c>
      <c r="AB133" s="5184"/>
      <c r="AC133" s="5184"/>
      <c r="AD133" s="5184"/>
      <c r="AE133" s="5062">
        <f t="shared" si="120"/>
        <v>19.25</v>
      </c>
      <c r="AF133" s="5184"/>
      <c r="AG133" s="5184"/>
      <c r="AH133" s="5184"/>
      <c r="AI133" s="5062">
        <f t="shared" si="145"/>
        <v>19.25</v>
      </c>
      <c r="AJ133" s="5184"/>
      <c r="AK133" s="5184">
        <v>12.45</v>
      </c>
      <c r="AL133" s="5184"/>
      <c r="AM133" s="5296">
        <f t="shared" si="149"/>
        <v>12.45</v>
      </c>
      <c r="AN133" s="5184">
        <f t="shared" si="137"/>
        <v>0</v>
      </c>
      <c r="AO133" s="5062">
        <f t="shared" si="150"/>
        <v>31.7</v>
      </c>
      <c r="AP133" s="5184"/>
      <c r="AQ133" s="5184"/>
      <c r="AR133" s="5184"/>
      <c r="AS133" s="5062">
        <f t="shared" si="141"/>
        <v>31.7</v>
      </c>
      <c r="AT133" s="5184"/>
      <c r="AU133" s="5184">
        <v>12.16</v>
      </c>
      <c r="AV133" s="5184"/>
      <c r="AW133" s="5062">
        <f t="shared" si="142"/>
        <v>43.86</v>
      </c>
      <c r="AX133" s="5184"/>
      <c r="AY133" s="5184"/>
      <c r="AZ133" s="5184"/>
      <c r="BA133" s="5296">
        <f t="shared" si="151"/>
        <v>12.16</v>
      </c>
      <c r="BB133" s="5184"/>
      <c r="BC133" s="5105">
        <f t="shared" si="152"/>
        <v>24.61</v>
      </c>
      <c r="BD133" s="5184"/>
      <c r="BE133" s="4406">
        <f t="shared" si="146"/>
        <v>43.86</v>
      </c>
      <c r="BH133" s="23"/>
      <c r="BI133" s="23"/>
    </row>
    <row r="134" spans="1:61" x14ac:dyDescent="0.3">
      <c r="B134" s="4488" t="s">
        <v>1270</v>
      </c>
      <c r="C134" s="4932" t="s">
        <v>351</v>
      </c>
      <c r="D134" s="5315">
        <f t="shared" ref="D134:BE134" si="153">+D135</f>
        <v>0</v>
      </c>
      <c r="E134" s="5315">
        <f>+E135</f>
        <v>205</v>
      </c>
      <c r="F134" s="5315">
        <f t="shared" si="153"/>
        <v>0</v>
      </c>
      <c r="G134" s="5315">
        <f>+G135</f>
        <v>0</v>
      </c>
      <c r="H134" s="5315">
        <f t="shared" si="153"/>
        <v>0</v>
      </c>
      <c r="I134" s="5315">
        <f t="shared" si="153"/>
        <v>205</v>
      </c>
      <c r="J134" s="5315">
        <f t="shared" si="153"/>
        <v>0</v>
      </c>
      <c r="K134" s="5315">
        <f>+K135</f>
        <v>0</v>
      </c>
      <c r="L134" s="5315">
        <f t="shared" si="153"/>
        <v>0</v>
      </c>
      <c r="M134" s="5315">
        <f t="shared" si="153"/>
        <v>205</v>
      </c>
      <c r="N134" s="5315">
        <f t="shared" si="153"/>
        <v>0</v>
      </c>
      <c r="O134" s="5315">
        <f>+O135</f>
        <v>0</v>
      </c>
      <c r="P134" s="5315">
        <f t="shared" si="153"/>
        <v>0</v>
      </c>
      <c r="Q134" s="4965">
        <f t="shared" si="65"/>
        <v>205</v>
      </c>
      <c r="R134" s="5315">
        <f t="shared" si="153"/>
        <v>0</v>
      </c>
      <c r="S134" s="5315">
        <f>+S135</f>
        <v>0</v>
      </c>
      <c r="T134" s="5315">
        <f t="shared" si="153"/>
        <v>0</v>
      </c>
      <c r="U134" s="4965">
        <f t="shared" si="119"/>
        <v>205</v>
      </c>
      <c r="V134" s="5315">
        <f t="shared" si="153"/>
        <v>0</v>
      </c>
      <c r="W134" s="5315">
        <f>+W135</f>
        <v>0</v>
      </c>
      <c r="X134" s="5315">
        <f t="shared" si="153"/>
        <v>0</v>
      </c>
      <c r="Y134" s="5315">
        <f t="shared" si="73"/>
        <v>0</v>
      </c>
      <c r="Z134" s="5315">
        <f t="shared" si="153"/>
        <v>0</v>
      </c>
      <c r="AA134" s="5105">
        <f t="shared" si="70"/>
        <v>205</v>
      </c>
      <c r="AB134" s="5315">
        <f t="shared" si="153"/>
        <v>0</v>
      </c>
      <c r="AC134" s="5315">
        <f>+AC135</f>
        <v>0</v>
      </c>
      <c r="AD134" s="5315">
        <f t="shared" si="153"/>
        <v>0</v>
      </c>
      <c r="AE134" s="5315">
        <f t="shared" si="153"/>
        <v>205</v>
      </c>
      <c r="AF134" s="5315">
        <f t="shared" si="153"/>
        <v>0</v>
      </c>
      <c r="AG134" s="5315">
        <f>+AG135</f>
        <v>0</v>
      </c>
      <c r="AH134" s="5315">
        <f t="shared" si="153"/>
        <v>0</v>
      </c>
      <c r="AI134" s="5315">
        <f t="shared" si="145"/>
        <v>205</v>
      </c>
      <c r="AJ134" s="5315">
        <f t="shared" si="153"/>
        <v>0</v>
      </c>
      <c r="AK134" s="5315">
        <f>+AK135</f>
        <v>0</v>
      </c>
      <c r="AL134" s="5315">
        <f t="shared" si="153"/>
        <v>0</v>
      </c>
      <c r="AM134" s="5315">
        <f t="shared" si="79"/>
        <v>0</v>
      </c>
      <c r="AN134" s="5315">
        <f t="shared" si="153"/>
        <v>0</v>
      </c>
      <c r="AO134" s="5315">
        <f t="shared" si="99"/>
        <v>205</v>
      </c>
      <c r="AP134" s="5315">
        <f t="shared" si="153"/>
        <v>0</v>
      </c>
      <c r="AQ134" s="5315">
        <f>+AQ135</f>
        <v>0</v>
      </c>
      <c r="AR134" s="5315">
        <f t="shared" si="153"/>
        <v>0</v>
      </c>
      <c r="AS134" s="5315">
        <f t="shared" si="153"/>
        <v>205</v>
      </c>
      <c r="AT134" s="5315">
        <f t="shared" si="153"/>
        <v>0</v>
      </c>
      <c r="AU134" s="5315">
        <f>+AU135</f>
        <v>916.35</v>
      </c>
      <c r="AV134" s="5315">
        <f t="shared" si="153"/>
        <v>0</v>
      </c>
      <c r="AW134" s="5315">
        <f t="shared" si="153"/>
        <v>1121.3499999999999</v>
      </c>
      <c r="AX134" s="5315">
        <f t="shared" si="153"/>
        <v>0</v>
      </c>
      <c r="AY134" s="5315">
        <f>+AY135</f>
        <v>207.05</v>
      </c>
      <c r="AZ134" s="5315">
        <f t="shared" si="153"/>
        <v>0</v>
      </c>
      <c r="BA134" s="5315">
        <f t="shared" si="72"/>
        <v>1123.4000000000001</v>
      </c>
      <c r="BB134" s="5315">
        <f t="shared" si="153"/>
        <v>0</v>
      </c>
      <c r="BC134" s="5105">
        <f t="shared" si="74"/>
        <v>1123.4000000000001</v>
      </c>
      <c r="BD134" s="5315">
        <f t="shared" si="153"/>
        <v>0</v>
      </c>
      <c r="BE134" s="5378">
        <f t="shared" si="153"/>
        <v>1328.3999999999999</v>
      </c>
      <c r="BH134" s="23"/>
      <c r="BI134" s="23"/>
    </row>
    <row r="135" spans="1:61" x14ac:dyDescent="0.3">
      <c r="B135" s="4059" t="s">
        <v>1271</v>
      </c>
      <c r="C135" s="4932" t="s">
        <v>351</v>
      </c>
      <c r="D135" s="5184"/>
      <c r="E135" s="5184">
        <v>205</v>
      </c>
      <c r="F135" s="5184"/>
      <c r="G135" s="5184">
        <v>0</v>
      </c>
      <c r="H135" s="5185"/>
      <c r="I135" s="5185">
        <f t="shared" si="117"/>
        <v>205</v>
      </c>
      <c r="J135" s="5184"/>
      <c r="K135" s="5184"/>
      <c r="L135" s="5184"/>
      <c r="M135" s="5296">
        <f t="shared" si="118"/>
        <v>205</v>
      </c>
      <c r="N135" s="5184"/>
      <c r="O135" s="5184"/>
      <c r="P135" s="5184"/>
      <c r="Q135" s="4965">
        <f t="shared" ref="Q135:Q200" si="154">+M135+O135</f>
        <v>205</v>
      </c>
      <c r="R135" s="5184"/>
      <c r="S135" s="5184"/>
      <c r="T135" s="5184"/>
      <c r="U135" s="4965">
        <f t="shared" si="119"/>
        <v>205</v>
      </c>
      <c r="V135" s="5184"/>
      <c r="W135" s="5184"/>
      <c r="X135" s="5184"/>
      <c r="Y135" s="5296">
        <f t="shared" si="73"/>
        <v>0</v>
      </c>
      <c r="Z135" s="5184"/>
      <c r="AA135" s="5105">
        <f t="shared" si="70"/>
        <v>205</v>
      </c>
      <c r="AB135" s="5184"/>
      <c r="AC135" s="5184"/>
      <c r="AD135" s="5184"/>
      <c r="AE135" s="5062">
        <f t="shared" si="120"/>
        <v>205</v>
      </c>
      <c r="AF135" s="5184"/>
      <c r="AG135" s="5184"/>
      <c r="AH135" s="5184"/>
      <c r="AI135" s="5062">
        <f t="shared" si="145"/>
        <v>205</v>
      </c>
      <c r="AJ135" s="5184"/>
      <c r="AK135" s="5184"/>
      <c r="AL135" s="5184"/>
      <c r="AM135" s="5296">
        <f t="shared" si="79"/>
        <v>0</v>
      </c>
      <c r="AN135" s="5184"/>
      <c r="AO135" s="5062">
        <f t="shared" si="99"/>
        <v>205</v>
      </c>
      <c r="AP135" s="5184"/>
      <c r="AQ135" s="5184"/>
      <c r="AR135" s="5184"/>
      <c r="AS135" s="5062">
        <f t="shared" ref="AS135:AS136" si="155">+AO135+AQ135</f>
        <v>205</v>
      </c>
      <c r="AT135" s="5184"/>
      <c r="AU135" s="5184">
        <v>916.35</v>
      </c>
      <c r="AV135" s="5184"/>
      <c r="AW135" s="5062">
        <f t="shared" ref="AW135:AW136" si="156">+AS135+AU135</f>
        <v>1121.3499999999999</v>
      </c>
      <c r="AX135" s="5184"/>
      <c r="AY135" s="5184">
        <v>207.05</v>
      </c>
      <c r="AZ135" s="5184"/>
      <c r="BA135" s="5296">
        <f t="shared" si="72"/>
        <v>1123.4000000000001</v>
      </c>
      <c r="BB135" s="5184"/>
      <c r="BC135" s="5105">
        <f t="shared" si="74"/>
        <v>1123.4000000000001</v>
      </c>
      <c r="BD135" s="5184"/>
      <c r="BE135" s="4406">
        <f t="shared" ref="BE135:BE136" si="157">+AW135+AY135</f>
        <v>1328.3999999999999</v>
      </c>
      <c r="BH135" s="23"/>
      <c r="BI135" s="23"/>
    </row>
    <row r="136" spans="1:61" ht="16.2" thickBot="1" x14ac:dyDescent="0.35">
      <c r="A136" s="137"/>
      <c r="B136" s="4488" t="s">
        <v>1038</v>
      </c>
      <c r="C136" s="4932" t="s">
        <v>351</v>
      </c>
      <c r="D136" s="5314"/>
      <c r="E136" s="5314">
        <v>11.77</v>
      </c>
      <c r="F136" s="5314"/>
      <c r="G136" s="5314">
        <v>48.65</v>
      </c>
      <c r="H136" s="5314"/>
      <c r="I136" s="5314">
        <f t="shared" si="117"/>
        <v>60.42</v>
      </c>
      <c r="J136" s="5314"/>
      <c r="K136" s="5314"/>
      <c r="L136" s="5314"/>
      <c r="M136" s="5396">
        <f t="shared" si="118"/>
        <v>60.42</v>
      </c>
      <c r="N136" s="5314"/>
      <c r="O136" s="5314"/>
      <c r="P136" s="5314"/>
      <c r="Q136" s="4965">
        <f t="shared" si="154"/>
        <v>60.42</v>
      </c>
      <c r="R136" s="5314"/>
      <c r="S136" s="5314">
        <v>7.29</v>
      </c>
      <c r="T136" s="5314"/>
      <c r="U136" s="4965">
        <f t="shared" si="119"/>
        <v>67.710000000000008</v>
      </c>
      <c r="V136" s="5314"/>
      <c r="W136" s="5314">
        <v>7.8</v>
      </c>
      <c r="X136" s="5314"/>
      <c r="Y136" s="5396">
        <f t="shared" si="73"/>
        <v>15.09</v>
      </c>
      <c r="Z136" s="5314"/>
      <c r="AA136" s="4938">
        <f t="shared" si="70"/>
        <v>75.510000000000005</v>
      </c>
      <c r="AB136" s="5314"/>
      <c r="AC136" s="5314"/>
      <c r="AD136" s="5314"/>
      <c r="AE136" s="5314">
        <f t="shared" si="120"/>
        <v>75.510000000000005</v>
      </c>
      <c r="AF136" s="5314"/>
      <c r="AG136" s="5314"/>
      <c r="AH136" s="5314"/>
      <c r="AI136" s="5314">
        <f t="shared" si="145"/>
        <v>75.510000000000005</v>
      </c>
      <c r="AJ136" s="5314"/>
      <c r="AK136" s="5314">
        <v>14.73</v>
      </c>
      <c r="AL136" s="5314"/>
      <c r="AM136" s="5396">
        <f t="shared" si="79"/>
        <v>14.73</v>
      </c>
      <c r="AN136" s="5314"/>
      <c r="AO136" s="5314">
        <f t="shared" si="99"/>
        <v>90.240000000000009</v>
      </c>
      <c r="AP136" s="5314"/>
      <c r="AQ136" s="5314">
        <v>34.56</v>
      </c>
      <c r="AR136" s="5314"/>
      <c r="AS136" s="5314">
        <f t="shared" si="155"/>
        <v>124.80000000000001</v>
      </c>
      <c r="AT136" s="5314"/>
      <c r="AU136" s="5314"/>
      <c r="AV136" s="5314"/>
      <c r="AW136" s="5314">
        <f t="shared" si="156"/>
        <v>124.80000000000001</v>
      </c>
      <c r="AX136" s="5314"/>
      <c r="AY136" s="5314"/>
      <c r="AZ136" s="5314"/>
      <c r="BA136" s="5396">
        <f t="shared" si="72"/>
        <v>34.56</v>
      </c>
      <c r="BB136" s="5314"/>
      <c r="BC136" s="4938">
        <f t="shared" si="74"/>
        <v>49.290000000000006</v>
      </c>
      <c r="BD136" s="5314"/>
      <c r="BE136" s="5397">
        <f t="shared" si="157"/>
        <v>124.80000000000001</v>
      </c>
      <c r="BH136" s="23"/>
      <c r="BI136" s="23"/>
    </row>
    <row r="137" spans="1:61" ht="25.2" thickBot="1" x14ac:dyDescent="0.35">
      <c r="A137" s="137"/>
      <c r="B137" s="5950" t="s">
        <v>1041</v>
      </c>
      <c r="C137" s="5951"/>
      <c r="D137" s="1243">
        <f t="shared" ref="D137:F137" si="158">+D122+D126+D130+D134+D136+D132+D129</f>
        <v>0</v>
      </c>
      <c r="E137" s="1243">
        <f>+E122+E126+E130+E134+E136+E132+E129</f>
        <v>216.77</v>
      </c>
      <c r="F137" s="1243">
        <f t="shared" si="158"/>
        <v>0</v>
      </c>
      <c r="G137" s="1243">
        <f>+G122+G126+G130+G134+G136+G132+G129</f>
        <v>48.65</v>
      </c>
      <c r="H137" s="1243">
        <f t="shared" ref="H137" si="159">+H122+H126+H130+H134+H136</f>
        <v>0</v>
      </c>
      <c r="I137" s="1243">
        <f>+I122+I126+I130+I134+I136+I132+I129</f>
        <v>265.42</v>
      </c>
      <c r="J137" s="1243">
        <f t="shared" ref="J137:AL137" si="160">+J122+J126+J130+J134+J136+J132</f>
        <v>0</v>
      </c>
      <c r="K137" s="1243">
        <f>+K122+K126+K130+K134+K136+K132+K129</f>
        <v>2521.35</v>
      </c>
      <c r="L137" s="1243">
        <f t="shared" si="160"/>
        <v>0</v>
      </c>
      <c r="M137" s="1243">
        <f>+M122+M126+M130+M134+M136+M132+M129</f>
        <v>2786.77</v>
      </c>
      <c r="N137" s="1243">
        <f t="shared" si="160"/>
        <v>0</v>
      </c>
      <c r="O137" s="1243">
        <f>+O122+O126+O130+O134+O136+O132+O129</f>
        <v>7440.34</v>
      </c>
      <c r="P137" s="1243">
        <f t="shared" si="160"/>
        <v>0</v>
      </c>
      <c r="Q137" s="4965">
        <f t="shared" si="154"/>
        <v>10227.11</v>
      </c>
      <c r="R137" s="1243">
        <f t="shared" si="160"/>
        <v>0</v>
      </c>
      <c r="S137" s="1243">
        <f>+S122+S126+S130+S134+S136+S132+S129</f>
        <v>2099.6999999999998</v>
      </c>
      <c r="T137" s="1243">
        <f t="shared" si="160"/>
        <v>0</v>
      </c>
      <c r="U137" s="4965">
        <f t="shared" si="119"/>
        <v>12326.810000000001</v>
      </c>
      <c r="V137" s="1243">
        <f t="shared" si="160"/>
        <v>0</v>
      </c>
      <c r="W137" s="1243">
        <f>+W122+W126+W130+W134+W136+W132+W129</f>
        <v>7.8</v>
      </c>
      <c r="X137" s="1243">
        <f t="shared" si="160"/>
        <v>0</v>
      </c>
      <c r="Y137" s="1243">
        <f t="shared" ref="Y137" si="161">+O137+S137+W137</f>
        <v>9547.84</v>
      </c>
      <c r="Z137" s="1243"/>
      <c r="AA137" s="1243">
        <f t="shared" ref="AA137" si="162">M137+Y137</f>
        <v>12334.61</v>
      </c>
      <c r="AB137" s="1243">
        <f t="shared" si="160"/>
        <v>0</v>
      </c>
      <c r="AC137" s="1243">
        <f>+AC122+AC126+AC130+AC134+AC136+AC132+AC129</f>
        <v>0</v>
      </c>
      <c r="AD137" s="1243">
        <f t="shared" si="160"/>
        <v>0</v>
      </c>
      <c r="AE137" s="1243">
        <f t="shared" si="120"/>
        <v>12334.61</v>
      </c>
      <c r="AF137" s="1243">
        <f t="shared" si="160"/>
        <v>0</v>
      </c>
      <c r="AG137" s="1243">
        <f>+AG122+AG126+AG130+AG134+AG136+AG132+AG129</f>
        <v>0</v>
      </c>
      <c r="AH137" s="1243">
        <f t="shared" si="160"/>
        <v>0</v>
      </c>
      <c r="AI137" s="1243">
        <f t="shared" si="145"/>
        <v>12334.61</v>
      </c>
      <c r="AJ137" s="1243">
        <f t="shared" si="160"/>
        <v>0</v>
      </c>
      <c r="AK137" s="1243">
        <f>+AK122+AK126+AK130+AK134+AK136+AK132+AK129</f>
        <v>1527.18</v>
      </c>
      <c r="AL137" s="1243">
        <f t="shared" si="160"/>
        <v>0</v>
      </c>
      <c r="AM137" s="1243">
        <f t="shared" ref="AM137:BE137" si="163">+AM122+AM126+AM130+AM134+AM136+AM132+AM129</f>
        <v>1527.18</v>
      </c>
      <c r="AN137" s="1243">
        <f t="shared" si="163"/>
        <v>0</v>
      </c>
      <c r="AO137" s="1243">
        <f t="shared" si="163"/>
        <v>13861.79</v>
      </c>
      <c r="AP137" s="1243">
        <f t="shared" ref="AP137" si="164">+AP122+AP126+AP130+AP134+AP136+AP132</f>
        <v>0</v>
      </c>
      <c r="AQ137" s="1243">
        <f>+AQ122+AQ126+AQ130+AQ134+AQ136+AQ132+AQ129</f>
        <v>34.56</v>
      </c>
      <c r="AR137" s="1243">
        <f t="shared" si="163"/>
        <v>0</v>
      </c>
      <c r="AS137" s="1243">
        <f t="shared" si="163"/>
        <v>13864.65</v>
      </c>
      <c r="AT137" s="1243">
        <f t="shared" si="163"/>
        <v>0</v>
      </c>
      <c r="AU137" s="1243">
        <f>+AU122+AU126+AU130+AU134+AU136+AU132+AU129</f>
        <v>928.51</v>
      </c>
      <c r="AV137" s="1243">
        <f t="shared" si="163"/>
        <v>0</v>
      </c>
      <c r="AW137" s="1243">
        <f t="shared" si="163"/>
        <v>14824.86</v>
      </c>
      <c r="AX137" s="1243">
        <f t="shared" ref="AX137" si="165">+AX122+AX126+AX130+AX134+AX136+AX132+AX129</f>
        <v>0</v>
      </c>
      <c r="AY137" s="1243">
        <f>+AY122+AY126+AY130+AY134+AY136+AY132+AY129</f>
        <v>207.05</v>
      </c>
      <c r="AZ137" s="1243">
        <f t="shared" si="163"/>
        <v>0</v>
      </c>
      <c r="BA137" s="1243">
        <f t="shared" si="163"/>
        <v>1170.1200000000001</v>
      </c>
      <c r="BB137" s="1243">
        <f t="shared" si="163"/>
        <v>0</v>
      </c>
      <c r="BC137" s="1243">
        <f t="shared" si="163"/>
        <v>2697.3</v>
      </c>
      <c r="BD137" s="1243">
        <f t="shared" si="163"/>
        <v>0</v>
      </c>
      <c r="BE137" s="1243">
        <f t="shared" si="163"/>
        <v>15031.91</v>
      </c>
      <c r="BH137" s="23"/>
      <c r="BI137" s="23"/>
    </row>
    <row r="138" spans="1:61" ht="14.4" x14ac:dyDescent="0.3">
      <c r="M138"/>
      <c r="O138"/>
      <c r="Y138"/>
      <c r="AW138"/>
    </row>
    <row r="139" spans="1:61" ht="14.4" x14ac:dyDescent="0.3">
      <c r="M139"/>
      <c r="O139"/>
      <c r="Y139"/>
      <c r="AW139"/>
    </row>
    <row r="140" spans="1:61" ht="15" thickBot="1" x14ac:dyDescent="0.35">
      <c r="M140"/>
      <c r="O140"/>
      <c r="Y140"/>
      <c r="AW140"/>
    </row>
    <row r="141" spans="1:61" ht="25.2" thickBot="1" x14ac:dyDescent="0.35">
      <c r="B141" s="5948" t="s">
        <v>1061</v>
      </c>
      <c r="C141" s="5949"/>
      <c r="D141" s="5430"/>
      <c r="E141" s="1015"/>
      <c r="F141" s="5430"/>
      <c r="G141" s="1015"/>
      <c r="H141" s="2944"/>
      <c r="I141" s="2945"/>
      <c r="J141" s="5431"/>
      <c r="K141" s="1015"/>
      <c r="L141" s="5430"/>
      <c r="M141" s="5432"/>
      <c r="N141" s="5430"/>
      <c r="O141" s="5001"/>
      <c r="P141" s="5430"/>
      <c r="Q141" s="5433"/>
      <c r="R141" s="5430"/>
      <c r="S141" s="1015"/>
      <c r="T141" s="1015"/>
      <c r="U141" s="2945"/>
      <c r="V141" s="5430"/>
      <c r="W141" s="1015"/>
      <c r="X141" s="5430"/>
      <c r="Y141" s="5432"/>
      <c r="Z141" s="5434"/>
      <c r="AA141" s="5434"/>
      <c r="AB141" s="5430"/>
      <c r="AC141" s="1015"/>
      <c r="AD141" s="1015"/>
      <c r="AE141" s="1015"/>
      <c r="AF141" s="5430"/>
      <c r="AG141" s="1015"/>
      <c r="AH141" s="1015"/>
      <c r="AI141" s="1015"/>
      <c r="AJ141" s="5430"/>
      <c r="AK141" s="1015"/>
      <c r="AL141" s="5430"/>
      <c r="AM141" s="5432"/>
      <c r="AN141" s="1015"/>
      <c r="AO141" s="1015"/>
      <c r="AP141" s="5430"/>
      <c r="AQ141" s="1015"/>
      <c r="AR141" s="1015"/>
      <c r="AS141" s="1015"/>
      <c r="AT141" s="5430"/>
      <c r="AU141" s="1015"/>
      <c r="AV141" s="1015"/>
      <c r="AW141" s="1015"/>
      <c r="AX141" s="5430"/>
      <c r="AY141" s="1015"/>
      <c r="AZ141" s="5434"/>
      <c r="BA141" s="5432"/>
      <c r="BB141" s="5434"/>
      <c r="BC141" s="5434"/>
      <c r="BD141" s="5434"/>
      <c r="BE141" s="5435"/>
      <c r="BH141" s="23"/>
      <c r="BI141" s="23"/>
    </row>
    <row r="142" spans="1:61" ht="22.8" x14ac:dyDescent="0.3">
      <c r="B142" s="5398" t="s">
        <v>654</v>
      </c>
      <c r="C142" s="339"/>
      <c r="D142" s="5399"/>
      <c r="E142" s="5399"/>
      <c r="F142" s="5399"/>
      <c r="G142" s="5399"/>
      <c r="H142" s="5400"/>
      <c r="I142" s="5401"/>
      <c r="J142" s="5402"/>
      <c r="K142" s="5399"/>
      <c r="L142" s="5399"/>
      <c r="M142" s="5403"/>
      <c r="N142" s="5399"/>
      <c r="O142" s="5399"/>
      <c r="P142" s="5399"/>
      <c r="Q142" s="2361">
        <f t="shared" si="154"/>
        <v>0</v>
      </c>
      <c r="R142" s="5399"/>
      <c r="S142" s="5399"/>
      <c r="T142" s="5059"/>
      <c r="U142" s="5401"/>
      <c r="V142" s="5399"/>
      <c r="W142" s="5399"/>
      <c r="X142" s="5399"/>
      <c r="Y142" s="5403"/>
      <c r="Z142" s="5399"/>
      <c r="AA142" s="5105"/>
      <c r="AB142" s="5399"/>
      <c r="AC142" s="5399"/>
      <c r="AD142" s="5059"/>
      <c r="AE142" s="5059"/>
      <c r="AF142" s="5399"/>
      <c r="AG142" s="5399"/>
      <c r="AH142" s="5059"/>
      <c r="AI142" s="5059"/>
      <c r="AJ142" s="5399"/>
      <c r="AK142" s="5399"/>
      <c r="AL142" s="5399"/>
      <c r="AM142" s="5403"/>
      <c r="AN142" s="5059"/>
      <c r="AO142" s="5059"/>
      <c r="AP142" s="5399"/>
      <c r="AQ142" s="5399"/>
      <c r="AR142" s="5059"/>
      <c r="AS142" s="5059"/>
      <c r="AT142" s="5399"/>
      <c r="AU142" s="5399"/>
      <c r="AV142" s="5059"/>
      <c r="AW142" s="5059"/>
      <c r="AX142" s="5399"/>
      <c r="AY142" s="5399"/>
      <c r="AZ142" s="5399"/>
      <c r="BA142" s="5403">
        <f t="shared" si="72"/>
        <v>0</v>
      </c>
      <c r="BB142" s="5399"/>
      <c r="BC142" s="5105"/>
      <c r="BD142" s="5059"/>
      <c r="BE142" s="5335"/>
      <c r="BH142" s="23"/>
      <c r="BI142" s="23"/>
    </row>
    <row r="143" spans="1:61" ht="18.75" hidden="1" customHeight="1" x14ac:dyDescent="0.3">
      <c r="B143" s="4841" t="s">
        <v>1249</v>
      </c>
      <c r="C143" s="4932" t="s">
        <v>351</v>
      </c>
      <c r="D143" s="5184"/>
      <c r="E143" s="5184"/>
      <c r="F143" s="5184"/>
      <c r="G143" s="5184"/>
      <c r="H143" s="5185"/>
      <c r="I143" s="4843">
        <f t="shared" si="117"/>
        <v>0</v>
      </c>
      <c r="J143" s="4844"/>
      <c r="K143" s="5184"/>
      <c r="L143" s="5184"/>
      <c r="M143" s="5296">
        <f t="shared" ref="M143:M178" si="166">+E143+G143+K143</f>
        <v>0</v>
      </c>
      <c r="N143" s="5184"/>
      <c r="O143" s="5184"/>
      <c r="P143" s="5184"/>
      <c r="Q143" s="4965">
        <f t="shared" si="154"/>
        <v>0</v>
      </c>
      <c r="R143" s="5184"/>
      <c r="S143" s="5184"/>
      <c r="T143" s="5399"/>
      <c r="U143" s="4843">
        <f t="shared" si="119"/>
        <v>0</v>
      </c>
      <c r="V143" s="5184"/>
      <c r="W143" s="5184"/>
      <c r="X143" s="5184"/>
      <c r="Y143" s="5296">
        <f t="shared" si="73"/>
        <v>0</v>
      </c>
      <c r="Z143" s="5184"/>
      <c r="AA143" s="5105">
        <f t="shared" si="70"/>
        <v>0</v>
      </c>
      <c r="AB143" s="5184"/>
      <c r="AC143" s="5184"/>
      <c r="AD143" s="5399"/>
      <c r="AE143" s="5062">
        <f t="shared" ref="AE143:AE164" si="167">+AA143+AC143</f>
        <v>0</v>
      </c>
      <c r="AF143" s="5184"/>
      <c r="AG143" s="5184"/>
      <c r="AH143" s="5399"/>
      <c r="AI143" s="5062">
        <f t="shared" ref="AI143:AI179" si="168">+AE143+AG143</f>
        <v>0</v>
      </c>
      <c r="AJ143" s="5184"/>
      <c r="AK143" s="5184"/>
      <c r="AL143" s="5184"/>
      <c r="AM143" s="5296">
        <f t="shared" si="79"/>
        <v>0</v>
      </c>
      <c r="AN143" s="5399"/>
      <c r="AO143" s="5062">
        <f t="shared" si="99"/>
        <v>0</v>
      </c>
      <c r="AP143" s="5184"/>
      <c r="AQ143" s="5184"/>
      <c r="AR143" s="5399"/>
      <c r="AS143" s="5062">
        <f t="shared" ref="AS143:AS167" si="169">+AO143+AQ143</f>
        <v>0</v>
      </c>
      <c r="AT143" s="5184"/>
      <c r="AU143" s="5184"/>
      <c r="AV143" s="5399"/>
      <c r="AW143" s="5062">
        <f t="shared" ref="AW143:AW178" si="170">+AS143+AU143</f>
        <v>0</v>
      </c>
      <c r="AX143" s="5184"/>
      <c r="AY143" s="5184"/>
      <c r="AZ143" s="5184"/>
      <c r="BA143" s="5296">
        <f t="shared" si="72"/>
        <v>0</v>
      </c>
      <c r="BB143" s="5184"/>
      <c r="BC143" s="5105">
        <f t="shared" si="74"/>
        <v>0</v>
      </c>
      <c r="BD143" s="5399"/>
      <c r="BE143" s="4406">
        <f t="shared" ref="BE143:BE155" si="171">+AW143+AY143</f>
        <v>0</v>
      </c>
      <c r="BH143" s="23"/>
      <c r="BI143" s="23"/>
    </row>
    <row r="144" spans="1:61" ht="15.75" hidden="1" customHeight="1" x14ac:dyDescent="0.3">
      <c r="B144" s="4841" t="s">
        <v>1320</v>
      </c>
      <c r="C144" s="4932" t="s">
        <v>351</v>
      </c>
      <c r="D144" s="5184"/>
      <c r="E144" s="5184"/>
      <c r="F144" s="5184"/>
      <c r="G144" s="5184"/>
      <c r="H144" s="5185"/>
      <c r="I144" s="4843">
        <f t="shared" si="117"/>
        <v>0</v>
      </c>
      <c r="J144" s="4844"/>
      <c r="K144" s="5184"/>
      <c r="L144" s="5184"/>
      <c r="M144" s="5296">
        <f t="shared" si="166"/>
        <v>0</v>
      </c>
      <c r="N144" s="5184"/>
      <c r="O144" s="5184"/>
      <c r="P144" s="5184"/>
      <c r="Q144" s="4965">
        <f t="shared" si="154"/>
        <v>0</v>
      </c>
      <c r="R144" s="5184"/>
      <c r="S144" s="5184"/>
      <c r="T144" s="5184"/>
      <c r="U144" s="4843">
        <f t="shared" si="119"/>
        <v>0</v>
      </c>
      <c r="V144" s="5184"/>
      <c r="W144" s="5184"/>
      <c r="X144" s="5184"/>
      <c r="Y144" s="5296">
        <f t="shared" ref="Y144:Y200" si="172">+O144+S144+W144</f>
        <v>0</v>
      </c>
      <c r="Z144" s="5184"/>
      <c r="AA144" s="5105">
        <f t="shared" ref="AA144:AA200" si="173">M144+Y144</f>
        <v>0</v>
      </c>
      <c r="AB144" s="5184"/>
      <c r="AC144" s="5184"/>
      <c r="AD144" s="5184"/>
      <c r="AE144" s="5062">
        <f t="shared" si="167"/>
        <v>0</v>
      </c>
      <c r="AF144" s="5184"/>
      <c r="AG144" s="5184"/>
      <c r="AH144" s="5184"/>
      <c r="AI144" s="5062">
        <f t="shared" si="168"/>
        <v>0</v>
      </c>
      <c r="AJ144" s="5184"/>
      <c r="AK144" s="5184"/>
      <c r="AL144" s="5184"/>
      <c r="AM144" s="5296">
        <f t="shared" ref="AM144:AM183" si="174">+AC144+AG144+AK144</f>
        <v>0</v>
      </c>
      <c r="AN144" s="5184"/>
      <c r="AO144" s="5062">
        <f t="shared" si="99"/>
        <v>0</v>
      </c>
      <c r="AP144" s="5184"/>
      <c r="AQ144" s="5184"/>
      <c r="AR144" s="5184"/>
      <c r="AS144" s="5062">
        <f t="shared" si="169"/>
        <v>0</v>
      </c>
      <c r="AT144" s="5184"/>
      <c r="AU144" s="5184"/>
      <c r="AV144" s="5184"/>
      <c r="AW144" s="5062">
        <f t="shared" si="170"/>
        <v>0</v>
      </c>
      <c r="AX144" s="5184"/>
      <c r="AY144" s="5184"/>
      <c r="AZ144" s="5184"/>
      <c r="BA144" s="5296">
        <f t="shared" ref="BA144:BA183" si="175">+AQ144+AU144+AY144</f>
        <v>0</v>
      </c>
      <c r="BB144" s="5184"/>
      <c r="BC144" s="5105">
        <f t="shared" si="74"/>
        <v>0</v>
      </c>
      <c r="BD144" s="5184"/>
      <c r="BE144" s="4406">
        <f t="shared" si="171"/>
        <v>0</v>
      </c>
      <c r="BH144" s="23"/>
      <c r="BI144" s="23"/>
    </row>
    <row r="145" spans="2:61" ht="15.75" hidden="1" customHeight="1" x14ac:dyDescent="0.3">
      <c r="B145" s="4841" t="s">
        <v>1366</v>
      </c>
      <c r="C145" s="4932" t="s">
        <v>351</v>
      </c>
      <c r="D145" s="5184"/>
      <c r="E145" s="5184"/>
      <c r="F145" s="5184"/>
      <c r="G145" s="5184"/>
      <c r="H145" s="5185"/>
      <c r="I145" s="4843">
        <f t="shared" si="117"/>
        <v>0</v>
      </c>
      <c r="J145" s="4844"/>
      <c r="K145" s="5184"/>
      <c r="L145" s="5184"/>
      <c r="M145" s="5296">
        <f t="shared" si="166"/>
        <v>0</v>
      </c>
      <c r="N145" s="5184"/>
      <c r="O145" s="5184"/>
      <c r="P145" s="5184"/>
      <c r="Q145" s="4965">
        <f t="shared" si="154"/>
        <v>0</v>
      </c>
      <c r="R145" s="5184"/>
      <c r="S145" s="5184"/>
      <c r="T145" s="5184"/>
      <c r="U145" s="4843">
        <f t="shared" si="119"/>
        <v>0</v>
      </c>
      <c r="V145" s="5184"/>
      <c r="W145" s="5184"/>
      <c r="X145" s="5184"/>
      <c r="Y145" s="5296">
        <f t="shared" si="172"/>
        <v>0</v>
      </c>
      <c r="Z145" s="5184"/>
      <c r="AA145" s="5105">
        <f t="shared" si="173"/>
        <v>0</v>
      </c>
      <c r="AB145" s="5184"/>
      <c r="AC145" s="5184"/>
      <c r="AD145" s="5184"/>
      <c r="AE145" s="5062">
        <f t="shared" si="167"/>
        <v>0</v>
      </c>
      <c r="AF145" s="5184"/>
      <c r="AG145" s="5184"/>
      <c r="AH145" s="5184"/>
      <c r="AI145" s="5062">
        <f t="shared" si="168"/>
        <v>0</v>
      </c>
      <c r="AJ145" s="5184"/>
      <c r="AK145" s="5184"/>
      <c r="AL145" s="5184"/>
      <c r="AM145" s="5296">
        <f t="shared" si="174"/>
        <v>0</v>
      </c>
      <c r="AN145" s="5184"/>
      <c r="AO145" s="5062">
        <f t="shared" si="99"/>
        <v>0</v>
      </c>
      <c r="AP145" s="5184"/>
      <c r="AQ145" s="5184"/>
      <c r="AR145" s="5184"/>
      <c r="AS145" s="5062">
        <f t="shared" si="169"/>
        <v>0</v>
      </c>
      <c r="AT145" s="5184"/>
      <c r="AU145" s="5184"/>
      <c r="AV145" s="5184"/>
      <c r="AW145" s="5062">
        <f t="shared" si="170"/>
        <v>0</v>
      </c>
      <c r="AX145" s="5184"/>
      <c r="AY145" s="5184"/>
      <c r="AZ145" s="5184"/>
      <c r="BA145" s="5296">
        <f t="shared" si="175"/>
        <v>0</v>
      </c>
      <c r="BB145" s="5184"/>
      <c r="BC145" s="5105">
        <f t="shared" ref="BC145:BC183" si="176">BA145+AM145</f>
        <v>0</v>
      </c>
      <c r="BD145" s="5184"/>
      <c r="BE145" s="4406">
        <f t="shared" si="171"/>
        <v>0</v>
      </c>
      <c r="BH145" s="23"/>
      <c r="BI145" s="23"/>
    </row>
    <row r="146" spans="2:61" hidden="1" x14ac:dyDescent="0.3">
      <c r="B146" s="4841" t="s">
        <v>1367</v>
      </c>
      <c r="C146" s="4932" t="s">
        <v>351</v>
      </c>
      <c r="D146" s="5184"/>
      <c r="E146" s="5184"/>
      <c r="F146" s="5184"/>
      <c r="G146" s="5184"/>
      <c r="H146" s="5185"/>
      <c r="I146" s="4843">
        <f t="shared" si="117"/>
        <v>0</v>
      </c>
      <c r="J146" s="4844"/>
      <c r="K146" s="5184"/>
      <c r="L146" s="5184"/>
      <c r="M146" s="5296">
        <f t="shared" si="166"/>
        <v>0</v>
      </c>
      <c r="N146" s="5184"/>
      <c r="O146" s="5184"/>
      <c r="P146" s="5184"/>
      <c r="Q146" s="4965">
        <f t="shared" si="154"/>
        <v>0</v>
      </c>
      <c r="R146" s="5184"/>
      <c r="S146" s="5184"/>
      <c r="T146" s="5184"/>
      <c r="U146" s="4843">
        <f t="shared" si="119"/>
        <v>0</v>
      </c>
      <c r="V146" s="5184"/>
      <c r="W146" s="5184"/>
      <c r="X146" s="5184"/>
      <c r="Y146" s="5296">
        <f t="shared" si="172"/>
        <v>0</v>
      </c>
      <c r="Z146" s="5184"/>
      <c r="AA146" s="5105">
        <f t="shared" si="173"/>
        <v>0</v>
      </c>
      <c r="AB146" s="5184"/>
      <c r="AC146" s="5184"/>
      <c r="AD146" s="5184"/>
      <c r="AE146" s="5062">
        <f t="shared" si="167"/>
        <v>0</v>
      </c>
      <c r="AF146" s="5184"/>
      <c r="AG146" s="5184"/>
      <c r="AH146" s="5184"/>
      <c r="AI146" s="5062">
        <f t="shared" si="168"/>
        <v>0</v>
      </c>
      <c r="AJ146" s="5184"/>
      <c r="AK146" s="5184"/>
      <c r="AL146" s="5184"/>
      <c r="AM146" s="5296">
        <f t="shared" si="174"/>
        <v>0</v>
      </c>
      <c r="AN146" s="5184"/>
      <c r="AO146" s="5062">
        <f t="shared" si="99"/>
        <v>0</v>
      </c>
      <c r="AP146" s="5184"/>
      <c r="AQ146" s="5184"/>
      <c r="AR146" s="5184"/>
      <c r="AS146" s="5062">
        <f t="shared" si="169"/>
        <v>0</v>
      </c>
      <c r="AT146" s="5184"/>
      <c r="AU146" s="5184"/>
      <c r="AV146" s="5184"/>
      <c r="AW146" s="5062">
        <f t="shared" si="170"/>
        <v>0</v>
      </c>
      <c r="AX146" s="5184"/>
      <c r="AY146" s="5184"/>
      <c r="AZ146" s="5184"/>
      <c r="BA146" s="5296">
        <f t="shared" si="175"/>
        <v>0</v>
      </c>
      <c r="BB146" s="5184"/>
      <c r="BC146" s="5105">
        <f t="shared" si="176"/>
        <v>0</v>
      </c>
      <c r="BD146" s="5184"/>
      <c r="BE146" s="4406">
        <f t="shared" si="171"/>
        <v>0</v>
      </c>
      <c r="BH146" s="23"/>
      <c r="BI146" s="23"/>
    </row>
    <row r="147" spans="2:61" ht="15.75" hidden="1" customHeight="1" x14ac:dyDescent="0.3">
      <c r="B147" s="4841" t="s">
        <v>2074</v>
      </c>
      <c r="C147" s="4932" t="s">
        <v>351</v>
      </c>
      <c r="D147" s="5184"/>
      <c r="E147" s="5184"/>
      <c r="F147" s="5184"/>
      <c r="G147" s="5184"/>
      <c r="H147" s="5185"/>
      <c r="I147" s="4843">
        <f t="shared" si="117"/>
        <v>0</v>
      </c>
      <c r="J147" s="4844"/>
      <c r="K147" s="5184"/>
      <c r="L147" s="5184"/>
      <c r="M147" s="5296">
        <f t="shared" si="166"/>
        <v>0</v>
      </c>
      <c r="N147" s="5184"/>
      <c r="O147" s="5184"/>
      <c r="P147" s="5184"/>
      <c r="Q147" s="4965">
        <f t="shared" si="154"/>
        <v>0</v>
      </c>
      <c r="R147" s="5184"/>
      <c r="S147" s="5184"/>
      <c r="T147" s="5184"/>
      <c r="U147" s="4843">
        <f t="shared" si="119"/>
        <v>0</v>
      </c>
      <c r="V147" s="5184"/>
      <c r="W147" s="5184"/>
      <c r="X147" s="5184"/>
      <c r="Y147" s="5296">
        <f t="shared" ref="Y147:Y155" si="177">+O147+S147+W147</f>
        <v>0</v>
      </c>
      <c r="Z147" s="5184"/>
      <c r="AA147" s="5105">
        <f t="shared" ref="AA147:AA155" si="178">M147+Y147</f>
        <v>0</v>
      </c>
      <c r="AB147" s="5184"/>
      <c r="AC147" s="5184"/>
      <c r="AD147" s="5184"/>
      <c r="AE147" s="5062">
        <f t="shared" si="167"/>
        <v>0</v>
      </c>
      <c r="AF147" s="5184"/>
      <c r="AG147" s="5184">
        <v>1</v>
      </c>
      <c r="AH147" s="5184"/>
      <c r="AI147" s="5062">
        <f t="shared" si="168"/>
        <v>1</v>
      </c>
      <c r="AJ147" s="5184"/>
      <c r="AK147" s="5184"/>
      <c r="AL147" s="5184"/>
      <c r="AM147" s="5296">
        <f t="shared" si="174"/>
        <v>1</v>
      </c>
      <c r="AN147" s="5184"/>
      <c r="AO147" s="5062">
        <f t="shared" si="99"/>
        <v>1</v>
      </c>
      <c r="AP147" s="5184"/>
      <c r="AQ147" s="5184"/>
      <c r="AR147" s="5184"/>
      <c r="AS147" s="5062">
        <f t="shared" si="169"/>
        <v>1</v>
      </c>
      <c r="AT147" s="5184"/>
      <c r="AU147" s="5184"/>
      <c r="AV147" s="5184"/>
      <c r="AW147" s="5062">
        <f t="shared" si="170"/>
        <v>1</v>
      </c>
      <c r="AX147" s="5184"/>
      <c r="AY147" s="5184"/>
      <c r="AZ147" s="5184"/>
      <c r="BA147" s="5296">
        <f t="shared" si="175"/>
        <v>0</v>
      </c>
      <c r="BB147" s="5184"/>
      <c r="BC147" s="5105">
        <f t="shared" si="176"/>
        <v>1</v>
      </c>
      <c r="BD147" s="5184"/>
      <c r="BE147" s="4406">
        <f t="shared" si="171"/>
        <v>1</v>
      </c>
      <c r="BH147" s="23"/>
      <c r="BI147" s="23"/>
    </row>
    <row r="148" spans="2:61" ht="15.75" hidden="1" customHeight="1" x14ac:dyDescent="0.3">
      <c r="B148" s="4841" t="s">
        <v>1400</v>
      </c>
      <c r="C148" s="4932" t="s">
        <v>351</v>
      </c>
      <c r="D148" s="5184"/>
      <c r="E148" s="5184"/>
      <c r="F148" s="5184"/>
      <c r="G148" s="5184"/>
      <c r="H148" s="5185"/>
      <c r="I148" s="4843">
        <f t="shared" si="117"/>
        <v>0</v>
      </c>
      <c r="J148" s="4844"/>
      <c r="K148" s="5184"/>
      <c r="L148" s="5184"/>
      <c r="M148" s="5296">
        <f t="shared" si="166"/>
        <v>0</v>
      </c>
      <c r="N148" s="5184"/>
      <c r="O148" s="5184"/>
      <c r="P148" s="5184"/>
      <c r="Q148" s="4965">
        <f t="shared" si="154"/>
        <v>0</v>
      </c>
      <c r="R148" s="5184"/>
      <c r="S148" s="5184"/>
      <c r="T148" s="5184"/>
      <c r="U148" s="4843">
        <f t="shared" si="119"/>
        <v>0</v>
      </c>
      <c r="V148" s="5184"/>
      <c r="W148" s="5184"/>
      <c r="X148" s="5184"/>
      <c r="Y148" s="5296">
        <f t="shared" si="177"/>
        <v>0</v>
      </c>
      <c r="Z148" s="5184"/>
      <c r="AA148" s="5105">
        <f t="shared" si="178"/>
        <v>0</v>
      </c>
      <c r="AB148" s="5184"/>
      <c r="AC148" s="5184"/>
      <c r="AD148" s="5184"/>
      <c r="AE148" s="5062">
        <f t="shared" si="167"/>
        <v>0</v>
      </c>
      <c r="AF148" s="5184"/>
      <c r="AG148" s="5184"/>
      <c r="AH148" s="5184"/>
      <c r="AI148" s="5062">
        <f t="shared" si="168"/>
        <v>0</v>
      </c>
      <c r="AJ148" s="5184"/>
      <c r="AK148" s="5184"/>
      <c r="AL148" s="5184"/>
      <c r="AM148" s="5296">
        <f t="shared" ref="AM148:AM165" si="179">+AC148+AG148+AK148</f>
        <v>0</v>
      </c>
      <c r="AN148" s="5184"/>
      <c r="AO148" s="5062">
        <f t="shared" ref="AO148:AO165" si="180">AI148+AK148</f>
        <v>0</v>
      </c>
      <c r="AP148" s="5184"/>
      <c r="AQ148" s="5184"/>
      <c r="AR148" s="5184"/>
      <c r="AS148" s="5062">
        <f t="shared" si="169"/>
        <v>0</v>
      </c>
      <c r="AT148" s="5184"/>
      <c r="AU148" s="5184"/>
      <c r="AV148" s="5184"/>
      <c r="AW148" s="5062">
        <f t="shared" si="170"/>
        <v>0</v>
      </c>
      <c r="AX148" s="5184"/>
      <c r="AY148" s="5184"/>
      <c r="AZ148" s="5184"/>
      <c r="BA148" s="5296">
        <f t="shared" si="175"/>
        <v>0</v>
      </c>
      <c r="BB148" s="5184"/>
      <c r="BC148" s="5105">
        <f t="shared" si="176"/>
        <v>0</v>
      </c>
      <c r="BD148" s="5184"/>
      <c r="BE148" s="4406">
        <f t="shared" si="171"/>
        <v>0</v>
      </c>
      <c r="BH148" s="23"/>
      <c r="BI148" s="23"/>
    </row>
    <row r="149" spans="2:61" ht="15.75" hidden="1" customHeight="1" x14ac:dyDescent="0.3">
      <c r="B149" s="4841" t="s">
        <v>1402</v>
      </c>
      <c r="C149" s="4932" t="s">
        <v>351</v>
      </c>
      <c r="D149" s="5184"/>
      <c r="E149" s="5184"/>
      <c r="F149" s="5184"/>
      <c r="G149" s="5184"/>
      <c r="H149" s="5185"/>
      <c r="I149" s="4843">
        <f t="shared" si="117"/>
        <v>0</v>
      </c>
      <c r="J149" s="4844"/>
      <c r="K149" s="5184"/>
      <c r="L149" s="5184"/>
      <c r="M149" s="5296">
        <f t="shared" si="166"/>
        <v>0</v>
      </c>
      <c r="N149" s="5184"/>
      <c r="O149" s="5184"/>
      <c r="P149" s="5184"/>
      <c r="Q149" s="4965">
        <f t="shared" si="154"/>
        <v>0</v>
      </c>
      <c r="R149" s="5184"/>
      <c r="S149" s="5184"/>
      <c r="T149" s="5184"/>
      <c r="U149" s="4843">
        <f t="shared" si="119"/>
        <v>0</v>
      </c>
      <c r="V149" s="5184"/>
      <c r="W149" s="5184"/>
      <c r="X149" s="5184"/>
      <c r="Y149" s="5296">
        <f t="shared" si="177"/>
        <v>0</v>
      </c>
      <c r="Z149" s="5184"/>
      <c r="AA149" s="5105">
        <f t="shared" si="178"/>
        <v>0</v>
      </c>
      <c r="AB149" s="5184"/>
      <c r="AC149" s="5184"/>
      <c r="AD149" s="5184"/>
      <c r="AE149" s="5062">
        <f t="shared" si="167"/>
        <v>0</v>
      </c>
      <c r="AF149" s="5184"/>
      <c r="AG149" s="5184">
        <v>3.29</v>
      </c>
      <c r="AH149" s="5184"/>
      <c r="AI149" s="5062">
        <f t="shared" si="168"/>
        <v>3.29</v>
      </c>
      <c r="AJ149" s="5184"/>
      <c r="AK149" s="5184"/>
      <c r="AL149" s="5184"/>
      <c r="AM149" s="5296">
        <f t="shared" si="179"/>
        <v>3.29</v>
      </c>
      <c r="AN149" s="5184"/>
      <c r="AO149" s="5062">
        <f t="shared" si="180"/>
        <v>3.29</v>
      </c>
      <c r="AP149" s="5184"/>
      <c r="AQ149" s="5184"/>
      <c r="AR149" s="5184"/>
      <c r="AS149" s="5062">
        <f t="shared" si="169"/>
        <v>3.29</v>
      </c>
      <c r="AT149" s="5184"/>
      <c r="AU149" s="5184"/>
      <c r="AV149" s="5184"/>
      <c r="AW149" s="5062">
        <f t="shared" si="170"/>
        <v>3.29</v>
      </c>
      <c r="AX149" s="5184"/>
      <c r="AY149" s="5184"/>
      <c r="AZ149" s="5184"/>
      <c r="BA149" s="5296">
        <f t="shared" si="175"/>
        <v>0</v>
      </c>
      <c r="BB149" s="5184"/>
      <c r="BC149" s="5105">
        <f t="shared" si="176"/>
        <v>3.29</v>
      </c>
      <c r="BD149" s="5184"/>
      <c r="BE149" s="4406">
        <f t="shared" si="171"/>
        <v>3.29</v>
      </c>
      <c r="BH149" s="23"/>
      <c r="BI149" s="23"/>
    </row>
    <row r="150" spans="2:61" ht="15.75" hidden="1" customHeight="1" x14ac:dyDescent="0.3">
      <c r="B150" s="4841" t="s">
        <v>1445</v>
      </c>
      <c r="C150" s="4932" t="s">
        <v>351</v>
      </c>
      <c r="D150" s="5184"/>
      <c r="E150" s="5184"/>
      <c r="F150" s="5184"/>
      <c r="G150" s="5184"/>
      <c r="H150" s="5185"/>
      <c r="I150" s="4843">
        <f t="shared" si="117"/>
        <v>0</v>
      </c>
      <c r="J150" s="4844"/>
      <c r="K150" s="5184"/>
      <c r="L150" s="5184"/>
      <c r="M150" s="5296">
        <f t="shared" si="166"/>
        <v>0</v>
      </c>
      <c r="N150" s="5184"/>
      <c r="O150" s="5184"/>
      <c r="P150" s="5184"/>
      <c r="Q150" s="4965">
        <f t="shared" si="154"/>
        <v>0</v>
      </c>
      <c r="R150" s="5184"/>
      <c r="S150" s="5184"/>
      <c r="T150" s="5184"/>
      <c r="U150" s="4843">
        <f t="shared" si="119"/>
        <v>0</v>
      </c>
      <c r="V150" s="5184"/>
      <c r="W150" s="5184"/>
      <c r="X150" s="5184"/>
      <c r="Y150" s="5296">
        <f t="shared" si="177"/>
        <v>0</v>
      </c>
      <c r="Z150" s="5184"/>
      <c r="AA150" s="5105">
        <f t="shared" si="178"/>
        <v>0</v>
      </c>
      <c r="AB150" s="5184"/>
      <c r="AC150" s="5184"/>
      <c r="AD150" s="5184"/>
      <c r="AE150" s="5062">
        <f t="shared" si="167"/>
        <v>0</v>
      </c>
      <c r="AF150" s="5184"/>
      <c r="AG150" s="5184"/>
      <c r="AH150" s="5184"/>
      <c r="AI150" s="5062">
        <f t="shared" si="168"/>
        <v>0</v>
      </c>
      <c r="AJ150" s="5184"/>
      <c r="AK150" s="5184"/>
      <c r="AL150" s="5184"/>
      <c r="AM150" s="5296">
        <f t="shared" si="179"/>
        <v>0</v>
      </c>
      <c r="AN150" s="5184"/>
      <c r="AO150" s="5062">
        <f t="shared" si="180"/>
        <v>0</v>
      </c>
      <c r="AP150" s="5184"/>
      <c r="AQ150" s="5184"/>
      <c r="AR150" s="5184"/>
      <c r="AS150" s="5062">
        <f t="shared" si="169"/>
        <v>0</v>
      </c>
      <c r="AT150" s="5184"/>
      <c r="AU150" s="5184"/>
      <c r="AV150" s="5184"/>
      <c r="AW150" s="5062">
        <f t="shared" si="170"/>
        <v>0</v>
      </c>
      <c r="AX150" s="5184"/>
      <c r="AY150" s="5184">
        <v>16</v>
      </c>
      <c r="AZ150" s="5184"/>
      <c r="BA150" s="5296">
        <f t="shared" si="175"/>
        <v>16</v>
      </c>
      <c r="BB150" s="5184"/>
      <c r="BC150" s="5105">
        <f t="shared" si="176"/>
        <v>16</v>
      </c>
      <c r="BD150" s="5184"/>
      <c r="BE150" s="4406">
        <f t="shared" si="171"/>
        <v>16</v>
      </c>
      <c r="BH150" s="23"/>
      <c r="BI150" s="23"/>
    </row>
    <row r="151" spans="2:61" ht="15.75" hidden="1" customHeight="1" x14ac:dyDescent="0.3">
      <c r="B151" s="4841" t="s">
        <v>2108</v>
      </c>
      <c r="C151" s="4932" t="s">
        <v>351</v>
      </c>
      <c r="D151" s="5184"/>
      <c r="E151" s="5184"/>
      <c r="F151" s="5184"/>
      <c r="G151" s="5184"/>
      <c r="H151" s="5185"/>
      <c r="I151" s="4843"/>
      <c r="J151" s="4844"/>
      <c r="K151" s="5184"/>
      <c r="L151" s="5184"/>
      <c r="M151" s="5296"/>
      <c r="N151" s="5184"/>
      <c r="O151" s="5184"/>
      <c r="P151" s="5184"/>
      <c r="Q151" s="4965"/>
      <c r="R151" s="5184"/>
      <c r="S151" s="5184"/>
      <c r="T151" s="5184"/>
      <c r="U151" s="4843"/>
      <c r="V151" s="5184"/>
      <c r="W151" s="5184"/>
      <c r="X151" s="5184"/>
      <c r="Y151" s="5296"/>
      <c r="Z151" s="5184"/>
      <c r="AA151" s="5105"/>
      <c r="AB151" s="5184"/>
      <c r="AC151" s="5184"/>
      <c r="AD151" s="5184"/>
      <c r="AE151" s="5062"/>
      <c r="AF151" s="5184"/>
      <c r="AG151" s="5184"/>
      <c r="AH151" s="5184"/>
      <c r="AI151" s="5062"/>
      <c r="AJ151" s="5184"/>
      <c r="AK151" s="5184"/>
      <c r="AL151" s="5184"/>
      <c r="AM151" s="5296"/>
      <c r="AN151" s="5184"/>
      <c r="AO151" s="5062"/>
      <c r="AP151" s="5184"/>
      <c r="AQ151" s="5184">
        <v>58.4</v>
      </c>
      <c r="AR151" s="5184"/>
      <c r="AS151" s="5062">
        <f t="shared" si="169"/>
        <v>58.4</v>
      </c>
      <c r="AT151" s="5184"/>
      <c r="AU151" s="5184">
        <v>40.909999999999997</v>
      </c>
      <c r="AV151" s="5184"/>
      <c r="AW151" s="5062">
        <f t="shared" si="170"/>
        <v>99.31</v>
      </c>
      <c r="AX151" s="5184"/>
      <c r="AY151" s="5184"/>
      <c r="AZ151" s="5184"/>
      <c r="BA151" s="5296">
        <f t="shared" ref="BA151" si="181">+AQ151+AU151+AY151</f>
        <v>99.31</v>
      </c>
      <c r="BB151" s="5184"/>
      <c r="BC151" s="5105">
        <f t="shared" ref="BC151" si="182">BA151+AM151</f>
        <v>99.31</v>
      </c>
      <c r="BD151" s="5184"/>
      <c r="BE151" s="4406">
        <f t="shared" ref="BE151" si="183">+AW151+AY151</f>
        <v>99.31</v>
      </c>
      <c r="BH151" s="23"/>
      <c r="BI151" s="23"/>
    </row>
    <row r="152" spans="2:61" ht="15.75" hidden="1" customHeight="1" x14ac:dyDescent="0.3">
      <c r="B152" s="4841" t="s">
        <v>2142</v>
      </c>
      <c r="C152" s="4932" t="s">
        <v>351</v>
      </c>
      <c r="D152" s="5184"/>
      <c r="E152" s="5184"/>
      <c r="F152" s="5184"/>
      <c r="G152" s="5184"/>
      <c r="H152" s="5185"/>
      <c r="I152" s="4843"/>
      <c r="J152" s="4844"/>
      <c r="K152" s="5184"/>
      <c r="L152" s="5184"/>
      <c r="M152" s="5296"/>
      <c r="N152" s="5184"/>
      <c r="O152" s="5184"/>
      <c r="P152" s="5184"/>
      <c r="Q152" s="4965"/>
      <c r="R152" s="5184"/>
      <c r="S152" s="5184"/>
      <c r="T152" s="5184"/>
      <c r="U152" s="4843"/>
      <c r="V152" s="5184"/>
      <c r="W152" s="5184"/>
      <c r="X152" s="5184"/>
      <c r="Y152" s="5296"/>
      <c r="Z152" s="5184"/>
      <c r="AA152" s="5105"/>
      <c r="AB152" s="5184"/>
      <c r="AC152" s="5184"/>
      <c r="AD152" s="5184"/>
      <c r="AE152" s="5062"/>
      <c r="AF152" s="5184"/>
      <c r="AG152" s="5184"/>
      <c r="AH152" s="5184"/>
      <c r="AI152" s="5062"/>
      <c r="AJ152" s="5184"/>
      <c r="AK152" s="5184"/>
      <c r="AL152" s="5184"/>
      <c r="AM152" s="5296"/>
      <c r="AN152" s="5184"/>
      <c r="AO152" s="5062"/>
      <c r="AP152" s="5184"/>
      <c r="AQ152" s="5184"/>
      <c r="AR152" s="5184"/>
      <c r="AS152" s="5062"/>
      <c r="AT152" s="5184"/>
      <c r="AU152" s="5184">
        <v>13.401999999999999</v>
      </c>
      <c r="AV152" s="5184"/>
      <c r="AW152" s="5062">
        <f t="shared" si="170"/>
        <v>13.401999999999999</v>
      </c>
      <c r="AX152" s="5184"/>
      <c r="AY152" s="5184"/>
      <c r="AZ152" s="5184"/>
      <c r="BA152" s="5296">
        <f t="shared" ref="BA152" si="184">+AQ152+AU152+AY152</f>
        <v>13.401999999999999</v>
      </c>
      <c r="BB152" s="5184"/>
      <c r="BC152" s="5105">
        <f t="shared" ref="BC152" si="185">BA152+AM152</f>
        <v>13.401999999999999</v>
      </c>
      <c r="BD152" s="5184"/>
      <c r="BE152" s="4406">
        <f t="shared" ref="BE152" si="186">+AW152+AY152</f>
        <v>13.401999999999999</v>
      </c>
      <c r="BH152" s="23"/>
      <c r="BI152" s="23"/>
    </row>
    <row r="153" spans="2:61" ht="15.75" hidden="1" customHeight="1" x14ac:dyDescent="0.3">
      <c r="B153" s="4841" t="s">
        <v>2111</v>
      </c>
      <c r="C153" s="4932" t="s">
        <v>351</v>
      </c>
      <c r="D153" s="5184"/>
      <c r="E153" s="5184"/>
      <c r="F153" s="5184"/>
      <c r="G153" s="5184"/>
      <c r="H153" s="5185"/>
      <c r="I153" s="4843"/>
      <c r="J153" s="4844"/>
      <c r="K153" s="5184"/>
      <c r="L153" s="5184"/>
      <c r="M153" s="5296"/>
      <c r="N153" s="5184"/>
      <c r="O153" s="5184"/>
      <c r="P153" s="5184"/>
      <c r="Q153" s="4965"/>
      <c r="R153" s="5184"/>
      <c r="S153" s="5184"/>
      <c r="T153" s="5184"/>
      <c r="U153" s="4843"/>
      <c r="V153" s="5184"/>
      <c r="W153" s="5184"/>
      <c r="X153" s="5184"/>
      <c r="Y153" s="5296"/>
      <c r="Z153" s="5184"/>
      <c r="AA153" s="5105"/>
      <c r="AB153" s="5184"/>
      <c r="AC153" s="5184"/>
      <c r="AD153" s="5184"/>
      <c r="AE153" s="5062"/>
      <c r="AF153" s="5184"/>
      <c r="AG153" s="5184"/>
      <c r="AH153" s="5184"/>
      <c r="AI153" s="5062"/>
      <c r="AJ153" s="5184"/>
      <c r="AK153" s="5184"/>
      <c r="AL153" s="5184"/>
      <c r="AM153" s="5296"/>
      <c r="AN153" s="5184"/>
      <c r="AO153" s="5062"/>
      <c r="AP153" s="5184"/>
      <c r="AQ153" s="5184">
        <v>2900</v>
      </c>
      <c r="AR153" s="5184"/>
      <c r="AS153" s="5062">
        <f t="shared" si="169"/>
        <v>2900</v>
      </c>
      <c r="AT153" s="5184"/>
      <c r="AU153" s="5184"/>
      <c r="AV153" s="5184"/>
      <c r="AW153" s="5062">
        <f t="shared" si="170"/>
        <v>2900</v>
      </c>
      <c r="AX153" s="5184"/>
      <c r="AY153" s="5184"/>
      <c r="AZ153" s="5184"/>
      <c r="BA153" s="5296">
        <f t="shared" ref="BA153" si="187">+AQ153+AU153+AY153</f>
        <v>2900</v>
      </c>
      <c r="BB153" s="5184"/>
      <c r="BC153" s="5105">
        <f t="shared" ref="BC153" si="188">BA153+AM153</f>
        <v>2900</v>
      </c>
      <c r="BD153" s="5184"/>
      <c r="BE153" s="4406">
        <f t="shared" ref="BE153" si="189">+AW153+AY153</f>
        <v>2900</v>
      </c>
      <c r="BH153" s="23"/>
      <c r="BI153" s="23"/>
    </row>
    <row r="154" spans="2:61" hidden="1" x14ac:dyDescent="0.3">
      <c r="B154" s="4841" t="s">
        <v>2110</v>
      </c>
      <c r="C154" s="4932" t="s">
        <v>351</v>
      </c>
      <c r="D154" s="5184"/>
      <c r="E154" s="5184"/>
      <c r="F154" s="5184"/>
      <c r="G154" s="5184"/>
      <c r="H154" s="5185"/>
      <c r="I154" s="4843"/>
      <c r="J154" s="4844"/>
      <c r="K154" s="5184"/>
      <c r="L154" s="5184"/>
      <c r="M154" s="5296"/>
      <c r="N154" s="5184"/>
      <c r="O154" s="5184"/>
      <c r="P154" s="5184"/>
      <c r="Q154" s="4965"/>
      <c r="R154" s="5184"/>
      <c r="S154" s="5184"/>
      <c r="T154" s="5184"/>
      <c r="U154" s="4843"/>
      <c r="V154" s="5184"/>
      <c r="W154" s="5184"/>
      <c r="X154" s="5184"/>
      <c r="Y154" s="5296"/>
      <c r="Z154" s="5184"/>
      <c r="AA154" s="5105"/>
      <c r="AB154" s="5184"/>
      <c r="AC154" s="5184"/>
      <c r="AD154" s="5184"/>
      <c r="AE154" s="5062"/>
      <c r="AF154" s="5184"/>
      <c r="AG154" s="5184"/>
      <c r="AH154" s="5184"/>
      <c r="AI154" s="5062"/>
      <c r="AJ154" s="5184"/>
      <c r="AK154" s="5184"/>
      <c r="AL154" s="5184"/>
      <c r="AM154" s="5296"/>
      <c r="AN154" s="5184"/>
      <c r="AO154" s="5062"/>
      <c r="AP154" s="5184"/>
      <c r="AQ154" s="5184">
        <v>46.86</v>
      </c>
      <c r="AR154" s="5184"/>
      <c r="AS154" s="5062">
        <f t="shared" si="169"/>
        <v>46.86</v>
      </c>
      <c r="AT154" s="5184"/>
      <c r="AU154" s="5184">
        <v>60</v>
      </c>
      <c r="AV154" s="5184"/>
      <c r="AW154" s="5062">
        <f t="shared" si="170"/>
        <v>106.86</v>
      </c>
      <c r="AX154" s="5184"/>
      <c r="AY154" s="5184">
        <v>24.58</v>
      </c>
      <c r="AZ154" s="5184"/>
      <c r="BA154" s="5296">
        <f t="shared" ref="BA154" si="190">+AQ154+AU154+AY154</f>
        <v>131.44</v>
      </c>
      <c r="BB154" s="5184"/>
      <c r="BC154" s="5105">
        <f t="shared" ref="BC154" si="191">BA154+AM154</f>
        <v>131.44</v>
      </c>
      <c r="BD154" s="5184"/>
      <c r="BE154" s="4406">
        <f t="shared" ref="BE154" si="192">+AW154+AY154</f>
        <v>131.44</v>
      </c>
      <c r="BH154" s="23"/>
      <c r="BI154" s="23"/>
    </row>
    <row r="155" spans="2:61" ht="18.75" hidden="1" customHeight="1" x14ac:dyDescent="0.3">
      <c r="B155" s="4841" t="s">
        <v>2037</v>
      </c>
      <c r="C155" s="4932" t="s">
        <v>351</v>
      </c>
      <c r="D155" s="5184"/>
      <c r="E155" s="5184"/>
      <c r="F155" s="5184"/>
      <c r="G155" s="5184"/>
      <c r="H155" s="5185"/>
      <c r="I155" s="4843">
        <f t="shared" si="117"/>
        <v>0</v>
      </c>
      <c r="J155" s="4844"/>
      <c r="K155" s="5184"/>
      <c r="L155" s="5184"/>
      <c r="M155" s="5296">
        <f t="shared" si="166"/>
        <v>0</v>
      </c>
      <c r="N155" s="5184"/>
      <c r="O155" s="5184"/>
      <c r="P155" s="5184"/>
      <c r="Q155" s="4965">
        <f t="shared" si="154"/>
        <v>0</v>
      </c>
      <c r="R155" s="5184"/>
      <c r="S155" s="5184"/>
      <c r="T155" s="5184"/>
      <c r="U155" s="4843">
        <f t="shared" si="119"/>
        <v>0</v>
      </c>
      <c r="V155" s="5184"/>
      <c r="W155" s="5184">
        <v>9.89</v>
      </c>
      <c r="X155" s="5184"/>
      <c r="Y155" s="5296">
        <f t="shared" si="177"/>
        <v>9.89</v>
      </c>
      <c r="Z155" s="5184"/>
      <c r="AA155" s="5105">
        <f t="shared" si="178"/>
        <v>9.89</v>
      </c>
      <c r="AB155" s="5184"/>
      <c r="AC155" s="5184"/>
      <c r="AD155" s="5184"/>
      <c r="AE155" s="5062">
        <f t="shared" si="167"/>
        <v>9.89</v>
      </c>
      <c r="AF155" s="5184"/>
      <c r="AG155" s="5184"/>
      <c r="AH155" s="5184"/>
      <c r="AI155" s="5062">
        <f t="shared" si="168"/>
        <v>9.89</v>
      </c>
      <c r="AJ155" s="5184"/>
      <c r="AK155" s="5184"/>
      <c r="AL155" s="5184"/>
      <c r="AM155" s="5296">
        <f t="shared" si="179"/>
        <v>0</v>
      </c>
      <c r="AN155" s="5184"/>
      <c r="AO155" s="5062">
        <f t="shared" si="180"/>
        <v>9.89</v>
      </c>
      <c r="AP155" s="5184"/>
      <c r="AQ155" s="5184"/>
      <c r="AR155" s="5184"/>
      <c r="AS155" s="5062">
        <f t="shared" si="169"/>
        <v>9.89</v>
      </c>
      <c r="AT155" s="5184"/>
      <c r="AU155" s="5184"/>
      <c r="AV155" s="5184"/>
      <c r="AW155" s="5062">
        <f t="shared" si="170"/>
        <v>9.89</v>
      </c>
      <c r="AX155" s="5184"/>
      <c r="AY155" s="5184"/>
      <c r="AZ155" s="5184"/>
      <c r="BA155" s="5296">
        <f t="shared" si="175"/>
        <v>0</v>
      </c>
      <c r="BB155" s="5184"/>
      <c r="BC155" s="5105">
        <f t="shared" si="176"/>
        <v>0</v>
      </c>
      <c r="BD155" s="5184"/>
      <c r="BE155" s="4406">
        <f t="shared" si="171"/>
        <v>9.89</v>
      </c>
      <c r="BH155" s="23"/>
      <c r="BI155" s="23"/>
    </row>
    <row r="156" spans="2:61" ht="18.75" customHeight="1" x14ac:dyDescent="0.3">
      <c r="B156" s="4841" t="s">
        <v>2229</v>
      </c>
      <c r="C156" s="4932" t="s">
        <v>351</v>
      </c>
      <c r="D156" s="5184"/>
      <c r="E156" s="5184">
        <v>1.82</v>
      </c>
      <c r="F156" s="5184"/>
      <c r="G156" s="5184"/>
      <c r="H156" s="5185"/>
      <c r="I156" s="4843">
        <f t="shared" si="117"/>
        <v>1.82</v>
      </c>
      <c r="J156" s="4844"/>
      <c r="K156" s="5184"/>
      <c r="L156" s="5184"/>
      <c r="M156" s="5296"/>
      <c r="N156" s="5184"/>
      <c r="O156" s="5184"/>
      <c r="P156" s="5184"/>
      <c r="Q156" s="4965"/>
      <c r="R156" s="5184"/>
      <c r="S156" s="5184"/>
      <c r="T156" s="5184"/>
      <c r="U156" s="4843"/>
      <c r="V156" s="5184"/>
      <c r="W156" s="5184"/>
      <c r="X156" s="5184"/>
      <c r="Y156" s="5296"/>
      <c r="Z156" s="5184"/>
      <c r="AA156" s="5105"/>
      <c r="AB156" s="5184"/>
      <c r="AC156" s="5184"/>
      <c r="AD156" s="5184"/>
      <c r="AE156" s="5062"/>
      <c r="AF156" s="5184"/>
      <c r="AG156" s="5184"/>
      <c r="AH156" s="5184"/>
      <c r="AI156" s="5062"/>
      <c r="AJ156" s="5184"/>
      <c r="AK156" s="5184"/>
      <c r="AL156" s="5184"/>
      <c r="AM156" s="5296"/>
      <c r="AN156" s="5184"/>
      <c r="AO156" s="5062"/>
      <c r="AP156" s="5184"/>
      <c r="AQ156" s="5184"/>
      <c r="AR156" s="5184"/>
      <c r="AS156" s="5062"/>
      <c r="AT156" s="5184"/>
      <c r="AU156" s="5184"/>
      <c r="AV156" s="5184"/>
      <c r="AW156" s="5062"/>
      <c r="AX156" s="5184"/>
      <c r="AY156" s="5184"/>
      <c r="AZ156" s="5184"/>
      <c r="BA156" s="5296"/>
      <c r="BB156" s="5184"/>
      <c r="BC156" s="5105"/>
      <c r="BD156" s="5184"/>
      <c r="BE156" s="4406"/>
      <c r="BH156" s="23"/>
      <c r="BI156" s="23"/>
    </row>
    <row r="157" spans="2:61" ht="18.75" customHeight="1" x14ac:dyDescent="0.3">
      <c r="B157" s="4841" t="s">
        <v>2269</v>
      </c>
      <c r="C157" s="4932" t="s">
        <v>351</v>
      </c>
      <c r="D157" s="5184"/>
      <c r="E157" s="5184"/>
      <c r="F157" s="5184"/>
      <c r="G157" s="5184">
        <v>1050</v>
      </c>
      <c r="H157" s="5185"/>
      <c r="I157" s="4843">
        <f t="shared" si="117"/>
        <v>1050</v>
      </c>
      <c r="J157" s="4844"/>
      <c r="K157" s="5184"/>
      <c r="L157" s="5184"/>
      <c r="M157" s="5296"/>
      <c r="N157" s="5184"/>
      <c r="O157" s="5184"/>
      <c r="P157" s="5184"/>
      <c r="Q157" s="4965"/>
      <c r="R157" s="5184"/>
      <c r="S157" s="5184"/>
      <c r="T157" s="5184"/>
      <c r="U157" s="4843"/>
      <c r="V157" s="5184"/>
      <c r="W157" s="5184"/>
      <c r="X157" s="5184"/>
      <c r="Y157" s="5296"/>
      <c r="Z157" s="5184"/>
      <c r="AA157" s="5105"/>
      <c r="AB157" s="5184"/>
      <c r="AC157" s="5184"/>
      <c r="AD157" s="5184"/>
      <c r="AE157" s="5062"/>
      <c r="AF157" s="5184"/>
      <c r="AG157" s="5184"/>
      <c r="AH157" s="5184"/>
      <c r="AI157" s="5062"/>
      <c r="AJ157" s="5184"/>
      <c r="AK157" s="5184"/>
      <c r="AL157" s="5184"/>
      <c r="AM157" s="5296"/>
      <c r="AN157" s="5184"/>
      <c r="AO157" s="5062"/>
      <c r="AP157" s="5184"/>
      <c r="AQ157" s="5184"/>
      <c r="AR157" s="5184"/>
      <c r="AS157" s="5062"/>
      <c r="AT157" s="5184"/>
      <c r="AU157" s="5184"/>
      <c r="AV157" s="5184"/>
      <c r="AW157" s="5062"/>
      <c r="AX157" s="5184"/>
      <c r="AY157" s="5184"/>
      <c r="AZ157" s="5184"/>
      <c r="BA157" s="5296"/>
      <c r="BB157" s="5184"/>
      <c r="BC157" s="5105"/>
      <c r="BD157" s="5184"/>
      <c r="BE157" s="4406"/>
      <c r="BH157" s="23"/>
      <c r="BI157" s="23"/>
    </row>
    <row r="158" spans="2:61" x14ac:dyDescent="0.3">
      <c r="B158" s="4841" t="s">
        <v>839</v>
      </c>
      <c r="C158" s="4932" t="s">
        <v>351</v>
      </c>
      <c r="D158" s="5184"/>
      <c r="E158" s="5184"/>
      <c r="F158" s="5184"/>
      <c r="G158" s="5184"/>
      <c r="H158" s="5185"/>
      <c r="I158" s="4843">
        <f t="shared" si="117"/>
        <v>0</v>
      </c>
      <c r="J158" s="4844"/>
      <c r="K158" s="5184"/>
      <c r="L158" s="5184"/>
      <c r="M158" s="5296">
        <f t="shared" si="166"/>
        <v>0</v>
      </c>
      <c r="N158" s="5184"/>
      <c r="O158" s="5184"/>
      <c r="P158" s="5184"/>
      <c r="Q158" s="4965">
        <f t="shared" si="154"/>
        <v>0</v>
      </c>
      <c r="R158" s="5184"/>
      <c r="S158" s="5184"/>
      <c r="T158" s="5184"/>
      <c r="U158" s="4843">
        <f t="shared" si="119"/>
        <v>0</v>
      </c>
      <c r="V158" s="5184"/>
      <c r="W158" s="5184">
        <v>27.2</v>
      </c>
      <c r="X158" s="5184"/>
      <c r="Y158" s="5296">
        <f t="shared" si="172"/>
        <v>27.2</v>
      </c>
      <c r="Z158" s="5184"/>
      <c r="AA158" s="5404">
        <f t="shared" si="173"/>
        <v>27.2</v>
      </c>
      <c r="AB158" s="5184"/>
      <c r="AC158" s="5184"/>
      <c r="AD158" s="5184"/>
      <c r="AE158" s="5062">
        <f t="shared" si="167"/>
        <v>27.2</v>
      </c>
      <c r="AF158" s="5184"/>
      <c r="AG158" s="5184"/>
      <c r="AH158" s="5184"/>
      <c r="AI158" s="5062">
        <f t="shared" si="168"/>
        <v>27.2</v>
      </c>
      <c r="AJ158" s="5184"/>
      <c r="AK158" s="5184"/>
      <c r="AL158" s="5184"/>
      <c r="AM158" s="5296">
        <f t="shared" si="179"/>
        <v>0</v>
      </c>
      <c r="AN158" s="5184"/>
      <c r="AO158" s="5062">
        <f t="shared" si="180"/>
        <v>27.2</v>
      </c>
      <c r="AP158" s="5184"/>
      <c r="AQ158" s="5184"/>
      <c r="AR158" s="5184"/>
      <c r="AS158" s="5062">
        <f t="shared" si="169"/>
        <v>27.2</v>
      </c>
      <c r="AT158" s="5184"/>
      <c r="AU158" s="5184"/>
      <c r="AV158" s="5184"/>
      <c r="AW158" s="5062">
        <f t="shared" si="170"/>
        <v>27.2</v>
      </c>
      <c r="AX158" s="5184"/>
      <c r="AY158" s="5184"/>
      <c r="AZ158" s="5184"/>
      <c r="BA158" s="5296">
        <f t="shared" si="175"/>
        <v>0</v>
      </c>
      <c r="BB158" s="5184"/>
      <c r="BC158" s="5105">
        <f t="shared" si="176"/>
        <v>0</v>
      </c>
      <c r="BD158" s="5184"/>
      <c r="BE158" s="4406">
        <f>+AW158+AY158</f>
        <v>27.2</v>
      </c>
      <c r="BH158" s="23"/>
      <c r="BI158" s="23"/>
    </row>
    <row r="159" spans="2:61" x14ac:dyDescent="0.3">
      <c r="B159" s="4841" t="s">
        <v>2109</v>
      </c>
      <c r="C159" s="4932" t="s">
        <v>351</v>
      </c>
      <c r="D159" s="5184"/>
      <c r="E159" s="5184"/>
      <c r="F159" s="5184"/>
      <c r="G159" s="5184"/>
      <c r="H159" s="5185"/>
      <c r="I159" s="4843"/>
      <c r="J159" s="4844"/>
      <c r="K159" s="5184"/>
      <c r="L159" s="5184"/>
      <c r="M159" s="5296"/>
      <c r="N159" s="5184"/>
      <c r="O159" s="5184"/>
      <c r="P159" s="5184"/>
      <c r="Q159" s="4965"/>
      <c r="R159" s="5184"/>
      <c r="S159" s="5184"/>
      <c r="T159" s="5184"/>
      <c r="U159" s="4843"/>
      <c r="V159" s="5184"/>
      <c r="W159" s="5184"/>
      <c r="X159" s="5184"/>
      <c r="Y159" s="5296"/>
      <c r="Z159" s="5184"/>
      <c r="AA159" s="5404"/>
      <c r="AB159" s="5184"/>
      <c r="AC159" s="5184"/>
      <c r="AD159" s="5184"/>
      <c r="AE159" s="5062"/>
      <c r="AF159" s="5184"/>
      <c r="AG159" s="5184"/>
      <c r="AH159" s="5184"/>
      <c r="AI159" s="5062"/>
      <c r="AJ159" s="5184"/>
      <c r="AK159" s="5184"/>
      <c r="AL159" s="5184"/>
      <c r="AM159" s="5296"/>
      <c r="AN159" s="5184"/>
      <c r="AO159" s="5062"/>
      <c r="AP159" s="5184"/>
      <c r="AQ159" s="5184">
        <v>2500</v>
      </c>
      <c r="AR159" s="5184"/>
      <c r="AS159" s="5062">
        <f t="shared" si="169"/>
        <v>2500</v>
      </c>
      <c r="AT159" s="5184"/>
      <c r="AU159" s="5184">
        <v>499</v>
      </c>
      <c r="AV159" s="5184"/>
      <c r="AW159" s="5062">
        <f t="shared" si="170"/>
        <v>2999</v>
      </c>
      <c r="AX159" s="5184"/>
      <c r="AY159" s="5184"/>
      <c r="AZ159" s="5184"/>
      <c r="BA159" s="5296">
        <f t="shared" ref="BA159" si="193">+AQ159+AU159+AY159</f>
        <v>2999</v>
      </c>
      <c r="BB159" s="5184"/>
      <c r="BC159" s="5105">
        <f t="shared" ref="BC159" si="194">BA159+AM159</f>
        <v>2999</v>
      </c>
      <c r="BD159" s="5184"/>
      <c r="BE159" s="4406">
        <f>+AW159+AY159</f>
        <v>2999</v>
      </c>
      <c r="BH159" s="23"/>
      <c r="BI159" s="23"/>
    </row>
    <row r="160" spans="2:61" x14ac:dyDescent="0.3">
      <c r="B160" s="4841" t="s">
        <v>1401</v>
      </c>
      <c r="C160" s="4932" t="s">
        <v>351</v>
      </c>
      <c r="D160" s="5184"/>
      <c r="E160" s="5184"/>
      <c r="F160" s="5184"/>
      <c r="G160" s="5184"/>
      <c r="H160" s="5185"/>
      <c r="I160" s="4843">
        <f t="shared" si="117"/>
        <v>0</v>
      </c>
      <c r="J160" s="4844"/>
      <c r="K160" s="5184"/>
      <c r="L160" s="5184"/>
      <c r="M160" s="5296">
        <f t="shared" si="166"/>
        <v>0</v>
      </c>
      <c r="N160" s="5184"/>
      <c r="O160" s="5184"/>
      <c r="P160" s="5184"/>
      <c r="Q160" s="4965">
        <f t="shared" si="154"/>
        <v>0</v>
      </c>
      <c r="R160" s="5184"/>
      <c r="S160" s="5184"/>
      <c r="T160" s="5184"/>
      <c r="U160" s="4843">
        <f t="shared" si="119"/>
        <v>0</v>
      </c>
      <c r="V160" s="5184"/>
      <c r="W160" s="5184"/>
      <c r="X160" s="5184"/>
      <c r="Y160" s="5296">
        <f t="shared" si="172"/>
        <v>0</v>
      </c>
      <c r="Z160" s="5184"/>
      <c r="AA160" s="5105">
        <f t="shared" si="173"/>
        <v>0</v>
      </c>
      <c r="AB160" s="5184"/>
      <c r="AC160" s="5184"/>
      <c r="AD160" s="5184"/>
      <c r="AE160" s="5062">
        <f t="shared" si="167"/>
        <v>0</v>
      </c>
      <c r="AF160" s="5184"/>
      <c r="AG160" s="5184"/>
      <c r="AH160" s="5184"/>
      <c r="AI160" s="5062">
        <f t="shared" si="168"/>
        <v>0</v>
      </c>
      <c r="AJ160" s="5184"/>
      <c r="AK160" s="5184">
        <v>34.31</v>
      </c>
      <c r="AL160" s="5184"/>
      <c r="AM160" s="5296">
        <f t="shared" si="179"/>
        <v>34.31</v>
      </c>
      <c r="AN160" s="5184"/>
      <c r="AO160" s="5062">
        <f t="shared" si="180"/>
        <v>34.31</v>
      </c>
      <c r="AP160" s="5184"/>
      <c r="AQ160" s="5184"/>
      <c r="AR160" s="5184"/>
      <c r="AS160" s="5062">
        <f t="shared" si="169"/>
        <v>34.31</v>
      </c>
      <c r="AT160" s="5184"/>
      <c r="AU160" s="5184"/>
      <c r="AV160" s="5184"/>
      <c r="AW160" s="5062">
        <f t="shared" si="170"/>
        <v>34.31</v>
      </c>
      <c r="AX160" s="5184"/>
      <c r="AY160" s="5184"/>
      <c r="AZ160" s="5184"/>
      <c r="BA160" s="5296">
        <f t="shared" si="175"/>
        <v>0</v>
      </c>
      <c r="BB160" s="5184"/>
      <c r="BC160" s="5105">
        <f t="shared" si="176"/>
        <v>34.31</v>
      </c>
      <c r="BD160" s="5184"/>
      <c r="BE160" s="4406">
        <f t="shared" ref="BE160:BE178" si="195">+AW160+AY160</f>
        <v>34.31</v>
      </c>
      <c r="BH160" s="23"/>
      <c r="BI160" s="23"/>
    </row>
    <row r="161" spans="2:61" x14ac:dyDescent="0.3">
      <c r="B161" s="4841" t="s">
        <v>1977</v>
      </c>
      <c r="C161" s="4932" t="s">
        <v>351</v>
      </c>
      <c r="D161" s="5184"/>
      <c r="E161" s="5184"/>
      <c r="F161" s="5184"/>
      <c r="G161" s="5184"/>
      <c r="H161" s="5185"/>
      <c r="I161" s="4843"/>
      <c r="J161" s="4844"/>
      <c r="K161" s="5184"/>
      <c r="L161" s="5184"/>
      <c r="M161" s="5296"/>
      <c r="N161" s="5184"/>
      <c r="O161" s="5184"/>
      <c r="P161" s="5184"/>
      <c r="Q161" s="4965"/>
      <c r="R161" s="5184"/>
      <c r="S161" s="5184"/>
      <c r="T161" s="5184"/>
      <c r="U161" s="4843"/>
      <c r="V161" s="5184"/>
      <c r="W161" s="5184"/>
      <c r="X161" s="5184"/>
      <c r="Y161" s="5296"/>
      <c r="Z161" s="5184"/>
      <c r="AA161" s="5105"/>
      <c r="AB161" s="5184"/>
      <c r="AC161" s="5184"/>
      <c r="AD161" s="5184"/>
      <c r="AE161" s="5062"/>
      <c r="AF161" s="5184"/>
      <c r="AG161" s="5184"/>
      <c r="AH161" s="5184"/>
      <c r="AI161" s="5062"/>
      <c r="AJ161" s="5184"/>
      <c r="AK161" s="5184"/>
      <c r="AL161" s="5184"/>
      <c r="AM161" s="5296"/>
      <c r="AN161" s="5184"/>
      <c r="AO161" s="5062"/>
      <c r="AP161" s="5184"/>
      <c r="AQ161" s="5184">
        <v>19.36</v>
      </c>
      <c r="AR161" s="5184"/>
      <c r="AS161" s="5062">
        <f t="shared" si="169"/>
        <v>19.36</v>
      </c>
      <c r="AT161" s="5184"/>
      <c r="AU161" s="5184"/>
      <c r="AV161" s="5184"/>
      <c r="AW161" s="5062">
        <f t="shared" si="170"/>
        <v>19.36</v>
      </c>
      <c r="AX161" s="5184"/>
      <c r="AY161" s="5184"/>
      <c r="AZ161" s="5184"/>
      <c r="BA161" s="5296">
        <f t="shared" ref="BA161" si="196">+AQ161+AU161+AY161</f>
        <v>19.36</v>
      </c>
      <c r="BB161" s="5184"/>
      <c r="BC161" s="5105">
        <f t="shared" ref="BC161" si="197">BA161+AM161</f>
        <v>19.36</v>
      </c>
      <c r="BD161" s="5184"/>
      <c r="BE161" s="4406">
        <f t="shared" ref="BE161" si="198">+AW161+AY161</f>
        <v>19.36</v>
      </c>
      <c r="BH161" s="23"/>
      <c r="BI161" s="23"/>
    </row>
    <row r="162" spans="2:61" x14ac:dyDescent="0.3">
      <c r="B162" s="4841" t="s">
        <v>1826</v>
      </c>
      <c r="C162" s="4932" t="s">
        <v>351</v>
      </c>
      <c r="D162" s="5184"/>
      <c r="E162" s="5184"/>
      <c r="F162" s="5184"/>
      <c r="G162" s="5184"/>
      <c r="H162" s="5185"/>
      <c r="I162" s="4843">
        <f t="shared" si="117"/>
        <v>0</v>
      </c>
      <c r="J162" s="4844"/>
      <c r="K162" s="5184">
        <v>0.41</v>
      </c>
      <c r="L162" s="5184"/>
      <c r="M162" s="5296">
        <f t="shared" si="166"/>
        <v>0.41</v>
      </c>
      <c r="N162" s="5184"/>
      <c r="O162" s="5184">
        <v>0.41</v>
      </c>
      <c r="P162" s="5184"/>
      <c r="Q162" s="4965">
        <f t="shared" si="154"/>
        <v>0.82</v>
      </c>
      <c r="R162" s="5184"/>
      <c r="S162" s="5184">
        <v>0.41</v>
      </c>
      <c r="T162" s="5184"/>
      <c r="U162" s="4843">
        <f t="shared" si="119"/>
        <v>1.23</v>
      </c>
      <c r="V162" s="5184"/>
      <c r="W162" s="5184">
        <v>0.41</v>
      </c>
      <c r="X162" s="5184"/>
      <c r="Y162" s="5296">
        <f t="shared" si="172"/>
        <v>1.23</v>
      </c>
      <c r="Z162" s="5184"/>
      <c r="AA162" s="5105">
        <f t="shared" si="173"/>
        <v>1.64</v>
      </c>
      <c r="AB162" s="5184"/>
      <c r="AC162" s="5184"/>
      <c r="AD162" s="5184"/>
      <c r="AE162" s="5062">
        <f t="shared" si="167"/>
        <v>1.64</v>
      </c>
      <c r="AF162" s="5184"/>
      <c r="AG162" s="5184"/>
      <c r="AH162" s="5184"/>
      <c r="AI162" s="5062">
        <f t="shared" si="168"/>
        <v>1.64</v>
      </c>
      <c r="AJ162" s="5184"/>
      <c r="AK162" s="5184"/>
      <c r="AL162" s="5184"/>
      <c r="AM162" s="5296">
        <f t="shared" si="179"/>
        <v>0</v>
      </c>
      <c r="AN162" s="5184"/>
      <c r="AO162" s="5062">
        <f t="shared" si="180"/>
        <v>1.64</v>
      </c>
      <c r="AP162" s="5184"/>
      <c r="AQ162" s="5184"/>
      <c r="AR162" s="5184"/>
      <c r="AS162" s="5062">
        <f t="shared" si="169"/>
        <v>1.64</v>
      </c>
      <c r="AT162" s="5184"/>
      <c r="AU162" s="5184"/>
      <c r="AV162" s="5184"/>
      <c r="AW162" s="5062">
        <f t="shared" si="170"/>
        <v>1.64</v>
      </c>
      <c r="AX162" s="5184"/>
      <c r="AY162" s="5184"/>
      <c r="AZ162" s="5184"/>
      <c r="BA162" s="5296">
        <f t="shared" si="175"/>
        <v>0</v>
      </c>
      <c r="BB162" s="5184"/>
      <c r="BC162" s="5105">
        <f t="shared" si="176"/>
        <v>0</v>
      </c>
      <c r="BD162" s="5184"/>
      <c r="BE162" s="4406">
        <f t="shared" si="195"/>
        <v>1.64</v>
      </c>
      <c r="BH162" s="23"/>
      <c r="BI162" s="23"/>
    </row>
    <row r="163" spans="2:61" x14ac:dyDescent="0.3">
      <c r="B163" s="4841" t="s">
        <v>2091</v>
      </c>
      <c r="C163" s="4932" t="s">
        <v>351</v>
      </c>
      <c r="D163" s="5184"/>
      <c r="E163" s="5184"/>
      <c r="F163" s="5184"/>
      <c r="G163" s="5184"/>
      <c r="H163" s="5185"/>
      <c r="I163" s="4843">
        <f t="shared" si="117"/>
        <v>0</v>
      </c>
      <c r="J163" s="4844"/>
      <c r="K163" s="5184"/>
      <c r="L163" s="5184"/>
      <c r="M163" s="5296">
        <f t="shared" si="166"/>
        <v>0</v>
      </c>
      <c r="N163" s="5184"/>
      <c r="O163" s="5184"/>
      <c r="P163" s="5184"/>
      <c r="Q163" s="4965">
        <f t="shared" si="154"/>
        <v>0</v>
      </c>
      <c r="R163" s="5184"/>
      <c r="S163" s="5184"/>
      <c r="T163" s="5184"/>
      <c r="U163" s="4843">
        <f t="shared" si="119"/>
        <v>0</v>
      </c>
      <c r="V163" s="5184"/>
      <c r="W163" s="5184"/>
      <c r="X163" s="5184"/>
      <c r="Y163" s="5296">
        <f t="shared" si="172"/>
        <v>0</v>
      </c>
      <c r="Z163" s="5184"/>
      <c r="AA163" s="5105">
        <f t="shared" si="173"/>
        <v>0</v>
      </c>
      <c r="AB163" s="5184"/>
      <c r="AC163" s="5184"/>
      <c r="AD163" s="5184"/>
      <c r="AE163" s="5062">
        <f t="shared" si="167"/>
        <v>0</v>
      </c>
      <c r="AF163" s="5184"/>
      <c r="AG163" s="5184"/>
      <c r="AH163" s="5184"/>
      <c r="AI163" s="5062">
        <f t="shared" si="168"/>
        <v>0</v>
      </c>
      <c r="AJ163" s="5184"/>
      <c r="AK163" s="5184">
        <v>14.68</v>
      </c>
      <c r="AL163" s="5184"/>
      <c r="AM163" s="5296">
        <f t="shared" si="179"/>
        <v>14.68</v>
      </c>
      <c r="AN163" s="5184"/>
      <c r="AO163" s="5062">
        <f t="shared" si="180"/>
        <v>14.68</v>
      </c>
      <c r="AP163" s="5184"/>
      <c r="AQ163" s="5184"/>
      <c r="AR163" s="5184"/>
      <c r="AS163" s="5062">
        <f t="shared" si="169"/>
        <v>14.68</v>
      </c>
      <c r="AT163" s="5184"/>
      <c r="AU163" s="5184"/>
      <c r="AV163" s="5184"/>
      <c r="AW163" s="5062">
        <f t="shared" si="170"/>
        <v>14.68</v>
      </c>
      <c r="AX163" s="5184"/>
      <c r="AY163" s="5184"/>
      <c r="AZ163" s="5184"/>
      <c r="BA163" s="5296">
        <f t="shared" si="175"/>
        <v>0</v>
      </c>
      <c r="BB163" s="5184"/>
      <c r="BC163" s="5105">
        <f t="shared" si="176"/>
        <v>14.68</v>
      </c>
      <c r="BD163" s="5184"/>
      <c r="BE163" s="4406">
        <f t="shared" si="195"/>
        <v>14.68</v>
      </c>
      <c r="BH163" s="23"/>
      <c r="BI163" s="23"/>
    </row>
    <row r="164" spans="2:61" x14ac:dyDescent="0.3">
      <c r="B164" s="4841" t="s">
        <v>2038</v>
      </c>
      <c r="C164" s="4932" t="s">
        <v>351</v>
      </c>
      <c r="D164" s="5184"/>
      <c r="E164" s="5184"/>
      <c r="F164" s="5184"/>
      <c r="G164" s="5184"/>
      <c r="H164" s="5185"/>
      <c r="I164" s="4843">
        <f t="shared" si="117"/>
        <v>0</v>
      </c>
      <c r="J164" s="4844"/>
      <c r="K164" s="5184"/>
      <c r="L164" s="5184"/>
      <c r="M164" s="5296">
        <f t="shared" si="166"/>
        <v>0</v>
      </c>
      <c r="N164" s="5184"/>
      <c r="O164" s="5184"/>
      <c r="P164" s="5184"/>
      <c r="Q164" s="4965">
        <f t="shared" si="154"/>
        <v>0</v>
      </c>
      <c r="R164" s="5184"/>
      <c r="S164" s="5184"/>
      <c r="T164" s="5184"/>
      <c r="U164" s="4843">
        <f t="shared" si="119"/>
        <v>0</v>
      </c>
      <c r="V164" s="5184"/>
      <c r="W164" s="5184">
        <v>24.3</v>
      </c>
      <c r="X164" s="5184"/>
      <c r="Y164" s="5296">
        <f t="shared" si="172"/>
        <v>24.3</v>
      </c>
      <c r="Z164" s="5184"/>
      <c r="AA164" s="5105">
        <f t="shared" si="173"/>
        <v>24.3</v>
      </c>
      <c r="AB164" s="5184"/>
      <c r="AC164" s="5184">
        <v>69.524000000000001</v>
      </c>
      <c r="AD164" s="5184"/>
      <c r="AE164" s="5062">
        <f t="shared" si="167"/>
        <v>93.823999999999998</v>
      </c>
      <c r="AF164" s="5184"/>
      <c r="AG164" s="5184"/>
      <c r="AH164" s="5184"/>
      <c r="AI164" s="5062">
        <f t="shared" si="168"/>
        <v>93.823999999999998</v>
      </c>
      <c r="AJ164" s="5184"/>
      <c r="AK164" s="5184">
        <v>96.010999999999996</v>
      </c>
      <c r="AL164" s="5184"/>
      <c r="AM164" s="5296">
        <f t="shared" si="179"/>
        <v>165.535</v>
      </c>
      <c r="AN164" s="5184"/>
      <c r="AO164" s="5062">
        <f t="shared" si="180"/>
        <v>189.83499999999998</v>
      </c>
      <c r="AP164" s="5184"/>
      <c r="AQ164" s="5184">
        <v>93.967999999999989</v>
      </c>
      <c r="AR164" s="5184"/>
      <c r="AS164" s="5062">
        <f t="shared" si="169"/>
        <v>283.803</v>
      </c>
      <c r="AT164" s="5184"/>
      <c r="AU164" s="5184"/>
      <c r="AV164" s="5184"/>
      <c r="AW164" s="5062">
        <f t="shared" si="170"/>
        <v>283.803</v>
      </c>
      <c r="AX164" s="5184"/>
      <c r="AY164" s="5184"/>
      <c r="AZ164" s="5184"/>
      <c r="BA164" s="5296">
        <f t="shared" si="175"/>
        <v>93.967999999999989</v>
      </c>
      <c r="BB164" s="5184"/>
      <c r="BC164" s="5105">
        <f t="shared" si="176"/>
        <v>259.50299999999999</v>
      </c>
      <c r="BD164" s="5184"/>
      <c r="BE164" s="4406">
        <f t="shared" si="195"/>
        <v>283.803</v>
      </c>
      <c r="BH164" s="23"/>
      <c r="BI164" s="23"/>
    </row>
    <row r="165" spans="2:61" x14ac:dyDescent="0.3">
      <c r="B165" s="4841" t="s">
        <v>2036</v>
      </c>
      <c r="C165" s="4932" t="s">
        <v>351</v>
      </c>
      <c r="D165" s="5184"/>
      <c r="E165" s="5184"/>
      <c r="F165" s="5184"/>
      <c r="G165" s="5184"/>
      <c r="H165" s="5185"/>
      <c r="I165" s="4843">
        <f t="shared" si="117"/>
        <v>0</v>
      </c>
      <c r="J165" s="4844"/>
      <c r="K165" s="5184"/>
      <c r="L165" s="5184"/>
      <c r="M165" s="5296">
        <f t="shared" si="166"/>
        <v>0</v>
      </c>
      <c r="N165" s="5184"/>
      <c r="O165" s="5184"/>
      <c r="P165" s="5184"/>
      <c r="Q165" s="4965">
        <f t="shared" si="154"/>
        <v>0</v>
      </c>
      <c r="R165" s="5184"/>
      <c r="S165" s="5184"/>
      <c r="T165" s="5184"/>
      <c r="U165" s="4843">
        <f t="shared" si="119"/>
        <v>0</v>
      </c>
      <c r="V165" s="5184"/>
      <c r="W165" s="5184">
        <v>19.77</v>
      </c>
      <c r="X165" s="5184"/>
      <c r="Y165" s="5296">
        <f t="shared" si="172"/>
        <v>19.77</v>
      </c>
      <c r="Z165" s="5184"/>
      <c r="AA165" s="5105">
        <f t="shared" si="173"/>
        <v>19.77</v>
      </c>
      <c r="AB165" s="5184"/>
      <c r="AC165" s="5184"/>
      <c r="AD165" s="5184"/>
      <c r="AE165" s="5062">
        <f t="shared" ref="AE165" si="199">+AA165+AC165</f>
        <v>19.77</v>
      </c>
      <c r="AF165" s="5184"/>
      <c r="AG165" s="5184"/>
      <c r="AH165" s="5184"/>
      <c r="AI165" s="5062">
        <f t="shared" si="168"/>
        <v>19.77</v>
      </c>
      <c r="AJ165" s="5184"/>
      <c r="AK165" s="5184"/>
      <c r="AL165" s="5184"/>
      <c r="AM165" s="5296">
        <f t="shared" si="179"/>
        <v>0</v>
      </c>
      <c r="AN165" s="5184"/>
      <c r="AO165" s="5062">
        <f t="shared" si="180"/>
        <v>19.77</v>
      </c>
      <c r="AP165" s="5184"/>
      <c r="AQ165" s="5184"/>
      <c r="AR165" s="5184"/>
      <c r="AS165" s="5062">
        <f t="shared" si="169"/>
        <v>19.77</v>
      </c>
      <c r="AT165" s="5184"/>
      <c r="AU165" s="5184">
        <v>14.41</v>
      </c>
      <c r="AV165" s="5184"/>
      <c r="AW165" s="5062">
        <f t="shared" si="170"/>
        <v>34.18</v>
      </c>
      <c r="AX165" s="5184"/>
      <c r="AY165" s="5184"/>
      <c r="AZ165" s="5184"/>
      <c r="BA165" s="5296">
        <f t="shared" si="175"/>
        <v>14.41</v>
      </c>
      <c r="BB165" s="5184"/>
      <c r="BC165" s="5105">
        <f t="shared" si="176"/>
        <v>14.41</v>
      </c>
      <c r="BD165" s="5184"/>
      <c r="BE165" s="4406">
        <f t="shared" si="195"/>
        <v>34.18</v>
      </c>
      <c r="BH165" s="23"/>
      <c r="BI165" s="23"/>
    </row>
    <row r="166" spans="2:61" x14ac:dyDescent="0.3">
      <c r="B166" s="4841" t="s">
        <v>2161</v>
      </c>
      <c r="C166" s="4932" t="s">
        <v>351</v>
      </c>
      <c r="D166" s="5184"/>
      <c r="E166" s="5184"/>
      <c r="F166" s="5184"/>
      <c r="G166" s="5184"/>
      <c r="H166" s="5185"/>
      <c r="I166" s="4843"/>
      <c r="J166" s="4844"/>
      <c r="K166" s="5184"/>
      <c r="L166" s="5184"/>
      <c r="M166" s="5296"/>
      <c r="N166" s="5184"/>
      <c r="O166" s="5184"/>
      <c r="P166" s="5184"/>
      <c r="Q166" s="4965"/>
      <c r="R166" s="5184"/>
      <c r="S166" s="5184"/>
      <c r="T166" s="5184"/>
      <c r="U166" s="4843"/>
      <c r="V166" s="5184"/>
      <c r="W166" s="5184"/>
      <c r="X166" s="5184"/>
      <c r="Y166" s="5296"/>
      <c r="Z166" s="5184"/>
      <c r="AA166" s="5105"/>
      <c r="AB166" s="5184"/>
      <c r="AC166" s="5184"/>
      <c r="AD166" s="5184"/>
      <c r="AE166" s="5062"/>
      <c r="AF166" s="5184"/>
      <c r="AG166" s="5184"/>
      <c r="AH166" s="5184"/>
      <c r="AI166" s="5062"/>
      <c r="AJ166" s="5184"/>
      <c r="AK166" s="5184"/>
      <c r="AL166" s="5184"/>
      <c r="AM166" s="5296"/>
      <c r="AN166" s="5184"/>
      <c r="AO166" s="5062"/>
      <c r="AP166" s="5184"/>
      <c r="AQ166" s="5184"/>
      <c r="AR166" s="5184"/>
      <c r="AS166" s="5062"/>
      <c r="AT166" s="5184"/>
      <c r="AU166" s="5184"/>
      <c r="AV166" s="5184"/>
      <c r="AW166" s="5062"/>
      <c r="AX166" s="5184"/>
      <c r="AY166" s="5184">
        <v>1</v>
      </c>
      <c r="AZ166" s="5184"/>
      <c r="BA166" s="5296">
        <f t="shared" ref="BA166" si="200">+AQ166+AU166+AY166</f>
        <v>1</v>
      </c>
      <c r="BB166" s="5184"/>
      <c r="BC166" s="5105">
        <f t="shared" ref="BC166" si="201">BA166+AM166</f>
        <v>1</v>
      </c>
      <c r="BD166" s="5184"/>
      <c r="BE166" s="4406">
        <f t="shared" ref="BE166" si="202">+AW166+AY166</f>
        <v>1</v>
      </c>
      <c r="BH166" s="23"/>
      <c r="BI166" s="23"/>
    </row>
    <row r="167" spans="2:61" x14ac:dyDescent="0.3">
      <c r="B167" s="4841" t="s">
        <v>1218</v>
      </c>
      <c r="C167" s="4932" t="s">
        <v>351</v>
      </c>
      <c r="D167" s="5315"/>
      <c r="E167" s="5184"/>
      <c r="F167" s="5315"/>
      <c r="G167" s="5184"/>
      <c r="H167" s="5185"/>
      <c r="I167" s="4843">
        <f t="shared" si="117"/>
        <v>0</v>
      </c>
      <c r="J167" s="4844"/>
      <c r="K167" s="5184"/>
      <c r="L167" s="5184"/>
      <c r="M167" s="5296">
        <f t="shared" si="166"/>
        <v>0</v>
      </c>
      <c r="N167" s="5184"/>
      <c r="O167" s="5184"/>
      <c r="P167" s="5184"/>
      <c r="Q167" s="4965">
        <f t="shared" si="154"/>
        <v>0</v>
      </c>
      <c r="R167" s="5315"/>
      <c r="S167" s="5184">
        <v>990.53</v>
      </c>
      <c r="T167" s="5184"/>
      <c r="U167" s="4843">
        <f t="shared" si="119"/>
        <v>990.53</v>
      </c>
      <c r="V167" s="5315"/>
      <c r="W167" s="5184">
        <v>881.71</v>
      </c>
      <c r="X167" s="5184"/>
      <c r="Y167" s="5296">
        <f t="shared" si="172"/>
        <v>1872.24</v>
      </c>
      <c r="Z167" s="5184"/>
      <c r="AA167" s="5105">
        <f t="shared" si="173"/>
        <v>1872.24</v>
      </c>
      <c r="AB167" s="5315"/>
      <c r="AC167" s="5184">
        <v>98.21</v>
      </c>
      <c r="AD167" s="5184"/>
      <c r="AE167" s="5062">
        <f t="shared" ref="AE167:AE178" si="203">+AA167+AC167</f>
        <v>1970.45</v>
      </c>
      <c r="AF167" s="5315"/>
      <c r="AG167" s="5184">
        <v>377.04</v>
      </c>
      <c r="AH167" s="5184"/>
      <c r="AI167" s="5062">
        <f t="shared" si="168"/>
        <v>2347.4900000000002</v>
      </c>
      <c r="AJ167" s="5315"/>
      <c r="AK167" s="5184"/>
      <c r="AL167" s="5315"/>
      <c r="AM167" s="5296">
        <f t="shared" si="174"/>
        <v>475.25</v>
      </c>
      <c r="AN167" s="5184"/>
      <c r="AO167" s="5062">
        <f t="shared" ref="AO167:AO183" si="204">AI167+AK167</f>
        <v>2347.4900000000002</v>
      </c>
      <c r="AP167" s="5315"/>
      <c r="AQ167" s="5184"/>
      <c r="AR167" s="5184"/>
      <c r="AS167" s="5062">
        <f t="shared" si="169"/>
        <v>2347.4900000000002</v>
      </c>
      <c r="AT167" s="5315"/>
      <c r="AU167" s="5184"/>
      <c r="AV167" s="5184"/>
      <c r="AW167" s="5062">
        <f t="shared" si="170"/>
        <v>2347.4900000000002</v>
      </c>
      <c r="AX167" s="5315"/>
      <c r="AY167" s="5184"/>
      <c r="AZ167" s="5315"/>
      <c r="BA167" s="5296">
        <f t="shared" si="175"/>
        <v>0</v>
      </c>
      <c r="BB167" s="5184"/>
      <c r="BC167" s="5105">
        <f t="shared" si="176"/>
        <v>475.25</v>
      </c>
      <c r="BD167" s="5184"/>
      <c r="BE167" s="4406">
        <f t="shared" si="195"/>
        <v>2347.4900000000002</v>
      </c>
      <c r="BH167" s="23"/>
      <c r="BI167" s="23"/>
    </row>
    <row r="168" spans="2:61" x14ac:dyDescent="0.3">
      <c r="B168" s="5405" t="s">
        <v>1040</v>
      </c>
      <c r="C168" s="5406" t="s">
        <v>351</v>
      </c>
      <c r="D168" s="5184"/>
      <c r="E168" s="5315">
        <f>+E169+E170</f>
        <v>1985.4099999999999</v>
      </c>
      <c r="F168" s="5184"/>
      <c r="G168" s="5315">
        <f>+G169+G170</f>
        <v>794.17</v>
      </c>
      <c r="H168" s="5315"/>
      <c r="I168" s="5378">
        <f t="shared" ref="I168:I178" si="205">+E168+G168</f>
        <v>2779.58</v>
      </c>
      <c r="J168" s="5407"/>
      <c r="K168" s="5315">
        <f>+K169+K170</f>
        <v>1740.03</v>
      </c>
      <c r="L168" s="5315"/>
      <c r="M168" s="5377">
        <f t="shared" si="166"/>
        <v>4519.6099999999997</v>
      </c>
      <c r="N168" s="5315"/>
      <c r="O168" s="5315">
        <f>+O169+O170</f>
        <v>1795.7100000000003</v>
      </c>
      <c r="P168" s="5315"/>
      <c r="Q168" s="4965">
        <f t="shared" si="154"/>
        <v>6315.32</v>
      </c>
      <c r="R168" s="5184"/>
      <c r="S168" s="5315">
        <f>+S169+S170</f>
        <v>2242.7199999999998</v>
      </c>
      <c r="T168" s="5315"/>
      <c r="U168" s="4843">
        <f t="shared" si="119"/>
        <v>8558.0399999999991</v>
      </c>
      <c r="V168" s="5184"/>
      <c r="W168" s="5315">
        <f>+W169+W170</f>
        <v>2195.0300000000002</v>
      </c>
      <c r="X168" s="5315"/>
      <c r="Y168" s="5377">
        <f t="shared" si="172"/>
        <v>6233.4600000000009</v>
      </c>
      <c r="Z168" s="5379"/>
      <c r="AA168" s="5105">
        <f t="shared" si="173"/>
        <v>10753.07</v>
      </c>
      <c r="AB168" s="5184"/>
      <c r="AC168" s="5315">
        <f>+AC169+AC170</f>
        <v>1789.28</v>
      </c>
      <c r="AD168" s="5315"/>
      <c r="AE168" s="5315">
        <f t="shared" si="203"/>
        <v>12542.35</v>
      </c>
      <c r="AF168" s="5184"/>
      <c r="AG168" s="5315">
        <f>+AG169+AG170</f>
        <v>2248.61</v>
      </c>
      <c r="AH168" s="5315"/>
      <c r="AI168" s="5315">
        <f t="shared" si="168"/>
        <v>14790.960000000001</v>
      </c>
      <c r="AJ168" s="5184"/>
      <c r="AK168" s="5315">
        <f>+AK169+AK170</f>
        <v>2496.41</v>
      </c>
      <c r="AL168" s="5184"/>
      <c r="AM168" s="5377">
        <f t="shared" si="174"/>
        <v>6534.3</v>
      </c>
      <c r="AN168" s="5315"/>
      <c r="AO168" s="5315">
        <f t="shared" si="204"/>
        <v>17287.370000000003</v>
      </c>
      <c r="AP168" s="5184"/>
      <c r="AQ168" s="5315">
        <f>+AQ169+AQ170</f>
        <v>2182.02</v>
      </c>
      <c r="AR168" s="5315"/>
      <c r="AS168" s="5315">
        <f t="shared" ref="AS168:AS178" si="206">+AO168+AQ168</f>
        <v>19469.390000000003</v>
      </c>
      <c r="AT168" s="5184"/>
      <c r="AU168" s="5315">
        <f>+AU169+AU170</f>
        <v>2194.7799999999993</v>
      </c>
      <c r="AV168" s="5315"/>
      <c r="AW168" s="5315">
        <f t="shared" si="170"/>
        <v>21664.170000000002</v>
      </c>
      <c r="AX168" s="5184"/>
      <c r="AY168" s="5315">
        <f>+AY169+AY170</f>
        <v>2484.5900000000006</v>
      </c>
      <c r="AZ168" s="5184"/>
      <c r="BA168" s="5377">
        <f t="shared" si="175"/>
        <v>6861.3899999999994</v>
      </c>
      <c r="BB168" s="5379"/>
      <c r="BC168" s="5105">
        <f t="shared" si="176"/>
        <v>13395.689999999999</v>
      </c>
      <c r="BD168" s="5315"/>
      <c r="BE168" s="5378">
        <f t="shared" si="195"/>
        <v>24148.760000000002</v>
      </c>
      <c r="BH168" s="23"/>
      <c r="BI168" s="23"/>
    </row>
    <row r="169" spans="2:61" x14ac:dyDescent="0.3">
      <c r="B169" s="5408" t="s">
        <v>1062</v>
      </c>
      <c r="C169" s="4932" t="s">
        <v>351</v>
      </c>
      <c r="D169" s="5061"/>
      <c r="E169" s="5184">
        <v>1693.77</v>
      </c>
      <c r="F169" s="5061"/>
      <c r="G169" s="5184">
        <v>794.17</v>
      </c>
      <c r="H169" s="5185"/>
      <c r="I169" s="4843">
        <f t="shared" si="205"/>
        <v>2487.94</v>
      </c>
      <c r="J169" s="4844"/>
      <c r="K169" s="5184">
        <v>1493.97</v>
      </c>
      <c r="L169" s="5184"/>
      <c r="M169" s="5296">
        <f t="shared" si="166"/>
        <v>3981.91</v>
      </c>
      <c r="N169" s="5184"/>
      <c r="O169" s="5184">
        <v>1795.7100000000003</v>
      </c>
      <c r="P169" s="5184"/>
      <c r="Q169" s="4965">
        <f t="shared" si="154"/>
        <v>5777.62</v>
      </c>
      <c r="R169" s="5061"/>
      <c r="S169" s="5184">
        <v>1943.35</v>
      </c>
      <c r="T169" s="5184"/>
      <c r="U169" s="4843">
        <f t="shared" si="119"/>
        <v>7720.9699999999993</v>
      </c>
      <c r="V169" s="5061"/>
      <c r="W169" s="5184">
        <v>2195.0300000000002</v>
      </c>
      <c r="X169" s="5184"/>
      <c r="Y169" s="5296">
        <f t="shared" si="172"/>
        <v>5934.09</v>
      </c>
      <c r="Z169" s="5184"/>
      <c r="AA169" s="5105">
        <f t="shared" si="173"/>
        <v>9916</v>
      </c>
      <c r="AB169" s="5061"/>
      <c r="AC169" s="5184">
        <v>1789.28</v>
      </c>
      <c r="AD169" s="5184"/>
      <c r="AE169" s="5062">
        <f t="shared" si="203"/>
        <v>11705.28</v>
      </c>
      <c r="AF169" s="5061"/>
      <c r="AG169" s="5184">
        <v>1948.72</v>
      </c>
      <c r="AH169" s="5184"/>
      <c r="AI169" s="5062">
        <f t="shared" si="168"/>
        <v>13654</v>
      </c>
      <c r="AJ169" s="5061"/>
      <c r="AK169" s="5184">
        <v>2496.41</v>
      </c>
      <c r="AL169" s="5061"/>
      <c r="AM169" s="5296">
        <f t="shared" si="174"/>
        <v>6234.41</v>
      </c>
      <c r="AN169" s="5184"/>
      <c r="AO169" s="5062">
        <f t="shared" si="204"/>
        <v>16150.41</v>
      </c>
      <c r="AP169" s="5061"/>
      <c r="AQ169" s="5184">
        <v>2182.02</v>
      </c>
      <c r="AR169" s="5184"/>
      <c r="AS169" s="5062">
        <f t="shared" si="206"/>
        <v>18332.43</v>
      </c>
      <c r="AT169" s="5061"/>
      <c r="AU169" s="5184">
        <v>2194.7799999999993</v>
      </c>
      <c r="AV169" s="5184"/>
      <c r="AW169" s="5062">
        <f t="shared" si="170"/>
        <v>20527.21</v>
      </c>
      <c r="AX169" s="5061"/>
      <c r="AY169" s="5184">
        <v>2484.5900000000006</v>
      </c>
      <c r="AZ169" s="5061"/>
      <c r="BA169" s="5296">
        <f t="shared" si="175"/>
        <v>6861.3899999999994</v>
      </c>
      <c r="BB169" s="5184"/>
      <c r="BC169" s="5105">
        <f t="shared" si="176"/>
        <v>13095.8</v>
      </c>
      <c r="BD169" s="5184"/>
      <c r="BE169" s="4406">
        <f t="shared" si="195"/>
        <v>23011.8</v>
      </c>
      <c r="BH169" s="23"/>
      <c r="BI169" s="23"/>
    </row>
    <row r="170" spans="2:61" x14ac:dyDescent="0.3">
      <c r="B170" s="5408" t="s">
        <v>1063</v>
      </c>
      <c r="C170" s="4932" t="s">
        <v>351</v>
      </c>
      <c r="D170" s="5229"/>
      <c r="E170" s="5184">
        <v>291.64</v>
      </c>
      <c r="F170" s="5229"/>
      <c r="G170" s="5061"/>
      <c r="H170" s="5376"/>
      <c r="I170" s="4918">
        <f t="shared" si="205"/>
        <v>291.64</v>
      </c>
      <c r="J170" s="4919"/>
      <c r="K170" s="5061">
        <v>246.06</v>
      </c>
      <c r="L170" s="5061"/>
      <c r="M170" s="5296">
        <f t="shared" si="166"/>
        <v>537.70000000000005</v>
      </c>
      <c r="N170" s="5061"/>
      <c r="O170" s="5061"/>
      <c r="P170" s="5061"/>
      <c r="Q170" s="4965">
        <f t="shared" si="154"/>
        <v>537.70000000000005</v>
      </c>
      <c r="R170" s="5229"/>
      <c r="S170" s="5061">
        <v>299.37</v>
      </c>
      <c r="T170" s="5061"/>
      <c r="U170" s="4843">
        <f t="shared" si="119"/>
        <v>837.07</v>
      </c>
      <c r="V170" s="5229"/>
      <c r="W170" s="5061"/>
      <c r="X170" s="5061"/>
      <c r="Y170" s="5296">
        <f t="shared" si="172"/>
        <v>299.37</v>
      </c>
      <c r="Z170" s="5184"/>
      <c r="AA170" s="5105">
        <f t="shared" si="173"/>
        <v>837.07</v>
      </c>
      <c r="AB170" s="5229"/>
      <c r="AC170" s="5061"/>
      <c r="AD170" s="5061"/>
      <c r="AE170" s="5062">
        <f t="shared" si="203"/>
        <v>837.07</v>
      </c>
      <c r="AF170" s="5229"/>
      <c r="AG170" s="5061">
        <v>299.89</v>
      </c>
      <c r="AH170" s="5061"/>
      <c r="AI170" s="5062">
        <f t="shared" si="168"/>
        <v>1136.96</v>
      </c>
      <c r="AJ170" s="5229"/>
      <c r="AK170" s="5061"/>
      <c r="AL170" s="5229"/>
      <c r="AM170" s="5296">
        <f t="shared" si="174"/>
        <v>299.89</v>
      </c>
      <c r="AN170" s="5061"/>
      <c r="AO170" s="5062">
        <f t="shared" si="204"/>
        <v>1136.96</v>
      </c>
      <c r="AP170" s="5229"/>
      <c r="AQ170" s="5061"/>
      <c r="AR170" s="5061"/>
      <c r="AS170" s="5062">
        <f t="shared" si="206"/>
        <v>1136.96</v>
      </c>
      <c r="AT170" s="5229"/>
      <c r="AU170" s="5061"/>
      <c r="AV170" s="5061"/>
      <c r="AW170" s="5062">
        <f t="shared" si="170"/>
        <v>1136.96</v>
      </c>
      <c r="AX170" s="5229"/>
      <c r="AY170" s="5061"/>
      <c r="AZ170" s="5229"/>
      <c r="BA170" s="5296">
        <f t="shared" si="175"/>
        <v>0</v>
      </c>
      <c r="BB170" s="5184"/>
      <c r="BC170" s="5105">
        <f t="shared" si="176"/>
        <v>299.89</v>
      </c>
      <c r="BD170" s="5061"/>
      <c r="BE170" s="4406">
        <f t="shared" si="195"/>
        <v>1136.96</v>
      </c>
      <c r="BH170" s="23"/>
      <c r="BI170" s="23"/>
    </row>
    <row r="171" spans="2:61" x14ac:dyDescent="0.3">
      <c r="B171" s="4294" t="s">
        <v>2160</v>
      </c>
      <c r="C171" s="4932" t="s">
        <v>351</v>
      </c>
      <c r="D171" s="5229"/>
      <c r="E171" s="5061">
        <v>95.97</v>
      </c>
      <c r="F171" s="5229"/>
      <c r="G171" s="5061">
        <v>143.69</v>
      </c>
      <c r="H171" s="5376"/>
      <c r="I171" s="4918">
        <f t="shared" si="205"/>
        <v>239.66</v>
      </c>
      <c r="J171" s="4919"/>
      <c r="K171" s="5061"/>
      <c r="L171" s="5061"/>
      <c r="M171" s="5296"/>
      <c r="N171" s="5061"/>
      <c r="O171" s="5061"/>
      <c r="P171" s="5061"/>
      <c r="Q171" s="4965"/>
      <c r="R171" s="5229"/>
      <c r="S171" s="5061"/>
      <c r="T171" s="5061"/>
      <c r="U171" s="4843"/>
      <c r="V171" s="5229"/>
      <c r="W171" s="5061"/>
      <c r="X171" s="5061"/>
      <c r="Y171" s="5296"/>
      <c r="Z171" s="5184"/>
      <c r="AA171" s="5105"/>
      <c r="AB171" s="5229"/>
      <c r="AC171" s="5061"/>
      <c r="AD171" s="5061"/>
      <c r="AE171" s="5062"/>
      <c r="AF171" s="5229"/>
      <c r="AG171" s="5061"/>
      <c r="AH171" s="5061"/>
      <c r="AI171" s="5062"/>
      <c r="AJ171" s="5229"/>
      <c r="AK171" s="5061"/>
      <c r="AL171" s="5229"/>
      <c r="AM171" s="5296"/>
      <c r="AN171" s="5061"/>
      <c r="AO171" s="5062"/>
      <c r="AP171" s="5229"/>
      <c r="AQ171" s="5061"/>
      <c r="AR171" s="5061"/>
      <c r="AS171" s="5062"/>
      <c r="AT171" s="5229"/>
      <c r="AU171" s="5061"/>
      <c r="AV171" s="5061"/>
      <c r="AW171" s="5062"/>
      <c r="AX171" s="5229"/>
      <c r="AY171" s="5061">
        <v>139.88</v>
      </c>
      <c r="AZ171" s="5229"/>
      <c r="BA171" s="5296">
        <f t="shared" ref="BA171" si="207">+AQ171+AU171+AY171</f>
        <v>139.88</v>
      </c>
      <c r="BB171" s="5184"/>
      <c r="BC171" s="5105">
        <f t="shared" ref="BC171" si="208">BA171+AM171</f>
        <v>139.88</v>
      </c>
      <c r="BD171" s="5061"/>
      <c r="BE171" s="4406">
        <f t="shared" ref="BE171" si="209">+AW171+AY171</f>
        <v>139.88</v>
      </c>
      <c r="BH171" s="23"/>
      <c r="BI171" s="23"/>
    </row>
    <row r="172" spans="2:61" x14ac:dyDescent="0.3">
      <c r="B172" s="5409" t="s">
        <v>2159</v>
      </c>
      <c r="C172" s="4932" t="s">
        <v>351</v>
      </c>
      <c r="D172" s="5229"/>
      <c r="E172" s="5061"/>
      <c r="F172" s="5229"/>
      <c r="G172" s="5061"/>
      <c r="H172" s="5376"/>
      <c r="I172" s="4920">
        <f t="shared" si="205"/>
        <v>0</v>
      </c>
      <c r="J172" s="4919"/>
      <c r="K172" s="5061"/>
      <c r="L172" s="5061"/>
      <c r="M172" s="5296">
        <f t="shared" si="166"/>
        <v>0</v>
      </c>
      <c r="N172" s="5061"/>
      <c r="O172" s="5061">
        <v>29.34</v>
      </c>
      <c r="P172" s="5061"/>
      <c r="Q172" s="4965">
        <f t="shared" si="154"/>
        <v>29.34</v>
      </c>
      <c r="R172" s="5229"/>
      <c r="S172" s="5061"/>
      <c r="T172" s="5061"/>
      <c r="U172" s="4843">
        <f t="shared" si="119"/>
        <v>29.34</v>
      </c>
      <c r="V172" s="5229"/>
      <c r="W172" s="5061"/>
      <c r="X172" s="5061"/>
      <c r="Y172" s="5296">
        <f t="shared" si="172"/>
        <v>29.34</v>
      </c>
      <c r="Z172" s="5184"/>
      <c r="AA172" s="5105">
        <f t="shared" si="173"/>
        <v>29.34</v>
      </c>
      <c r="AB172" s="5229"/>
      <c r="AC172" s="5061"/>
      <c r="AD172" s="5061"/>
      <c r="AE172" s="5062">
        <f t="shared" si="203"/>
        <v>29.34</v>
      </c>
      <c r="AF172" s="5229"/>
      <c r="AG172" s="5061"/>
      <c r="AH172" s="5061"/>
      <c r="AI172" s="5062">
        <f t="shared" si="168"/>
        <v>29.34</v>
      </c>
      <c r="AJ172" s="5229"/>
      <c r="AK172" s="5061"/>
      <c r="AL172" s="5229"/>
      <c r="AM172" s="5296">
        <f t="shared" si="174"/>
        <v>0</v>
      </c>
      <c r="AN172" s="5061"/>
      <c r="AO172" s="5062">
        <f t="shared" si="204"/>
        <v>29.34</v>
      </c>
      <c r="AP172" s="5229"/>
      <c r="AQ172" s="5061"/>
      <c r="AR172" s="5061"/>
      <c r="AS172" s="5062">
        <f t="shared" si="206"/>
        <v>29.34</v>
      </c>
      <c r="AT172" s="5229"/>
      <c r="AU172" s="5061"/>
      <c r="AV172" s="5061"/>
      <c r="AW172" s="5062">
        <f t="shared" si="170"/>
        <v>29.34</v>
      </c>
      <c r="AX172" s="5229"/>
      <c r="AY172" s="5061"/>
      <c r="AZ172" s="5229"/>
      <c r="BA172" s="5296">
        <f t="shared" si="175"/>
        <v>0</v>
      </c>
      <c r="BB172" s="5184"/>
      <c r="BC172" s="5105">
        <f t="shared" si="176"/>
        <v>0</v>
      </c>
      <c r="BD172" s="5061"/>
      <c r="BE172" s="4406">
        <f t="shared" si="195"/>
        <v>29.34</v>
      </c>
      <c r="BH172" s="23"/>
      <c r="BI172" s="23"/>
    </row>
    <row r="173" spans="2:61" x14ac:dyDescent="0.3">
      <c r="B173" s="4841" t="s">
        <v>1993</v>
      </c>
      <c r="C173" s="4932" t="s">
        <v>351</v>
      </c>
      <c r="D173" s="4928"/>
      <c r="E173" s="5229"/>
      <c r="F173" s="4928"/>
      <c r="G173" s="5229"/>
      <c r="H173" s="5381"/>
      <c r="I173" s="4920">
        <f t="shared" si="205"/>
        <v>0</v>
      </c>
      <c r="J173" s="4921"/>
      <c r="K173" s="5229"/>
      <c r="L173" s="5229"/>
      <c r="M173" s="5296">
        <f t="shared" si="166"/>
        <v>0</v>
      </c>
      <c r="N173" s="5229"/>
      <c r="O173" s="5383">
        <v>30</v>
      </c>
      <c r="P173" s="5229"/>
      <c r="Q173" s="4965">
        <f t="shared" si="154"/>
        <v>30</v>
      </c>
      <c r="R173" s="4928"/>
      <c r="S173" s="5229"/>
      <c r="T173" s="5229"/>
      <c r="U173" s="4843">
        <f t="shared" si="119"/>
        <v>30</v>
      </c>
      <c r="V173" s="4928"/>
      <c r="W173" s="5229"/>
      <c r="X173" s="5229"/>
      <c r="Y173" s="5296">
        <f t="shared" si="172"/>
        <v>30</v>
      </c>
      <c r="Z173" s="5184"/>
      <c r="AA173" s="5105">
        <f t="shared" si="173"/>
        <v>30</v>
      </c>
      <c r="AB173" s="4928"/>
      <c r="AC173" s="5229"/>
      <c r="AD173" s="5229"/>
      <c r="AE173" s="5062">
        <f t="shared" si="203"/>
        <v>30</v>
      </c>
      <c r="AF173" s="4928"/>
      <c r="AG173" s="5229"/>
      <c r="AH173" s="5229"/>
      <c r="AI173" s="5062">
        <f t="shared" si="168"/>
        <v>30</v>
      </c>
      <c r="AJ173" s="4928"/>
      <c r="AK173" s="5229"/>
      <c r="AL173" s="4928"/>
      <c r="AM173" s="5296">
        <f t="shared" si="174"/>
        <v>0</v>
      </c>
      <c r="AN173" s="5229"/>
      <c r="AO173" s="5062">
        <f t="shared" si="204"/>
        <v>30</v>
      </c>
      <c r="AP173" s="4928"/>
      <c r="AQ173" s="5229"/>
      <c r="AR173" s="5229"/>
      <c r="AS173" s="5062">
        <f t="shared" si="206"/>
        <v>30</v>
      </c>
      <c r="AT173" s="4928"/>
      <c r="AU173" s="5229"/>
      <c r="AV173" s="5229"/>
      <c r="AW173" s="5062">
        <f t="shared" si="170"/>
        <v>30</v>
      </c>
      <c r="AX173" s="4928"/>
      <c r="AY173" s="5229"/>
      <c r="AZ173" s="4928"/>
      <c r="BA173" s="5296">
        <f t="shared" si="175"/>
        <v>0</v>
      </c>
      <c r="BB173" s="5184"/>
      <c r="BC173" s="5105">
        <f t="shared" si="176"/>
        <v>0</v>
      </c>
      <c r="BD173" s="5229"/>
      <c r="BE173" s="4406">
        <f t="shared" si="195"/>
        <v>30</v>
      </c>
      <c r="BH173" s="23"/>
      <c r="BI173" s="23"/>
    </row>
    <row r="174" spans="2:61" x14ac:dyDescent="0.3">
      <c r="B174" s="4841" t="s">
        <v>2162</v>
      </c>
      <c r="C174" s="4932" t="s">
        <v>351</v>
      </c>
      <c r="D174" s="4928"/>
      <c r="E174" s="5229"/>
      <c r="F174" s="4928"/>
      <c r="G174" s="5229"/>
      <c r="H174" s="5381"/>
      <c r="I174" s="4920">
        <f t="shared" si="205"/>
        <v>0</v>
      </c>
      <c r="J174" s="4921"/>
      <c r="K174" s="5229"/>
      <c r="L174" s="5229"/>
      <c r="M174" s="5296"/>
      <c r="N174" s="5229"/>
      <c r="O174" s="5383"/>
      <c r="P174" s="5229"/>
      <c r="Q174" s="4965"/>
      <c r="R174" s="4928"/>
      <c r="S174" s="5229"/>
      <c r="T174" s="5229"/>
      <c r="U174" s="4843"/>
      <c r="V174" s="4928"/>
      <c r="W174" s="5229"/>
      <c r="X174" s="5229"/>
      <c r="Y174" s="5296"/>
      <c r="Z174" s="5184"/>
      <c r="AA174" s="5105"/>
      <c r="AB174" s="4928"/>
      <c r="AC174" s="5229"/>
      <c r="AD174" s="5229"/>
      <c r="AE174" s="5062"/>
      <c r="AF174" s="4928"/>
      <c r="AG174" s="5229"/>
      <c r="AH174" s="5229"/>
      <c r="AI174" s="5062"/>
      <c r="AJ174" s="4928"/>
      <c r="AK174" s="5229"/>
      <c r="AL174" s="4928"/>
      <c r="AM174" s="5296"/>
      <c r="AN174" s="5229"/>
      <c r="AO174" s="5062"/>
      <c r="AP174" s="4928"/>
      <c r="AQ174" s="5229"/>
      <c r="AR174" s="5229"/>
      <c r="AS174" s="5062"/>
      <c r="AT174" s="4928"/>
      <c r="AU174" s="5229"/>
      <c r="AV174" s="5229"/>
      <c r="AW174" s="5062"/>
      <c r="AX174" s="4928"/>
      <c r="AY174" s="5229">
        <v>3</v>
      </c>
      <c r="AZ174" s="4928"/>
      <c r="BA174" s="5296">
        <f t="shared" si="175"/>
        <v>3</v>
      </c>
      <c r="BB174" s="5184"/>
      <c r="BC174" s="5105">
        <f t="shared" si="176"/>
        <v>3</v>
      </c>
      <c r="BD174" s="5229"/>
      <c r="BE174" s="4406">
        <f t="shared" si="195"/>
        <v>3</v>
      </c>
      <c r="BH174" s="23"/>
      <c r="BI174" s="23"/>
    </row>
    <row r="175" spans="2:61" x14ac:dyDescent="0.3">
      <c r="B175" s="4841" t="s">
        <v>1992</v>
      </c>
      <c r="C175" s="4932" t="s">
        <v>351</v>
      </c>
      <c r="D175" s="4928"/>
      <c r="E175" s="5229"/>
      <c r="F175" s="4928"/>
      <c r="G175" s="5229"/>
      <c r="H175" s="5381"/>
      <c r="I175" s="4920">
        <f t="shared" si="205"/>
        <v>0</v>
      </c>
      <c r="J175" s="4921"/>
      <c r="K175" s="5229"/>
      <c r="L175" s="5229"/>
      <c r="M175" s="5296">
        <f t="shared" si="166"/>
        <v>0</v>
      </c>
      <c r="N175" s="5229"/>
      <c r="O175" s="5383">
        <v>9.8800000000000008</v>
      </c>
      <c r="P175" s="5229"/>
      <c r="Q175" s="4965">
        <f t="shared" si="154"/>
        <v>9.8800000000000008</v>
      </c>
      <c r="R175" s="4928"/>
      <c r="S175" s="5229"/>
      <c r="T175" s="5229"/>
      <c r="U175" s="4843">
        <f t="shared" si="119"/>
        <v>9.8800000000000008</v>
      </c>
      <c r="V175" s="4928"/>
      <c r="W175" s="5229"/>
      <c r="X175" s="5229"/>
      <c r="Y175" s="5296">
        <f t="shared" si="172"/>
        <v>9.8800000000000008</v>
      </c>
      <c r="Z175" s="5184"/>
      <c r="AA175" s="5105">
        <f t="shared" si="173"/>
        <v>9.8800000000000008</v>
      </c>
      <c r="AB175" s="4928"/>
      <c r="AC175" s="5229"/>
      <c r="AD175" s="5229"/>
      <c r="AE175" s="5062">
        <f t="shared" si="203"/>
        <v>9.8800000000000008</v>
      </c>
      <c r="AF175" s="4928"/>
      <c r="AG175" s="5229"/>
      <c r="AH175" s="5229"/>
      <c r="AI175" s="5062">
        <f t="shared" si="168"/>
        <v>9.8800000000000008</v>
      </c>
      <c r="AJ175" s="4928"/>
      <c r="AK175" s="5229"/>
      <c r="AL175" s="4928"/>
      <c r="AM175" s="5296">
        <f t="shared" si="174"/>
        <v>0</v>
      </c>
      <c r="AN175" s="5229"/>
      <c r="AO175" s="5062">
        <f t="shared" si="204"/>
        <v>9.8800000000000008</v>
      </c>
      <c r="AP175" s="4928"/>
      <c r="AQ175" s="5229"/>
      <c r="AR175" s="5229"/>
      <c r="AS175" s="5062">
        <f t="shared" si="206"/>
        <v>9.8800000000000008</v>
      </c>
      <c r="AT175" s="4928"/>
      <c r="AU175" s="5229"/>
      <c r="AV175" s="5229"/>
      <c r="AW175" s="5062">
        <f t="shared" si="170"/>
        <v>9.8800000000000008</v>
      </c>
      <c r="AX175" s="4928"/>
      <c r="AY175" s="5229"/>
      <c r="AZ175" s="4928"/>
      <c r="BA175" s="5296">
        <f t="shared" si="175"/>
        <v>0</v>
      </c>
      <c r="BB175" s="5184"/>
      <c r="BC175" s="5105">
        <f t="shared" ref="BC175" si="210">BA175+AM175</f>
        <v>0</v>
      </c>
      <c r="BD175" s="5229"/>
      <c r="BE175" s="4406">
        <f t="shared" ref="BE175" si="211">+AW175+AY175</f>
        <v>9.8800000000000008</v>
      </c>
      <c r="BH175" s="23"/>
      <c r="BI175" s="23"/>
    </row>
    <row r="176" spans="2:61" x14ac:dyDescent="0.3">
      <c r="B176" s="4841" t="s">
        <v>1403</v>
      </c>
      <c r="C176" s="4932" t="s">
        <v>351</v>
      </c>
      <c r="D176" s="4928"/>
      <c r="E176" s="4928"/>
      <c r="F176" s="4928"/>
      <c r="G176" s="4928"/>
      <c r="H176" s="4965"/>
      <c r="I176" s="4920">
        <f t="shared" si="205"/>
        <v>0</v>
      </c>
      <c r="J176" s="5394"/>
      <c r="K176" s="4928"/>
      <c r="L176" s="4928"/>
      <c r="M176" s="5296">
        <f t="shared" si="166"/>
        <v>0</v>
      </c>
      <c r="N176" s="4928"/>
      <c r="O176" s="4928"/>
      <c r="P176" s="4928"/>
      <c r="Q176" s="4965">
        <f t="shared" si="154"/>
        <v>0</v>
      </c>
      <c r="R176" s="4928"/>
      <c r="S176" s="4928">
        <v>3.49</v>
      </c>
      <c r="T176" s="4928"/>
      <c r="U176" s="4843">
        <f t="shared" si="119"/>
        <v>3.49</v>
      </c>
      <c r="V176" s="4928"/>
      <c r="W176" s="4928"/>
      <c r="X176" s="4928"/>
      <c r="Y176" s="5296">
        <f t="shared" si="172"/>
        <v>3.49</v>
      </c>
      <c r="Z176" s="5184"/>
      <c r="AA176" s="5105">
        <f t="shared" si="173"/>
        <v>3.49</v>
      </c>
      <c r="AB176" s="4928"/>
      <c r="AC176" s="4928"/>
      <c r="AD176" s="4928"/>
      <c r="AE176" s="5062">
        <f t="shared" si="203"/>
        <v>3.49</v>
      </c>
      <c r="AF176" s="4928"/>
      <c r="AG176" s="4928"/>
      <c r="AH176" s="4928"/>
      <c r="AI176" s="5062">
        <f t="shared" si="168"/>
        <v>3.49</v>
      </c>
      <c r="AJ176" s="4928"/>
      <c r="AK176" s="4928"/>
      <c r="AL176" s="4928"/>
      <c r="AM176" s="5296">
        <f t="shared" si="174"/>
        <v>0</v>
      </c>
      <c r="AN176" s="4928"/>
      <c r="AO176" s="5062">
        <f t="shared" si="204"/>
        <v>3.49</v>
      </c>
      <c r="AP176" s="4928"/>
      <c r="AQ176" s="4928"/>
      <c r="AR176" s="4928"/>
      <c r="AS176" s="5062">
        <f t="shared" si="206"/>
        <v>3.49</v>
      </c>
      <c r="AT176" s="4928"/>
      <c r="AU176" s="4928"/>
      <c r="AV176" s="4928"/>
      <c r="AW176" s="5062">
        <f t="shared" si="170"/>
        <v>3.49</v>
      </c>
      <c r="AX176" s="4928"/>
      <c r="AY176" s="4928"/>
      <c r="AZ176" s="4928"/>
      <c r="BA176" s="5296">
        <f t="shared" si="175"/>
        <v>0</v>
      </c>
      <c r="BB176" s="5184"/>
      <c r="BC176" s="5105">
        <f t="shared" si="176"/>
        <v>0</v>
      </c>
      <c r="BD176" s="4928"/>
      <c r="BE176" s="4406">
        <f t="shared" si="195"/>
        <v>3.49</v>
      </c>
      <c r="BH176" s="23"/>
      <c r="BI176" s="23"/>
    </row>
    <row r="177" spans="1:61" ht="16.2" thickBot="1" x14ac:dyDescent="0.35">
      <c r="B177" s="4841" t="s">
        <v>2014</v>
      </c>
      <c r="C177" s="4932" t="s">
        <v>351</v>
      </c>
      <c r="D177" s="5410"/>
      <c r="E177" s="4928"/>
      <c r="F177" s="5410"/>
      <c r="G177" s="4928"/>
      <c r="H177" s="4965"/>
      <c r="I177" s="5411">
        <f t="shared" si="205"/>
        <v>0</v>
      </c>
      <c r="J177" s="5394"/>
      <c r="K177" s="4928"/>
      <c r="L177" s="4928"/>
      <c r="M177" s="5296">
        <f t="shared" si="166"/>
        <v>0</v>
      </c>
      <c r="N177" s="4928"/>
      <c r="O177" s="4928"/>
      <c r="P177" s="4928"/>
      <c r="Q177" s="4965">
        <f t="shared" si="154"/>
        <v>0</v>
      </c>
      <c r="R177" s="5410"/>
      <c r="S177" s="4928">
        <v>8.86</v>
      </c>
      <c r="T177" s="4928"/>
      <c r="U177" s="4843">
        <f t="shared" si="119"/>
        <v>8.86</v>
      </c>
      <c r="V177" s="5410"/>
      <c r="W177" s="4928"/>
      <c r="X177" s="4928"/>
      <c r="Y177" s="5296">
        <f t="shared" si="172"/>
        <v>8.86</v>
      </c>
      <c r="Z177" s="5184"/>
      <c r="AA177" s="5105">
        <f t="shared" si="173"/>
        <v>8.86</v>
      </c>
      <c r="AB177" s="5410"/>
      <c r="AC177" s="4928"/>
      <c r="AD177" s="4928"/>
      <c r="AE177" s="5062">
        <f t="shared" si="203"/>
        <v>8.86</v>
      </c>
      <c r="AF177" s="5410"/>
      <c r="AG177" s="4928"/>
      <c r="AH177" s="4928"/>
      <c r="AI177" s="5062">
        <f t="shared" si="168"/>
        <v>8.86</v>
      </c>
      <c r="AJ177" s="5410"/>
      <c r="AK177" s="4928"/>
      <c r="AL177" s="5410"/>
      <c r="AM177" s="5296">
        <f t="shared" si="174"/>
        <v>0</v>
      </c>
      <c r="AN177" s="4928"/>
      <c r="AO177" s="5062">
        <f t="shared" si="204"/>
        <v>8.86</v>
      </c>
      <c r="AP177" s="5410"/>
      <c r="AQ177" s="4928"/>
      <c r="AR177" s="4928"/>
      <c r="AS177" s="5062">
        <f t="shared" si="206"/>
        <v>8.86</v>
      </c>
      <c r="AT177" s="5410"/>
      <c r="AU177" s="4928"/>
      <c r="AV177" s="4928"/>
      <c r="AW177" s="5062">
        <f t="shared" si="170"/>
        <v>8.86</v>
      </c>
      <c r="AX177" s="5410"/>
      <c r="AY177" s="4928"/>
      <c r="AZ177" s="5410"/>
      <c r="BA177" s="5296">
        <f t="shared" si="175"/>
        <v>0</v>
      </c>
      <c r="BB177" s="5184"/>
      <c r="BC177" s="5105">
        <f t="shared" si="176"/>
        <v>0</v>
      </c>
      <c r="BD177" s="4928"/>
      <c r="BE177" s="4406">
        <f t="shared" si="195"/>
        <v>8.86</v>
      </c>
      <c r="BH177" s="23"/>
      <c r="BI177" s="23"/>
    </row>
    <row r="178" spans="1:61" ht="21" thickBot="1" x14ac:dyDescent="0.35">
      <c r="A178" s="137"/>
      <c r="B178" s="1585" t="s">
        <v>1064</v>
      </c>
      <c r="C178" s="5412" t="s">
        <v>351</v>
      </c>
      <c r="D178" s="1243"/>
      <c r="E178" s="5410">
        <v>121.79</v>
      </c>
      <c r="F178" s="1243"/>
      <c r="G178" s="5410">
        <v>133.71</v>
      </c>
      <c r="H178" s="5413"/>
      <c r="I178" s="5413">
        <f t="shared" si="205"/>
        <v>255.5</v>
      </c>
      <c r="J178" s="2942"/>
      <c r="K178" s="5410">
        <v>95.71</v>
      </c>
      <c r="L178" s="5410"/>
      <c r="M178" s="5377">
        <f t="shared" si="166"/>
        <v>351.21</v>
      </c>
      <c r="N178" s="5410"/>
      <c r="O178" s="5410">
        <v>119.42999999999999</v>
      </c>
      <c r="P178" s="5410"/>
      <c r="Q178" s="4965">
        <f t="shared" si="154"/>
        <v>470.64</v>
      </c>
      <c r="R178" s="1243"/>
      <c r="S178" s="5410">
        <v>148.55000000000001</v>
      </c>
      <c r="T178" s="5410"/>
      <c r="U178" s="4843">
        <f t="shared" si="119"/>
        <v>619.19000000000005</v>
      </c>
      <c r="V178" s="1243"/>
      <c r="W178" s="5410">
        <v>157.19</v>
      </c>
      <c r="X178" s="5410"/>
      <c r="Y178" s="5377">
        <f t="shared" si="172"/>
        <v>425.17</v>
      </c>
      <c r="Z178" s="5184"/>
      <c r="AA178" s="5414">
        <f t="shared" si="173"/>
        <v>776.38</v>
      </c>
      <c r="AB178" s="1243"/>
      <c r="AC178" s="5410">
        <v>128.69999999999999</v>
      </c>
      <c r="AD178" s="5410"/>
      <c r="AE178" s="5415">
        <f t="shared" si="203"/>
        <v>905.07999999999993</v>
      </c>
      <c r="AF178" s="1243"/>
      <c r="AG178" s="5410">
        <v>122.87</v>
      </c>
      <c r="AH178" s="5410"/>
      <c r="AI178" s="5415">
        <f t="shared" si="168"/>
        <v>1027.9499999999998</v>
      </c>
      <c r="AJ178" s="1243"/>
      <c r="AK178" s="5410">
        <v>110.17</v>
      </c>
      <c r="AL178" s="1243"/>
      <c r="AM178" s="5377">
        <f t="shared" si="174"/>
        <v>361.74</v>
      </c>
      <c r="AN178" s="5410"/>
      <c r="AO178" s="5415">
        <f t="shared" si="204"/>
        <v>1138.1199999999999</v>
      </c>
      <c r="AP178" s="1243"/>
      <c r="AQ178" s="5410">
        <v>134.59</v>
      </c>
      <c r="AR178" s="5410"/>
      <c r="AS178" s="5415">
        <f t="shared" si="206"/>
        <v>1272.7099999999998</v>
      </c>
      <c r="AT178" s="1243"/>
      <c r="AU178" s="5410">
        <v>96.22</v>
      </c>
      <c r="AV178" s="5410"/>
      <c r="AW178" s="5415">
        <f t="shared" si="170"/>
        <v>1368.9299999999998</v>
      </c>
      <c r="AX178" s="1243"/>
      <c r="AY178" s="5410">
        <v>133.66999999999999</v>
      </c>
      <c r="AZ178" s="1243"/>
      <c r="BA178" s="5377">
        <f t="shared" si="175"/>
        <v>364.48</v>
      </c>
      <c r="BB178" s="5184"/>
      <c r="BC178" s="5414">
        <f t="shared" si="176"/>
        <v>726.22</v>
      </c>
      <c r="BD178" s="5410"/>
      <c r="BE178" s="5415">
        <f t="shared" si="195"/>
        <v>1502.6</v>
      </c>
      <c r="BH178" s="23"/>
      <c r="BI178" s="23"/>
    </row>
    <row r="179" spans="1:61" ht="25.2" thickBot="1" x14ac:dyDescent="0.4">
      <c r="A179" s="489"/>
      <c r="B179" s="2224" t="s">
        <v>1195</v>
      </c>
      <c r="C179" s="2225" t="s">
        <v>351</v>
      </c>
      <c r="D179" s="2226">
        <f t="shared" ref="D179:E179" si="212">+SUM(D143:D178)-D168</f>
        <v>0</v>
      </c>
      <c r="E179" s="2226">
        <f t="shared" si="212"/>
        <v>2204.9899999999998</v>
      </c>
      <c r="F179" s="2226">
        <f t="shared" ref="F179:G179" si="213">+SUM(F143:F178)-F168</f>
        <v>0</v>
      </c>
      <c r="G179" s="2226">
        <f t="shared" si="213"/>
        <v>2121.5700000000002</v>
      </c>
      <c r="H179" s="2226">
        <f t="shared" ref="H179:P179" si="214">+SUM(H143:H178)-H168</f>
        <v>0</v>
      </c>
      <c r="I179" s="2226">
        <f t="shared" si="214"/>
        <v>4326.5600000000004</v>
      </c>
      <c r="J179" s="2943">
        <f t="shared" si="214"/>
        <v>0</v>
      </c>
      <c r="K179" s="2226">
        <f t="shared" si="214"/>
        <v>1836.1499999999999</v>
      </c>
      <c r="L179" s="2226">
        <f t="shared" si="214"/>
        <v>0</v>
      </c>
      <c r="M179" s="2227">
        <f t="shared" si="214"/>
        <v>4871.2300000000005</v>
      </c>
      <c r="N179" s="2226">
        <f t="shared" si="214"/>
        <v>0</v>
      </c>
      <c r="O179" s="2226">
        <f t="shared" si="214"/>
        <v>1984.7700000000007</v>
      </c>
      <c r="P179" s="2226">
        <f t="shared" si="214"/>
        <v>0</v>
      </c>
      <c r="Q179" s="5389">
        <f t="shared" si="154"/>
        <v>6856.0000000000009</v>
      </c>
      <c r="R179" s="2226">
        <f>+SUM(R143:R178)-R168</f>
        <v>0</v>
      </c>
      <c r="S179" s="2226">
        <f>+SUM(S143:S178)-S168</f>
        <v>3394.56</v>
      </c>
      <c r="T179" s="2226">
        <f>+SUM(T143:T178)-T168</f>
        <v>0</v>
      </c>
      <c r="U179" s="5425">
        <f t="shared" ref="U179:U200" si="215">+Q179+S179</f>
        <v>10250.560000000001</v>
      </c>
      <c r="V179" s="2226">
        <f>+SUM(V143:V178)-V168</f>
        <v>0</v>
      </c>
      <c r="W179" s="2226">
        <f>+SUM(W143:W178)-W168</f>
        <v>3315.4999999999995</v>
      </c>
      <c r="X179" s="2226">
        <f>+SUM(X143:X178)-X168</f>
        <v>0</v>
      </c>
      <c r="Y179" s="2227">
        <f t="shared" si="172"/>
        <v>8694.83</v>
      </c>
      <c r="Z179" s="2226">
        <f>+SUM(Z143:Z178)-Z168</f>
        <v>0</v>
      </c>
      <c r="AA179" s="2342">
        <f t="shared" si="173"/>
        <v>13566.060000000001</v>
      </c>
      <c r="AB179" s="2226">
        <f t="shared" ref="AB179:AH179" si="216">+SUM(AB143:AB178)-AB168</f>
        <v>0</v>
      </c>
      <c r="AC179" s="2226">
        <f t="shared" si="216"/>
        <v>2085.7139999999999</v>
      </c>
      <c r="AD179" s="2226">
        <f t="shared" si="216"/>
        <v>0</v>
      </c>
      <c r="AE179" s="2226">
        <f t="shared" si="216"/>
        <v>15651.774000000003</v>
      </c>
      <c r="AF179" s="2226">
        <f t="shared" si="216"/>
        <v>0</v>
      </c>
      <c r="AG179" s="2226">
        <f t="shared" si="216"/>
        <v>2752.81</v>
      </c>
      <c r="AH179" s="2226">
        <f t="shared" si="216"/>
        <v>0</v>
      </c>
      <c r="AI179" s="2226">
        <f t="shared" si="168"/>
        <v>18404.584000000003</v>
      </c>
      <c r="AJ179" s="2226">
        <f>+SUM(AJ143:AJ178)-AJ168</f>
        <v>0</v>
      </c>
      <c r="AK179" s="2226">
        <f>+SUM(AK143:AK178)-AK168</f>
        <v>2751.5810000000001</v>
      </c>
      <c r="AL179" s="2226">
        <f>+SUM(AL143:AL178)-AL168</f>
        <v>0</v>
      </c>
      <c r="AM179" s="2227">
        <f t="shared" si="174"/>
        <v>7590.1049999999996</v>
      </c>
      <c r="AN179" s="2226">
        <f>+SUM(AN143:AN178)-AN168</f>
        <v>0</v>
      </c>
      <c r="AO179" s="2226">
        <f t="shared" si="204"/>
        <v>21156.165000000001</v>
      </c>
      <c r="AP179" s="2226">
        <f t="shared" ref="AP179:AZ179" si="217">+SUM(AP143:AP178)-AP168</f>
        <v>0</v>
      </c>
      <c r="AQ179" s="2226">
        <f t="shared" si="217"/>
        <v>7935.1980000000003</v>
      </c>
      <c r="AR179" s="2226">
        <f t="shared" si="217"/>
        <v>0</v>
      </c>
      <c r="AS179" s="2226">
        <f t="shared" si="217"/>
        <v>29091.362999999994</v>
      </c>
      <c r="AT179" s="2226">
        <f t="shared" si="217"/>
        <v>0</v>
      </c>
      <c r="AU179" s="2226">
        <f t="shared" si="217"/>
        <v>2918.7220000000002</v>
      </c>
      <c r="AV179" s="2226">
        <f t="shared" si="217"/>
        <v>0</v>
      </c>
      <c r="AW179" s="2226">
        <f t="shared" si="217"/>
        <v>32010.084999999988</v>
      </c>
      <c r="AX179" s="2226">
        <f t="shared" si="217"/>
        <v>0</v>
      </c>
      <c r="AY179" s="2226">
        <f t="shared" si="217"/>
        <v>2802.7200000000007</v>
      </c>
      <c r="AZ179" s="2226">
        <f t="shared" si="217"/>
        <v>0</v>
      </c>
      <c r="BA179" s="2227">
        <f t="shared" si="175"/>
        <v>13656.640000000001</v>
      </c>
      <c r="BB179" s="2226">
        <f>+SUM(BB143:BB178)-BB168</f>
        <v>0</v>
      </c>
      <c r="BC179" s="2342">
        <f t="shared" si="176"/>
        <v>21246.745000000003</v>
      </c>
      <c r="BD179" s="2226">
        <f>+SUM(BD143:BD178)-BD168</f>
        <v>0</v>
      </c>
      <c r="BE179" s="2226">
        <f>+SUM(BE143:BE178)-BE168</f>
        <v>34812.804999999993</v>
      </c>
      <c r="BH179" s="23"/>
      <c r="BI179" s="23"/>
    </row>
    <row r="180" spans="1:61" ht="22.8" x14ac:dyDescent="0.3">
      <c r="B180" s="2228" t="s">
        <v>653</v>
      </c>
      <c r="C180" s="191"/>
      <c r="D180" s="2231"/>
      <c r="E180" s="1558"/>
      <c r="F180" s="2231"/>
      <c r="G180" s="1558"/>
      <c r="H180" s="2229"/>
      <c r="I180" s="2229"/>
      <c r="J180" s="1558"/>
      <c r="K180" s="1558"/>
      <c r="L180" s="1558"/>
      <c r="M180" s="2230"/>
      <c r="N180" s="1558"/>
      <c r="O180" s="960"/>
      <c r="P180" s="1558"/>
      <c r="Q180" s="5325">
        <f t="shared" si="154"/>
        <v>0</v>
      </c>
      <c r="R180" s="2231"/>
      <c r="S180" s="1558"/>
      <c r="T180" s="1558"/>
      <c r="U180" s="2944">
        <f t="shared" si="215"/>
        <v>0</v>
      </c>
      <c r="V180" s="2231"/>
      <c r="W180" s="1558"/>
      <c r="X180" s="1558"/>
      <c r="Y180" s="2230"/>
      <c r="Z180" s="5429"/>
      <c r="AA180" s="5429"/>
      <c r="AB180" s="2231"/>
      <c r="AC180" s="1558"/>
      <c r="AD180" s="1558"/>
      <c r="AE180" s="1558"/>
      <c r="AF180" s="2231"/>
      <c r="AG180" s="1558"/>
      <c r="AH180" s="1558"/>
      <c r="AI180" s="1558"/>
      <c r="AJ180" s="2231"/>
      <c r="AK180" s="1558"/>
      <c r="AL180" s="1558"/>
      <c r="AM180" s="2230"/>
      <c r="AN180" s="1558"/>
      <c r="AO180" s="1558"/>
      <c r="AP180" s="2231"/>
      <c r="AQ180" s="1558"/>
      <c r="AR180" s="1558"/>
      <c r="AS180" s="1558"/>
      <c r="AT180" s="2231"/>
      <c r="AU180" s="1558"/>
      <c r="AV180" s="1558"/>
      <c r="AW180" s="1558"/>
      <c r="AX180" s="2231"/>
      <c r="AY180" s="1558"/>
      <c r="AZ180" s="5429"/>
      <c r="BA180" s="2230"/>
      <c r="BB180" s="5429"/>
      <c r="BC180" s="5429"/>
      <c r="BD180" s="5429"/>
      <c r="BE180" s="2330"/>
      <c r="BH180" s="23"/>
      <c r="BI180" s="23"/>
    </row>
    <row r="181" spans="1:61" ht="17.399999999999999" x14ac:dyDescent="0.3">
      <c r="B181" s="4049" t="s">
        <v>60</v>
      </c>
      <c r="C181" s="5334" t="s">
        <v>351</v>
      </c>
      <c r="D181" s="5059"/>
      <c r="E181" s="5315">
        <f>SUM(E182:E184)</f>
        <v>7429.69</v>
      </c>
      <c r="F181" s="5059"/>
      <c r="G181" s="5315">
        <f>SUM(G182:G184)</f>
        <v>0</v>
      </c>
      <c r="H181" s="5315"/>
      <c r="I181" s="5315">
        <f t="shared" ref="I181:I186" si="218">+E181+G181</f>
        <v>7429.69</v>
      </c>
      <c r="J181" s="5315"/>
      <c r="K181" s="5315">
        <f>SUM(K182:K183)</f>
        <v>0</v>
      </c>
      <c r="L181" s="5315"/>
      <c r="M181" s="4964">
        <f t="shared" ref="M181:M200" si="219">+E181+G181+K181</f>
        <v>7429.69</v>
      </c>
      <c r="N181" s="5315"/>
      <c r="O181" s="5315">
        <f>SUM(O182:O183)</f>
        <v>0</v>
      </c>
      <c r="P181" s="5315"/>
      <c r="Q181" s="4965">
        <f t="shared" si="154"/>
        <v>7429.69</v>
      </c>
      <c r="R181" s="5059"/>
      <c r="S181" s="5315">
        <f>SUM(S182:S183)</f>
        <v>0</v>
      </c>
      <c r="T181" s="5315"/>
      <c r="U181" s="5185">
        <f t="shared" si="215"/>
        <v>7429.69</v>
      </c>
      <c r="V181" s="5059"/>
      <c r="W181" s="5315">
        <f>SUM(W182:W183)</f>
        <v>10521.720000000001</v>
      </c>
      <c r="X181" s="5315"/>
      <c r="Y181" s="4964">
        <f t="shared" si="172"/>
        <v>10521.720000000001</v>
      </c>
      <c r="Z181" s="5059"/>
      <c r="AA181" s="5105">
        <f t="shared" si="173"/>
        <v>17951.41</v>
      </c>
      <c r="AB181" s="5059"/>
      <c r="AC181" s="5315">
        <f>SUM(AC182:AC183)</f>
        <v>0</v>
      </c>
      <c r="AD181" s="5315"/>
      <c r="AE181" s="5315">
        <f t="shared" ref="AE181:AE200" si="220">+AA181+AC181</f>
        <v>17951.41</v>
      </c>
      <c r="AF181" s="5059"/>
      <c r="AG181" s="5315">
        <f>SUM(AG182:AG183)</f>
        <v>0</v>
      </c>
      <c r="AH181" s="5315"/>
      <c r="AI181" s="5315">
        <f t="shared" ref="AI181:AI200" si="221">+AE181+AG181</f>
        <v>17951.41</v>
      </c>
      <c r="AJ181" s="5059"/>
      <c r="AK181" s="5315">
        <f>SUM(AK182:AK183)</f>
        <v>0</v>
      </c>
      <c r="AL181" s="5059"/>
      <c r="AM181" s="4964">
        <f t="shared" si="174"/>
        <v>0</v>
      </c>
      <c r="AN181" s="5315"/>
      <c r="AO181" s="5315">
        <f t="shared" si="204"/>
        <v>17951.41</v>
      </c>
      <c r="AP181" s="5059"/>
      <c r="AQ181" s="5315">
        <f>SUM(AQ182:AQ183)</f>
        <v>3358.47</v>
      </c>
      <c r="AR181" s="5315"/>
      <c r="AS181" s="5315">
        <f t="shared" ref="AS181:AS200" si="222">+AO181+AQ181</f>
        <v>21309.88</v>
      </c>
      <c r="AT181" s="5059"/>
      <c r="AU181" s="5315">
        <f>SUM(AU182:AU183)</f>
        <v>7172.4400000000005</v>
      </c>
      <c r="AV181" s="5315"/>
      <c r="AW181" s="5315">
        <f t="shared" ref="AW181:AW203" si="223">+AS181+AU181</f>
        <v>28482.32</v>
      </c>
      <c r="AX181" s="5059"/>
      <c r="AY181" s="5315">
        <f>SUM(AY182:AY183)</f>
        <v>0</v>
      </c>
      <c r="AZ181" s="5059"/>
      <c r="BA181" s="4964">
        <f t="shared" si="175"/>
        <v>10530.91</v>
      </c>
      <c r="BB181" s="5059"/>
      <c r="BC181" s="5105">
        <f t="shared" si="176"/>
        <v>10530.91</v>
      </c>
      <c r="BD181" s="5315"/>
      <c r="BE181" s="5378">
        <f t="shared" ref="BE181:BE187" si="224">+AW181+AY181</f>
        <v>28482.32</v>
      </c>
      <c r="BH181" s="23"/>
      <c r="BI181" s="23"/>
    </row>
    <row r="182" spans="1:61" x14ac:dyDescent="0.3">
      <c r="B182" s="4059" t="s">
        <v>909</v>
      </c>
      <c r="C182" s="4932" t="s">
        <v>351</v>
      </c>
      <c r="D182" s="5059"/>
      <c r="E182" s="5059"/>
      <c r="F182" s="5059"/>
      <c r="G182" s="5059"/>
      <c r="H182" s="5185"/>
      <c r="I182" s="5185">
        <f t="shared" si="218"/>
        <v>0</v>
      </c>
      <c r="J182" s="5059"/>
      <c r="K182" s="5059"/>
      <c r="L182" s="5059"/>
      <c r="M182" s="4964">
        <f t="shared" si="219"/>
        <v>0</v>
      </c>
      <c r="N182" s="5059"/>
      <c r="O182" s="5059"/>
      <c r="P182" s="5059"/>
      <c r="Q182" s="4965">
        <f t="shared" si="154"/>
        <v>0</v>
      </c>
      <c r="R182" s="5059"/>
      <c r="S182" s="5059"/>
      <c r="T182" s="5059"/>
      <c r="U182" s="5185">
        <f t="shared" si="215"/>
        <v>0</v>
      </c>
      <c r="V182" s="5059"/>
      <c r="W182" s="5059"/>
      <c r="X182" s="5059"/>
      <c r="Y182" s="4964">
        <f t="shared" si="172"/>
        <v>0</v>
      </c>
      <c r="Z182" s="5059"/>
      <c r="AA182" s="5105">
        <f t="shared" si="173"/>
        <v>0</v>
      </c>
      <c r="AB182" s="5059"/>
      <c r="AC182" s="5059"/>
      <c r="AD182" s="5059"/>
      <c r="AE182" s="5062">
        <f t="shared" si="220"/>
        <v>0</v>
      </c>
      <c r="AF182" s="5059"/>
      <c r="AG182" s="5059"/>
      <c r="AH182" s="5059"/>
      <c r="AI182" s="5062">
        <f t="shared" si="221"/>
        <v>0</v>
      </c>
      <c r="AJ182" s="5059"/>
      <c r="AK182" s="5059"/>
      <c r="AL182" s="5059"/>
      <c r="AM182" s="4964">
        <f t="shared" si="174"/>
        <v>0</v>
      </c>
      <c r="AN182" s="5059"/>
      <c r="AO182" s="5062">
        <f t="shared" si="204"/>
        <v>0</v>
      </c>
      <c r="AP182" s="5059"/>
      <c r="AQ182" s="5059"/>
      <c r="AR182" s="5059"/>
      <c r="AS182" s="5062">
        <f t="shared" si="222"/>
        <v>0</v>
      </c>
      <c r="AT182" s="5059"/>
      <c r="AU182" s="5059"/>
      <c r="AV182" s="5059"/>
      <c r="AW182" s="5062">
        <f t="shared" si="223"/>
        <v>0</v>
      </c>
      <c r="AX182" s="5059"/>
      <c r="AY182" s="5059"/>
      <c r="AZ182" s="5059"/>
      <c r="BA182" s="4964">
        <f t="shared" si="175"/>
        <v>0</v>
      </c>
      <c r="BB182" s="5059"/>
      <c r="BC182" s="5105">
        <f t="shared" si="176"/>
        <v>0</v>
      </c>
      <c r="BD182" s="5059"/>
      <c r="BE182" s="4406">
        <f t="shared" si="224"/>
        <v>0</v>
      </c>
      <c r="BH182" s="23"/>
      <c r="BI182" s="23"/>
    </row>
    <row r="183" spans="1:61" x14ac:dyDescent="0.3">
      <c r="B183" s="4059" t="s">
        <v>802</v>
      </c>
      <c r="C183" s="4932" t="s">
        <v>351</v>
      </c>
      <c r="D183" s="5059"/>
      <c r="E183" s="5059"/>
      <c r="F183" s="5059"/>
      <c r="G183" s="5059"/>
      <c r="H183" s="5185"/>
      <c r="I183" s="5185">
        <f t="shared" si="218"/>
        <v>0</v>
      </c>
      <c r="J183" s="5059"/>
      <c r="K183" s="5059"/>
      <c r="L183" s="5059"/>
      <c r="M183" s="4964">
        <f t="shared" si="219"/>
        <v>0</v>
      </c>
      <c r="N183" s="5059"/>
      <c r="O183" s="5059"/>
      <c r="P183" s="5059"/>
      <c r="Q183" s="4965">
        <f t="shared" si="154"/>
        <v>0</v>
      </c>
      <c r="R183" s="5059"/>
      <c r="S183" s="5059"/>
      <c r="T183" s="5059"/>
      <c r="U183" s="5185">
        <f t="shared" si="215"/>
        <v>0</v>
      </c>
      <c r="V183" s="5059"/>
      <c r="W183" s="5059">
        <v>10521.720000000001</v>
      </c>
      <c r="X183" s="5059"/>
      <c r="Y183" s="4964">
        <f t="shared" si="172"/>
        <v>10521.720000000001</v>
      </c>
      <c r="Z183" s="5059"/>
      <c r="AA183" s="5105">
        <f t="shared" si="173"/>
        <v>10521.720000000001</v>
      </c>
      <c r="AB183" s="5059"/>
      <c r="AC183" s="5059"/>
      <c r="AD183" s="5059"/>
      <c r="AE183" s="5062">
        <f t="shared" si="220"/>
        <v>10521.720000000001</v>
      </c>
      <c r="AF183" s="5059"/>
      <c r="AG183" s="5059"/>
      <c r="AH183" s="5059"/>
      <c r="AI183" s="5058">
        <f t="shared" si="221"/>
        <v>10521.720000000001</v>
      </c>
      <c r="AJ183" s="5059"/>
      <c r="AK183" s="5059"/>
      <c r="AL183" s="5059"/>
      <c r="AM183" s="4964">
        <f t="shared" si="174"/>
        <v>0</v>
      </c>
      <c r="AN183" s="5059"/>
      <c r="AO183" s="5062">
        <f t="shared" si="204"/>
        <v>10521.720000000001</v>
      </c>
      <c r="AP183" s="5059"/>
      <c r="AQ183" s="5059">
        <v>3358.47</v>
      </c>
      <c r="AR183" s="5059"/>
      <c r="AS183" s="5062">
        <f t="shared" si="222"/>
        <v>13880.19</v>
      </c>
      <c r="AT183" s="5059"/>
      <c r="AU183" s="5059">
        <v>7172.4400000000005</v>
      </c>
      <c r="AV183" s="5059"/>
      <c r="AW183" s="5062">
        <f t="shared" si="223"/>
        <v>21052.63</v>
      </c>
      <c r="AX183" s="5059"/>
      <c r="AY183" s="5059"/>
      <c r="AZ183" s="5059"/>
      <c r="BA183" s="4964">
        <f t="shared" si="175"/>
        <v>10530.91</v>
      </c>
      <c r="BB183" s="5059"/>
      <c r="BC183" s="5105">
        <f t="shared" si="176"/>
        <v>10530.91</v>
      </c>
      <c r="BD183" s="5059"/>
      <c r="BE183" s="4406">
        <f t="shared" si="224"/>
        <v>21052.63</v>
      </c>
      <c r="BH183" s="23"/>
      <c r="BI183" s="23"/>
    </row>
    <row r="184" spans="1:61" x14ac:dyDescent="0.3">
      <c r="B184" s="4059" t="s">
        <v>803</v>
      </c>
      <c r="C184" s="4932" t="s">
        <v>351</v>
      </c>
      <c r="D184" s="5059"/>
      <c r="E184" s="5059">
        <v>7429.69</v>
      </c>
      <c r="F184" s="5059"/>
      <c r="G184" s="5059"/>
      <c r="H184" s="5185"/>
      <c r="I184" s="5185">
        <f t="shared" si="218"/>
        <v>7429.69</v>
      </c>
      <c r="J184" s="5059"/>
      <c r="K184" s="5059"/>
      <c r="L184" s="5059"/>
      <c r="M184" s="4964"/>
      <c r="N184" s="5059"/>
      <c r="O184" s="5059"/>
      <c r="P184" s="5059"/>
      <c r="Q184" s="4965">
        <f t="shared" si="154"/>
        <v>0</v>
      </c>
      <c r="R184" s="5059"/>
      <c r="S184" s="5059"/>
      <c r="T184" s="5059"/>
      <c r="U184" s="5185">
        <f t="shared" si="215"/>
        <v>0</v>
      </c>
      <c r="V184" s="5059"/>
      <c r="W184" s="5059"/>
      <c r="X184" s="5059"/>
      <c r="Y184" s="4964"/>
      <c r="Z184" s="5059"/>
      <c r="AA184" s="5105"/>
      <c r="AB184" s="5059"/>
      <c r="AC184" s="5059"/>
      <c r="AD184" s="5059"/>
      <c r="AE184" s="5062">
        <f t="shared" si="220"/>
        <v>0</v>
      </c>
      <c r="AF184" s="5059"/>
      <c r="AG184" s="5059"/>
      <c r="AH184" s="5059"/>
      <c r="AI184" s="5058">
        <f t="shared" si="221"/>
        <v>0</v>
      </c>
      <c r="AJ184" s="5059"/>
      <c r="AK184" s="5059"/>
      <c r="AL184" s="5059"/>
      <c r="AM184" s="4964">
        <f t="shared" ref="AM184:AM200" si="225">+AC184+AG184+AK184</f>
        <v>0</v>
      </c>
      <c r="AN184" s="5059"/>
      <c r="AO184" s="5062">
        <f t="shared" ref="AO184:AO200" si="226">AI184+AK184</f>
        <v>0</v>
      </c>
      <c r="AP184" s="5059"/>
      <c r="AQ184" s="5059"/>
      <c r="AR184" s="5059"/>
      <c r="AS184" s="5062">
        <f t="shared" si="222"/>
        <v>0</v>
      </c>
      <c r="AT184" s="5059"/>
      <c r="AU184" s="5059"/>
      <c r="AV184" s="5059"/>
      <c r="AW184" s="5062">
        <f t="shared" si="223"/>
        <v>0</v>
      </c>
      <c r="AX184" s="5059"/>
      <c r="AY184" s="5059"/>
      <c r="AZ184" s="5059"/>
      <c r="BA184" s="4964">
        <f t="shared" ref="BA184:BA190" si="227">+AQ184+AU184+AY184</f>
        <v>0</v>
      </c>
      <c r="BB184" s="5059"/>
      <c r="BC184" s="5105">
        <f t="shared" ref="BC184:BC187" si="228">BA184+AM184</f>
        <v>0</v>
      </c>
      <c r="BD184" s="5059"/>
      <c r="BE184" s="4406">
        <f t="shared" si="224"/>
        <v>0</v>
      </c>
      <c r="BH184" s="23"/>
      <c r="BI184" s="23"/>
    </row>
    <row r="185" spans="1:61" x14ac:dyDescent="0.3">
      <c r="B185" s="5416" t="s">
        <v>1926</v>
      </c>
      <c r="C185" s="4932" t="s">
        <v>351</v>
      </c>
      <c r="D185" s="5059"/>
      <c r="E185" s="5059"/>
      <c r="F185" s="5059"/>
      <c r="G185" s="5059"/>
      <c r="H185" s="5185"/>
      <c r="I185" s="5185">
        <f t="shared" si="218"/>
        <v>0</v>
      </c>
      <c r="J185" s="5059"/>
      <c r="K185" s="5059"/>
      <c r="L185" s="5059"/>
      <c r="M185" s="4964">
        <f t="shared" si="219"/>
        <v>0</v>
      </c>
      <c r="N185" s="5059"/>
      <c r="O185" s="5059"/>
      <c r="P185" s="5059"/>
      <c r="Q185" s="4965">
        <f t="shared" si="154"/>
        <v>0</v>
      </c>
      <c r="R185" s="5059"/>
      <c r="S185" s="5059"/>
      <c r="T185" s="5059"/>
      <c r="U185" s="5185">
        <f t="shared" si="215"/>
        <v>0</v>
      </c>
      <c r="V185" s="5059"/>
      <c r="W185" s="5059"/>
      <c r="X185" s="5059"/>
      <c r="Y185" s="4964">
        <f t="shared" si="172"/>
        <v>0</v>
      </c>
      <c r="Z185" s="5059"/>
      <c r="AA185" s="5105">
        <f t="shared" si="173"/>
        <v>0</v>
      </c>
      <c r="AB185" s="5059"/>
      <c r="AC185" s="5059"/>
      <c r="AD185" s="5059"/>
      <c r="AE185" s="5062">
        <f t="shared" si="220"/>
        <v>0</v>
      </c>
      <c r="AF185" s="5059"/>
      <c r="AG185" s="5059"/>
      <c r="AH185" s="5059"/>
      <c r="AI185" s="5058">
        <f t="shared" si="221"/>
        <v>0</v>
      </c>
      <c r="AJ185" s="5059"/>
      <c r="AK185" s="5059"/>
      <c r="AL185" s="5059"/>
      <c r="AM185" s="4964">
        <f t="shared" si="225"/>
        <v>0</v>
      </c>
      <c r="AN185" s="5059"/>
      <c r="AO185" s="5062">
        <f t="shared" si="226"/>
        <v>0</v>
      </c>
      <c r="AP185" s="5059"/>
      <c r="AQ185" s="5059"/>
      <c r="AR185" s="5059"/>
      <c r="AS185" s="5062">
        <f t="shared" si="222"/>
        <v>0</v>
      </c>
      <c r="AT185" s="5059"/>
      <c r="AU185" s="5059"/>
      <c r="AV185" s="5059"/>
      <c r="AW185" s="5062">
        <f t="shared" si="223"/>
        <v>0</v>
      </c>
      <c r="AX185" s="5059"/>
      <c r="AY185" s="5059"/>
      <c r="AZ185" s="5059"/>
      <c r="BA185" s="4964">
        <f t="shared" si="227"/>
        <v>0</v>
      </c>
      <c r="BB185" s="5059"/>
      <c r="BC185" s="5105">
        <f t="shared" si="228"/>
        <v>0</v>
      </c>
      <c r="BD185" s="5059"/>
      <c r="BE185" s="4406">
        <f t="shared" si="224"/>
        <v>0</v>
      </c>
      <c r="BH185" s="23"/>
      <c r="BI185" s="23"/>
    </row>
    <row r="186" spans="1:61" ht="17.399999999999999" x14ac:dyDescent="0.3">
      <c r="B186" s="5416" t="s">
        <v>2013</v>
      </c>
      <c r="C186" s="5334" t="s">
        <v>351</v>
      </c>
      <c r="D186" s="4967"/>
      <c r="E186" s="4967"/>
      <c r="F186" s="4967"/>
      <c r="G186" s="4967"/>
      <c r="H186" s="5332"/>
      <c r="I186" s="5332">
        <f t="shared" si="218"/>
        <v>0</v>
      </c>
      <c r="J186" s="4967"/>
      <c r="K186" s="4967"/>
      <c r="L186" s="4967"/>
      <c r="M186" s="4964">
        <f t="shared" si="219"/>
        <v>0</v>
      </c>
      <c r="N186" s="4967"/>
      <c r="O186" s="4967"/>
      <c r="P186" s="4967"/>
      <c r="Q186" s="4965">
        <f t="shared" si="154"/>
        <v>0</v>
      </c>
      <c r="R186" s="4967"/>
      <c r="S186" s="4967">
        <v>1453.58</v>
      </c>
      <c r="T186" s="4967"/>
      <c r="U186" s="5185">
        <f t="shared" si="215"/>
        <v>1453.58</v>
      </c>
      <c r="V186" s="4967"/>
      <c r="W186" s="4967">
        <v>965.44</v>
      </c>
      <c r="X186" s="4967"/>
      <c r="Y186" s="4964">
        <f t="shared" si="172"/>
        <v>2419.02</v>
      </c>
      <c r="Z186" s="4967"/>
      <c r="AA186" s="5105">
        <f t="shared" si="173"/>
        <v>2419.02</v>
      </c>
      <c r="AB186" s="4967"/>
      <c r="AC186" s="4967">
        <v>1928.54</v>
      </c>
      <c r="AD186" s="4967"/>
      <c r="AE186" s="5062">
        <f t="shared" si="220"/>
        <v>4347.5599999999995</v>
      </c>
      <c r="AF186" s="4967"/>
      <c r="AG186" s="4967"/>
      <c r="AH186" s="4967"/>
      <c r="AI186" s="5058">
        <f t="shared" si="221"/>
        <v>4347.5599999999995</v>
      </c>
      <c r="AJ186" s="4967"/>
      <c r="AK186" s="4967">
        <v>384.66</v>
      </c>
      <c r="AL186" s="4967"/>
      <c r="AM186" s="4964">
        <f t="shared" si="225"/>
        <v>2313.1999999999998</v>
      </c>
      <c r="AN186" s="5059"/>
      <c r="AO186" s="5062">
        <f t="shared" si="226"/>
        <v>4732.2199999999993</v>
      </c>
      <c r="AP186" s="4967"/>
      <c r="AQ186" s="4967">
        <v>644.4</v>
      </c>
      <c r="AR186" s="4967"/>
      <c r="AS186" s="5062">
        <f t="shared" si="222"/>
        <v>5376.619999999999</v>
      </c>
      <c r="AT186" s="4967"/>
      <c r="AU186" s="4967"/>
      <c r="AV186" s="4967"/>
      <c r="AW186" s="5062">
        <f t="shared" si="223"/>
        <v>5376.619999999999</v>
      </c>
      <c r="AX186" s="4967"/>
      <c r="AY186" s="4967"/>
      <c r="AZ186" s="4967"/>
      <c r="BA186" s="4964">
        <f t="shared" si="227"/>
        <v>644.4</v>
      </c>
      <c r="BB186" s="5059"/>
      <c r="BC186" s="5105">
        <f t="shared" si="228"/>
        <v>2957.6</v>
      </c>
      <c r="BD186" s="4967"/>
      <c r="BE186" s="4406">
        <f t="shared" si="224"/>
        <v>5376.619999999999</v>
      </c>
      <c r="BH186" s="23"/>
      <c r="BI186" s="23"/>
    </row>
    <row r="187" spans="1:61" ht="17.399999999999999" x14ac:dyDescent="0.3">
      <c r="B187" s="5416" t="s">
        <v>2055</v>
      </c>
      <c r="C187" s="5334" t="s">
        <v>351</v>
      </c>
      <c r="D187" s="4967">
        <f t="shared" ref="D187:E187" si="229">D188+D189</f>
        <v>0</v>
      </c>
      <c r="E187" s="4967">
        <f t="shared" si="229"/>
        <v>1456.62</v>
      </c>
      <c r="F187" s="4967">
        <f t="shared" ref="F187:G187" si="230">F188+F189</f>
        <v>0</v>
      </c>
      <c r="G187" s="4967">
        <f t="shared" si="230"/>
        <v>189.16</v>
      </c>
      <c r="H187" s="5332"/>
      <c r="I187" s="5332">
        <f>+E187+G187</f>
        <v>1645.78</v>
      </c>
      <c r="J187" s="4967"/>
      <c r="K187" s="4967">
        <f>K188+K189</f>
        <v>341.38</v>
      </c>
      <c r="L187" s="4967"/>
      <c r="M187" s="4964">
        <f t="shared" si="219"/>
        <v>1987.1599999999999</v>
      </c>
      <c r="N187" s="4967"/>
      <c r="O187" s="4967"/>
      <c r="P187" s="4967"/>
      <c r="Q187" s="4965">
        <f t="shared" si="154"/>
        <v>1987.1599999999999</v>
      </c>
      <c r="R187" s="4967"/>
      <c r="S187" s="4967"/>
      <c r="T187" s="4967"/>
      <c r="U187" s="5185">
        <f t="shared" si="215"/>
        <v>1987.1599999999999</v>
      </c>
      <c r="V187" s="4967">
        <f>V188+V189</f>
        <v>0</v>
      </c>
      <c r="W187" s="4967">
        <f>W188+W189</f>
        <v>710.6</v>
      </c>
      <c r="X187" s="4967">
        <f>X188+X189</f>
        <v>0</v>
      </c>
      <c r="Y187" s="4964">
        <f t="shared" si="172"/>
        <v>710.6</v>
      </c>
      <c r="Z187" s="4967"/>
      <c r="AA187" s="5105">
        <f t="shared" si="173"/>
        <v>2697.7599999999998</v>
      </c>
      <c r="AB187" s="4967">
        <f>AB188+AB189</f>
        <v>0</v>
      </c>
      <c r="AC187" s="4967">
        <f t="shared" ref="AC187:AD187" si="231">AC188+AC189</f>
        <v>246.74</v>
      </c>
      <c r="AD187" s="4967">
        <f t="shared" si="231"/>
        <v>0</v>
      </c>
      <c r="AE187" s="5062">
        <f t="shared" si="220"/>
        <v>2944.5</v>
      </c>
      <c r="AF187" s="4967">
        <f t="shared" ref="AF187:AH187" si="232">AF188+AF189</f>
        <v>0</v>
      </c>
      <c r="AG187" s="4967">
        <f t="shared" si="232"/>
        <v>554.14</v>
      </c>
      <c r="AH187" s="4967">
        <f t="shared" si="232"/>
        <v>0</v>
      </c>
      <c r="AI187" s="5058">
        <f t="shared" si="221"/>
        <v>3498.64</v>
      </c>
      <c r="AJ187" s="4967">
        <f t="shared" ref="AJ187:AL187" si="233">AJ188+AJ189</f>
        <v>0</v>
      </c>
      <c r="AK187" s="4967">
        <f t="shared" si="233"/>
        <v>0</v>
      </c>
      <c r="AL187" s="4967">
        <f t="shared" si="233"/>
        <v>0</v>
      </c>
      <c r="AM187" s="4964">
        <f t="shared" si="225"/>
        <v>800.88</v>
      </c>
      <c r="AN187" s="5059">
        <f>AN188+AN189</f>
        <v>0</v>
      </c>
      <c r="AO187" s="5062">
        <f t="shared" si="226"/>
        <v>3498.64</v>
      </c>
      <c r="AP187" s="4967">
        <f t="shared" ref="AP187:AR187" si="234">AP188+AP189</f>
        <v>0</v>
      </c>
      <c r="AQ187" s="4967">
        <f t="shared" si="234"/>
        <v>445.67999999999995</v>
      </c>
      <c r="AR187" s="4967">
        <f t="shared" si="234"/>
        <v>0</v>
      </c>
      <c r="AS187" s="5062">
        <f t="shared" si="222"/>
        <v>3944.3199999999997</v>
      </c>
      <c r="AT187" s="4967">
        <f t="shared" ref="AT187:AV187" si="235">AT188+AT189</f>
        <v>0</v>
      </c>
      <c r="AU187" s="4967">
        <f t="shared" si="235"/>
        <v>385.56</v>
      </c>
      <c r="AV187" s="4967">
        <f t="shared" si="235"/>
        <v>0</v>
      </c>
      <c r="AW187" s="5062">
        <f t="shared" si="223"/>
        <v>4329.88</v>
      </c>
      <c r="AX187" s="4967">
        <f t="shared" ref="AX187:AZ187" si="236">AX188+AX189</f>
        <v>0</v>
      </c>
      <c r="AY187" s="4967">
        <f t="shared" si="236"/>
        <v>308.97999999999996</v>
      </c>
      <c r="AZ187" s="4967">
        <f t="shared" si="236"/>
        <v>0</v>
      </c>
      <c r="BA187" s="4964">
        <f t="shared" si="227"/>
        <v>1140.22</v>
      </c>
      <c r="BB187" s="5059"/>
      <c r="BC187" s="5105">
        <f t="shared" si="228"/>
        <v>1941.1</v>
      </c>
      <c r="BD187" s="4967"/>
      <c r="BE187" s="4406">
        <f t="shared" si="224"/>
        <v>4638.8599999999997</v>
      </c>
      <c r="BH187" s="23"/>
      <c r="BI187" s="23"/>
    </row>
    <row r="188" spans="1:61" ht="17.399999999999999" x14ac:dyDescent="0.3">
      <c r="B188" s="5423" t="s">
        <v>1533</v>
      </c>
      <c r="C188" s="5334" t="s">
        <v>351</v>
      </c>
      <c r="D188" s="4967"/>
      <c r="E188" s="4967">
        <v>1087.8</v>
      </c>
      <c r="F188" s="4967"/>
      <c r="G188" s="4967">
        <v>189.16</v>
      </c>
      <c r="H188" s="5332"/>
      <c r="I188" s="5332">
        <f>+E188+G188</f>
        <v>1276.96</v>
      </c>
      <c r="J188" s="4967"/>
      <c r="K188" s="4967"/>
      <c r="L188" s="4967"/>
      <c r="M188" s="4964">
        <f t="shared" si="219"/>
        <v>1276.96</v>
      </c>
      <c r="N188" s="4967"/>
      <c r="O188" s="4967"/>
      <c r="P188" s="4967"/>
      <c r="Q188" s="4965">
        <f t="shared" si="154"/>
        <v>1276.96</v>
      </c>
      <c r="R188" s="4967"/>
      <c r="S188" s="4967"/>
      <c r="T188" s="4967"/>
      <c r="U188" s="5185">
        <f t="shared" si="215"/>
        <v>1276.96</v>
      </c>
      <c r="V188" s="4967"/>
      <c r="W188" s="4967"/>
      <c r="X188" s="4967"/>
      <c r="Y188" s="4964">
        <f t="shared" si="172"/>
        <v>0</v>
      </c>
      <c r="Z188" s="4967"/>
      <c r="AA188" s="5105">
        <f t="shared" si="173"/>
        <v>1276.96</v>
      </c>
      <c r="AB188" s="4967"/>
      <c r="AC188" s="4967">
        <v>246.74</v>
      </c>
      <c r="AD188" s="4967"/>
      <c r="AE188" s="5062">
        <f t="shared" si="220"/>
        <v>1523.7</v>
      </c>
      <c r="AF188" s="4967"/>
      <c r="AG188" s="4967"/>
      <c r="AH188" s="4967"/>
      <c r="AI188" s="5058">
        <f t="shared" si="221"/>
        <v>1523.7</v>
      </c>
      <c r="AJ188" s="4967"/>
      <c r="AK188" s="4967"/>
      <c r="AL188" s="4967"/>
      <c r="AM188" s="4964">
        <f t="shared" si="225"/>
        <v>246.74</v>
      </c>
      <c r="AN188" s="5059"/>
      <c r="AO188" s="5062">
        <f t="shared" si="226"/>
        <v>1523.7</v>
      </c>
      <c r="AP188" s="4967"/>
      <c r="AQ188" s="4967"/>
      <c r="AR188" s="4967"/>
      <c r="AS188" s="5062">
        <f t="shared" si="222"/>
        <v>1523.7</v>
      </c>
      <c r="AT188" s="4967"/>
      <c r="AU188" s="4967"/>
      <c r="AV188" s="4967"/>
      <c r="AW188" s="5062">
        <f t="shared" si="223"/>
        <v>1523.7</v>
      </c>
      <c r="AX188" s="4967"/>
      <c r="AY188" s="4967"/>
      <c r="AZ188" s="4967"/>
      <c r="BA188" s="4964">
        <f t="shared" ref="BA188:BA189" si="237">+AQ188+AU188+AY188</f>
        <v>0</v>
      </c>
      <c r="BB188" s="5059"/>
      <c r="BC188" s="5105">
        <f t="shared" ref="BC188:BC189" si="238">BA188+AM188</f>
        <v>246.74</v>
      </c>
      <c r="BD188" s="4967"/>
      <c r="BE188" s="4406">
        <f t="shared" ref="BE188:BE189" si="239">+AW188+AY188</f>
        <v>1523.7</v>
      </c>
      <c r="BH188" s="23"/>
      <c r="BI188" s="23"/>
    </row>
    <row r="189" spans="1:61" ht="17.399999999999999" x14ac:dyDescent="0.3">
      <c r="B189" s="5423" t="s">
        <v>2180</v>
      </c>
      <c r="C189" s="5334" t="s">
        <v>351</v>
      </c>
      <c r="D189" s="4967"/>
      <c r="E189" s="4967">
        <v>368.82</v>
      </c>
      <c r="F189" s="4967"/>
      <c r="G189" s="4967"/>
      <c r="H189" s="5332"/>
      <c r="I189" s="5332">
        <f>+E189+G189</f>
        <v>368.82</v>
      </c>
      <c r="J189" s="4967"/>
      <c r="K189" s="4967">
        <v>341.38</v>
      </c>
      <c r="L189" s="4967"/>
      <c r="M189" s="4964">
        <f t="shared" si="219"/>
        <v>710.2</v>
      </c>
      <c r="N189" s="4967"/>
      <c r="O189" s="4967"/>
      <c r="P189" s="4967"/>
      <c r="Q189" s="4965">
        <f t="shared" si="154"/>
        <v>710.2</v>
      </c>
      <c r="R189" s="4967"/>
      <c r="S189" s="4967"/>
      <c r="T189" s="4967"/>
      <c r="U189" s="5185">
        <f t="shared" si="215"/>
        <v>710.2</v>
      </c>
      <c r="V189" s="4967"/>
      <c r="W189" s="4967">
        <v>710.6</v>
      </c>
      <c r="X189" s="4967"/>
      <c r="Y189" s="4964">
        <f t="shared" si="172"/>
        <v>710.6</v>
      </c>
      <c r="Z189" s="4967"/>
      <c r="AA189" s="5105">
        <f t="shared" si="173"/>
        <v>1420.8000000000002</v>
      </c>
      <c r="AB189" s="4967"/>
      <c r="AC189" s="4967"/>
      <c r="AD189" s="4967"/>
      <c r="AE189" s="5062">
        <f t="shared" si="220"/>
        <v>1420.8000000000002</v>
      </c>
      <c r="AF189" s="4967"/>
      <c r="AG189" s="4967">
        <v>554.14</v>
      </c>
      <c r="AH189" s="4967"/>
      <c r="AI189" s="5058">
        <f t="shared" si="221"/>
        <v>1974.94</v>
      </c>
      <c r="AJ189" s="4967"/>
      <c r="AK189" s="4967"/>
      <c r="AL189" s="4967"/>
      <c r="AM189" s="4964">
        <f t="shared" si="225"/>
        <v>554.14</v>
      </c>
      <c r="AN189" s="5059"/>
      <c r="AO189" s="5062">
        <f t="shared" si="226"/>
        <v>1974.94</v>
      </c>
      <c r="AP189" s="4967"/>
      <c r="AQ189" s="4967">
        <v>445.67999999999995</v>
      </c>
      <c r="AR189" s="4967"/>
      <c r="AS189" s="5062">
        <f t="shared" si="222"/>
        <v>2420.62</v>
      </c>
      <c r="AT189" s="4967"/>
      <c r="AU189" s="4967">
        <v>385.56</v>
      </c>
      <c r="AV189" s="4967"/>
      <c r="AW189" s="5062">
        <f t="shared" si="223"/>
        <v>2806.18</v>
      </c>
      <c r="AX189" s="4967"/>
      <c r="AY189" s="4967">
        <v>308.97999999999996</v>
      </c>
      <c r="AZ189" s="4967"/>
      <c r="BA189" s="4964">
        <f t="shared" si="237"/>
        <v>1140.22</v>
      </c>
      <c r="BB189" s="5059"/>
      <c r="BC189" s="5105">
        <f t="shared" si="238"/>
        <v>1694.3600000000001</v>
      </c>
      <c r="BD189" s="4967"/>
      <c r="BE189" s="4406">
        <f t="shared" si="239"/>
        <v>3115.16</v>
      </c>
      <c r="BH189" s="23"/>
      <c r="BI189" s="23"/>
    </row>
    <row r="190" spans="1:61" ht="17.399999999999999" x14ac:dyDescent="0.3">
      <c r="B190" s="5416" t="s">
        <v>1270</v>
      </c>
      <c r="C190" s="5334" t="s">
        <v>351</v>
      </c>
      <c r="D190" s="4967">
        <f t="shared" ref="D190:E190" si="240">D191+D192+D193+D194+D195+D198</f>
        <v>0</v>
      </c>
      <c r="E190" s="4967">
        <f t="shared" si="240"/>
        <v>0</v>
      </c>
      <c r="F190" s="4967">
        <f t="shared" ref="F190:G190" si="241">F191+F192+F193+F194+F195+F198</f>
        <v>0</v>
      </c>
      <c r="G190" s="4967">
        <f t="shared" si="241"/>
        <v>488.21999999999997</v>
      </c>
      <c r="H190" s="5332">
        <f t="shared" ref="H190:BB190" si="242">H191+H192+H193+H194+H195+H198</f>
        <v>0</v>
      </c>
      <c r="I190" s="5332">
        <f t="shared" si="242"/>
        <v>488.21999999999997</v>
      </c>
      <c r="J190" s="4967">
        <f t="shared" si="242"/>
        <v>0</v>
      </c>
      <c r="K190" s="4967">
        <f t="shared" si="242"/>
        <v>0</v>
      </c>
      <c r="L190" s="4967">
        <f t="shared" si="242"/>
        <v>0</v>
      </c>
      <c r="M190" s="4964">
        <f t="shared" si="219"/>
        <v>488.21999999999997</v>
      </c>
      <c r="N190" s="4967">
        <f t="shared" si="242"/>
        <v>0</v>
      </c>
      <c r="O190" s="4967">
        <f t="shared" si="242"/>
        <v>64.099999999999994</v>
      </c>
      <c r="P190" s="4967">
        <f t="shared" si="242"/>
        <v>0</v>
      </c>
      <c r="Q190" s="4965">
        <f t="shared" si="154"/>
        <v>552.31999999999994</v>
      </c>
      <c r="R190" s="4967">
        <f t="shared" si="242"/>
        <v>0</v>
      </c>
      <c r="S190" s="4967">
        <f t="shared" si="242"/>
        <v>1485.1599999999999</v>
      </c>
      <c r="T190" s="4967">
        <f t="shared" si="242"/>
        <v>0</v>
      </c>
      <c r="U190" s="5185">
        <f t="shared" si="215"/>
        <v>2037.4799999999998</v>
      </c>
      <c r="V190" s="4967">
        <f t="shared" si="242"/>
        <v>0</v>
      </c>
      <c r="W190" s="4967">
        <f t="shared" si="242"/>
        <v>693.72</v>
      </c>
      <c r="X190" s="4967">
        <f t="shared" si="242"/>
        <v>0</v>
      </c>
      <c r="Y190" s="4964">
        <f t="shared" si="172"/>
        <v>2242.9799999999996</v>
      </c>
      <c r="Z190" s="4967">
        <f t="shared" si="242"/>
        <v>0</v>
      </c>
      <c r="AA190" s="5105">
        <f t="shared" si="173"/>
        <v>2731.1999999999994</v>
      </c>
      <c r="AB190" s="4967">
        <f t="shared" si="242"/>
        <v>0</v>
      </c>
      <c r="AC190" s="4967">
        <f t="shared" si="242"/>
        <v>747.81999999999994</v>
      </c>
      <c r="AD190" s="4967">
        <f t="shared" si="242"/>
        <v>0</v>
      </c>
      <c r="AE190" s="5062">
        <f t="shared" si="220"/>
        <v>3479.0199999999995</v>
      </c>
      <c r="AF190" s="4967">
        <f t="shared" si="242"/>
        <v>0</v>
      </c>
      <c r="AG190" s="4967">
        <f t="shared" si="242"/>
        <v>0</v>
      </c>
      <c r="AH190" s="4967">
        <f t="shared" si="242"/>
        <v>0</v>
      </c>
      <c r="AI190" s="5058">
        <f t="shared" si="221"/>
        <v>3479.0199999999995</v>
      </c>
      <c r="AJ190" s="4967">
        <f t="shared" si="242"/>
        <v>0</v>
      </c>
      <c r="AK190" s="4967">
        <f t="shared" si="242"/>
        <v>244.1</v>
      </c>
      <c r="AL190" s="4967">
        <f t="shared" si="242"/>
        <v>0</v>
      </c>
      <c r="AM190" s="4964">
        <f t="shared" si="225"/>
        <v>991.92</v>
      </c>
      <c r="AN190" s="5059">
        <f t="shared" si="242"/>
        <v>0</v>
      </c>
      <c r="AO190" s="5062">
        <f t="shared" si="226"/>
        <v>3723.1199999999994</v>
      </c>
      <c r="AP190" s="4967">
        <f t="shared" si="242"/>
        <v>0</v>
      </c>
      <c r="AQ190" s="4967">
        <f t="shared" si="242"/>
        <v>0</v>
      </c>
      <c r="AR190" s="4967">
        <f t="shared" si="242"/>
        <v>0</v>
      </c>
      <c r="AS190" s="5062">
        <f t="shared" si="222"/>
        <v>3723.1199999999994</v>
      </c>
      <c r="AT190" s="4967">
        <f t="shared" si="242"/>
        <v>0</v>
      </c>
      <c r="AU190" s="4967">
        <f t="shared" si="242"/>
        <v>311.56</v>
      </c>
      <c r="AV190" s="4967">
        <f t="shared" si="242"/>
        <v>0</v>
      </c>
      <c r="AW190" s="5062">
        <f t="shared" si="223"/>
        <v>4034.6799999999994</v>
      </c>
      <c r="AX190" s="4967">
        <f t="shared" si="242"/>
        <v>0</v>
      </c>
      <c r="AY190" s="4967">
        <f t="shared" si="242"/>
        <v>0</v>
      </c>
      <c r="AZ190" s="4967">
        <f t="shared" si="242"/>
        <v>0</v>
      </c>
      <c r="BA190" s="4964">
        <f t="shared" si="227"/>
        <v>311.56</v>
      </c>
      <c r="BB190" s="5059" t="e">
        <f t="shared" si="242"/>
        <v>#REF!</v>
      </c>
      <c r="BC190" s="5105">
        <f t="shared" ref="BC190" si="243">BA190+AM190</f>
        <v>1303.48</v>
      </c>
      <c r="BD190" s="4967"/>
      <c r="BE190" s="4406">
        <f t="shared" ref="BE190" si="244">+AW190+AY190</f>
        <v>4034.6799999999994</v>
      </c>
      <c r="BH190" s="23"/>
      <c r="BI190" s="23"/>
    </row>
    <row r="191" spans="1:61" ht="18" hidden="1" x14ac:dyDescent="0.3">
      <c r="B191" s="5420" t="s">
        <v>2181</v>
      </c>
      <c r="C191" s="5399" t="s">
        <v>351</v>
      </c>
      <c r="D191" s="5421"/>
      <c r="E191" s="5421"/>
      <c r="F191" s="5421"/>
      <c r="G191" s="5421"/>
      <c r="H191" s="5422"/>
      <c r="I191" s="5422"/>
      <c r="J191" s="5421"/>
      <c r="K191" s="5421"/>
      <c r="L191" s="5421"/>
      <c r="M191" s="4954">
        <f t="shared" si="219"/>
        <v>0</v>
      </c>
      <c r="N191" s="5421"/>
      <c r="O191" s="5421"/>
      <c r="P191" s="5421"/>
      <c r="Q191" s="4965">
        <f t="shared" si="154"/>
        <v>0</v>
      </c>
      <c r="R191" s="5421"/>
      <c r="S191" s="5421">
        <v>189.18</v>
      </c>
      <c r="T191" s="5421"/>
      <c r="U191" s="5185">
        <f t="shared" si="215"/>
        <v>189.18</v>
      </c>
      <c r="V191" s="5421"/>
      <c r="W191" s="5421"/>
      <c r="X191" s="5421"/>
      <c r="Y191" s="4954">
        <f t="shared" si="172"/>
        <v>189.18</v>
      </c>
      <c r="Z191" s="5421"/>
      <c r="AA191" s="4955">
        <f t="shared" si="173"/>
        <v>189.18</v>
      </c>
      <c r="AB191" s="5421"/>
      <c r="AC191" s="5421"/>
      <c r="AD191" s="5421"/>
      <c r="AE191" s="5062">
        <f t="shared" si="220"/>
        <v>189.18</v>
      </c>
      <c r="AF191" s="5421"/>
      <c r="AG191" s="5421"/>
      <c r="AH191" s="5421"/>
      <c r="AI191" s="5062">
        <f t="shared" si="221"/>
        <v>189.18</v>
      </c>
      <c r="AJ191" s="5421"/>
      <c r="AK191" s="5421"/>
      <c r="AL191" s="5421"/>
      <c r="AM191" s="4954">
        <f t="shared" si="225"/>
        <v>0</v>
      </c>
      <c r="AN191" s="5059"/>
      <c r="AO191" s="5062">
        <f t="shared" si="226"/>
        <v>189.18</v>
      </c>
      <c r="AP191" s="5421"/>
      <c r="AQ191" s="5421"/>
      <c r="AR191" s="5421"/>
      <c r="AS191" s="5062">
        <f t="shared" si="222"/>
        <v>189.18</v>
      </c>
      <c r="AT191" s="5421"/>
      <c r="AU191" s="5421"/>
      <c r="AV191" s="5421"/>
      <c r="AW191" s="5062">
        <f t="shared" si="223"/>
        <v>189.18</v>
      </c>
      <c r="AX191" s="5421"/>
      <c r="AY191" s="5421"/>
      <c r="AZ191" s="5421"/>
      <c r="BA191" s="4954">
        <f t="shared" ref="BA191:BA194" si="245">+AQ191+AU191+AY191</f>
        <v>0</v>
      </c>
      <c r="BB191" s="5059" t="e">
        <f t="shared" ref="BB191:BB192" si="246">BB192+BB193+BB194+BB195+BB196+BB199</f>
        <v>#REF!</v>
      </c>
      <c r="BC191" s="4955">
        <f t="shared" ref="BC191:BC194" si="247">BA191+AM191</f>
        <v>0</v>
      </c>
      <c r="BD191" s="5421"/>
      <c r="BE191" s="4852">
        <f t="shared" ref="BE191:BE194" si="248">+AW191+AY191</f>
        <v>189.18</v>
      </c>
      <c r="BH191" s="23"/>
      <c r="BI191" s="23"/>
    </row>
    <row r="192" spans="1:61" ht="18" hidden="1" x14ac:dyDescent="0.3">
      <c r="B192" s="5420" t="s">
        <v>2182</v>
      </c>
      <c r="C192" s="5399" t="s">
        <v>351</v>
      </c>
      <c r="D192" s="5421"/>
      <c r="E192" s="5421"/>
      <c r="F192" s="5421"/>
      <c r="G192" s="5421"/>
      <c r="H192" s="5422"/>
      <c r="I192" s="5422"/>
      <c r="J192" s="5421"/>
      <c r="K192" s="5421"/>
      <c r="L192" s="5421"/>
      <c r="M192" s="4954">
        <f t="shared" si="219"/>
        <v>0</v>
      </c>
      <c r="N192" s="5421"/>
      <c r="O192" s="5421"/>
      <c r="P192" s="5421"/>
      <c r="Q192" s="4965">
        <f t="shared" si="154"/>
        <v>0</v>
      </c>
      <c r="R192" s="5421"/>
      <c r="S192" s="5421">
        <v>185.9</v>
      </c>
      <c r="T192" s="5421"/>
      <c r="U192" s="5185">
        <f t="shared" si="215"/>
        <v>185.9</v>
      </c>
      <c r="V192" s="5421"/>
      <c r="W192" s="5421"/>
      <c r="X192" s="5421"/>
      <c r="Y192" s="4954">
        <f t="shared" si="172"/>
        <v>185.9</v>
      </c>
      <c r="Z192" s="5421"/>
      <c r="AA192" s="4955">
        <f t="shared" si="173"/>
        <v>185.9</v>
      </c>
      <c r="AB192" s="5421"/>
      <c r="AC192" s="5421"/>
      <c r="AD192" s="5421"/>
      <c r="AE192" s="5062">
        <f t="shared" si="220"/>
        <v>185.9</v>
      </c>
      <c r="AF192" s="5421"/>
      <c r="AG192" s="5421"/>
      <c r="AH192" s="5421"/>
      <c r="AI192" s="5062">
        <f t="shared" si="221"/>
        <v>185.9</v>
      </c>
      <c r="AJ192" s="5421"/>
      <c r="AK192" s="5421"/>
      <c r="AL192" s="5421"/>
      <c r="AM192" s="4954">
        <f t="shared" si="225"/>
        <v>0</v>
      </c>
      <c r="AN192" s="5059"/>
      <c r="AO192" s="5062">
        <f t="shared" si="226"/>
        <v>185.9</v>
      </c>
      <c r="AP192" s="5421"/>
      <c r="AQ192" s="5421"/>
      <c r="AR192" s="5421"/>
      <c r="AS192" s="5062">
        <f t="shared" si="222"/>
        <v>185.9</v>
      </c>
      <c r="AT192" s="5421"/>
      <c r="AU192" s="5421"/>
      <c r="AV192" s="5421"/>
      <c r="AW192" s="5062">
        <f t="shared" si="223"/>
        <v>185.9</v>
      </c>
      <c r="AX192" s="5421"/>
      <c r="AY192" s="5421"/>
      <c r="AZ192" s="5421"/>
      <c r="BA192" s="4954">
        <f t="shared" si="245"/>
        <v>0</v>
      </c>
      <c r="BB192" s="5059" t="e">
        <f t="shared" si="246"/>
        <v>#REF!</v>
      </c>
      <c r="BC192" s="4955">
        <f t="shared" si="247"/>
        <v>0</v>
      </c>
      <c r="BD192" s="5421"/>
      <c r="BE192" s="4852">
        <f t="shared" si="248"/>
        <v>185.9</v>
      </c>
      <c r="BH192" s="23"/>
      <c r="BI192" s="23"/>
    </row>
    <row r="193" spans="1:61" ht="18" hidden="1" x14ac:dyDescent="0.3">
      <c r="B193" s="5420" t="s">
        <v>2183</v>
      </c>
      <c r="C193" s="5399" t="s">
        <v>351</v>
      </c>
      <c r="D193" s="5421"/>
      <c r="E193" s="5421"/>
      <c r="F193" s="5421"/>
      <c r="G193" s="5421"/>
      <c r="H193" s="5422"/>
      <c r="I193" s="5422"/>
      <c r="J193" s="5421"/>
      <c r="K193" s="5421"/>
      <c r="L193" s="5421"/>
      <c r="M193" s="4954">
        <f t="shared" si="219"/>
        <v>0</v>
      </c>
      <c r="N193" s="5421"/>
      <c r="O193" s="5421"/>
      <c r="P193" s="5421"/>
      <c r="Q193" s="4965">
        <f t="shared" si="154"/>
        <v>0</v>
      </c>
      <c r="R193" s="5421"/>
      <c r="S193" s="5421">
        <v>123.32</v>
      </c>
      <c r="T193" s="5421"/>
      <c r="U193" s="5185">
        <f t="shared" si="215"/>
        <v>123.32</v>
      </c>
      <c r="V193" s="5421"/>
      <c r="W193" s="5421"/>
      <c r="X193" s="5421"/>
      <c r="Y193" s="4954">
        <f t="shared" si="172"/>
        <v>123.32</v>
      </c>
      <c r="Z193" s="5421"/>
      <c r="AA193" s="4955">
        <f t="shared" si="173"/>
        <v>123.32</v>
      </c>
      <c r="AB193" s="5421"/>
      <c r="AC193" s="5421"/>
      <c r="AD193" s="5421"/>
      <c r="AE193" s="5062">
        <f t="shared" si="220"/>
        <v>123.32</v>
      </c>
      <c r="AF193" s="5421"/>
      <c r="AG193" s="5421"/>
      <c r="AH193" s="5421"/>
      <c r="AI193" s="5062">
        <f t="shared" si="221"/>
        <v>123.32</v>
      </c>
      <c r="AJ193" s="5421"/>
      <c r="AK193" s="5421"/>
      <c r="AL193" s="5421"/>
      <c r="AM193" s="4954">
        <f t="shared" si="225"/>
        <v>0</v>
      </c>
      <c r="AN193" s="5059"/>
      <c r="AO193" s="5062">
        <f t="shared" si="226"/>
        <v>123.32</v>
      </c>
      <c r="AP193" s="5421"/>
      <c r="AQ193" s="5421"/>
      <c r="AR193" s="5421"/>
      <c r="AS193" s="5062">
        <f t="shared" si="222"/>
        <v>123.32</v>
      </c>
      <c r="AT193" s="5421"/>
      <c r="AU193" s="5421"/>
      <c r="AV193" s="5421"/>
      <c r="AW193" s="5062">
        <f t="shared" si="223"/>
        <v>123.32</v>
      </c>
      <c r="AX193" s="5421"/>
      <c r="AY193" s="5421"/>
      <c r="AZ193" s="5421"/>
      <c r="BA193" s="4954">
        <f t="shared" si="245"/>
        <v>0</v>
      </c>
      <c r="BB193" s="5059" t="e">
        <f>BB194+BB195+BB196+BB197+BB198+#REF!</f>
        <v>#REF!</v>
      </c>
      <c r="BC193" s="4955">
        <f t="shared" si="247"/>
        <v>0</v>
      </c>
      <c r="BD193" s="5421"/>
      <c r="BE193" s="4852">
        <f t="shared" si="248"/>
        <v>123.32</v>
      </c>
      <c r="BH193" s="23"/>
      <c r="BI193" s="23"/>
    </row>
    <row r="194" spans="1:61" ht="18" hidden="1" x14ac:dyDescent="0.3">
      <c r="B194" s="5420" t="s">
        <v>2184</v>
      </c>
      <c r="C194" s="5399" t="s">
        <v>351</v>
      </c>
      <c r="D194" s="5421"/>
      <c r="E194" s="5421"/>
      <c r="F194" s="5421"/>
      <c r="G194" s="5421"/>
      <c r="H194" s="5422"/>
      <c r="I194" s="5422"/>
      <c r="J194" s="5421"/>
      <c r="K194" s="5421"/>
      <c r="L194" s="5421"/>
      <c r="M194" s="4954">
        <f t="shared" si="219"/>
        <v>0</v>
      </c>
      <c r="N194" s="5421"/>
      <c r="O194" s="5421"/>
      <c r="P194" s="5421"/>
      <c r="Q194" s="4965">
        <f t="shared" si="154"/>
        <v>0</v>
      </c>
      <c r="R194" s="5421"/>
      <c r="S194" s="5421">
        <v>124.96000000000001</v>
      </c>
      <c r="T194" s="5421"/>
      <c r="U194" s="5185">
        <f t="shared" si="215"/>
        <v>124.96000000000001</v>
      </c>
      <c r="V194" s="5421"/>
      <c r="W194" s="5421">
        <v>128.78</v>
      </c>
      <c r="X194" s="5421"/>
      <c r="Y194" s="4954">
        <f t="shared" si="172"/>
        <v>253.74</v>
      </c>
      <c r="Z194" s="5421"/>
      <c r="AA194" s="4955">
        <f t="shared" si="173"/>
        <v>253.74</v>
      </c>
      <c r="AB194" s="5421"/>
      <c r="AC194" s="5421">
        <v>124.53999999999999</v>
      </c>
      <c r="AD194" s="5421"/>
      <c r="AE194" s="5062">
        <f t="shared" si="220"/>
        <v>378.28</v>
      </c>
      <c r="AF194" s="5421"/>
      <c r="AG194" s="5421"/>
      <c r="AH194" s="5421"/>
      <c r="AI194" s="5062">
        <f t="shared" si="221"/>
        <v>378.28</v>
      </c>
      <c r="AJ194" s="5421"/>
      <c r="AK194" s="5421"/>
      <c r="AL194" s="5421"/>
      <c r="AM194" s="4954">
        <f t="shared" si="225"/>
        <v>124.53999999999999</v>
      </c>
      <c r="AN194" s="5059"/>
      <c r="AO194" s="5062">
        <f t="shared" si="226"/>
        <v>378.28</v>
      </c>
      <c r="AP194" s="5421"/>
      <c r="AQ194" s="5421"/>
      <c r="AR194" s="5421"/>
      <c r="AS194" s="5062">
        <f t="shared" si="222"/>
        <v>378.28</v>
      </c>
      <c r="AT194" s="5421"/>
      <c r="AU194" s="5421"/>
      <c r="AV194" s="5421"/>
      <c r="AW194" s="5062">
        <f t="shared" si="223"/>
        <v>378.28</v>
      </c>
      <c r="AX194" s="5421"/>
      <c r="AY194" s="5421"/>
      <c r="AZ194" s="5421"/>
      <c r="BA194" s="4954">
        <f t="shared" si="245"/>
        <v>0</v>
      </c>
      <c r="BB194" s="5059" t="e">
        <f>BB195+BB196+BB197+BB198+BB199+#REF!</f>
        <v>#REF!</v>
      </c>
      <c r="BC194" s="4955">
        <f t="shared" si="247"/>
        <v>124.53999999999999</v>
      </c>
      <c r="BD194" s="5421"/>
      <c r="BE194" s="4852">
        <f t="shared" si="248"/>
        <v>378.28</v>
      </c>
      <c r="BH194" s="23"/>
      <c r="BI194" s="23"/>
    </row>
    <row r="195" spans="1:61" s="29" customFormat="1" ht="17.399999999999999" x14ac:dyDescent="0.3">
      <c r="B195" s="5436" t="s">
        <v>2178</v>
      </c>
      <c r="C195" s="5334" t="s">
        <v>351</v>
      </c>
      <c r="D195" s="4967">
        <f t="shared" ref="D195:E195" si="249">D196+D197</f>
        <v>0</v>
      </c>
      <c r="E195" s="4967">
        <f t="shared" si="249"/>
        <v>0</v>
      </c>
      <c r="F195" s="4967">
        <f t="shared" ref="F195:G195" si="250">F196+F197</f>
        <v>0</v>
      </c>
      <c r="G195" s="4967">
        <f t="shared" si="250"/>
        <v>185.7</v>
      </c>
      <c r="H195" s="5332">
        <f t="shared" ref="H195:BE195" si="251">H196+H197</f>
        <v>0</v>
      </c>
      <c r="I195" s="5332">
        <f t="shared" si="251"/>
        <v>185.7</v>
      </c>
      <c r="J195" s="4967">
        <f t="shared" si="251"/>
        <v>0</v>
      </c>
      <c r="K195" s="4967">
        <f t="shared" si="251"/>
        <v>0</v>
      </c>
      <c r="L195" s="4967">
        <f t="shared" si="251"/>
        <v>0</v>
      </c>
      <c r="M195" s="4964">
        <f t="shared" si="219"/>
        <v>185.7</v>
      </c>
      <c r="N195" s="4967">
        <f t="shared" si="251"/>
        <v>0</v>
      </c>
      <c r="O195" s="4967">
        <f t="shared" si="251"/>
        <v>0</v>
      </c>
      <c r="P195" s="4967">
        <f t="shared" si="251"/>
        <v>0</v>
      </c>
      <c r="Q195" s="5060">
        <f t="shared" si="154"/>
        <v>185.7</v>
      </c>
      <c r="R195" s="4967">
        <f t="shared" si="251"/>
        <v>0</v>
      </c>
      <c r="S195" s="4967">
        <f t="shared" si="251"/>
        <v>490.26</v>
      </c>
      <c r="T195" s="4967">
        <f t="shared" si="251"/>
        <v>0</v>
      </c>
      <c r="U195" s="5376">
        <f t="shared" si="215"/>
        <v>675.96</v>
      </c>
      <c r="V195" s="4967">
        <f t="shared" si="251"/>
        <v>0</v>
      </c>
      <c r="W195" s="4967">
        <f t="shared" si="251"/>
        <v>317.08000000000004</v>
      </c>
      <c r="X195" s="4967">
        <f t="shared" si="251"/>
        <v>0</v>
      </c>
      <c r="Y195" s="4964">
        <f t="shared" si="172"/>
        <v>807.34</v>
      </c>
      <c r="Z195" s="4967">
        <f t="shared" si="251"/>
        <v>0</v>
      </c>
      <c r="AA195" s="5105">
        <f t="shared" si="173"/>
        <v>993.04</v>
      </c>
      <c r="AB195" s="4967">
        <f t="shared" si="251"/>
        <v>0</v>
      </c>
      <c r="AC195" s="4967">
        <f t="shared" si="251"/>
        <v>312.26</v>
      </c>
      <c r="AD195" s="4967">
        <f t="shared" si="251"/>
        <v>0</v>
      </c>
      <c r="AE195" s="5058">
        <f t="shared" si="220"/>
        <v>1305.3</v>
      </c>
      <c r="AF195" s="4967">
        <f t="shared" si="251"/>
        <v>0</v>
      </c>
      <c r="AG195" s="4967">
        <f t="shared" si="251"/>
        <v>0</v>
      </c>
      <c r="AH195" s="4967">
        <f t="shared" si="251"/>
        <v>0</v>
      </c>
      <c r="AI195" s="5058">
        <f t="shared" si="221"/>
        <v>1305.3</v>
      </c>
      <c r="AJ195" s="4967">
        <f t="shared" si="251"/>
        <v>0</v>
      </c>
      <c r="AK195" s="4967">
        <f t="shared" si="251"/>
        <v>0</v>
      </c>
      <c r="AL195" s="4967">
        <f t="shared" si="251"/>
        <v>0</v>
      </c>
      <c r="AM195" s="4964">
        <f t="shared" si="225"/>
        <v>312.26</v>
      </c>
      <c r="AN195" s="5061">
        <f t="shared" si="251"/>
        <v>0</v>
      </c>
      <c r="AO195" s="5058">
        <f t="shared" si="226"/>
        <v>1305.3</v>
      </c>
      <c r="AP195" s="4967">
        <f t="shared" si="251"/>
        <v>0</v>
      </c>
      <c r="AQ195" s="4967">
        <f t="shared" si="251"/>
        <v>0</v>
      </c>
      <c r="AR195" s="4967">
        <f t="shared" si="251"/>
        <v>0</v>
      </c>
      <c r="AS195" s="5058">
        <f t="shared" si="222"/>
        <v>1305.3</v>
      </c>
      <c r="AT195" s="4967">
        <f t="shared" si="251"/>
        <v>0</v>
      </c>
      <c r="AU195" s="4967">
        <f t="shared" si="251"/>
        <v>0</v>
      </c>
      <c r="AV195" s="4967">
        <f t="shared" si="251"/>
        <v>0</v>
      </c>
      <c r="AW195" s="5058">
        <f t="shared" si="223"/>
        <v>1305.3</v>
      </c>
      <c r="AX195" s="4967">
        <f t="shared" si="251"/>
        <v>0</v>
      </c>
      <c r="AY195" s="4967">
        <f t="shared" si="251"/>
        <v>0</v>
      </c>
      <c r="AZ195" s="4967">
        <f t="shared" si="251"/>
        <v>0</v>
      </c>
      <c r="BA195" s="4964">
        <f t="shared" si="251"/>
        <v>0</v>
      </c>
      <c r="BB195" s="5061" t="e">
        <f t="shared" si="251"/>
        <v>#REF!</v>
      </c>
      <c r="BC195" s="5105">
        <f t="shared" si="251"/>
        <v>312.26</v>
      </c>
      <c r="BD195" s="4967">
        <f t="shared" si="251"/>
        <v>0</v>
      </c>
      <c r="BE195" s="4406">
        <f t="shared" si="251"/>
        <v>1305.3</v>
      </c>
      <c r="BH195" s="5073"/>
      <c r="BI195" s="5073"/>
    </row>
    <row r="196" spans="1:61" ht="18" x14ac:dyDescent="0.3">
      <c r="B196" s="5420" t="s">
        <v>1533</v>
      </c>
      <c r="C196" s="5334" t="s">
        <v>351</v>
      </c>
      <c r="D196" s="5421"/>
      <c r="E196" s="5421"/>
      <c r="F196" s="5421"/>
      <c r="G196" s="5421">
        <v>185.7</v>
      </c>
      <c r="H196" s="5422"/>
      <c r="I196" s="5422">
        <f t="shared" ref="I196:I197" si="252">+E196+G196</f>
        <v>185.7</v>
      </c>
      <c r="J196" s="5421"/>
      <c r="K196" s="5421"/>
      <c r="L196" s="5421"/>
      <c r="M196" s="4954">
        <f t="shared" si="219"/>
        <v>185.7</v>
      </c>
      <c r="N196" s="5421"/>
      <c r="O196" s="5421"/>
      <c r="P196" s="5421"/>
      <c r="Q196" s="4965">
        <f t="shared" si="154"/>
        <v>185.7</v>
      </c>
      <c r="R196" s="5421"/>
      <c r="S196" s="5421">
        <v>125.22</v>
      </c>
      <c r="T196" s="5421"/>
      <c r="U196" s="5185">
        <f t="shared" si="215"/>
        <v>310.91999999999996</v>
      </c>
      <c r="V196" s="5421"/>
      <c r="W196" s="5421">
        <v>317.08000000000004</v>
      </c>
      <c r="X196" s="5421"/>
      <c r="Y196" s="4954">
        <f t="shared" si="172"/>
        <v>442.30000000000007</v>
      </c>
      <c r="Z196" s="5421"/>
      <c r="AA196" s="4955">
        <f t="shared" si="173"/>
        <v>628</v>
      </c>
      <c r="AB196" s="5421"/>
      <c r="AC196" s="5421">
        <v>312.26</v>
      </c>
      <c r="AD196" s="5421"/>
      <c r="AE196" s="5062">
        <f t="shared" si="220"/>
        <v>940.26</v>
      </c>
      <c r="AF196" s="5421"/>
      <c r="AG196" s="5421"/>
      <c r="AH196" s="5421"/>
      <c r="AI196" s="5062">
        <f t="shared" si="221"/>
        <v>940.26</v>
      </c>
      <c r="AJ196" s="5421"/>
      <c r="AK196" s="5421"/>
      <c r="AL196" s="5421"/>
      <c r="AM196" s="4954">
        <f t="shared" si="225"/>
        <v>312.26</v>
      </c>
      <c r="AN196" s="5059"/>
      <c r="AO196" s="5062">
        <f t="shared" si="226"/>
        <v>940.26</v>
      </c>
      <c r="AP196" s="5421"/>
      <c r="AQ196" s="5421"/>
      <c r="AR196" s="5421"/>
      <c r="AS196" s="5062">
        <f t="shared" si="222"/>
        <v>940.26</v>
      </c>
      <c r="AT196" s="5421"/>
      <c r="AU196" s="5421"/>
      <c r="AV196" s="5421"/>
      <c r="AW196" s="5062">
        <f t="shared" si="223"/>
        <v>940.26</v>
      </c>
      <c r="AX196" s="5421"/>
      <c r="AY196" s="5421"/>
      <c r="AZ196" s="5421"/>
      <c r="BA196" s="4954">
        <f t="shared" ref="BA196:BA197" si="253">+AQ196+AU196+AY196</f>
        <v>0</v>
      </c>
      <c r="BB196" s="5059" t="e">
        <f>BB197+BB198+BB199+BB200+#REF!+BB203</f>
        <v>#REF!</v>
      </c>
      <c r="BC196" s="4955">
        <f t="shared" ref="BC196:BC197" si="254">BA196+AM196</f>
        <v>312.26</v>
      </c>
      <c r="BD196" s="5421"/>
      <c r="BE196" s="4852">
        <f t="shared" ref="BE196:BE197" si="255">+AW196+AY196</f>
        <v>940.26</v>
      </c>
      <c r="BH196" s="23"/>
      <c r="BI196" s="23"/>
    </row>
    <row r="197" spans="1:61" ht="18" x14ac:dyDescent="0.3">
      <c r="B197" s="5420" t="s">
        <v>2180</v>
      </c>
      <c r="C197" s="5334" t="s">
        <v>351</v>
      </c>
      <c r="D197" s="5421"/>
      <c r="E197" s="5421"/>
      <c r="F197" s="5421"/>
      <c r="G197" s="5421"/>
      <c r="H197" s="5422"/>
      <c r="I197" s="5422">
        <f t="shared" si="252"/>
        <v>0</v>
      </c>
      <c r="J197" s="5421"/>
      <c r="K197" s="5421"/>
      <c r="L197" s="5421"/>
      <c r="M197" s="4954">
        <f t="shared" si="219"/>
        <v>0</v>
      </c>
      <c r="N197" s="5421"/>
      <c r="O197" s="5421"/>
      <c r="P197" s="5421"/>
      <c r="Q197" s="4965">
        <f t="shared" si="154"/>
        <v>0</v>
      </c>
      <c r="R197" s="5421"/>
      <c r="S197" s="5421">
        <v>365.04</v>
      </c>
      <c r="T197" s="5421"/>
      <c r="U197" s="5185">
        <f t="shared" si="215"/>
        <v>365.04</v>
      </c>
      <c r="V197" s="5421"/>
      <c r="W197" s="5421"/>
      <c r="X197" s="5421"/>
      <c r="Y197" s="4954">
        <f t="shared" si="172"/>
        <v>365.04</v>
      </c>
      <c r="Z197" s="5421"/>
      <c r="AA197" s="4955">
        <f t="shared" si="173"/>
        <v>365.04</v>
      </c>
      <c r="AB197" s="5421"/>
      <c r="AC197" s="5421"/>
      <c r="AD197" s="5421"/>
      <c r="AE197" s="5062">
        <f t="shared" si="220"/>
        <v>365.04</v>
      </c>
      <c r="AF197" s="5421"/>
      <c r="AG197" s="5421"/>
      <c r="AH197" s="5421"/>
      <c r="AI197" s="5062">
        <f t="shared" si="221"/>
        <v>365.04</v>
      </c>
      <c r="AJ197" s="5421"/>
      <c r="AK197" s="5421"/>
      <c r="AL197" s="5421"/>
      <c r="AM197" s="4954">
        <f t="shared" si="225"/>
        <v>0</v>
      </c>
      <c r="AN197" s="5059"/>
      <c r="AO197" s="5062">
        <f t="shared" si="226"/>
        <v>365.04</v>
      </c>
      <c r="AP197" s="5421"/>
      <c r="AQ197" s="5421"/>
      <c r="AR197" s="5421"/>
      <c r="AS197" s="5062">
        <f t="shared" si="222"/>
        <v>365.04</v>
      </c>
      <c r="AT197" s="5421"/>
      <c r="AU197" s="5421"/>
      <c r="AV197" s="5421"/>
      <c r="AW197" s="5062">
        <f t="shared" si="223"/>
        <v>365.04</v>
      </c>
      <c r="AX197" s="5421"/>
      <c r="AY197" s="5421"/>
      <c r="AZ197" s="5421"/>
      <c r="BA197" s="4954">
        <f t="shared" si="253"/>
        <v>0</v>
      </c>
      <c r="BB197" s="5059" t="e">
        <f>BB198+BB199+BB200+#REF!+#REF!+BB207</f>
        <v>#REF!</v>
      </c>
      <c r="BC197" s="4955">
        <f t="shared" si="254"/>
        <v>0</v>
      </c>
      <c r="BD197" s="5421"/>
      <c r="BE197" s="4852">
        <f t="shared" si="255"/>
        <v>365.04</v>
      </c>
      <c r="BH197" s="23"/>
      <c r="BI197" s="23"/>
    </row>
    <row r="198" spans="1:61" s="29" customFormat="1" ht="17.399999999999999" x14ac:dyDescent="0.3">
      <c r="B198" s="5436" t="s">
        <v>2179</v>
      </c>
      <c r="C198" s="5334" t="s">
        <v>351</v>
      </c>
      <c r="D198" s="4967">
        <f t="shared" ref="D198:E198" si="256">D199+D200</f>
        <v>0</v>
      </c>
      <c r="E198" s="4967">
        <f t="shared" si="256"/>
        <v>0</v>
      </c>
      <c r="F198" s="4967">
        <f t="shared" ref="F198:G198" si="257">F199+F200</f>
        <v>0</v>
      </c>
      <c r="G198" s="4967">
        <f t="shared" si="257"/>
        <v>302.52</v>
      </c>
      <c r="H198" s="5332">
        <f t="shared" ref="H198:BE198" si="258">H199+H200</f>
        <v>0</v>
      </c>
      <c r="I198" s="5332">
        <f t="shared" si="258"/>
        <v>302.52</v>
      </c>
      <c r="J198" s="4967">
        <f t="shared" si="258"/>
        <v>0</v>
      </c>
      <c r="K198" s="4967">
        <f t="shared" si="258"/>
        <v>0</v>
      </c>
      <c r="L198" s="4967">
        <f t="shared" si="258"/>
        <v>0</v>
      </c>
      <c r="M198" s="4964">
        <f t="shared" si="219"/>
        <v>302.52</v>
      </c>
      <c r="N198" s="4967">
        <f t="shared" si="258"/>
        <v>0</v>
      </c>
      <c r="O198" s="4967">
        <f t="shared" si="258"/>
        <v>64.099999999999994</v>
      </c>
      <c r="P198" s="4967">
        <f t="shared" si="258"/>
        <v>0</v>
      </c>
      <c r="Q198" s="5060">
        <f t="shared" si="154"/>
        <v>366.62</v>
      </c>
      <c r="R198" s="4967">
        <f t="shared" si="258"/>
        <v>0</v>
      </c>
      <c r="S198" s="4967">
        <f t="shared" si="258"/>
        <v>371.54</v>
      </c>
      <c r="T198" s="4967">
        <f t="shared" si="258"/>
        <v>0</v>
      </c>
      <c r="U198" s="5376">
        <f t="shared" si="215"/>
        <v>738.16000000000008</v>
      </c>
      <c r="V198" s="4967">
        <f t="shared" si="258"/>
        <v>0</v>
      </c>
      <c r="W198" s="4967">
        <f t="shared" si="258"/>
        <v>247.86</v>
      </c>
      <c r="X198" s="4967">
        <f t="shared" si="258"/>
        <v>0</v>
      </c>
      <c r="Y198" s="4964">
        <f t="shared" si="172"/>
        <v>683.5</v>
      </c>
      <c r="Z198" s="4967">
        <f t="shared" si="258"/>
        <v>0</v>
      </c>
      <c r="AA198" s="5105">
        <f t="shared" si="173"/>
        <v>986.02</v>
      </c>
      <c r="AB198" s="4967">
        <f t="shared" si="258"/>
        <v>0</v>
      </c>
      <c r="AC198" s="4967">
        <f t="shared" si="258"/>
        <v>311.02</v>
      </c>
      <c r="AD198" s="4967">
        <f t="shared" si="258"/>
        <v>0</v>
      </c>
      <c r="AE198" s="5058">
        <f t="shared" si="220"/>
        <v>1297.04</v>
      </c>
      <c r="AF198" s="4967">
        <f t="shared" si="258"/>
        <v>0</v>
      </c>
      <c r="AG198" s="4967">
        <f t="shared" si="258"/>
        <v>0</v>
      </c>
      <c r="AH198" s="4967">
        <f t="shared" si="258"/>
        <v>0</v>
      </c>
      <c r="AI198" s="5058">
        <f t="shared" si="221"/>
        <v>1297.04</v>
      </c>
      <c r="AJ198" s="4967">
        <f t="shared" si="258"/>
        <v>0</v>
      </c>
      <c r="AK198" s="4967">
        <f t="shared" si="258"/>
        <v>244.1</v>
      </c>
      <c r="AL198" s="4967">
        <f t="shared" si="258"/>
        <v>0</v>
      </c>
      <c r="AM198" s="4964">
        <f t="shared" si="225"/>
        <v>555.12</v>
      </c>
      <c r="AN198" s="5061">
        <f t="shared" si="258"/>
        <v>0</v>
      </c>
      <c r="AO198" s="5058">
        <f t="shared" si="226"/>
        <v>1541.1399999999999</v>
      </c>
      <c r="AP198" s="4967">
        <f t="shared" si="258"/>
        <v>0</v>
      </c>
      <c r="AQ198" s="4967">
        <f t="shared" si="258"/>
        <v>0</v>
      </c>
      <c r="AR198" s="4967">
        <f t="shared" si="258"/>
        <v>0</v>
      </c>
      <c r="AS198" s="5058">
        <f t="shared" si="222"/>
        <v>1541.1399999999999</v>
      </c>
      <c r="AT198" s="4967">
        <f t="shared" si="258"/>
        <v>0</v>
      </c>
      <c r="AU198" s="4967">
        <f t="shared" si="258"/>
        <v>311.56</v>
      </c>
      <c r="AV198" s="4967">
        <f t="shared" si="258"/>
        <v>0</v>
      </c>
      <c r="AW198" s="5058">
        <f t="shared" si="223"/>
        <v>1852.6999999999998</v>
      </c>
      <c r="AX198" s="4967">
        <f t="shared" si="258"/>
        <v>0</v>
      </c>
      <c r="AY198" s="4967">
        <f t="shared" si="258"/>
        <v>0</v>
      </c>
      <c r="AZ198" s="4967">
        <f t="shared" si="258"/>
        <v>0</v>
      </c>
      <c r="BA198" s="4964">
        <f t="shared" si="258"/>
        <v>311.56</v>
      </c>
      <c r="BB198" s="5061" t="e">
        <f t="shared" si="258"/>
        <v>#REF!</v>
      </c>
      <c r="BC198" s="5105">
        <f t="shared" si="258"/>
        <v>866.68000000000006</v>
      </c>
      <c r="BD198" s="4967">
        <f t="shared" si="258"/>
        <v>0</v>
      </c>
      <c r="BE198" s="4406">
        <f t="shared" si="258"/>
        <v>1852.7</v>
      </c>
      <c r="BH198" s="5073"/>
      <c r="BI198" s="5073"/>
    </row>
    <row r="199" spans="1:61" ht="18" x14ac:dyDescent="0.3">
      <c r="B199" s="5420" t="s">
        <v>1533</v>
      </c>
      <c r="C199" s="5334" t="s">
        <v>351</v>
      </c>
      <c r="D199" s="5421"/>
      <c r="E199" s="5421"/>
      <c r="F199" s="5421"/>
      <c r="G199" s="5421">
        <v>302.52</v>
      </c>
      <c r="H199" s="5422"/>
      <c r="I199" s="5422">
        <f t="shared" ref="I199:I200" si="259">+E199+G199</f>
        <v>302.52</v>
      </c>
      <c r="J199" s="5421"/>
      <c r="K199" s="5421"/>
      <c r="L199" s="5421"/>
      <c r="M199" s="4954">
        <f t="shared" si="219"/>
        <v>302.52</v>
      </c>
      <c r="N199" s="5421"/>
      <c r="O199" s="5421">
        <v>64.099999999999994</v>
      </c>
      <c r="P199" s="5421"/>
      <c r="Q199" s="4965">
        <f t="shared" si="154"/>
        <v>366.62</v>
      </c>
      <c r="R199" s="5421"/>
      <c r="S199" s="5421">
        <v>125.38</v>
      </c>
      <c r="T199" s="5421"/>
      <c r="U199" s="5185">
        <f t="shared" si="215"/>
        <v>492</v>
      </c>
      <c r="V199" s="5421"/>
      <c r="W199" s="5421">
        <v>247.86</v>
      </c>
      <c r="X199" s="5421"/>
      <c r="Y199" s="4954">
        <f t="shared" si="172"/>
        <v>437.34000000000003</v>
      </c>
      <c r="Z199" s="5421"/>
      <c r="AA199" s="4955">
        <f t="shared" si="173"/>
        <v>739.86</v>
      </c>
      <c r="AB199" s="5421"/>
      <c r="AC199" s="5421">
        <v>311.02</v>
      </c>
      <c r="AD199" s="5421"/>
      <c r="AE199" s="5062">
        <f t="shared" si="220"/>
        <v>1050.8800000000001</v>
      </c>
      <c r="AF199" s="5421"/>
      <c r="AG199" s="5421"/>
      <c r="AH199" s="5421"/>
      <c r="AI199" s="5062">
        <f t="shared" si="221"/>
        <v>1050.8800000000001</v>
      </c>
      <c r="AJ199" s="5421"/>
      <c r="AK199" s="5421">
        <v>244.1</v>
      </c>
      <c r="AL199" s="5421"/>
      <c r="AM199" s="4954">
        <f t="shared" si="225"/>
        <v>555.12</v>
      </c>
      <c r="AN199" s="5059"/>
      <c r="AO199" s="5062">
        <f t="shared" si="226"/>
        <v>1294.98</v>
      </c>
      <c r="AP199" s="5421"/>
      <c r="AQ199" s="5421"/>
      <c r="AR199" s="5421"/>
      <c r="AS199" s="5062">
        <f t="shared" si="222"/>
        <v>1294.98</v>
      </c>
      <c r="AT199" s="5421"/>
      <c r="AU199" s="5421">
        <v>311.56</v>
      </c>
      <c r="AV199" s="5421"/>
      <c r="AW199" s="5062">
        <f t="shared" si="223"/>
        <v>1606.54</v>
      </c>
      <c r="AX199" s="5421"/>
      <c r="AY199" s="5421"/>
      <c r="AZ199" s="5421"/>
      <c r="BA199" s="4954">
        <f t="shared" ref="BA199:BA200" si="260">+AQ199+AU199+AY199</f>
        <v>311.56</v>
      </c>
      <c r="BB199" s="5059" t="e">
        <f>BB200+#REF!+#REF!+BB202+BB203+BB209</f>
        <v>#REF!</v>
      </c>
      <c r="BC199" s="4955">
        <f t="shared" ref="BC199:BC200" si="261">BA199+AM199</f>
        <v>866.68000000000006</v>
      </c>
      <c r="BD199" s="5421"/>
      <c r="BE199" s="4852">
        <f t="shared" ref="BE199:BE200" si="262">+AW199+AY199</f>
        <v>1606.54</v>
      </c>
      <c r="BH199" s="23"/>
      <c r="BI199" s="23"/>
    </row>
    <row r="200" spans="1:61" ht="18" x14ac:dyDescent="0.3">
      <c r="B200" s="5420" t="s">
        <v>2180</v>
      </c>
      <c r="C200" s="5334" t="s">
        <v>351</v>
      </c>
      <c r="D200" s="5421"/>
      <c r="E200" s="5421"/>
      <c r="F200" s="5421"/>
      <c r="G200" s="5421"/>
      <c r="H200" s="5422"/>
      <c r="I200" s="5422">
        <f t="shared" si="259"/>
        <v>0</v>
      </c>
      <c r="J200" s="5421"/>
      <c r="K200" s="5421"/>
      <c r="L200" s="5421"/>
      <c r="M200" s="4954">
        <f t="shared" si="219"/>
        <v>0</v>
      </c>
      <c r="N200" s="5421"/>
      <c r="O200" s="5421"/>
      <c r="P200" s="5421"/>
      <c r="Q200" s="4965">
        <f t="shared" si="154"/>
        <v>0</v>
      </c>
      <c r="R200" s="5421"/>
      <c r="S200" s="5421">
        <v>246.16000000000003</v>
      </c>
      <c r="T200" s="5421"/>
      <c r="U200" s="5185">
        <f t="shared" si="215"/>
        <v>246.16000000000003</v>
      </c>
      <c r="V200" s="5421"/>
      <c r="W200" s="5421"/>
      <c r="X200" s="5421"/>
      <c r="Y200" s="4954">
        <f t="shared" si="172"/>
        <v>246.16000000000003</v>
      </c>
      <c r="Z200" s="5421"/>
      <c r="AA200" s="4955">
        <f t="shared" si="173"/>
        <v>246.16000000000003</v>
      </c>
      <c r="AB200" s="5421"/>
      <c r="AC200" s="5421"/>
      <c r="AD200" s="5421"/>
      <c r="AE200" s="5062">
        <f t="shared" si="220"/>
        <v>246.16000000000003</v>
      </c>
      <c r="AF200" s="5421"/>
      <c r="AG200" s="5421"/>
      <c r="AH200" s="5421"/>
      <c r="AI200" s="5062">
        <f t="shared" si="221"/>
        <v>246.16000000000003</v>
      </c>
      <c r="AJ200" s="5421"/>
      <c r="AK200" s="5421"/>
      <c r="AL200" s="5421"/>
      <c r="AM200" s="4954">
        <f t="shared" si="225"/>
        <v>0</v>
      </c>
      <c r="AN200" s="5059"/>
      <c r="AO200" s="5062">
        <f t="shared" si="226"/>
        <v>246.16000000000003</v>
      </c>
      <c r="AP200" s="5421"/>
      <c r="AQ200" s="5421"/>
      <c r="AR200" s="5421"/>
      <c r="AS200" s="5062">
        <f t="shared" si="222"/>
        <v>246.16000000000003</v>
      </c>
      <c r="AT200" s="5421"/>
      <c r="AU200" s="5421"/>
      <c r="AV200" s="5421"/>
      <c r="AW200" s="5062">
        <f t="shared" si="223"/>
        <v>246.16000000000003</v>
      </c>
      <c r="AX200" s="5421"/>
      <c r="AY200" s="5421"/>
      <c r="AZ200" s="5421"/>
      <c r="BA200" s="4954">
        <f t="shared" si="260"/>
        <v>0</v>
      </c>
      <c r="BB200" s="5059" t="e">
        <f>#REF!+#REF!+BB202+BB203+BB207+BB210</f>
        <v>#REF!</v>
      </c>
      <c r="BC200" s="4955">
        <f t="shared" si="261"/>
        <v>0</v>
      </c>
      <c r="BD200" s="5421"/>
      <c r="BE200" s="4852">
        <f t="shared" si="262"/>
        <v>246.16000000000003</v>
      </c>
      <c r="BH200" s="23"/>
      <c r="BI200" s="23"/>
    </row>
    <row r="201" spans="1:61" s="29" customFormat="1" ht="20.399999999999999" x14ac:dyDescent="0.3">
      <c r="B201" s="5375" t="s">
        <v>2189</v>
      </c>
      <c r="C201" s="5334"/>
      <c r="D201" s="4967">
        <f t="shared" ref="D201:E201" si="263">+D202+D203</f>
        <v>0</v>
      </c>
      <c r="E201" s="4967">
        <f t="shared" si="263"/>
        <v>0</v>
      </c>
      <c r="F201" s="4967">
        <f t="shared" ref="F201" si="264">+F202+F203</f>
        <v>0</v>
      </c>
      <c r="G201" s="4967">
        <f>+G202+G203+G204</f>
        <v>2989.14</v>
      </c>
      <c r="H201" s="4967">
        <f t="shared" ref="H201:BE201" si="265">+H202+H203</f>
        <v>0</v>
      </c>
      <c r="I201" s="4967">
        <f>+I202+I203+I204</f>
        <v>2989.14</v>
      </c>
      <c r="J201" s="4967">
        <f t="shared" si="265"/>
        <v>0</v>
      </c>
      <c r="K201" s="4967">
        <f t="shared" si="265"/>
        <v>0</v>
      </c>
      <c r="L201" s="4967">
        <f t="shared" si="265"/>
        <v>0</v>
      </c>
      <c r="M201" s="4967">
        <f t="shared" si="265"/>
        <v>0</v>
      </c>
      <c r="N201" s="4967">
        <f t="shared" si="265"/>
        <v>0</v>
      </c>
      <c r="O201" s="4967">
        <f t="shared" si="265"/>
        <v>0</v>
      </c>
      <c r="P201" s="4967">
        <f t="shared" si="265"/>
        <v>0</v>
      </c>
      <c r="Q201" s="4967">
        <f t="shared" si="265"/>
        <v>0</v>
      </c>
      <c r="R201" s="4967">
        <f t="shared" si="265"/>
        <v>0</v>
      </c>
      <c r="S201" s="4967">
        <f t="shared" si="265"/>
        <v>0</v>
      </c>
      <c r="T201" s="4967">
        <f t="shared" si="265"/>
        <v>0</v>
      </c>
      <c r="U201" s="4967">
        <f t="shared" si="265"/>
        <v>0</v>
      </c>
      <c r="V201" s="4967">
        <f t="shared" si="265"/>
        <v>0</v>
      </c>
      <c r="W201" s="4967">
        <f t="shared" si="265"/>
        <v>0</v>
      </c>
      <c r="X201" s="4967">
        <f t="shared" si="265"/>
        <v>0</v>
      </c>
      <c r="Y201" s="4967">
        <f t="shared" si="265"/>
        <v>0</v>
      </c>
      <c r="Z201" s="4967">
        <f t="shared" si="265"/>
        <v>0</v>
      </c>
      <c r="AA201" s="4967">
        <f t="shared" si="265"/>
        <v>0</v>
      </c>
      <c r="AB201" s="4967">
        <f t="shared" si="265"/>
        <v>0</v>
      </c>
      <c r="AC201" s="4967">
        <f t="shared" si="265"/>
        <v>0</v>
      </c>
      <c r="AD201" s="4967">
        <f t="shared" si="265"/>
        <v>0</v>
      </c>
      <c r="AE201" s="4967">
        <f t="shared" si="265"/>
        <v>0</v>
      </c>
      <c r="AF201" s="4967">
        <f t="shared" si="265"/>
        <v>0</v>
      </c>
      <c r="AG201" s="4967">
        <f t="shared" si="265"/>
        <v>0</v>
      </c>
      <c r="AH201" s="4967">
        <f t="shared" si="265"/>
        <v>0</v>
      </c>
      <c r="AI201" s="4967">
        <f t="shared" si="265"/>
        <v>0</v>
      </c>
      <c r="AJ201" s="4967">
        <f t="shared" si="265"/>
        <v>0</v>
      </c>
      <c r="AK201" s="4967">
        <f t="shared" si="265"/>
        <v>0</v>
      </c>
      <c r="AL201" s="4967">
        <f t="shared" si="265"/>
        <v>0</v>
      </c>
      <c r="AM201" s="4967">
        <f t="shared" si="265"/>
        <v>0</v>
      </c>
      <c r="AN201" s="4967">
        <f t="shared" si="265"/>
        <v>0</v>
      </c>
      <c r="AO201" s="4967">
        <f t="shared" si="265"/>
        <v>0</v>
      </c>
      <c r="AP201" s="4967">
        <f t="shared" si="265"/>
        <v>0</v>
      </c>
      <c r="AQ201" s="4967">
        <f t="shared" si="265"/>
        <v>0</v>
      </c>
      <c r="AR201" s="4967">
        <f t="shared" si="265"/>
        <v>0</v>
      </c>
      <c r="AS201" s="4967">
        <f t="shared" si="265"/>
        <v>0</v>
      </c>
      <c r="AT201" s="4967">
        <f t="shared" si="265"/>
        <v>0</v>
      </c>
      <c r="AU201" s="4967">
        <f t="shared" si="265"/>
        <v>2022.0800000000002</v>
      </c>
      <c r="AV201" s="4967">
        <f t="shared" si="265"/>
        <v>0</v>
      </c>
      <c r="AW201" s="4967">
        <f t="shared" si="265"/>
        <v>2022.0800000000002</v>
      </c>
      <c r="AX201" s="4967">
        <f t="shared" si="265"/>
        <v>0</v>
      </c>
      <c r="AY201" s="4967">
        <f t="shared" si="265"/>
        <v>2066.8999999999996</v>
      </c>
      <c r="AZ201" s="4967">
        <f t="shared" si="265"/>
        <v>0</v>
      </c>
      <c r="BA201" s="4967">
        <f t="shared" si="265"/>
        <v>4088.9799999999996</v>
      </c>
      <c r="BB201" s="4967">
        <f t="shared" si="265"/>
        <v>0</v>
      </c>
      <c r="BC201" s="4967">
        <f t="shared" si="265"/>
        <v>4088.9799999999996</v>
      </c>
      <c r="BD201" s="4967">
        <f t="shared" si="265"/>
        <v>0</v>
      </c>
      <c r="BE201" s="4058">
        <f t="shared" si="265"/>
        <v>4088.9799999999996</v>
      </c>
      <c r="BH201" s="5073"/>
      <c r="BI201" s="5073"/>
    </row>
    <row r="202" spans="1:61" ht="17.399999999999999" x14ac:dyDescent="0.3">
      <c r="B202" s="5424" t="s">
        <v>2157</v>
      </c>
      <c r="C202" s="5334" t="s">
        <v>351</v>
      </c>
      <c r="D202" s="4967"/>
      <c r="E202" s="4967"/>
      <c r="F202" s="4967"/>
      <c r="G202" s="4967">
        <v>730.62</v>
      </c>
      <c r="H202" s="5332"/>
      <c r="I202" s="5185">
        <f t="shared" ref="I202:I204" si="266">+E202+G202</f>
        <v>730.62</v>
      </c>
      <c r="J202" s="4967"/>
      <c r="K202" s="4967"/>
      <c r="L202" s="4967"/>
      <c r="M202" s="4964"/>
      <c r="N202" s="4967"/>
      <c r="O202" s="4967"/>
      <c r="P202" s="4967"/>
      <c r="Q202" s="4965"/>
      <c r="R202" s="4967"/>
      <c r="S202" s="4967"/>
      <c r="T202" s="4967"/>
      <c r="U202" s="5185"/>
      <c r="V202" s="4967"/>
      <c r="W202" s="4967"/>
      <c r="X202" s="4967"/>
      <c r="Y202" s="4964"/>
      <c r="Z202" s="4967"/>
      <c r="AA202" s="5105"/>
      <c r="AB202" s="4967"/>
      <c r="AC202" s="4967"/>
      <c r="AD202" s="4967"/>
      <c r="AE202" s="5058"/>
      <c r="AF202" s="4967"/>
      <c r="AG202" s="4967"/>
      <c r="AH202" s="4967"/>
      <c r="AI202" s="5058"/>
      <c r="AJ202" s="4967"/>
      <c r="AK202" s="4967"/>
      <c r="AL202" s="4967"/>
      <c r="AM202" s="4964"/>
      <c r="AN202" s="5059"/>
      <c r="AO202" s="5062"/>
      <c r="AP202" s="4967"/>
      <c r="AQ202" s="4967"/>
      <c r="AR202" s="4967"/>
      <c r="AS202" s="5062"/>
      <c r="AT202" s="4967"/>
      <c r="AU202" s="4967">
        <v>441.44</v>
      </c>
      <c r="AV202" s="4967"/>
      <c r="AW202" s="5062">
        <f t="shared" si="223"/>
        <v>441.44</v>
      </c>
      <c r="AX202" s="4967"/>
      <c r="AY202" s="4967">
        <v>296.89999999999998</v>
      </c>
      <c r="AZ202" s="4967"/>
      <c r="BA202" s="4964">
        <f t="shared" ref="BA202:BA203" si="267">+AQ202+AU202+AY202</f>
        <v>738.33999999999992</v>
      </c>
      <c r="BB202" s="5059"/>
      <c r="BC202" s="5105">
        <f t="shared" ref="BC202:BC203" si="268">BA202+AM202</f>
        <v>738.33999999999992</v>
      </c>
      <c r="BD202" s="4967"/>
      <c r="BE202" s="4406">
        <f t="shared" ref="BE202:BE203" si="269">+AW202+AY202</f>
        <v>738.33999999999992</v>
      </c>
      <c r="BH202" s="23"/>
      <c r="BI202" s="23"/>
    </row>
    <row r="203" spans="1:61" ht="17.399999999999999" x14ac:dyDescent="0.3">
      <c r="B203" s="5424" t="s">
        <v>2158</v>
      </c>
      <c r="C203" s="5334" t="s">
        <v>351</v>
      </c>
      <c r="D203" s="4967"/>
      <c r="E203" s="4967"/>
      <c r="F203" s="4967"/>
      <c r="G203" s="4967">
        <v>1432.6</v>
      </c>
      <c r="H203" s="5332"/>
      <c r="I203" s="5185">
        <f t="shared" si="266"/>
        <v>1432.6</v>
      </c>
      <c r="J203" s="4967"/>
      <c r="K203" s="4967"/>
      <c r="L203" s="4967"/>
      <c r="M203" s="4964"/>
      <c r="N203" s="4967"/>
      <c r="O203" s="4967"/>
      <c r="P203" s="4967"/>
      <c r="Q203" s="4965"/>
      <c r="R203" s="4967"/>
      <c r="S203" s="4967"/>
      <c r="T203" s="4967"/>
      <c r="U203" s="5185"/>
      <c r="V203" s="4967"/>
      <c r="W203" s="4967"/>
      <c r="X203" s="4967"/>
      <c r="Y203" s="4964"/>
      <c r="Z203" s="4967"/>
      <c r="AA203" s="5105"/>
      <c r="AB203" s="4967"/>
      <c r="AC203" s="4967"/>
      <c r="AD203" s="4967"/>
      <c r="AE203" s="5058"/>
      <c r="AF203" s="4967"/>
      <c r="AG203" s="4967"/>
      <c r="AH203" s="4967"/>
      <c r="AI203" s="5058"/>
      <c r="AJ203" s="4967"/>
      <c r="AK203" s="4967"/>
      <c r="AL203" s="4967"/>
      <c r="AM203" s="4964"/>
      <c r="AN203" s="5059"/>
      <c r="AO203" s="5062"/>
      <c r="AP203" s="4967"/>
      <c r="AQ203" s="4967"/>
      <c r="AR203" s="4967"/>
      <c r="AS203" s="5062"/>
      <c r="AT203" s="4967"/>
      <c r="AU203" s="4967">
        <v>1580.64</v>
      </c>
      <c r="AV203" s="4967"/>
      <c r="AW203" s="5062">
        <f t="shared" si="223"/>
        <v>1580.64</v>
      </c>
      <c r="AX203" s="4967"/>
      <c r="AY203" s="4967">
        <v>1769.9999999999998</v>
      </c>
      <c r="AZ203" s="4967"/>
      <c r="BA203" s="4964">
        <f t="shared" si="267"/>
        <v>3350.64</v>
      </c>
      <c r="BB203" s="5059"/>
      <c r="BC203" s="5105">
        <f t="shared" si="268"/>
        <v>3350.64</v>
      </c>
      <c r="BD203" s="4967"/>
      <c r="BE203" s="4406">
        <f t="shared" si="269"/>
        <v>3350.64</v>
      </c>
      <c r="BG203" s="23"/>
      <c r="BH203" s="23"/>
      <c r="BI203" s="23"/>
    </row>
    <row r="204" spans="1:61" ht="18" thickBot="1" x14ac:dyDescent="0.35">
      <c r="B204" s="5426" t="s">
        <v>2270</v>
      </c>
      <c r="C204" s="5417" t="s">
        <v>351</v>
      </c>
      <c r="D204" s="5337"/>
      <c r="E204" s="5337"/>
      <c r="F204" s="5337"/>
      <c r="G204" s="5337">
        <v>825.92</v>
      </c>
      <c r="H204" s="5418"/>
      <c r="I204" s="5427">
        <f t="shared" si="266"/>
        <v>825.92</v>
      </c>
      <c r="J204" s="5337"/>
      <c r="K204" s="5337"/>
      <c r="L204" s="5337"/>
      <c r="M204" s="4075"/>
      <c r="N204" s="5337"/>
      <c r="O204" s="5337"/>
      <c r="P204" s="5337"/>
      <c r="Q204" s="5338"/>
      <c r="R204" s="5337"/>
      <c r="S204" s="5337"/>
      <c r="T204" s="5337"/>
      <c r="U204" s="5427"/>
      <c r="V204" s="5337"/>
      <c r="W204" s="5337"/>
      <c r="X204" s="5337"/>
      <c r="Y204" s="4075"/>
      <c r="Z204" s="5337"/>
      <c r="AA204" s="5340"/>
      <c r="AB204" s="5337"/>
      <c r="AC204" s="5337"/>
      <c r="AD204" s="5337"/>
      <c r="AE204" s="5428"/>
      <c r="AF204" s="5337"/>
      <c r="AG204" s="5337"/>
      <c r="AH204" s="5337"/>
      <c r="AI204" s="5428"/>
      <c r="AJ204" s="5337"/>
      <c r="AK204" s="5337"/>
      <c r="AL204" s="5337"/>
      <c r="AM204" s="4075"/>
      <c r="AN204" s="5419"/>
      <c r="AO204" s="5339"/>
      <c r="AP204" s="5337"/>
      <c r="AQ204" s="5337"/>
      <c r="AR204" s="5337"/>
      <c r="AS204" s="5339"/>
      <c r="AT204" s="5337"/>
      <c r="AU204" s="5337"/>
      <c r="AV204" s="5337"/>
      <c r="AW204" s="5339"/>
      <c r="AX204" s="5337"/>
      <c r="AY204" s="5337"/>
      <c r="AZ204" s="5337"/>
      <c r="BA204" s="4075"/>
      <c r="BB204" s="5419"/>
      <c r="BC204" s="5340"/>
      <c r="BD204" s="5337"/>
      <c r="BE204" s="5342"/>
      <c r="BH204" s="23"/>
      <c r="BI204" s="23"/>
    </row>
    <row r="205" spans="1:61" ht="14.4" x14ac:dyDescent="0.3">
      <c r="M205"/>
      <c r="O205"/>
      <c r="Y205"/>
      <c r="AW205"/>
    </row>
    <row r="206" spans="1:61" ht="14.4" x14ac:dyDescent="0.3">
      <c r="M206"/>
      <c r="O206"/>
      <c r="Y206"/>
      <c r="AW206"/>
    </row>
    <row r="207" spans="1:61" ht="15" thickBot="1" x14ac:dyDescent="0.35">
      <c r="M207"/>
      <c r="O207"/>
      <c r="Y207"/>
      <c r="AW207"/>
    </row>
    <row r="208" spans="1:61" ht="25.5" customHeight="1" x14ac:dyDescent="0.3">
      <c r="A208" s="137"/>
      <c r="B208" s="5946" t="s">
        <v>1065</v>
      </c>
      <c r="C208" s="5947"/>
      <c r="D208" s="893"/>
      <c r="E208" s="2450"/>
      <c r="F208" s="893"/>
      <c r="G208" s="2450"/>
      <c r="H208" s="2450"/>
      <c r="I208" s="2450"/>
      <c r="J208" s="2450"/>
      <c r="K208" s="2450"/>
      <c r="L208" s="2450"/>
      <c r="M208" s="2451"/>
      <c r="N208" s="2450"/>
      <c r="O208" s="5002"/>
      <c r="P208" s="2450"/>
      <c r="Q208" s="2450"/>
      <c r="R208" s="893"/>
      <c r="S208" s="2450"/>
      <c r="T208" s="2450"/>
      <c r="U208" s="2450"/>
      <c r="V208" s="893"/>
      <c r="W208" s="2450"/>
      <c r="X208" s="2450"/>
      <c r="Y208" s="2451"/>
      <c r="Z208" s="893"/>
      <c r="AA208" s="893"/>
      <c r="AB208" s="893"/>
      <c r="AC208" s="2450"/>
      <c r="AD208" s="2450"/>
      <c r="AE208" s="2452"/>
      <c r="AF208" s="893"/>
      <c r="AG208" s="2450"/>
      <c r="AH208" s="2450"/>
      <c r="AI208" s="2452"/>
      <c r="AJ208" s="893"/>
      <c r="AK208" s="2450"/>
      <c r="AL208" s="2450"/>
      <c r="AM208" s="2451"/>
      <c r="AN208" s="2450"/>
      <c r="AO208" s="2452"/>
      <c r="AP208" s="893"/>
      <c r="AQ208" s="2450"/>
      <c r="AR208" s="2450"/>
      <c r="AS208" s="2452"/>
      <c r="AT208" s="893"/>
      <c r="AU208" s="2450"/>
      <c r="AV208" s="2450"/>
      <c r="AW208" s="2452"/>
      <c r="AX208" s="893"/>
      <c r="AY208" s="2450"/>
      <c r="AZ208" s="893"/>
      <c r="BA208" s="2451"/>
      <c r="BB208" s="893"/>
      <c r="BC208" s="893"/>
      <c r="BD208" s="2450"/>
      <c r="BE208" s="2453"/>
      <c r="BH208" s="23"/>
      <c r="BI208" s="23"/>
    </row>
    <row r="209" spans="1:61" ht="18.75" customHeight="1" x14ac:dyDescent="0.3">
      <c r="A209" s="137"/>
      <c r="B209" s="4049" t="s">
        <v>339</v>
      </c>
      <c r="C209" s="4050" t="s">
        <v>351</v>
      </c>
      <c r="D209" s="4055">
        <f t="shared" ref="D209:E209" si="270">D210+D211+D212+D213</f>
        <v>0</v>
      </c>
      <c r="E209" s="4052">
        <f t="shared" si="270"/>
        <v>13558</v>
      </c>
      <c r="F209" s="4055">
        <f t="shared" ref="F209:G209" si="271">F210+F211+F212+F213</f>
        <v>0</v>
      </c>
      <c r="G209" s="4052">
        <f t="shared" si="271"/>
        <v>13840</v>
      </c>
      <c r="H209" s="4053">
        <f t="shared" ref="H209:AZ209" si="272">H210+H211+H212+H213</f>
        <v>0</v>
      </c>
      <c r="I209" s="2947">
        <f t="shared" si="272"/>
        <v>27398</v>
      </c>
      <c r="J209" s="4052">
        <f t="shared" si="272"/>
        <v>0</v>
      </c>
      <c r="K209" s="4052">
        <f t="shared" si="272"/>
        <v>0</v>
      </c>
      <c r="L209" s="4052">
        <f t="shared" si="272"/>
        <v>0</v>
      </c>
      <c r="M209" s="4054">
        <f t="shared" si="272"/>
        <v>27398</v>
      </c>
      <c r="N209" s="4052">
        <f t="shared" si="272"/>
        <v>0</v>
      </c>
      <c r="O209" s="4052">
        <f t="shared" si="272"/>
        <v>0</v>
      </c>
      <c r="P209" s="4052">
        <f t="shared" si="272"/>
        <v>0</v>
      </c>
      <c r="Q209" s="1515">
        <f t="shared" si="272"/>
        <v>27398</v>
      </c>
      <c r="R209" s="4055">
        <f t="shared" si="272"/>
        <v>0</v>
      </c>
      <c r="S209" s="4052">
        <f t="shared" si="272"/>
        <v>2542.38</v>
      </c>
      <c r="T209" s="4052">
        <f t="shared" si="272"/>
        <v>0</v>
      </c>
      <c r="U209" s="1515">
        <f t="shared" si="272"/>
        <v>29940.38</v>
      </c>
      <c r="V209" s="4055">
        <f t="shared" si="272"/>
        <v>0</v>
      </c>
      <c r="W209" s="4052">
        <f t="shared" ref="W209" si="273">W210+W211+W212+W213</f>
        <v>9859.31</v>
      </c>
      <c r="X209" s="4052">
        <f t="shared" si="272"/>
        <v>0</v>
      </c>
      <c r="Y209" s="4054">
        <f t="shared" ref="Y209:Y244" si="274">+O209+S209+W209</f>
        <v>12401.689999999999</v>
      </c>
      <c r="Z209" s="4056"/>
      <c r="AA209" s="4057">
        <f t="shared" ref="AA209:AA244" si="275">M209+Y209</f>
        <v>39799.69</v>
      </c>
      <c r="AB209" s="4055">
        <f t="shared" si="272"/>
        <v>0</v>
      </c>
      <c r="AC209" s="4052">
        <f t="shared" si="272"/>
        <v>4508.43</v>
      </c>
      <c r="AD209" s="4052">
        <f t="shared" si="272"/>
        <v>0</v>
      </c>
      <c r="AE209" s="4058">
        <f t="shared" ref="AE209:AE244" si="276">+AA209+AC209</f>
        <v>44308.12</v>
      </c>
      <c r="AF209" s="4055">
        <f t="shared" si="272"/>
        <v>0</v>
      </c>
      <c r="AG209" s="4052">
        <f t="shared" ref="AG209" si="277">AG210+AG211+AG212+AG213</f>
        <v>17443.419999999998</v>
      </c>
      <c r="AH209" s="4052">
        <f t="shared" si="272"/>
        <v>0</v>
      </c>
      <c r="AI209" s="4058">
        <f t="shared" ref="AI209:AI244" si="278">+AE209+AG209</f>
        <v>61751.54</v>
      </c>
      <c r="AJ209" s="4055">
        <f t="shared" si="272"/>
        <v>0</v>
      </c>
      <c r="AK209" s="4052">
        <f t="shared" si="272"/>
        <v>22244.52</v>
      </c>
      <c r="AL209" s="4056">
        <f t="shared" si="272"/>
        <v>0</v>
      </c>
      <c r="AM209" s="4054">
        <f>AK209+AC209+AG209</f>
        <v>44196.369999999995</v>
      </c>
      <c r="AN209" s="4052">
        <f t="shared" si="272"/>
        <v>0</v>
      </c>
      <c r="AO209" s="4058">
        <f t="shared" ref="AO209:AO244" si="279">AI209+AK209</f>
        <v>83996.06</v>
      </c>
      <c r="AP209" s="4055">
        <f t="shared" ref="AP209:AQ209" si="280">AP210+AP211+AP212+AP213</f>
        <v>0</v>
      </c>
      <c r="AQ209" s="4052">
        <f t="shared" si="280"/>
        <v>13342.22</v>
      </c>
      <c r="AR209" s="4052">
        <f t="shared" si="272"/>
        <v>0</v>
      </c>
      <c r="AS209" s="4058">
        <f t="shared" si="272"/>
        <v>97338.28</v>
      </c>
      <c r="AT209" s="4055">
        <f t="shared" si="272"/>
        <v>0</v>
      </c>
      <c r="AU209" s="4052">
        <f t="shared" si="272"/>
        <v>15686.539999999999</v>
      </c>
      <c r="AV209" s="4052">
        <f t="shared" si="272"/>
        <v>0</v>
      </c>
      <c r="AW209" s="4058">
        <f t="shared" si="272"/>
        <v>113024.82</v>
      </c>
      <c r="AX209" s="4055">
        <f t="shared" ref="AX209:AY209" si="281">AX210+AX211+AX212+AX213</f>
        <v>0</v>
      </c>
      <c r="AY209" s="4052">
        <f t="shared" si="281"/>
        <v>10769.009999999993</v>
      </c>
      <c r="AZ209" s="4056">
        <f t="shared" si="272"/>
        <v>0</v>
      </c>
      <c r="BA209" s="4054">
        <f t="shared" ref="BA209:BA244" si="282">+AQ209+AU209+AY209</f>
        <v>39797.76999999999</v>
      </c>
      <c r="BB209" s="4056"/>
      <c r="BC209" s="4057">
        <f t="shared" ref="BC209:BC244" si="283">BA209+AM209</f>
        <v>83994.139999999985</v>
      </c>
      <c r="BD209" s="4052"/>
      <c r="BE209" s="4058">
        <f t="shared" ref="BE209:BE244" si="284">+AW209+AY209</f>
        <v>123793.83</v>
      </c>
      <c r="BH209" s="23"/>
      <c r="BI209" s="23"/>
    </row>
    <row r="210" spans="1:61" ht="15.75" customHeight="1" x14ac:dyDescent="0.3">
      <c r="A210" s="137"/>
      <c r="B210" s="4059" t="s">
        <v>803</v>
      </c>
      <c r="C210" s="4060" t="s">
        <v>351</v>
      </c>
      <c r="D210" s="4055"/>
      <c r="E210" s="4056">
        <v>13558</v>
      </c>
      <c r="F210" s="4055"/>
      <c r="G210" s="4056">
        <v>13840</v>
      </c>
      <c r="H210" s="4061"/>
      <c r="I210" s="2947">
        <f t="shared" ref="I210:I248" si="285">+E210+G210</f>
        <v>27398</v>
      </c>
      <c r="J210" s="4056"/>
      <c r="K210" s="4056"/>
      <c r="L210" s="4056"/>
      <c r="M210" s="4054">
        <f t="shared" ref="M210:M244" si="286">I210+K210</f>
        <v>27398</v>
      </c>
      <c r="N210" s="4056"/>
      <c r="O210" s="4056"/>
      <c r="P210" s="4056"/>
      <c r="Q210" s="1515">
        <f t="shared" ref="Q210:Q244" si="287">+M210+O210</f>
        <v>27398</v>
      </c>
      <c r="R210" s="4055"/>
      <c r="S210" s="4056">
        <v>0</v>
      </c>
      <c r="T210" s="4056"/>
      <c r="U210" s="1515">
        <f t="shared" ref="U210:U244" si="288">+Q210+S210</f>
        <v>27398</v>
      </c>
      <c r="V210" s="4055"/>
      <c r="W210" s="4056"/>
      <c r="X210" s="4056"/>
      <c r="Y210" s="4054">
        <f t="shared" si="274"/>
        <v>0</v>
      </c>
      <c r="Z210" s="4056"/>
      <c r="AA210" s="4062">
        <f t="shared" si="275"/>
        <v>27398</v>
      </c>
      <c r="AB210" s="4055"/>
      <c r="AC210" s="4056">
        <v>4508.43</v>
      </c>
      <c r="AD210" s="4056"/>
      <c r="AE210" s="4063">
        <f t="shared" si="276"/>
        <v>31906.43</v>
      </c>
      <c r="AF210" s="4055"/>
      <c r="AG210" s="4056">
        <v>15128.48</v>
      </c>
      <c r="AH210" s="4056"/>
      <c r="AI210" s="4063">
        <f t="shared" si="278"/>
        <v>47034.91</v>
      </c>
      <c r="AJ210" s="4055"/>
      <c r="AK210" s="4056">
        <v>10865.68</v>
      </c>
      <c r="AL210" s="4056"/>
      <c r="AM210" s="4054">
        <f t="shared" ref="AM210:AM248" si="289">AK210+AC210+AG210</f>
        <v>30502.59</v>
      </c>
      <c r="AN210" s="4056"/>
      <c r="AO210" s="4063">
        <f t="shared" si="279"/>
        <v>57900.590000000004</v>
      </c>
      <c r="AP210" s="4055"/>
      <c r="AQ210" s="4056">
        <v>13342.22</v>
      </c>
      <c r="AR210" s="4056"/>
      <c r="AS210" s="4063">
        <f t="shared" ref="AS210:AS213" si="290">+AO210+AQ210</f>
        <v>71242.81</v>
      </c>
      <c r="AT210" s="4055"/>
      <c r="AU210" s="4056">
        <v>13546.23</v>
      </c>
      <c r="AV210" s="4056"/>
      <c r="AW210" s="4063">
        <f t="shared" ref="AW210:AW213" si="291">+AS210+AU210</f>
        <v>84789.04</v>
      </c>
      <c r="AX210" s="4055"/>
      <c r="AY210" s="4056">
        <v>10769.009999999993</v>
      </c>
      <c r="AZ210" s="4056"/>
      <c r="BA210" s="4054">
        <f t="shared" si="282"/>
        <v>37657.459999999992</v>
      </c>
      <c r="BB210" s="4056"/>
      <c r="BC210" s="4062">
        <f t="shared" si="283"/>
        <v>68160.049999999988</v>
      </c>
      <c r="BD210" s="4056"/>
      <c r="BE210" s="4064">
        <f t="shared" si="284"/>
        <v>95558.049999999988</v>
      </c>
      <c r="BH210" s="23"/>
      <c r="BI210" s="23"/>
    </row>
    <row r="211" spans="1:61" ht="15.75" hidden="1" customHeight="1" x14ac:dyDescent="0.3">
      <c r="A211" s="137"/>
      <c r="B211" s="4059" t="s">
        <v>802</v>
      </c>
      <c r="C211" s="4060" t="s">
        <v>351</v>
      </c>
      <c r="D211" s="4055"/>
      <c r="E211" s="4056"/>
      <c r="F211" s="4055"/>
      <c r="G211" s="4056"/>
      <c r="H211" s="4061"/>
      <c r="I211" s="2947">
        <f t="shared" si="285"/>
        <v>0</v>
      </c>
      <c r="J211" s="4056"/>
      <c r="K211" s="4056"/>
      <c r="L211" s="4056"/>
      <c r="M211" s="4054">
        <f t="shared" si="286"/>
        <v>0</v>
      </c>
      <c r="N211" s="4056"/>
      <c r="O211" s="4056"/>
      <c r="P211" s="4056"/>
      <c r="Q211" s="1515">
        <f t="shared" si="287"/>
        <v>0</v>
      </c>
      <c r="R211" s="4055"/>
      <c r="S211" s="4056"/>
      <c r="T211" s="4056"/>
      <c r="U211" s="1515">
        <f t="shared" si="288"/>
        <v>0</v>
      </c>
      <c r="V211" s="4055"/>
      <c r="W211" s="4056">
        <v>4878.29</v>
      </c>
      <c r="X211" s="4056"/>
      <c r="Y211" s="4054">
        <f t="shared" si="274"/>
        <v>4878.29</v>
      </c>
      <c r="Z211" s="4056"/>
      <c r="AA211" s="4062">
        <f t="shared" si="275"/>
        <v>4878.29</v>
      </c>
      <c r="AB211" s="4055"/>
      <c r="AC211" s="4056"/>
      <c r="AD211" s="4056"/>
      <c r="AE211" s="4063">
        <f t="shared" si="276"/>
        <v>4878.29</v>
      </c>
      <c r="AF211" s="4055"/>
      <c r="AG211" s="4056"/>
      <c r="AH211" s="4056"/>
      <c r="AI211" s="4063">
        <f t="shared" si="278"/>
        <v>4878.29</v>
      </c>
      <c r="AJ211" s="4055"/>
      <c r="AK211" s="4056">
        <v>9344.0400000000009</v>
      </c>
      <c r="AL211" s="4056"/>
      <c r="AM211" s="4054">
        <f t="shared" si="289"/>
        <v>9344.0400000000009</v>
      </c>
      <c r="AN211" s="4056"/>
      <c r="AO211" s="4063">
        <f t="shared" si="279"/>
        <v>14222.330000000002</v>
      </c>
      <c r="AP211" s="4055"/>
      <c r="AQ211" s="4056"/>
      <c r="AR211" s="4056"/>
      <c r="AS211" s="4063">
        <f t="shared" si="290"/>
        <v>14222.330000000002</v>
      </c>
      <c r="AT211" s="4055"/>
      <c r="AU211" s="4056"/>
      <c r="AV211" s="4056"/>
      <c r="AW211" s="4063">
        <f t="shared" si="291"/>
        <v>14222.330000000002</v>
      </c>
      <c r="AX211" s="4055"/>
      <c r="AY211" s="4056"/>
      <c r="AZ211" s="4056"/>
      <c r="BA211" s="4054">
        <f t="shared" si="282"/>
        <v>0</v>
      </c>
      <c r="BB211" s="4056"/>
      <c r="BC211" s="4062">
        <f t="shared" si="283"/>
        <v>9344.0400000000009</v>
      </c>
      <c r="BD211" s="4056"/>
      <c r="BE211" s="4064">
        <f t="shared" si="284"/>
        <v>14222.330000000002</v>
      </c>
      <c r="BH211" s="23"/>
      <c r="BI211" s="23"/>
    </row>
    <row r="212" spans="1:61" ht="15.75" hidden="1" customHeight="1" x14ac:dyDescent="0.3">
      <c r="A212" s="137"/>
      <c r="B212" s="4059" t="s">
        <v>909</v>
      </c>
      <c r="C212" s="4060" t="s">
        <v>351</v>
      </c>
      <c r="D212" s="4055"/>
      <c r="E212" s="4056"/>
      <c r="F212" s="4055"/>
      <c r="G212" s="4056"/>
      <c r="H212" s="4056"/>
      <c r="I212" s="2947">
        <f t="shared" si="285"/>
        <v>0</v>
      </c>
      <c r="J212" s="4056"/>
      <c r="K212" s="4056"/>
      <c r="L212" s="4056"/>
      <c r="M212" s="4054">
        <f t="shared" si="286"/>
        <v>0</v>
      </c>
      <c r="N212" s="4056"/>
      <c r="O212" s="4056"/>
      <c r="P212" s="4056"/>
      <c r="Q212" s="1515">
        <f t="shared" si="287"/>
        <v>0</v>
      </c>
      <c r="R212" s="4055"/>
      <c r="S212" s="4056"/>
      <c r="T212" s="4056"/>
      <c r="U212" s="1515">
        <f t="shared" si="288"/>
        <v>0</v>
      </c>
      <c r="V212" s="4055"/>
      <c r="W212" s="4056">
        <v>2391.88</v>
      </c>
      <c r="X212" s="4056"/>
      <c r="Y212" s="4054">
        <f t="shared" si="274"/>
        <v>2391.88</v>
      </c>
      <c r="Z212" s="4056"/>
      <c r="AA212" s="4062">
        <f t="shared" si="275"/>
        <v>2391.88</v>
      </c>
      <c r="AB212" s="4055"/>
      <c r="AC212" s="4056"/>
      <c r="AD212" s="4056"/>
      <c r="AE212" s="4063">
        <f t="shared" si="276"/>
        <v>2391.88</v>
      </c>
      <c r="AF212" s="4055"/>
      <c r="AG212" s="4056"/>
      <c r="AH212" s="4056"/>
      <c r="AI212" s="4063">
        <f t="shared" si="278"/>
        <v>2391.88</v>
      </c>
      <c r="AJ212" s="4055"/>
      <c r="AK212" s="4056"/>
      <c r="AL212" s="4056"/>
      <c r="AM212" s="4054">
        <f t="shared" si="289"/>
        <v>0</v>
      </c>
      <c r="AN212" s="4056"/>
      <c r="AO212" s="4063">
        <f t="shared" si="279"/>
        <v>2391.88</v>
      </c>
      <c r="AP212" s="4055"/>
      <c r="AQ212" s="4056"/>
      <c r="AR212" s="4056"/>
      <c r="AS212" s="4063">
        <f t="shared" si="290"/>
        <v>2391.88</v>
      </c>
      <c r="AT212" s="4055"/>
      <c r="AU212" s="4056"/>
      <c r="AV212" s="4056"/>
      <c r="AW212" s="4063">
        <f t="shared" si="291"/>
        <v>2391.88</v>
      </c>
      <c r="AX212" s="4055"/>
      <c r="AY212" s="4056"/>
      <c r="AZ212" s="4056"/>
      <c r="BA212" s="4054">
        <f t="shared" si="282"/>
        <v>0</v>
      </c>
      <c r="BB212" s="4056"/>
      <c r="BC212" s="4062">
        <f t="shared" si="283"/>
        <v>0</v>
      </c>
      <c r="BD212" s="4056"/>
      <c r="BE212" s="4064">
        <f t="shared" si="284"/>
        <v>2391.88</v>
      </c>
      <c r="BH212" s="23"/>
      <c r="BI212" s="23"/>
    </row>
    <row r="213" spans="1:61" ht="15.75" hidden="1" customHeight="1" x14ac:dyDescent="0.3">
      <c r="A213" s="137"/>
      <c r="B213" s="4059" t="s">
        <v>1588</v>
      </c>
      <c r="C213" s="4060"/>
      <c r="D213" s="4055"/>
      <c r="E213" s="4056"/>
      <c r="F213" s="4055"/>
      <c r="G213" s="4056"/>
      <c r="H213" s="4056"/>
      <c r="I213" s="2947">
        <f t="shared" si="285"/>
        <v>0</v>
      </c>
      <c r="J213" s="4056"/>
      <c r="K213" s="4056"/>
      <c r="L213" s="4056"/>
      <c r="M213" s="4054">
        <f t="shared" si="286"/>
        <v>0</v>
      </c>
      <c r="N213" s="4056"/>
      <c r="O213" s="4056"/>
      <c r="P213" s="4056"/>
      <c r="Q213" s="1515">
        <f t="shared" si="287"/>
        <v>0</v>
      </c>
      <c r="R213" s="4055"/>
      <c r="S213" s="4056">
        <v>2542.38</v>
      </c>
      <c r="T213" s="4056"/>
      <c r="U213" s="1515">
        <f t="shared" si="288"/>
        <v>2542.38</v>
      </c>
      <c r="V213" s="4055"/>
      <c r="W213" s="4056">
        <v>2589.14</v>
      </c>
      <c r="X213" s="4056"/>
      <c r="Y213" s="4054">
        <f t="shared" si="274"/>
        <v>5131.5200000000004</v>
      </c>
      <c r="Z213" s="4056"/>
      <c r="AA213" s="4062">
        <f t="shared" si="275"/>
        <v>5131.5200000000004</v>
      </c>
      <c r="AB213" s="4055"/>
      <c r="AC213" s="4056"/>
      <c r="AD213" s="4056"/>
      <c r="AE213" s="4063">
        <f t="shared" si="276"/>
        <v>5131.5200000000004</v>
      </c>
      <c r="AF213" s="4055"/>
      <c r="AG213" s="4056">
        <v>2314.94</v>
      </c>
      <c r="AH213" s="4056"/>
      <c r="AI213" s="4063">
        <f t="shared" si="278"/>
        <v>7446.4600000000009</v>
      </c>
      <c r="AJ213" s="4055"/>
      <c r="AK213" s="4056">
        <v>2034.8</v>
      </c>
      <c r="AL213" s="4056"/>
      <c r="AM213" s="4054">
        <f t="shared" si="289"/>
        <v>4349.74</v>
      </c>
      <c r="AN213" s="4056"/>
      <c r="AO213" s="4063">
        <f t="shared" si="279"/>
        <v>9481.26</v>
      </c>
      <c r="AP213" s="4055"/>
      <c r="AQ213" s="4056"/>
      <c r="AR213" s="4056"/>
      <c r="AS213" s="4063">
        <f t="shared" si="290"/>
        <v>9481.26</v>
      </c>
      <c r="AT213" s="4055"/>
      <c r="AU213" s="4056">
        <v>2140.31</v>
      </c>
      <c r="AV213" s="4056"/>
      <c r="AW213" s="4063">
        <f t="shared" si="291"/>
        <v>11621.57</v>
      </c>
      <c r="AX213" s="4055"/>
      <c r="AY213" s="4056"/>
      <c r="AZ213" s="4056"/>
      <c r="BA213" s="4054">
        <f t="shared" si="282"/>
        <v>2140.31</v>
      </c>
      <c r="BB213" s="4056"/>
      <c r="BC213" s="4062">
        <f t="shared" si="283"/>
        <v>6490.0499999999993</v>
      </c>
      <c r="BD213" s="4056"/>
      <c r="BE213" s="4064">
        <f t="shared" si="284"/>
        <v>11621.57</v>
      </c>
      <c r="BH213" s="23"/>
      <c r="BI213" s="23"/>
    </row>
    <row r="214" spans="1:61" ht="18.75" hidden="1" customHeight="1" x14ac:dyDescent="0.3">
      <c r="A214" s="137"/>
      <c r="B214" s="4049" t="s">
        <v>26</v>
      </c>
      <c r="C214" s="4060"/>
      <c r="D214" s="4055">
        <f t="shared" ref="D214:F214" si="292">D215+D216+D217</f>
        <v>0</v>
      </c>
      <c r="E214" s="4052">
        <f>E215+E216+E217</f>
        <v>0</v>
      </c>
      <c r="F214" s="4055">
        <f t="shared" si="292"/>
        <v>0</v>
      </c>
      <c r="G214" s="4052">
        <f>G215+G216+G217</f>
        <v>0</v>
      </c>
      <c r="H214" s="4056">
        <f t="shared" ref="H214:AJ214" si="293">H215+H216+H217</f>
        <v>0</v>
      </c>
      <c r="I214" s="2947">
        <f t="shared" si="293"/>
        <v>0</v>
      </c>
      <c r="J214" s="4056">
        <f t="shared" si="293"/>
        <v>0</v>
      </c>
      <c r="K214" s="4052">
        <f t="shared" si="293"/>
        <v>0</v>
      </c>
      <c r="L214" s="4056">
        <f t="shared" si="293"/>
        <v>0</v>
      </c>
      <c r="M214" s="4054">
        <f t="shared" si="293"/>
        <v>0</v>
      </c>
      <c r="N214" s="4056">
        <f t="shared" si="293"/>
        <v>0</v>
      </c>
      <c r="O214" s="4052">
        <f t="shared" si="293"/>
        <v>2771.29</v>
      </c>
      <c r="P214" s="4056">
        <f t="shared" si="293"/>
        <v>0</v>
      </c>
      <c r="Q214" s="1515">
        <f t="shared" si="293"/>
        <v>2771.29</v>
      </c>
      <c r="R214" s="4055">
        <f t="shared" si="293"/>
        <v>0</v>
      </c>
      <c r="S214" s="4052">
        <f t="shared" si="293"/>
        <v>0</v>
      </c>
      <c r="T214" s="4056">
        <f t="shared" si="293"/>
        <v>0</v>
      </c>
      <c r="U214" s="1515">
        <f t="shared" si="293"/>
        <v>2771.29</v>
      </c>
      <c r="V214" s="4055">
        <f t="shared" si="293"/>
        <v>0</v>
      </c>
      <c r="W214" s="4052">
        <f t="shared" si="293"/>
        <v>3223</v>
      </c>
      <c r="X214" s="4056">
        <f t="shared" si="293"/>
        <v>0</v>
      </c>
      <c r="Y214" s="4054">
        <f t="shared" si="293"/>
        <v>5994.29</v>
      </c>
      <c r="Z214" s="4056">
        <f t="shared" si="293"/>
        <v>0</v>
      </c>
      <c r="AA214" s="4062">
        <f t="shared" si="293"/>
        <v>5994.29</v>
      </c>
      <c r="AB214" s="4055">
        <f t="shared" si="293"/>
        <v>0</v>
      </c>
      <c r="AC214" s="4052">
        <f t="shared" si="293"/>
        <v>0</v>
      </c>
      <c r="AD214" s="4056">
        <f t="shared" si="293"/>
        <v>0</v>
      </c>
      <c r="AE214" s="4063">
        <f t="shared" si="293"/>
        <v>5994.29</v>
      </c>
      <c r="AF214" s="4055">
        <f t="shared" si="293"/>
        <v>0</v>
      </c>
      <c r="AG214" s="4052">
        <f t="shared" si="293"/>
        <v>2863.49</v>
      </c>
      <c r="AH214" s="4056">
        <f t="shared" si="293"/>
        <v>0</v>
      </c>
      <c r="AI214" s="4063">
        <f t="shared" si="293"/>
        <v>8857.7799999999988</v>
      </c>
      <c r="AJ214" s="4055">
        <f t="shared" si="293"/>
        <v>0</v>
      </c>
      <c r="AK214" s="4052">
        <f>AK215+AK216+AK217</f>
        <v>3698.75</v>
      </c>
      <c r="AL214" s="4056">
        <f t="shared" ref="AL214:AZ214" si="294">AL215+AL216+AL217</f>
        <v>0</v>
      </c>
      <c r="AM214" s="4054">
        <f t="shared" si="289"/>
        <v>6562.24</v>
      </c>
      <c r="AN214" s="4056">
        <f t="shared" si="294"/>
        <v>0</v>
      </c>
      <c r="AO214" s="4063">
        <f t="shared" si="294"/>
        <v>12556.529999999999</v>
      </c>
      <c r="AP214" s="4055">
        <f t="shared" si="294"/>
        <v>0</v>
      </c>
      <c r="AQ214" s="4052">
        <f>AQ215+AQ216+AQ217</f>
        <v>2673.7</v>
      </c>
      <c r="AR214" s="4056">
        <f t="shared" si="294"/>
        <v>0</v>
      </c>
      <c r="AS214" s="4071">
        <f t="shared" si="294"/>
        <v>15230.229999999998</v>
      </c>
      <c r="AT214" s="4055">
        <f t="shared" si="294"/>
        <v>0</v>
      </c>
      <c r="AU214" s="4052">
        <f>AU215+AU216+AU217</f>
        <v>0</v>
      </c>
      <c r="AV214" s="4056">
        <f t="shared" si="294"/>
        <v>0</v>
      </c>
      <c r="AW214" s="4063">
        <f t="shared" si="294"/>
        <v>15230.229999999998</v>
      </c>
      <c r="AX214" s="4055">
        <f t="shared" ref="AX214" si="295">AX215+AX216+AX217</f>
        <v>0</v>
      </c>
      <c r="AY214" s="4052">
        <f>AY215+AY216+AY217</f>
        <v>0</v>
      </c>
      <c r="AZ214" s="4056">
        <f t="shared" si="294"/>
        <v>0</v>
      </c>
      <c r="BA214" s="4054">
        <f t="shared" si="282"/>
        <v>2673.7</v>
      </c>
      <c r="BB214" s="4056"/>
      <c r="BC214" s="4062">
        <f t="shared" si="283"/>
        <v>9235.9399999999987</v>
      </c>
      <c r="BD214" s="4056"/>
      <c r="BE214" s="4064">
        <f t="shared" si="284"/>
        <v>15230.229999999998</v>
      </c>
      <c r="BH214" s="23"/>
      <c r="BI214" s="23"/>
    </row>
    <row r="215" spans="1:61" ht="15.75" hidden="1" customHeight="1" x14ac:dyDescent="0.3">
      <c r="A215" s="137"/>
      <c r="B215" s="4059" t="s">
        <v>803</v>
      </c>
      <c r="C215" s="4060" t="s">
        <v>351</v>
      </c>
      <c r="D215" s="4055"/>
      <c r="E215" s="4056"/>
      <c r="F215" s="4055"/>
      <c r="G215" s="4056"/>
      <c r="H215" s="4056"/>
      <c r="I215" s="2947">
        <f t="shared" si="285"/>
        <v>0</v>
      </c>
      <c r="J215" s="4056"/>
      <c r="K215" s="4056"/>
      <c r="L215" s="4056"/>
      <c r="M215" s="4054">
        <f t="shared" si="286"/>
        <v>0</v>
      </c>
      <c r="N215" s="4056"/>
      <c r="O215" s="4056"/>
      <c r="P215" s="4056"/>
      <c r="Q215" s="1515">
        <f t="shared" si="287"/>
        <v>0</v>
      </c>
      <c r="R215" s="4055"/>
      <c r="S215" s="4056"/>
      <c r="T215" s="4056"/>
      <c r="U215" s="1515">
        <f t="shared" si="288"/>
        <v>0</v>
      </c>
      <c r="V215" s="4055"/>
      <c r="W215" s="4056"/>
      <c r="X215" s="4056"/>
      <c r="Y215" s="4054">
        <f t="shared" si="274"/>
        <v>0</v>
      </c>
      <c r="Z215" s="4056"/>
      <c r="AA215" s="4062">
        <f t="shared" si="275"/>
        <v>0</v>
      </c>
      <c r="AB215" s="4055"/>
      <c r="AC215" s="4056"/>
      <c r="AD215" s="4056"/>
      <c r="AE215" s="4063">
        <f t="shared" si="276"/>
        <v>0</v>
      </c>
      <c r="AF215" s="4055"/>
      <c r="AG215" s="4056"/>
      <c r="AH215" s="4056"/>
      <c r="AI215" s="4063">
        <f t="shared" si="278"/>
        <v>0</v>
      </c>
      <c r="AJ215" s="4055"/>
      <c r="AK215" s="4056"/>
      <c r="AL215" s="4056"/>
      <c r="AM215" s="4054">
        <f t="shared" si="289"/>
        <v>0</v>
      </c>
      <c r="AN215" s="4056"/>
      <c r="AO215" s="4063">
        <f t="shared" si="279"/>
        <v>0</v>
      </c>
      <c r="AP215" s="4055"/>
      <c r="AQ215" s="4056"/>
      <c r="AR215" s="4056"/>
      <c r="AS215" s="4063">
        <f t="shared" ref="AS215:AS217" si="296">+AO215+AQ215</f>
        <v>0</v>
      </c>
      <c r="AT215" s="4055"/>
      <c r="AU215" s="4056">
        <v>0</v>
      </c>
      <c r="AV215" s="4056"/>
      <c r="AW215" s="4063">
        <f t="shared" ref="AW215:AW217" si="297">+AS215+AU215</f>
        <v>0</v>
      </c>
      <c r="AX215" s="4055"/>
      <c r="AY215" s="4056"/>
      <c r="AZ215" s="4056"/>
      <c r="BA215" s="4054">
        <f t="shared" si="282"/>
        <v>0</v>
      </c>
      <c r="BB215" s="4056"/>
      <c r="BC215" s="4062">
        <f t="shared" si="283"/>
        <v>0</v>
      </c>
      <c r="BD215" s="4056"/>
      <c r="BE215" s="4064">
        <f t="shared" si="284"/>
        <v>0</v>
      </c>
      <c r="BH215" s="23"/>
      <c r="BI215" s="23"/>
    </row>
    <row r="216" spans="1:61" ht="15.75" hidden="1" customHeight="1" x14ac:dyDescent="0.3">
      <c r="A216" s="137"/>
      <c r="B216" s="4059" t="s">
        <v>802</v>
      </c>
      <c r="C216" s="4060" t="s">
        <v>351</v>
      </c>
      <c r="D216" s="4055"/>
      <c r="E216" s="4056"/>
      <c r="F216" s="4055"/>
      <c r="G216" s="4056"/>
      <c r="H216" s="4056"/>
      <c r="I216" s="2947">
        <f t="shared" si="285"/>
        <v>0</v>
      </c>
      <c r="J216" s="4056"/>
      <c r="K216" s="4056"/>
      <c r="L216" s="4056"/>
      <c r="M216" s="4054">
        <f t="shared" si="286"/>
        <v>0</v>
      </c>
      <c r="N216" s="4056"/>
      <c r="O216" s="4056">
        <v>2771.29</v>
      </c>
      <c r="P216" s="4056"/>
      <c r="Q216" s="1515">
        <f t="shared" si="287"/>
        <v>2771.29</v>
      </c>
      <c r="R216" s="4055"/>
      <c r="S216" s="4056"/>
      <c r="T216" s="4056"/>
      <c r="U216" s="1515">
        <f t="shared" si="288"/>
        <v>2771.29</v>
      </c>
      <c r="V216" s="4055"/>
      <c r="W216" s="4056">
        <v>3223</v>
      </c>
      <c r="X216" s="4056"/>
      <c r="Y216" s="4054">
        <f t="shared" si="274"/>
        <v>5994.29</v>
      </c>
      <c r="Z216" s="4056"/>
      <c r="AA216" s="4062">
        <f t="shared" si="275"/>
        <v>5994.29</v>
      </c>
      <c r="AB216" s="4055"/>
      <c r="AC216" s="4056"/>
      <c r="AD216" s="4056"/>
      <c r="AE216" s="4063">
        <f t="shared" si="276"/>
        <v>5994.29</v>
      </c>
      <c r="AF216" s="4055"/>
      <c r="AG216" s="4056">
        <v>2863.49</v>
      </c>
      <c r="AH216" s="4056"/>
      <c r="AI216" s="4063">
        <f t="shared" si="278"/>
        <v>8857.7799999999988</v>
      </c>
      <c r="AJ216" s="4055"/>
      <c r="AK216" s="4056">
        <v>262.06</v>
      </c>
      <c r="AL216" s="4056"/>
      <c r="AM216" s="4054">
        <f t="shared" si="289"/>
        <v>3125.5499999999997</v>
      </c>
      <c r="AN216" s="4056"/>
      <c r="AO216" s="4063">
        <f t="shared" si="279"/>
        <v>9119.8399999999983</v>
      </c>
      <c r="AP216" s="4055"/>
      <c r="AQ216" s="4056"/>
      <c r="AR216" s="4056"/>
      <c r="AS216" s="4063">
        <f t="shared" si="296"/>
        <v>9119.8399999999983</v>
      </c>
      <c r="AT216" s="4055"/>
      <c r="AU216" s="4056">
        <v>0</v>
      </c>
      <c r="AV216" s="4056"/>
      <c r="AW216" s="4063">
        <f t="shared" si="297"/>
        <v>9119.8399999999983</v>
      </c>
      <c r="AX216" s="4055"/>
      <c r="AY216" s="4056"/>
      <c r="AZ216" s="4056"/>
      <c r="BA216" s="4054">
        <f t="shared" si="282"/>
        <v>0</v>
      </c>
      <c r="BB216" s="4056"/>
      <c r="BC216" s="4062">
        <f t="shared" si="283"/>
        <v>3125.5499999999997</v>
      </c>
      <c r="BD216" s="4056"/>
      <c r="BE216" s="4064">
        <f t="shared" si="284"/>
        <v>9119.8399999999983</v>
      </c>
      <c r="BH216" s="23"/>
      <c r="BI216" s="23"/>
    </row>
    <row r="217" spans="1:61" ht="15.75" hidden="1" customHeight="1" x14ac:dyDescent="0.3">
      <c r="A217" s="137"/>
      <c r="B217" s="4059" t="s">
        <v>1066</v>
      </c>
      <c r="C217" s="4060"/>
      <c r="D217" s="4055"/>
      <c r="E217" s="4056"/>
      <c r="F217" s="4055"/>
      <c r="G217" s="4056"/>
      <c r="H217" s="4056"/>
      <c r="I217" s="2947">
        <f t="shared" si="285"/>
        <v>0</v>
      </c>
      <c r="J217" s="4056"/>
      <c r="K217" s="4056"/>
      <c r="L217" s="4056"/>
      <c r="M217" s="4054">
        <f t="shared" si="286"/>
        <v>0</v>
      </c>
      <c r="N217" s="4056"/>
      <c r="O217" s="4056"/>
      <c r="P217" s="4056"/>
      <c r="Q217" s="1515">
        <f t="shared" si="287"/>
        <v>0</v>
      </c>
      <c r="R217" s="4055"/>
      <c r="S217" s="4056"/>
      <c r="T217" s="4056"/>
      <c r="U217" s="1515">
        <f t="shared" si="288"/>
        <v>0</v>
      </c>
      <c r="V217" s="4055"/>
      <c r="W217" s="4056"/>
      <c r="X217" s="4056"/>
      <c r="Y217" s="4054">
        <f t="shared" si="274"/>
        <v>0</v>
      </c>
      <c r="Z217" s="4056"/>
      <c r="AA217" s="4062">
        <f t="shared" si="275"/>
        <v>0</v>
      </c>
      <c r="AB217" s="4055"/>
      <c r="AC217" s="4056"/>
      <c r="AD217" s="4056"/>
      <c r="AE217" s="4063">
        <f t="shared" si="276"/>
        <v>0</v>
      </c>
      <c r="AF217" s="4055"/>
      <c r="AG217" s="4056"/>
      <c r="AH217" s="4056"/>
      <c r="AI217" s="4063">
        <f t="shared" si="278"/>
        <v>0</v>
      </c>
      <c r="AJ217" s="4055"/>
      <c r="AK217" s="4056">
        <v>3436.69</v>
      </c>
      <c r="AL217" s="4056"/>
      <c r="AM217" s="4054">
        <f t="shared" si="289"/>
        <v>3436.69</v>
      </c>
      <c r="AN217" s="4056"/>
      <c r="AO217" s="4063">
        <f t="shared" si="279"/>
        <v>3436.69</v>
      </c>
      <c r="AP217" s="4055"/>
      <c r="AQ217" s="4056">
        <v>2673.7</v>
      </c>
      <c r="AR217" s="4056"/>
      <c r="AS217" s="4063">
        <f t="shared" si="296"/>
        <v>6110.3899999999994</v>
      </c>
      <c r="AT217" s="4055"/>
      <c r="AU217" s="4056">
        <v>0</v>
      </c>
      <c r="AV217" s="4056"/>
      <c r="AW217" s="4063">
        <f t="shared" si="297"/>
        <v>6110.3899999999994</v>
      </c>
      <c r="AX217" s="4055"/>
      <c r="AY217" s="4056"/>
      <c r="AZ217" s="4056"/>
      <c r="BA217" s="4054">
        <f t="shared" si="282"/>
        <v>2673.7</v>
      </c>
      <c r="BB217" s="4056"/>
      <c r="BC217" s="4062">
        <f t="shared" si="283"/>
        <v>6110.3899999999994</v>
      </c>
      <c r="BD217" s="4056"/>
      <c r="BE217" s="4064">
        <f t="shared" si="284"/>
        <v>6110.3899999999994</v>
      </c>
      <c r="BH217" s="23"/>
      <c r="BI217" s="23"/>
    </row>
    <row r="218" spans="1:61" ht="15.75" hidden="1" customHeight="1" x14ac:dyDescent="0.3">
      <c r="A218" s="137"/>
      <c r="B218" s="4049" t="s">
        <v>1303</v>
      </c>
      <c r="C218" s="4050"/>
      <c r="D218" s="4055"/>
      <c r="E218" s="4052">
        <v>0</v>
      </c>
      <c r="F218" s="4055"/>
      <c r="G218" s="4052">
        <v>0</v>
      </c>
      <c r="H218" s="4053">
        <v>0</v>
      </c>
      <c r="I218" s="2947">
        <f t="shared" si="285"/>
        <v>0</v>
      </c>
      <c r="J218" s="4052">
        <v>0</v>
      </c>
      <c r="K218" s="4052">
        <v>0</v>
      </c>
      <c r="L218" s="4052"/>
      <c r="M218" s="4054">
        <f t="shared" si="286"/>
        <v>0</v>
      </c>
      <c r="N218" s="4052"/>
      <c r="O218" s="4052">
        <v>0</v>
      </c>
      <c r="P218" s="4052">
        <v>0</v>
      </c>
      <c r="Q218" s="1515">
        <f t="shared" si="287"/>
        <v>0</v>
      </c>
      <c r="R218" s="4055">
        <v>0</v>
      </c>
      <c r="S218" s="4052">
        <v>0</v>
      </c>
      <c r="T218" s="4052">
        <v>0</v>
      </c>
      <c r="U218" s="1515">
        <f t="shared" si="288"/>
        <v>0</v>
      </c>
      <c r="V218" s="4055">
        <v>0</v>
      </c>
      <c r="W218" s="4052">
        <v>0</v>
      </c>
      <c r="X218" s="4052"/>
      <c r="Y218" s="4054">
        <f t="shared" si="274"/>
        <v>0</v>
      </c>
      <c r="Z218" s="4056"/>
      <c r="AA218" s="4057">
        <f t="shared" si="275"/>
        <v>0</v>
      </c>
      <c r="AB218" s="4055"/>
      <c r="AC218" s="4052">
        <v>0</v>
      </c>
      <c r="AD218" s="4052">
        <v>0</v>
      </c>
      <c r="AE218" s="4058">
        <f t="shared" si="276"/>
        <v>0</v>
      </c>
      <c r="AF218" s="4055">
        <v>0</v>
      </c>
      <c r="AG218" s="4052">
        <v>0</v>
      </c>
      <c r="AH218" s="4052">
        <v>0</v>
      </c>
      <c r="AI218" s="4058">
        <f t="shared" si="278"/>
        <v>0</v>
      </c>
      <c r="AJ218" s="4055">
        <v>0</v>
      </c>
      <c r="AK218" s="4052">
        <v>0</v>
      </c>
      <c r="AL218" s="4056"/>
      <c r="AM218" s="4054">
        <f t="shared" si="289"/>
        <v>0</v>
      </c>
      <c r="AN218" s="4056"/>
      <c r="AO218" s="4063">
        <f t="shared" si="279"/>
        <v>0</v>
      </c>
      <c r="AP218" s="4055">
        <v>0</v>
      </c>
      <c r="AQ218" s="4052">
        <v>0</v>
      </c>
      <c r="AR218" s="4052"/>
      <c r="AS218" s="4058">
        <v>0</v>
      </c>
      <c r="AT218" s="4055"/>
      <c r="AU218" s="4052">
        <v>0</v>
      </c>
      <c r="AV218" s="4052"/>
      <c r="AW218" s="4058">
        <v>0</v>
      </c>
      <c r="AX218" s="4055"/>
      <c r="AY218" s="4052">
        <v>0</v>
      </c>
      <c r="AZ218" s="4056"/>
      <c r="BA218" s="4054">
        <f t="shared" si="282"/>
        <v>0</v>
      </c>
      <c r="BB218" s="4056"/>
      <c r="BC218" s="4057">
        <f t="shared" si="283"/>
        <v>0</v>
      </c>
      <c r="BD218" s="4052"/>
      <c r="BE218" s="4058">
        <f t="shared" si="284"/>
        <v>0</v>
      </c>
      <c r="BH218" s="23"/>
      <c r="BI218" s="23"/>
    </row>
    <row r="219" spans="1:61" ht="15.75" hidden="1" customHeight="1" x14ac:dyDescent="0.3">
      <c r="A219" s="137"/>
      <c r="B219" s="4059" t="s">
        <v>1588</v>
      </c>
      <c r="C219" s="4060" t="s">
        <v>351</v>
      </c>
      <c r="D219" s="4055"/>
      <c r="E219" s="4056"/>
      <c r="F219" s="4055"/>
      <c r="G219" s="4056"/>
      <c r="H219" s="4056"/>
      <c r="I219" s="2947">
        <f t="shared" si="285"/>
        <v>0</v>
      </c>
      <c r="J219" s="4056"/>
      <c r="K219" s="4056"/>
      <c r="L219" s="4056"/>
      <c r="M219" s="4054">
        <f t="shared" si="286"/>
        <v>0</v>
      </c>
      <c r="N219" s="4056"/>
      <c r="O219" s="4056"/>
      <c r="P219" s="4056"/>
      <c r="Q219" s="1515">
        <f t="shared" si="287"/>
        <v>0</v>
      </c>
      <c r="R219" s="4055"/>
      <c r="S219" s="4056"/>
      <c r="T219" s="4056"/>
      <c r="U219" s="1515">
        <f t="shared" si="288"/>
        <v>0</v>
      </c>
      <c r="V219" s="4055"/>
      <c r="W219" s="4056"/>
      <c r="X219" s="4056"/>
      <c r="Y219" s="4054">
        <f t="shared" si="274"/>
        <v>0</v>
      </c>
      <c r="Z219" s="4056"/>
      <c r="AA219" s="4062">
        <f t="shared" si="275"/>
        <v>0</v>
      </c>
      <c r="AB219" s="4055"/>
      <c r="AC219" s="4056"/>
      <c r="AD219" s="4056"/>
      <c r="AE219" s="4063">
        <f t="shared" si="276"/>
        <v>0</v>
      </c>
      <c r="AF219" s="4055"/>
      <c r="AG219" s="4056"/>
      <c r="AH219" s="4056"/>
      <c r="AI219" s="4063">
        <f t="shared" si="278"/>
        <v>0</v>
      </c>
      <c r="AJ219" s="4055"/>
      <c r="AK219" s="4056"/>
      <c r="AL219" s="4056"/>
      <c r="AM219" s="4054">
        <f t="shared" si="289"/>
        <v>0</v>
      </c>
      <c r="AN219" s="4056"/>
      <c r="AO219" s="4063">
        <f t="shared" si="279"/>
        <v>0</v>
      </c>
      <c r="AP219" s="4055"/>
      <c r="AQ219" s="4056"/>
      <c r="AR219" s="4056"/>
      <c r="AS219" s="4063">
        <v>0</v>
      </c>
      <c r="AT219" s="4055"/>
      <c r="AU219" s="4056"/>
      <c r="AV219" s="4056"/>
      <c r="AW219" s="4063">
        <v>0</v>
      </c>
      <c r="AX219" s="4055"/>
      <c r="AY219" s="4056"/>
      <c r="AZ219" s="4056"/>
      <c r="BA219" s="4054">
        <f t="shared" si="282"/>
        <v>0</v>
      </c>
      <c r="BB219" s="4056"/>
      <c r="BC219" s="4062">
        <f t="shared" si="283"/>
        <v>0</v>
      </c>
      <c r="BD219" s="4056"/>
      <c r="BE219" s="4064">
        <f t="shared" si="284"/>
        <v>0</v>
      </c>
      <c r="BH219" s="23"/>
      <c r="BI219" s="23"/>
    </row>
    <row r="220" spans="1:61" ht="15.75" hidden="1" customHeight="1" x14ac:dyDescent="0.3">
      <c r="A220" s="137"/>
      <c r="B220" s="4049" t="s">
        <v>1983</v>
      </c>
      <c r="C220" s="4050"/>
      <c r="D220" s="4055"/>
      <c r="E220" s="4052">
        <f>SUM(E221:E224)</f>
        <v>0</v>
      </c>
      <c r="F220" s="4055"/>
      <c r="G220" s="4052">
        <f>SUM(G221:G224)</f>
        <v>0</v>
      </c>
      <c r="H220" s="4053">
        <v>0</v>
      </c>
      <c r="I220" s="2947">
        <f t="shared" si="285"/>
        <v>0</v>
      </c>
      <c r="J220" s="4052">
        <v>0</v>
      </c>
      <c r="K220" s="4052">
        <f>SUM(K221:K224)</f>
        <v>174.21</v>
      </c>
      <c r="L220" s="4052"/>
      <c r="M220" s="4054">
        <f t="shared" si="286"/>
        <v>174.21</v>
      </c>
      <c r="N220" s="4052"/>
      <c r="O220" s="4052">
        <f>SUM(O221:O224)</f>
        <v>0</v>
      </c>
      <c r="P220" s="4052">
        <v>0</v>
      </c>
      <c r="Q220" s="1515">
        <f t="shared" si="287"/>
        <v>174.21</v>
      </c>
      <c r="R220" s="4055">
        <v>0</v>
      </c>
      <c r="S220" s="4052">
        <f>SUM(S221:S224)</f>
        <v>0</v>
      </c>
      <c r="T220" s="4052">
        <v>0</v>
      </c>
      <c r="U220" s="1515">
        <f t="shared" si="288"/>
        <v>174.21</v>
      </c>
      <c r="V220" s="4055">
        <v>0</v>
      </c>
      <c r="W220" s="4052">
        <f>SUM(W221:W224)</f>
        <v>0</v>
      </c>
      <c r="X220" s="4052"/>
      <c r="Y220" s="4054">
        <f t="shared" si="274"/>
        <v>0</v>
      </c>
      <c r="Z220" s="4056"/>
      <c r="AA220" s="4057">
        <f t="shared" si="275"/>
        <v>174.21</v>
      </c>
      <c r="AB220" s="4055"/>
      <c r="AC220" s="4052">
        <f>SUM(AC221:AC224)</f>
        <v>0</v>
      </c>
      <c r="AD220" s="4052">
        <v>0</v>
      </c>
      <c r="AE220" s="4058">
        <f t="shared" si="276"/>
        <v>174.21</v>
      </c>
      <c r="AF220" s="4055">
        <v>0</v>
      </c>
      <c r="AG220" s="4052">
        <f>SUM(AG221:AG224)</f>
        <v>0</v>
      </c>
      <c r="AH220" s="4052">
        <v>0</v>
      </c>
      <c r="AI220" s="4058">
        <f t="shared" si="278"/>
        <v>174.21</v>
      </c>
      <c r="AJ220" s="4055">
        <v>0</v>
      </c>
      <c r="AK220" s="4052">
        <f>SUM(AK221:AK224)</f>
        <v>0</v>
      </c>
      <c r="AL220" s="4056"/>
      <c r="AM220" s="4054">
        <f t="shared" si="289"/>
        <v>0</v>
      </c>
      <c r="AN220" s="4056"/>
      <c r="AO220" s="4071">
        <f t="shared" si="279"/>
        <v>174.21</v>
      </c>
      <c r="AP220" s="4055">
        <v>0</v>
      </c>
      <c r="AQ220" s="4052">
        <f>SUM(AQ221:AQ224)</f>
        <v>0</v>
      </c>
      <c r="AR220" s="4052"/>
      <c r="AS220" s="4071">
        <f>AS223+AS224</f>
        <v>174.21</v>
      </c>
      <c r="AT220" s="4055"/>
      <c r="AU220" s="4052">
        <f>SUM(AU221:AU224)</f>
        <v>0</v>
      </c>
      <c r="AV220" s="4052"/>
      <c r="AW220" s="4058">
        <f>SUM(AW221:AW224)</f>
        <v>174.21</v>
      </c>
      <c r="AX220" s="4055"/>
      <c r="AY220" s="4052">
        <f>SUM(AY221:AY224)</f>
        <v>0</v>
      </c>
      <c r="AZ220" s="4056"/>
      <c r="BA220" s="4054">
        <f t="shared" si="282"/>
        <v>0</v>
      </c>
      <c r="BB220" s="4056"/>
      <c r="BC220" s="4057">
        <f t="shared" si="283"/>
        <v>0</v>
      </c>
      <c r="BD220" s="4052"/>
      <c r="BE220" s="4058">
        <f t="shared" si="284"/>
        <v>174.21</v>
      </c>
      <c r="BH220" s="23"/>
      <c r="BI220" s="23"/>
    </row>
    <row r="221" spans="1:61" ht="15.75" hidden="1" customHeight="1" x14ac:dyDescent="0.3">
      <c r="A221" s="137"/>
      <c r="B221" s="4059" t="s">
        <v>909</v>
      </c>
      <c r="C221" s="4060" t="s">
        <v>351</v>
      </c>
      <c r="D221" s="4055"/>
      <c r="E221" s="4056"/>
      <c r="F221" s="4055"/>
      <c r="G221" s="4056"/>
      <c r="H221" s="4056"/>
      <c r="I221" s="2947">
        <f t="shared" si="285"/>
        <v>0</v>
      </c>
      <c r="J221" s="4056"/>
      <c r="K221" s="4056"/>
      <c r="L221" s="4056"/>
      <c r="M221" s="4054">
        <f t="shared" si="286"/>
        <v>0</v>
      </c>
      <c r="N221" s="4056"/>
      <c r="O221" s="4056"/>
      <c r="P221" s="4056"/>
      <c r="Q221" s="1515">
        <f t="shared" si="287"/>
        <v>0</v>
      </c>
      <c r="R221" s="4055"/>
      <c r="S221" s="4056"/>
      <c r="T221" s="4056"/>
      <c r="U221" s="1515">
        <f t="shared" si="288"/>
        <v>0</v>
      </c>
      <c r="V221" s="4055"/>
      <c r="W221" s="4056"/>
      <c r="X221" s="4056"/>
      <c r="Y221" s="4054">
        <f t="shared" si="274"/>
        <v>0</v>
      </c>
      <c r="Z221" s="4056"/>
      <c r="AA221" s="4062">
        <f t="shared" si="275"/>
        <v>0</v>
      </c>
      <c r="AB221" s="4055"/>
      <c r="AC221" s="4056"/>
      <c r="AD221" s="4056"/>
      <c r="AE221" s="4063">
        <f t="shared" si="276"/>
        <v>0</v>
      </c>
      <c r="AF221" s="4055"/>
      <c r="AG221" s="4056"/>
      <c r="AH221" s="4056"/>
      <c r="AI221" s="4063">
        <f t="shared" si="278"/>
        <v>0</v>
      </c>
      <c r="AJ221" s="4055"/>
      <c r="AK221" s="4056"/>
      <c r="AL221" s="4056"/>
      <c r="AM221" s="4054">
        <f t="shared" si="289"/>
        <v>0</v>
      </c>
      <c r="AN221" s="4056"/>
      <c r="AO221" s="4063">
        <f t="shared" si="279"/>
        <v>0</v>
      </c>
      <c r="AP221" s="4055"/>
      <c r="AQ221" s="4056"/>
      <c r="AR221" s="4056"/>
      <c r="AS221" s="4063">
        <v>0</v>
      </c>
      <c r="AT221" s="4055"/>
      <c r="AU221" s="4056"/>
      <c r="AV221" s="4056"/>
      <c r="AW221" s="4063">
        <v>0</v>
      </c>
      <c r="AX221" s="4055"/>
      <c r="AY221" s="4056"/>
      <c r="AZ221" s="4056"/>
      <c r="BA221" s="4054">
        <f t="shared" si="282"/>
        <v>0</v>
      </c>
      <c r="BB221" s="4056"/>
      <c r="BC221" s="4062">
        <f t="shared" si="283"/>
        <v>0</v>
      </c>
      <c r="BD221" s="4056"/>
      <c r="BE221" s="4064">
        <f t="shared" si="284"/>
        <v>0</v>
      </c>
      <c r="BH221" s="23"/>
      <c r="BI221" s="23"/>
    </row>
    <row r="222" spans="1:61" ht="15.75" hidden="1" customHeight="1" x14ac:dyDescent="0.3">
      <c r="A222" s="137"/>
      <c r="B222" s="4059" t="s">
        <v>802</v>
      </c>
      <c r="C222" s="4060"/>
      <c r="D222" s="4055"/>
      <c r="E222" s="4056"/>
      <c r="F222" s="4055"/>
      <c r="G222" s="4056"/>
      <c r="H222" s="4056"/>
      <c r="I222" s="2947">
        <f t="shared" si="285"/>
        <v>0</v>
      </c>
      <c r="J222" s="4056"/>
      <c r="K222" s="4056"/>
      <c r="L222" s="4056"/>
      <c r="M222" s="4054">
        <f t="shared" si="286"/>
        <v>0</v>
      </c>
      <c r="N222" s="4056"/>
      <c r="O222" s="4056"/>
      <c r="P222" s="4056"/>
      <c r="Q222" s="1515">
        <f t="shared" si="287"/>
        <v>0</v>
      </c>
      <c r="R222" s="4055"/>
      <c r="S222" s="4056"/>
      <c r="T222" s="4056"/>
      <c r="U222" s="1515">
        <f t="shared" si="288"/>
        <v>0</v>
      </c>
      <c r="V222" s="4055"/>
      <c r="W222" s="4056"/>
      <c r="X222" s="4056"/>
      <c r="Y222" s="4054">
        <f t="shared" si="274"/>
        <v>0</v>
      </c>
      <c r="Z222" s="4056"/>
      <c r="AA222" s="4062">
        <f t="shared" si="275"/>
        <v>0</v>
      </c>
      <c r="AB222" s="4055"/>
      <c r="AC222" s="4056"/>
      <c r="AD222" s="4056"/>
      <c r="AE222" s="4063">
        <f t="shared" si="276"/>
        <v>0</v>
      </c>
      <c r="AF222" s="4055"/>
      <c r="AG222" s="4056"/>
      <c r="AH222" s="4056"/>
      <c r="AI222" s="4063">
        <f t="shared" si="278"/>
        <v>0</v>
      </c>
      <c r="AJ222" s="4055"/>
      <c r="AK222" s="4056"/>
      <c r="AL222" s="4056"/>
      <c r="AM222" s="4054">
        <f t="shared" si="289"/>
        <v>0</v>
      </c>
      <c r="AN222" s="4056"/>
      <c r="AO222" s="4063">
        <f t="shared" si="279"/>
        <v>0</v>
      </c>
      <c r="AP222" s="4055"/>
      <c r="AQ222" s="4056"/>
      <c r="AR222" s="4056"/>
      <c r="AS222" s="4063">
        <v>0</v>
      </c>
      <c r="AT222" s="4055"/>
      <c r="AU222" s="4056"/>
      <c r="AV222" s="4056"/>
      <c r="AW222" s="4063">
        <v>0</v>
      </c>
      <c r="AX222" s="4055"/>
      <c r="AY222" s="4056"/>
      <c r="AZ222" s="4056"/>
      <c r="BA222" s="4054">
        <f t="shared" si="282"/>
        <v>0</v>
      </c>
      <c r="BB222" s="4056"/>
      <c r="BC222" s="4062">
        <f t="shared" si="283"/>
        <v>0</v>
      </c>
      <c r="BD222" s="4056"/>
      <c r="BE222" s="4064">
        <f t="shared" si="284"/>
        <v>0</v>
      </c>
      <c r="BH222" s="23"/>
      <c r="BI222" s="23"/>
    </row>
    <row r="223" spans="1:61" ht="15.75" hidden="1" customHeight="1" x14ac:dyDescent="0.3">
      <c r="A223" s="137"/>
      <c r="B223" s="4059" t="s">
        <v>1588</v>
      </c>
      <c r="C223" s="4060"/>
      <c r="D223" s="4055"/>
      <c r="E223" s="4056"/>
      <c r="F223" s="4055"/>
      <c r="G223" s="4056"/>
      <c r="H223" s="4056"/>
      <c r="I223" s="2947">
        <f t="shared" si="285"/>
        <v>0</v>
      </c>
      <c r="J223" s="4056"/>
      <c r="K223" s="4056">
        <v>147.49</v>
      </c>
      <c r="L223" s="4056"/>
      <c r="M223" s="4054">
        <f t="shared" si="286"/>
        <v>147.49</v>
      </c>
      <c r="N223" s="4056"/>
      <c r="O223" s="4056"/>
      <c r="P223" s="4056"/>
      <c r="Q223" s="1515">
        <f t="shared" si="287"/>
        <v>147.49</v>
      </c>
      <c r="R223" s="4055"/>
      <c r="S223" s="4056"/>
      <c r="T223" s="4056"/>
      <c r="U223" s="1515">
        <f t="shared" si="288"/>
        <v>147.49</v>
      </c>
      <c r="V223" s="4055"/>
      <c r="W223" s="4056"/>
      <c r="X223" s="4056"/>
      <c r="Y223" s="4054">
        <f t="shared" si="274"/>
        <v>0</v>
      </c>
      <c r="Z223" s="4056"/>
      <c r="AA223" s="4062">
        <f t="shared" si="275"/>
        <v>147.49</v>
      </c>
      <c r="AB223" s="4055"/>
      <c r="AC223" s="4056"/>
      <c r="AD223" s="4056"/>
      <c r="AE223" s="4063">
        <f t="shared" si="276"/>
        <v>147.49</v>
      </c>
      <c r="AF223" s="4055"/>
      <c r="AG223" s="4056"/>
      <c r="AH223" s="4056"/>
      <c r="AI223" s="4063">
        <f t="shared" si="278"/>
        <v>147.49</v>
      </c>
      <c r="AJ223" s="4055"/>
      <c r="AK223" s="4056"/>
      <c r="AL223" s="4056"/>
      <c r="AM223" s="4054">
        <f t="shared" si="289"/>
        <v>0</v>
      </c>
      <c r="AN223" s="4056"/>
      <c r="AO223" s="4063">
        <f t="shared" si="279"/>
        <v>147.49</v>
      </c>
      <c r="AP223" s="4055"/>
      <c r="AQ223" s="4056"/>
      <c r="AR223" s="4056"/>
      <c r="AS223" s="4063">
        <f t="shared" ref="AS223:AS224" si="298">+AO223+AQ223</f>
        <v>147.49</v>
      </c>
      <c r="AT223" s="4055"/>
      <c r="AU223" s="4056"/>
      <c r="AV223" s="4056"/>
      <c r="AW223" s="4063">
        <f t="shared" ref="AW223:AW224" si="299">+AS223+AU223</f>
        <v>147.49</v>
      </c>
      <c r="AX223" s="4055"/>
      <c r="AY223" s="4056"/>
      <c r="AZ223" s="4056"/>
      <c r="BA223" s="4054">
        <f t="shared" si="282"/>
        <v>0</v>
      </c>
      <c r="BB223" s="4056"/>
      <c r="BC223" s="4062">
        <f t="shared" si="283"/>
        <v>0</v>
      </c>
      <c r="BD223" s="4056"/>
      <c r="BE223" s="4064">
        <f t="shared" si="284"/>
        <v>147.49</v>
      </c>
      <c r="BH223" s="23"/>
      <c r="BI223" s="23"/>
    </row>
    <row r="224" spans="1:61" ht="15.75" hidden="1" customHeight="1" x14ac:dyDescent="0.3">
      <c r="A224" s="137"/>
      <c r="B224" s="4059" t="s">
        <v>803</v>
      </c>
      <c r="C224" s="4060"/>
      <c r="D224" s="4055"/>
      <c r="E224" s="4056"/>
      <c r="F224" s="4055"/>
      <c r="G224" s="4056"/>
      <c r="H224" s="4056"/>
      <c r="I224" s="2947">
        <f t="shared" si="285"/>
        <v>0</v>
      </c>
      <c r="J224" s="4056"/>
      <c r="K224" s="4056">
        <v>26.72</v>
      </c>
      <c r="L224" s="4056"/>
      <c r="M224" s="4054">
        <f t="shared" si="286"/>
        <v>26.72</v>
      </c>
      <c r="N224" s="4056"/>
      <c r="O224" s="4056"/>
      <c r="P224" s="4056"/>
      <c r="Q224" s="1515">
        <f t="shared" si="287"/>
        <v>26.72</v>
      </c>
      <c r="R224" s="4055"/>
      <c r="S224" s="4056"/>
      <c r="T224" s="4056"/>
      <c r="U224" s="1515">
        <f t="shared" si="288"/>
        <v>26.72</v>
      </c>
      <c r="V224" s="4055"/>
      <c r="W224" s="4056"/>
      <c r="X224" s="4056"/>
      <c r="Y224" s="4054">
        <f t="shared" si="274"/>
        <v>0</v>
      </c>
      <c r="Z224" s="4056"/>
      <c r="AA224" s="4062">
        <f t="shared" si="275"/>
        <v>26.72</v>
      </c>
      <c r="AB224" s="4055"/>
      <c r="AC224" s="4056"/>
      <c r="AD224" s="4056"/>
      <c r="AE224" s="4063">
        <f t="shared" si="276"/>
        <v>26.72</v>
      </c>
      <c r="AF224" s="4055"/>
      <c r="AG224" s="4056"/>
      <c r="AH224" s="4056"/>
      <c r="AI224" s="4063">
        <f t="shared" si="278"/>
        <v>26.72</v>
      </c>
      <c r="AJ224" s="4055"/>
      <c r="AK224" s="4056"/>
      <c r="AL224" s="4056"/>
      <c r="AM224" s="4054">
        <f t="shared" si="289"/>
        <v>0</v>
      </c>
      <c r="AN224" s="4056"/>
      <c r="AO224" s="4063">
        <f t="shared" si="279"/>
        <v>26.72</v>
      </c>
      <c r="AP224" s="4055"/>
      <c r="AQ224" s="4056"/>
      <c r="AR224" s="4056"/>
      <c r="AS224" s="4063">
        <f t="shared" si="298"/>
        <v>26.72</v>
      </c>
      <c r="AT224" s="4055"/>
      <c r="AU224" s="4056"/>
      <c r="AV224" s="4056"/>
      <c r="AW224" s="4063">
        <f t="shared" si="299"/>
        <v>26.72</v>
      </c>
      <c r="AX224" s="4055"/>
      <c r="AY224" s="4056"/>
      <c r="AZ224" s="4056"/>
      <c r="BA224" s="4054">
        <f t="shared" si="282"/>
        <v>0</v>
      </c>
      <c r="BB224" s="4056"/>
      <c r="BC224" s="4062">
        <f t="shared" si="283"/>
        <v>0</v>
      </c>
      <c r="BD224" s="4056"/>
      <c r="BE224" s="4064">
        <f t="shared" si="284"/>
        <v>26.72</v>
      </c>
      <c r="BH224" s="23"/>
      <c r="BI224" s="23"/>
    </row>
    <row r="225" spans="1:61" ht="15.75" hidden="1" customHeight="1" x14ac:dyDescent="0.3">
      <c r="A225" s="137"/>
      <c r="B225" s="4049" t="s">
        <v>1587</v>
      </c>
      <c r="C225" s="4050"/>
      <c r="D225" s="4055"/>
      <c r="E225" s="4052"/>
      <c r="F225" s="4055"/>
      <c r="G225" s="4052"/>
      <c r="H225" s="4053">
        <v>0</v>
      </c>
      <c r="I225" s="2947">
        <f t="shared" si="285"/>
        <v>0</v>
      </c>
      <c r="J225" s="4052">
        <v>0</v>
      </c>
      <c r="K225" s="4052">
        <v>0</v>
      </c>
      <c r="L225" s="4052"/>
      <c r="M225" s="4054">
        <f t="shared" si="286"/>
        <v>0</v>
      </c>
      <c r="N225" s="4052"/>
      <c r="O225" s="4052">
        <v>0</v>
      </c>
      <c r="P225" s="4052">
        <v>0</v>
      </c>
      <c r="Q225" s="1515">
        <f t="shared" si="287"/>
        <v>0</v>
      </c>
      <c r="R225" s="4055">
        <v>0</v>
      </c>
      <c r="S225" s="4052">
        <v>0</v>
      </c>
      <c r="T225" s="4052">
        <v>0</v>
      </c>
      <c r="U225" s="1515">
        <f t="shared" si="288"/>
        <v>0</v>
      </c>
      <c r="V225" s="4055">
        <v>0</v>
      </c>
      <c r="W225" s="4052">
        <v>0</v>
      </c>
      <c r="X225" s="4052"/>
      <c r="Y225" s="4054">
        <f t="shared" si="274"/>
        <v>0</v>
      </c>
      <c r="Z225" s="4056"/>
      <c r="AA225" s="4057">
        <f t="shared" si="275"/>
        <v>0</v>
      </c>
      <c r="AB225" s="4055"/>
      <c r="AC225" s="4052">
        <v>0</v>
      </c>
      <c r="AD225" s="4052">
        <v>0</v>
      </c>
      <c r="AE225" s="4058">
        <f t="shared" si="276"/>
        <v>0</v>
      </c>
      <c r="AF225" s="4055">
        <v>0</v>
      </c>
      <c r="AG225" s="4052">
        <v>0</v>
      </c>
      <c r="AH225" s="4052">
        <v>0</v>
      </c>
      <c r="AI225" s="4058">
        <f t="shared" si="278"/>
        <v>0</v>
      </c>
      <c r="AJ225" s="4055">
        <v>0</v>
      </c>
      <c r="AK225" s="4052">
        <v>0</v>
      </c>
      <c r="AL225" s="4056"/>
      <c r="AM225" s="4054">
        <f t="shared" si="289"/>
        <v>0</v>
      </c>
      <c r="AN225" s="4056"/>
      <c r="AO225" s="4063">
        <f t="shared" si="279"/>
        <v>0</v>
      </c>
      <c r="AP225" s="4055">
        <v>0</v>
      </c>
      <c r="AQ225" s="4052">
        <v>0</v>
      </c>
      <c r="AR225" s="4052"/>
      <c r="AS225" s="4058">
        <v>0</v>
      </c>
      <c r="AT225" s="4055"/>
      <c r="AU225" s="4052">
        <v>0</v>
      </c>
      <c r="AV225" s="4052"/>
      <c r="AW225" s="4058">
        <f>AW226</f>
        <v>0</v>
      </c>
      <c r="AX225" s="4055"/>
      <c r="AY225" s="4052"/>
      <c r="AZ225" s="4056"/>
      <c r="BA225" s="4054">
        <f t="shared" si="282"/>
        <v>0</v>
      </c>
      <c r="BB225" s="4056"/>
      <c r="BC225" s="4057">
        <f t="shared" si="283"/>
        <v>0</v>
      </c>
      <c r="BD225" s="4052"/>
      <c r="BE225" s="4058">
        <f t="shared" si="284"/>
        <v>0</v>
      </c>
      <c r="BH225" s="23"/>
      <c r="BI225" s="23"/>
    </row>
    <row r="226" spans="1:61" ht="15.75" hidden="1" customHeight="1" x14ac:dyDescent="0.3">
      <c r="A226" s="137"/>
      <c r="B226" s="4059" t="s">
        <v>1588</v>
      </c>
      <c r="C226" s="4060" t="s">
        <v>351</v>
      </c>
      <c r="D226" s="4055"/>
      <c r="E226" s="4056"/>
      <c r="F226" s="4055"/>
      <c r="G226" s="4056"/>
      <c r="H226" s="4056"/>
      <c r="I226" s="2947">
        <f t="shared" si="285"/>
        <v>0</v>
      </c>
      <c r="J226" s="4056"/>
      <c r="K226" s="4056"/>
      <c r="L226" s="4056"/>
      <c r="M226" s="4054">
        <f t="shared" si="286"/>
        <v>0</v>
      </c>
      <c r="N226" s="4056"/>
      <c r="O226" s="4056"/>
      <c r="P226" s="4056"/>
      <c r="Q226" s="1515">
        <f t="shared" si="287"/>
        <v>0</v>
      </c>
      <c r="R226" s="4055"/>
      <c r="S226" s="4056"/>
      <c r="T226" s="4056"/>
      <c r="U226" s="1515">
        <f t="shared" si="288"/>
        <v>0</v>
      </c>
      <c r="V226" s="4055"/>
      <c r="W226" s="4056"/>
      <c r="X226" s="4056"/>
      <c r="Y226" s="4054">
        <f t="shared" si="274"/>
        <v>0</v>
      </c>
      <c r="Z226" s="4056"/>
      <c r="AA226" s="4062">
        <f t="shared" si="275"/>
        <v>0</v>
      </c>
      <c r="AB226" s="4055"/>
      <c r="AC226" s="4056"/>
      <c r="AD226" s="4056"/>
      <c r="AE226" s="4063">
        <f t="shared" si="276"/>
        <v>0</v>
      </c>
      <c r="AF226" s="4055"/>
      <c r="AG226" s="4056"/>
      <c r="AH226" s="4056"/>
      <c r="AI226" s="4063">
        <f t="shared" si="278"/>
        <v>0</v>
      </c>
      <c r="AJ226" s="4055"/>
      <c r="AK226" s="4056"/>
      <c r="AL226" s="4056"/>
      <c r="AM226" s="4054">
        <f t="shared" si="289"/>
        <v>0</v>
      </c>
      <c r="AN226" s="4056"/>
      <c r="AO226" s="4063">
        <f t="shared" si="279"/>
        <v>0</v>
      </c>
      <c r="AP226" s="4055"/>
      <c r="AQ226" s="4056"/>
      <c r="AR226" s="4056"/>
      <c r="AS226" s="4063">
        <v>0</v>
      </c>
      <c r="AT226" s="4055"/>
      <c r="AU226" s="4056"/>
      <c r="AV226" s="4056"/>
      <c r="AW226" s="4063">
        <v>0</v>
      </c>
      <c r="AX226" s="4055"/>
      <c r="AY226" s="4056"/>
      <c r="AZ226" s="4056"/>
      <c r="BA226" s="4054">
        <f t="shared" si="282"/>
        <v>0</v>
      </c>
      <c r="BB226" s="4056"/>
      <c r="BC226" s="4062">
        <f t="shared" si="283"/>
        <v>0</v>
      </c>
      <c r="BD226" s="4056"/>
      <c r="BE226" s="4064">
        <f t="shared" si="284"/>
        <v>0</v>
      </c>
      <c r="BH226" s="23"/>
      <c r="BI226" s="23"/>
    </row>
    <row r="227" spans="1:61" ht="18.75" hidden="1" customHeight="1" x14ac:dyDescent="0.3">
      <c r="B227" s="4049" t="s">
        <v>1206</v>
      </c>
      <c r="C227" s="4065"/>
      <c r="D227" s="4055"/>
      <c r="E227" s="4052">
        <f>E228</f>
        <v>0</v>
      </c>
      <c r="F227" s="4055"/>
      <c r="G227" s="4052">
        <f>G228</f>
        <v>0</v>
      </c>
      <c r="H227" s="4056"/>
      <c r="I227" s="2947">
        <f t="shared" si="285"/>
        <v>0</v>
      </c>
      <c r="J227" s="4056"/>
      <c r="K227" s="4056"/>
      <c r="L227" s="4056"/>
      <c r="M227" s="4054">
        <f t="shared" si="286"/>
        <v>0</v>
      </c>
      <c r="N227" s="4056"/>
      <c r="O227" s="4056"/>
      <c r="P227" s="4056"/>
      <c r="Q227" s="1515">
        <f t="shared" si="287"/>
        <v>0</v>
      </c>
      <c r="R227" s="4055"/>
      <c r="S227" s="4056"/>
      <c r="T227" s="4056"/>
      <c r="U227" s="1515">
        <f t="shared" si="288"/>
        <v>0</v>
      </c>
      <c r="V227" s="4055"/>
      <c r="W227" s="4056"/>
      <c r="X227" s="4056"/>
      <c r="Y227" s="4054">
        <f t="shared" si="274"/>
        <v>0</v>
      </c>
      <c r="Z227" s="4056"/>
      <c r="AA227" s="4062">
        <f t="shared" si="275"/>
        <v>0</v>
      </c>
      <c r="AB227" s="4055"/>
      <c r="AC227" s="4056"/>
      <c r="AD227" s="4056"/>
      <c r="AE227" s="4063">
        <f t="shared" si="276"/>
        <v>0</v>
      </c>
      <c r="AF227" s="4055"/>
      <c r="AG227" s="4056"/>
      <c r="AH227" s="4056"/>
      <c r="AI227" s="4063">
        <f t="shared" si="278"/>
        <v>0</v>
      </c>
      <c r="AJ227" s="4055"/>
      <c r="AK227" s="4056"/>
      <c r="AL227" s="4056"/>
      <c r="AM227" s="4054">
        <f t="shared" si="289"/>
        <v>0</v>
      </c>
      <c r="AN227" s="4056"/>
      <c r="AO227" s="4063">
        <f t="shared" si="279"/>
        <v>0</v>
      </c>
      <c r="AP227" s="4055"/>
      <c r="AQ227" s="4056"/>
      <c r="AR227" s="4056"/>
      <c r="AS227" s="4063">
        <v>0</v>
      </c>
      <c r="AT227" s="4055"/>
      <c r="AU227" s="4052">
        <f>AU228</f>
        <v>114.96</v>
      </c>
      <c r="AV227" s="4056"/>
      <c r="AW227" s="4058">
        <f t="shared" ref="AW227:AW228" si="300">+AS227+AU227</f>
        <v>114.96</v>
      </c>
      <c r="AX227" s="4055"/>
      <c r="AY227" s="4052">
        <f>AY228</f>
        <v>0</v>
      </c>
      <c r="AZ227" s="4056"/>
      <c r="BA227" s="4054">
        <f t="shared" si="282"/>
        <v>114.96</v>
      </c>
      <c r="BB227" s="4056"/>
      <c r="BC227" s="4062">
        <f t="shared" si="283"/>
        <v>114.96</v>
      </c>
      <c r="BD227" s="4056"/>
      <c r="BE227" s="4064">
        <f t="shared" si="284"/>
        <v>114.96</v>
      </c>
      <c r="BH227" s="23"/>
      <c r="BI227" s="23"/>
    </row>
    <row r="228" spans="1:61" ht="15.75" hidden="1" customHeight="1" x14ac:dyDescent="0.3">
      <c r="B228" s="4059" t="s">
        <v>803</v>
      </c>
      <c r="C228" s="4060" t="s">
        <v>351</v>
      </c>
      <c r="D228" s="4055"/>
      <c r="E228" s="4056"/>
      <c r="F228" s="4055"/>
      <c r="G228" s="4056"/>
      <c r="H228" s="4056"/>
      <c r="I228" s="2947">
        <f t="shared" si="285"/>
        <v>0</v>
      </c>
      <c r="J228" s="4056"/>
      <c r="K228" s="4056">
        <v>0</v>
      </c>
      <c r="L228" s="4056"/>
      <c r="M228" s="4054">
        <f t="shared" si="286"/>
        <v>0</v>
      </c>
      <c r="N228" s="4056"/>
      <c r="O228" s="4056">
        <v>0</v>
      </c>
      <c r="P228" s="4056"/>
      <c r="Q228" s="1515">
        <f t="shared" si="287"/>
        <v>0</v>
      </c>
      <c r="R228" s="4055"/>
      <c r="S228" s="4056">
        <v>0</v>
      </c>
      <c r="T228" s="4056"/>
      <c r="U228" s="1515">
        <f t="shared" si="288"/>
        <v>0</v>
      </c>
      <c r="V228" s="4055"/>
      <c r="W228" s="4056">
        <v>0</v>
      </c>
      <c r="X228" s="4056"/>
      <c r="Y228" s="4054">
        <f t="shared" si="274"/>
        <v>0</v>
      </c>
      <c r="Z228" s="4056"/>
      <c r="AA228" s="4062">
        <f t="shared" si="275"/>
        <v>0</v>
      </c>
      <c r="AB228" s="4055"/>
      <c r="AC228" s="4056">
        <v>0</v>
      </c>
      <c r="AD228" s="4056"/>
      <c r="AE228" s="4063">
        <f t="shared" si="276"/>
        <v>0</v>
      </c>
      <c r="AF228" s="4055"/>
      <c r="AG228" s="4056">
        <v>0</v>
      </c>
      <c r="AH228" s="4056"/>
      <c r="AI228" s="4063">
        <f t="shared" si="278"/>
        <v>0</v>
      </c>
      <c r="AJ228" s="4055"/>
      <c r="AK228" s="4056">
        <v>0</v>
      </c>
      <c r="AL228" s="4056"/>
      <c r="AM228" s="4054">
        <f t="shared" si="289"/>
        <v>0</v>
      </c>
      <c r="AN228" s="4056"/>
      <c r="AO228" s="4063">
        <f t="shared" si="279"/>
        <v>0</v>
      </c>
      <c r="AP228" s="4055"/>
      <c r="AQ228" s="4056">
        <v>0</v>
      </c>
      <c r="AR228" s="4056"/>
      <c r="AS228" s="4063">
        <v>0</v>
      </c>
      <c r="AT228" s="4055"/>
      <c r="AU228" s="4056">
        <v>114.96</v>
      </c>
      <c r="AV228" s="4056"/>
      <c r="AW228" s="4063">
        <f t="shared" si="300"/>
        <v>114.96</v>
      </c>
      <c r="AX228" s="4055"/>
      <c r="AY228" s="4056"/>
      <c r="AZ228" s="4056"/>
      <c r="BA228" s="4054">
        <f t="shared" si="282"/>
        <v>114.96</v>
      </c>
      <c r="BB228" s="4056"/>
      <c r="BC228" s="4062">
        <f t="shared" si="283"/>
        <v>114.96</v>
      </c>
      <c r="BD228" s="4056"/>
      <c r="BE228" s="4064">
        <f t="shared" si="284"/>
        <v>114.96</v>
      </c>
      <c r="BH228" s="23"/>
      <c r="BI228" s="23"/>
    </row>
    <row r="229" spans="1:61" ht="18.75" hidden="1" customHeight="1" x14ac:dyDescent="0.3">
      <c r="B229" s="4049" t="s">
        <v>1218</v>
      </c>
      <c r="C229" s="4050"/>
      <c r="D229" s="4052">
        <f t="shared" ref="D229:E229" si="301">D230+D232+D231</f>
        <v>0</v>
      </c>
      <c r="E229" s="4052">
        <f t="shared" si="301"/>
        <v>0</v>
      </c>
      <c r="F229" s="4052">
        <f t="shared" ref="F229:G229" si="302">F230+F232+F231</f>
        <v>0</v>
      </c>
      <c r="G229" s="4052">
        <f t="shared" si="302"/>
        <v>0</v>
      </c>
      <c r="H229" s="4053">
        <f t="shared" ref="H229:AZ229" si="303">H230</f>
        <v>0</v>
      </c>
      <c r="I229" s="2947">
        <f t="shared" si="303"/>
        <v>0</v>
      </c>
      <c r="J229" s="4052">
        <f t="shared" si="303"/>
        <v>0</v>
      </c>
      <c r="K229" s="4052">
        <f t="shared" si="303"/>
        <v>0</v>
      </c>
      <c r="L229" s="4052">
        <f t="shared" si="303"/>
        <v>0</v>
      </c>
      <c r="M229" s="4054">
        <f t="shared" si="303"/>
        <v>0</v>
      </c>
      <c r="N229" s="4052">
        <f t="shared" si="303"/>
        <v>0</v>
      </c>
      <c r="O229" s="4052">
        <f t="shared" si="303"/>
        <v>184.69</v>
      </c>
      <c r="P229" s="4052">
        <f t="shared" si="303"/>
        <v>0</v>
      </c>
      <c r="Q229" s="1515">
        <f t="shared" si="303"/>
        <v>184.69</v>
      </c>
      <c r="R229" s="4055">
        <f t="shared" si="303"/>
        <v>0</v>
      </c>
      <c r="S229" s="4052">
        <f t="shared" si="303"/>
        <v>0</v>
      </c>
      <c r="T229" s="4052">
        <f t="shared" si="303"/>
        <v>0</v>
      </c>
      <c r="U229" s="1515">
        <f t="shared" si="288"/>
        <v>184.69</v>
      </c>
      <c r="V229" s="4055">
        <f t="shared" si="303"/>
        <v>0</v>
      </c>
      <c r="W229" s="4052">
        <f t="shared" si="303"/>
        <v>0</v>
      </c>
      <c r="X229" s="4052">
        <f t="shared" si="303"/>
        <v>0</v>
      </c>
      <c r="Y229" s="4054">
        <f t="shared" si="274"/>
        <v>184.69</v>
      </c>
      <c r="Z229" s="4056"/>
      <c r="AA229" s="4057">
        <f t="shared" si="275"/>
        <v>184.69</v>
      </c>
      <c r="AB229" s="4055">
        <f t="shared" si="303"/>
        <v>0</v>
      </c>
      <c r="AC229" s="4052">
        <f t="shared" si="303"/>
        <v>0</v>
      </c>
      <c r="AD229" s="4052">
        <f t="shared" si="303"/>
        <v>0</v>
      </c>
      <c r="AE229" s="4058">
        <f t="shared" si="276"/>
        <v>184.69</v>
      </c>
      <c r="AF229" s="4055">
        <f t="shared" si="303"/>
        <v>0</v>
      </c>
      <c r="AG229" s="4052">
        <f t="shared" si="303"/>
        <v>0</v>
      </c>
      <c r="AH229" s="4052">
        <f t="shared" si="303"/>
        <v>0</v>
      </c>
      <c r="AI229" s="4058">
        <f t="shared" si="278"/>
        <v>184.69</v>
      </c>
      <c r="AJ229" s="4055">
        <f t="shared" si="303"/>
        <v>0</v>
      </c>
      <c r="AK229" s="4052">
        <f t="shared" si="303"/>
        <v>0</v>
      </c>
      <c r="AL229" s="4056">
        <f t="shared" si="303"/>
        <v>0</v>
      </c>
      <c r="AM229" s="4054">
        <f t="shared" si="289"/>
        <v>0</v>
      </c>
      <c r="AN229" s="4056">
        <f t="shared" si="303"/>
        <v>0</v>
      </c>
      <c r="AO229" s="4063">
        <f t="shared" si="279"/>
        <v>184.69</v>
      </c>
      <c r="AP229" s="4055">
        <f t="shared" si="303"/>
        <v>0</v>
      </c>
      <c r="AQ229" s="4052">
        <f t="shared" si="303"/>
        <v>0</v>
      </c>
      <c r="AR229" s="4052">
        <f t="shared" si="303"/>
        <v>0</v>
      </c>
      <c r="AS229" s="4058">
        <f t="shared" si="303"/>
        <v>184.69</v>
      </c>
      <c r="AT229" s="4055">
        <f t="shared" si="303"/>
        <v>0</v>
      </c>
      <c r="AU229" s="4052">
        <f>AU230+AU232+AU231</f>
        <v>3557.53</v>
      </c>
      <c r="AV229" s="4052">
        <f t="shared" ref="AV229:AY229" si="304">AV230+AV232+AV231</f>
        <v>0</v>
      </c>
      <c r="AW229" s="4052">
        <f t="shared" si="304"/>
        <v>3742.2200000000003</v>
      </c>
      <c r="AX229" s="4052">
        <f t="shared" si="304"/>
        <v>0</v>
      </c>
      <c r="AY229" s="4052">
        <f t="shared" si="304"/>
        <v>136.72</v>
      </c>
      <c r="AZ229" s="4056">
        <f t="shared" si="303"/>
        <v>0</v>
      </c>
      <c r="BA229" s="4054">
        <f t="shared" si="282"/>
        <v>3694.25</v>
      </c>
      <c r="BB229" s="4056"/>
      <c r="BC229" s="4057">
        <f t="shared" si="283"/>
        <v>3694.25</v>
      </c>
      <c r="BD229" s="4052"/>
      <c r="BE229" s="4058">
        <f t="shared" si="284"/>
        <v>3878.94</v>
      </c>
      <c r="BH229" s="23"/>
      <c r="BI229" s="23"/>
    </row>
    <row r="230" spans="1:61" ht="18.75" hidden="1" customHeight="1" x14ac:dyDescent="0.3">
      <c r="B230" s="4059" t="s">
        <v>803</v>
      </c>
      <c r="C230" s="4060" t="s">
        <v>351</v>
      </c>
      <c r="D230" s="4067"/>
      <c r="E230" s="4056"/>
      <c r="F230" s="4067"/>
      <c r="G230" s="4056"/>
      <c r="H230" s="4056">
        <v>0</v>
      </c>
      <c r="I230" s="2947">
        <f t="shared" si="285"/>
        <v>0</v>
      </c>
      <c r="J230" s="4056">
        <v>0</v>
      </c>
      <c r="K230" s="4056"/>
      <c r="L230" s="4056"/>
      <c r="M230" s="4054">
        <f t="shared" si="286"/>
        <v>0</v>
      </c>
      <c r="N230" s="4056"/>
      <c r="O230" s="4056">
        <v>184.69</v>
      </c>
      <c r="P230" s="4056"/>
      <c r="Q230" s="1515">
        <f t="shared" si="287"/>
        <v>184.69</v>
      </c>
      <c r="R230" s="4067"/>
      <c r="S230" s="4056"/>
      <c r="T230" s="4056"/>
      <c r="U230" s="1515">
        <f t="shared" si="288"/>
        <v>184.69</v>
      </c>
      <c r="V230" s="4067"/>
      <c r="W230" s="4056"/>
      <c r="X230" s="4056"/>
      <c r="Y230" s="4054">
        <f t="shared" si="274"/>
        <v>184.69</v>
      </c>
      <c r="Z230" s="4056"/>
      <c r="AA230" s="4062">
        <f t="shared" si="275"/>
        <v>184.69</v>
      </c>
      <c r="AB230" s="4067"/>
      <c r="AC230" s="4056"/>
      <c r="AD230" s="4056"/>
      <c r="AE230" s="4063">
        <f t="shared" si="276"/>
        <v>184.69</v>
      </c>
      <c r="AF230" s="4067"/>
      <c r="AG230" s="4056"/>
      <c r="AH230" s="4056"/>
      <c r="AI230" s="4063">
        <f t="shared" si="278"/>
        <v>184.69</v>
      </c>
      <c r="AJ230" s="4067"/>
      <c r="AK230" s="4056"/>
      <c r="AL230" s="4052"/>
      <c r="AM230" s="4054">
        <f t="shared" si="289"/>
        <v>0</v>
      </c>
      <c r="AN230" s="4056"/>
      <c r="AO230" s="4063">
        <f t="shared" si="279"/>
        <v>184.69</v>
      </c>
      <c r="AP230" s="4067"/>
      <c r="AQ230" s="4056">
        <v>0</v>
      </c>
      <c r="AR230" s="4056"/>
      <c r="AS230" s="4063">
        <f t="shared" ref="AS230" si="305">+AO230+AQ230</f>
        <v>184.69</v>
      </c>
      <c r="AT230" s="4067"/>
      <c r="AU230" s="4056">
        <v>76.38000000000001</v>
      </c>
      <c r="AV230" s="4056"/>
      <c r="AW230" s="4063">
        <f t="shared" ref="AW230:AW232" si="306">+AS230+AU230</f>
        <v>261.07</v>
      </c>
      <c r="AX230" s="4067"/>
      <c r="AY230" s="4056"/>
      <c r="AZ230" s="4052"/>
      <c r="BA230" s="4054">
        <f t="shared" si="282"/>
        <v>76.38000000000001</v>
      </c>
      <c r="BB230" s="4056"/>
      <c r="BC230" s="4062">
        <f t="shared" si="283"/>
        <v>76.38000000000001</v>
      </c>
      <c r="BD230" s="4056"/>
      <c r="BE230" s="4064">
        <f t="shared" si="284"/>
        <v>261.07</v>
      </c>
      <c r="BH230" s="23"/>
      <c r="BI230" s="23"/>
    </row>
    <row r="231" spans="1:61" ht="18.75" hidden="1" customHeight="1" x14ac:dyDescent="0.3">
      <c r="B231" s="4059" t="s">
        <v>802</v>
      </c>
      <c r="C231" s="4060" t="s">
        <v>351</v>
      </c>
      <c r="D231" s="4966"/>
      <c r="E231" s="4928"/>
      <c r="F231" s="4966"/>
      <c r="G231" s="4928"/>
      <c r="H231" s="4928"/>
      <c r="I231" s="4901"/>
      <c r="J231" s="4928"/>
      <c r="K231" s="4928"/>
      <c r="L231" s="4928"/>
      <c r="M231" s="4964"/>
      <c r="N231" s="4928"/>
      <c r="O231" s="4928"/>
      <c r="P231" s="4928"/>
      <c r="Q231" s="4965"/>
      <c r="R231" s="4966"/>
      <c r="S231" s="4928"/>
      <c r="T231" s="4928"/>
      <c r="U231" s="4965"/>
      <c r="V231" s="4966"/>
      <c r="W231" s="4928"/>
      <c r="X231" s="4928"/>
      <c r="Y231" s="4964"/>
      <c r="Z231" s="4928"/>
      <c r="AA231" s="4062"/>
      <c r="AB231" s="4966"/>
      <c r="AC231" s="4928"/>
      <c r="AD231" s="4928"/>
      <c r="AE231" s="4063"/>
      <c r="AF231" s="4966"/>
      <c r="AG231" s="4928"/>
      <c r="AH231" s="4928"/>
      <c r="AI231" s="4063"/>
      <c r="AJ231" s="4966"/>
      <c r="AK231" s="4928"/>
      <c r="AL231" s="4967"/>
      <c r="AM231" s="4964"/>
      <c r="AN231" s="4928"/>
      <c r="AO231" s="4063"/>
      <c r="AP231" s="4966"/>
      <c r="AQ231" s="4928"/>
      <c r="AR231" s="4928"/>
      <c r="AS231" s="4063"/>
      <c r="AT231" s="4966"/>
      <c r="AU231" s="4928"/>
      <c r="AV231" s="4928"/>
      <c r="AW231" s="4063"/>
      <c r="AX231" s="4966"/>
      <c r="AY231" s="4928">
        <v>136.72</v>
      </c>
      <c r="AZ231" s="4967"/>
      <c r="BA231" s="4054">
        <f t="shared" si="282"/>
        <v>136.72</v>
      </c>
      <c r="BB231" s="4928"/>
      <c r="BC231" s="4062">
        <f t="shared" si="283"/>
        <v>136.72</v>
      </c>
      <c r="BD231" s="4928"/>
      <c r="BE231" s="4064">
        <f t="shared" si="284"/>
        <v>136.72</v>
      </c>
      <c r="BH231" s="23"/>
      <c r="BI231" s="23"/>
    </row>
    <row r="232" spans="1:61" ht="18.75" hidden="1" customHeight="1" x14ac:dyDescent="0.3">
      <c r="B232" s="4059" t="s">
        <v>1588</v>
      </c>
      <c r="C232" s="4060" t="s">
        <v>351</v>
      </c>
      <c r="D232" s="4902"/>
      <c r="E232" s="4809"/>
      <c r="F232" s="4902"/>
      <c r="G232" s="4809"/>
      <c r="H232" s="4809"/>
      <c r="I232" s="4901"/>
      <c r="J232" s="4809"/>
      <c r="K232" s="4809"/>
      <c r="L232" s="4809"/>
      <c r="M232" s="4890"/>
      <c r="N232" s="4809"/>
      <c r="O232" s="4809"/>
      <c r="P232" s="4809"/>
      <c r="Q232" s="4845"/>
      <c r="R232" s="4902"/>
      <c r="S232" s="4809"/>
      <c r="T232" s="4809"/>
      <c r="U232" s="4845"/>
      <c r="V232" s="4902"/>
      <c r="W232" s="4809"/>
      <c r="X232" s="4809"/>
      <c r="Y232" s="4890"/>
      <c r="Z232" s="4809"/>
      <c r="AA232" s="4062"/>
      <c r="AB232" s="4902"/>
      <c r="AC232" s="4809"/>
      <c r="AD232" s="4809"/>
      <c r="AE232" s="4063"/>
      <c r="AF232" s="4902"/>
      <c r="AG232" s="4809"/>
      <c r="AH232" s="4809"/>
      <c r="AI232" s="4063"/>
      <c r="AJ232" s="4902"/>
      <c r="AK232" s="4809"/>
      <c r="AL232" s="4903"/>
      <c r="AM232" s="4890"/>
      <c r="AN232" s="4809"/>
      <c r="AO232" s="4063"/>
      <c r="AP232" s="4902"/>
      <c r="AQ232" s="4809"/>
      <c r="AR232" s="4809"/>
      <c r="AS232" s="4063"/>
      <c r="AT232" s="4902"/>
      <c r="AU232" s="4809">
        <v>3481.15</v>
      </c>
      <c r="AV232" s="4809"/>
      <c r="AW232" s="4063">
        <f t="shared" si="306"/>
        <v>3481.15</v>
      </c>
      <c r="AX232" s="4902"/>
      <c r="AY232" s="4809"/>
      <c r="AZ232" s="4903"/>
      <c r="BA232" s="4890">
        <f t="shared" si="282"/>
        <v>3481.15</v>
      </c>
      <c r="BB232" s="4809"/>
      <c r="BC232" s="4062">
        <f t="shared" si="283"/>
        <v>3481.15</v>
      </c>
      <c r="BD232" s="4809"/>
      <c r="BE232" s="4064">
        <f t="shared" si="284"/>
        <v>3481.15</v>
      </c>
      <c r="BH232" s="23"/>
      <c r="BI232" s="23"/>
    </row>
    <row r="233" spans="1:61" ht="18.75" hidden="1" customHeight="1" x14ac:dyDescent="0.3">
      <c r="B233" s="4049" t="s">
        <v>1151</v>
      </c>
      <c r="C233" s="4050" t="s">
        <v>351</v>
      </c>
      <c r="D233" s="4055"/>
      <c r="E233" s="4052">
        <v>0</v>
      </c>
      <c r="F233" s="4055"/>
      <c r="G233" s="4052">
        <v>0</v>
      </c>
      <c r="H233" s="4053"/>
      <c r="I233" s="2947">
        <f t="shared" si="285"/>
        <v>0</v>
      </c>
      <c r="J233" s="4052"/>
      <c r="K233" s="4052">
        <v>0</v>
      </c>
      <c r="L233" s="4052"/>
      <c r="M233" s="4054">
        <f t="shared" si="286"/>
        <v>0</v>
      </c>
      <c r="N233" s="4052"/>
      <c r="O233" s="4052">
        <v>0</v>
      </c>
      <c r="P233" s="4052"/>
      <c r="Q233" s="1515">
        <f t="shared" si="287"/>
        <v>0</v>
      </c>
      <c r="R233" s="4055"/>
      <c r="S233" s="4052">
        <v>0</v>
      </c>
      <c r="T233" s="4052"/>
      <c r="U233" s="1515">
        <f t="shared" si="288"/>
        <v>0</v>
      </c>
      <c r="V233" s="4055"/>
      <c r="W233" s="4052">
        <v>0</v>
      </c>
      <c r="X233" s="4052"/>
      <c r="Y233" s="4054">
        <f t="shared" si="274"/>
        <v>0</v>
      </c>
      <c r="Z233" s="4056"/>
      <c r="AA233" s="4057">
        <f t="shared" si="275"/>
        <v>0</v>
      </c>
      <c r="AB233" s="4055"/>
      <c r="AC233" s="4052">
        <v>0</v>
      </c>
      <c r="AD233" s="4052"/>
      <c r="AE233" s="4058">
        <f t="shared" si="276"/>
        <v>0</v>
      </c>
      <c r="AF233" s="4055"/>
      <c r="AG233" s="4052">
        <v>0</v>
      </c>
      <c r="AH233" s="4052"/>
      <c r="AI233" s="4058">
        <f t="shared" si="278"/>
        <v>0</v>
      </c>
      <c r="AJ233" s="4055"/>
      <c r="AK233" s="4052">
        <v>0</v>
      </c>
      <c r="AL233" s="4056"/>
      <c r="AM233" s="4054">
        <f t="shared" si="289"/>
        <v>0</v>
      </c>
      <c r="AN233" s="4056"/>
      <c r="AO233" s="4063">
        <f t="shared" si="279"/>
        <v>0</v>
      </c>
      <c r="AP233" s="4055"/>
      <c r="AQ233" s="4052">
        <v>0</v>
      </c>
      <c r="AR233" s="4052"/>
      <c r="AS233" s="4058">
        <v>0</v>
      </c>
      <c r="AT233" s="4055"/>
      <c r="AU233" s="4052">
        <v>0</v>
      </c>
      <c r="AV233" s="4052"/>
      <c r="AW233" s="4058">
        <v>0</v>
      </c>
      <c r="AX233" s="4055"/>
      <c r="AY233" s="4052">
        <v>0</v>
      </c>
      <c r="AZ233" s="4056"/>
      <c r="BA233" s="4054">
        <f t="shared" si="282"/>
        <v>0</v>
      </c>
      <c r="BB233" s="4056"/>
      <c r="BC233" s="4057">
        <f t="shared" si="283"/>
        <v>0</v>
      </c>
      <c r="BD233" s="4052"/>
      <c r="BE233" s="4058">
        <f t="shared" si="284"/>
        <v>0</v>
      </c>
      <c r="BH233" s="23"/>
      <c r="BI233" s="23"/>
    </row>
    <row r="234" spans="1:61" ht="15.75" hidden="1" customHeight="1" x14ac:dyDescent="0.3">
      <c r="B234" s="4059" t="s">
        <v>802</v>
      </c>
      <c r="C234" s="4060" t="s">
        <v>351</v>
      </c>
      <c r="D234" s="4055"/>
      <c r="E234" s="4056"/>
      <c r="F234" s="4055"/>
      <c r="G234" s="4056"/>
      <c r="H234" s="4056"/>
      <c r="I234" s="2947">
        <f t="shared" si="285"/>
        <v>0</v>
      </c>
      <c r="J234" s="4056"/>
      <c r="K234" s="4056"/>
      <c r="L234" s="4056"/>
      <c r="M234" s="4054">
        <f t="shared" si="286"/>
        <v>0</v>
      </c>
      <c r="N234" s="4056"/>
      <c r="O234" s="4056"/>
      <c r="P234" s="4056"/>
      <c r="Q234" s="1515">
        <f t="shared" si="287"/>
        <v>0</v>
      </c>
      <c r="R234" s="4055"/>
      <c r="S234" s="4056"/>
      <c r="T234" s="4056"/>
      <c r="U234" s="1515">
        <f t="shared" si="288"/>
        <v>0</v>
      </c>
      <c r="V234" s="4055"/>
      <c r="W234" s="4056"/>
      <c r="X234" s="4056"/>
      <c r="Y234" s="4054">
        <f t="shared" si="274"/>
        <v>0</v>
      </c>
      <c r="Z234" s="4056"/>
      <c r="AA234" s="4062">
        <f t="shared" si="275"/>
        <v>0</v>
      </c>
      <c r="AB234" s="4055"/>
      <c r="AC234" s="4056"/>
      <c r="AD234" s="4056"/>
      <c r="AE234" s="4063">
        <f t="shared" si="276"/>
        <v>0</v>
      </c>
      <c r="AF234" s="4055"/>
      <c r="AG234" s="4056"/>
      <c r="AH234" s="4056"/>
      <c r="AI234" s="4063">
        <f t="shared" si="278"/>
        <v>0</v>
      </c>
      <c r="AJ234" s="4055"/>
      <c r="AK234" s="4056"/>
      <c r="AL234" s="4056"/>
      <c r="AM234" s="4054">
        <f t="shared" si="289"/>
        <v>0</v>
      </c>
      <c r="AN234" s="4056"/>
      <c r="AO234" s="4063">
        <f t="shared" si="279"/>
        <v>0</v>
      </c>
      <c r="AP234" s="4055"/>
      <c r="AQ234" s="4056"/>
      <c r="AR234" s="4056"/>
      <c r="AS234" s="4063">
        <v>0</v>
      </c>
      <c r="AT234" s="4055"/>
      <c r="AU234" s="4056"/>
      <c r="AV234" s="4056"/>
      <c r="AW234" s="4063">
        <v>0</v>
      </c>
      <c r="AX234" s="4055"/>
      <c r="AY234" s="4056"/>
      <c r="AZ234" s="4056"/>
      <c r="BA234" s="4054">
        <f t="shared" si="282"/>
        <v>0</v>
      </c>
      <c r="BB234" s="4056"/>
      <c r="BC234" s="4062">
        <f t="shared" si="283"/>
        <v>0</v>
      </c>
      <c r="BD234" s="4056"/>
      <c r="BE234" s="4064">
        <f t="shared" si="284"/>
        <v>0</v>
      </c>
      <c r="BH234" s="23"/>
      <c r="BI234" s="23"/>
    </row>
    <row r="235" spans="1:61" ht="15.75" hidden="1" customHeight="1" x14ac:dyDescent="0.3">
      <c r="B235" s="4059" t="s">
        <v>909</v>
      </c>
      <c r="C235" s="4060" t="s">
        <v>351</v>
      </c>
      <c r="D235" s="4055"/>
      <c r="E235" s="4056"/>
      <c r="F235" s="4055"/>
      <c r="G235" s="4056"/>
      <c r="H235" s="4056"/>
      <c r="I235" s="2947">
        <f t="shared" si="285"/>
        <v>0</v>
      </c>
      <c r="J235" s="4056"/>
      <c r="K235" s="4056"/>
      <c r="L235" s="4056"/>
      <c r="M235" s="4054">
        <f t="shared" si="286"/>
        <v>0</v>
      </c>
      <c r="N235" s="4056"/>
      <c r="O235" s="4056"/>
      <c r="P235" s="4056"/>
      <c r="Q235" s="1515">
        <f t="shared" si="287"/>
        <v>0</v>
      </c>
      <c r="R235" s="4055"/>
      <c r="S235" s="4056"/>
      <c r="T235" s="4056"/>
      <c r="U235" s="1515">
        <f t="shared" si="288"/>
        <v>0</v>
      </c>
      <c r="V235" s="4055"/>
      <c r="W235" s="4056"/>
      <c r="X235" s="4056"/>
      <c r="Y235" s="4054">
        <f t="shared" si="274"/>
        <v>0</v>
      </c>
      <c r="Z235" s="4056"/>
      <c r="AA235" s="4062">
        <f t="shared" si="275"/>
        <v>0</v>
      </c>
      <c r="AB235" s="4055"/>
      <c r="AC235" s="4056"/>
      <c r="AD235" s="4056"/>
      <c r="AE235" s="4063">
        <f t="shared" si="276"/>
        <v>0</v>
      </c>
      <c r="AF235" s="4055"/>
      <c r="AG235" s="4056"/>
      <c r="AH235" s="4056"/>
      <c r="AI235" s="4063">
        <f t="shared" si="278"/>
        <v>0</v>
      </c>
      <c r="AJ235" s="4055"/>
      <c r="AK235" s="4056"/>
      <c r="AL235" s="4056"/>
      <c r="AM235" s="4054">
        <f t="shared" si="289"/>
        <v>0</v>
      </c>
      <c r="AN235" s="4056"/>
      <c r="AO235" s="4063">
        <f t="shared" si="279"/>
        <v>0</v>
      </c>
      <c r="AP235" s="4055"/>
      <c r="AQ235" s="4056"/>
      <c r="AR235" s="4056"/>
      <c r="AS235" s="4063">
        <v>0</v>
      </c>
      <c r="AT235" s="4055"/>
      <c r="AU235" s="4056"/>
      <c r="AV235" s="4056"/>
      <c r="AW235" s="4063">
        <v>0</v>
      </c>
      <c r="AX235" s="4055"/>
      <c r="AY235" s="4056"/>
      <c r="AZ235" s="4056"/>
      <c r="BA235" s="4054">
        <f t="shared" si="282"/>
        <v>0</v>
      </c>
      <c r="BB235" s="4056"/>
      <c r="BC235" s="4062">
        <f t="shared" si="283"/>
        <v>0</v>
      </c>
      <c r="BD235" s="4056"/>
      <c r="BE235" s="4064">
        <f t="shared" si="284"/>
        <v>0</v>
      </c>
      <c r="BH235" s="23"/>
      <c r="BI235" s="23"/>
    </row>
    <row r="236" spans="1:61" ht="18.75" hidden="1" customHeight="1" x14ac:dyDescent="0.3">
      <c r="B236" s="4049" t="s">
        <v>1839</v>
      </c>
      <c r="C236" s="4050"/>
      <c r="D236" s="4055"/>
      <c r="E236" s="4052"/>
      <c r="F236" s="4055"/>
      <c r="G236" s="4052"/>
      <c r="H236" s="4053">
        <v>0</v>
      </c>
      <c r="I236" s="2947">
        <f t="shared" si="285"/>
        <v>0</v>
      </c>
      <c r="J236" s="4052">
        <v>0</v>
      </c>
      <c r="K236" s="4052">
        <v>0</v>
      </c>
      <c r="L236" s="4052"/>
      <c r="M236" s="4054">
        <f t="shared" si="286"/>
        <v>0</v>
      </c>
      <c r="N236" s="4052"/>
      <c r="O236" s="4052">
        <v>0</v>
      </c>
      <c r="P236" s="4052">
        <v>0</v>
      </c>
      <c r="Q236" s="1515">
        <f t="shared" si="287"/>
        <v>0</v>
      </c>
      <c r="R236" s="4055">
        <v>0</v>
      </c>
      <c r="S236" s="4052">
        <v>0</v>
      </c>
      <c r="T236" s="4052">
        <v>0</v>
      </c>
      <c r="U236" s="1515">
        <f t="shared" si="288"/>
        <v>0</v>
      </c>
      <c r="V236" s="4055">
        <v>0</v>
      </c>
      <c r="W236" s="4052">
        <v>0</v>
      </c>
      <c r="X236" s="4052"/>
      <c r="Y236" s="4054">
        <f t="shared" si="274"/>
        <v>0</v>
      </c>
      <c r="Z236" s="4056"/>
      <c r="AA236" s="4057">
        <f t="shared" si="275"/>
        <v>0</v>
      </c>
      <c r="AB236" s="4055"/>
      <c r="AC236" s="4052">
        <v>0</v>
      </c>
      <c r="AD236" s="4052">
        <v>0</v>
      </c>
      <c r="AE236" s="4058">
        <f t="shared" si="276"/>
        <v>0</v>
      </c>
      <c r="AF236" s="4055">
        <v>0</v>
      </c>
      <c r="AG236" s="4052">
        <v>0</v>
      </c>
      <c r="AH236" s="4052">
        <v>0</v>
      </c>
      <c r="AI236" s="4058">
        <f t="shared" si="278"/>
        <v>0</v>
      </c>
      <c r="AJ236" s="4055">
        <v>0</v>
      </c>
      <c r="AK236" s="4052">
        <v>0</v>
      </c>
      <c r="AL236" s="4056"/>
      <c r="AM236" s="4054">
        <f t="shared" si="289"/>
        <v>0</v>
      </c>
      <c r="AN236" s="4056"/>
      <c r="AO236" s="4063">
        <f t="shared" si="279"/>
        <v>0</v>
      </c>
      <c r="AP236" s="4055">
        <v>0</v>
      </c>
      <c r="AQ236" s="4052">
        <v>0</v>
      </c>
      <c r="AR236" s="4052"/>
      <c r="AS236" s="4058">
        <f t="shared" ref="AS236" si="307">+AO236+AQ236</f>
        <v>0</v>
      </c>
      <c r="AT236" s="4055"/>
      <c r="AU236" s="4052">
        <v>0</v>
      </c>
      <c r="AV236" s="4052"/>
      <c r="AW236" s="4058">
        <f t="shared" ref="AW236:AW239" si="308">+AS236+AU236</f>
        <v>0</v>
      </c>
      <c r="AX236" s="4055"/>
      <c r="AY236" s="4052"/>
      <c r="AZ236" s="4056"/>
      <c r="BA236" s="4054">
        <f t="shared" si="282"/>
        <v>0</v>
      </c>
      <c r="BB236" s="4056"/>
      <c r="BC236" s="4057">
        <f t="shared" si="283"/>
        <v>0</v>
      </c>
      <c r="BD236" s="4052"/>
      <c r="BE236" s="4058">
        <f t="shared" si="284"/>
        <v>0</v>
      </c>
      <c r="BH236" s="23"/>
      <c r="BI236" s="23"/>
    </row>
    <row r="237" spans="1:61" ht="15.75" hidden="1" customHeight="1" x14ac:dyDescent="0.3">
      <c r="B237" s="4059" t="s">
        <v>909</v>
      </c>
      <c r="C237" s="4060" t="s">
        <v>351</v>
      </c>
      <c r="D237" s="4068"/>
      <c r="E237" s="4056"/>
      <c r="F237" s="4068"/>
      <c r="G237" s="4056"/>
      <c r="H237" s="4056"/>
      <c r="I237" s="2947">
        <f t="shared" si="285"/>
        <v>0</v>
      </c>
      <c r="J237" s="4056"/>
      <c r="K237" s="4056"/>
      <c r="L237" s="4056"/>
      <c r="M237" s="4054">
        <f t="shared" si="286"/>
        <v>0</v>
      </c>
      <c r="N237" s="4056"/>
      <c r="O237" s="4056"/>
      <c r="P237" s="4056"/>
      <c r="Q237" s="1515">
        <f t="shared" si="287"/>
        <v>0</v>
      </c>
      <c r="R237" s="4068"/>
      <c r="S237" s="4056"/>
      <c r="T237" s="4056"/>
      <c r="U237" s="1515">
        <f t="shared" si="288"/>
        <v>0</v>
      </c>
      <c r="V237" s="4068"/>
      <c r="W237" s="4056"/>
      <c r="X237" s="4056"/>
      <c r="Y237" s="4054">
        <f t="shared" si="274"/>
        <v>0</v>
      </c>
      <c r="Z237" s="4056"/>
      <c r="AA237" s="4062">
        <f t="shared" si="275"/>
        <v>0</v>
      </c>
      <c r="AB237" s="4068"/>
      <c r="AC237" s="4056"/>
      <c r="AD237" s="4056"/>
      <c r="AE237" s="4063">
        <f t="shared" si="276"/>
        <v>0</v>
      </c>
      <c r="AF237" s="4068"/>
      <c r="AG237" s="4056"/>
      <c r="AH237" s="4056"/>
      <c r="AI237" s="4063">
        <f t="shared" si="278"/>
        <v>0</v>
      </c>
      <c r="AJ237" s="4068"/>
      <c r="AK237" s="4056"/>
      <c r="AL237" s="4069"/>
      <c r="AM237" s="4054">
        <f t="shared" si="289"/>
        <v>0</v>
      </c>
      <c r="AN237" s="4056"/>
      <c r="AO237" s="4063">
        <f t="shared" si="279"/>
        <v>0</v>
      </c>
      <c r="AP237" s="4068"/>
      <c r="AQ237" s="4056"/>
      <c r="AR237" s="4056"/>
      <c r="AS237" s="4063">
        <f t="shared" ref="AS237:AS238" si="309">+AO237+AQ237</f>
        <v>0</v>
      </c>
      <c r="AT237" s="4068"/>
      <c r="AU237" s="4056"/>
      <c r="AV237" s="4056"/>
      <c r="AW237" s="4063">
        <f t="shared" si="308"/>
        <v>0</v>
      </c>
      <c r="AX237" s="4068"/>
      <c r="AY237" s="4056"/>
      <c r="AZ237" s="4069"/>
      <c r="BA237" s="4054">
        <f t="shared" si="282"/>
        <v>0</v>
      </c>
      <c r="BB237" s="4056"/>
      <c r="BC237" s="4062">
        <f t="shared" si="283"/>
        <v>0</v>
      </c>
      <c r="BD237" s="4056"/>
      <c r="BE237" s="4064">
        <f t="shared" si="284"/>
        <v>0</v>
      </c>
      <c r="BH237" s="23"/>
      <c r="BI237" s="23"/>
    </row>
    <row r="238" spans="1:61" ht="18.75" hidden="1" customHeight="1" x14ac:dyDescent="0.3">
      <c r="B238" s="4049" t="s">
        <v>1585</v>
      </c>
      <c r="C238" s="4050"/>
      <c r="D238" s="4055"/>
      <c r="E238" s="4052"/>
      <c r="F238" s="4055"/>
      <c r="G238" s="4052"/>
      <c r="H238" s="4053">
        <v>0</v>
      </c>
      <c r="I238" s="2947">
        <f t="shared" si="285"/>
        <v>0</v>
      </c>
      <c r="J238" s="4052">
        <v>0</v>
      </c>
      <c r="K238" s="4052">
        <v>0</v>
      </c>
      <c r="L238" s="4052"/>
      <c r="M238" s="4054">
        <f t="shared" si="286"/>
        <v>0</v>
      </c>
      <c r="N238" s="4052"/>
      <c r="O238" s="4052">
        <v>0</v>
      </c>
      <c r="P238" s="4052">
        <v>0</v>
      </c>
      <c r="Q238" s="1515">
        <f t="shared" si="287"/>
        <v>0</v>
      </c>
      <c r="R238" s="4055">
        <v>0</v>
      </c>
      <c r="S238" s="4052">
        <v>0</v>
      </c>
      <c r="T238" s="4052">
        <v>0</v>
      </c>
      <c r="U238" s="1515">
        <f t="shared" si="288"/>
        <v>0</v>
      </c>
      <c r="V238" s="4055">
        <v>0</v>
      </c>
      <c r="W238" s="4052">
        <v>0</v>
      </c>
      <c r="X238" s="4052"/>
      <c r="Y238" s="4054">
        <f t="shared" si="274"/>
        <v>0</v>
      </c>
      <c r="Z238" s="4056"/>
      <c r="AA238" s="4057">
        <f t="shared" si="275"/>
        <v>0</v>
      </c>
      <c r="AB238" s="4055"/>
      <c r="AC238" s="4052">
        <v>0</v>
      </c>
      <c r="AD238" s="4052">
        <v>0</v>
      </c>
      <c r="AE238" s="4058">
        <f t="shared" si="276"/>
        <v>0</v>
      </c>
      <c r="AF238" s="4055">
        <v>0</v>
      </c>
      <c r="AG238" s="4052">
        <v>0</v>
      </c>
      <c r="AH238" s="4052">
        <v>0</v>
      </c>
      <c r="AI238" s="4058">
        <f t="shared" si="278"/>
        <v>0</v>
      </c>
      <c r="AJ238" s="4055">
        <v>0</v>
      </c>
      <c r="AK238" s="4052">
        <v>0</v>
      </c>
      <c r="AL238" s="4056"/>
      <c r="AM238" s="4054">
        <f t="shared" si="289"/>
        <v>0</v>
      </c>
      <c r="AN238" s="4056"/>
      <c r="AO238" s="4063">
        <f t="shared" si="279"/>
        <v>0</v>
      </c>
      <c r="AP238" s="4055">
        <v>0</v>
      </c>
      <c r="AQ238" s="4052">
        <v>0</v>
      </c>
      <c r="AR238" s="4052"/>
      <c r="AS238" s="4058">
        <f t="shared" si="309"/>
        <v>0</v>
      </c>
      <c r="AT238" s="4055"/>
      <c r="AU238" s="4052">
        <v>0</v>
      </c>
      <c r="AV238" s="4052"/>
      <c r="AW238" s="4058">
        <f t="shared" si="308"/>
        <v>0</v>
      </c>
      <c r="AX238" s="4055"/>
      <c r="AY238" s="4052"/>
      <c r="AZ238" s="4056"/>
      <c r="BA238" s="4054">
        <f t="shared" si="282"/>
        <v>0</v>
      </c>
      <c r="BB238" s="4056"/>
      <c r="BC238" s="4057">
        <f t="shared" si="283"/>
        <v>0</v>
      </c>
      <c r="BD238" s="4052"/>
      <c r="BE238" s="4058">
        <f t="shared" si="284"/>
        <v>0</v>
      </c>
      <c r="BH238" s="23"/>
      <c r="BI238" s="23"/>
    </row>
    <row r="239" spans="1:61" ht="15.75" hidden="1" customHeight="1" x14ac:dyDescent="0.3">
      <c r="B239" s="4059" t="s">
        <v>1838</v>
      </c>
      <c r="C239" s="4060" t="s">
        <v>351</v>
      </c>
      <c r="D239" s="4055"/>
      <c r="E239" s="4056"/>
      <c r="F239" s="4055"/>
      <c r="G239" s="4056"/>
      <c r="H239" s="4056"/>
      <c r="I239" s="2947">
        <f t="shared" si="285"/>
        <v>0</v>
      </c>
      <c r="J239" s="4056"/>
      <c r="K239" s="4056"/>
      <c r="L239" s="4056"/>
      <c r="M239" s="4054">
        <f t="shared" si="286"/>
        <v>0</v>
      </c>
      <c r="N239" s="4056"/>
      <c r="O239" s="4056"/>
      <c r="P239" s="4056"/>
      <c r="Q239" s="1515">
        <f t="shared" si="287"/>
        <v>0</v>
      </c>
      <c r="R239" s="4055"/>
      <c r="S239" s="4056"/>
      <c r="T239" s="4056"/>
      <c r="U239" s="1515">
        <f t="shared" si="288"/>
        <v>0</v>
      </c>
      <c r="V239" s="4055"/>
      <c r="W239" s="4056"/>
      <c r="X239" s="4056"/>
      <c r="Y239" s="4054">
        <f t="shared" si="274"/>
        <v>0</v>
      </c>
      <c r="Z239" s="4056"/>
      <c r="AA239" s="4062">
        <f t="shared" si="275"/>
        <v>0</v>
      </c>
      <c r="AB239" s="4055"/>
      <c r="AC239" s="4056"/>
      <c r="AD239" s="4056"/>
      <c r="AE239" s="4063">
        <f t="shared" si="276"/>
        <v>0</v>
      </c>
      <c r="AF239" s="4055"/>
      <c r="AG239" s="4056"/>
      <c r="AH239" s="4056"/>
      <c r="AI239" s="4063">
        <f t="shared" si="278"/>
        <v>0</v>
      </c>
      <c r="AJ239" s="4055"/>
      <c r="AK239" s="4056"/>
      <c r="AL239" s="4056"/>
      <c r="AM239" s="4054">
        <f t="shared" si="289"/>
        <v>0</v>
      </c>
      <c r="AN239" s="4056"/>
      <c r="AO239" s="4063">
        <f t="shared" si="279"/>
        <v>0</v>
      </c>
      <c r="AP239" s="4055"/>
      <c r="AQ239" s="4056"/>
      <c r="AR239" s="4056"/>
      <c r="AS239" s="4063">
        <f t="shared" ref="AS239" si="310">+AO239+AQ239</f>
        <v>0</v>
      </c>
      <c r="AT239" s="4055"/>
      <c r="AU239" s="4056"/>
      <c r="AV239" s="4056"/>
      <c r="AW239" s="4063">
        <f t="shared" si="308"/>
        <v>0</v>
      </c>
      <c r="AX239" s="4055"/>
      <c r="AY239" s="4056"/>
      <c r="AZ239" s="4056"/>
      <c r="BA239" s="4054">
        <f t="shared" si="282"/>
        <v>0</v>
      </c>
      <c r="BB239" s="4056"/>
      <c r="BC239" s="4062">
        <f t="shared" si="283"/>
        <v>0</v>
      </c>
      <c r="BD239" s="4056"/>
      <c r="BE239" s="4064">
        <f t="shared" si="284"/>
        <v>0</v>
      </c>
      <c r="BH239" s="23"/>
      <c r="BI239" s="23"/>
    </row>
    <row r="240" spans="1:61" ht="18.75" customHeight="1" x14ac:dyDescent="0.3">
      <c r="B240" s="4049" t="s">
        <v>1240</v>
      </c>
      <c r="C240" s="4050"/>
      <c r="D240" s="4055">
        <f t="shared" ref="D240:G240" si="311">D241</f>
        <v>0</v>
      </c>
      <c r="E240" s="4052">
        <f t="shared" si="311"/>
        <v>3869.42</v>
      </c>
      <c r="F240" s="4055">
        <f t="shared" si="311"/>
        <v>0</v>
      </c>
      <c r="G240" s="4052">
        <f t="shared" si="311"/>
        <v>0</v>
      </c>
      <c r="H240" s="4053">
        <f t="shared" ref="H240:AZ240" si="312">H241</f>
        <v>0</v>
      </c>
      <c r="I240" s="2947">
        <f t="shared" si="312"/>
        <v>3869.42</v>
      </c>
      <c r="J240" s="4052">
        <f t="shared" si="312"/>
        <v>0</v>
      </c>
      <c r="K240" s="4052">
        <f t="shared" si="312"/>
        <v>0</v>
      </c>
      <c r="L240" s="4052">
        <f t="shared" si="312"/>
        <v>0</v>
      </c>
      <c r="M240" s="4054">
        <f t="shared" si="312"/>
        <v>3869.42</v>
      </c>
      <c r="N240" s="4052">
        <f t="shared" si="312"/>
        <v>0</v>
      </c>
      <c r="O240" s="4052">
        <f t="shared" si="312"/>
        <v>3850.4</v>
      </c>
      <c r="P240" s="4052">
        <f t="shared" si="312"/>
        <v>0</v>
      </c>
      <c r="Q240" s="1515">
        <f t="shared" si="312"/>
        <v>7719.82</v>
      </c>
      <c r="R240" s="4055">
        <f t="shared" si="312"/>
        <v>0</v>
      </c>
      <c r="S240" s="4052">
        <f t="shared" si="312"/>
        <v>3852.88</v>
      </c>
      <c r="T240" s="4052">
        <f t="shared" si="312"/>
        <v>0</v>
      </c>
      <c r="U240" s="1515">
        <f t="shared" si="288"/>
        <v>11572.7</v>
      </c>
      <c r="V240" s="4055">
        <f t="shared" si="312"/>
        <v>0</v>
      </c>
      <c r="W240" s="4052">
        <f t="shared" si="312"/>
        <v>0</v>
      </c>
      <c r="X240" s="4052">
        <f t="shared" si="312"/>
        <v>0</v>
      </c>
      <c r="Y240" s="4054">
        <f t="shared" si="274"/>
        <v>7703.2800000000007</v>
      </c>
      <c r="Z240" s="4056"/>
      <c r="AA240" s="4057">
        <f t="shared" si="275"/>
        <v>11572.7</v>
      </c>
      <c r="AB240" s="4055">
        <f t="shared" si="312"/>
        <v>0</v>
      </c>
      <c r="AC240" s="4052">
        <f t="shared" si="312"/>
        <v>0</v>
      </c>
      <c r="AD240" s="4052">
        <f t="shared" si="312"/>
        <v>0</v>
      </c>
      <c r="AE240" s="4058">
        <f t="shared" si="276"/>
        <v>11572.7</v>
      </c>
      <c r="AF240" s="4055">
        <f t="shared" si="312"/>
        <v>0</v>
      </c>
      <c r="AG240" s="4052">
        <f t="shared" si="312"/>
        <v>3817.47</v>
      </c>
      <c r="AH240" s="4052">
        <f t="shared" si="312"/>
        <v>0</v>
      </c>
      <c r="AI240" s="4058">
        <f t="shared" si="278"/>
        <v>15390.17</v>
      </c>
      <c r="AJ240" s="4055">
        <f t="shared" si="312"/>
        <v>0</v>
      </c>
      <c r="AK240" s="4052">
        <f t="shared" si="312"/>
        <v>0</v>
      </c>
      <c r="AL240" s="4056">
        <f t="shared" si="312"/>
        <v>0</v>
      </c>
      <c r="AM240" s="4054">
        <f t="shared" si="289"/>
        <v>3817.47</v>
      </c>
      <c r="AN240" s="4052">
        <f t="shared" si="312"/>
        <v>0</v>
      </c>
      <c r="AO240" s="4058">
        <f t="shared" si="279"/>
        <v>15390.17</v>
      </c>
      <c r="AP240" s="4055">
        <f t="shared" si="312"/>
        <v>0</v>
      </c>
      <c r="AQ240" s="4052">
        <f t="shared" si="312"/>
        <v>0</v>
      </c>
      <c r="AR240" s="4052">
        <f t="shared" si="312"/>
        <v>0</v>
      </c>
      <c r="AS240" s="4058">
        <f t="shared" si="312"/>
        <v>15390.17</v>
      </c>
      <c r="AT240" s="4055">
        <f t="shared" si="312"/>
        <v>0</v>
      </c>
      <c r="AU240" s="4052">
        <f t="shared" si="312"/>
        <v>0</v>
      </c>
      <c r="AV240" s="4052">
        <f t="shared" si="312"/>
        <v>0</v>
      </c>
      <c r="AW240" s="4058">
        <f t="shared" si="312"/>
        <v>15390.17</v>
      </c>
      <c r="AX240" s="4055">
        <f t="shared" si="312"/>
        <v>0</v>
      </c>
      <c r="AY240" s="4052">
        <f t="shared" si="312"/>
        <v>0</v>
      </c>
      <c r="AZ240" s="4056">
        <f t="shared" si="312"/>
        <v>0</v>
      </c>
      <c r="BA240" s="4054">
        <f t="shared" si="282"/>
        <v>0</v>
      </c>
      <c r="BB240" s="4056"/>
      <c r="BC240" s="4057">
        <f t="shared" si="283"/>
        <v>3817.47</v>
      </c>
      <c r="BD240" s="4052"/>
      <c r="BE240" s="4058">
        <f t="shared" si="284"/>
        <v>15390.17</v>
      </c>
      <c r="BH240" s="23"/>
      <c r="BI240" s="23"/>
    </row>
    <row r="241" spans="2:61" ht="18.75" customHeight="1" x14ac:dyDescent="0.3">
      <c r="B241" s="4059" t="s">
        <v>909</v>
      </c>
      <c r="C241" s="4060" t="s">
        <v>351</v>
      </c>
      <c r="D241" s="4067"/>
      <c r="E241" s="4056">
        <v>3869.42</v>
      </c>
      <c r="F241" s="4067"/>
      <c r="G241" s="4056"/>
      <c r="H241" s="4056"/>
      <c r="I241" s="2947">
        <f t="shared" si="285"/>
        <v>3869.42</v>
      </c>
      <c r="J241" s="4056"/>
      <c r="K241" s="4056"/>
      <c r="L241" s="4056"/>
      <c r="M241" s="4054">
        <f t="shared" si="286"/>
        <v>3869.42</v>
      </c>
      <c r="N241" s="4056"/>
      <c r="O241" s="4056">
        <v>3850.4</v>
      </c>
      <c r="P241" s="4056"/>
      <c r="Q241" s="1515">
        <f t="shared" si="287"/>
        <v>7719.82</v>
      </c>
      <c r="R241" s="4067"/>
      <c r="S241" s="4056">
        <v>3852.88</v>
      </c>
      <c r="T241" s="4056"/>
      <c r="U241" s="1515">
        <f t="shared" si="288"/>
        <v>11572.7</v>
      </c>
      <c r="V241" s="4067"/>
      <c r="W241" s="4056"/>
      <c r="X241" s="4056"/>
      <c r="Y241" s="4054">
        <f t="shared" si="274"/>
        <v>7703.2800000000007</v>
      </c>
      <c r="Z241" s="4056"/>
      <c r="AA241" s="4062">
        <f t="shared" si="275"/>
        <v>11572.7</v>
      </c>
      <c r="AB241" s="4067"/>
      <c r="AC241" s="4056"/>
      <c r="AD241" s="4056"/>
      <c r="AE241" s="4063">
        <f t="shared" si="276"/>
        <v>11572.7</v>
      </c>
      <c r="AF241" s="4067"/>
      <c r="AG241" s="4056">
        <v>3817.47</v>
      </c>
      <c r="AH241" s="4056"/>
      <c r="AI241" s="4063">
        <f t="shared" si="278"/>
        <v>15390.17</v>
      </c>
      <c r="AJ241" s="4067"/>
      <c r="AK241" s="4056"/>
      <c r="AL241" s="4052"/>
      <c r="AM241" s="4054">
        <f t="shared" si="289"/>
        <v>3817.47</v>
      </c>
      <c r="AN241" s="4056"/>
      <c r="AO241" s="4063">
        <f t="shared" si="279"/>
        <v>15390.17</v>
      </c>
      <c r="AP241" s="4067"/>
      <c r="AQ241" s="4056">
        <v>0</v>
      </c>
      <c r="AR241" s="4056"/>
      <c r="AS241" s="4063">
        <f t="shared" ref="AS241" si="313">+AO241+AQ241</f>
        <v>15390.17</v>
      </c>
      <c r="AT241" s="4067"/>
      <c r="AU241" s="4056">
        <v>0</v>
      </c>
      <c r="AV241" s="4056"/>
      <c r="AW241" s="4063">
        <f t="shared" ref="AW241" si="314">+AS241+AU241</f>
        <v>15390.17</v>
      </c>
      <c r="AX241" s="4067"/>
      <c r="AY241" s="4056"/>
      <c r="AZ241" s="4052"/>
      <c r="BA241" s="4054">
        <f t="shared" si="282"/>
        <v>0</v>
      </c>
      <c r="BB241" s="4056"/>
      <c r="BC241" s="4062">
        <f t="shared" si="283"/>
        <v>3817.47</v>
      </c>
      <c r="BD241" s="4056"/>
      <c r="BE241" s="4064">
        <f t="shared" si="284"/>
        <v>15390.17</v>
      </c>
      <c r="BH241" s="23"/>
      <c r="BI241" s="23"/>
    </row>
    <row r="242" spans="2:61" ht="18.75" hidden="1" customHeight="1" x14ac:dyDescent="0.3">
      <c r="B242" s="4049" t="s">
        <v>1226</v>
      </c>
      <c r="C242" s="4375"/>
      <c r="D242" s="4055">
        <f t="shared" ref="D242:E242" si="315">D244+D243</f>
        <v>0</v>
      </c>
      <c r="E242" s="4052">
        <f t="shared" si="315"/>
        <v>0</v>
      </c>
      <c r="F242" s="4052"/>
      <c r="G242" s="4052">
        <f t="shared" ref="G242:AZ242" si="316">G244+G243</f>
        <v>0</v>
      </c>
      <c r="H242" s="4053">
        <f t="shared" si="316"/>
        <v>0</v>
      </c>
      <c r="I242" s="2947">
        <f t="shared" si="316"/>
        <v>0</v>
      </c>
      <c r="J242" s="4052">
        <f t="shared" si="316"/>
        <v>0</v>
      </c>
      <c r="K242" s="4052">
        <f t="shared" si="316"/>
        <v>0</v>
      </c>
      <c r="L242" s="4052">
        <f t="shared" si="316"/>
        <v>0</v>
      </c>
      <c r="M242" s="4054">
        <f t="shared" si="316"/>
        <v>0</v>
      </c>
      <c r="N242" s="4052">
        <f t="shared" si="316"/>
        <v>0</v>
      </c>
      <c r="O242" s="4052">
        <f t="shared" si="316"/>
        <v>4110.7</v>
      </c>
      <c r="P242" s="4052">
        <f t="shared" si="316"/>
        <v>0</v>
      </c>
      <c r="Q242" s="1515">
        <f t="shared" si="316"/>
        <v>4110.7</v>
      </c>
      <c r="R242" s="4055">
        <f t="shared" si="316"/>
        <v>0</v>
      </c>
      <c r="S242" s="4052">
        <f t="shared" ref="S242" si="317">S244+S243</f>
        <v>0</v>
      </c>
      <c r="T242" s="4052">
        <f t="shared" si="316"/>
        <v>0</v>
      </c>
      <c r="U242" s="1515">
        <f t="shared" si="288"/>
        <v>4110.7</v>
      </c>
      <c r="V242" s="4055">
        <f t="shared" si="316"/>
        <v>0</v>
      </c>
      <c r="W242" s="4052">
        <f t="shared" si="316"/>
        <v>0</v>
      </c>
      <c r="X242" s="4052">
        <f t="shared" si="316"/>
        <v>0</v>
      </c>
      <c r="Y242" s="4054">
        <f t="shared" si="274"/>
        <v>4110.7</v>
      </c>
      <c r="Z242" s="4056"/>
      <c r="AA242" s="4057">
        <f t="shared" si="275"/>
        <v>4110.7</v>
      </c>
      <c r="AB242" s="4055">
        <f t="shared" si="316"/>
        <v>0</v>
      </c>
      <c r="AC242" s="4052">
        <f t="shared" ref="AC242" si="318">AC244+AC243</f>
        <v>4139.5200000000004</v>
      </c>
      <c r="AD242" s="4052">
        <f t="shared" si="316"/>
        <v>0</v>
      </c>
      <c r="AE242" s="4058">
        <f t="shared" si="276"/>
        <v>8250.2200000000012</v>
      </c>
      <c r="AF242" s="4055">
        <f t="shared" si="316"/>
        <v>0</v>
      </c>
      <c r="AG242" s="4052">
        <f t="shared" si="316"/>
        <v>4143.88</v>
      </c>
      <c r="AH242" s="4052">
        <f t="shared" si="316"/>
        <v>0</v>
      </c>
      <c r="AI242" s="4058">
        <f t="shared" si="278"/>
        <v>12394.100000000002</v>
      </c>
      <c r="AJ242" s="4055">
        <f t="shared" si="316"/>
        <v>0</v>
      </c>
      <c r="AK242" s="4052">
        <f t="shared" ref="AK242" si="319">AK244+AK243</f>
        <v>0</v>
      </c>
      <c r="AL242" s="4056">
        <f t="shared" si="316"/>
        <v>0</v>
      </c>
      <c r="AM242" s="4054">
        <f t="shared" si="289"/>
        <v>8283.4000000000015</v>
      </c>
      <c r="AN242" s="4052">
        <f t="shared" si="316"/>
        <v>0</v>
      </c>
      <c r="AO242" s="4058">
        <f t="shared" si="279"/>
        <v>12394.100000000002</v>
      </c>
      <c r="AP242" s="4055">
        <f t="shared" ref="AP242:AQ242" si="320">AP244+AP243</f>
        <v>0</v>
      </c>
      <c r="AQ242" s="4052">
        <f t="shared" si="320"/>
        <v>4013.23</v>
      </c>
      <c r="AR242" s="4052">
        <f t="shared" si="316"/>
        <v>0</v>
      </c>
      <c r="AS242" s="4058">
        <f t="shared" si="316"/>
        <v>16407.330000000002</v>
      </c>
      <c r="AT242" s="4055">
        <f t="shared" si="316"/>
        <v>0</v>
      </c>
      <c r="AU242" s="4052">
        <f t="shared" si="316"/>
        <v>0</v>
      </c>
      <c r="AV242" s="4052">
        <f t="shared" si="316"/>
        <v>0</v>
      </c>
      <c r="AW242" s="4058">
        <f t="shared" si="316"/>
        <v>16407.330000000002</v>
      </c>
      <c r="AX242" s="4055">
        <f t="shared" ref="AX242:AY242" si="321">AX244+AX243</f>
        <v>0</v>
      </c>
      <c r="AY242" s="4052">
        <f t="shared" si="321"/>
        <v>0</v>
      </c>
      <c r="AZ242" s="4056">
        <f t="shared" si="316"/>
        <v>0</v>
      </c>
      <c r="BA242" s="4054">
        <f t="shared" si="282"/>
        <v>4013.23</v>
      </c>
      <c r="BB242" s="4056"/>
      <c r="BC242" s="4057">
        <f t="shared" si="283"/>
        <v>12296.630000000001</v>
      </c>
      <c r="BD242" s="4052"/>
      <c r="BE242" s="4058">
        <f t="shared" si="284"/>
        <v>16407.330000000002</v>
      </c>
      <c r="BH242" s="23"/>
      <c r="BI242" s="23"/>
    </row>
    <row r="243" spans="2:61" ht="15.75" hidden="1" customHeight="1" x14ac:dyDescent="0.3">
      <c r="B243" s="4059" t="s">
        <v>909</v>
      </c>
      <c r="C243" s="4060" t="s">
        <v>351</v>
      </c>
      <c r="D243" s="4055"/>
      <c r="E243" s="4056"/>
      <c r="F243" s="4056"/>
      <c r="G243" s="4056"/>
      <c r="H243" s="4056"/>
      <c r="I243" s="2947">
        <f t="shared" si="285"/>
        <v>0</v>
      </c>
      <c r="J243" s="4056"/>
      <c r="K243" s="4056"/>
      <c r="L243" s="4056"/>
      <c r="M243" s="4054">
        <f t="shared" si="286"/>
        <v>0</v>
      </c>
      <c r="N243" s="4056"/>
      <c r="O243" s="4056"/>
      <c r="P243" s="4056"/>
      <c r="Q243" s="1515">
        <f t="shared" si="287"/>
        <v>0</v>
      </c>
      <c r="R243" s="4055"/>
      <c r="S243" s="4056"/>
      <c r="T243" s="4056"/>
      <c r="U243" s="1515">
        <f t="shared" si="288"/>
        <v>0</v>
      </c>
      <c r="V243" s="4055"/>
      <c r="W243" s="4056"/>
      <c r="X243" s="4056"/>
      <c r="Y243" s="4070">
        <f t="shared" si="274"/>
        <v>0</v>
      </c>
      <c r="Z243" s="4056"/>
      <c r="AA243" s="4062">
        <f t="shared" si="275"/>
        <v>0</v>
      </c>
      <c r="AB243" s="4055"/>
      <c r="AC243" s="4056"/>
      <c r="AD243" s="4056"/>
      <c r="AE243" s="4063">
        <f t="shared" si="276"/>
        <v>0</v>
      </c>
      <c r="AF243" s="4055"/>
      <c r="AG243" s="4056"/>
      <c r="AH243" s="4056"/>
      <c r="AI243" s="4063">
        <f t="shared" si="278"/>
        <v>0</v>
      </c>
      <c r="AJ243" s="4055"/>
      <c r="AK243" s="4056"/>
      <c r="AL243" s="4056"/>
      <c r="AM243" s="4054">
        <f t="shared" si="289"/>
        <v>0</v>
      </c>
      <c r="AN243" s="4056"/>
      <c r="AO243" s="4063">
        <f t="shared" si="279"/>
        <v>0</v>
      </c>
      <c r="AP243" s="4055"/>
      <c r="AQ243" s="4056"/>
      <c r="AR243" s="4056"/>
      <c r="AS243" s="4063">
        <v>0</v>
      </c>
      <c r="AT243" s="4055"/>
      <c r="AU243" s="4056"/>
      <c r="AV243" s="4056"/>
      <c r="AW243" s="4063">
        <v>0</v>
      </c>
      <c r="AX243" s="4055"/>
      <c r="AY243" s="4056"/>
      <c r="AZ243" s="4056"/>
      <c r="BA243" s="4070">
        <f t="shared" si="282"/>
        <v>0</v>
      </c>
      <c r="BB243" s="4056"/>
      <c r="BC243" s="4062">
        <f t="shared" si="283"/>
        <v>0</v>
      </c>
      <c r="BD243" s="4056"/>
      <c r="BE243" s="4064">
        <f t="shared" si="284"/>
        <v>0</v>
      </c>
      <c r="BH243" s="23"/>
      <c r="BI243" s="23"/>
    </row>
    <row r="244" spans="2:61" ht="15.75" hidden="1" customHeight="1" x14ac:dyDescent="0.3">
      <c r="B244" s="4059" t="s">
        <v>1756</v>
      </c>
      <c r="C244" s="4060" t="s">
        <v>351</v>
      </c>
      <c r="D244" s="4055"/>
      <c r="E244" s="4056"/>
      <c r="F244" s="4056"/>
      <c r="G244" s="4056"/>
      <c r="H244" s="4056"/>
      <c r="I244" s="2947">
        <f t="shared" si="285"/>
        <v>0</v>
      </c>
      <c r="J244" s="4056"/>
      <c r="K244" s="4056"/>
      <c r="L244" s="4056"/>
      <c r="M244" s="4054">
        <f t="shared" si="286"/>
        <v>0</v>
      </c>
      <c r="N244" s="4056"/>
      <c r="O244" s="4056">
        <v>4110.7</v>
      </c>
      <c r="P244" s="4056"/>
      <c r="Q244" s="1515">
        <f t="shared" si="287"/>
        <v>4110.7</v>
      </c>
      <c r="R244" s="4055"/>
      <c r="S244" s="4056"/>
      <c r="T244" s="4056"/>
      <c r="U244" s="1515">
        <f t="shared" si="288"/>
        <v>4110.7</v>
      </c>
      <c r="V244" s="4055"/>
      <c r="W244" s="4056"/>
      <c r="X244" s="4056"/>
      <c r="Y244" s="4054">
        <f t="shared" si="274"/>
        <v>4110.7</v>
      </c>
      <c r="Z244" s="4056"/>
      <c r="AA244" s="4062">
        <f t="shared" si="275"/>
        <v>4110.7</v>
      </c>
      <c r="AB244" s="4055"/>
      <c r="AC244" s="4056">
        <v>4139.5200000000004</v>
      </c>
      <c r="AD244" s="4056"/>
      <c r="AE244" s="4063">
        <f t="shared" si="276"/>
        <v>8250.2200000000012</v>
      </c>
      <c r="AF244" s="4055"/>
      <c r="AG244" s="4056">
        <v>4143.88</v>
      </c>
      <c r="AH244" s="4056"/>
      <c r="AI244" s="4063">
        <f t="shared" si="278"/>
        <v>12394.100000000002</v>
      </c>
      <c r="AJ244" s="23"/>
      <c r="AK244" s="4056"/>
      <c r="AM244" s="4054">
        <f t="shared" si="289"/>
        <v>8283.4000000000015</v>
      </c>
      <c r="AN244" s="4056"/>
      <c r="AO244" s="4063">
        <f t="shared" si="279"/>
        <v>12394.100000000002</v>
      </c>
      <c r="AP244" s="23"/>
      <c r="AQ244" s="4056">
        <v>4013.23</v>
      </c>
      <c r="AR244" s="4056"/>
      <c r="AS244" s="4063">
        <f t="shared" ref="AS244" si="322">+AO244+AQ244</f>
        <v>16407.330000000002</v>
      </c>
      <c r="AT244" s="4055"/>
      <c r="AU244" s="4056"/>
      <c r="AV244" s="4056"/>
      <c r="AW244" s="4063">
        <f t="shared" ref="AW244" si="323">+AS244+AU244</f>
        <v>16407.330000000002</v>
      </c>
      <c r="AX244" s="4055"/>
      <c r="AY244" s="4056"/>
      <c r="AZ244" s="4677"/>
      <c r="BA244" s="4890">
        <f t="shared" si="282"/>
        <v>4013.23</v>
      </c>
      <c r="BB244" s="4809"/>
      <c r="BC244" s="4892">
        <f t="shared" si="283"/>
        <v>12296.630000000001</v>
      </c>
      <c r="BD244" s="4809"/>
      <c r="BE244" s="4893">
        <f t="shared" si="284"/>
        <v>16407.330000000002</v>
      </c>
      <c r="BH244" s="23"/>
      <c r="BI244" s="23"/>
    </row>
    <row r="245" spans="2:61" ht="18.75" hidden="1" customHeight="1" x14ac:dyDescent="0.3">
      <c r="B245" s="4049" t="s">
        <v>1265</v>
      </c>
      <c r="C245" s="4050"/>
      <c r="D245" s="4051"/>
      <c r="E245" s="4052"/>
      <c r="F245" s="4052"/>
      <c r="G245" s="4052"/>
      <c r="H245" s="4052"/>
      <c r="I245" s="2947">
        <f t="shared" si="285"/>
        <v>0</v>
      </c>
      <c r="J245" s="4052"/>
      <c r="K245" s="4052"/>
      <c r="L245" s="4052"/>
      <c r="M245" s="4054">
        <v>0</v>
      </c>
      <c r="N245" s="4052"/>
      <c r="O245" s="4052"/>
      <c r="P245" s="4052"/>
      <c r="Q245" s="4052">
        <v>0</v>
      </c>
      <c r="R245" s="4055"/>
      <c r="S245" s="4052"/>
      <c r="T245" s="4052"/>
      <c r="U245" s="4504">
        <v>0</v>
      </c>
      <c r="V245" s="4055"/>
      <c r="W245" s="4052"/>
      <c r="X245" s="4052"/>
      <c r="Y245" s="4054">
        <v>0</v>
      </c>
      <c r="Z245" s="4056">
        <v>0</v>
      </c>
      <c r="AA245" s="4057">
        <v>0</v>
      </c>
      <c r="AB245" s="4055"/>
      <c r="AC245" s="4052"/>
      <c r="AD245" s="4052"/>
      <c r="AE245" s="4071"/>
      <c r="AF245" s="4055"/>
      <c r="AG245" s="4052"/>
      <c r="AH245" s="4052"/>
      <c r="AI245" s="4071"/>
      <c r="AJ245" s="4055"/>
      <c r="AK245" s="4052"/>
      <c r="AL245" s="4056"/>
      <c r="AM245" s="4054">
        <f t="shared" si="289"/>
        <v>0</v>
      </c>
      <c r="AN245" s="4052"/>
      <c r="AO245" s="4071"/>
      <c r="AP245" s="4055"/>
      <c r="AQ245" s="4052"/>
      <c r="AR245" s="4052"/>
      <c r="AS245" s="4071"/>
      <c r="AT245" s="4055"/>
      <c r="AU245" s="4052"/>
      <c r="AV245" s="4052"/>
      <c r="AW245" s="4071"/>
      <c r="AX245" s="4055"/>
      <c r="AY245" s="4052"/>
      <c r="AZ245" s="4056"/>
      <c r="BA245" s="4054">
        <v>0</v>
      </c>
      <c r="BB245" s="4056">
        <v>0</v>
      </c>
      <c r="BC245" s="4057">
        <v>0</v>
      </c>
      <c r="BD245" s="4052"/>
      <c r="BE245" s="4071"/>
    </row>
    <row r="246" spans="2:61" ht="15.75" hidden="1" customHeight="1" x14ac:dyDescent="0.3">
      <c r="B246" s="4059" t="s">
        <v>803</v>
      </c>
      <c r="C246" s="4060" t="s">
        <v>351</v>
      </c>
      <c r="D246" s="4060"/>
      <c r="E246" s="4056">
        <v>0</v>
      </c>
      <c r="F246" s="4056"/>
      <c r="G246" s="4056">
        <v>0</v>
      </c>
      <c r="H246" s="4056"/>
      <c r="I246" s="2947">
        <f t="shared" si="285"/>
        <v>0</v>
      </c>
      <c r="J246" s="4056"/>
      <c r="K246" s="4056">
        <v>0</v>
      </c>
      <c r="L246" s="4056"/>
      <c r="M246" s="4054">
        <v>0</v>
      </c>
      <c r="N246" s="4056"/>
      <c r="O246" s="4056">
        <v>0</v>
      </c>
      <c r="P246" s="4056"/>
      <c r="Q246" s="4056">
        <v>0</v>
      </c>
      <c r="R246" s="4056"/>
      <c r="S246" s="4056">
        <v>0</v>
      </c>
      <c r="T246" s="4056"/>
      <c r="U246" s="4056">
        <v>0</v>
      </c>
      <c r="V246" s="4056"/>
      <c r="W246" s="4056"/>
      <c r="X246" s="4056"/>
      <c r="Y246" s="4054">
        <v>0</v>
      </c>
      <c r="Z246" s="4069"/>
      <c r="AA246" s="2343">
        <v>0</v>
      </c>
      <c r="AC246" s="4056"/>
      <c r="AD246" s="4056"/>
      <c r="AE246" s="4056"/>
      <c r="AF246" s="4056"/>
      <c r="AG246" s="4056"/>
      <c r="AH246" s="4056"/>
      <c r="AI246" s="4056"/>
      <c r="AJ246" s="4056"/>
      <c r="AK246" s="4056"/>
      <c r="AL246" s="4056"/>
      <c r="AM246" s="4054">
        <f t="shared" si="289"/>
        <v>0</v>
      </c>
      <c r="AN246" s="4056"/>
      <c r="AO246" s="4056"/>
      <c r="AP246" s="4056"/>
      <c r="AQ246" s="4056"/>
      <c r="AR246" s="4056"/>
      <c r="AS246" s="1597"/>
      <c r="AT246" s="4056"/>
      <c r="AU246" s="4056"/>
      <c r="AV246" s="4056"/>
      <c r="AW246" s="2331"/>
      <c r="AX246" s="4056"/>
      <c r="AY246" s="4056"/>
      <c r="AZ246" s="4056"/>
      <c r="BA246" s="4054">
        <v>0</v>
      </c>
      <c r="BB246" s="4069"/>
      <c r="BC246" s="2343">
        <v>0</v>
      </c>
      <c r="BD246" s="4056"/>
      <c r="BE246" s="2331"/>
    </row>
    <row r="247" spans="2:61" ht="18" hidden="1" x14ac:dyDescent="0.3">
      <c r="B247" s="4049" t="s">
        <v>1427</v>
      </c>
      <c r="C247" s="4050" t="s">
        <v>351</v>
      </c>
      <c r="D247" s="4051"/>
      <c r="E247" s="4052">
        <v>0</v>
      </c>
      <c r="F247" s="4052"/>
      <c r="G247" s="4052">
        <v>0</v>
      </c>
      <c r="H247" s="4053"/>
      <c r="I247" s="2947">
        <f t="shared" si="285"/>
        <v>0</v>
      </c>
      <c r="J247" s="4052"/>
      <c r="K247" s="4052">
        <v>0</v>
      </c>
      <c r="L247" s="4052"/>
      <c r="M247" s="4054">
        <v>0</v>
      </c>
      <c r="N247" s="4052"/>
      <c r="O247" s="4052">
        <v>0</v>
      </c>
      <c r="P247" s="4052"/>
      <c r="Q247" s="4053">
        <v>0</v>
      </c>
      <c r="R247" s="4055"/>
      <c r="S247" s="4052">
        <v>0</v>
      </c>
      <c r="T247" s="4052"/>
      <c r="U247" s="4503">
        <v>0</v>
      </c>
      <c r="V247" s="4055"/>
      <c r="W247" s="4052">
        <v>0</v>
      </c>
      <c r="X247" s="4052"/>
      <c r="Y247" s="4054">
        <v>0</v>
      </c>
      <c r="Z247" s="4056"/>
      <c r="AA247" s="4057">
        <v>0</v>
      </c>
      <c r="AB247" s="4055"/>
      <c r="AC247" s="4052">
        <v>0</v>
      </c>
      <c r="AD247" s="4052"/>
      <c r="AE247" s="4058">
        <v>0</v>
      </c>
      <c r="AF247" s="4055"/>
      <c r="AG247" s="4052">
        <v>0</v>
      </c>
      <c r="AH247" s="4052"/>
      <c r="AI247" s="4058">
        <v>0</v>
      </c>
      <c r="AJ247" s="4055"/>
      <c r="AK247" s="4052">
        <v>0</v>
      </c>
      <c r="AL247" s="4056"/>
      <c r="AM247" s="4054">
        <f t="shared" si="289"/>
        <v>0</v>
      </c>
      <c r="AN247" s="4052"/>
      <c r="AO247" s="4058">
        <v>0</v>
      </c>
      <c r="AP247" s="4055"/>
      <c r="AQ247" s="4052">
        <v>0</v>
      </c>
      <c r="AR247" s="4052"/>
      <c r="AS247" s="4058">
        <v>0</v>
      </c>
      <c r="AT247" s="4055"/>
      <c r="AU247" s="4052">
        <v>0</v>
      </c>
      <c r="AV247" s="4052"/>
      <c r="AW247" s="4058">
        <v>0</v>
      </c>
      <c r="AX247" s="4055"/>
      <c r="AY247" s="4052">
        <v>0</v>
      </c>
      <c r="AZ247" s="4056"/>
      <c r="BA247" s="4054">
        <v>0</v>
      </c>
      <c r="BB247" s="4056"/>
      <c r="BC247" s="4057">
        <v>0</v>
      </c>
      <c r="BD247" s="4052"/>
      <c r="BE247" s="4058">
        <v>0</v>
      </c>
    </row>
    <row r="248" spans="2:61" ht="18" hidden="1" thickBot="1" x14ac:dyDescent="0.35">
      <c r="B248" s="4072" t="s">
        <v>909</v>
      </c>
      <c r="C248" s="4073" t="s">
        <v>351</v>
      </c>
      <c r="D248" s="4073"/>
      <c r="E248" s="4074">
        <v>0</v>
      </c>
      <c r="F248" s="4074"/>
      <c r="G248" s="4074">
        <v>0</v>
      </c>
      <c r="H248" s="4074"/>
      <c r="I248" s="2947">
        <f t="shared" si="285"/>
        <v>0</v>
      </c>
      <c r="J248" s="4074"/>
      <c r="K248" s="4074">
        <v>0</v>
      </c>
      <c r="L248" s="4074"/>
      <c r="M248" s="4075">
        <v>0</v>
      </c>
      <c r="N248" s="4074"/>
      <c r="O248" s="4074">
        <v>0</v>
      </c>
      <c r="P248" s="4074"/>
      <c r="Q248" s="4074">
        <v>0</v>
      </c>
      <c r="R248" s="4074"/>
      <c r="S248" s="4074">
        <v>0</v>
      </c>
      <c r="T248" s="4074"/>
      <c r="U248" s="4074">
        <v>0</v>
      </c>
      <c r="V248" s="4074"/>
      <c r="W248" s="4074"/>
      <c r="X248" s="4074"/>
      <c r="Y248" s="4075">
        <v>0</v>
      </c>
      <c r="Z248" s="4056"/>
      <c r="AA248" s="4062">
        <v>0</v>
      </c>
      <c r="AB248" s="2240"/>
      <c r="AC248" s="4074"/>
      <c r="AD248" s="4074"/>
      <c r="AE248" s="4063">
        <v>0</v>
      </c>
      <c r="AF248" s="4074"/>
      <c r="AG248" s="4074"/>
      <c r="AH248" s="4074"/>
      <c r="AI248" s="4063">
        <v>0</v>
      </c>
      <c r="AJ248" s="4074"/>
      <c r="AK248" s="4074"/>
      <c r="AL248" s="4074"/>
      <c r="AM248" s="4054">
        <f t="shared" si="289"/>
        <v>0</v>
      </c>
      <c r="AN248" s="4052"/>
      <c r="AO248" s="4063">
        <v>0</v>
      </c>
      <c r="AP248" s="4074"/>
      <c r="AQ248" s="4074"/>
      <c r="AR248" s="4074"/>
      <c r="AS248" s="4063">
        <v>0</v>
      </c>
      <c r="AT248" s="4074"/>
      <c r="AU248" s="4074"/>
      <c r="AV248" s="4074"/>
      <c r="AW248" s="4064">
        <v>0</v>
      </c>
      <c r="AX248" s="4074"/>
      <c r="AY248" s="4074"/>
      <c r="AZ248" s="4074"/>
      <c r="BA248" s="4075">
        <v>0</v>
      </c>
      <c r="BB248" s="4056"/>
      <c r="BC248" s="4062">
        <v>0</v>
      </c>
      <c r="BD248" s="4074"/>
      <c r="BE248" s="4064">
        <v>0</v>
      </c>
    </row>
    <row r="249" spans="2:61" x14ac:dyDescent="0.3">
      <c r="AJ249" s="23"/>
    </row>
    <row r="250" spans="2:61" ht="14.4" x14ac:dyDescent="0.3">
      <c r="E250" s="23"/>
      <c r="F250" s="23"/>
      <c r="G250" s="23"/>
      <c r="H250" s="23"/>
      <c r="I250" s="23"/>
      <c r="J250" s="23"/>
      <c r="K250" s="23"/>
      <c r="L250" s="23"/>
      <c r="M250" s="23"/>
      <c r="N250" s="23"/>
      <c r="O250" s="110"/>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Y250" s="23"/>
      <c r="BA250" s="23"/>
      <c r="BC250" s="23"/>
      <c r="BE250" s="23"/>
    </row>
    <row r="251" spans="2:61" x14ac:dyDescent="0.3">
      <c r="AU251" s="1111"/>
    </row>
  </sheetData>
  <mergeCells count="34">
    <mergeCell ref="AX3:AY3"/>
    <mergeCell ref="BD3:BE3"/>
    <mergeCell ref="AZ3:BA3"/>
    <mergeCell ref="BB3:BC3"/>
    <mergeCell ref="P3:Q3"/>
    <mergeCell ref="AB3:AC3"/>
    <mergeCell ref="V3:W3"/>
    <mergeCell ref="X3:Y3"/>
    <mergeCell ref="AP3:AQ3"/>
    <mergeCell ref="AT3:AU3"/>
    <mergeCell ref="AV3:AW3"/>
    <mergeCell ref="AF3:AG3"/>
    <mergeCell ref="AH3:AI3"/>
    <mergeCell ref="AD3:AE3"/>
    <mergeCell ref="AR3:AS3"/>
    <mergeCell ref="AJ3:AK3"/>
    <mergeCell ref="B2:AA2"/>
    <mergeCell ref="B3:B4"/>
    <mergeCell ref="C3:C4"/>
    <mergeCell ref="D3:E3"/>
    <mergeCell ref="F3:G3"/>
    <mergeCell ref="H3:I3"/>
    <mergeCell ref="J3:K3"/>
    <mergeCell ref="L3:M3"/>
    <mergeCell ref="N3:O3"/>
    <mergeCell ref="R3:S3"/>
    <mergeCell ref="T3:U3"/>
    <mergeCell ref="Z3:AA3"/>
    <mergeCell ref="AL3:AM3"/>
    <mergeCell ref="AN3:AO3"/>
    <mergeCell ref="B208:C208"/>
    <mergeCell ref="B141:C141"/>
    <mergeCell ref="B137:C137"/>
    <mergeCell ref="B118:C118"/>
  </mergeCells>
  <conditionalFormatting sqref="B70:B71">
    <cfRule type="duplicateValues" dxfId="1" priority="1"/>
  </conditionalFormatting>
  <conditionalFormatting sqref="B72:B101 B63:B68">
    <cfRule type="duplicateValues" dxfId="0" priority="45"/>
  </conditionalFormatting>
  <pageMargins left="0.7" right="0.7" top="0.75" bottom="0.75" header="0.3" footer="0.3"/>
  <pageSetup paperSize="9" scale="2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6699"/>
    <pageSetUpPr fitToPage="1"/>
  </sheetPr>
  <dimension ref="B2:BL25"/>
  <sheetViews>
    <sheetView workbookViewId="0">
      <pane xSplit="4" ySplit="2" topLeftCell="E3" activePane="bottomRight" state="frozen"/>
      <selection pane="topRight" activeCell="E1" sqref="E1"/>
      <selection pane="bottomLeft" activeCell="A2" sqref="A2"/>
      <selection pane="bottomRight" activeCell="H25" sqref="H25"/>
    </sheetView>
  </sheetViews>
  <sheetFormatPr defaultColWidth="9.109375" defaultRowHeight="18" x14ac:dyDescent="0.35"/>
  <cols>
    <col min="1" max="1" width="9.109375" style="4"/>
    <col min="2" max="2" width="41.6640625" style="3206" bestFit="1" customWidth="1"/>
    <col min="3" max="3" width="16.109375" style="3206" bestFit="1" customWidth="1"/>
    <col min="4" max="4" width="12.109375" style="3207" customWidth="1"/>
    <col min="5" max="5" width="14.88671875" style="3206" customWidth="1"/>
    <col min="6" max="6" width="12.6640625" style="3206" customWidth="1"/>
    <col min="7" max="7" width="12.88671875" style="3206" customWidth="1"/>
    <col min="8" max="8" width="12.5546875" style="3206" customWidth="1"/>
    <col min="9" max="9" width="10.5546875" style="3206" customWidth="1"/>
    <col min="10" max="10" width="11.33203125" style="3206" customWidth="1"/>
    <col min="11" max="12" width="10.44140625" style="3206" hidden="1" customWidth="1"/>
    <col min="13" max="13" width="9" style="3206" hidden="1" customWidth="1"/>
    <col min="14" max="14" width="10.44140625" style="3206" hidden="1" customWidth="1"/>
    <col min="15" max="15" width="9" style="4" hidden="1" customWidth="1"/>
    <col min="16" max="16" width="10.44140625" style="4" hidden="1" customWidth="1"/>
    <col min="17" max="17" width="10.33203125" style="4" hidden="1" customWidth="1"/>
    <col min="18" max="18" width="10.44140625" style="4" hidden="1" customWidth="1"/>
    <col min="19" max="22" width="10.33203125" style="4" hidden="1" customWidth="1"/>
    <col min="23" max="24" width="10.44140625" style="4" hidden="1" customWidth="1"/>
    <col min="25" max="25" width="9.88671875" style="4" hidden="1" customWidth="1"/>
    <col min="26" max="26" width="10.44140625" style="4" hidden="1" customWidth="1"/>
    <col min="27" max="28" width="10.33203125" style="4" hidden="1" customWidth="1"/>
    <col min="29" max="30" width="10.44140625" style="4" hidden="1" customWidth="1"/>
    <col min="31" max="32" width="11.33203125" style="4" hidden="1" customWidth="1"/>
    <col min="33" max="34" width="10.44140625" style="4" hidden="1" customWidth="1"/>
    <col min="35" max="36" width="11.33203125" style="4" hidden="1" customWidth="1"/>
    <col min="37" max="37" width="10" style="4" hidden="1" customWidth="1"/>
    <col min="38" max="38" width="10.44140625" style="4" hidden="1" customWidth="1"/>
    <col min="39" max="39" width="9" style="4" hidden="1" customWidth="1"/>
    <col min="40" max="40" width="10.44140625" style="4" hidden="1" customWidth="1"/>
    <col min="41" max="42" width="10.33203125" style="4" hidden="1" customWidth="1"/>
    <col min="43" max="44" width="10" style="4" hidden="1" customWidth="1"/>
    <col min="45" max="46" width="11.33203125" style="4" hidden="1" customWidth="1"/>
    <col min="47" max="48" width="10" style="4" hidden="1" customWidth="1"/>
    <col min="49" max="50" width="11.33203125" style="4" hidden="1" customWidth="1"/>
    <col min="51" max="54" width="9.88671875" style="4" hidden="1" customWidth="1"/>
    <col min="55" max="58" width="11.33203125" style="4" hidden="1" customWidth="1"/>
    <col min="59" max="60" width="9.109375" style="4" customWidth="1"/>
    <col min="61" max="16384" width="9.109375" style="4"/>
  </cols>
  <sheetData>
    <row r="2" spans="2:64" ht="17.399999999999999" x14ac:dyDescent="0.3">
      <c r="B2" s="5971" t="s">
        <v>953</v>
      </c>
      <c r="C2" s="5971"/>
      <c r="D2" s="5971"/>
      <c r="E2" s="5971"/>
      <c r="F2" s="5971"/>
      <c r="G2" s="5971"/>
      <c r="H2" s="5971"/>
      <c r="I2" s="5971"/>
      <c r="J2" s="5971"/>
      <c r="K2" s="5971"/>
      <c r="L2" s="5971"/>
      <c r="M2" s="5971"/>
      <c r="N2" s="5971"/>
      <c r="O2" s="5971"/>
      <c r="P2" s="5971"/>
      <c r="Q2" s="5971"/>
      <c r="R2" s="5971"/>
      <c r="S2" s="5971"/>
      <c r="T2" s="5971"/>
      <c r="U2" s="5971"/>
      <c r="V2" s="5971"/>
    </row>
    <row r="3" spans="2:64" ht="18.600000000000001" thickBot="1" x14ac:dyDescent="0.4"/>
    <row r="4" spans="2:64" thickBot="1" x14ac:dyDescent="0.3">
      <c r="B4" s="5972" t="s">
        <v>170</v>
      </c>
      <c r="C4" s="5974" t="s">
        <v>171</v>
      </c>
      <c r="D4" s="5979" t="s">
        <v>2214</v>
      </c>
      <c r="E4" s="5963" t="s">
        <v>2211</v>
      </c>
      <c r="F4" s="5964"/>
      <c r="G4" s="5963" t="s">
        <v>2260</v>
      </c>
      <c r="H4" s="5964"/>
      <c r="I4" s="5976" t="s">
        <v>14</v>
      </c>
      <c r="J4" s="5977"/>
      <c r="K4" s="5963" t="s">
        <v>1964</v>
      </c>
      <c r="L4" s="5963"/>
      <c r="M4" s="5967" t="s">
        <v>607</v>
      </c>
      <c r="N4" s="5968"/>
      <c r="O4" s="5963" t="s">
        <v>1986</v>
      </c>
      <c r="P4" s="5964"/>
      <c r="Q4" s="5978" t="s">
        <v>617</v>
      </c>
      <c r="R4" s="5966"/>
      <c r="S4" s="5963" t="s">
        <v>1988</v>
      </c>
      <c r="T4" s="5964"/>
      <c r="U4" s="5965" t="s">
        <v>794</v>
      </c>
      <c r="V4" s="5966"/>
      <c r="W4" s="5963" t="s">
        <v>2019</v>
      </c>
      <c r="X4" s="5963"/>
      <c r="Y4" s="5967" t="s">
        <v>625</v>
      </c>
      <c r="Z4" s="5968"/>
      <c r="AA4" s="5969" t="s">
        <v>623</v>
      </c>
      <c r="AB4" s="5970"/>
      <c r="AC4" s="5963" t="s">
        <v>2043</v>
      </c>
      <c r="AD4" s="5964"/>
      <c r="AE4" s="5965" t="s">
        <v>1051</v>
      </c>
      <c r="AF4" s="5966"/>
      <c r="AG4" s="5963" t="s">
        <v>2064</v>
      </c>
      <c r="AH4" s="5964"/>
      <c r="AI4" s="5965" t="s">
        <v>1552</v>
      </c>
      <c r="AJ4" s="5966"/>
      <c r="AK4" s="5963" t="s">
        <v>2088</v>
      </c>
      <c r="AL4" s="5963"/>
      <c r="AM4" s="5967" t="s">
        <v>627</v>
      </c>
      <c r="AN4" s="5968"/>
      <c r="AO4" s="5965" t="s">
        <v>1565</v>
      </c>
      <c r="AP4" s="5966"/>
      <c r="AQ4" s="5963" t="s">
        <v>2099</v>
      </c>
      <c r="AR4" s="5964"/>
      <c r="AS4" s="5965" t="s">
        <v>1583</v>
      </c>
      <c r="AT4" s="5966"/>
      <c r="AU4" s="5963" t="s">
        <v>2136</v>
      </c>
      <c r="AV4" s="5964"/>
      <c r="AW4" s="5965" t="s">
        <v>1589</v>
      </c>
      <c r="AX4" s="5966"/>
      <c r="AY4" s="5963" t="s">
        <v>2154</v>
      </c>
      <c r="AZ4" s="5964"/>
      <c r="BA4" s="5967" t="s">
        <v>628</v>
      </c>
      <c r="BB4" s="5968"/>
      <c r="BC4" s="5969" t="s">
        <v>634</v>
      </c>
      <c r="BD4" s="5970"/>
      <c r="BE4" s="5965" t="s">
        <v>1961</v>
      </c>
      <c r="BF4" s="5966"/>
    </row>
    <row r="5" spans="2:64" ht="17.399999999999999" x14ac:dyDescent="0.25">
      <c r="B5" s="5973"/>
      <c r="C5" s="5975"/>
      <c r="D5" s="5980"/>
      <c r="E5" s="539" t="s">
        <v>172</v>
      </c>
      <c r="F5" s="540" t="s">
        <v>173</v>
      </c>
      <c r="G5" s="539" t="s">
        <v>172</v>
      </c>
      <c r="H5" s="540" t="s">
        <v>173</v>
      </c>
      <c r="I5" s="1109" t="s">
        <v>172</v>
      </c>
      <c r="J5" s="1246" t="s">
        <v>173</v>
      </c>
      <c r="K5" s="539" t="s">
        <v>172</v>
      </c>
      <c r="L5" s="2024" t="s">
        <v>173</v>
      </c>
      <c r="M5" s="2194" t="s">
        <v>172</v>
      </c>
      <c r="N5" s="2195" t="s">
        <v>173</v>
      </c>
      <c r="O5" s="539" t="s">
        <v>172</v>
      </c>
      <c r="P5" s="540" t="s">
        <v>173</v>
      </c>
      <c r="Q5" s="1092" t="s">
        <v>172</v>
      </c>
      <c r="R5" s="1093" t="s">
        <v>173</v>
      </c>
      <c r="S5" s="539" t="s">
        <v>172</v>
      </c>
      <c r="T5" s="540" t="s">
        <v>173</v>
      </c>
      <c r="U5" s="1092" t="s">
        <v>172</v>
      </c>
      <c r="V5" s="1093" t="s">
        <v>173</v>
      </c>
      <c r="W5" s="539" t="s">
        <v>172</v>
      </c>
      <c r="X5" s="2024" t="s">
        <v>173</v>
      </c>
      <c r="Y5" s="2194" t="s">
        <v>172</v>
      </c>
      <c r="Z5" s="2195" t="s">
        <v>173</v>
      </c>
      <c r="AA5" s="2196" t="s">
        <v>172</v>
      </c>
      <c r="AB5" s="2197" t="s">
        <v>173</v>
      </c>
      <c r="AC5" s="539" t="s">
        <v>172</v>
      </c>
      <c r="AD5" s="540" t="s">
        <v>173</v>
      </c>
      <c r="AE5" s="1092" t="s">
        <v>172</v>
      </c>
      <c r="AF5" s="1093" t="s">
        <v>173</v>
      </c>
      <c r="AG5" s="539" t="s">
        <v>172</v>
      </c>
      <c r="AH5" s="540" t="s">
        <v>173</v>
      </c>
      <c r="AI5" s="1092" t="s">
        <v>172</v>
      </c>
      <c r="AJ5" s="1093" t="s">
        <v>173</v>
      </c>
      <c r="AK5" s="539" t="s">
        <v>172</v>
      </c>
      <c r="AL5" s="2024" t="s">
        <v>173</v>
      </c>
      <c r="AM5" s="2194" t="s">
        <v>172</v>
      </c>
      <c r="AN5" s="2195" t="s">
        <v>173</v>
      </c>
      <c r="AO5" s="1092" t="s">
        <v>172</v>
      </c>
      <c r="AP5" s="1093" t="s">
        <v>173</v>
      </c>
      <c r="AQ5" s="539" t="s">
        <v>172</v>
      </c>
      <c r="AR5" s="540" t="s">
        <v>173</v>
      </c>
      <c r="AS5" s="1092" t="s">
        <v>172</v>
      </c>
      <c r="AT5" s="1093" t="s">
        <v>173</v>
      </c>
      <c r="AU5" s="539" t="s">
        <v>172</v>
      </c>
      <c r="AV5" s="540" t="s">
        <v>173</v>
      </c>
      <c r="AW5" s="1092" t="s">
        <v>172</v>
      </c>
      <c r="AX5" s="1093" t="s">
        <v>173</v>
      </c>
      <c r="AY5" s="539" t="s">
        <v>172</v>
      </c>
      <c r="AZ5" s="540" t="s">
        <v>173</v>
      </c>
      <c r="BA5" s="2194" t="s">
        <v>172</v>
      </c>
      <c r="BB5" s="2195" t="s">
        <v>173</v>
      </c>
      <c r="BC5" s="2196" t="s">
        <v>172</v>
      </c>
      <c r="BD5" s="2197" t="s">
        <v>173</v>
      </c>
      <c r="BE5" s="1092" t="s">
        <v>172</v>
      </c>
      <c r="BF5" s="1093" t="s">
        <v>173</v>
      </c>
    </row>
    <row r="6" spans="2:64" x14ac:dyDescent="0.35">
      <c r="B6" s="1247" t="s">
        <v>910</v>
      </c>
      <c r="C6" s="1874" t="s">
        <v>66</v>
      </c>
      <c r="D6" s="5981" t="s">
        <v>2217</v>
      </c>
      <c r="E6" s="3121">
        <f>+'B-FCE'!E6</f>
        <v>208000</v>
      </c>
      <c r="F6" s="3121">
        <f>+'B-FCE'!F6</f>
        <v>237076.80000000005</v>
      </c>
      <c r="G6" s="3121">
        <f>+'B-FCE'!G6</f>
        <v>187000</v>
      </c>
      <c r="H6" s="3121">
        <f>+'B-FCE'!H6</f>
        <v>110658.09999999999</v>
      </c>
      <c r="I6" s="1959">
        <f>E6+G6</f>
        <v>395000</v>
      </c>
      <c r="J6" s="1959">
        <f>F6+H6</f>
        <v>347734.9</v>
      </c>
      <c r="K6" s="3121">
        <f>+'B-FCE'!K6</f>
        <v>252000</v>
      </c>
      <c r="L6" s="3121">
        <f>+'B-FCE'!L6</f>
        <v>261489.89999999997</v>
      </c>
      <c r="M6" s="1028">
        <f>+'B-FCE'!M6</f>
        <v>647000</v>
      </c>
      <c r="N6" s="3209">
        <f t="shared" ref="N6:N9" si="0">F6+H6+L6</f>
        <v>609224.80000000005</v>
      </c>
      <c r="O6" s="3121">
        <f>+'B-FCE'!O6</f>
        <v>255000</v>
      </c>
      <c r="P6" s="3121">
        <f>+'B-FCE'!P6</f>
        <v>268142.30000000005</v>
      </c>
      <c r="Q6" s="1959">
        <f t="shared" ref="Q6:V6" si="1">M6+O6</f>
        <v>902000</v>
      </c>
      <c r="R6" s="1959">
        <f t="shared" si="1"/>
        <v>877367.10000000009</v>
      </c>
      <c r="S6" s="3121">
        <f>+'B-FCE'!S6</f>
        <v>255000</v>
      </c>
      <c r="T6" s="3121">
        <f>+'B-FCE'!T6</f>
        <v>253263.6</v>
      </c>
      <c r="U6" s="1959">
        <f t="shared" si="1"/>
        <v>1157000</v>
      </c>
      <c r="V6" s="1959">
        <f t="shared" si="1"/>
        <v>1130630.7000000002</v>
      </c>
      <c r="W6" s="3121">
        <f>+'B-FCE'!W6</f>
        <v>140000</v>
      </c>
      <c r="X6" s="3121">
        <f>+'B-FCE'!X6</f>
        <v>243297.40000000002</v>
      </c>
      <c r="Y6" s="1028">
        <f>+'B-FCE'!Y6</f>
        <v>650000</v>
      </c>
      <c r="Z6" s="226">
        <f>+'B-FCE'!Z6</f>
        <v>764703.3</v>
      </c>
      <c r="AA6" s="1030">
        <f>+'B-FCE'!AA6</f>
        <v>1297000</v>
      </c>
      <c r="AB6" s="2198">
        <f>+'B-FCE'!AB6</f>
        <v>1373928.1</v>
      </c>
      <c r="AC6" s="3121">
        <f>+'B-FCE'!AC6</f>
        <v>260000</v>
      </c>
      <c r="AD6" s="3121">
        <f>+'B-FCE'!AD6</f>
        <v>202962.09999999998</v>
      </c>
      <c r="AE6" s="1959">
        <f>AA6+AC6</f>
        <v>1557000</v>
      </c>
      <c r="AF6" s="1959">
        <f>AB6+AD6</f>
        <v>1576890.2000000002</v>
      </c>
      <c r="AG6" s="3121">
        <f>+'B-FCE'!AG6</f>
        <v>252000</v>
      </c>
      <c r="AH6" s="3121">
        <f>+'B-FCE'!AH6</f>
        <v>244148.19999999998</v>
      </c>
      <c r="AI6" s="1959">
        <f>AE6+AG6</f>
        <v>1809000</v>
      </c>
      <c r="AJ6" s="1959">
        <f>AF6+AH6</f>
        <v>1821038.4000000001</v>
      </c>
      <c r="AK6" s="3121">
        <f>+'B-FCE'!AK6</f>
        <v>260000</v>
      </c>
      <c r="AL6" s="3121">
        <f>+'B-FCE'!AL6</f>
        <v>251560.99999999997</v>
      </c>
      <c r="AM6" s="1028">
        <f>AC6+AG6+AK6</f>
        <v>772000</v>
      </c>
      <c r="AN6" s="1028">
        <f>AD6+AH6+AL6</f>
        <v>698671.29999999993</v>
      </c>
      <c r="AO6" s="1959">
        <f>AI6+AK6</f>
        <v>2069000</v>
      </c>
      <c r="AP6" s="1959">
        <f>AJ6+AL6</f>
        <v>2072599.4000000001</v>
      </c>
      <c r="AQ6" s="3121">
        <f>+'B-FCE'!AQ6</f>
        <v>264000</v>
      </c>
      <c r="AR6" s="3121">
        <f>+'B-FCE'!AR6</f>
        <v>244851.4</v>
      </c>
      <c r="AS6" s="1959">
        <f>AO6+AQ6</f>
        <v>2333000</v>
      </c>
      <c r="AT6" s="1959">
        <f>AP6+AR6</f>
        <v>2317450.8000000003</v>
      </c>
      <c r="AU6" s="3121">
        <f>+'B-FCE'!AU6</f>
        <v>236000</v>
      </c>
      <c r="AV6" s="3121">
        <f>+'B-FCE'!AV6</f>
        <v>196575.3</v>
      </c>
      <c r="AW6" s="1959">
        <f>AS6+AU6</f>
        <v>2569000</v>
      </c>
      <c r="AX6" s="1959">
        <f>AT6+AV6</f>
        <v>2514026.1</v>
      </c>
      <c r="AY6" s="3121">
        <f>+'B-FCE'!AY6</f>
        <v>264000</v>
      </c>
      <c r="AZ6" s="3121">
        <f>+'B-FCE'!AZ6</f>
        <v>251871.70000000004</v>
      </c>
      <c r="BA6" s="3208">
        <f>AQ6+AU6+AY6</f>
        <v>764000</v>
      </c>
      <c r="BB6" s="3208">
        <f>AR6+AV6+AZ6</f>
        <v>693298.4</v>
      </c>
      <c r="BC6" s="3210">
        <f>AM6+BA6</f>
        <v>1536000</v>
      </c>
      <c r="BD6" s="3211">
        <f>AN6+BB6</f>
        <v>1391969.7</v>
      </c>
      <c r="BE6" s="3119">
        <f>AW6+AY6</f>
        <v>2833000</v>
      </c>
      <c r="BF6" s="3119">
        <f>AX6+AZ6</f>
        <v>2765897.8000000003</v>
      </c>
      <c r="BG6" s="2263"/>
      <c r="BH6" s="2263"/>
      <c r="BI6" s="2263"/>
      <c r="BJ6" s="2263"/>
      <c r="BK6" s="2263"/>
      <c r="BL6" s="2263"/>
    </row>
    <row r="7" spans="2:64" x14ac:dyDescent="0.35">
      <c r="B7" s="1352"/>
      <c r="C7" s="874"/>
      <c r="D7" s="5982"/>
      <c r="E7" s="874"/>
      <c r="F7" s="874"/>
      <c r="G7" s="874"/>
      <c r="H7" s="874"/>
      <c r="I7" s="3212"/>
      <c r="J7" s="3212"/>
      <c r="K7" s="874"/>
      <c r="L7" s="874"/>
      <c r="M7" s="3213"/>
      <c r="N7" s="3214"/>
      <c r="O7" s="874"/>
      <c r="P7" s="874"/>
      <c r="Q7" s="3212"/>
      <c r="R7" s="3212"/>
      <c r="S7" s="874"/>
      <c r="T7" s="874"/>
      <c r="U7" s="3212"/>
      <c r="V7" s="3212"/>
      <c r="W7" s="874"/>
      <c r="X7" s="874"/>
      <c r="Y7" s="3213"/>
      <c r="Z7" s="3214"/>
      <c r="AA7" s="3215"/>
      <c r="AB7" s="3216"/>
      <c r="AC7" s="874"/>
      <c r="AD7" s="874"/>
      <c r="AE7" s="3212"/>
      <c r="AF7" s="3212"/>
      <c r="AG7" s="874"/>
      <c r="AH7" s="874"/>
      <c r="AI7" s="3212"/>
      <c r="AJ7" s="3212"/>
      <c r="AK7" s="874"/>
      <c r="AL7" s="874"/>
      <c r="AM7" s="3213"/>
      <c r="AN7" s="3214"/>
      <c r="AO7" s="875"/>
      <c r="AP7" s="875"/>
      <c r="AQ7" s="874"/>
      <c r="AR7" s="874"/>
      <c r="AS7" s="875"/>
      <c r="AT7" s="875"/>
      <c r="AU7" s="874"/>
      <c r="AV7" s="874"/>
      <c r="AW7" s="875"/>
      <c r="AX7" s="875"/>
      <c r="AY7" s="874"/>
      <c r="AZ7" s="874"/>
      <c r="BA7" s="3213"/>
      <c r="BB7" s="3214"/>
      <c r="BC7" s="3215"/>
      <c r="BD7" s="3216"/>
      <c r="BE7" s="875"/>
      <c r="BF7" s="875"/>
      <c r="BG7" s="2263"/>
      <c r="BH7" s="2263"/>
      <c r="BI7" s="2263"/>
      <c r="BJ7" s="2263"/>
      <c r="BK7" s="2263"/>
      <c r="BL7" s="2263"/>
    </row>
    <row r="8" spans="2:64" x14ac:dyDescent="0.35">
      <c r="B8" s="1352" t="s">
        <v>911</v>
      </c>
      <c r="C8" s="1874" t="s">
        <v>66</v>
      </c>
      <c r="D8" s="5982"/>
      <c r="E8" s="2221">
        <f>+'B-FCE'!E23</f>
        <v>78000</v>
      </c>
      <c r="F8" s="2221">
        <f>+'B-FCE'!F23</f>
        <v>90935.947439999974</v>
      </c>
      <c r="G8" s="2221">
        <f>+'B-FCE'!G23</f>
        <v>66572</v>
      </c>
      <c r="H8" s="2221">
        <f>+'B-FCE'!H23</f>
        <v>45957.936419999984</v>
      </c>
      <c r="I8" s="1959">
        <f t="shared" ref="I8:I12" si="2">E8+G8</f>
        <v>144572</v>
      </c>
      <c r="J8" s="1959">
        <f t="shared" ref="J8:J12" si="3">F8+H8</f>
        <v>136893.88385999994</v>
      </c>
      <c r="K8" s="2221">
        <f>+'B-FCE'!K23</f>
        <v>89712</v>
      </c>
      <c r="L8" s="2221">
        <f>+'B-FCE'!L23</f>
        <v>91104.908899999995</v>
      </c>
      <c r="M8" s="3208">
        <f>+'B-FCE'!M23</f>
        <v>234284</v>
      </c>
      <c r="N8" s="3209">
        <f t="shared" si="0"/>
        <v>227998.79275999992</v>
      </c>
      <c r="O8" s="2221">
        <f>+'B-FCE'!O23</f>
        <v>90780</v>
      </c>
      <c r="P8" s="2221">
        <f>+'B-FCE'!P23</f>
        <v>97220.250600000014</v>
      </c>
      <c r="Q8" s="1959">
        <f t="shared" ref="Q8:Q12" si="4">M8+O8</f>
        <v>325064</v>
      </c>
      <c r="R8" s="1959">
        <f t="shared" ref="R8:R12" si="5">N8+P8</f>
        <v>325219.04335999995</v>
      </c>
      <c r="S8" s="2221">
        <f>+'B-FCE'!S23</f>
        <v>90780</v>
      </c>
      <c r="T8" s="2221">
        <f>+'B-FCE'!T23</f>
        <v>92678.77111999999</v>
      </c>
      <c r="U8" s="1959">
        <f t="shared" ref="U8:U12" si="6">Q8+S8</f>
        <v>415844</v>
      </c>
      <c r="V8" s="1959">
        <f t="shared" ref="V8:V12" si="7">R8+T8</f>
        <v>417897.81447999994</v>
      </c>
      <c r="W8" s="2221">
        <f>+'B-FCE'!W23</f>
        <v>53620</v>
      </c>
      <c r="X8" s="2221">
        <f>+'B-FCE'!X23</f>
        <v>94980.636339999997</v>
      </c>
      <c r="Y8" s="3208">
        <f>+'B-FCE'!Y23</f>
        <v>235180</v>
      </c>
      <c r="Z8" s="3209">
        <f>+'B-FCE'!Z23</f>
        <v>284879.65805999999</v>
      </c>
      <c r="AA8" s="3210">
        <f>+'B-FCE'!AA23</f>
        <v>469464</v>
      </c>
      <c r="AB8" s="3211">
        <f>+'B-FCE'!AB23</f>
        <v>512878.45081999991</v>
      </c>
      <c r="AC8" s="2221">
        <f>+'B-FCE'!AC23</f>
        <v>92040</v>
      </c>
      <c r="AD8" s="2221">
        <f>+'B-FCE'!AD23</f>
        <v>82612.429080000002</v>
      </c>
      <c r="AE8" s="1959">
        <f t="shared" ref="AE8:AE12" si="8">AA8+AC8</f>
        <v>561504</v>
      </c>
      <c r="AF8" s="1959">
        <f t="shared" ref="AF8:AF12" si="9">AB8+AD8</f>
        <v>595490.87989999994</v>
      </c>
      <c r="AG8" s="2221">
        <f>+'B-FCE'!AG23</f>
        <v>89208</v>
      </c>
      <c r="AH8" s="2221">
        <f>+'B-FCE'!AH23</f>
        <v>89431</v>
      </c>
      <c r="AI8" s="1959">
        <f t="shared" ref="AI8:AI12" si="10">AE8+AG8</f>
        <v>650712</v>
      </c>
      <c r="AJ8" s="1959">
        <f t="shared" ref="AJ8:AJ12" si="11">AF8+AH8</f>
        <v>684921.87989999994</v>
      </c>
      <c r="AK8" s="2221">
        <f>+'B-FCE'!AK23</f>
        <v>92040</v>
      </c>
      <c r="AL8" s="2221">
        <f>+'B-FCE'!AL23</f>
        <v>95439.613600000026</v>
      </c>
      <c r="AM8" s="1028">
        <f t="shared" ref="AM8:AM12" si="12">AC8+AG8+AK8</f>
        <v>273288</v>
      </c>
      <c r="AN8" s="1028">
        <f t="shared" ref="AN8:AN12" si="13">AD8+AH8+AL8</f>
        <v>267483.04268000001</v>
      </c>
      <c r="AO8" s="1959">
        <f t="shared" ref="AO8:AO12" si="14">AI8+AK8</f>
        <v>742752</v>
      </c>
      <c r="AP8" s="1959">
        <f t="shared" ref="AP8:AP12" si="15">AJ8+AL8</f>
        <v>780361.49349999998</v>
      </c>
      <c r="AQ8" s="2221">
        <f>+'B-FCE'!AQ23</f>
        <v>93456</v>
      </c>
      <c r="AR8" s="2221">
        <f>+'B-FCE'!AR23</f>
        <v>94365.280469999998</v>
      </c>
      <c r="AS8" s="1959">
        <f t="shared" ref="AS8:AS12" si="16">AO8+AQ8</f>
        <v>836208</v>
      </c>
      <c r="AT8" s="1959">
        <f t="shared" ref="AT8:AT12" si="17">AP8+AR8</f>
        <v>874726.77396999998</v>
      </c>
      <c r="AU8" s="2221">
        <f>+'B-FCE'!AU23</f>
        <v>83544</v>
      </c>
      <c r="AV8" s="2221">
        <f>+'B-FCE'!AV23</f>
        <v>84493.69425</v>
      </c>
      <c r="AW8" s="1959">
        <f t="shared" ref="AW8:AW12" si="18">AS8+AU8</f>
        <v>919752</v>
      </c>
      <c r="AX8" s="1959">
        <f t="shared" ref="AX8:AX12" si="19">AT8+AV8</f>
        <v>959220.46821999992</v>
      </c>
      <c r="AY8" s="2221">
        <f>+'B-FCE'!AY23</f>
        <v>93456</v>
      </c>
      <c r="AZ8" s="2221">
        <f>+'B-FCE'!AZ23</f>
        <v>92471.241399999999</v>
      </c>
      <c r="BA8" s="3208">
        <f t="shared" ref="BA8:BA11" si="20">AQ8+AU8+AY8</f>
        <v>270456</v>
      </c>
      <c r="BB8" s="3208">
        <f t="shared" ref="BB8:BB11" si="21">AR8+AV8+AZ8</f>
        <v>271330.21612</v>
      </c>
      <c r="BC8" s="3210">
        <f t="shared" ref="BC8:BC12" si="22">AM8+BA8</f>
        <v>543744</v>
      </c>
      <c r="BD8" s="3211">
        <f t="shared" ref="BD8:BD12" si="23">AN8+BB8</f>
        <v>538813.25879999995</v>
      </c>
      <c r="BE8" s="3119">
        <f t="shared" ref="BE8:BE12" si="24">AW8+AY8</f>
        <v>1013208</v>
      </c>
      <c r="BF8" s="3119">
        <f t="shared" ref="BF8:BF12" si="25">AX8+AZ8</f>
        <v>1051691.7096199999</v>
      </c>
      <c r="BG8" s="2263"/>
      <c r="BH8" s="2263"/>
      <c r="BI8" s="2263"/>
      <c r="BJ8" s="2263"/>
      <c r="BK8" s="2263"/>
      <c r="BL8" s="2263"/>
    </row>
    <row r="9" spans="2:64" x14ac:dyDescent="0.35">
      <c r="B9" s="1352" t="s">
        <v>912</v>
      </c>
      <c r="C9" s="1874" t="s">
        <v>66</v>
      </c>
      <c r="D9" s="5982"/>
      <c r="E9" s="2221">
        <f>+'B-FCE'!E24</f>
        <v>5408</v>
      </c>
      <c r="F9" s="2221">
        <f>+'B-FCE'!F24</f>
        <v>7521.2660300000034</v>
      </c>
      <c r="G9" s="2221">
        <f>+'B-FCE'!G24</f>
        <v>5423</v>
      </c>
      <c r="H9" s="2221">
        <f>+'B-FCE'!H24</f>
        <v>3703.6373199999998</v>
      </c>
      <c r="I9" s="1959">
        <f t="shared" si="2"/>
        <v>10831</v>
      </c>
      <c r="J9" s="1959">
        <f t="shared" si="3"/>
        <v>11224.903350000004</v>
      </c>
      <c r="K9" s="2221">
        <f>+'B-FCE'!K24</f>
        <v>7308</v>
      </c>
      <c r="L9" s="2221">
        <f>+'B-FCE'!L24</f>
        <v>8335.2548999999999</v>
      </c>
      <c r="M9" s="3208">
        <f>+'B-FCE'!M24</f>
        <v>18139</v>
      </c>
      <c r="N9" s="3209">
        <f t="shared" si="0"/>
        <v>19560.158250000004</v>
      </c>
      <c r="O9" s="2221">
        <f>+'B-FCE'!O24</f>
        <v>7395</v>
      </c>
      <c r="P9" s="2221">
        <f>+'B-FCE'!P24</f>
        <v>10931.993400000003</v>
      </c>
      <c r="Q9" s="1959">
        <f t="shared" si="4"/>
        <v>25534</v>
      </c>
      <c r="R9" s="1959">
        <f t="shared" si="5"/>
        <v>30492.151650000007</v>
      </c>
      <c r="S9" s="2221">
        <f>+'B-FCE'!S24</f>
        <v>7395</v>
      </c>
      <c r="T9" s="2221">
        <f>+'B-FCE'!T24</f>
        <v>9434.9160300000003</v>
      </c>
      <c r="U9" s="1959">
        <f t="shared" si="6"/>
        <v>32929</v>
      </c>
      <c r="V9" s="1959">
        <f t="shared" si="7"/>
        <v>39927.067680000007</v>
      </c>
      <c r="W9" s="2221">
        <f>+'B-FCE'!W24</f>
        <v>3920</v>
      </c>
      <c r="X9" s="2221">
        <f>+'B-FCE'!X24</f>
        <v>8937.2429000000029</v>
      </c>
      <c r="Y9" s="3208">
        <f>+'B-FCE'!Y24</f>
        <v>18710</v>
      </c>
      <c r="Z9" s="3209">
        <f>+'B-FCE'!Z24</f>
        <v>29304.152330000008</v>
      </c>
      <c r="AA9" s="3210">
        <f>+'B-FCE'!AA24</f>
        <v>36849</v>
      </c>
      <c r="AB9" s="3211">
        <f>+'B-FCE'!AB24</f>
        <v>48864.310580000012</v>
      </c>
      <c r="AC9" s="2221">
        <f>+'B-FCE'!AC24</f>
        <v>7540</v>
      </c>
      <c r="AD9" s="2221">
        <f>+'B-FCE'!AD24</f>
        <v>6146.5302000000011</v>
      </c>
      <c r="AE9" s="1959">
        <f t="shared" si="8"/>
        <v>44389</v>
      </c>
      <c r="AF9" s="1959">
        <f t="shared" si="9"/>
        <v>55010.840780000013</v>
      </c>
      <c r="AG9" s="2221">
        <f>+'B-FCE'!AG24</f>
        <v>7308</v>
      </c>
      <c r="AH9" s="2221">
        <f>+'B-FCE'!AH24</f>
        <v>9215</v>
      </c>
      <c r="AI9" s="1959">
        <f t="shared" si="10"/>
        <v>51697</v>
      </c>
      <c r="AJ9" s="1959">
        <f t="shared" si="11"/>
        <v>64225.840780000013</v>
      </c>
      <c r="AK9" s="2221">
        <f>+'B-FCE'!AK24</f>
        <v>7540</v>
      </c>
      <c r="AL9" s="2221">
        <f>+'B-FCE'!AL24</f>
        <v>8963.0492999999988</v>
      </c>
      <c r="AM9" s="1028">
        <f t="shared" si="12"/>
        <v>22388</v>
      </c>
      <c r="AN9" s="1028">
        <f t="shared" si="13"/>
        <v>24324.5795</v>
      </c>
      <c r="AO9" s="1959">
        <f t="shared" si="14"/>
        <v>59237</v>
      </c>
      <c r="AP9" s="1959">
        <f t="shared" si="15"/>
        <v>73188.890080000012</v>
      </c>
      <c r="AQ9" s="2221">
        <f>+'B-FCE'!AQ24</f>
        <v>7656</v>
      </c>
      <c r="AR9" s="2221">
        <f>+'B-FCE'!AR24</f>
        <v>7792.9575640000003</v>
      </c>
      <c r="AS9" s="1959">
        <f t="shared" si="16"/>
        <v>66893</v>
      </c>
      <c r="AT9" s="1959">
        <f t="shared" si="17"/>
        <v>80981.847644000009</v>
      </c>
      <c r="AU9" s="2221">
        <f>+'B-FCE'!AU24</f>
        <v>6844</v>
      </c>
      <c r="AV9" s="2221">
        <f>+'B-FCE'!AV24</f>
        <v>5861.8010599999998</v>
      </c>
      <c r="AW9" s="1959">
        <f t="shared" si="18"/>
        <v>73737</v>
      </c>
      <c r="AX9" s="1959">
        <f t="shared" si="19"/>
        <v>86843.648704000007</v>
      </c>
      <c r="AY9" s="2221">
        <f>+'B-FCE'!AY24</f>
        <v>7656</v>
      </c>
      <c r="AZ9" s="2221">
        <f>+'B-FCE'!AZ24</f>
        <v>8283.8433999999997</v>
      </c>
      <c r="BA9" s="3208">
        <f t="shared" si="20"/>
        <v>22156</v>
      </c>
      <c r="BB9" s="3208">
        <f t="shared" si="21"/>
        <v>21938.602024</v>
      </c>
      <c r="BC9" s="3210">
        <f t="shared" si="22"/>
        <v>44544</v>
      </c>
      <c r="BD9" s="3211">
        <f t="shared" si="23"/>
        <v>46263.181524</v>
      </c>
      <c r="BE9" s="3119">
        <f t="shared" si="24"/>
        <v>81393</v>
      </c>
      <c r="BF9" s="3119">
        <f t="shared" si="25"/>
        <v>95127.492104000004</v>
      </c>
      <c r="BG9" s="2263"/>
      <c r="BH9" s="2263"/>
      <c r="BI9" s="2263"/>
      <c r="BJ9" s="2263"/>
      <c r="BK9" s="2263"/>
      <c r="BL9" s="2263"/>
    </row>
    <row r="10" spans="2:64" x14ac:dyDescent="0.35">
      <c r="B10" s="1352" t="s">
        <v>913</v>
      </c>
      <c r="C10" s="1874" t="s">
        <v>66</v>
      </c>
      <c r="D10" s="5982"/>
      <c r="E10" s="2221">
        <f>+'B-FCE'!E65</f>
        <v>9267.5555555555475</v>
      </c>
      <c r="F10" s="2221">
        <f>+'B-FCE'!F65</f>
        <v>10346.854300000001</v>
      </c>
      <c r="G10" s="2221">
        <f>+'B-FCE'!G65</f>
        <v>7999.444444444438</v>
      </c>
      <c r="H10" s="2221">
        <f>+'B-FCE'!H65</f>
        <v>6426</v>
      </c>
      <c r="I10" s="1959">
        <f t="shared" si="2"/>
        <v>17266.999999999985</v>
      </c>
      <c r="J10" s="1959">
        <f t="shared" si="3"/>
        <v>16772.854299999999</v>
      </c>
      <c r="K10" s="2221">
        <f>+'B-FCE'!K65</f>
        <v>10780</v>
      </c>
      <c r="L10" s="2221">
        <f>+'B-FCE'!L65</f>
        <v>11847.7976</v>
      </c>
      <c r="M10" s="3208">
        <f>+'B-FCE'!M65</f>
        <v>28046.999999999985</v>
      </c>
      <c r="N10" s="3209">
        <f>F10+H10+L10</f>
        <v>28620.651899999997</v>
      </c>
      <c r="O10" s="2221">
        <f>+'B-FCE'!O65</f>
        <v>10908.333333333328</v>
      </c>
      <c r="P10" s="2221">
        <f>+'B-FCE'!P65</f>
        <v>13053.6016</v>
      </c>
      <c r="Q10" s="1959">
        <f t="shared" si="4"/>
        <v>38955.333333333314</v>
      </c>
      <c r="R10" s="1959">
        <f t="shared" si="5"/>
        <v>41674.253499999999</v>
      </c>
      <c r="S10" s="2221">
        <f>+'B-FCE'!S65</f>
        <v>10908.333333333328</v>
      </c>
      <c r="T10" s="2221">
        <f>+'B-FCE'!T65</f>
        <v>12613.0455</v>
      </c>
      <c r="U10" s="1959">
        <f t="shared" si="6"/>
        <v>49863.666666666642</v>
      </c>
      <c r="V10" s="1959">
        <f t="shared" si="7"/>
        <v>54287.298999999999</v>
      </c>
      <c r="W10" s="2221">
        <f>+'B-FCE'!W65</f>
        <v>6393.3333333333285</v>
      </c>
      <c r="X10" s="2221">
        <f>+'B-FCE'!X65</f>
        <v>12861.105600000001</v>
      </c>
      <c r="Y10" s="3208">
        <f>+'B-FCE'!Y65</f>
        <v>28209.999999999985</v>
      </c>
      <c r="Z10" s="3209">
        <f>+'B-FCE'!Z65</f>
        <v>38527.752700000005</v>
      </c>
      <c r="AA10" s="3210">
        <f>+'B-FCE'!AA65</f>
        <v>56256.999999999971</v>
      </c>
      <c r="AB10" s="3211">
        <f>+'B-FCE'!AB65</f>
        <v>67148.404600000009</v>
      </c>
      <c r="AC10" s="2221">
        <f>+'B-FCE'!AC65</f>
        <v>11064.444444444438</v>
      </c>
      <c r="AD10" s="2221">
        <f>+'B-FCE'!AD65</f>
        <v>12145.35</v>
      </c>
      <c r="AE10" s="1959">
        <f t="shared" si="8"/>
        <v>67321.444444444409</v>
      </c>
      <c r="AF10" s="1959">
        <f t="shared" si="9"/>
        <v>79293.754600000015</v>
      </c>
      <c r="AG10" s="2221">
        <f>+'B-FCE'!AG65</f>
        <v>10724</v>
      </c>
      <c r="AH10" s="2221">
        <f>+'B-FCE'!AH65</f>
        <v>11554.65</v>
      </c>
      <c r="AI10" s="1959">
        <f t="shared" si="10"/>
        <v>78045.444444444409</v>
      </c>
      <c r="AJ10" s="1959">
        <f t="shared" si="11"/>
        <v>90848.404600000009</v>
      </c>
      <c r="AK10" s="2221">
        <f>+'B-FCE'!AK65</f>
        <v>11064.444444444438</v>
      </c>
      <c r="AL10" s="2221">
        <f>+'B-FCE'!AL65</f>
        <v>10852.704</v>
      </c>
      <c r="AM10" s="1028">
        <f t="shared" si="12"/>
        <v>32852.888888888876</v>
      </c>
      <c r="AN10" s="1028">
        <f t="shared" si="13"/>
        <v>34552.703999999998</v>
      </c>
      <c r="AO10" s="1959">
        <f t="shared" si="14"/>
        <v>89109.888888888847</v>
      </c>
      <c r="AP10" s="1959">
        <f t="shared" si="15"/>
        <v>101701.10860000001</v>
      </c>
      <c r="AQ10" s="2221">
        <f>+'B-FCE'!AQ65</f>
        <v>11234.666666666657</v>
      </c>
      <c r="AR10" s="2221">
        <f>+'B-FCE'!AR65</f>
        <v>9568.2595999999994</v>
      </c>
      <c r="AS10" s="1959">
        <f t="shared" si="16"/>
        <v>100344.5555555555</v>
      </c>
      <c r="AT10" s="1959">
        <f t="shared" si="17"/>
        <v>111269.36820000001</v>
      </c>
      <c r="AU10" s="2221">
        <f>+'B-FCE'!AU65</f>
        <v>10043.111111111109</v>
      </c>
      <c r="AV10" s="2221">
        <f>+'B-FCE'!AV65</f>
        <v>12336.7</v>
      </c>
      <c r="AW10" s="1959">
        <f t="shared" si="18"/>
        <v>110387.66666666661</v>
      </c>
      <c r="AX10" s="1959">
        <f t="shared" si="19"/>
        <v>123606.06820000001</v>
      </c>
      <c r="AY10" s="2221">
        <f>+'B-FCE'!AY65</f>
        <v>11234.666666666657</v>
      </c>
      <c r="AZ10" s="2221">
        <f>+'B-FCE'!AZ65</f>
        <v>11656.3968</v>
      </c>
      <c r="BA10" s="3208">
        <f t="shared" si="20"/>
        <v>32512.444444444423</v>
      </c>
      <c r="BB10" s="3208">
        <f t="shared" si="21"/>
        <v>33561.356400000004</v>
      </c>
      <c r="BC10" s="3210">
        <f t="shared" si="22"/>
        <v>65365.333333333299</v>
      </c>
      <c r="BD10" s="3211">
        <f t="shared" si="23"/>
        <v>68114.060400000002</v>
      </c>
      <c r="BE10" s="3119">
        <f t="shared" si="24"/>
        <v>121622.33333333327</v>
      </c>
      <c r="BF10" s="3119">
        <f t="shared" si="25"/>
        <v>135262.465</v>
      </c>
      <c r="BG10" s="2263"/>
      <c r="BH10" s="2263"/>
      <c r="BI10" s="2263"/>
      <c r="BJ10" s="2263"/>
      <c r="BK10" s="2263"/>
      <c r="BL10" s="2263"/>
    </row>
    <row r="11" spans="2:64" x14ac:dyDescent="0.35">
      <c r="B11" s="1352" t="s">
        <v>915</v>
      </c>
      <c r="C11" s="1874" t="s">
        <v>66</v>
      </c>
      <c r="D11" s="5982"/>
      <c r="E11" s="2221">
        <f>+'B-FCE'!E33</f>
        <v>0</v>
      </c>
      <c r="F11" s="2221">
        <f>+'B-FCE'!F33</f>
        <v>0</v>
      </c>
      <c r="G11" s="2221">
        <f>+'B-FCE'!G33</f>
        <v>10000</v>
      </c>
      <c r="H11" s="2221">
        <f>+'B-FCE'!H33</f>
        <v>5000</v>
      </c>
      <c r="I11" s="1959">
        <f t="shared" si="2"/>
        <v>10000</v>
      </c>
      <c r="J11" s="1959">
        <f t="shared" si="3"/>
        <v>5000</v>
      </c>
      <c r="K11" s="2221">
        <f>+'B-FCE'!K33</f>
        <v>0</v>
      </c>
      <c r="L11" s="2221">
        <f>+'B-FCE'!L33</f>
        <v>0</v>
      </c>
      <c r="M11" s="3208">
        <f>+'B-FCE'!M33</f>
        <v>10000</v>
      </c>
      <c r="N11" s="3209">
        <f>F11+H11+L11</f>
        <v>5000</v>
      </c>
      <c r="O11" s="2221">
        <f>+'B-FCE'!O33</f>
        <v>0</v>
      </c>
      <c r="P11" s="2221">
        <f>+'B-FCE'!P33</f>
        <v>0</v>
      </c>
      <c r="Q11" s="1959">
        <f t="shared" si="4"/>
        <v>10000</v>
      </c>
      <c r="R11" s="1959">
        <f t="shared" si="5"/>
        <v>5000</v>
      </c>
      <c r="S11" s="2221">
        <f>+'B-FCE'!S33</f>
        <v>0</v>
      </c>
      <c r="T11" s="2221">
        <f>+'B-FCE'!T33</f>
        <v>0</v>
      </c>
      <c r="U11" s="1959">
        <f t="shared" si="6"/>
        <v>10000</v>
      </c>
      <c r="V11" s="1959">
        <f t="shared" si="7"/>
        <v>5000</v>
      </c>
      <c r="W11" s="2221">
        <f>+'B-FCE'!W33</f>
        <v>8000</v>
      </c>
      <c r="X11" s="2221">
        <f>+'B-FCE'!X33</f>
        <v>0</v>
      </c>
      <c r="Y11" s="3208">
        <f>+'B-FCE'!Y33</f>
        <v>8000</v>
      </c>
      <c r="Z11" s="3209">
        <f>+'B-FCE'!Z33</f>
        <v>0</v>
      </c>
      <c r="AA11" s="3210">
        <f>+'B-FCE'!AA33</f>
        <v>18000</v>
      </c>
      <c r="AB11" s="3211">
        <f>+'B-FCE'!AB33</f>
        <v>5000</v>
      </c>
      <c r="AC11" s="2221">
        <f>+'B-FCE'!AC33</f>
        <v>0</v>
      </c>
      <c r="AD11" s="2221">
        <f>+'B-FCE'!AD33</f>
        <v>6298.5</v>
      </c>
      <c r="AE11" s="1959">
        <f t="shared" si="8"/>
        <v>18000</v>
      </c>
      <c r="AF11" s="1959">
        <f t="shared" si="9"/>
        <v>11298.5</v>
      </c>
      <c r="AG11" s="2221">
        <f>+'B-FCE'!AG33</f>
        <v>0</v>
      </c>
      <c r="AH11" s="2221">
        <f>+'B-FCE'!AH33</f>
        <v>678</v>
      </c>
      <c r="AI11" s="1959">
        <f t="shared" si="10"/>
        <v>18000</v>
      </c>
      <c r="AJ11" s="1959">
        <f t="shared" si="11"/>
        <v>11976.5</v>
      </c>
      <c r="AK11" s="2221">
        <f>+'B-FCE'!AK33</f>
        <v>0</v>
      </c>
      <c r="AL11" s="2221">
        <f>+'B-FCE'!AL33</f>
        <v>775</v>
      </c>
      <c r="AM11" s="1028">
        <f t="shared" si="12"/>
        <v>0</v>
      </c>
      <c r="AN11" s="1028">
        <f t="shared" si="13"/>
        <v>7751.5</v>
      </c>
      <c r="AO11" s="1959">
        <f t="shared" si="14"/>
        <v>18000</v>
      </c>
      <c r="AP11" s="1959">
        <f t="shared" si="15"/>
        <v>12751.5</v>
      </c>
      <c r="AQ11" s="2221">
        <f>+'B-FCE'!AQ33</f>
        <v>0</v>
      </c>
      <c r="AR11" s="2221">
        <f>+'B-FCE'!AR33</f>
        <v>0</v>
      </c>
      <c r="AS11" s="1959">
        <f t="shared" si="16"/>
        <v>18000</v>
      </c>
      <c r="AT11" s="1959">
        <f t="shared" si="17"/>
        <v>12751.5</v>
      </c>
      <c r="AU11" s="2221">
        <f>+'B-FCE'!AU33</f>
        <v>0</v>
      </c>
      <c r="AV11" s="2221">
        <f>+'B-FCE'!AV33</f>
        <v>0</v>
      </c>
      <c r="AW11" s="1959">
        <f t="shared" si="18"/>
        <v>18000</v>
      </c>
      <c r="AX11" s="1959">
        <f t="shared" si="19"/>
        <v>12751.5</v>
      </c>
      <c r="AY11" s="2221">
        <f>+'B-FCE'!AY33</f>
        <v>0</v>
      </c>
      <c r="AZ11" s="2221">
        <f>+'B-FCE'!AZ33</f>
        <v>0</v>
      </c>
      <c r="BA11" s="3208">
        <f t="shared" si="20"/>
        <v>0</v>
      </c>
      <c r="BB11" s="3208">
        <f t="shared" si="21"/>
        <v>0</v>
      </c>
      <c r="BC11" s="3210">
        <f t="shared" si="22"/>
        <v>0</v>
      </c>
      <c r="BD11" s="3211">
        <f t="shared" si="23"/>
        <v>7751.5</v>
      </c>
      <c r="BE11" s="3119">
        <f t="shared" si="24"/>
        <v>18000</v>
      </c>
      <c r="BF11" s="3119">
        <f t="shared" si="25"/>
        <v>12751.5</v>
      </c>
      <c r="BG11" s="2263"/>
      <c r="BH11" s="2263"/>
      <c r="BI11" s="2263"/>
      <c r="BJ11" s="2263"/>
      <c r="BK11" s="2263"/>
      <c r="BL11" s="2263"/>
    </row>
    <row r="12" spans="2:64" x14ac:dyDescent="0.35">
      <c r="B12" s="1352" t="s">
        <v>914</v>
      </c>
      <c r="C12" s="1874" t="s">
        <v>66</v>
      </c>
      <c r="D12" s="5982"/>
      <c r="E12" s="2221">
        <f t="shared" ref="E12:AB12" si="26">SUM(E8:E11)</f>
        <v>92675.555555555547</v>
      </c>
      <c r="F12" s="2221">
        <f t="shared" si="26"/>
        <v>108804.06776999998</v>
      </c>
      <c r="G12" s="2221">
        <f t="shared" ref="G12:H12" si="27">SUM(G8:G11)</f>
        <v>89994.444444444438</v>
      </c>
      <c r="H12" s="2221">
        <f t="shared" si="27"/>
        <v>61087.573739999985</v>
      </c>
      <c r="I12" s="1959">
        <f t="shared" si="2"/>
        <v>182670</v>
      </c>
      <c r="J12" s="1959">
        <f t="shared" si="3"/>
        <v>169891.64150999996</v>
      </c>
      <c r="K12" s="2221">
        <f t="shared" ref="K12:L12" si="28">SUM(K8:K11)</f>
        <v>107800</v>
      </c>
      <c r="L12" s="2221">
        <f t="shared" si="28"/>
        <v>111287.9614</v>
      </c>
      <c r="M12" s="3208">
        <f t="shared" ref="M12" si="29">SUM(M8:M11)</f>
        <v>290470</v>
      </c>
      <c r="N12" s="3209">
        <f>F12+H12+L12</f>
        <v>281179.60290999996</v>
      </c>
      <c r="O12" s="2221">
        <f t="shared" ref="O12:P12" si="30">SUM(O8:O11)</f>
        <v>109083.33333333333</v>
      </c>
      <c r="P12" s="2221">
        <f t="shared" si="30"/>
        <v>121205.84560000002</v>
      </c>
      <c r="Q12" s="1959">
        <f t="shared" si="4"/>
        <v>399553.33333333331</v>
      </c>
      <c r="R12" s="1959">
        <f t="shared" si="5"/>
        <v>402385.44850999996</v>
      </c>
      <c r="S12" s="2221">
        <f t="shared" ref="S12:T12" si="31">SUM(S8:S11)</f>
        <v>109083.33333333333</v>
      </c>
      <c r="T12" s="2221">
        <f t="shared" si="31"/>
        <v>114726.73264999999</v>
      </c>
      <c r="U12" s="1959">
        <f t="shared" si="6"/>
        <v>508636.66666666663</v>
      </c>
      <c r="V12" s="1959">
        <f t="shared" si="7"/>
        <v>517112.18115999992</v>
      </c>
      <c r="W12" s="2221">
        <f t="shared" ref="W12:X12" si="32">SUM(W8:W11)</f>
        <v>71933.333333333328</v>
      </c>
      <c r="X12" s="2221">
        <f t="shared" si="32"/>
        <v>116778.98483999999</v>
      </c>
      <c r="Y12" s="3208">
        <f t="shared" ref="Y12:Z12" si="33">SUM(Y8:Y11)</f>
        <v>290100</v>
      </c>
      <c r="Z12" s="3209">
        <f t="shared" si="33"/>
        <v>352711.56309000001</v>
      </c>
      <c r="AA12" s="3210">
        <f t="shared" si="26"/>
        <v>580570</v>
      </c>
      <c r="AB12" s="3211">
        <f t="shared" si="26"/>
        <v>633891.16599999997</v>
      </c>
      <c r="AC12" s="2221">
        <f t="shared" ref="AC12:AD12" si="34">SUM(AC8:AC11)</f>
        <v>110644.44444444444</v>
      </c>
      <c r="AD12" s="2221">
        <f t="shared" si="34"/>
        <v>107202.80928000002</v>
      </c>
      <c r="AE12" s="1959">
        <f t="shared" si="8"/>
        <v>691214.4444444445</v>
      </c>
      <c r="AF12" s="1959">
        <f t="shared" si="9"/>
        <v>741093.97528000001</v>
      </c>
      <c r="AG12" s="2221">
        <f t="shared" ref="AG12:AH12" si="35">SUM(AG8:AG11)</f>
        <v>107240</v>
      </c>
      <c r="AH12" s="2221">
        <f t="shared" si="35"/>
        <v>110878.65</v>
      </c>
      <c r="AI12" s="1959">
        <f t="shared" si="10"/>
        <v>798454.4444444445</v>
      </c>
      <c r="AJ12" s="1959">
        <f t="shared" si="11"/>
        <v>851972.62528000004</v>
      </c>
      <c r="AK12" s="2221">
        <f t="shared" ref="AK12:AL12" si="36">SUM(AK8:AK11)</f>
        <v>110644.44444444444</v>
      </c>
      <c r="AL12" s="2221">
        <f t="shared" si="36"/>
        <v>116030.36690000002</v>
      </c>
      <c r="AM12" s="1028">
        <f t="shared" si="12"/>
        <v>328528.88888888888</v>
      </c>
      <c r="AN12" s="1028">
        <f t="shared" si="13"/>
        <v>334111.82618000003</v>
      </c>
      <c r="AO12" s="1959">
        <f t="shared" si="14"/>
        <v>909098.88888888899</v>
      </c>
      <c r="AP12" s="1959">
        <f t="shared" si="15"/>
        <v>968002.99218000006</v>
      </c>
      <c r="AQ12" s="2221">
        <f t="shared" ref="AQ12:AR12" si="37">SUM(AQ8:AQ11)</f>
        <v>112346.66666666666</v>
      </c>
      <c r="AR12" s="2221">
        <f t="shared" si="37"/>
        <v>111726.497634</v>
      </c>
      <c r="AS12" s="1959">
        <f t="shared" si="16"/>
        <v>1021445.5555555556</v>
      </c>
      <c r="AT12" s="1959">
        <f t="shared" si="17"/>
        <v>1079729.489814</v>
      </c>
      <c r="AU12" s="2221">
        <f t="shared" ref="AU12:AV12" si="38">SUM(AU8:AU11)</f>
        <v>100431.11111111111</v>
      </c>
      <c r="AV12" s="2221">
        <f t="shared" si="38"/>
        <v>102692.19531</v>
      </c>
      <c r="AW12" s="1959">
        <f t="shared" si="18"/>
        <v>1121876.6666666667</v>
      </c>
      <c r="AX12" s="1959">
        <f t="shared" si="19"/>
        <v>1182421.6851240001</v>
      </c>
      <c r="AY12" s="2221">
        <f t="shared" ref="AY12:AZ12" si="39">SUM(AY8:AY11)</f>
        <v>112346.66666666666</v>
      </c>
      <c r="AZ12" s="2221">
        <f t="shared" si="39"/>
        <v>112411.4816</v>
      </c>
      <c r="BA12" s="3208">
        <f>AQ12+AU12+AY12</f>
        <v>325124.44444444438</v>
      </c>
      <c r="BB12" s="3208">
        <f>AR12+AV12+AZ12</f>
        <v>326830.17454400001</v>
      </c>
      <c r="BC12" s="3210">
        <f t="shared" si="22"/>
        <v>653653.33333333326</v>
      </c>
      <c r="BD12" s="3211">
        <f t="shared" si="23"/>
        <v>660942.00072400004</v>
      </c>
      <c r="BE12" s="3119">
        <f t="shared" si="24"/>
        <v>1234223.3333333335</v>
      </c>
      <c r="BF12" s="3119">
        <f t="shared" si="25"/>
        <v>1294833.1667240001</v>
      </c>
      <c r="BG12" s="2263"/>
      <c r="BH12" s="2263"/>
      <c r="BI12" s="2263"/>
      <c r="BJ12" s="2263"/>
      <c r="BK12" s="2263"/>
      <c r="BL12" s="2263"/>
    </row>
    <row r="13" spans="2:64" x14ac:dyDescent="0.35">
      <c r="B13" s="1352" t="s">
        <v>798</v>
      </c>
      <c r="C13" s="2220" t="s">
        <v>49</v>
      </c>
      <c r="D13" s="5982"/>
      <c r="E13" s="3217">
        <f>+'Maj Techno Summ'!E5</f>
        <v>69.500000000000014</v>
      </c>
      <c r="F13" s="3217">
        <f>+'Maj Techno Summ'!F5</f>
        <v>69.499999999999986</v>
      </c>
      <c r="G13" s="3217">
        <f>+'Maj Techno Summ'!G5</f>
        <v>69.500000000000014</v>
      </c>
      <c r="H13" s="3217">
        <f>+'Maj Techno Summ'!H5</f>
        <v>69.5</v>
      </c>
      <c r="I13" s="3218">
        <f>+'Maj Techno Summ'!I5</f>
        <v>69.500000000000014</v>
      </c>
      <c r="J13" s="3218">
        <f>+'Maj Techno Summ'!J5</f>
        <v>69.5</v>
      </c>
      <c r="K13" s="3217">
        <f>+'Maj Techno Summ'!K5</f>
        <v>69.500000000000014</v>
      </c>
      <c r="L13" s="3217">
        <f>+'Maj Techno Summ'!L5</f>
        <v>70</v>
      </c>
      <c r="M13" s="3219">
        <f>+'Maj Techno Summ'!M5</f>
        <v>69.500000000000014</v>
      </c>
      <c r="N13" s="3220">
        <f>+'Maj Techno Summ'!N5</f>
        <v>69.667631369878563</v>
      </c>
      <c r="O13" s="3217">
        <f>+'Maj Techno Summ'!O5</f>
        <v>69.500000000000014</v>
      </c>
      <c r="P13" s="3217">
        <f>+'Maj Techno Summ'!P5</f>
        <v>69.999999999999986</v>
      </c>
      <c r="Q13" s="3218">
        <f>+'Maj Techno Summ'!Q5</f>
        <v>69.500000000000014</v>
      </c>
      <c r="R13" s="3218">
        <f>+'Maj Techno Summ'!R5</f>
        <v>69.753493265993271</v>
      </c>
      <c r="S13" s="3217">
        <f>+'Maj Techno Summ'!S5</f>
        <v>69.500000000000014</v>
      </c>
      <c r="T13" s="3217">
        <f>+'Maj Techno Summ'!T5</f>
        <v>70</v>
      </c>
      <c r="U13" s="3218">
        <f>+'Maj Techno Summ'!U5</f>
        <v>69.500000000000014</v>
      </c>
      <c r="V13" s="3218">
        <f>+'Maj Techno Summ'!V5</f>
        <v>69.803903843578411</v>
      </c>
      <c r="W13" s="3217">
        <f>+'Maj Techno Summ'!W5</f>
        <v>69.500000000000014</v>
      </c>
      <c r="X13" s="3217">
        <f>+'Maj Techno Summ'!X5</f>
        <v>69.49295404013472</v>
      </c>
      <c r="Y13" s="3219">
        <f>+'Maj Techno Summ'!Y5</f>
        <v>69.500000000000014</v>
      </c>
      <c r="Z13" s="3220">
        <f>+'Maj Techno Summ'!Z5</f>
        <v>69.834649220880394</v>
      </c>
      <c r="AA13" s="3221">
        <f>+'Maj Techno Summ'!AA5</f>
        <v>69.500000000000014</v>
      </c>
      <c r="AB13" s="3222">
        <f>+'Maj Techno Summ'!AB5</f>
        <v>69.752423468789146</v>
      </c>
      <c r="AC13" s="3217">
        <f>+'Maj Techno Summ'!AC5</f>
        <v>69.500000000000014</v>
      </c>
      <c r="AD13" s="3217">
        <f>+'Maj Techno Summ'!AD5</f>
        <v>69.7</v>
      </c>
      <c r="AE13" s="3218">
        <f>+'Maj Techno Summ'!AE5</f>
        <v>69.500000000000014</v>
      </c>
      <c r="AF13" s="3218">
        <f>+'Maj Techno Summ'!AF5</f>
        <v>69.744869575366778</v>
      </c>
      <c r="AG13" s="3217">
        <f>+'Maj Techno Summ'!AG5</f>
        <v>69.500000000000014</v>
      </c>
      <c r="AH13" s="3217">
        <f>+'Maj Techno Summ'!AH5</f>
        <v>69.5</v>
      </c>
      <c r="AI13" s="3218">
        <f>+'Maj Techno Summ'!AI5</f>
        <v>69.500000000000014</v>
      </c>
      <c r="AJ13" s="3218">
        <f>+'Maj Techno Summ'!AJ5</f>
        <v>69.714504517005409</v>
      </c>
      <c r="AK13" s="3217">
        <f>+'Maj Techno Summ'!AK5</f>
        <v>69.500000000000014</v>
      </c>
      <c r="AL13" s="3217">
        <f>+'Maj Techno Summ'!AL5</f>
        <v>69.5</v>
      </c>
      <c r="AM13" s="3219">
        <f>+'Maj Techno Summ'!AM5</f>
        <v>69.500000000000014</v>
      </c>
      <c r="AN13" s="3220">
        <f>+'Maj Techno Summ'!AN5</f>
        <v>69.56670356431259</v>
      </c>
      <c r="AO13" s="3218">
        <f>+'Maj Techno Summ'!AO5</f>
        <v>69.500000000000014</v>
      </c>
      <c r="AP13" s="3218">
        <f>+'Maj Techno Summ'!AP5</f>
        <v>69.690123754072218</v>
      </c>
      <c r="AQ13" s="3217">
        <f>+'Maj Techno Summ'!AQ5</f>
        <v>69.500000000000014</v>
      </c>
      <c r="AR13" s="3217">
        <f>+'Maj Techno Summ'!AR5</f>
        <v>69.5</v>
      </c>
      <c r="AS13" s="3218">
        <f>+'Maj Techno Summ'!AS5</f>
        <v>69.500000000000014</v>
      </c>
      <c r="AT13" s="3218">
        <f>+'Maj Techno Summ'!AT5</f>
        <v>69.670873446384761</v>
      </c>
      <c r="AU13" s="3217">
        <f>+'Maj Techno Summ'!AU5</f>
        <v>69.500000000000014</v>
      </c>
      <c r="AV13" s="3217">
        <f>+'Maj Techno Summ'!AV5</f>
        <v>69.5</v>
      </c>
      <c r="AW13" s="3218">
        <f>+'Maj Techno Summ'!AW5</f>
        <v>69.500000000000014</v>
      </c>
      <c r="AX13" s="3218">
        <f>+'Maj Techno Summ'!AX5</f>
        <v>69.656533867958402</v>
      </c>
      <c r="AY13" s="3217">
        <f>+'Maj Techno Summ'!AY5</f>
        <v>69.500000000000014</v>
      </c>
      <c r="AZ13" s="3217">
        <f>+'Maj Techno Summ'!AZ5</f>
        <v>69.499999999999986</v>
      </c>
      <c r="BA13" s="3219">
        <f>+'Maj Techno Summ'!BA5</f>
        <v>69.500000000000014</v>
      </c>
      <c r="BB13" s="3220">
        <f>+'Maj Techno Summ'!BB5</f>
        <v>69.5</v>
      </c>
      <c r="BC13" s="3221">
        <f>+'Maj Techno Summ'!BC5</f>
        <v>69.500000000000014</v>
      </c>
      <c r="BD13" s="3222">
        <f>+'Maj Techno Summ'!BD5</f>
        <v>69.53371754700089</v>
      </c>
      <c r="BE13" s="3218">
        <f>+'Maj Techno Summ'!BE5</f>
        <v>69.500000000000014</v>
      </c>
      <c r="BF13" s="3218">
        <f>+'Maj Techno Summ'!BF5</f>
        <v>69.643146937876907</v>
      </c>
      <c r="BG13" s="2263"/>
      <c r="BH13" s="2263"/>
      <c r="BI13" s="2263"/>
      <c r="BJ13" s="2263"/>
      <c r="BK13" s="2263"/>
      <c r="BL13" s="2263"/>
    </row>
    <row r="14" spans="2:64" x14ac:dyDescent="0.35">
      <c r="B14" s="1352" t="s">
        <v>799</v>
      </c>
      <c r="C14" s="1874" t="s">
        <v>66</v>
      </c>
      <c r="D14" s="5982"/>
      <c r="E14" s="2221">
        <f t="shared" ref="E14:F14" si="40">+E12*100/E13</f>
        <v>133346.12310151875</v>
      </c>
      <c r="F14" s="2221">
        <f t="shared" si="40"/>
        <v>156552.6154964029</v>
      </c>
      <c r="G14" s="2221">
        <f t="shared" ref="G14:H14" si="41">+G12*100/G13</f>
        <v>129488.40927258191</v>
      </c>
      <c r="H14" s="2221">
        <f t="shared" si="41"/>
        <v>87895.789553956813</v>
      </c>
      <c r="I14" s="1959">
        <f t="shared" ref="I14:I19" si="42">E14+G14</f>
        <v>262834.53237410064</v>
      </c>
      <c r="J14" s="1959">
        <f t="shared" ref="J14:J19" si="43">F14+H14</f>
        <v>244448.40505035972</v>
      </c>
      <c r="K14" s="2221">
        <f t="shared" ref="K14:L14" si="44">+K12*100/K13</f>
        <v>155107.91366906473</v>
      </c>
      <c r="L14" s="2221">
        <f t="shared" si="44"/>
        <v>158982.802</v>
      </c>
      <c r="M14" s="3208">
        <f t="shared" ref="M14" si="45">+M12*100/M13</f>
        <v>417942.4460431654</v>
      </c>
      <c r="N14" s="3209">
        <f>F14+H14+L14</f>
        <v>403431.20705035969</v>
      </c>
      <c r="O14" s="2221">
        <f t="shared" ref="O14:P14" si="46">+O12*100/O13</f>
        <v>156954.43645083928</v>
      </c>
      <c r="P14" s="2221">
        <f t="shared" si="46"/>
        <v>173151.20800000007</v>
      </c>
      <c r="Q14" s="1959">
        <f t="shared" ref="Q14:Q19" si="47">M14+O14</f>
        <v>574896.88249400468</v>
      </c>
      <c r="R14" s="1959">
        <f t="shared" ref="R14:R19" si="48">N14+P14</f>
        <v>576582.41505035979</v>
      </c>
      <c r="S14" s="2221">
        <f t="shared" ref="S14:T14" si="49">+S12*100/S13</f>
        <v>156954.43645083928</v>
      </c>
      <c r="T14" s="2221">
        <f t="shared" si="49"/>
        <v>163895.33235714285</v>
      </c>
      <c r="U14" s="1959">
        <f t="shared" ref="U14:U19" si="50">Q14+S14</f>
        <v>731851.31894484395</v>
      </c>
      <c r="V14" s="1959">
        <f t="shared" ref="V14:V19" si="51">R14+T14</f>
        <v>740477.74740750261</v>
      </c>
      <c r="W14" s="2221">
        <f t="shared" ref="W14:X14" si="52">+W12*100/W13</f>
        <v>103501.19904076736</v>
      </c>
      <c r="X14" s="2221">
        <f t="shared" si="52"/>
        <v>168044.3527736004</v>
      </c>
      <c r="Y14" s="3209">
        <f>W14+S14+O14</f>
        <v>417410.07194244594</v>
      </c>
      <c r="Z14" s="3209">
        <f>X14+T14+P14</f>
        <v>505090.89313074329</v>
      </c>
      <c r="AA14" s="3210">
        <f>Y14+M14</f>
        <v>835352.51798561134</v>
      </c>
      <c r="AB14" s="3210">
        <f>Z14+N14</f>
        <v>908522.10018110299</v>
      </c>
      <c r="AC14" s="2221">
        <f t="shared" ref="AC14:AD14" si="53">+AC12*100/AC13</f>
        <v>159200.63948840924</v>
      </c>
      <c r="AD14" s="2221">
        <f t="shared" si="53"/>
        <v>153806.03913916787</v>
      </c>
      <c r="AE14" s="1959">
        <f t="shared" ref="AE14:AE19" si="54">AA14+AC14</f>
        <v>994553.15747402061</v>
      </c>
      <c r="AF14" s="1959">
        <f t="shared" ref="AF14:AF19" si="55">AB14+AD14</f>
        <v>1062328.1393202709</v>
      </c>
      <c r="AG14" s="2221">
        <f t="shared" ref="AG14:AH14" si="56">+AG12*100/AG13</f>
        <v>154302.15827338127</v>
      </c>
      <c r="AH14" s="2221">
        <f t="shared" si="56"/>
        <v>159537.62589928057</v>
      </c>
      <c r="AI14" s="1959">
        <f t="shared" ref="AI14:AI19" si="57">AE14+AG14</f>
        <v>1148855.3157474019</v>
      </c>
      <c r="AJ14" s="1959">
        <f t="shared" ref="AJ14:AJ19" si="58">AF14+AH14</f>
        <v>1221865.7652195515</v>
      </c>
      <c r="AK14" s="2221">
        <f t="shared" ref="AK14:AL14" si="59">+AK12*100/AK13</f>
        <v>159200.63948840924</v>
      </c>
      <c r="AL14" s="2221">
        <f t="shared" si="59"/>
        <v>166950.16820143888</v>
      </c>
      <c r="AM14" s="1028">
        <f t="shared" ref="AM14:AM19" si="60">AC14+AG14+AK14</f>
        <v>472703.43725019973</v>
      </c>
      <c r="AN14" s="1028">
        <f t="shared" ref="AN14:AN19" si="61">AD14+AH14+AL14</f>
        <v>480293.83323988726</v>
      </c>
      <c r="AO14" s="1959">
        <f t="shared" ref="AO14:AO19" si="62">AI14+AK14</f>
        <v>1308055.9552358112</v>
      </c>
      <c r="AP14" s="1959">
        <f t="shared" ref="AP14:AP19" si="63">AJ14+AL14</f>
        <v>1388815.9334209904</v>
      </c>
      <c r="AQ14" s="2221">
        <f t="shared" ref="AQ14:AR14" si="64">+AQ12*100/AQ13</f>
        <v>161649.88009592323</v>
      </c>
      <c r="AR14" s="2221">
        <f t="shared" si="64"/>
        <v>160757.55055251799</v>
      </c>
      <c r="AS14" s="1959">
        <f t="shared" ref="AS14:AS19" si="65">AO14+AQ14</f>
        <v>1469705.8353317345</v>
      </c>
      <c r="AT14" s="1959">
        <f t="shared" ref="AT14:AT19" si="66">AP14+AR14</f>
        <v>1549573.4839735082</v>
      </c>
      <c r="AU14" s="2221">
        <f t="shared" ref="AU14:AV14" si="67">+AU12*100/AU13</f>
        <v>144505.19584332529</v>
      </c>
      <c r="AV14" s="2221">
        <f t="shared" si="67"/>
        <v>147758.55440287769</v>
      </c>
      <c r="AW14" s="1959">
        <f t="shared" ref="AW14:AW19" si="68">AS14+AU14</f>
        <v>1614211.0311750597</v>
      </c>
      <c r="AX14" s="1959">
        <f t="shared" ref="AX14:AX19" si="69">AT14+AV14</f>
        <v>1697332.0383763858</v>
      </c>
      <c r="AY14" s="2221">
        <f t="shared" ref="AY14:AZ14" si="70">+AY12*100/AY13</f>
        <v>161649.88009592323</v>
      </c>
      <c r="AZ14" s="2221">
        <f t="shared" si="70"/>
        <v>161743.13899280579</v>
      </c>
      <c r="BA14" s="3208">
        <f t="shared" ref="BA14:BA19" si="71">AQ14+AU14+AY14</f>
        <v>467804.95603517175</v>
      </c>
      <c r="BB14" s="3208">
        <f t="shared" ref="BB14:BB19" si="72">AR14+AV14+AZ14</f>
        <v>470259.24394820147</v>
      </c>
      <c r="BC14" s="3210">
        <f t="shared" ref="BC14:BC19" si="73">AM14+BA14</f>
        <v>940508.39328537148</v>
      </c>
      <c r="BD14" s="3211">
        <f t="shared" ref="BD14:BD19" si="74">AN14+BB14</f>
        <v>950553.07718808879</v>
      </c>
      <c r="BE14" s="3119">
        <f t="shared" ref="BE14:BE19" si="75">AW14+AY14</f>
        <v>1775860.9112709831</v>
      </c>
      <c r="BF14" s="3119">
        <f t="shared" ref="BF14:BF19" si="76">AX14+AZ14</f>
        <v>1859075.1773691915</v>
      </c>
      <c r="BG14" s="2263"/>
      <c r="BH14" s="2263"/>
      <c r="BI14" s="2263"/>
      <c r="BJ14" s="2263"/>
      <c r="BK14" s="2263"/>
      <c r="BL14" s="2263"/>
    </row>
    <row r="15" spans="2:64" x14ac:dyDescent="0.35">
      <c r="B15" s="1352" t="s">
        <v>800</v>
      </c>
      <c r="C15" s="1874" t="s">
        <v>66</v>
      </c>
      <c r="D15" s="5982"/>
      <c r="E15" s="3120">
        <f>+E14*100/(100-'COKE OVENS'!E197)</f>
        <v>148047.21117077689</v>
      </c>
      <c r="F15" s="2221">
        <f>+F14*100/(100-'COKE OVENS'!F197)</f>
        <v>171262.18482809945</v>
      </c>
      <c r="G15" s="3120">
        <f>+G14*100/(100-'COKE OVENS'!G197)</f>
        <v>143764.19370776275</v>
      </c>
      <c r="H15" s="2221">
        <f>+H14*100/(100-'COKE OVENS'!H197)</f>
        <v>96579.983100759986</v>
      </c>
      <c r="I15" s="1959">
        <f t="shared" si="42"/>
        <v>291811.40487853962</v>
      </c>
      <c r="J15" s="1959">
        <f t="shared" si="43"/>
        <v>267842.16792885942</v>
      </c>
      <c r="K15" s="2221">
        <f>+K14*100/(100-'COKE OVENS'!K197)</f>
        <v>172208.18659827329</v>
      </c>
      <c r="L15" s="2221" t="e">
        <f>+L14*100/(100-'COKE OVENS'!L197)</f>
        <v>#REF!</v>
      </c>
      <c r="M15" s="3208">
        <f>+M14*100/(100-'COKE OVENS'!M197)</f>
        <v>464019.59147681296</v>
      </c>
      <c r="N15" s="3209" t="e">
        <f t="shared" ref="N15:N19" si="77">F15+H15+L15</f>
        <v>#REF!</v>
      </c>
      <c r="O15" s="2221">
        <f>+O14*100/(100-'COKE OVENS'!O197)</f>
        <v>174258.28405777647</v>
      </c>
      <c r="P15" s="2221" t="e">
        <f>+P14*100/(100-'COKE OVENS'!P197)</f>
        <v>#REF!</v>
      </c>
      <c r="Q15" s="1959">
        <f t="shared" si="47"/>
        <v>638277.8755345894</v>
      </c>
      <c r="R15" s="1959" t="e">
        <f t="shared" si="48"/>
        <v>#REF!</v>
      </c>
      <c r="S15" s="2221">
        <f>+S14*100/(100-'COKE OVENS'!S197)</f>
        <v>174258.28405777647</v>
      </c>
      <c r="T15" s="2221" t="e">
        <f>+T14*100/(100-'COKE OVENS'!T197)</f>
        <v>#REF!</v>
      </c>
      <c r="U15" s="1959">
        <f t="shared" si="50"/>
        <v>812536.15959236585</v>
      </c>
      <c r="V15" s="1959" t="e">
        <f t="shared" si="51"/>
        <v>#REF!</v>
      </c>
      <c r="W15" s="2221">
        <f>+W14*100/(100-'COKE OVENS'!W197)</f>
        <v>114911.95630150702</v>
      </c>
      <c r="X15" s="2221" t="e">
        <f>+X14*100/(100-'COKE OVENS'!X197)</f>
        <v>#REF!</v>
      </c>
      <c r="Y15" s="3209">
        <f t="shared" ref="Y15:Y19" si="78">W15+S15+O15</f>
        <v>463428.52441705996</v>
      </c>
      <c r="Z15" s="3209" t="e">
        <f t="shared" ref="Z15:Z19" si="79">X15+T15+P15</f>
        <v>#REF!</v>
      </c>
      <c r="AA15" s="3210">
        <f t="shared" ref="AA15:AA19" si="80">Y15+M15</f>
        <v>927448.11589387292</v>
      </c>
      <c r="AB15" s="3210" t="e">
        <f t="shared" ref="AB15:AB19" si="81">Z15+N15</f>
        <v>#REF!</v>
      </c>
      <c r="AC15" s="2221">
        <f>+AC14*100/(100-'COKE OVENS'!AC197)</f>
        <v>176752.12555613328</v>
      </c>
      <c r="AD15" s="2221" t="e">
        <f>+AD14*100/(100-'COKE OVENS'!AD197)</f>
        <v>#REF!</v>
      </c>
      <c r="AE15" s="1959">
        <f t="shared" si="54"/>
        <v>1104200.2414500061</v>
      </c>
      <c r="AF15" s="1959" t="e">
        <f t="shared" si="55"/>
        <v>#REF!</v>
      </c>
      <c r="AG15" s="2221">
        <f>+AG14*100/(100-'COKE OVENS'!AG197)</f>
        <v>171313.59861594459</v>
      </c>
      <c r="AH15" s="2221" t="e">
        <f>+AH14*100/(100-'COKE OVENS'!AH197)</f>
        <v>#REF!</v>
      </c>
      <c r="AI15" s="1959">
        <f t="shared" si="57"/>
        <v>1275513.8400659508</v>
      </c>
      <c r="AJ15" s="1959" t="e">
        <f t="shared" si="58"/>
        <v>#REF!</v>
      </c>
      <c r="AK15" s="2221">
        <f>+AK14*100/(100-'COKE OVENS'!AK197)</f>
        <v>176752.12555613328</v>
      </c>
      <c r="AL15" s="2221" t="e">
        <f>+AL14*100/(100-'COKE OVENS'!AL197)</f>
        <v>#REF!</v>
      </c>
      <c r="AM15" s="1028">
        <f t="shared" si="60"/>
        <v>524817.84972821106</v>
      </c>
      <c r="AN15" s="1028" t="e">
        <f t="shared" si="61"/>
        <v>#REF!</v>
      </c>
      <c r="AO15" s="1959">
        <f t="shared" si="62"/>
        <v>1452265.965622084</v>
      </c>
      <c r="AP15" s="1959" t="e">
        <f t="shared" si="63"/>
        <v>#REF!</v>
      </c>
      <c r="AQ15" s="2221">
        <f>+AQ14*100/(100-'COKE OVENS'!AQ197)</f>
        <v>179471.38902622764</v>
      </c>
      <c r="AR15" s="2221" t="e">
        <f>+AR14*100/(100-'COKE OVENS'!AR197)</f>
        <v>#REF!</v>
      </c>
      <c r="AS15" s="1959">
        <f t="shared" si="65"/>
        <v>1631737.3546483116</v>
      </c>
      <c r="AT15" s="1959" t="e">
        <f t="shared" si="66"/>
        <v>#REF!</v>
      </c>
      <c r="AU15" s="2221">
        <f>+AU14*100/(100-'COKE OVENS'!AU197)</f>
        <v>160436.54473556712</v>
      </c>
      <c r="AV15" s="2221" t="e">
        <f>+AV14*100/(100-'COKE OVENS'!AV197)</f>
        <v>#REF!</v>
      </c>
      <c r="AW15" s="1959">
        <f t="shared" si="68"/>
        <v>1792173.8993838788</v>
      </c>
      <c r="AX15" s="1959" t="e">
        <f t="shared" si="69"/>
        <v>#REF!</v>
      </c>
      <c r="AY15" s="2221">
        <f>+AY14*100/(100-'COKE OVENS'!AY197)</f>
        <v>179471.38902622764</v>
      </c>
      <c r="AZ15" s="2221" t="e">
        <f>+AZ14*100/(100-'COKE OVENS'!AZ197)</f>
        <v>#REF!</v>
      </c>
      <c r="BA15" s="3208">
        <f t="shared" si="71"/>
        <v>519379.3227880224</v>
      </c>
      <c r="BB15" s="3208" t="e">
        <f t="shared" si="72"/>
        <v>#REF!</v>
      </c>
      <c r="BC15" s="3210">
        <f t="shared" si="73"/>
        <v>1044197.1725162335</v>
      </c>
      <c r="BD15" s="3211" t="e">
        <f t="shared" si="74"/>
        <v>#REF!</v>
      </c>
      <c r="BE15" s="3119">
        <f t="shared" si="75"/>
        <v>1971645.2884101064</v>
      </c>
      <c r="BF15" s="3119" t="e">
        <f t="shared" si="76"/>
        <v>#REF!</v>
      </c>
      <c r="BG15" s="2263"/>
      <c r="BH15" s="2263"/>
      <c r="BI15" s="2263"/>
      <c r="BJ15" s="2263"/>
      <c r="BK15" s="2263"/>
      <c r="BL15" s="2263"/>
    </row>
    <row r="16" spans="2:64" x14ac:dyDescent="0.35">
      <c r="B16" s="1352" t="s">
        <v>1334</v>
      </c>
      <c r="C16" s="1874" t="s">
        <v>66</v>
      </c>
      <c r="D16" s="5982"/>
      <c r="E16" s="2221">
        <f>+E15*100/(100-'COKE OVENS'!E199)</f>
        <v>151843.29350848912</v>
      </c>
      <c r="F16" s="2221">
        <f>+F15*100/(100-'COKE OVENS'!F199)</f>
        <v>175653.52290061483</v>
      </c>
      <c r="G16" s="2221">
        <f>+G15*100/(100-'COKE OVENS'!G199)</f>
        <v>147450.45508488486</v>
      </c>
      <c r="H16" s="2221">
        <f>+H15*100/(100-'COKE OVENS'!H199)</f>
        <v>99056.392923856387</v>
      </c>
      <c r="I16" s="1959">
        <f t="shared" si="42"/>
        <v>299293.74859337398</v>
      </c>
      <c r="J16" s="1959">
        <f t="shared" si="43"/>
        <v>274709.91582447122</v>
      </c>
      <c r="K16" s="2221">
        <f>+K15*100/(100-'COKE OVENS'!K199)</f>
        <v>176623.78112643416</v>
      </c>
      <c r="L16" s="2221" t="e">
        <f>+L15*100/(100-'COKE OVENS'!L199)</f>
        <v>#REF!</v>
      </c>
      <c r="M16" s="3208">
        <f>+M15*100/(100-'COKE OVENS'!M199)</f>
        <v>475917.52971980814</v>
      </c>
      <c r="N16" s="3209" t="e">
        <f t="shared" si="77"/>
        <v>#REF!</v>
      </c>
      <c r="O16" s="2221">
        <f>+O15*100/(100-'COKE OVENS'!O199)</f>
        <v>178726.44518746305</v>
      </c>
      <c r="P16" s="2221" t="e">
        <f>+P15*100/(100-'COKE OVENS'!P199)</f>
        <v>#REF!</v>
      </c>
      <c r="Q16" s="1959">
        <f t="shared" si="47"/>
        <v>654643.97490727121</v>
      </c>
      <c r="R16" s="1959" t="e">
        <f t="shared" si="48"/>
        <v>#REF!</v>
      </c>
      <c r="S16" s="2221">
        <f>+S15*100/(100-'COKE OVENS'!S199)</f>
        <v>178726.44518746305</v>
      </c>
      <c r="T16" s="2221" t="e">
        <f>+T15*100/(100-'COKE OVENS'!T199)</f>
        <v>#REF!</v>
      </c>
      <c r="U16" s="1959">
        <f t="shared" si="50"/>
        <v>833370.42009473429</v>
      </c>
      <c r="V16" s="1959" t="e">
        <f t="shared" si="51"/>
        <v>#REF!</v>
      </c>
      <c r="W16" s="2221">
        <f>+W15*100/(100-'COKE OVENS'!W199)</f>
        <v>117858.41671949437</v>
      </c>
      <c r="X16" s="2221" t="e">
        <f>+X15*100/(100-'COKE OVENS'!X199)</f>
        <v>#REF!</v>
      </c>
      <c r="Y16" s="3209">
        <f t="shared" si="78"/>
        <v>475311.30709442042</v>
      </c>
      <c r="Z16" s="3209" t="e">
        <f t="shared" si="79"/>
        <v>#REF!</v>
      </c>
      <c r="AA16" s="3210">
        <f t="shared" si="80"/>
        <v>951228.83681422856</v>
      </c>
      <c r="AB16" s="3210" t="e">
        <f t="shared" si="81"/>
        <v>#REF!</v>
      </c>
      <c r="AC16" s="2221">
        <f>+AC15*100/(100-'COKE OVENS'!AC199)</f>
        <v>181284.23133962386</v>
      </c>
      <c r="AD16" s="2221" t="e">
        <f>+AD15*100/(100-'COKE OVENS'!AD199)</f>
        <v>#REF!</v>
      </c>
      <c r="AE16" s="1959">
        <f t="shared" si="54"/>
        <v>1132513.0681538524</v>
      </c>
      <c r="AF16" s="1959" t="e">
        <f t="shared" si="55"/>
        <v>#REF!</v>
      </c>
      <c r="AG16" s="2221">
        <f>+AG15*100/(100-'COKE OVENS'!AG199)</f>
        <v>175706.25499071239</v>
      </c>
      <c r="AH16" s="2221" t="e">
        <f>+AH15*100/(100-'COKE OVENS'!AH199)</f>
        <v>#REF!</v>
      </c>
      <c r="AI16" s="1959">
        <f t="shared" si="57"/>
        <v>1308219.3231445649</v>
      </c>
      <c r="AJ16" s="1959" t="e">
        <f t="shared" si="58"/>
        <v>#REF!</v>
      </c>
      <c r="AK16" s="2221">
        <f>+AK15*100/(100-'COKE OVENS'!AK199)</f>
        <v>181284.23133962386</v>
      </c>
      <c r="AL16" s="2221" t="e">
        <f>+AL15*100/(100-'COKE OVENS'!AL199)</f>
        <v>#REF!</v>
      </c>
      <c r="AM16" s="1028">
        <f t="shared" si="60"/>
        <v>538274.71766996011</v>
      </c>
      <c r="AN16" s="1028" t="e">
        <f t="shared" si="61"/>
        <v>#REF!</v>
      </c>
      <c r="AO16" s="1959">
        <f t="shared" si="62"/>
        <v>1489503.5544841888</v>
      </c>
      <c r="AP16" s="1959" t="e">
        <f t="shared" si="63"/>
        <v>#REF!</v>
      </c>
      <c r="AQ16" s="2221">
        <f>+AQ15*100/(100-'COKE OVENS'!AQ199)</f>
        <v>184073.21951407962</v>
      </c>
      <c r="AR16" s="2221" t="e">
        <f>+AR15*100/(100-'COKE OVENS'!AR199)</f>
        <v>#REF!</v>
      </c>
      <c r="AS16" s="1959">
        <f t="shared" si="65"/>
        <v>1673576.7739982684</v>
      </c>
      <c r="AT16" s="1959" t="e">
        <f t="shared" si="66"/>
        <v>#REF!</v>
      </c>
      <c r="AU16" s="2221">
        <f>+AU15*100/(100-'COKE OVENS'!AU199)</f>
        <v>164550.30229288936</v>
      </c>
      <c r="AV16" s="2221" t="e">
        <f>+AV15*100/(100-'COKE OVENS'!AV199)</f>
        <v>#REF!</v>
      </c>
      <c r="AW16" s="1959">
        <f t="shared" si="68"/>
        <v>1838127.0762911579</v>
      </c>
      <c r="AX16" s="1959" t="e">
        <f t="shared" si="69"/>
        <v>#REF!</v>
      </c>
      <c r="AY16" s="2221">
        <f>+AY15*100/(100-'COKE OVENS'!AY199)</f>
        <v>184073.21951407962</v>
      </c>
      <c r="AZ16" s="2221" t="e">
        <f>+AZ15*100/(100-'COKE OVENS'!AZ199)</f>
        <v>#REF!</v>
      </c>
      <c r="BA16" s="3208">
        <f t="shared" si="71"/>
        <v>532696.74132104858</v>
      </c>
      <c r="BB16" s="3208" t="e">
        <f t="shared" si="72"/>
        <v>#REF!</v>
      </c>
      <c r="BC16" s="3210">
        <f t="shared" si="73"/>
        <v>1070971.4589910088</v>
      </c>
      <c r="BD16" s="3211" t="e">
        <f t="shared" si="74"/>
        <v>#REF!</v>
      </c>
      <c r="BE16" s="3119">
        <f t="shared" si="75"/>
        <v>2022200.2958052375</v>
      </c>
      <c r="BF16" s="3119" t="e">
        <f t="shared" si="76"/>
        <v>#REF!</v>
      </c>
      <c r="BG16" s="2263"/>
      <c r="BH16" s="2263"/>
      <c r="BI16" s="2263"/>
      <c r="BJ16" s="2263"/>
      <c r="BK16" s="2263"/>
      <c r="BL16" s="2263"/>
    </row>
    <row r="17" spans="2:64" x14ac:dyDescent="0.35">
      <c r="B17" s="1352" t="s">
        <v>916</v>
      </c>
      <c r="C17" s="1874" t="s">
        <v>66</v>
      </c>
      <c r="D17" s="5982"/>
      <c r="E17" s="3120">
        <f>+'B-FCE'!E25/((100-$C$24)/100)</f>
        <v>28635.505717775064</v>
      </c>
      <c r="F17" s="2221">
        <f>+'B-FCE'!F102</f>
        <v>32598.357857142852</v>
      </c>
      <c r="G17" s="3120">
        <f>+'B-FCE'!G25/((100-$C$24)/100)</f>
        <v>29066.281780837129</v>
      </c>
      <c r="H17" s="2221">
        <f>+'B-FCE'!H102</f>
        <v>11327.228241758239</v>
      </c>
      <c r="I17" s="1959">
        <f t="shared" si="42"/>
        <v>57701.78749861219</v>
      </c>
      <c r="J17" s="1959">
        <f t="shared" si="43"/>
        <v>43925.586098901091</v>
      </c>
      <c r="K17" s="3120">
        <f>+'B-FCE'!K25/((100-$C$24)/100)</f>
        <v>41967.358720994787</v>
      </c>
      <c r="L17" s="2221">
        <f>+'B-FCE'!L102</f>
        <v>44610.065274725261</v>
      </c>
      <c r="M17" s="3208">
        <f>+'B-FCE'!M25/((100-$C$24)/100)</f>
        <v>99669.146219606977</v>
      </c>
      <c r="N17" s="3209">
        <f t="shared" si="77"/>
        <v>88535.651373626344</v>
      </c>
      <c r="O17" s="3120">
        <f>+'B-FCE'!O25/((100-$C$24)/100)</f>
        <v>42466.970134339957</v>
      </c>
      <c r="P17" s="2221">
        <f>+'B-FCE'!P102</f>
        <v>42070.860109890105</v>
      </c>
      <c r="Q17" s="1959">
        <f t="shared" si="47"/>
        <v>142136.11635394694</v>
      </c>
      <c r="R17" s="1959">
        <f t="shared" si="48"/>
        <v>130606.51148351646</v>
      </c>
      <c r="S17" s="3120">
        <f>+'B-FCE'!S25/((100-$C$24)/100)</f>
        <v>42466.970134339957</v>
      </c>
      <c r="T17" s="2221">
        <f>+'B-FCE'!T102</f>
        <v>39478.498549450553</v>
      </c>
      <c r="U17" s="1959">
        <f t="shared" si="50"/>
        <v>184603.08648828691</v>
      </c>
      <c r="V17" s="1959">
        <f t="shared" si="51"/>
        <v>170085.01003296702</v>
      </c>
      <c r="W17" s="3120">
        <f>+'B-FCE'!W25/((100-$C$24)/100)</f>
        <v>18807.594093482847</v>
      </c>
      <c r="X17" s="2221">
        <f>+'B-FCE'!X102</f>
        <v>34369.631934065947</v>
      </c>
      <c r="Y17" s="3209">
        <f t="shared" si="78"/>
        <v>103741.53436216275</v>
      </c>
      <c r="Z17" s="3209">
        <f t="shared" si="79"/>
        <v>115918.9905934066</v>
      </c>
      <c r="AA17" s="3210">
        <f t="shared" si="80"/>
        <v>203410.68058176973</v>
      </c>
      <c r="AB17" s="3210">
        <f t="shared" si="81"/>
        <v>204454.64196703295</v>
      </c>
      <c r="AC17" s="3120">
        <f>+'B-FCE'!AC25/((100-$C$24)/100)</f>
        <v>43876.984567558568</v>
      </c>
      <c r="AD17" s="2221">
        <f>+'B-FCE'!AD102</f>
        <v>27983.437582417573</v>
      </c>
      <c r="AE17" s="1959">
        <f t="shared" si="54"/>
        <v>247287.6651493283</v>
      </c>
      <c r="AF17" s="1959">
        <f t="shared" si="55"/>
        <v>232438.07954945051</v>
      </c>
      <c r="AG17" s="3120">
        <f>+'B-FCE'!AG25/((100-$C$24)/100)</f>
        <v>42526.923503941383</v>
      </c>
      <c r="AH17" s="2221">
        <f>+'B-FCE'!AH102</f>
        <v>36662.43483516483</v>
      </c>
      <c r="AI17" s="1959">
        <f t="shared" si="57"/>
        <v>289814.58865326969</v>
      </c>
      <c r="AJ17" s="1959">
        <f t="shared" si="58"/>
        <v>269100.51438461535</v>
      </c>
      <c r="AK17" s="3120">
        <f>+'B-FCE'!AK25/((100-$C$24)/100)</f>
        <v>43876.984567558568</v>
      </c>
      <c r="AL17" s="2221">
        <f>+'B-FCE'!AL102</f>
        <v>36176.249340659349</v>
      </c>
      <c r="AM17" s="1028">
        <f t="shared" si="60"/>
        <v>130280.89263905853</v>
      </c>
      <c r="AN17" s="1028">
        <f t="shared" si="61"/>
        <v>100822.12175824176</v>
      </c>
      <c r="AO17" s="1959">
        <f t="shared" si="62"/>
        <v>333691.57322082826</v>
      </c>
      <c r="AP17" s="1959">
        <f t="shared" si="63"/>
        <v>305276.76372527471</v>
      </c>
      <c r="AQ17" s="3120">
        <f>+'B-FCE'!AQ25/((100-$C$24)/100)</f>
        <v>44552.015099367163</v>
      </c>
      <c r="AR17" s="2221">
        <f>+'B-FCE'!AR102</f>
        <v>34931.323340659335</v>
      </c>
      <c r="AS17" s="1959">
        <f t="shared" si="65"/>
        <v>378243.58832019544</v>
      </c>
      <c r="AT17" s="1959">
        <f t="shared" si="66"/>
        <v>340208.08706593403</v>
      </c>
      <c r="AU17" s="3120">
        <f>+'B-FCE'!AU25/((100-$C$24)/100)</f>
        <v>39826.801376707008</v>
      </c>
      <c r="AV17" s="2221">
        <f>+'B-FCE'!AV102</f>
        <v>19267.00813186813</v>
      </c>
      <c r="AW17" s="1959">
        <f t="shared" si="68"/>
        <v>418070.38969690248</v>
      </c>
      <c r="AX17" s="1959">
        <f t="shared" si="69"/>
        <v>359475.09519780218</v>
      </c>
      <c r="AY17" s="3120">
        <f>+'B-FCE'!AY25/((100-$C$24)/100)</f>
        <v>44552.015099367163</v>
      </c>
      <c r="AZ17" s="2221">
        <f>+'B-FCE'!AZ102</f>
        <v>37482.176813186823</v>
      </c>
      <c r="BA17" s="3208">
        <f t="shared" si="71"/>
        <v>128930.83157544132</v>
      </c>
      <c r="BB17" s="3208">
        <f t="shared" si="72"/>
        <v>91680.508285714284</v>
      </c>
      <c r="BC17" s="3210">
        <f t="shared" si="73"/>
        <v>259211.72421449985</v>
      </c>
      <c r="BD17" s="3211">
        <f t="shared" si="74"/>
        <v>192502.63004395604</v>
      </c>
      <c r="BE17" s="3119">
        <f t="shared" si="75"/>
        <v>462622.40479626966</v>
      </c>
      <c r="BF17" s="3119">
        <f t="shared" si="76"/>
        <v>396957.27201098902</v>
      </c>
      <c r="BG17" s="2263"/>
      <c r="BH17" s="2263"/>
      <c r="BI17" s="2263"/>
      <c r="BJ17" s="2263"/>
      <c r="BK17" s="2263"/>
      <c r="BL17" s="2263"/>
    </row>
    <row r="18" spans="2:64" x14ac:dyDescent="0.35">
      <c r="B18" s="1352" t="s">
        <v>1333</v>
      </c>
      <c r="C18" s="1874" t="s">
        <v>66</v>
      </c>
      <c r="D18" s="5982"/>
      <c r="E18" s="2221">
        <f t="shared" ref="E18:F18" si="82">+E17/((100-$C$25)/100)</f>
        <v>29369.749454128272</v>
      </c>
      <c r="F18" s="2221">
        <f t="shared" si="82"/>
        <v>33434.213186813184</v>
      </c>
      <c r="G18" s="2221">
        <f t="shared" ref="G18:H18" si="83">+G17/((100-$C$25)/100)</f>
        <v>29811.571057268851</v>
      </c>
      <c r="H18" s="2221">
        <f t="shared" si="83"/>
        <v>11617.669991546913</v>
      </c>
      <c r="I18" s="1959">
        <f t="shared" si="42"/>
        <v>59181.32051139712</v>
      </c>
      <c r="J18" s="1959">
        <f t="shared" si="43"/>
        <v>45051.883178360098</v>
      </c>
      <c r="K18" s="2221">
        <f t="shared" ref="K18:L18" si="84">+K17/((100-$C$25)/100)</f>
        <v>43043.444842045938</v>
      </c>
      <c r="L18" s="2221">
        <f t="shared" si="84"/>
        <v>45753.91310228232</v>
      </c>
      <c r="M18" s="3208">
        <f t="shared" ref="M18" si="85">+M17/((100-$C$25)/100)</f>
        <v>102224.76535344306</v>
      </c>
      <c r="N18" s="3209">
        <f t="shared" si="77"/>
        <v>90805.796280642418</v>
      </c>
      <c r="O18" s="2221">
        <f t="shared" ref="O18:P18" si="86">+O17/((100-$C$25)/100)</f>
        <v>43555.866804451238</v>
      </c>
      <c r="P18" s="2221">
        <f t="shared" si="86"/>
        <v>43149.600112707798</v>
      </c>
      <c r="Q18" s="1959">
        <f t="shared" si="47"/>
        <v>145780.63215789429</v>
      </c>
      <c r="R18" s="1959">
        <f t="shared" si="48"/>
        <v>133955.39639335021</v>
      </c>
      <c r="S18" s="2221">
        <f t="shared" ref="S18:T18" si="87">+S17/((100-$C$25)/100)</f>
        <v>43555.866804451238</v>
      </c>
      <c r="T18" s="2221">
        <f t="shared" si="87"/>
        <v>40490.767743026212</v>
      </c>
      <c r="U18" s="1959">
        <f t="shared" si="50"/>
        <v>189336.49896234553</v>
      </c>
      <c r="V18" s="1959">
        <f t="shared" si="51"/>
        <v>174446.16413637641</v>
      </c>
      <c r="W18" s="2221">
        <f t="shared" ref="W18:X18" si="88">+W17/((100-$C$25)/100)</f>
        <v>19289.840095879845</v>
      </c>
      <c r="X18" s="2221">
        <f t="shared" si="88"/>
        <v>35250.904547759943</v>
      </c>
      <c r="Y18" s="3209">
        <f t="shared" si="78"/>
        <v>106401.57370478232</v>
      </c>
      <c r="Z18" s="3209">
        <f t="shared" si="79"/>
        <v>118891.27240349396</v>
      </c>
      <c r="AA18" s="3210">
        <f t="shared" si="80"/>
        <v>208626.33905822539</v>
      </c>
      <c r="AB18" s="3210">
        <f t="shared" si="81"/>
        <v>209697.06868413638</v>
      </c>
      <c r="AC18" s="2221">
        <f t="shared" ref="AC18:AD18" si="89">+AC17/((100-$C$25)/100)</f>
        <v>45002.035453906225</v>
      </c>
      <c r="AD18" s="2221">
        <f t="shared" si="89"/>
        <v>28700.961622992385</v>
      </c>
      <c r="AE18" s="1959">
        <f t="shared" si="54"/>
        <v>253628.37451213162</v>
      </c>
      <c r="AF18" s="1959">
        <f t="shared" si="55"/>
        <v>238398.03030712876</v>
      </c>
      <c r="AG18" s="2221">
        <f t="shared" ref="AG18:AH18" si="90">+AG17/((100-$C$25)/100)</f>
        <v>43617.357439939879</v>
      </c>
      <c r="AH18" s="2221">
        <f t="shared" si="90"/>
        <v>37602.497266835722</v>
      </c>
      <c r="AI18" s="1959">
        <f t="shared" si="57"/>
        <v>297245.73195207148</v>
      </c>
      <c r="AJ18" s="1959">
        <f t="shared" si="58"/>
        <v>276000.5275739645</v>
      </c>
      <c r="AK18" s="2221">
        <f t="shared" ref="AK18:AL18" si="91">+AK17/((100-$C$25)/100)</f>
        <v>45002.035453906225</v>
      </c>
      <c r="AL18" s="2221">
        <f t="shared" si="91"/>
        <v>37103.84547759933</v>
      </c>
      <c r="AM18" s="1028">
        <f t="shared" si="60"/>
        <v>133621.42834775231</v>
      </c>
      <c r="AN18" s="1028">
        <f t="shared" si="61"/>
        <v>103407.30436742744</v>
      </c>
      <c r="AO18" s="1959">
        <f t="shared" si="62"/>
        <v>342247.76740597771</v>
      </c>
      <c r="AP18" s="1959">
        <f t="shared" si="63"/>
        <v>313104.37305156386</v>
      </c>
      <c r="AQ18" s="2221">
        <f t="shared" ref="AQ18:AR18" si="92">+AQ17/((100-$C$25)/100)</f>
        <v>45694.374460889398</v>
      </c>
      <c r="AR18" s="2221">
        <f t="shared" si="92"/>
        <v>35826.998298112143</v>
      </c>
      <c r="AS18" s="1959">
        <f t="shared" si="65"/>
        <v>387942.14186686708</v>
      </c>
      <c r="AT18" s="1959">
        <f t="shared" si="66"/>
        <v>348931.37134967599</v>
      </c>
      <c r="AU18" s="2221">
        <f t="shared" ref="AU18:AV18" si="93">+AU17/((100-$C$25)/100)</f>
        <v>40848.001412007186</v>
      </c>
      <c r="AV18" s="2221">
        <f t="shared" si="93"/>
        <v>19761.033981403209</v>
      </c>
      <c r="AW18" s="1959">
        <f t="shared" si="68"/>
        <v>428790.14327887428</v>
      </c>
      <c r="AX18" s="1959">
        <f t="shared" si="69"/>
        <v>368692.40533107921</v>
      </c>
      <c r="AY18" s="2221">
        <f t="shared" ref="AY18:AZ18" si="94">+AY17/((100-$C$25)/100)</f>
        <v>45694.374460889398</v>
      </c>
      <c r="AZ18" s="2221">
        <f t="shared" si="94"/>
        <v>38443.258269935206</v>
      </c>
      <c r="BA18" s="3208">
        <f t="shared" si="71"/>
        <v>132236.75033378598</v>
      </c>
      <c r="BB18" s="3208">
        <f t="shared" si="72"/>
        <v>94031.290549450554</v>
      </c>
      <c r="BC18" s="3210">
        <f t="shared" si="73"/>
        <v>265858.17868153832</v>
      </c>
      <c r="BD18" s="3211">
        <f t="shared" si="74"/>
        <v>197438.59491687798</v>
      </c>
      <c r="BE18" s="3119">
        <f t="shared" si="75"/>
        <v>474484.51773976366</v>
      </c>
      <c r="BF18" s="3119">
        <f t="shared" si="76"/>
        <v>407135.66360101441</v>
      </c>
      <c r="BG18" s="2263"/>
      <c r="BH18" s="2263"/>
      <c r="BI18" s="2263"/>
      <c r="BJ18" s="2263"/>
      <c r="BK18" s="2263"/>
      <c r="BL18" s="2263"/>
    </row>
    <row r="19" spans="2:64" ht="18.600000000000001" thickBot="1" x14ac:dyDescent="0.4">
      <c r="B19" s="1352" t="s">
        <v>917</v>
      </c>
      <c r="C19" s="1874" t="s">
        <v>66</v>
      </c>
      <c r="D19" s="5982"/>
      <c r="E19" s="3223">
        <f t="shared" ref="E19:F19" si="95">+E16+E18</f>
        <v>181213.04296261739</v>
      </c>
      <c r="F19" s="3223">
        <f t="shared" si="95"/>
        <v>209087.736087428</v>
      </c>
      <c r="G19" s="3223">
        <f t="shared" ref="G19:H19" si="96">+G16+G18</f>
        <v>177262.02614215371</v>
      </c>
      <c r="H19" s="3223">
        <f t="shared" si="96"/>
        <v>110674.06291540329</v>
      </c>
      <c r="I19" s="1959">
        <f t="shared" si="42"/>
        <v>358475.06910477113</v>
      </c>
      <c r="J19" s="1959">
        <f t="shared" si="43"/>
        <v>319761.79900283128</v>
      </c>
      <c r="K19" s="3223">
        <f t="shared" ref="K19:L19" si="97">+K16+K18</f>
        <v>219667.22596848011</v>
      </c>
      <c r="L19" s="3223" t="e">
        <f t="shared" si="97"/>
        <v>#REF!</v>
      </c>
      <c r="M19" s="3224">
        <f t="shared" ref="M19" si="98">+M16+M18</f>
        <v>578142.29507325124</v>
      </c>
      <c r="N19" s="3209" t="e">
        <f t="shared" si="77"/>
        <v>#REF!</v>
      </c>
      <c r="O19" s="3223">
        <f t="shared" ref="O19:P19" si="99">+O16+O18</f>
        <v>222282.31199191429</v>
      </c>
      <c r="P19" s="3223" t="e">
        <f t="shared" si="99"/>
        <v>#REF!</v>
      </c>
      <c r="Q19" s="1959">
        <f t="shared" si="47"/>
        <v>800424.60706516553</v>
      </c>
      <c r="R19" s="1959" t="e">
        <f t="shared" si="48"/>
        <v>#REF!</v>
      </c>
      <c r="S19" s="3223">
        <f t="shared" ref="S19:T19" si="100">+S16+S18</f>
        <v>222282.31199191429</v>
      </c>
      <c r="T19" s="3223" t="e">
        <f t="shared" si="100"/>
        <v>#REF!</v>
      </c>
      <c r="U19" s="1959">
        <f t="shared" si="50"/>
        <v>1022706.9190570798</v>
      </c>
      <c r="V19" s="1959" t="e">
        <f t="shared" si="51"/>
        <v>#REF!</v>
      </c>
      <c r="W19" s="3223">
        <f t="shared" ref="W19:X19" si="101">+W16+W18</f>
        <v>137148.25681537422</v>
      </c>
      <c r="X19" s="3223" t="e">
        <f t="shared" si="101"/>
        <v>#REF!</v>
      </c>
      <c r="Y19" s="3209">
        <f t="shared" si="78"/>
        <v>581712.88079920283</v>
      </c>
      <c r="Z19" s="3209" t="e">
        <f t="shared" si="79"/>
        <v>#REF!</v>
      </c>
      <c r="AA19" s="3210">
        <f t="shared" si="80"/>
        <v>1159855.175872454</v>
      </c>
      <c r="AB19" s="3210" t="e">
        <f t="shared" si="81"/>
        <v>#REF!</v>
      </c>
      <c r="AC19" s="3223">
        <f t="shared" ref="AC19:AD19" si="102">+AC16+AC18</f>
        <v>226286.26679353009</v>
      </c>
      <c r="AD19" s="3223" t="e">
        <f t="shared" si="102"/>
        <v>#REF!</v>
      </c>
      <c r="AE19" s="1959">
        <f t="shared" si="54"/>
        <v>1386141.4426659839</v>
      </c>
      <c r="AF19" s="1959" t="e">
        <f t="shared" si="55"/>
        <v>#REF!</v>
      </c>
      <c r="AG19" s="3223">
        <f t="shared" ref="AG19:AH19" si="103">+AG16+AG18</f>
        <v>219323.61243065225</v>
      </c>
      <c r="AH19" s="3223" t="e">
        <f t="shared" si="103"/>
        <v>#REF!</v>
      </c>
      <c r="AI19" s="1959">
        <f t="shared" si="57"/>
        <v>1605465.0550966361</v>
      </c>
      <c r="AJ19" s="1959" t="e">
        <f t="shared" si="58"/>
        <v>#REF!</v>
      </c>
      <c r="AK19" s="3223">
        <f t="shared" ref="AK19:AL19" si="104">+AK16+AK18</f>
        <v>226286.26679353009</v>
      </c>
      <c r="AL19" s="3223" t="e">
        <f t="shared" si="104"/>
        <v>#REF!</v>
      </c>
      <c r="AM19" s="1028">
        <f t="shared" si="60"/>
        <v>671896.14601771242</v>
      </c>
      <c r="AN19" s="1028" t="e">
        <f t="shared" si="61"/>
        <v>#REF!</v>
      </c>
      <c r="AO19" s="1959">
        <f t="shared" si="62"/>
        <v>1831751.321890166</v>
      </c>
      <c r="AP19" s="1959" t="e">
        <f t="shared" si="63"/>
        <v>#REF!</v>
      </c>
      <c r="AQ19" s="3223">
        <f t="shared" ref="AQ19:AR19" si="105">+AQ16+AQ18</f>
        <v>229767.59397496903</v>
      </c>
      <c r="AR19" s="3223" t="e">
        <f t="shared" si="105"/>
        <v>#REF!</v>
      </c>
      <c r="AS19" s="1959">
        <f t="shared" si="65"/>
        <v>2061518.9158651351</v>
      </c>
      <c r="AT19" s="1959" t="e">
        <f t="shared" si="66"/>
        <v>#REF!</v>
      </c>
      <c r="AU19" s="3223">
        <f t="shared" ref="AU19:AV19" si="106">+AU16+AU18</f>
        <v>205398.30370489653</v>
      </c>
      <c r="AV19" s="3223" t="e">
        <f t="shared" si="106"/>
        <v>#REF!</v>
      </c>
      <c r="AW19" s="1959">
        <f t="shared" si="68"/>
        <v>2266917.2195700319</v>
      </c>
      <c r="AX19" s="1959" t="e">
        <f t="shared" si="69"/>
        <v>#REF!</v>
      </c>
      <c r="AY19" s="3223">
        <f t="shared" ref="AY19:AZ19" si="107">+AY16+AY18</f>
        <v>229767.59397496903</v>
      </c>
      <c r="AZ19" s="3223" t="e">
        <f t="shared" si="107"/>
        <v>#REF!</v>
      </c>
      <c r="BA19" s="3208">
        <f t="shared" si="71"/>
        <v>664933.49165483459</v>
      </c>
      <c r="BB19" s="3208" t="e">
        <f t="shared" si="72"/>
        <v>#REF!</v>
      </c>
      <c r="BC19" s="3210">
        <f t="shared" si="73"/>
        <v>1336829.637672547</v>
      </c>
      <c r="BD19" s="3211" t="e">
        <f t="shared" si="74"/>
        <v>#REF!</v>
      </c>
      <c r="BE19" s="3119">
        <f t="shared" si="75"/>
        <v>2496684.8135450007</v>
      </c>
      <c r="BF19" s="3119" t="e">
        <f t="shared" si="76"/>
        <v>#REF!</v>
      </c>
      <c r="BG19" s="2263"/>
      <c r="BH19" s="2263"/>
      <c r="BI19" s="2263"/>
      <c r="BJ19" s="2263"/>
      <c r="BK19" s="2263"/>
      <c r="BL19" s="2263"/>
    </row>
    <row r="20" spans="2:64" thickBot="1" x14ac:dyDescent="0.35">
      <c r="B20" s="3225" t="s">
        <v>918</v>
      </c>
      <c r="C20" s="3226" t="s">
        <v>240</v>
      </c>
      <c r="D20" s="5983"/>
      <c r="E20" s="3227">
        <f t="shared" ref="E20:AF20" si="108">+E19*1000/E6</f>
        <v>871.21655270489134</v>
      </c>
      <c r="F20" s="3228">
        <f t="shared" si="108"/>
        <v>881.94094102597955</v>
      </c>
      <c r="G20" s="3227">
        <f t="shared" ref="G20:H20" si="109">+G19*1000/G6</f>
        <v>947.92527348745296</v>
      </c>
      <c r="H20" s="3228">
        <f t="shared" si="109"/>
        <v>1000.1442543781549</v>
      </c>
      <c r="I20" s="3229">
        <f t="shared" ref="I20:L20" si="110">+I19*1000/I6</f>
        <v>907.53182051840793</v>
      </c>
      <c r="J20" s="3230">
        <f t="shared" si="110"/>
        <v>919.55624529729766</v>
      </c>
      <c r="K20" s="3227">
        <f t="shared" si="110"/>
        <v>871.69534114476232</v>
      </c>
      <c r="L20" s="3228" t="e">
        <f t="shared" si="110"/>
        <v>#REF!</v>
      </c>
      <c r="M20" s="3231">
        <f t="shared" ref="M20:R20" si="111">+M19*1000/M6</f>
        <v>893.57387182882724</v>
      </c>
      <c r="N20" s="3232" t="e">
        <f t="shared" si="111"/>
        <v>#REF!</v>
      </c>
      <c r="O20" s="3227">
        <f t="shared" si="111"/>
        <v>871.69534114476198</v>
      </c>
      <c r="P20" s="3228" t="e">
        <f t="shared" si="111"/>
        <v>#REF!</v>
      </c>
      <c r="Q20" s="3229">
        <f t="shared" si="111"/>
        <v>887.38869962878664</v>
      </c>
      <c r="R20" s="3230" t="e">
        <f t="shared" si="111"/>
        <v>#REF!</v>
      </c>
      <c r="S20" s="3227">
        <f t="shared" ref="S20:T20" si="112">+S19*1000/S6</f>
        <v>871.69534114476198</v>
      </c>
      <c r="T20" s="3228" t="e">
        <f t="shared" si="112"/>
        <v>#REF!</v>
      </c>
      <c r="U20" s="3229">
        <f t="shared" ref="U20:X20" si="113">+U19*1000/U6</f>
        <v>883.92992139764897</v>
      </c>
      <c r="V20" s="3230" t="e">
        <f t="shared" si="113"/>
        <v>#REF!</v>
      </c>
      <c r="W20" s="3227">
        <f t="shared" si="113"/>
        <v>979.63040582410156</v>
      </c>
      <c r="X20" s="3228" t="e">
        <f t="shared" si="113"/>
        <v>#REF!</v>
      </c>
      <c r="Y20" s="3231">
        <f t="shared" ref="Y20:Z20" si="114">+Y19*1000/Y6</f>
        <v>894.94289353723502</v>
      </c>
      <c r="Z20" s="3232" t="e">
        <f t="shared" si="114"/>
        <v>#REF!</v>
      </c>
      <c r="AA20" s="3233">
        <f t="shared" si="108"/>
        <v>894.25996597721974</v>
      </c>
      <c r="AB20" s="3234" t="e">
        <f t="shared" si="108"/>
        <v>#REF!</v>
      </c>
      <c r="AC20" s="3227">
        <f t="shared" si="108"/>
        <v>870.33179535973102</v>
      </c>
      <c r="AD20" s="3228" t="e">
        <f t="shared" si="108"/>
        <v>#REF!</v>
      </c>
      <c r="AE20" s="3229">
        <f t="shared" si="108"/>
        <v>890.26425347847396</v>
      </c>
      <c r="AF20" s="3230" t="e">
        <f t="shared" si="108"/>
        <v>#REF!</v>
      </c>
      <c r="AG20" s="3227">
        <f t="shared" ref="AG20:AH20" si="115">+AG19*1000/AG6</f>
        <v>870.33179535973125</v>
      </c>
      <c r="AH20" s="3228" t="e">
        <f t="shared" si="115"/>
        <v>#REF!</v>
      </c>
      <c r="AI20" s="3229">
        <f t="shared" ref="AI20:AL20" si="116">+AI19*1000/AI6</f>
        <v>887.48759264601222</v>
      </c>
      <c r="AJ20" s="3230" t="e">
        <f t="shared" si="116"/>
        <v>#REF!</v>
      </c>
      <c r="AK20" s="3227">
        <f t="shared" si="116"/>
        <v>870.33179535973102</v>
      </c>
      <c r="AL20" s="3228" t="e">
        <f t="shared" si="116"/>
        <v>#REF!</v>
      </c>
      <c r="AM20" s="3231">
        <f t="shared" ref="AM20:AR20" si="117">+AM19*1000/AM6</f>
        <v>870.33179535973113</v>
      </c>
      <c r="AN20" s="3232" t="e">
        <f t="shared" si="117"/>
        <v>#REF!</v>
      </c>
      <c r="AO20" s="3230">
        <f t="shared" si="117"/>
        <v>885.33171671830166</v>
      </c>
      <c r="AP20" s="3230" t="e">
        <f t="shared" si="117"/>
        <v>#REF!</v>
      </c>
      <c r="AQ20" s="3227">
        <f t="shared" si="117"/>
        <v>870.33179535973113</v>
      </c>
      <c r="AR20" s="3228" t="e">
        <f t="shared" si="117"/>
        <v>#REF!</v>
      </c>
      <c r="AS20" s="3230">
        <f t="shared" ref="AS20:AV20" si="118">+AS19*1000/AS6</f>
        <v>883.63434027652602</v>
      </c>
      <c r="AT20" s="3230" t="e">
        <f t="shared" si="118"/>
        <v>#REF!</v>
      </c>
      <c r="AU20" s="3227">
        <f t="shared" si="118"/>
        <v>870.33179535973113</v>
      </c>
      <c r="AV20" s="3228" t="e">
        <f t="shared" si="118"/>
        <v>#REF!</v>
      </c>
      <c r="AW20" s="3230">
        <f t="shared" ref="AW20:AZ20" si="119">+AW19*1000/AW6</f>
        <v>882.41230812379592</v>
      </c>
      <c r="AX20" s="3230" t="e">
        <f t="shared" si="119"/>
        <v>#REF!</v>
      </c>
      <c r="AY20" s="3227">
        <f t="shared" si="119"/>
        <v>870.33179535973113</v>
      </c>
      <c r="AZ20" s="3228" t="e">
        <f t="shared" si="119"/>
        <v>#REF!</v>
      </c>
      <c r="BA20" s="3231">
        <f t="shared" ref="BA20:BF20" si="120">+BA19*1000/BA6</f>
        <v>870.33179535973125</v>
      </c>
      <c r="BB20" s="3232" t="e">
        <f t="shared" si="120"/>
        <v>#REF!</v>
      </c>
      <c r="BC20" s="3233">
        <f t="shared" si="120"/>
        <v>870.33179535973113</v>
      </c>
      <c r="BD20" s="3234" t="e">
        <f t="shared" si="120"/>
        <v>#REF!</v>
      </c>
      <c r="BE20" s="3230">
        <f t="shared" si="120"/>
        <v>881.28655614013428</v>
      </c>
      <c r="BF20" s="3230" t="e">
        <f t="shared" si="120"/>
        <v>#REF!</v>
      </c>
      <c r="BG20" s="2263"/>
      <c r="BH20" s="2263"/>
      <c r="BI20" s="2263"/>
      <c r="BJ20" s="2263"/>
      <c r="BK20" s="2263"/>
      <c r="BL20" s="2263"/>
    </row>
    <row r="21" spans="2:64" x14ac:dyDescent="0.35">
      <c r="M21" s="3235"/>
      <c r="Y21" s="3235"/>
      <c r="Z21" s="3206"/>
    </row>
    <row r="22" spans="2:64" x14ac:dyDescent="0.35">
      <c r="H22" s="3235"/>
      <c r="I22" s="3235"/>
      <c r="L22" s="3235"/>
    </row>
    <row r="23" spans="2:64" x14ac:dyDescent="0.35">
      <c r="I23" s="3235"/>
      <c r="J23" s="3235"/>
    </row>
    <row r="24" spans="2:64" x14ac:dyDescent="0.35">
      <c r="B24" s="3236" t="s">
        <v>1376</v>
      </c>
      <c r="C24" s="4377">
        <v>9.93</v>
      </c>
    </row>
    <row r="25" spans="2:64" x14ac:dyDescent="0.35">
      <c r="B25" s="3236" t="s">
        <v>1377</v>
      </c>
      <c r="C25" s="3236">
        <v>2.5</v>
      </c>
    </row>
  </sheetData>
  <mergeCells count="32">
    <mergeCell ref="AC4:AD4"/>
    <mergeCell ref="AU4:AV4"/>
    <mergeCell ref="AW4:AX4"/>
    <mergeCell ref="AG4:AH4"/>
    <mergeCell ref="AI4:AJ4"/>
    <mergeCell ref="AE4:AF4"/>
    <mergeCell ref="AQ4:AR4"/>
    <mergeCell ref="AS4:AT4"/>
    <mergeCell ref="AK4:AL4"/>
    <mergeCell ref="AM4:AN4"/>
    <mergeCell ref="AO4:AP4"/>
    <mergeCell ref="D4:D5"/>
    <mergeCell ref="D6:D20"/>
    <mergeCell ref="W4:X4"/>
    <mergeCell ref="Y4:Z4"/>
    <mergeCell ref="AA4:AB4"/>
    <mergeCell ref="AY4:AZ4"/>
    <mergeCell ref="BE4:BF4"/>
    <mergeCell ref="BA4:BB4"/>
    <mergeCell ref="BC4:BD4"/>
    <mergeCell ref="B2:V2"/>
    <mergeCell ref="B4:B5"/>
    <mergeCell ref="C4:C5"/>
    <mergeCell ref="E4:F4"/>
    <mergeCell ref="G4:H4"/>
    <mergeCell ref="I4:J4"/>
    <mergeCell ref="S4:T4"/>
    <mergeCell ref="U4:V4"/>
    <mergeCell ref="O4:P4"/>
    <mergeCell ref="Q4:R4"/>
    <mergeCell ref="K4:L4"/>
    <mergeCell ref="M4:N4"/>
  </mergeCells>
  <printOptions horizontalCentered="1" verticalCentered="1"/>
  <pageMargins left="0" right="0" top="0" bottom="0" header="0" footer="0"/>
  <pageSetup paperSize="9"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theme="5" tint="-0.249977111117893"/>
    <pageSetUpPr fitToPage="1"/>
  </sheetPr>
  <dimension ref="A1:BI672"/>
  <sheetViews>
    <sheetView topLeftCell="B1" zoomScaleNormal="100" workbookViewId="0">
      <selection activeCell="G10" sqref="G10:G12"/>
    </sheetView>
  </sheetViews>
  <sheetFormatPr defaultColWidth="9.109375" defaultRowHeight="14.4" x14ac:dyDescent="0.3"/>
  <cols>
    <col min="1" max="1" width="0.88671875" hidden="1" customWidth="1"/>
    <col min="2" max="2" width="55.33203125" bestFit="1" customWidth="1"/>
    <col min="3" max="3" width="32.44140625" bestFit="1" customWidth="1"/>
    <col min="4" max="4" width="13.6640625" customWidth="1"/>
    <col min="5" max="5" width="7.88671875" style="251" customWidth="1"/>
    <col min="6" max="6" width="10.33203125" customWidth="1"/>
    <col min="7" max="7" width="12.6640625" customWidth="1"/>
    <col min="8" max="8" width="8.33203125" customWidth="1"/>
    <col min="9" max="9" width="11.109375" style="584" customWidth="1"/>
    <col min="10" max="10" width="10" style="584" customWidth="1"/>
    <col min="11" max="11" width="7.88671875" hidden="1" customWidth="1"/>
    <col min="12" max="12" width="8.44140625" hidden="1" customWidth="1"/>
    <col min="13" max="14" width="7.88671875" style="3816" hidden="1" customWidth="1"/>
    <col min="15" max="15" width="7.88671875" hidden="1" customWidth="1"/>
    <col min="16" max="16" width="8.44140625" hidden="1" customWidth="1"/>
    <col min="17" max="17" width="7.88671875" style="584" hidden="1" customWidth="1"/>
    <col min="18" max="18" width="7.44140625" style="584" hidden="1" customWidth="1"/>
    <col min="19" max="19" width="7.88671875" hidden="1" customWidth="1"/>
    <col min="20" max="20" width="8.44140625" hidden="1" customWidth="1"/>
    <col min="21" max="21" width="9" style="584" hidden="1" customWidth="1"/>
    <col min="22" max="22" width="8.44140625" style="584" hidden="1" customWidth="1"/>
    <col min="23" max="24" width="7.88671875" hidden="1" customWidth="1"/>
    <col min="25" max="26" width="7.88671875" style="3816" hidden="1" customWidth="1"/>
    <col min="27" max="27" width="9" style="417" hidden="1" customWidth="1"/>
    <col min="28" max="28" width="8.44140625" style="417" hidden="1" customWidth="1"/>
    <col min="29" max="30" width="7.88671875" hidden="1" customWidth="1"/>
    <col min="31" max="31" width="9" style="584" hidden="1" customWidth="1"/>
    <col min="32" max="32" width="8.44140625" style="584" hidden="1" customWidth="1"/>
    <col min="33" max="33" width="7.88671875" hidden="1" customWidth="1"/>
    <col min="34" max="34" width="8.44140625" hidden="1" customWidth="1"/>
    <col min="35" max="36" width="9" style="584" hidden="1" customWidth="1"/>
    <col min="37" max="38" width="7.88671875" hidden="1" customWidth="1"/>
    <col min="39" max="40" width="7.88671875" style="3816" hidden="1" customWidth="1"/>
    <col min="41" max="42" width="9" style="584" hidden="1" customWidth="1"/>
    <col min="43" max="44" width="10" hidden="1" customWidth="1"/>
    <col min="45" max="46" width="11.44140625" style="584" hidden="1" customWidth="1"/>
    <col min="47" max="48" width="10" hidden="1" customWidth="1"/>
    <col min="49" max="50" width="11.44140625" style="584" hidden="1" customWidth="1"/>
    <col min="51" max="52" width="10" hidden="1" customWidth="1"/>
    <col min="53" max="54" width="10" style="3816" hidden="1" customWidth="1"/>
    <col min="55" max="56" width="11.44140625" style="417" hidden="1" customWidth="1"/>
    <col min="57" max="58" width="11.44140625" style="584" hidden="1" customWidth="1"/>
    <col min="59" max="60" width="9.109375" customWidth="1"/>
    <col min="61" max="61" width="39.33203125" bestFit="1" customWidth="1"/>
  </cols>
  <sheetData>
    <row r="1" spans="1:61" x14ac:dyDescent="0.3">
      <c r="B1" t="s">
        <v>369</v>
      </c>
      <c r="G1" s="6068"/>
      <c r="H1" s="6068"/>
      <c r="I1"/>
      <c r="J1"/>
      <c r="M1"/>
      <c r="N1"/>
      <c r="Q1"/>
      <c r="R1"/>
      <c r="U1"/>
      <c r="V1"/>
      <c r="Y1"/>
      <c r="Z1"/>
      <c r="AA1"/>
      <c r="AB1"/>
      <c r="AE1"/>
      <c r="AF1"/>
      <c r="AI1"/>
      <c r="AJ1"/>
      <c r="AM1"/>
      <c r="AN1"/>
      <c r="AO1"/>
      <c r="AP1"/>
      <c r="AS1"/>
      <c r="AT1"/>
      <c r="AW1"/>
      <c r="AX1"/>
      <c r="BA1"/>
      <c r="BB1"/>
      <c r="BC1"/>
      <c r="BD1"/>
      <c r="BE1"/>
      <c r="BF1"/>
    </row>
    <row r="2" spans="1:61" x14ac:dyDescent="0.3">
      <c r="I2"/>
      <c r="J2"/>
      <c r="M2"/>
      <c r="N2"/>
      <c r="Q2"/>
      <c r="R2"/>
      <c r="U2"/>
      <c r="V2"/>
      <c r="Y2"/>
      <c r="Z2"/>
      <c r="AA2"/>
      <c r="AB2"/>
      <c r="AE2"/>
      <c r="AF2"/>
      <c r="AI2"/>
      <c r="AJ2"/>
      <c r="AM2"/>
      <c r="AN2"/>
      <c r="AO2"/>
      <c r="AP2"/>
      <c r="AS2"/>
      <c r="AT2"/>
      <c r="AW2"/>
      <c r="AX2"/>
      <c r="BA2"/>
      <c r="BB2"/>
      <c r="BC2"/>
      <c r="BD2"/>
      <c r="BE2"/>
      <c r="BF2"/>
    </row>
    <row r="3" spans="1:61" x14ac:dyDescent="0.3">
      <c r="A3" s="88"/>
      <c r="B3" s="6073" t="s">
        <v>170</v>
      </c>
      <c r="C3" s="6074" t="s">
        <v>171</v>
      </c>
      <c r="D3" s="6067" t="s">
        <v>2212</v>
      </c>
      <c r="E3" s="6067" t="s">
        <v>2211</v>
      </c>
      <c r="F3" s="6067"/>
      <c r="G3" s="6067" t="s">
        <v>2260</v>
      </c>
      <c r="H3" s="6067"/>
      <c r="I3" s="6066" t="s">
        <v>624</v>
      </c>
      <c r="J3" s="6066"/>
      <c r="K3" s="6067" t="s">
        <v>2377</v>
      </c>
      <c r="L3" s="6067"/>
      <c r="M3" s="6060" t="s">
        <v>1385</v>
      </c>
      <c r="N3" s="6060"/>
      <c r="O3" s="6067" t="s">
        <v>2378</v>
      </c>
      <c r="P3" s="6067"/>
      <c r="Q3" s="6066" t="s">
        <v>617</v>
      </c>
      <c r="R3" s="6066"/>
      <c r="S3" s="6067" t="s">
        <v>2379</v>
      </c>
      <c r="T3" s="6067"/>
      <c r="U3" s="6066" t="s">
        <v>794</v>
      </c>
      <c r="V3" s="6066"/>
      <c r="W3" s="6067" t="s">
        <v>2380</v>
      </c>
      <c r="X3" s="6067"/>
      <c r="Y3" s="6060" t="s">
        <v>1525</v>
      </c>
      <c r="Z3" s="6060"/>
      <c r="AA3" s="6061" t="s">
        <v>486</v>
      </c>
      <c r="AB3" s="6061"/>
      <c r="AC3" s="6067" t="s">
        <v>2381</v>
      </c>
      <c r="AD3" s="6067"/>
      <c r="AE3" s="6066" t="s">
        <v>1051</v>
      </c>
      <c r="AF3" s="6066"/>
      <c r="AG3" s="6062" t="s">
        <v>2382</v>
      </c>
      <c r="AH3" s="6063"/>
      <c r="AI3" s="6064" t="s">
        <v>1552</v>
      </c>
      <c r="AJ3" s="6065"/>
      <c r="AK3" s="6067" t="s">
        <v>2383</v>
      </c>
      <c r="AL3" s="6067"/>
      <c r="AM3" s="6060" t="s">
        <v>1566</v>
      </c>
      <c r="AN3" s="6060"/>
      <c r="AO3" s="6066" t="s">
        <v>872</v>
      </c>
      <c r="AP3" s="6066"/>
      <c r="AQ3" s="6062" t="s">
        <v>2384</v>
      </c>
      <c r="AR3" s="6063"/>
      <c r="AS3" s="6064" t="s">
        <v>1583</v>
      </c>
      <c r="AT3" s="6065"/>
      <c r="AU3" s="6062" t="s">
        <v>2385</v>
      </c>
      <c r="AV3" s="6063"/>
      <c r="AW3" s="6064" t="s">
        <v>1589</v>
      </c>
      <c r="AX3" s="6065"/>
      <c r="AY3" s="6062" t="s">
        <v>2386</v>
      </c>
      <c r="AZ3" s="6063"/>
      <c r="BA3" s="6060" t="s">
        <v>1606</v>
      </c>
      <c r="BB3" s="6060"/>
      <c r="BC3" s="6061" t="s">
        <v>524</v>
      </c>
      <c r="BD3" s="6061"/>
      <c r="BE3" s="6064" t="s">
        <v>2258</v>
      </c>
      <c r="BF3" s="6065"/>
    </row>
    <row r="4" spans="1:61" x14ac:dyDescent="0.3">
      <c r="A4" s="88"/>
      <c r="B4" s="6073"/>
      <c r="C4" s="6074"/>
      <c r="D4" s="6067"/>
      <c r="E4" s="651" t="s">
        <v>172</v>
      </c>
      <c r="F4" s="651" t="s">
        <v>173</v>
      </c>
      <c r="G4" s="651" t="s">
        <v>172</v>
      </c>
      <c r="H4" s="651" t="s">
        <v>173</v>
      </c>
      <c r="I4" s="652" t="s">
        <v>172</v>
      </c>
      <c r="J4" s="652" t="s">
        <v>173</v>
      </c>
      <c r="K4" s="651" t="s">
        <v>172</v>
      </c>
      <c r="L4" s="651" t="s">
        <v>173</v>
      </c>
      <c r="M4" s="653" t="s">
        <v>172</v>
      </c>
      <c r="N4" s="653" t="s">
        <v>173</v>
      </c>
      <c r="O4" s="651" t="s">
        <v>172</v>
      </c>
      <c r="P4" s="651" t="s">
        <v>173</v>
      </c>
      <c r="Q4" s="652" t="s">
        <v>172</v>
      </c>
      <c r="R4" s="652" t="s">
        <v>173</v>
      </c>
      <c r="S4" s="651" t="s">
        <v>172</v>
      </c>
      <c r="T4" s="651" t="s">
        <v>173</v>
      </c>
      <c r="U4" s="652" t="s">
        <v>172</v>
      </c>
      <c r="V4" s="652" t="s">
        <v>173</v>
      </c>
      <c r="W4" s="651" t="s">
        <v>172</v>
      </c>
      <c r="X4" s="651" t="s">
        <v>173</v>
      </c>
      <c r="Y4" s="653" t="s">
        <v>172</v>
      </c>
      <c r="Z4" s="653" t="s">
        <v>173</v>
      </c>
      <c r="AA4" s="733" t="s">
        <v>172</v>
      </c>
      <c r="AB4" s="733" t="s">
        <v>173</v>
      </c>
      <c r="AC4" s="651" t="s">
        <v>172</v>
      </c>
      <c r="AD4" s="651" t="s">
        <v>173</v>
      </c>
      <c r="AE4" s="652" t="s">
        <v>172</v>
      </c>
      <c r="AF4" s="652" t="s">
        <v>173</v>
      </c>
      <c r="AG4" s="651" t="s">
        <v>172</v>
      </c>
      <c r="AH4" s="651" t="s">
        <v>173</v>
      </c>
      <c r="AI4" s="652" t="s">
        <v>172</v>
      </c>
      <c r="AJ4" s="652" t="s">
        <v>173</v>
      </c>
      <c r="AK4" s="651" t="s">
        <v>172</v>
      </c>
      <c r="AL4" s="651" t="s">
        <v>173</v>
      </c>
      <c r="AM4" s="653" t="s">
        <v>172</v>
      </c>
      <c r="AN4" s="653" t="s">
        <v>173</v>
      </c>
      <c r="AO4" s="652" t="s">
        <v>172</v>
      </c>
      <c r="AP4" s="652" t="s">
        <v>173</v>
      </c>
      <c r="AQ4" s="651" t="s">
        <v>172</v>
      </c>
      <c r="AR4" s="651" t="s">
        <v>173</v>
      </c>
      <c r="AS4" s="652" t="s">
        <v>172</v>
      </c>
      <c r="AT4" s="652" t="s">
        <v>173</v>
      </c>
      <c r="AU4" s="651" t="s">
        <v>172</v>
      </c>
      <c r="AV4" s="651" t="s">
        <v>173</v>
      </c>
      <c r="AW4" s="652" t="s">
        <v>172</v>
      </c>
      <c r="AX4" s="652" t="s">
        <v>173</v>
      </c>
      <c r="AY4" s="651" t="s">
        <v>172</v>
      </c>
      <c r="AZ4" s="651" t="s">
        <v>173</v>
      </c>
      <c r="BA4" s="653" t="s">
        <v>172</v>
      </c>
      <c r="BB4" s="653" t="s">
        <v>173</v>
      </c>
      <c r="BC4" s="733" t="s">
        <v>172</v>
      </c>
      <c r="BD4" s="733" t="s">
        <v>173</v>
      </c>
      <c r="BE4" s="652" t="s">
        <v>172</v>
      </c>
      <c r="BF4" s="652" t="s">
        <v>173</v>
      </c>
    </row>
    <row r="5" spans="1:61" x14ac:dyDescent="0.3">
      <c r="A5" s="142"/>
      <c r="B5" s="790" t="s">
        <v>314</v>
      </c>
      <c r="C5" s="3204"/>
      <c r="D5" s="790"/>
      <c r="E5" s="744"/>
      <c r="F5" s="790"/>
      <c r="G5" s="790"/>
      <c r="H5" s="790"/>
      <c r="I5" s="5065"/>
      <c r="J5" s="5065"/>
      <c r="K5" s="790"/>
      <c r="L5" s="790"/>
      <c r="M5" s="5067"/>
      <c r="N5" s="5067"/>
      <c r="O5" s="790"/>
      <c r="P5" s="790"/>
      <c r="Q5" s="5065"/>
      <c r="R5" s="5065"/>
      <c r="S5" s="790"/>
      <c r="T5" s="790"/>
      <c r="U5" s="5065"/>
      <c r="V5" s="5065"/>
      <c r="W5" s="790"/>
      <c r="X5" s="790"/>
      <c r="Y5" s="5067"/>
      <c r="Z5" s="5067"/>
      <c r="AA5" s="5068"/>
      <c r="AB5" s="5068"/>
      <c r="AC5" s="790"/>
      <c r="AD5" s="790"/>
      <c r="AE5" s="5065"/>
      <c r="AF5" s="5065"/>
      <c r="AG5" s="790"/>
      <c r="AH5" s="790"/>
      <c r="AI5" s="5065"/>
      <c r="AJ5" s="5065"/>
      <c r="AK5" s="790"/>
      <c r="AL5" s="790"/>
      <c r="AM5" s="5067"/>
      <c r="AN5" s="5067"/>
      <c r="AO5" s="5065"/>
      <c r="AP5" s="5065"/>
      <c r="AQ5" s="790"/>
      <c r="AR5" s="790"/>
      <c r="AS5" s="5065"/>
      <c r="AT5" s="5065"/>
      <c r="AU5" s="790"/>
      <c r="AV5" s="790"/>
      <c r="AW5" s="5065"/>
      <c r="AX5" s="5065"/>
      <c r="AY5" s="790"/>
      <c r="AZ5" s="790"/>
      <c r="BA5" s="5067"/>
      <c r="BB5" s="5067"/>
      <c r="BC5" s="5068"/>
      <c r="BD5" s="5068"/>
      <c r="BE5" s="5065"/>
      <c r="BF5" s="5065"/>
    </row>
    <row r="6" spans="1:61" x14ac:dyDescent="0.3">
      <c r="A6" s="142"/>
      <c r="B6" s="3122" t="s">
        <v>114</v>
      </c>
      <c r="C6" s="5075"/>
      <c r="D6" s="3122"/>
      <c r="E6" s="3125"/>
      <c r="F6" s="3122"/>
      <c r="G6" s="3125"/>
      <c r="H6" s="3122"/>
      <c r="I6" s="3179"/>
      <c r="J6" s="3179"/>
      <c r="K6" s="3125"/>
      <c r="L6" s="3122"/>
      <c r="M6" s="3180"/>
      <c r="N6" s="3180"/>
      <c r="O6" s="3125"/>
      <c r="P6" s="3122"/>
      <c r="Q6" s="3179"/>
      <c r="R6" s="3179"/>
      <c r="S6" s="3125"/>
      <c r="T6" s="3122"/>
      <c r="U6" s="3179"/>
      <c r="V6" s="3179"/>
      <c r="W6" s="3125"/>
      <c r="X6" s="3122"/>
      <c r="Y6" s="3180"/>
      <c r="Z6" s="3180"/>
      <c r="AA6" s="3202"/>
      <c r="AB6" s="3202"/>
      <c r="AC6" s="3125"/>
      <c r="AD6" s="3122"/>
      <c r="AE6" s="3179"/>
      <c r="AF6" s="3179"/>
      <c r="AG6" s="3125"/>
      <c r="AH6" s="3122"/>
      <c r="AI6" s="3179"/>
      <c r="AJ6" s="3179"/>
      <c r="AK6" s="3125"/>
      <c r="AL6" s="3122"/>
      <c r="AM6" s="3180"/>
      <c r="AN6" s="3180"/>
      <c r="AO6" s="3179"/>
      <c r="AP6" s="3179"/>
      <c r="AQ6" s="3125"/>
      <c r="AR6" s="3122"/>
      <c r="AS6" s="3179"/>
      <c r="AT6" s="3179"/>
      <c r="AU6" s="3125"/>
      <c r="AV6" s="3122"/>
      <c r="AW6" s="3179"/>
      <c r="AX6" s="3179"/>
      <c r="AY6" s="3125"/>
      <c r="AZ6" s="3122"/>
      <c r="BA6" s="3180"/>
      <c r="BB6" s="3180"/>
      <c r="BC6" s="3202"/>
      <c r="BD6" s="3202"/>
      <c r="BE6" s="3179"/>
      <c r="BF6" s="3179"/>
    </row>
    <row r="7" spans="1:61" x14ac:dyDescent="0.3">
      <c r="A7" s="88"/>
      <c r="B7" s="926" t="s">
        <v>75</v>
      </c>
      <c r="C7" s="146" t="s">
        <v>50</v>
      </c>
      <c r="D7" s="5984">
        <f>+D13-D9-D10</f>
        <v>504000</v>
      </c>
      <c r="E7" s="5984">
        <f>+E13-E9-E10</f>
        <v>36417</v>
      </c>
      <c r="F7" s="1094">
        <v>40571.019999999997</v>
      </c>
      <c r="G7" s="5984">
        <f>+G13-G9-G10</f>
        <v>37417</v>
      </c>
      <c r="H7" s="1094">
        <v>23307.119999999999</v>
      </c>
      <c r="I7" s="5987">
        <f>E7+G7</f>
        <v>73834</v>
      </c>
      <c r="J7" s="718">
        <f>F7+H7</f>
        <v>63878.14</v>
      </c>
      <c r="K7" s="5984">
        <f>+K13-K9-K10</f>
        <v>42500</v>
      </c>
      <c r="L7" s="1094"/>
      <c r="M7" s="6015">
        <f>I7+K7</f>
        <v>116334</v>
      </c>
      <c r="N7" s="717">
        <f>J7+L7</f>
        <v>63878.14</v>
      </c>
      <c r="O7" s="5984">
        <f>+O13-O9-O10</f>
        <v>44000</v>
      </c>
      <c r="P7" s="1094"/>
      <c r="Q7" s="5987">
        <f>M7+O7</f>
        <v>160334</v>
      </c>
      <c r="R7" s="718">
        <f>N7+P7</f>
        <v>63878.14</v>
      </c>
      <c r="S7" s="5984">
        <f>+S13-S9-S10</f>
        <v>44000</v>
      </c>
      <c r="T7" s="1094"/>
      <c r="U7" s="5987">
        <f>Q7+S7</f>
        <v>204334</v>
      </c>
      <c r="V7" s="718">
        <f>R7+T7</f>
        <v>63878.14</v>
      </c>
      <c r="W7" s="5984">
        <f>+W13-W9-W10</f>
        <v>25000</v>
      </c>
      <c r="X7" s="1094"/>
      <c r="Y7" s="6015">
        <f>O7+S7+W7</f>
        <v>113000</v>
      </c>
      <c r="Z7" s="6015">
        <f>+P7+T7+X7</f>
        <v>0</v>
      </c>
      <c r="AA7" s="6002">
        <f>M7+Y7</f>
        <v>229334</v>
      </c>
      <c r="AB7" s="429">
        <f t="shared" ref="AB7:AB13" si="0">X7+V7</f>
        <v>63878.14</v>
      </c>
      <c r="AC7" s="5984">
        <f>+AC13-AC9-AC10</f>
        <v>42500</v>
      </c>
      <c r="AD7" s="1094"/>
      <c r="AE7" s="5987">
        <f>AA7+AC7</f>
        <v>271834</v>
      </c>
      <c r="AF7" s="718">
        <f>AB7+AD7</f>
        <v>63878.14</v>
      </c>
      <c r="AG7" s="5984">
        <f>+AG13-AG9-AG10</f>
        <v>42500</v>
      </c>
      <c r="AH7" s="1094"/>
      <c r="AI7" s="5987">
        <f>AE7+AG7</f>
        <v>314334</v>
      </c>
      <c r="AJ7" s="718">
        <f>AF7+AH7</f>
        <v>63878.14</v>
      </c>
      <c r="AK7" s="5984">
        <f>+AK13-AK9-AK10</f>
        <v>44000</v>
      </c>
      <c r="AL7" s="1094"/>
      <c r="AM7" s="6015">
        <f>AC7+AG7+AK7</f>
        <v>129000</v>
      </c>
      <c r="AN7" s="717">
        <f>+AD7+AH7+AL7</f>
        <v>0</v>
      </c>
      <c r="AO7" s="5987">
        <f>AK7+AI7</f>
        <v>358334</v>
      </c>
      <c r="AP7" s="718">
        <f>AL7+AJ7</f>
        <v>63878.14</v>
      </c>
      <c r="AQ7" s="5984">
        <f>+AQ13-AQ9-AQ10</f>
        <v>44500</v>
      </c>
      <c r="AR7" s="1094"/>
      <c r="AS7" s="5987">
        <f>AO7+AQ7</f>
        <v>402834</v>
      </c>
      <c r="AT7" s="718">
        <f>AP7+AR7</f>
        <v>63878.14</v>
      </c>
      <c r="AU7" s="5984">
        <f>+AU13-AU9-AU10</f>
        <v>40000</v>
      </c>
      <c r="AV7" s="1094"/>
      <c r="AW7" s="5987">
        <f>AS7+AU7</f>
        <v>442834</v>
      </c>
      <c r="AX7" s="718">
        <f>AT7+AV7</f>
        <v>63878.14</v>
      </c>
      <c r="AY7" s="5984">
        <f>+AY13-AY9-AY10</f>
        <v>44500</v>
      </c>
      <c r="AZ7" s="1094"/>
      <c r="BA7" s="6015">
        <f>AQ7+AU7+AY7</f>
        <v>129000</v>
      </c>
      <c r="BB7" s="717">
        <f>+AR7+AV7+AZ7</f>
        <v>0</v>
      </c>
      <c r="BC7" s="6002">
        <f>AM7+BA7</f>
        <v>258000</v>
      </c>
      <c r="BD7" s="429">
        <f>+AN7+BB7</f>
        <v>0</v>
      </c>
      <c r="BE7" s="5987">
        <f>AA7+BC7</f>
        <v>487334</v>
      </c>
      <c r="BF7" s="718">
        <f>+AB7+BD7</f>
        <v>63878.14</v>
      </c>
    </row>
    <row r="8" spans="1:61" x14ac:dyDescent="0.3">
      <c r="A8" s="88"/>
      <c r="B8" s="926" t="s">
        <v>76</v>
      </c>
      <c r="C8" s="146" t="s">
        <v>50</v>
      </c>
      <c r="D8" s="5986"/>
      <c r="E8" s="5986"/>
      <c r="F8" s="1031">
        <v>383.86</v>
      </c>
      <c r="G8" s="5986"/>
      <c r="H8" s="1031">
        <v>4997.1220000000003</v>
      </c>
      <c r="I8" s="5989"/>
      <c r="J8" s="718">
        <f t="shared" ref="J8:J69" si="1">F8+H8</f>
        <v>5380.982</v>
      </c>
      <c r="K8" s="5986"/>
      <c r="L8" s="1031"/>
      <c r="M8" s="6017"/>
      <c r="N8" s="717">
        <f t="shared" ref="N8:N69" si="2">J8+L8</f>
        <v>5380.982</v>
      </c>
      <c r="O8" s="5986"/>
      <c r="P8" s="1031"/>
      <c r="Q8" s="5989"/>
      <c r="R8" s="718">
        <f t="shared" ref="R8:R69" si="3">N8+P8</f>
        <v>5380.982</v>
      </c>
      <c r="S8" s="5986"/>
      <c r="T8" s="1031"/>
      <c r="U8" s="5989"/>
      <c r="V8" s="718">
        <f t="shared" ref="V8:V69" si="4">R8+T8</f>
        <v>5380.982</v>
      </c>
      <c r="W8" s="5986"/>
      <c r="X8" s="1031"/>
      <c r="Y8" s="6017"/>
      <c r="Z8" s="6017">
        <f t="shared" ref="Z8:Z60" si="5">+P8+T8+X8</f>
        <v>0</v>
      </c>
      <c r="AA8" s="5815"/>
      <c r="AB8" s="429">
        <f t="shared" si="0"/>
        <v>5380.982</v>
      </c>
      <c r="AC8" s="5986"/>
      <c r="AD8" s="1031"/>
      <c r="AE8" s="5989"/>
      <c r="AF8" s="718">
        <f t="shared" ref="AF8:AF69" si="6">AB8+AD8</f>
        <v>5380.982</v>
      </c>
      <c r="AG8" s="5986"/>
      <c r="AH8" s="1031"/>
      <c r="AI8" s="5989"/>
      <c r="AJ8" s="718">
        <f t="shared" ref="AJ8:AJ69" si="7">AF8+AH8</f>
        <v>5380.982</v>
      </c>
      <c r="AK8" s="5986"/>
      <c r="AL8" s="1031"/>
      <c r="AM8" s="6017"/>
      <c r="AN8" s="717">
        <f t="shared" ref="AN8:AN60" si="8">+AD8+AH8+AL8</f>
        <v>0</v>
      </c>
      <c r="AO8" s="5989"/>
      <c r="AP8" s="718">
        <f t="shared" ref="AP8:AP13" si="9">AL8+AJ8</f>
        <v>5380.982</v>
      </c>
      <c r="AQ8" s="5986"/>
      <c r="AR8" s="1031"/>
      <c r="AS8" s="5989"/>
      <c r="AT8" s="718">
        <f t="shared" ref="AT8:AT69" si="10">AP8+AR8</f>
        <v>5380.982</v>
      </c>
      <c r="AU8" s="5986"/>
      <c r="AV8" s="1031"/>
      <c r="AW8" s="5989"/>
      <c r="AX8" s="718">
        <f t="shared" ref="AX8:AX69" si="11">AT8+AV8</f>
        <v>5380.982</v>
      </c>
      <c r="AY8" s="5986"/>
      <c r="AZ8" s="1031"/>
      <c r="BA8" s="6017"/>
      <c r="BB8" s="717">
        <f t="shared" ref="BB8:BB60" si="12">+AR8+AV8+AZ8</f>
        <v>0</v>
      </c>
      <c r="BC8" s="5815"/>
      <c r="BD8" s="429">
        <f t="shared" ref="BD8:BD69" si="13">+AN8+BB8</f>
        <v>0</v>
      </c>
      <c r="BE8" s="5989"/>
      <c r="BF8" s="718">
        <f t="shared" ref="BF8:BF69" si="14">+AB8+BD8</f>
        <v>5380.982</v>
      </c>
    </row>
    <row r="9" spans="1:61" x14ac:dyDescent="0.3">
      <c r="A9" s="88"/>
      <c r="B9" s="926" t="s">
        <v>136</v>
      </c>
      <c r="C9" s="146" t="s">
        <v>50</v>
      </c>
      <c r="D9" s="1031">
        <v>15000</v>
      </c>
      <c r="E9" s="5563">
        <v>0</v>
      </c>
      <c r="F9" s="1094">
        <v>121.35</v>
      </c>
      <c r="G9" s="5563">
        <v>0</v>
      </c>
      <c r="H9" s="1094">
        <v>573.82000000000005</v>
      </c>
      <c r="I9" s="718">
        <f>+E9+G9</f>
        <v>0</v>
      </c>
      <c r="J9" s="718">
        <f t="shared" si="1"/>
        <v>695.17000000000007</v>
      </c>
      <c r="K9" s="5563"/>
      <c r="L9" s="1094"/>
      <c r="M9" s="717">
        <f>+I9+K9</f>
        <v>0</v>
      </c>
      <c r="N9" s="717">
        <f t="shared" si="2"/>
        <v>695.17000000000007</v>
      </c>
      <c r="O9" s="5563"/>
      <c r="P9" s="1094"/>
      <c r="Q9" s="718">
        <f>+M9+O9</f>
        <v>0</v>
      </c>
      <c r="R9" s="718">
        <f t="shared" si="3"/>
        <v>695.17000000000007</v>
      </c>
      <c r="S9" s="5563"/>
      <c r="T9" s="1094"/>
      <c r="U9" s="718">
        <f>+Q9+S9</f>
        <v>0</v>
      </c>
      <c r="V9" s="718">
        <f t="shared" si="4"/>
        <v>695.17000000000007</v>
      </c>
      <c r="W9" s="5563"/>
      <c r="X9" s="1094"/>
      <c r="Y9" s="717">
        <f>O9+S9+W9</f>
        <v>0</v>
      </c>
      <c r="Z9" s="717">
        <f t="shared" si="5"/>
        <v>0</v>
      </c>
      <c r="AA9" s="429">
        <f>M9+Y9</f>
        <v>0</v>
      </c>
      <c r="AB9" s="429">
        <f t="shared" si="0"/>
        <v>695.17000000000007</v>
      </c>
      <c r="AC9" s="5563"/>
      <c r="AD9" s="1094"/>
      <c r="AE9" s="718">
        <f>+AA9+AC9</f>
        <v>0</v>
      </c>
      <c r="AF9" s="718">
        <f t="shared" si="6"/>
        <v>695.17000000000007</v>
      </c>
      <c r="AG9" s="5563"/>
      <c r="AH9" s="1094"/>
      <c r="AI9" s="718">
        <f>+AE9+AG9</f>
        <v>0</v>
      </c>
      <c r="AJ9" s="718">
        <f t="shared" si="7"/>
        <v>695.17000000000007</v>
      </c>
      <c r="AK9" s="5563"/>
      <c r="AL9" s="1094"/>
      <c r="AM9" s="717">
        <f>AC9+AG9+AK9</f>
        <v>0</v>
      </c>
      <c r="AN9" s="717">
        <f t="shared" si="8"/>
        <v>0</v>
      </c>
      <c r="AO9" s="718">
        <f>+AK9+AI9</f>
        <v>0</v>
      </c>
      <c r="AP9" s="718">
        <f t="shared" si="9"/>
        <v>695.17000000000007</v>
      </c>
      <c r="AQ9" s="5563"/>
      <c r="AR9" s="1094"/>
      <c r="AS9" s="718">
        <f>+AO9+AQ9</f>
        <v>0</v>
      </c>
      <c r="AT9" s="718">
        <f t="shared" si="10"/>
        <v>695.17000000000007</v>
      </c>
      <c r="AU9" s="5563"/>
      <c r="AV9" s="1094"/>
      <c r="AW9" s="718">
        <f>+AS9+AU9</f>
        <v>0</v>
      </c>
      <c r="AX9" s="718">
        <f t="shared" si="11"/>
        <v>695.17000000000007</v>
      </c>
      <c r="AY9" s="5563"/>
      <c r="AZ9" s="1094"/>
      <c r="BA9" s="717">
        <f>AQ9+AU9+AY9</f>
        <v>0</v>
      </c>
      <c r="BB9" s="717">
        <f t="shared" si="12"/>
        <v>0</v>
      </c>
      <c r="BC9" s="429">
        <f>AM9+BA9</f>
        <v>0</v>
      </c>
      <c r="BD9" s="429">
        <f t="shared" si="13"/>
        <v>0</v>
      </c>
      <c r="BE9" s="718">
        <f>+AA9+BC9</f>
        <v>0</v>
      </c>
      <c r="BF9" s="718">
        <f t="shared" si="14"/>
        <v>695.17000000000007</v>
      </c>
      <c r="BI9" s="23"/>
    </row>
    <row r="10" spans="1:61" x14ac:dyDescent="0.3">
      <c r="A10" s="88"/>
      <c r="B10" s="5064" t="s">
        <v>2188</v>
      </c>
      <c r="C10" s="4932" t="s">
        <v>50</v>
      </c>
      <c r="D10" s="5984">
        <v>1000</v>
      </c>
      <c r="E10" s="6033">
        <v>83</v>
      </c>
      <c r="F10" s="4923">
        <v>0</v>
      </c>
      <c r="G10" s="6033">
        <v>83</v>
      </c>
      <c r="H10" s="4923">
        <v>488.22</v>
      </c>
      <c r="I10" s="5987">
        <f>+E10+G10</f>
        <v>166</v>
      </c>
      <c r="J10" s="718">
        <f t="shared" ref="J10" si="15">F10+H10</f>
        <v>488.22</v>
      </c>
      <c r="K10" s="6033"/>
      <c r="L10" s="4923"/>
      <c r="M10" s="6015">
        <f>+I10+K10</f>
        <v>166</v>
      </c>
      <c r="N10" s="717">
        <f t="shared" si="2"/>
        <v>488.22</v>
      </c>
      <c r="O10" s="6033"/>
      <c r="P10" s="4923"/>
      <c r="Q10" s="5987">
        <f>+M10+O10</f>
        <v>166</v>
      </c>
      <c r="R10" s="718">
        <f t="shared" si="3"/>
        <v>488.22</v>
      </c>
      <c r="S10" s="6033"/>
      <c r="T10" s="4923"/>
      <c r="U10" s="5987">
        <f>+Q10+S10</f>
        <v>166</v>
      </c>
      <c r="V10" s="718">
        <f t="shared" si="4"/>
        <v>488.22</v>
      </c>
      <c r="W10" s="6033"/>
      <c r="X10" s="4923"/>
      <c r="Y10" s="6015">
        <f>O10+S10+W10</f>
        <v>0</v>
      </c>
      <c r="Z10" s="6015">
        <f t="shared" si="5"/>
        <v>0</v>
      </c>
      <c r="AA10" s="6002">
        <f>M10+Y10</f>
        <v>166</v>
      </c>
      <c r="AB10" s="429">
        <f t="shared" si="0"/>
        <v>488.22</v>
      </c>
      <c r="AC10" s="6033"/>
      <c r="AD10" s="4923"/>
      <c r="AE10" s="5987">
        <f>+AA10+AC10</f>
        <v>166</v>
      </c>
      <c r="AF10" s="718">
        <f t="shared" si="6"/>
        <v>488.22</v>
      </c>
      <c r="AG10" s="6033"/>
      <c r="AH10" s="4923"/>
      <c r="AI10" s="5987">
        <f>+AE10+AG10</f>
        <v>166</v>
      </c>
      <c r="AJ10" s="718">
        <f t="shared" si="7"/>
        <v>488.22</v>
      </c>
      <c r="AK10" s="6033"/>
      <c r="AL10" s="4923"/>
      <c r="AM10" s="6015">
        <f>AC10+AG10+AK10</f>
        <v>0</v>
      </c>
      <c r="AN10" s="717">
        <f t="shared" si="8"/>
        <v>0</v>
      </c>
      <c r="AO10" s="5987">
        <f>+AK10+AI10</f>
        <v>166</v>
      </c>
      <c r="AP10" s="718">
        <f t="shared" si="9"/>
        <v>488.22</v>
      </c>
      <c r="AQ10" s="6033"/>
      <c r="AR10" s="4923"/>
      <c r="AS10" s="5987">
        <f>+AO10+AQ10</f>
        <v>166</v>
      </c>
      <c r="AT10" s="718">
        <f t="shared" si="10"/>
        <v>488.22</v>
      </c>
      <c r="AU10" s="6033"/>
      <c r="AV10" s="4923"/>
      <c r="AW10" s="5987">
        <f>+AS10+AU10</f>
        <v>166</v>
      </c>
      <c r="AX10" s="718">
        <f t="shared" si="11"/>
        <v>488.22</v>
      </c>
      <c r="AY10" s="6033"/>
      <c r="AZ10" s="4923"/>
      <c r="BA10" s="6015">
        <f>AQ10+AU10+AY10</f>
        <v>0</v>
      </c>
      <c r="BB10" s="717">
        <f t="shared" si="12"/>
        <v>0</v>
      </c>
      <c r="BC10" s="6002">
        <f>AM10+BA10</f>
        <v>0</v>
      </c>
      <c r="BD10" s="429">
        <f t="shared" si="13"/>
        <v>0</v>
      </c>
      <c r="BE10" s="5987">
        <f>+AA10+BC10</f>
        <v>166</v>
      </c>
      <c r="BF10" s="718">
        <f t="shared" si="14"/>
        <v>488.22</v>
      </c>
    </row>
    <row r="11" spans="1:61" x14ac:dyDescent="0.3">
      <c r="A11" s="88"/>
      <c r="B11" s="926" t="s">
        <v>2186</v>
      </c>
      <c r="C11" s="146" t="s">
        <v>50</v>
      </c>
      <c r="D11" s="5985"/>
      <c r="E11" s="6034"/>
      <c r="F11" s="1094">
        <v>0</v>
      </c>
      <c r="G11" s="6034"/>
      <c r="H11" s="1094">
        <v>0</v>
      </c>
      <c r="I11" s="5988"/>
      <c r="J11" s="718">
        <f t="shared" si="1"/>
        <v>0</v>
      </c>
      <c r="K11" s="6034"/>
      <c r="L11" s="1094"/>
      <c r="M11" s="6016"/>
      <c r="N11" s="717">
        <f t="shared" si="2"/>
        <v>0</v>
      </c>
      <c r="O11" s="6034"/>
      <c r="P11" s="1094"/>
      <c r="Q11" s="5988"/>
      <c r="R11" s="718">
        <f t="shared" si="3"/>
        <v>0</v>
      </c>
      <c r="S11" s="6034"/>
      <c r="T11" s="1094"/>
      <c r="U11" s="5988"/>
      <c r="V11" s="718">
        <f t="shared" si="4"/>
        <v>0</v>
      </c>
      <c r="W11" s="6034"/>
      <c r="X11" s="1094"/>
      <c r="Y11" s="6016">
        <f t="shared" ref="Y11:Y12" si="16">O11+S11+W11</f>
        <v>0</v>
      </c>
      <c r="Z11" s="6016">
        <f t="shared" si="5"/>
        <v>0</v>
      </c>
      <c r="AA11" s="5814">
        <f>M11+Y11</f>
        <v>0</v>
      </c>
      <c r="AB11" s="429">
        <f t="shared" si="0"/>
        <v>0</v>
      </c>
      <c r="AC11" s="6034"/>
      <c r="AD11" s="1094"/>
      <c r="AE11" s="5988"/>
      <c r="AF11" s="718">
        <f t="shared" si="6"/>
        <v>0</v>
      </c>
      <c r="AG11" s="6034"/>
      <c r="AH11" s="1094"/>
      <c r="AI11" s="5988"/>
      <c r="AJ11" s="718">
        <f t="shared" si="7"/>
        <v>0</v>
      </c>
      <c r="AK11" s="6034"/>
      <c r="AL11" s="1094"/>
      <c r="AM11" s="6016">
        <f t="shared" ref="AM11:AM12" si="17">AC11+AG11+AK11</f>
        <v>0</v>
      </c>
      <c r="AN11" s="717">
        <f t="shared" si="8"/>
        <v>0</v>
      </c>
      <c r="AO11" s="5988"/>
      <c r="AP11" s="718">
        <f t="shared" si="9"/>
        <v>0</v>
      </c>
      <c r="AQ11" s="6034"/>
      <c r="AR11" s="1094"/>
      <c r="AS11" s="5988"/>
      <c r="AT11" s="718">
        <f t="shared" si="10"/>
        <v>0</v>
      </c>
      <c r="AU11" s="6034"/>
      <c r="AV11" s="1094"/>
      <c r="AW11" s="5988"/>
      <c r="AX11" s="718">
        <f t="shared" si="11"/>
        <v>0</v>
      </c>
      <c r="AY11" s="6034"/>
      <c r="AZ11" s="1094"/>
      <c r="BA11" s="6016">
        <f t="shared" ref="BA11:BA12" si="18">AQ11+AU11+AY11</f>
        <v>0</v>
      </c>
      <c r="BB11" s="717">
        <f t="shared" si="12"/>
        <v>0</v>
      </c>
      <c r="BC11" s="5814">
        <f>AO11+BA11</f>
        <v>0</v>
      </c>
      <c r="BD11" s="429">
        <f t="shared" si="13"/>
        <v>0</v>
      </c>
      <c r="BE11" s="5988"/>
      <c r="BF11" s="718">
        <f t="shared" si="14"/>
        <v>0</v>
      </c>
    </row>
    <row r="12" spans="1:61" x14ac:dyDescent="0.3">
      <c r="A12" s="88"/>
      <c r="B12" s="926" t="s">
        <v>2187</v>
      </c>
      <c r="C12" s="146" t="s">
        <v>50</v>
      </c>
      <c r="D12" s="5986"/>
      <c r="E12" s="6035"/>
      <c r="F12" s="1094">
        <v>0</v>
      </c>
      <c r="G12" s="6035"/>
      <c r="H12" s="1094">
        <v>0</v>
      </c>
      <c r="I12" s="5989"/>
      <c r="J12" s="718">
        <f t="shared" si="1"/>
        <v>0</v>
      </c>
      <c r="K12" s="6035"/>
      <c r="L12" s="1094"/>
      <c r="M12" s="6017"/>
      <c r="N12" s="717">
        <f t="shared" si="2"/>
        <v>0</v>
      </c>
      <c r="O12" s="6035"/>
      <c r="P12" s="1094"/>
      <c r="Q12" s="5989"/>
      <c r="R12" s="718">
        <f t="shared" si="3"/>
        <v>0</v>
      </c>
      <c r="S12" s="6035"/>
      <c r="T12" s="1094"/>
      <c r="U12" s="5989"/>
      <c r="V12" s="718">
        <f t="shared" si="4"/>
        <v>0</v>
      </c>
      <c r="W12" s="6035"/>
      <c r="X12" s="1094"/>
      <c r="Y12" s="6017">
        <f t="shared" si="16"/>
        <v>0</v>
      </c>
      <c r="Z12" s="6017">
        <f t="shared" si="5"/>
        <v>0</v>
      </c>
      <c r="AA12" s="5815">
        <f>M12+Y12</f>
        <v>0</v>
      </c>
      <c r="AB12" s="429">
        <f t="shared" si="0"/>
        <v>0</v>
      </c>
      <c r="AC12" s="6035"/>
      <c r="AD12" s="1094"/>
      <c r="AE12" s="5989"/>
      <c r="AF12" s="718">
        <f t="shared" si="6"/>
        <v>0</v>
      </c>
      <c r="AG12" s="6035"/>
      <c r="AH12" s="1094"/>
      <c r="AI12" s="5989"/>
      <c r="AJ12" s="718">
        <f t="shared" si="7"/>
        <v>0</v>
      </c>
      <c r="AK12" s="6035"/>
      <c r="AL12" s="1094"/>
      <c r="AM12" s="6017">
        <f t="shared" si="17"/>
        <v>0</v>
      </c>
      <c r="AN12" s="717">
        <f t="shared" si="8"/>
        <v>0</v>
      </c>
      <c r="AO12" s="5989"/>
      <c r="AP12" s="718">
        <f t="shared" si="9"/>
        <v>0</v>
      </c>
      <c r="AQ12" s="6035"/>
      <c r="AR12" s="1094"/>
      <c r="AS12" s="5989"/>
      <c r="AT12" s="718">
        <f t="shared" si="10"/>
        <v>0</v>
      </c>
      <c r="AU12" s="6035"/>
      <c r="AV12" s="1094"/>
      <c r="AW12" s="5989"/>
      <c r="AX12" s="718">
        <f t="shared" si="11"/>
        <v>0</v>
      </c>
      <c r="AY12" s="6035"/>
      <c r="AZ12" s="1094"/>
      <c r="BA12" s="6017">
        <f t="shared" si="18"/>
        <v>0</v>
      </c>
      <c r="BB12" s="717">
        <f t="shared" si="12"/>
        <v>0</v>
      </c>
      <c r="BC12" s="5815">
        <f>AO12+BA12</f>
        <v>0</v>
      </c>
      <c r="BD12" s="429">
        <f t="shared" si="13"/>
        <v>0</v>
      </c>
      <c r="BE12" s="5989"/>
      <c r="BF12" s="718">
        <f t="shared" si="14"/>
        <v>0</v>
      </c>
    </row>
    <row r="13" spans="1:61" ht="21.15" customHeight="1" x14ac:dyDescent="0.3">
      <c r="A13" s="88"/>
      <c r="B13" s="3123" t="s">
        <v>2</v>
      </c>
      <c r="C13" s="146" t="s">
        <v>50</v>
      </c>
      <c r="D13" s="421">
        <f>+'Maj Production Summ'!D30</f>
        <v>520000</v>
      </c>
      <c r="E13" s="1589">
        <f>+'Maj Production Summ'!E30</f>
        <v>36500</v>
      </c>
      <c r="F13" s="1589">
        <f t="shared" ref="F13" si="19">SUM(F7:F12)</f>
        <v>41076.229999999996</v>
      </c>
      <c r="G13" s="1589">
        <f>+'Maj Production Summ'!G30</f>
        <v>37500</v>
      </c>
      <c r="H13" s="1589">
        <f t="shared" ref="H13" si="20">SUM(H7:H12)</f>
        <v>29366.281999999999</v>
      </c>
      <c r="I13" s="344">
        <f>+E13+G13</f>
        <v>74000</v>
      </c>
      <c r="J13" s="718">
        <f t="shared" si="1"/>
        <v>70442.511999999988</v>
      </c>
      <c r="K13" s="1589">
        <f>+'Maj Production Summ'!K30</f>
        <v>42500</v>
      </c>
      <c r="L13" s="1589">
        <f t="shared" ref="L13" si="21">SUM(L7:L12)</f>
        <v>0</v>
      </c>
      <c r="M13" s="346">
        <f>+I13+K13</f>
        <v>116500</v>
      </c>
      <c r="N13" s="717">
        <f t="shared" si="2"/>
        <v>70442.511999999988</v>
      </c>
      <c r="O13" s="1589">
        <f>+'Maj Production Summ'!O30</f>
        <v>44000</v>
      </c>
      <c r="P13" s="1589">
        <f t="shared" ref="P13" si="22">SUM(P7:P12)</f>
        <v>0</v>
      </c>
      <c r="Q13" s="344">
        <f>+M13+O13</f>
        <v>160500</v>
      </c>
      <c r="R13" s="718">
        <f t="shared" si="3"/>
        <v>70442.511999999988</v>
      </c>
      <c r="S13" s="1589">
        <f>+'Maj Production Summ'!S30</f>
        <v>44000</v>
      </c>
      <c r="T13" s="1589">
        <f t="shared" ref="T13" si="23">SUM(T7:T12)</f>
        <v>0</v>
      </c>
      <c r="U13" s="344">
        <f>+Q13+S13</f>
        <v>204500</v>
      </c>
      <c r="V13" s="718">
        <f t="shared" si="4"/>
        <v>70442.511999999988</v>
      </c>
      <c r="W13" s="1589">
        <f>+'Maj Production Summ'!W30</f>
        <v>25000</v>
      </c>
      <c r="X13" s="1589">
        <f t="shared" ref="X13" si="24">SUM(X7:X12)</f>
        <v>0</v>
      </c>
      <c r="Y13" s="346">
        <f>O13+S13+W13</f>
        <v>113000</v>
      </c>
      <c r="Z13" s="346">
        <f t="shared" si="5"/>
        <v>0</v>
      </c>
      <c r="AA13" s="502">
        <f>M13+Y13</f>
        <v>229500</v>
      </c>
      <c r="AB13" s="429">
        <f t="shared" si="0"/>
        <v>70442.511999999988</v>
      </c>
      <c r="AC13" s="1589">
        <f>+'Maj Production Summ'!AC30</f>
        <v>42500</v>
      </c>
      <c r="AD13" s="1589">
        <f t="shared" ref="AD13" si="25">SUM(AD7:AD12)</f>
        <v>0</v>
      </c>
      <c r="AE13" s="344">
        <f>+AA13+AC13</f>
        <v>272000</v>
      </c>
      <c r="AF13" s="718">
        <f t="shared" si="6"/>
        <v>70442.511999999988</v>
      </c>
      <c r="AG13" s="1589">
        <f>+'Maj Production Summ'!AG30</f>
        <v>42500</v>
      </c>
      <c r="AH13" s="1589">
        <f t="shared" ref="AH13" si="26">SUM(AH7:AH12)</f>
        <v>0</v>
      </c>
      <c r="AI13" s="344">
        <f>+AE13+AG13</f>
        <v>314500</v>
      </c>
      <c r="AJ13" s="718">
        <f t="shared" si="7"/>
        <v>70442.511999999988</v>
      </c>
      <c r="AK13" s="1589">
        <f>+'Maj Production Summ'!AK30</f>
        <v>44000</v>
      </c>
      <c r="AL13" s="1589">
        <f t="shared" ref="AL13" si="27">SUM(AL7:AL12)</f>
        <v>0</v>
      </c>
      <c r="AM13" s="346">
        <f>AC13+AG13+AK13</f>
        <v>129000</v>
      </c>
      <c r="AN13" s="717">
        <f t="shared" si="8"/>
        <v>0</v>
      </c>
      <c r="AO13" s="344">
        <f>+AK13+AI13</f>
        <v>358500</v>
      </c>
      <c r="AP13" s="718">
        <f t="shared" si="9"/>
        <v>70442.511999999988</v>
      </c>
      <c r="AQ13" s="1589">
        <f>+'Maj Production Summ'!AQ30</f>
        <v>44500</v>
      </c>
      <c r="AR13" s="1589">
        <f t="shared" ref="AR13" si="28">SUM(AR7:AR12)</f>
        <v>0</v>
      </c>
      <c r="AS13" s="344">
        <f>+AO13+AQ13</f>
        <v>403000</v>
      </c>
      <c r="AT13" s="718">
        <f t="shared" si="10"/>
        <v>70442.511999999988</v>
      </c>
      <c r="AU13" s="1589">
        <f>+'Maj Production Summ'!AU30</f>
        <v>40000</v>
      </c>
      <c r="AV13" s="1589">
        <f t="shared" ref="AV13" si="29">SUM(AV7:AV12)</f>
        <v>0</v>
      </c>
      <c r="AW13" s="344">
        <f>+AS13+AU13</f>
        <v>443000</v>
      </c>
      <c r="AX13" s="718">
        <f t="shared" si="11"/>
        <v>70442.511999999988</v>
      </c>
      <c r="AY13" s="1589">
        <f>+'Maj Production Summ'!AY30</f>
        <v>44500</v>
      </c>
      <c r="AZ13" s="1589">
        <f t="shared" ref="AZ13" si="30">SUM(AZ7:AZ12)</f>
        <v>0</v>
      </c>
      <c r="BA13" s="346">
        <f>AQ13+AU13+AY13</f>
        <v>129000</v>
      </c>
      <c r="BB13" s="717">
        <f t="shared" si="12"/>
        <v>0</v>
      </c>
      <c r="BC13" s="502">
        <f>AM13+BA13</f>
        <v>258000</v>
      </c>
      <c r="BD13" s="429">
        <f t="shared" si="13"/>
        <v>0</v>
      </c>
      <c r="BE13" s="344">
        <f>+AA13+BC13</f>
        <v>487500</v>
      </c>
      <c r="BF13" s="718">
        <f t="shared" si="14"/>
        <v>70442.511999999988</v>
      </c>
    </row>
    <row r="14" spans="1:61" x14ac:dyDescent="0.3">
      <c r="A14" s="137"/>
      <c r="B14" s="3122" t="s">
        <v>95</v>
      </c>
      <c r="C14" s="406"/>
      <c r="D14" s="406"/>
      <c r="E14" s="5558"/>
      <c r="F14" s="406"/>
      <c r="G14" s="5558"/>
      <c r="H14" s="406"/>
      <c r="I14" s="2015"/>
      <c r="J14" s="718"/>
      <c r="K14" s="5558"/>
      <c r="L14" s="406"/>
      <c r="M14" s="5626"/>
      <c r="N14" s="717"/>
      <c r="O14" s="5558"/>
      <c r="P14" s="406"/>
      <c r="Q14" s="2015"/>
      <c r="R14" s="718"/>
      <c r="S14" s="5558"/>
      <c r="T14" s="406"/>
      <c r="U14" s="2015"/>
      <c r="V14" s="718"/>
      <c r="W14" s="5558"/>
      <c r="X14" s="406"/>
      <c r="Y14" s="5626"/>
      <c r="Z14" s="5626"/>
      <c r="AA14" s="2053"/>
      <c r="AB14" s="429"/>
      <c r="AC14" s="5558"/>
      <c r="AD14" s="406"/>
      <c r="AE14" s="2015"/>
      <c r="AF14" s="718"/>
      <c r="AG14" s="5558"/>
      <c r="AH14" s="406"/>
      <c r="AI14" s="2015"/>
      <c r="AJ14" s="718"/>
      <c r="AK14" s="5558"/>
      <c r="AL14" s="406"/>
      <c r="AM14" s="5626"/>
      <c r="AN14" s="717"/>
      <c r="AO14" s="2015"/>
      <c r="AP14" s="718"/>
      <c r="AQ14" s="5558"/>
      <c r="AR14" s="406"/>
      <c r="AS14" s="2015"/>
      <c r="AT14" s="718"/>
      <c r="AU14" s="5558"/>
      <c r="AV14" s="406"/>
      <c r="AW14" s="2015"/>
      <c r="AX14" s="718"/>
      <c r="AY14" s="5558"/>
      <c r="AZ14" s="406"/>
      <c r="BA14" s="5626"/>
      <c r="BB14" s="717"/>
      <c r="BC14" s="2053"/>
      <c r="BD14" s="429"/>
      <c r="BE14" s="2015"/>
      <c r="BF14" s="718"/>
    </row>
    <row r="15" spans="1:61" x14ac:dyDescent="0.3">
      <c r="A15" s="88"/>
      <c r="B15" s="926" t="s">
        <v>75</v>
      </c>
      <c r="C15" s="146" t="s">
        <v>50</v>
      </c>
      <c r="D15" s="5984">
        <f>+D21-D17-D18</f>
        <v>990000</v>
      </c>
      <c r="E15" s="5984">
        <f>+E21-E17-E18</f>
        <v>68500</v>
      </c>
      <c r="F15" s="1094">
        <v>36725.68</v>
      </c>
      <c r="G15" s="5984">
        <f>+G21-G17-G18</f>
        <v>71000</v>
      </c>
      <c r="H15" s="1094">
        <v>16987.980000000003</v>
      </c>
      <c r="I15" s="5987">
        <f>E15+G15</f>
        <v>139500</v>
      </c>
      <c r="J15" s="718">
        <f t="shared" si="1"/>
        <v>53713.66</v>
      </c>
      <c r="K15" s="5984">
        <f>+K21-K17-K18</f>
        <v>76000</v>
      </c>
      <c r="L15" s="1094"/>
      <c r="M15" s="6015">
        <f>I15+K15</f>
        <v>215500</v>
      </c>
      <c r="N15" s="717">
        <f t="shared" si="2"/>
        <v>53713.66</v>
      </c>
      <c r="O15" s="5984">
        <f>+O21-O17-O18</f>
        <v>79000</v>
      </c>
      <c r="P15" s="1094"/>
      <c r="Q15" s="5987">
        <f>M15+O15</f>
        <v>294500</v>
      </c>
      <c r="R15" s="718">
        <f t="shared" si="3"/>
        <v>53713.66</v>
      </c>
      <c r="S15" s="5984">
        <f>+S21-S17-S18</f>
        <v>79000</v>
      </c>
      <c r="T15" s="1094"/>
      <c r="U15" s="5987">
        <f>Q15+S15</f>
        <v>373500</v>
      </c>
      <c r="V15" s="718">
        <f t="shared" si="4"/>
        <v>53713.66</v>
      </c>
      <c r="W15" s="5984">
        <f>+W21-W17-W18</f>
        <v>47500</v>
      </c>
      <c r="X15" s="1094"/>
      <c r="Y15" s="6015">
        <f t="shared" ref="Y15:Y20" si="31">O15+S15+W15</f>
        <v>205500</v>
      </c>
      <c r="Z15" s="6015">
        <f t="shared" si="5"/>
        <v>0</v>
      </c>
      <c r="AA15" s="6002">
        <f>M15+Y15</f>
        <v>421000</v>
      </c>
      <c r="AB15" s="429">
        <f t="shared" ref="AB15:AB21" si="32">X15+V15</f>
        <v>53713.66</v>
      </c>
      <c r="AC15" s="5984">
        <f>+AC21-AC17-AC18</f>
        <v>78000</v>
      </c>
      <c r="AD15" s="1094"/>
      <c r="AE15" s="5987">
        <f>AA15+AC15</f>
        <v>499000</v>
      </c>
      <c r="AF15" s="718">
        <f t="shared" si="6"/>
        <v>53713.66</v>
      </c>
      <c r="AG15" s="5984">
        <f>+AG21-AG17-AG18</f>
        <v>76000</v>
      </c>
      <c r="AH15" s="1094"/>
      <c r="AI15" s="5987">
        <f>AE15+AG15</f>
        <v>575000</v>
      </c>
      <c r="AJ15" s="718">
        <f t="shared" si="7"/>
        <v>53713.66</v>
      </c>
      <c r="AK15" s="5984">
        <f>+AK21-AK17-AK18</f>
        <v>79000</v>
      </c>
      <c r="AL15" s="1094"/>
      <c r="AM15" s="6015">
        <f t="shared" ref="AM15:AM20" si="33">AC15+AG15+AK15</f>
        <v>233000</v>
      </c>
      <c r="AN15" s="717">
        <f t="shared" si="8"/>
        <v>0</v>
      </c>
      <c r="AO15" s="5987">
        <f>AK15+AI15</f>
        <v>654000</v>
      </c>
      <c r="AP15" s="718">
        <f>AL15+AJ15</f>
        <v>53713.66</v>
      </c>
      <c r="AQ15" s="5984">
        <f>+AQ21-AQ17-AQ18</f>
        <v>79000</v>
      </c>
      <c r="AR15" s="1094"/>
      <c r="AS15" s="5987">
        <f>AO15+AQ15</f>
        <v>733000</v>
      </c>
      <c r="AT15" s="718">
        <f t="shared" si="10"/>
        <v>53713.66</v>
      </c>
      <c r="AU15" s="5984">
        <f>+AU21-AU17-AU18</f>
        <v>71500</v>
      </c>
      <c r="AV15" s="1094"/>
      <c r="AW15" s="5987">
        <f>AS15+AU15</f>
        <v>804500</v>
      </c>
      <c r="AX15" s="718">
        <f t="shared" si="11"/>
        <v>53713.66</v>
      </c>
      <c r="AY15" s="5984">
        <f>+AY21-AY17-AY18</f>
        <v>80000</v>
      </c>
      <c r="AZ15" s="1094"/>
      <c r="BA15" s="6015">
        <f t="shared" ref="BA15:BA20" si="34">AQ15+AU15+AY15</f>
        <v>230500</v>
      </c>
      <c r="BB15" s="717">
        <f t="shared" si="12"/>
        <v>0</v>
      </c>
      <c r="BC15" s="6002">
        <f>AM15+BA15</f>
        <v>463500</v>
      </c>
      <c r="BD15" s="429">
        <f t="shared" si="13"/>
        <v>0</v>
      </c>
      <c r="BE15" s="5987">
        <f>AA15+BC15</f>
        <v>884500</v>
      </c>
      <c r="BF15" s="718">
        <f t="shared" si="14"/>
        <v>53713.66</v>
      </c>
    </row>
    <row r="16" spans="1:61" x14ac:dyDescent="0.3">
      <c r="A16" s="88"/>
      <c r="B16" s="926" t="s">
        <v>76</v>
      </c>
      <c r="C16" s="146" t="s">
        <v>50</v>
      </c>
      <c r="D16" s="5986"/>
      <c r="E16" s="5986"/>
      <c r="F16" s="1031">
        <v>41973.05</v>
      </c>
      <c r="G16" s="5986"/>
      <c r="H16" s="1031">
        <v>18071.830000000005</v>
      </c>
      <c r="I16" s="5989"/>
      <c r="J16" s="718">
        <f t="shared" si="1"/>
        <v>60044.880000000005</v>
      </c>
      <c r="K16" s="5986"/>
      <c r="L16" s="1031"/>
      <c r="M16" s="6017"/>
      <c r="N16" s="717">
        <f t="shared" si="2"/>
        <v>60044.880000000005</v>
      </c>
      <c r="O16" s="5986"/>
      <c r="P16" s="1031"/>
      <c r="Q16" s="5989"/>
      <c r="R16" s="718">
        <f t="shared" si="3"/>
        <v>60044.880000000005</v>
      </c>
      <c r="S16" s="5986"/>
      <c r="T16" s="1031"/>
      <c r="U16" s="5989"/>
      <c r="V16" s="718">
        <f t="shared" si="4"/>
        <v>60044.880000000005</v>
      </c>
      <c r="W16" s="5986"/>
      <c r="X16" s="1031"/>
      <c r="Y16" s="6017">
        <f t="shared" si="31"/>
        <v>0</v>
      </c>
      <c r="Z16" s="6017">
        <f t="shared" si="5"/>
        <v>0</v>
      </c>
      <c r="AA16" s="5815"/>
      <c r="AB16" s="429">
        <f t="shared" si="32"/>
        <v>60044.880000000005</v>
      </c>
      <c r="AC16" s="5986"/>
      <c r="AD16" s="1031"/>
      <c r="AE16" s="5989"/>
      <c r="AF16" s="718">
        <f t="shared" si="6"/>
        <v>60044.880000000005</v>
      </c>
      <c r="AG16" s="5986"/>
      <c r="AH16" s="1031"/>
      <c r="AI16" s="5989"/>
      <c r="AJ16" s="718">
        <f t="shared" si="7"/>
        <v>60044.880000000005</v>
      </c>
      <c r="AK16" s="5986"/>
      <c r="AL16" s="1031"/>
      <c r="AM16" s="6017">
        <f t="shared" si="33"/>
        <v>0</v>
      </c>
      <c r="AN16" s="717">
        <f t="shared" si="8"/>
        <v>0</v>
      </c>
      <c r="AO16" s="5989"/>
      <c r="AP16" s="718">
        <f t="shared" ref="AP16:AP21" si="35">AL16+AJ16</f>
        <v>60044.880000000005</v>
      </c>
      <c r="AQ16" s="5986"/>
      <c r="AR16" s="1031"/>
      <c r="AS16" s="5989"/>
      <c r="AT16" s="718">
        <f t="shared" si="10"/>
        <v>60044.880000000005</v>
      </c>
      <c r="AU16" s="5986"/>
      <c r="AV16" s="1031"/>
      <c r="AW16" s="5989"/>
      <c r="AX16" s="718">
        <f t="shared" si="11"/>
        <v>60044.880000000005</v>
      </c>
      <c r="AY16" s="5986"/>
      <c r="AZ16" s="1031"/>
      <c r="BA16" s="6017">
        <f t="shared" si="34"/>
        <v>0</v>
      </c>
      <c r="BB16" s="717">
        <f t="shared" si="12"/>
        <v>0</v>
      </c>
      <c r="BC16" s="5815"/>
      <c r="BD16" s="429">
        <f t="shared" si="13"/>
        <v>0</v>
      </c>
      <c r="BE16" s="5989"/>
      <c r="BF16" s="718">
        <f t="shared" si="14"/>
        <v>60044.880000000005</v>
      </c>
    </row>
    <row r="17" spans="1:58" x14ac:dyDescent="0.3">
      <c r="A17" s="88"/>
      <c r="B17" s="926" t="s">
        <v>136</v>
      </c>
      <c r="C17" s="146" t="s">
        <v>50</v>
      </c>
      <c r="D17" s="1031">
        <v>0</v>
      </c>
      <c r="E17" s="5563">
        <v>0</v>
      </c>
      <c r="F17" s="1094">
        <v>0</v>
      </c>
      <c r="G17" s="5563">
        <v>0</v>
      </c>
      <c r="H17" s="1094">
        <v>327.86</v>
      </c>
      <c r="I17" s="718">
        <f>+E17+G17</f>
        <v>0</v>
      </c>
      <c r="J17" s="718">
        <f t="shared" si="1"/>
        <v>327.86</v>
      </c>
      <c r="K17" s="5563"/>
      <c r="L17" s="1094"/>
      <c r="M17" s="717">
        <f>+I17+K17</f>
        <v>0</v>
      </c>
      <c r="N17" s="717">
        <f t="shared" si="2"/>
        <v>327.86</v>
      </c>
      <c r="O17" s="5563"/>
      <c r="P17" s="1094"/>
      <c r="Q17" s="718">
        <f>+M17+O17</f>
        <v>0</v>
      </c>
      <c r="R17" s="718">
        <f t="shared" si="3"/>
        <v>327.86</v>
      </c>
      <c r="S17" s="5563"/>
      <c r="T17" s="1094"/>
      <c r="U17" s="718">
        <f>+Q17+S17</f>
        <v>0</v>
      </c>
      <c r="V17" s="718">
        <f t="shared" si="4"/>
        <v>327.86</v>
      </c>
      <c r="W17" s="5563"/>
      <c r="X17" s="1094"/>
      <c r="Y17" s="717">
        <f t="shared" si="31"/>
        <v>0</v>
      </c>
      <c r="Z17" s="717">
        <f t="shared" si="5"/>
        <v>0</v>
      </c>
      <c r="AA17" s="429">
        <f>M17+Y17</f>
        <v>0</v>
      </c>
      <c r="AB17" s="429">
        <f t="shared" si="32"/>
        <v>327.86</v>
      </c>
      <c r="AC17" s="5563"/>
      <c r="AD17" s="1094"/>
      <c r="AE17" s="718">
        <f>+AA17+AC17</f>
        <v>0</v>
      </c>
      <c r="AF17" s="718">
        <f t="shared" si="6"/>
        <v>327.86</v>
      </c>
      <c r="AG17" s="5563"/>
      <c r="AH17" s="1094"/>
      <c r="AI17" s="718">
        <f>+AE17+AG17</f>
        <v>0</v>
      </c>
      <c r="AJ17" s="718">
        <f t="shared" si="7"/>
        <v>327.86</v>
      </c>
      <c r="AK17" s="5563"/>
      <c r="AL17" s="1094"/>
      <c r="AM17" s="717">
        <f t="shared" si="33"/>
        <v>0</v>
      </c>
      <c r="AN17" s="717">
        <f t="shared" si="8"/>
        <v>0</v>
      </c>
      <c r="AO17" s="718">
        <f>+AK17+AI17</f>
        <v>0</v>
      </c>
      <c r="AP17" s="718">
        <f t="shared" si="35"/>
        <v>327.86</v>
      </c>
      <c r="AQ17" s="5563"/>
      <c r="AR17" s="1094"/>
      <c r="AS17" s="718">
        <f>+AO17+AQ17</f>
        <v>0</v>
      </c>
      <c r="AT17" s="718">
        <f t="shared" si="10"/>
        <v>327.86</v>
      </c>
      <c r="AU17" s="5563"/>
      <c r="AV17" s="1094"/>
      <c r="AW17" s="718">
        <f>+AS17+AU17</f>
        <v>0</v>
      </c>
      <c r="AX17" s="718">
        <f t="shared" si="11"/>
        <v>327.86</v>
      </c>
      <c r="AY17" s="5563"/>
      <c r="AZ17" s="1094"/>
      <c r="BA17" s="717">
        <f t="shared" si="34"/>
        <v>0</v>
      </c>
      <c r="BB17" s="717">
        <f t="shared" si="12"/>
        <v>0</v>
      </c>
      <c r="BC17" s="429">
        <f>AM17+BA17</f>
        <v>0</v>
      </c>
      <c r="BD17" s="429">
        <f t="shared" si="13"/>
        <v>0</v>
      </c>
      <c r="BE17" s="718">
        <f>+AA17+BC17</f>
        <v>0</v>
      </c>
      <c r="BF17" s="718">
        <f t="shared" si="14"/>
        <v>327.86</v>
      </c>
    </row>
    <row r="18" spans="1:58" x14ac:dyDescent="0.3">
      <c r="A18" s="88"/>
      <c r="B18" s="5064" t="s">
        <v>2188</v>
      </c>
      <c r="C18" s="4932" t="s">
        <v>50</v>
      </c>
      <c r="D18" s="5984">
        <v>0</v>
      </c>
      <c r="E18" s="6033">
        <v>0</v>
      </c>
      <c r="F18" s="4923">
        <v>0</v>
      </c>
      <c r="G18" s="6033">
        <v>0</v>
      </c>
      <c r="H18" s="4923">
        <v>0</v>
      </c>
      <c r="I18" s="5987">
        <f>+E18+G18</f>
        <v>0</v>
      </c>
      <c r="J18" s="718">
        <f t="shared" ref="J18" si="36">F18+H18</f>
        <v>0</v>
      </c>
      <c r="K18" s="6033"/>
      <c r="L18" s="4923"/>
      <c r="M18" s="6015">
        <f>+I18+K18</f>
        <v>0</v>
      </c>
      <c r="N18" s="717">
        <f t="shared" si="2"/>
        <v>0</v>
      </c>
      <c r="O18" s="6033"/>
      <c r="P18" s="4923"/>
      <c r="Q18" s="5987">
        <f>+M18+O18</f>
        <v>0</v>
      </c>
      <c r="R18" s="718">
        <f t="shared" si="3"/>
        <v>0</v>
      </c>
      <c r="S18" s="6033"/>
      <c r="T18" s="4923"/>
      <c r="U18" s="5987">
        <f>+Q18+S18</f>
        <v>0</v>
      </c>
      <c r="V18" s="718">
        <f t="shared" si="4"/>
        <v>0</v>
      </c>
      <c r="W18" s="6033"/>
      <c r="X18" s="4923"/>
      <c r="Y18" s="6015">
        <f t="shared" ref="Y18" si="37">O18+S18+W18</f>
        <v>0</v>
      </c>
      <c r="Z18" s="6015">
        <f t="shared" si="5"/>
        <v>0</v>
      </c>
      <c r="AA18" s="6002">
        <f>M18+Y18</f>
        <v>0</v>
      </c>
      <c r="AB18" s="429">
        <f t="shared" si="32"/>
        <v>0</v>
      </c>
      <c r="AC18" s="6033"/>
      <c r="AD18" s="4923"/>
      <c r="AE18" s="5987">
        <f>+AA18+AC18</f>
        <v>0</v>
      </c>
      <c r="AF18" s="718">
        <f t="shared" si="6"/>
        <v>0</v>
      </c>
      <c r="AG18" s="6033"/>
      <c r="AH18" s="4923"/>
      <c r="AI18" s="5987">
        <f>+AE18+AG18</f>
        <v>0</v>
      </c>
      <c r="AJ18" s="718">
        <f t="shared" si="7"/>
        <v>0</v>
      </c>
      <c r="AK18" s="6033"/>
      <c r="AL18" s="4923"/>
      <c r="AM18" s="6015">
        <f t="shared" si="33"/>
        <v>0</v>
      </c>
      <c r="AN18" s="717">
        <f t="shared" si="8"/>
        <v>0</v>
      </c>
      <c r="AO18" s="5987">
        <f>+AK18+AI18</f>
        <v>0</v>
      </c>
      <c r="AP18" s="718">
        <f t="shared" si="35"/>
        <v>0</v>
      </c>
      <c r="AQ18" s="6033"/>
      <c r="AR18" s="4923"/>
      <c r="AS18" s="5987">
        <f>+AO18+AQ18</f>
        <v>0</v>
      </c>
      <c r="AT18" s="718">
        <f t="shared" si="10"/>
        <v>0</v>
      </c>
      <c r="AU18" s="6033"/>
      <c r="AV18" s="4923"/>
      <c r="AW18" s="5987">
        <f>+AS18+AU18</f>
        <v>0</v>
      </c>
      <c r="AX18" s="718">
        <f t="shared" si="11"/>
        <v>0</v>
      </c>
      <c r="AY18" s="6033"/>
      <c r="AZ18" s="4923"/>
      <c r="BA18" s="6015">
        <f t="shared" si="34"/>
        <v>0</v>
      </c>
      <c r="BB18" s="717">
        <f t="shared" si="12"/>
        <v>0</v>
      </c>
      <c r="BC18" s="6002">
        <f>AM18+BA18</f>
        <v>0</v>
      </c>
      <c r="BD18" s="429">
        <f t="shared" si="13"/>
        <v>0</v>
      </c>
      <c r="BE18" s="5987">
        <f>+AA18+BC18</f>
        <v>0</v>
      </c>
      <c r="BF18" s="718">
        <f t="shared" si="14"/>
        <v>0</v>
      </c>
    </row>
    <row r="19" spans="1:58" x14ac:dyDescent="0.3">
      <c r="A19" s="88"/>
      <c r="B19" s="926" t="s">
        <v>2186</v>
      </c>
      <c r="C19" s="146" t="s">
        <v>50</v>
      </c>
      <c r="D19" s="5985"/>
      <c r="E19" s="6034"/>
      <c r="F19" s="1094">
        <v>0</v>
      </c>
      <c r="G19" s="6034"/>
      <c r="H19" s="1094">
        <v>0</v>
      </c>
      <c r="I19" s="5988"/>
      <c r="J19" s="718">
        <f t="shared" si="1"/>
        <v>0</v>
      </c>
      <c r="K19" s="6034"/>
      <c r="L19" s="1094"/>
      <c r="M19" s="6016"/>
      <c r="N19" s="717">
        <f t="shared" si="2"/>
        <v>0</v>
      </c>
      <c r="O19" s="6034"/>
      <c r="P19" s="1094"/>
      <c r="Q19" s="5988"/>
      <c r="R19" s="718">
        <f t="shared" si="3"/>
        <v>0</v>
      </c>
      <c r="S19" s="6034"/>
      <c r="T19" s="1094"/>
      <c r="U19" s="5988"/>
      <c r="V19" s="718">
        <f t="shared" si="4"/>
        <v>0</v>
      </c>
      <c r="W19" s="6034"/>
      <c r="X19" s="1094"/>
      <c r="Y19" s="6016">
        <f t="shared" si="31"/>
        <v>0</v>
      </c>
      <c r="Z19" s="6016">
        <f t="shared" si="5"/>
        <v>0</v>
      </c>
      <c r="AA19" s="5814">
        <f>M19+Y19</f>
        <v>0</v>
      </c>
      <c r="AB19" s="429">
        <f t="shared" si="32"/>
        <v>0</v>
      </c>
      <c r="AC19" s="6034"/>
      <c r="AD19" s="1094"/>
      <c r="AE19" s="5988"/>
      <c r="AF19" s="718">
        <f t="shared" si="6"/>
        <v>0</v>
      </c>
      <c r="AG19" s="6034"/>
      <c r="AH19" s="1094"/>
      <c r="AI19" s="5988"/>
      <c r="AJ19" s="718">
        <f t="shared" si="7"/>
        <v>0</v>
      </c>
      <c r="AK19" s="6034"/>
      <c r="AL19" s="1094"/>
      <c r="AM19" s="6016">
        <f t="shared" si="33"/>
        <v>0</v>
      </c>
      <c r="AN19" s="717">
        <f t="shared" si="8"/>
        <v>0</v>
      </c>
      <c r="AO19" s="5988"/>
      <c r="AP19" s="718">
        <f t="shared" si="35"/>
        <v>0</v>
      </c>
      <c r="AQ19" s="6034"/>
      <c r="AR19" s="1094"/>
      <c r="AS19" s="5988"/>
      <c r="AT19" s="718">
        <f t="shared" si="10"/>
        <v>0</v>
      </c>
      <c r="AU19" s="6034"/>
      <c r="AV19" s="1094"/>
      <c r="AW19" s="5988"/>
      <c r="AX19" s="718">
        <f t="shared" si="11"/>
        <v>0</v>
      </c>
      <c r="AY19" s="6034"/>
      <c r="AZ19" s="1094"/>
      <c r="BA19" s="6016">
        <f t="shared" si="34"/>
        <v>0</v>
      </c>
      <c r="BB19" s="717">
        <f t="shared" si="12"/>
        <v>0</v>
      </c>
      <c r="BC19" s="5814">
        <f>AO19+BA19</f>
        <v>0</v>
      </c>
      <c r="BD19" s="429">
        <f t="shared" si="13"/>
        <v>0</v>
      </c>
      <c r="BE19" s="5988"/>
      <c r="BF19" s="718">
        <f t="shared" si="14"/>
        <v>0</v>
      </c>
    </row>
    <row r="20" spans="1:58" x14ac:dyDescent="0.3">
      <c r="A20" s="88"/>
      <c r="B20" s="926" t="s">
        <v>2187</v>
      </c>
      <c r="C20" s="146" t="s">
        <v>50</v>
      </c>
      <c r="D20" s="5986"/>
      <c r="E20" s="6035"/>
      <c r="F20" s="1094">
        <v>0</v>
      </c>
      <c r="G20" s="6035"/>
      <c r="H20" s="1094">
        <v>0</v>
      </c>
      <c r="I20" s="5989"/>
      <c r="J20" s="718">
        <f t="shared" si="1"/>
        <v>0</v>
      </c>
      <c r="K20" s="6035"/>
      <c r="L20" s="1094"/>
      <c r="M20" s="6017"/>
      <c r="N20" s="717">
        <f t="shared" si="2"/>
        <v>0</v>
      </c>
      <c r="O20" s="6035"/>
      <c r="P20" s="1094"/>
      <c r="Q20" s="5989"/>
      <c r="R20" s="718">
        <f t="shared" si="3"/>
        <v>0</v>
      </c>
      <c r="S20" s="6035"/>
      <c r="T20" s="1094"/>
      <c r="U20" s="5989"/>
      <c r="V20" s="718">
        <f t="shared" si="4"/>
        <v>0</v>
      </c>
      <c r="W20" s="6035"/>
      <c r="X20" s="1094"/>
      <c r="Y20" s="6017">
        <f t="shared" si="31"/>
        <v>0</v>
      </c>
      <c r="Z20" s="6017">
        <f t="shared" si="5"/>
        <v>0</v>
      </c>
      <c r="AA20" s="5815">
        <f>M20+Y20</f>
        <v>0</v>
      </c>
      <c r="AB20" s="429">
        <f t="shared" si="32"/>
        <v>0</v>
      </c>
      <c r="AC20" s="6035"/>
      <c r="AD20" s="1094"/>
      <c r="AE20" s="5989"/>
      <c r="AF20" s="718">
        <f t="shared" si="6"/>
        <v>0</v>
      </c>
      <c r="AG20" s="6035"/>
      <c r="AH20" s="1094"/>
      <c r="AI20" s="5989"/>
      <c r="AJ20" s="718">
        <f t="shared" si="7"/>
        <v>0</v>
      </c>
      <c r="AK20" s="6035"/>
      <c r="AL20" s="1094"/>
      <c r="AM20" s="6017">
        <f t="shared" si="33"/>
        <v>0</v>
      </c>
      <c r="AN20" s="717">
        <f t="shared" si="8"/>
        <v>0</v>
      </c>
      <c r="AO20" s="5989"/>
      <c r="AP20" s="718">
        <f t="shared" si="35"/>
        <v>0</v>
      </c>
      <c r="AQ20" s="6035"/>
      <c r="AR20" s="1094"/>
      <c r="AS20" s="5989"/>
      <c r="AT20" s="718">
        <f t="shared" si="10"/>
        <v>0</v>
      </c>
      <c r="AU20" s="6035"/>
      <c r="AV20" s="1094"/>
      <c r="AW20" s="5989"/>
      <c r="AX20" s="718">
        <f t="shared" si="11"/>
        <v>0</v>
      </c>
      <c r="AY20" s="6035"/>
      <c r="AZ20" s="1094"/>
      <c r="BA20" s="6017">
        <f t="shared" si="34"/>
        <v>0</v>
      </c>
      <c r="BB20" s="717">
        <f t="shared" si="12"/>
        <v>0</v>
      </c>
      <c r="BC20" s="5815">
        <f>AO20+BA20</f>
        <v>0</v>
      </c>
      <c r="BD20" s="429">
        <f t="shared" si="13"/>
        <v>0</v>
      </c>
      <c r="BE20" s="5989"/>
      <c r="BF20" s="718">
        <f t="shared" si="14"/>
        <v>0</v>
      </c>
    </row>
    <row r="21" spans="1:58" ht="21.15" customHeight="1" x14ac:dyDescent="0.3">
      <c r="A21" s="88"/>
      <c r="B21" s="3123" t="s">
        <v>2</v>
      </c>
      <c r="C21" s="146" t="s">
        <v>50</v>
      </c>
      <c r="D21" s="421">
        <f>+'Maj Production Summ'!D31</f>
        <v>990000</v>
      </c>
      <c r="E21" s="1589">
        <f>+'Maj Production Summ'!E31</f>
        <v>68500</v>
      </c>
      <c r="F21" s="1589">
        <f t="shared" ref="F21" si="38">SUM(F15:F20)</f>
        <v>78698.73000000001</v>
      </c>
      <c r="G21" s="1589">
        <f>+'Maj Production Summ'!G31</f>
        <v>71000</v>
      </c>
      <c r="H21" s="1589">
        <f t="shared" ref="H21" si="39">SUM(H15:H20)</f>
        <v>35387.670000000013</v>
      </c>
      <c r="I21" s="344">
        <f>+E21+G21</f>
        <v>139500</v>
      </c>
      <c r="J21" s="718">
        <f t="shared" si="1"/>
        <v>114086.40000000002</v>
      </c>
      <c r="K21" s="1589">
        <f>+'Maj Production Summ'!K31</f>
        <v>76000</v>
      </c>
      <c r="L21" s="1589">
        <f t="shared" ref="L21" si="40">SUM(L15:L20)</f>
        <v>0</v>
      </c>
      <c r="M21" s="346">
        <f>+I21+K21</f>
        <v>215500</v>
      </c>
      <c r="N21" s="717">
        <f t="shared" si="2"/>
        <v>114086.40000000002</v>
      </c>
      <c r="O21" s="1589">
        <f>+'Maj Production Summ'!O31</f>
        <v>79000</v>
      </c>
      <c r="P21" s="1589">
        <f t="shared" ref="P21" si="41">SUM(P15:P20)</f>
        <v>0</v>
      </c>
      <c r="Q21" s="344">
        <f>+M21+O21</f>
        <v>294500</v>
      </c>
      <c r="R21" s="718">
        <f t="shared" si="3"/>
        <v>114086.40000000002</v>
      </c>
      <c r="S21" s="1589">
        <f>+'Maj Production Summ'!S31</f>
        <v>79000</v>
      </c>
      <c r="T21" s="1589">
        <f t="shared" ref="T21" si="42">SUM(T15:T20)</f>
        <v>0</v>
      </c>
      <c r="U21" s="344">
        <f>+Q21+S21</f>
        <v>373500</v>
      </c>
      <c r="V21" s="718">
        <f t="shared" si="4"/>
        <v>114086.40000000002</v>
      </c>
      <c r="W21" s="1589">
        <f>+'Maj Production Summ'!W31</f>
        <v>47500</v>
      </c>
      <c r="X21" s="1589">
        <f t="shared" ref="X21" si="43">SUM(X15:X20)</f>
        <v>0</v>
      </c>
      <c r="Y21" s="346">
        <f>O21+S21+W21</f>
        <v>205500</v>
      </c>
      <c r="Z21" s="346">
        <f t="shared" si="5"/>
        <v>0</v>
      </c>
      <c r="AA21" s="502">
        <f>M21+Y21</f>
        <v>421000</v>
      </c>
      <c r="AB21" s="429">
        <f t="shared" si="32"/>
        <v>114086.40000000002</v>
      </c>
      <c r="AC21" s="1589">
        <f>+'Maj Production Summ'!AC31</f>
        <v>78000</v>
      </c>
      <c r="AD21" s="1589">
        <f t="shared" ref="AD21" si="44">SUM(AD15:AD20)</f>
        <v>0</v>
      </c>
      <c r="AE21" s="344">
        <f>+AA21+AC21</f>
        <v>499000</v>
      </c>
      <c r="AF21" s="718">
        <f t="shared" si="6"/>
        <v>114086.40000000002</v>
      </c>
      <c r="AG21" s="1589">
        <f>+'Maj Production Summ'!AG31</f>
        <v>76000</v>
      </c>
      <c r="AH21" s="1589">
        <f t="shared" ref="AH21" si="45">SUM(AH15:AH20)</f>
        <v>0</v>
      </c>
      <c r="AI21" s="344">
        <f>+AE21+AG21</f>
        <v>575000</v>
      </c>
      <c r="AJ21" s="718">
        <f t="shared" si="7"/>
        <v>114086.40000000002</v>
      </c>
      <c r="AK21" s="1589">
        <f>+'Maj Production Summ'!AK31</f>
        <v>79000</v>
      </c>
      <c r="AL21" s="1589">
        <f t="shared" ref="AL21" si="46">SUM(AL15:AL20)</f>
        <v>0</v>
      </c>
      <c r="AM21" s="346">
        <f>AC21+AG21+AK21</f>
        <v>233000</v>
      </c>
      <c r="AN21" s="717">
        <f t="shared" si="8"/>
        <v>0</v>
      </c>
      <c r="AO21" s="344">
        <f>+AK21+AI21</f>
        <v>654000</v>
      </c>
      <c r="AP21" s="718">
        <f t="shared" si="35"/>
        <v>114086.40000000002</v>
      </c>
      <c r="AQ21" s="1589">
        <f>+'Maj Production Summ'!AQ31</f>
        <v>79000</v>
      </c>
      <c r="AR21" s="1589">
        <f t="shared" ref="AR21" si="47">SUM(AR15:AR20)</f>
        <v>0</v>
      </c>
      <c r="AS21" s="344">
        <f>+AO21+AQ21</f>
        <v>733000</v>
      </c>
      <c r="AT21" s="718">
        <f t="shared" si="10"/>
        <v>114086.40000000002</v>
      </c>
      <c r="AU21" s="1589">
        <f>+'Maj Production Summ'!AU31</f>
        <v>71500</v>
      </c>
      <c r="AV21" s="1589">
        <f t="shared" ref="AV21" si="48">SUM(AV15:AV20)</f>
        <v>0</v>
      </c>
      <c r="AW21" s="344">
        <f>+AS21+AU21</f>
        <v>804500</v>
      </c>
      <c r="AX21" s="718">
        <f t="shared" si="11"/>
        <v>114086.40000000002</v>
      </c>
      <c r="AY21" s="1589">
        <f>+'Maj Production Summ'!AY31</f>
        <v>80000</v>
      </c>
      <c r="AZ21" s="1589">
        <f t="shared" ref="AZ21" si="49">SUM(AZ15:AZ20)</f>
        <v>0</v>
      </c>
      <c r="BA21" s="346">
        <f>AQ21+AU21+AY21</f>
        <v>230500</v>
      </c>
      <c r="BB21" s="717">
        <f t="shared" si="12"/>
        <v>0</v>
      </c>
      <c r="BC21" s="502">
        <f>AM21+BA21</f>
        <v>463500</v>
      </c>
      <c r="BD21" s="429">
        <f t="shared" si="13"/>
        <v>0</v>
      </c>
      <c r="BE21" s="344">
        <f>+AA21+BC21</f>
        <v>884500</v>
      </c>
      <c r="BF21" s="718">
        <f t="shared" si="14"/>
        <v>114086.40000000002</v>
      </c>
    </row>
    <row r="22" spans="1:58" x14ac:dyDescent="0.3">
      <c r="A22" s="142"/>
      <c r="B22" s="3122" t="s">
        <v>115</v>
      </c>
      <c r="C22" s="5075"/>
      <c r="D22" s="3122"/>
      <c r="E22" s="3125"/>
      <c r="F22" s="3124"/>
      <c r="G22" s="3125"/>
      <c r="H22" s="3124"/>
      <c r="I22" s="5066"/>
      <c r="J22" s="718"/>
      <c r="K22" s="3125"/>
      <c r="L22" s="3124"/>
      <c r="M22" s="5627"/>
      <c r="N22" s="717"/>
      <c r="O22" s="3125"/>
      <c r="P22" s="3124"/>
      <c r="Q22" s="5066"/>
      <c r="R22" s="718"/>
      <c r="S22" s="3125"/>
      <c r="T22" s="3124"/>
      <c r="U22" s="5066"/>
      <c r="V22" s="718"/>
      <c r="W22" s="3125"/>
      <c r="X22" s="3124"/>
      <c r="Y22" s="5627"/>
      <c r="Z22" s="5627"/>
      <c r="AA22" s="5637"/>
      <c r="AB22" s="429"/>
      <c r="AC22" s="3125"/>
      <c r="AD22" s="3124"/>
      <c r="AE22" s="5066"/>
      <c r="AF22" s="718"/>
      <c r="AG22" s="3125"/>
      <c r="AH22" s="3124"/>
      <c r="AI22" s="5066"/>
      <c r="AJ22" s="718"/>
      <c r="AK22" s="3125"/>
      <c r="AL22" s="3124"/>
      <c r="AM22" s="5627"/>
      <c r="AN22" s="717"/>
      <c r="AO22" s="5066"/>
      <c r="AP22" s="718"/>
      <c r="AQ22" s="3125"/>
      <c r="AR22" s="3124"/>
      <c r="AS22" s="5066"/>
      <c r="AT22" s="718"/>
      <c r="AU22" s="3125"/>
      <c r="AV22" s="3124"/>
      <c r="AW22" s="5066"/>
      <c r="AX22" s="718"/>
      <c r="AY22" s="3125"/>
      <c r="AZ22" s="3124"/>
      <c r="BA22" s="5627"/>
      <c r="BB22" s="717"/>
      <c r="BC22" s="5637"/>
      <c r="BD22" s="429"/>
      <c r="BE22" s="5066"/>
      <c r="BF22" s="718"/>
    </row>
    <row r="23" spans="1:58" x14ac:dyDescent="0.3">
      <c r="A23" s="88"/>
      <c r="B23" s="926" t="s">
        <v>75</v>
      </c>
      <c r="C23" s="146" t="s">
        <v>50</v>
      </c>
      <c r="D23" s="5984">
        <f>+D29-D25-D26</f>
        <v>847000</v>
      </c>
      <c r="E23" s="5984">
        <f>+E29-E25-E26</f>
        <v>56000</v>
      </c>
      <c r="F23" s="1031">
        <v>27429.559999999994</v>
      </c>
      <c r="G23" s="5984">
        <f>+G29-G25-G26</f>
        <v>59500</v>
      </c>
      <c r="H23" s="1031">
        <v>13100.049999999997</v>
      </c>
      <c r="I23" s="5987">
        <f>E23+G23</f>
        <v>115500</v>
      </c>
      <c r="J23" s="718">
        <f t="shared" si="1"/>
        <v>40529.609999999993</v>
      </c>
      <c r="K23" s="5984">
        <f>+K29-K25-K26</f>
        <v>62500</v>
      </c>
      <c r="L23" s="1031"/>
      <c r="M23" s="6015">
        <f>I23+K23</f>
        <v>178000</v>
      </c>
      <c r="N23" s="717">
        <f t="shared" si="2"/>
        <v>40529.609999999993</v>
      </c>
      <c r="O23" s="5984">
        <f>+O29-O25-O26</f>
        <v>65000</v>
      </c>
      <c r="P23" s="1031"/>
      <c r="Q23" s="5987">
        <f>M23+O23</f>
        <v>243000</v>
      </c>
      <c r="R23" s="718">
        <f t="shared" si="3"/>
        <v>40529.609999999993</v>
      </c>
      <c r="S23" s="5984">
        <f>+S29-S25-S26</f>
        <v>65000</v>
      </c>
      <c r="T23" s="1031"/>
      <c r="U23" s="5987">
        <f>Q23+S23</f>
        <v>308000</v>
      </c>
      <c r="V23" s="718">
        <f t="shared" si="4"/>
        <v>40529.609999999993</v>
      </c>
      <c r="W23" s="5984">
        <f>+W29-W25-W26</f>
        <v>33500</v>
      </c>
      <c r="X23" s="1031"/>
      <c r="Y23" s="6015">
        <f>O23+S23+W23</f>
        <v>163500</v>
      </c>
      <c r="Z23" s="6015">
        <f t="shared" si="5"/>
        <v>0</v>
      </c>
      <c r="AA23" s="6002">
        <f>M23+Y23</f>
        <v>341500</v>
      </c>
      <c r="AB23" s="429">
        <f t="shared" ref="AB23:AB29" si="50">X23+V23</f>
        <v>40529.609999999993</v>
      </c>
      <c r="AC23" s="5984">
        <f>+AC29-AC25-AC26</f>
        <v>67000</v>
      </c>
      <c r="AD23" s="1031"/>
      <c r="AE23" s="5987">
        <f>AA23+AC23</f>
        <v>408500</v>
      </c>
      <c r="AF23" s="718">
        <f t="shared" si="6"/>
        <v>40529.609999999993</v>
      </c>
      <c r="AG23" s="5984">
        <f>+AG29-AG25-AG26</f>
        <v>65000</v>
      </c>
      <c r="AH23" s="1031"/>
      <c r="AI23" s="5987">
        <f>AE23+AG23</f>
        <v>473500</v>
      </c>
      <c r="AJ23" s="718">
        <f t="shared" si="7"/>
        <v>40529.609999999993</v>
      </c>
      <c r="AK23" s="5984">
        <f>+AK29-AK25-AK26</f>
        <v>67500</v>
      </c>
      <c r="AL23" s="1031"/>
      <c r="AM23" s="6015">
        <f>AC23+AG23+AK23</f>
        <v>199500</v>
      </c>
      <c r="AN23" s="717">
        <f t="shared" si="8"/>
        <v>0</v>
      </c>
      <c r="AO23" s="5987">
        <f>AK23+AI23</f>
        <v>541000</v>
      </c>
      <c r="AP23" s="718">
        <f>AL23+AJ23</f>
        <v>40529.609999999993</v>
      </c>
      <c r="AQ23" s="5984">
        <f>+AQ29-AQ25-AQ26</f>
        <v>68000</v>
      </c>
      <c r="AR23" s="1031"/>
      <c r="AS23" s="5987">
        <f>AO23+AQ23</f>
        <v>609000</v>
      </c>
      <c r="AT23" s="718">
        <f t="shared" si="10"/>
        <v>40529.609999999993</v>
      </c>
      <c r="AU23" s="5984">
        <f>+AU29-AU25-AU26</f>
        <v>61000</v>
      </c>
      <c r="AV23" s="1031"/>
      <c r="AW23" s="5987">
        <f>AS23+AU23</f>
        <v>670000</v>
      </c>
      <c r="AX23" s="718">
        <f t="shared" si="11"/>
        <v>40529.609999999993</v>
      </c>
      <c r="AY23" s="5984">
        <f>+AY29-AY25-AY26</f>
        <v>68500</v>
      </c>
      <c r="AZ23" s="1031"/>
      <c r="BA23" s="6015">
        <f>AQ23+AU23+AY23</f>
        <v>197500</v>
      </c>
      <c r="BB23" s="717">
        <f t="shared" si="12"/>
        <v>0</v>
      </c>
      <c r="BC23" s="6002">
        <f>AM23+BA23</f>
        <v>397000</v>
      </c>
      <c r="BD23" s="429">
        <f t="shared" si="13"/>
        <v>0</v>
      </c>
      <c r="BE23" s="5987">
        <f>AA23+BC23</f>
        <v>738500</v>
      </c>
      <c r="BF23" s="718">
        <f t="shared" si="14"/>
        <v>40529.609999999993</v>
      </c>
    </row>
    <row r="24" spans="1:58" x14ac:dyDescent="0.3">
      <c r="A24" s="88"/>
      <c r="B24" s="926" t="s">
        <v>76</v>
      </c>
      <c r="C24" s="146" t="s">
        <v>50</v>
      </c>
      <c r="D24" s="5986"/>
      <c r="E24" s="5986"/>
      <c r="F24" s="1031">
        <v>22946.902999999998</v>
      </c>
      <c r="G24" s="5986"/>
      <c r="H24" s="1031">
        <v>15654.739</v>
      </c>
      <c r="I24" s="5989"/>
      <c r="J24" s="718">
        <f t="shared" si="1"/>
        <v>38601.642</v>
      </c>
      <c r="K24" s="5986"/>
      <c r="L24" s="1031"/>
      <c r="M24" s="6017"/>
      <c r="N24" s="717">
        <f t="shared" si="2"/>
        <v>38601.642</v>
      </c>
      <c r="O24" s="5986"/>
      <c r="P24" s="1031"/>
      <c r="Q24" s="5989"/>
      <c r="R24" s="718">
        <f t="shared" si="3"/>
        <v>38601.642</v>
      </c>
      <c r="S24" s="5986"/>
      <c r="T24" s="1031"/>
      <c r="U24" s="5989"/>
      <c r="V24" s="718">
        <f t="shared" si="4"/>
        <v>38601.642</v>
      </c>
      <c r="W24" s="5986"/>
      <c r="X24" s="1031"/>
      <c r="Y24" s="6017"/>
      <c r="Z24" s="6017">
        <f t="shared" si="5"/>
        <v>0</v>
      </c>
      <c r="AA24" s="5815"/>
      <c r="AB24" s="429">
        <f t="shared" si="50"/>
        <v>38601.642</v>
      </c>
      <c r="AC24" s="5986"/>
      <c r="AD24" s="1031"/>
      <c r="AE24" s="5989"/>
      <c r="AF24" s="718">
        <f t="shared" si="6"/>
        <v>38601.642</v>
      </c>
      <c r="AG24" s="5986"/>
      <c r="AH24" s="1031"/>
      <c r="AI24" s="5989"/>
      <c r="AJ24" s="718">
        <f t="shared" si="7"/>
        <v>38601.642</v>
      </c>
      <c r="AK24" s="5986"/>
      <c r="AL24" s="1031"/>
      <c r="AM24" s="6017"/>
      <c r="AN24" s="717">
        <f t="shared" si="8"/>
        <v>0</v>
      </c>
      <c r="AO24" s="5989"/>
      <c r="AP24" s="718">
        <f t="shared" ref="AP24:AP29" si="51">AL24+AJ24</f>
        <v>38601.642</v>
      </c>
      <c r="AQ24" s="5986"/>
      <c r="AR24" s="1031"/>
      <c r="AS24" s="5989"/>
      <c r="AT24" s="718">
        <f t="shared" si="10"/>
        <v>38601.642</v>
      </c>
      <c r="AU24" s="5986"/>
      <c r="AV24" s="1031"/>
      <c r="AW24" s="5989"/>
      <c r="AX24" s="718">
        <f t="shared" si="11"/>
        <v>38601.642</v>
      </c>
      <c r="AY24" s="5986"/>
      <c r="AZ24" s="1031"/>
      <c r="BA24" s="6017"/>
      <c r="BB24" s="717">
        <f t="shared" si="12"/>
        <v>0</v>
      </c>
      <c r="BC24" s="5815"/>
      <c r="BD24" s="429">
        <f t="shared" si="13"/>
        <v>0</v>
      </c>
      <c r="BE24" s="5989"/>
      <c r="BF24" s="718">
        <f t="shared" si="14"/>
        <v>38601.642</v>
      </c>
    </row>
    <row r="25" spans="1:58" x14ac:dyDescent="0.3">
      <c r="A25" s="88"/>
      <c r="B25" s="926" t="s">
        <v>136</v>
      </c>
      <c r="C25" s="146" t="s">
        <v>50</v>
      </c>
      <c r="D25" s="1031">
        <v>3000</v>
      </c>
      <c r="E25" s="5563">
        <v>0</v>
      </c>
      <c r="F25" s="1031">
        <v>164.46</v>
      </c>
      <c r="G25" s="5563">
        <v>0</v>
      </c>
      <c r="H25" s="1031">
        <v>40.659999999999997</v>
      </c>
      <c r="I25" s="718">
        <f>+E25+G25</f>
        <v>0</v>
      </c>
      <c r="J25" s="718">
        <f t="shared" si="1"/>
        <v>205.12</v>
      </c>
      <c r="K25" s="5563"/>
      <c r="L25" s="1031"/>
      <c r="M25" s="717">
        <f>+I25+K25</f>
        <v>0</v>
      </c>
      <c r="N25" s="717">
        <f t="shared" si="2"/>
        <v>205.12</v>
      </c>
      <c r="O25" s="5563"/>
      <c r="P25" s="1031"/>
      <c r="Q25" s="718">
        <f>+M25+O25</f>
        <v>0</v>
      </c>
      <c r="R25" s="718">
        <f t="shared" si="3"/>
        <v>205.12</v>
      </c>
      <c r="S25" s="5563"/>
      <c r="T25" s="1031"/>
      <c r="U25" s="718">
        <f>+Q25+S25</f>
        <v>0</v>
      </c>
      <c r="V25" s="718">
        <f t="shared" si="4"/>
        <v>205.12</v>
      </c>
      <c r="W25" s="5563"/>
      <c r="X25" s="1031"/>
      <c r="Y25" s="717">
        <f>O25+S25+W25</f>
        <v>0</v>
      </c>
      <c r="Z25" s="717">
        <f t="shared" si="5"/>
        <v>0</v>
      </c>
      <c r="AA25" s="429">
        <f>M25+Y25</f>
        <v>0</v>
      </c>
      <c r="AB25" s="429">
        <f t="shared" si="50"/>
        <v>205.12</v>
      </c>
      <c r="AC25" s="5563"/>
      <c r="AD25" s="1031"/>
      <c r="AE25" s="718">
        <f>+AA25+AC25</f>
        <v>0</v>
      </c>
      <c r="AF25" s="718">
        <f t="shared" si="6"/>
        <v>205.12</v>
      </c>
      <c r="AG25" s="5563"/>
      <c r="AH25" s="1031"/>
      <c r="AI25" s="718">
        <f>+AE25+AG25</f>
        <v>0</v>
      </c>
      <c r="AJ25" s="718">
        <f t="shared" si="7"/>
        <v>205.12</v>
      </c>
      <c r="AK25" s="5563"/>
      <c r="AL25" s="1031"/>
      <c r="AM25" s="717">
        <f>AC25+AG25+AK25</f>
        <v>0</v>
      </c>
      <c r="AN25" s="717">
        <f t="shared" si="8"/>
        <v>0</v>
      </c>
      <c r="AO25" s="718">
        <f>+AK25+AI25</f>
        <v>0</v>
      </c>
      <c r="AP25" s="718">
        <f t="shared" si="51"/>
        <v>205.12</v>
      </c>
      <c r="AQ25" s="5563"/>
      <c r="AR25" s="1031"/>
      <c r="AS25" s="718">
        <f>+AO25+AQ25</f>
        <v>0</v>
      </c>
      <c r="AT25" s="718">
        <f t="shared" si="10"/>
        <v>205.12</v>
      </c>
      <c r="AU25" s="5563"/>
      <c r="AV25" s="1031"/>
      <c r="AW25" s="718">
        <f>+AS25+AU25</f>
        <v>0</v>
      </c>
      <c r="AX25" s="718">
        <f t="shared" si="11"/>
        <v>205.12</v>
      </c>
      <c r="AY25" s="5563"/>
      <c r="AZ25" s="1031"/>
      <c r="BA25" s="717">
        <f>AQ25+AU25+AY25</f>
        <v>0</v>
      </c>
      <c r="BB25" s="717">
        <f t="shared" si="12"/>
        <v>0</v>
      </c>
      <c r="BC25" s="429">
        <f>AM25+BA25</f>
        <v>0</v>
      </c>
      <c r="BD25" s="429">
        <f t="shared" si="13"/>
        <v>0</v>
      </c>
      <c r="BE25" s="718">
        <f>+AA25+BC25</f>
        <v>0</v>
      </c>
      <c r="BF25" s="718">
        <f t="shared" si="14"/>
        <v>205.12</v>
      </c>
    </row>
    <row r="26" spans="1:58" x14ac:dyDescent="0.3">
      <c r="A26" s="88"/>
      <c r="B26" s="5064" t="s">
        <v>2188</v>
      </c>
      <c r="C26" s="146" t="s">
        <v>50</v>
      </c>
      <c r="D26" s="5984">
        <v>0</v>
      </c>
      <c r="E26" s="6033">
        <v>0</v>
      </c>
      <c r="F26" s="4928"/>
      <c r="G26" s="6033">
        <v>0</v>
      </c>
      <c r="H26" s="4928">
        <v>0</v>
      </c>
      <c r="I26" s="5987">
        <f>+E26+G26</f>
        <v>0</v>
      </c>
      <c r="J26" s="718">
        <f t="shared" ref="J26" si="52">F26+H26</f>
        <v>0</v>
      </c>
      <c r="K26" s="6033"/>
      <c r="L26" s="4928"/>
      <c r="M26" s="6015">
        <f>+I26+K26</f>
        <v>0</v>
      </c>
      <c r="N26" s="717">
        <f t="shared" si="2"/>
        <v>0</v>
      </c>
      <c r="O26" s="6033"/>
      <c r="P26" s="4928"/>
      <c r="Q26" s="5987">
        <f>+M26+O26</f>
        <v>0</v>
      </c>
      <c r="R26" s="718">
        <f t="shared" si="3"/>
        <v>0</v>
      </c>
      <c r="S26" s="6033"/>
      <c r="T26" s="4928"/>
      <c r="U26" s="5987">
        <f>+Q26+S26</f>
        <v>0</v>
      </c>
      <c r="V26" s="718">
        <f t="shared" si="4"/>
        <v>0</v>
      </c>
      <c r="W26" s="6033"/>
      <c r="X26" s="4928"/>
      <c r="Y26" s="6015">
        <f>O26+S26+W26</f>
        <v>0</v>
      </c>
      <c r="Z26" s="6015">
        <f t="shared" si="5"/>
        <v>0</v>
      </c>
      <c r="AA26" s="6002">
        <f>M26+Y26</f>
        <v>0</v>
      </c>
      <c r="AB26" s="429">
        <f t="shared" si="50"/>
        <v>0</v>
      </c>
      <c r="AC26" s="6033"/>
      <c r="AD26" s="4928"/>
      <c r="AE26" s="5987">
        <f>+AA26+AC26</f>
        <v>0</v>
      </c>
      <c r="AF26" s="718">
        <f t="shared" si="6"/>
        <v>0</v>
      </c>
      <c r="AG26" s="6033"/>
      <c r="AH26" s="4928"/>
      <c r="AI26" s="5987">
        <f>+AE26+AG26</f>
        <v>0</v>
      </c>
      <c r="AJ26" s="718">
        <f t="shared" si="7"/>
        <v>0</v>
      </c>
      <c r="AK26" s="6033"/>
      <c r="AL26" s="4928"/>
      <c r="AM26" s="6015">
        <f>AC26+AG26+AK26</f>
        <v>0</v>
      </c>
      <c r="AN26" s="717">
        <f t="shared" si="8"/>
        <v>0</v>
      </c>
      <c r="AO26" s="5987">
        <f>+AK26+AI26</f>
        <v>0</v>
      </c>
      <c r="AP26" s="718">
        <f t="shared" si="51"/>
        <v>0</v>
      </c>
      <c r="AQ26" s="6033"/>
      <c r="AR26" s="4928"/>
      <c r="AS26" s="5987">
        <f>+AO26+AQ26</f>
        <v>0</v>
      </c>
      <c r="AT26" s="718">
        <f t="shared" si="10"/>
        <v>0</v>
      </c>
      <c r="AU26" s="6033"/>
      <c r="AV26" s="4928"/>
      <c r="AW26" s="5987">
        <f>+AS26+AU26</f>
        <v>0</v>
      </c>
      <c r="AX26" s="718">
        <f t="shared" si="11"/>
        <v>0</v>
      </c>
      <c r="AY26" s="6033"/>
      <c r="AZ26" s="4928"/>
      <c r="BA26" s="6015">
        <f>AQ26+AU26+AY26</f>
        <v>0</v>
      </c>
      <c r="BB26" s="717">
        <f t="shared" si="12"/>
        <v>0</v>
      </c>
      <c r="BC26" s="6002">
        <f>AM26+BA26</f>
        <v>0</v>
      </c>
      <c r="BD26" s="429">
        <f t="shared" si="13"/>
        <v>0</v>
      </c>
      <c r="BE26" s="5987">
        <f>+AA26+BC26</f>
        <v>0</v>
      </c>
      <c r="BF26" s="718">
        <f t="shared" si="14"/>
        <v>0</v>
      </c>
    </row>
    <row r="27" spans="1:58" x14ac:dyDescent="0.3">
      <c r="A27" s="88"/>
      <c r="B27" s="926" t="s">
        <v>2186</v>
      </c>
      <c r="C27" s="146" t="s">
        <v>50</v>
      </c>
      <c r="D27" s="5985"/>
      <c r="E27" s="6034"/>
      <c r="F27" s="1031"/>
      <c r="G27" s="6034"/>
      <c r="H27" s="1031">
        <v>0</v>
      </c>
      <c r="I27" s="5988"/>
      <c r="J27" s="718">
        <f t="shared" si="1"/>
        <v>0</v>
      </c>
      <c r="K27" s="6034"/>
      <c r="L27" s="1031"/>
      <c r="M27" s="6016"/>
      <c r="N27" s="717">
        <f t="shared" si="2"/>
        <v>0</v>
      </c>
      <c r="O27" s="6034"/>
      <c r="P27" s="1031"/>
      <c r="Q27" s="5988"/>
      <c r="R27" s="718">
        <f t="shared" si="3"/>
        <v>0</v>
      </c>
      <c r="S27" s="6034"/>
      <c r="T27" s="1031"/>
      <c r="U27" s="5988"/>
      <c r="V27" s="718">
        <f t="shared" si="4"/>
        <v>0</v>
      </c>
      <c r="W27" s="6034"/>
      <c r="X27" s="1031"/>
      <c r="Y27" s="6016">
        <f t="shared" ref="Y27:Y28" si="53">O27+S27+W27</f>
        <v>0</v>
      </c>
      <c r="Z27" s="6016">
        <f t="shared" si="5"/>
        <v>0</v>
      </c>
      <c r="AA27" s="5814">
        <f>M27+Y27</f>
        <v>0</v>
      </c>
      <c r="AB27" s="429">
        <f t="shared" si="50"/>
        <v>0</v>
      </c>
      <c r="AC27" s="6034"/>
      <c r="AD27" s="1031"/>
      <c r="AE27" s="5988"/>
      <c r="AF27" s="718">
        <f t="shared" si="6"/>
        <v>0</v>
      </c>
      <c r="AG27" s="6034"/>
      <c r="AH27" s="1031"/>
      <c r="AI27" s="5988"/>
      <c r="AJ27" s="718">
        <f t="shared" si="7"/>
        <v>0</v>
      </c>
      <c r="AK27" s="6034"/>
      <c r="AL27" s="1031"/>
      <c r="AM27" s="6016">
        <f t="shared" ref="AM27:AM28" si="54">AC27+AG27+AK27</f>
        <v>0</v>
      </c>
      <c r="AN27" s="717">
        <f t="shared" si="8"/>
        <v>0</v>
      </c>
      <c r="AO27" s="5988"/>
      <c r="AP27" s="718">
        <f t="shared" si="51"/>
        <v>0</v>
      </c>
      <c r="AQ27" s="6034"/>
      <c r="AR27" s="1031"/>
      <c r="AS27" s="5988"/>
      <c r="AT27" s="718">
        <f t="shared" si="10"/>
        <v>0</v>
      </c>
      <c r="AU27" s="6034"/>
      <c r="AV27" s="1031"/>
      <c r="AW27" s="5988"/>
      <c r="AX27" s="718">
        <f t="shared" si="11"/>
        <v>0</v>
      </c>
      <c r="AY27" s="6034"/>
      <c r="AZ27" s="1031"/>
      <c r="BA27" s="6016">
        <f t="shared" ref="BA27:BA28" si="55">AQ27+AU27+AY27</f>
        <v>0</v>
      </c>
      <c r="BB27" s="717">
        <f t="shared" si="12"/>
        <v>0</v>
      </c>
      <c r="BC27" s="5814">
        <f>AO27+BA27</f>
        <v>0</v>
      </c>
      <c r="BD27" s="429">
        <f t="shared" si="13"/>
        <v>0</v>
      </c>
      <c r="BE27" s="5988"/>
      <c r="BF27" s="718">
        <f t="shared" si="14"/>
        <v>0</v>
      </c>
    </row>
    <row r="28" spans="1:58" x14ac:dyDescent="0.3">
      <c r="A28" s="88"/>
      <c r="B28" s="926" t="s">
        <v>2187</v>
      </c>
      <c r="C28" s="146" t="s">
        <v>50</v>
      </c>
      <c r="D28" s="5986"/>
      <c r="E28" s="6035"/>
      <c r="F28" s="1031"/>
      <c r="G28" s="6035"/>
      <c r="H28" s="1031">
        <v>0</v>
      </c>
      <c r="I28" s="5989"/>
      <c r="J28" s="718">
        <f t="shared" si="1"/>
        <v>0</v>
      </c>
      <c r="K28" s="6035"/>
      <c r="L28" s="1031"/>
      <c r="M28" s="6017"/>
      <c r="N28" s="717">
        <f t="shared" si="2"/>
        <v>0</v>
      </c>
      <c r="O28" s="6035"/>
      <c r="P28" s="1031"/>
      <c r="Q28" s="5989"/>
      <c r="R28" s="718">
        <f t="shared" si="3"/>
        <v>0</v>
      </c>
      <c r="S28" s="6035"/>
      <c r="T28" s="1031"/>
      <c r="U28" s="5989"/>
      <c r="V28" s="718">
        <f t="shared" si="4"/>
        <v>0</v>
      </c>
      <c r="W28" s="6035"/>
      <c r="X28" s="1031"/>
      <c r="Y28" s="6017">
        <f t="shared" si="53"/>
        <v>0</v>
      </c>
      <c r="Z28" s="6017">
        <f t="shared" si="5"/>
        <v>0</v>
      </c>
      <c r="AA28" s="5815">
        <f>M28+Y28</f>
        <v>0</v>
      </c>
      <c r="AB28" s="429">
        <f t="shared" si="50"/>
        <v>0</v>
      </c>
      <c r="AC28" s="6035"/>
      <c r="AD28" s="1031"/>
      <c r="AE28" s="5989"/>
      <c r="AF28" s="718">
        <f t="shared" si="6"/>
        <v>0</v>
      </c>
      <c r="AG28" s="6035"/>
      <c r="AH28" s="1031"/>
      <c r="AI28" s="5989"/>
      <c r="AJ28" s="718">
        <f t="shared" si="7"/>
        <v>0</v>
      </c>
      <c r="AK28" s="6035"/>
      <c r="AL28" s="1031"/>
      <c r="AM28" s="6017">
        <f t="shared" si="54"/>
        <v>0</v>
      </c>
      <c r="AN28" s="717">
        <f t="shared" si="8"/>
        <v>0</v>
      </c>
      <c r="AO28" s="5989"/>
      <c r="AP28" s="718">
        <f t="shared" si="51"/>
        <v>0</v>
      </c>
      <c r="AQ28" s="6035"/>
      <c r="AR28" s="1031"/>
      <c r="AS28" s="5989"/>
      <c r="AT28" s="718">
        <f t="shared" si="10"/>
        <v>0</v>
      </c>
      <c r="AU28" s="6035"/>
      <c r="AV28" s="1031"/>
      <c r="AW28" s="5989"/>
      <c r="AX28" s="718">
        <f t="shared" si="11"/>
        <v>0</v>
      </c>
      <c r="AY28" s="6035"/>
      <c r="AZ28" s="1031"/>
      <c r="BA28" s="6017">
        <f t="shared" si="55"/>
        <v>0</v>
      </c>
      <c r="BB28" s="717">
        <f t="shared" si="12"/>
        <v>0</v>
      </c>
      <c r="BC28" s="5815">
        <f>AO28+BA28</f>
        <v>0</v>
      </c>
      <c r="BD28" s="429">
        <f t="shared" si="13"/>
        <v>0</v>
      </c>
      <c r="BE28" s="5989"/>
      <c r="BF28" s="718">
        <f t="shared" si="14"/>
        <v>0</v>
      </c>
    </row>
    <row r="29" spans="1:58" ht="21.15" customHeight="1" x14ac:dyDescent="0.3">
      <c r="A29" s="88"/>
      <c r="B29" s="3123" t="s">
        <v>2</v>
      </c>
      <c r="C29" s="146" t="s">
        <v>50</v>
      </c>
      <c r="D29" s="421">
        <f>+'Maj Production Summ'!D32</f>
        <v>850000</v>
      </c>
      <c r="E29" s="421">
        <f>+'Maj Production Summ'!E32</f>
        <v>56000</v>
      </c>
      <c r="F29" s="421">
        <f t="shared" ref="F29" si="56">SUM(F23:F28)</f>
        <v>50540.922999999988</v>
      </c>
      <c r="G29" s="421">
        <f>+'Maj Production Summ'!G32</f>
        <v>59500</v>
      </c>
      <c r="H29" s="421">
        <f t="shared" ref="H29" si="57">SUM(H23:H28)</f>
        <v>28795.448999999997</v>
      </c>
      <c r="I29" s="344">
        <f>+E29+G29</f>
        <v>115500</v>
      </c>
      <c r="J29" s="718">
        <f t="shared" si="1"/>
        <v>79336.371999999988</v>
      </c>
      <c r="K29" s="421">
        <f>+'Maj Production Summ'!K32</f>
        <v>62500</v>
      </c>
      <c r="L29" s="421">
        <f t="shared" ref="L29" si="58">SUM(L23:L28)</f>
        <v>0</v>
      </c>
      <c r="M29" s="346">
        <f>+I29+K29</f>
        <v>178000</v>
      </c>
      <c r="N29" s="717">
        <f t="shared" si="2"/>
        <v>79336.371999999988</v>
      </c>
      <c r="O29" s="421">
        <f>+'Maj Production Summ'!O32</f>
        <v>65000</v>
      </c>
      <c r="P29" s="421">
        <f t="shared" ref="P29" si="59">SUM(P23:P28)</f>
        <v>0</v>
      </c>
      <c r="Q29" s="344">
        <f>+M29+O29</f>
        <v>243000</v>
      </c>
      <c r="R29" s="718">
        <f t="shared" si="3"/>
        <v>79336.371999999988</v>
      </c>
      <c r="S29" s="421">
        <f>+'Maj Production Summ'!S32</f>
        <v>65000</v>
      </c>
      <c r="T29" s="421">
        <f t="shared" ref="T29" si="60">SUM(T23:T28)</f>
        <v>0</v>
      </c>
      <c r="U29" s="344">
        <f>+Q29+S29</f>
        <v>308000</v>
      </c>
      <c r="V29" s="718">
        <f t="shared" si="4"/>
        <v>79336.371999999988</v>
      </c>
      <c r="W29" s="421">
        <f>+'Maj Production Summ'!W32</f>
        <v>33500</v>
      </c>
      <c r="X29" s="421">
        <f t="shared" ref="X29" si="61">SUM(X23:X28)</f>
        <v>0</v>
      </c>
      <c r="Y29" s="346">
        <f>O29+S29+W29</f>
        <v>163500</v>
      </c>
      <c r="Z29" s="346">
        <f t="shared" si="5"/>
        <v>0</v>
      </c>
      <c r="AA29" s="502">
        <f>M29+Y29</f>
        <v>341500</v>
      </c>
      <c r="AB29" s="429">
        <f t="shared" si="50"/>
        <v>79336.371999999988</v>
      </c>
      <c r="AC29" s="421">
        <f>+'Maj Production Summ'!AC32</f>
        <v>67000</v>
      </c>
      <c r="AD29" s="421">
        <f t="shared" ref="AD29" si="62">SUM(AD23:AD28)</f>
        <v>0</v>
      </c>
      <c r="AE29" s="344">
        <f>+AA29+AC29</f>
        <v>408500</v>
      </c>
      <c r="AF29" s="718">
        <f t="shared" si="6"/>
        <v>79336.371999999988</v>
      </c>
      <c r="AG29" s="421">
        <f>+'Maj Production Summ'!AG32</f>
        <v>65000</v>
      </c>
      <c r="AH29" s="421">
        <f t="shared" ref="AH29" si="63">SUM(AH23:AH28)</f>
        <v>0</v>
      </c>
      <c r="AI29" s="344">
        <f>+AE29+AG29</f>
        <v>473500</v>
      </c>
      <c r="AJ29" s="718">
        <f t="shared" si="7"/>
        <v>79336.371999999988</v>
      </c>
      <c r="AK29" s="421">
        <f>+'Maj Production Summ'!AK32</f>
        <v>67500</v>
      </c>
      <c r="AL29" s="421">
        <f t="shared" ref="AL29" si="64">SUM(AL23:AL28)</f>
        <v>0</v>
      </c>
      <c r="AM29" s="346">
        <f>AC29+AG29+AK29</f>
        <v>199500</v>
      </c>
      <c r="AN29" s="717">
        <f t="shared" si="8"/>
        <v>0</v>
      </c>
      <c r="AO29" s="344">
        <f>+AK29+AI29</f>
        <v>541000</v>
      </c>
      <c r="AP29" s="718">
        <f t="shared" si="51"/>
        <v>79336.371999999988</v>
      </c>
      <c r="AQ29" s="421">
        <f>+'Maj Production Summ'!AQ32</f>
        <v>68000</v>
      </c>
      <c r="AR29" s="421">
        <f t="shared" ref="AR29" si="65">SUM(AR23:AR28)</f>
        <v>0</v>
      </c>
      <c r="AS29" s="344">
        <f>+AO29+AQ29</f>
        <v>609000</v>
      </c>
      <c r="AT29" s="718">
        <f t="shared" si="10"/>
        <v>79336.371999999988</v>
      </c>
      <c r="AU29" s="421">
        <f>+'Maj Production Summ'!AU32</f>
        <v>61000</v>
      </c>
      <c r="AV29" s="421">
        <f t="shared" ref="AV29" si="66">SUM(AV23:AV28)</f>
        <v>0</v>
      </c>
      <c r="AW29" s="344">
        <f>+AS29+AU29</f>
        <v>670000</v>
      </c>
      <c r="AX29" s="718">
        <f t="shared" si="11"/>
        <v>79336.371999999988</v>
      </c>
      <c r="AY29" s="421">
        <f>+'Maj Production Summ'!AY32</f>
        <v>68500</v>
      </c>
      <c r="AZ29" s="421">
        <f t="shared" ref="AZ29" si="67">SUM(AZ23:AZ28)</f>
        <v>0</v>
      </c>
      <c r="BA29" s="346">
        <f>AQ29+AU29+AY29</f>
        <v>197500</v>
      </c>
      <c r="BB29" s="717">
        <f t="shared" si="12"/>
        <v>0</v>
      </c>
      <c r="BC29" s="502">
        <f>AM29+BA29</f>
        <v>397000</v>
      </c>
      <c r="BD29" s="429">
        <f t="shared" si="13"/>
        <v>0</v>
      </c>
      <c r="BE29" s="344">
        <f>+AA29+BC29</f>
        <v>738500</v>
      </c>
      <c r="BF29" s="718">
        <f t="shared" si="14"/>
        <v>79336.371999999988</v>
      </c>
    </row>
    <row r="30" spans="1:58" x14ac:dyDescent="0.3">
      <c r="A30" s="142"/>
      <c r="B30" s="3122" t="s">
        <v>487</v>
      </c>
      <c r="C30" s="5075"/>
      <c r="D30" s="3122"/>
      <c r="E30" s="3125"/>
      <c r="F30" s="3124"/>
      <c r="G30" s="3125"/>
      <c r="H30" s="3124"/>
      <c r="I30" s="5066"/>
      <c r="J30" s="718"/>
      <c r="K30" s="3125"/>
      <c r="L30" s="3124"/>
      <c r="M30" s="5627"/>
      <c r="N30" s="717"/>
      <c r="O30" s="3125"/>
      <c r="P30" s="3124"/>
      <c r="Q30" s="5066"/>
      <c r="R30" s="718"/>
      <c r="S30" s="3125"/>
      <c r="T30" s="3124"/>
      <c r="U30" s="5066"/>
      <c r="V30" s="718"/>
      <c r="W30" s="3125"/>
      <c r="X30" s="3124"/>
      <c r="Y30" s="5627"/>
      <c r="Z30" s="5627"/>
      <c r="AA30" s="5637"/>
      <c r="AB30" s="429"/>
      <c r="AC30" s="3125"/>
      <c r="AD30" s="3124"/>
      <c r="AE30" s="5066"/>
      <c r="AF30" s="718"/>
      <c r="AG30" s="3125"/>
      <c r="AH30" s="3124"/>
      <c r="AI30" s="5066"/>
      <c r="AJ30" s="718"/>
      <c r="AK30" s="3125"/>
      <c r="AL30" s="3124"/>
      <c r="AM30" s="5627"/>
      <c r="AN30" s="717"/>
      <c r="AO30" s="5066"/>
      <c r="AP30" s="718"/>
      <c r="AQ30" s="3125"/>
      <c r="AR30" s="3124"/>
      <c r="AS30" s="5066"/>
      <c r="AT30" s="718"/>
      <c r="AU30" s="3125"/>
      <c r="AV30" s="3124"/>
      <c r="AW30" s="5066"/>
      <c r="AX30" s="718"/>
      <c r="AY30" s="3125"/>
      <c r="AZ30" s="3124"/>
      <c r="BA30" s="5627"/>
      <c r="BB30" s="717"/>
      <c r="BC30" s="5637"/>
      <c r="BD30" s="429"/>
      <c r="BE30" s="5066"/>
      <c r="BF30" s="718"/>
    </row>
    <row r="31" spans="1:58" x14ac:dyDescent="0.3">
      <c r="A31" s="88"/>
      <c r="B31" s="926" t="s">
        <v>75</v>
      </c>
      <c r="C31" s="146" t="s">
        <v>50</v>
      </c>
      <c r="D31" s="5984">
        <f>+D37-D33-D34</f>
        <v>315000.39654600783</v>
      </c>
      <c r="E31" s="5984">
        <f>+E37-E33-E34</f>
        <v>20999.957109341791</v>
      </c>
      <c r="F31" s="1031">
        <f>F42+F50</f>
        <v>13900.46</v>
      </c>
      <c r="G31" s="5984">
        <f>+G37-G33-G34</f>
        <v>0.49149549403227866</v>
      </c>
      <c r="H31" s="1031">
        <f>H42+H50</f>
        <v>3469.8400000000011</v>
      </c>
      <c r="I31" s="5987">
        <f>E31+G31</f>
        <v>21000.448604835823</v>
      </c>
      <c r="J31" s="718">
        <f t="shared" si="1"/>
        <v>17370.3</v>
      </c>
      <c r="K31" s="5984">
        <f>+K37-K33-K34</f>
        <v>48000.110883115201</v>
      </c>
      <c r="L31" s="1031">
        <f>L42+L50</f>
        <v>0</v>
      </c>
      <c r="M31" s="6015">
        <f>I31+K31</f>
        <v>69000.559487951017</v>
      </c>
      <c r="N31" s="717">
        <f t="shared" si="2"/>
        <v>17370.3</v>
      </c>
      <c r="O31" s="5984">
        <f>+O37-O33-O34</f>
        <v>43500.141355320899</v>
      </c>
      <c r="P31" s="1031">
        <f>P42+P50</f>
        <v>0</v>
      </c>
      <c r="Q31" s="5987">
        <f>M31+O31</f>
        <v>112500.70084327192</v>
      </c>
      <c r="R31" s="718">
        <f t="shared" si="3"/>
        <v>17370.3</v>
      </c>
      <c r="S31" s="5984">
        <f>+S37-S33-S34</f>
        <v>43500.141355320899</v>
      </c>
      <c r="T31" s="1031">
        <f>T42+T50</f>
        <v>0</v>
      </c>
      <c r="U31" s="5987">
        <f>Q31+S31</f>
        <v>156000.84219859281</v>
      </c>
      <c r="V31" s="718">
        <f t="shared" si="4"/>
        <v>17370.3</v>
      </c>
      <c r="W31" s="5984">
        <f>+W37-W33-W34</f>
        <v>15300.0147648532</v>
      </c>
      <c r="X31" s="1031">
        <f>X42+X50</f>
        <v>0</v>
      </c>
      <c r="Y31" s="6015">
        <f>O31+S31+W31</f>
        <v>102300.297475495</v>
      </c>
      <c r="Z31" s="6015">
        <f t="shared" si="5"/>
        <v>0</v>
      </c>
      <c r="AA31" s="6002">
        <f>M31+Y31</f>
        <v>171300.85696344601</v>
      </c>
      <c r="AB31" s="429">
        <f t="shared" ref="AB31:AB37" si="68">X31+V31</f>
        <v>17370.3</v>
      </c>
      <c r="AC31" s="5984">
        <f>+AC37-AC33-AC34</f>
        <v>48999.528159756301</v>
      </c>
      <c r="AD31" s="1031">
        <f>AD42+AD50</f>
        <v>0</v>
      </c>
      <c r="AE31" s="5987">
        <f>AA31+AC31</f>
        <v>220300.38512320232</v>
      </c>
      <c r="AF31" s="718">
        <f t="shared" si="6"/>
        <v>17370.3</v>
      </c>
      <c r="AG31" s="5984">
        <f>+AG37-AG33-AG34</f>
        <v>45499.588455674595</v>
      </c>
      <c r="AH31" s="1031">
        <f>AH42+AH50</f>
        <v>0</v>
      </c>
      <c r="AI31" s="5987">
        <f>AE31+AG31</f>
        <v>265799.97357887693</v>
      </c>
      <c r="AJ31" s="718">
        <f t="shared" si="7"/>
        <v>17370.3</v>
      </c>
      <c r="AK31" s="5984">
        <f>+AK37-AK33-AK34</f>
        <v>46000.054244216401</v>
      </c>
      <c r="AL31" s="1031">
        <f>AL42+AL50</f>
        <v>0</v>
      </c>
      <c r="AM31" s="6015">
        <f>AC31+AG31+AK31</f>
        <v>140499.17085964727</v>
      </c>
      <c r="AN31" s="717">
        <f t="shared" si="8"/>
        <v>0</v>
      </c>
      <c r="AO31" s="5987">
        <f>AK31+AI31</f>
        <v>311800.02782309335</v>
      </c>
      <c r="AP31" s="718">
        <f>AL31+AJ31</f>
        <v>17370.3</v>
      </c>
      <c r="AQ31" s="5984">
        <f>+AQ37-AQ33-AQ34</f>
        <v>48499.664678463945</v>
      </c>
      <c r="AR31" s="1031">
        <f>AR42+AR50</f>
        <v>0</v>
      </c>
      <c r="AS31" s="5987">
        <f>AO31+AQ31</f>
        <v>360299.69250155729</v>
      </c>
      <c r="AT31" s="718">
        <f t="shared" si="10"/>
        <v>17370.3</v>
      </c>
      <c r="AU31" s="5984">
        <f>+AU37-AU33-AU34</f>
        <v>41500.010429203743</v>
      </c>
      <c r="AV31" s="1031">
        <f>AV42+AV50</f>
        <v>0</v>
      </c>
      <c r="AW31" s="5987">
        <f>AS31+AU31</f>
        <v>401799.70293076104</v>
      </c>
      <c r="AX31" s="718">
        <f t="shared" si="11"/>
        <v>17370.3</v>
      </c>
      <c r="AY31" s="5984">
        <f>+AY37-AY33-AY34</f>
        <v>46999.690762923987</v>
      </c>
      <c r="AZ31" s="1031">
        <f>AZ42+AZ50</f>
        <v>0</v>
      </c>
      <c r="BA31" s="6015">
        <f>AQ31+AU31+AY31</f>
        <v>136999.36587059166</v>
      </c>
      <c r="BB31" s="717">
        <f t="shared" si="12"/>
        <v>0</v>
      </c>
      <c r="BC31" s="6002">
        <f>AM31+BA31</f>
        <v>277498.53673023893</v>
      </c>
      <c r="BD31" s="429">
        <f t="shared" si="13"/>
        <v>0</v>
      </c>
      <c r="BE31" s="5987">
        <f>AA31+BC31</f>
        <v>448799.39369368495</v>
      </c>
      <c r="BF31" s="718">
        <f t="shared" si="14"/>
        <v>17370.3</v>
      </c>
    </row>
    <row r="32" spans="1:58" x14ac:dyDescent="0.3">
      <c r="A32" s="88"/>
      <c r="B32" s="926" t="s">
        <v>76</v>
      </c>
      <c r="C32" s="146" t="s">
        <v>50</v>
      </c>
      <c r="D32" s="5986"/>
      <c r="E32" s="5986"/>
      <c r="F32" s="1031">
        <f>F43+F51</f>
        <v>9527.6800000000039</v>
      </c>
      <c r="G32" s="5986"/>
      <c r="H32" s="1031">
        <f>H43+H51</f>
        <v>14442.390000000001</v>
      </c>
      <c r="I32" s="5989"/>
      <c r="J32" s="718">
        <f t="shared" si="1"/>
        <v>23970.070000000007</v>
      </c>
      <c r="K32" s="5986"/>
      <c r="L32" s="1031">
        <f>L43+L51</f>
        <v>0</v>
      </c>
      <c r="M32" s="6017"/>
      <c r="N32" s="717">
        <f t="shared" si="2"/>
        <v>23970.070000000007</v>
      </c>
      <c r="O32" s="5986"/>
      <c r="P32" s="1031">
        <f>P43+P51</f>
        <v>0</v>
      </c>
      <c r="Q32" s="5989"/>
      <c r="R32" s="718">
        <f t="shared" si="3"/>
        <v>23970.070000000007</v>
      </c>
      <c r="S32" s="5986"/>
      <c r="T32" s="1031">
        <f>T43+T51</f>
        <v>0</v>
      </c>
      <c r="U32" s="5989"/>
      <c r="V32" s="718">
        <f t="shared" si="4"/>
        <v>23970.070000000007</v>
      </c>
      <c r="W32" s="5986"/>
      <c r="X32" s="1031">
        <f>X43+X51</f>
        <v>0</v>
      </c>
      <c r="Y32" s="6017"/>
      <c r="Z32" s="6017">
        <f t="shared" si="5"/>
        <v>0</v>
      </c>
      <c r="AA32" s="5815"/>
      <c r="AB32" s="429">
        <f t="shared" si="68"/>
        <v>23970.070000000007</v>
      </c>
      <c r="AC32" s="5986"/>
      <c r="AD32" s="1031">
        <f>AD43+AD51</f>
        <v>0</v>
      </c>
      <c r="AE32" s="5989"/>
      <c r="AF32" s="718">
        <f t="shared" si="6"/>
        <v>23970.070000000007</v>
      </c>
      <c r="AG32" s="5986"/>
      <c r="AH32" s="1031">
        <f>AH43+AH51</f>
        <v>0</v>
      </c>
      <c r="AI32" s="5989"/>
      <c r="AJ32" s="718">
        <f t="shared" si="7"/>
        <v>23970.070000000007</v>
      </c>
      <c r="AK32" s="5986"/>
      <c r="AL32" s="1031">
        <f>AL43+AL51</f>
        <v>0</v>
      </c>
      <c r="AM32" s="6017"/>
      <c r="AN32" s="717">
        <f t="shared" si="8"/>
        <v>0</v>
      </c>
      <c r="AO32" s="5989"/>
      <c r="AP32" s="718">
        <f t="shared" ref="AP32:AP37" si="69">AL32+AJ32</f>
        <v>23970.070000000007</v>
      </c>
      <c r="AQ32" s="5986"/>
      <c r="AR32" s="1031">
        <f>AR43+AR51</f>
        <v>0</v>
      </c>
      <c r="AS32" s="5989"/>
      <c r="AT32" s="718">
        <f t="shared" si="10"/>
        <v>23970.070000000007</v>
      </c>
      <c r="AU32" s="5986"/>
      <c r="AV32" s="1031">
        <f>AV43+AV51</f>
        <v>0</v>
      </c>
      <c r="AW32" s="5989"/>
      <c r="AX32" s="718">
        <f t="shared" si="11"/>
        <v>23970.070000000007</v>
      </c>
      <c r="AY32" s="5986"/>
      <c r="AZ32" s="1031">
        <f>AZ43+AZ51</f>
        <v>0</v>
      </c>
      <c r="BA32" s="6017"/>
      <c r="BB32" s="717">
        <f t="shared" si="12"/>
        <v>0</v>
      </c>
      <c r="BC32" s="5815"/>
      <c r="BD32" s="429">
        <f t="shared" si="13"/>
        <v>0</v>
      </c>
      <c r="BE32" s="5989"/>
      <c r="BF32" s="718">
        <f t="shared" si="14"/>
        <v>23970.070000000007</v>
      </c>
    </row>
    <row r="33" spans="1:58" x14ac:dyDescent="0.3">
      <c r="A33" s="110"/>
      <c r="B33" s="926" t="s">
        <v>136</v>
      </c>
      <c r="C33" s="146" t="s">
        <v>50</v>
      </c>
      <c r="D33" s="1031">
        <v>20000</v>
      </c>
      <c r="E33" s="1031">
        <f>+E44+E52</f>
        <v>0</v>
      </c>
      <c r="F33" s="1031">
        <f>F44+F52</f>
        <v>2713.2199999999993</v>
      </c>
      <c r="G33" s="1031">
        <f>+G44+G52</f>
        <v>0</v>
      </c>
      <c r="H33" s="1031">
        <f>H44+H52</f>
        <v>2848.8200000000006</v>
      </c>
      <c r="I33" s="718">
        <f>+E33+G33</f>
        <v>0</v>
      </c>
      <c r="J33" s="718">
        <f t="shared" si="1"/>
        <v>5562.04</v>
      </c>
      <c r="K33" s="1031">
        <f>+K44+K52</f>
        <v>0</v>
      </c>
      <c r="L33" s="1031">
        <f>L44+L52</f>
        <v>0</v>
      </c>
      <c r="M33" s="717">
        <f>+I33+K33</f>
        <v>0</v>
      </c>
      <c r="N33" s="717">
        <f t="shared" si="2"/>
        <v>5562.04</v>
      </c>
      <c r="O33" s="1031">
        <f>+O44+O52</f>
        <v>0</v>
      </c>
      <c r="P33" s="1031">
        <f>P44+P52</f>
        <v>0</v>
      </c>
      <c r="Q33" s="718">
        <f>+M33+O33</f>
        <v>0</v>
      </c>
      <c r="R33" s="718">
        <f t="shared" si="3"/>
        <v>5562.04</v>
      </c>
      <c r="S33" s="1031">
        <f>+S44+S52</f>
        <v>0</v>
      </c>
      <c r="T33" s="1031">
        <f>T44+T52</f>
        <v>0</v>
      </c>
      <c r="U33" s="718">
        <f>+Q33+S33</f>
        <v>0</v>
      </c>
      <c r="V33" s="718">
        <f t="shared" si="4"/>
        <v>5562.04</v>
      </c>
      <c r="W33" s="1031">
        <f>+W44+W52</f>
        <v>0</v>
      </c>
      <c r="X33" s="1031">
        <f>X44+X52</f>
        <v>0</v>
      </c>
      <c r="Y33" s="717">
        <f t="shared" ref="Y33" si="70">O33+S33+W33</f>
        <v>0</v>
      </c>
      <c r="Z33" s="717">
        <f t="shared" si="5"/>
        <v>0</v>
      </c>
      <c r="AA33" s="429">
        <f>M33+Y33</f>
        <v>0</v>
      </c>
      <c r="AB33" s="429">
        <f t="shared" si="68"/>
        <v>5562.04</v>
      </c>
      <c r="AC33" s="1031">
        <f>+AC44+AC52</f>
        <v>0</v>
      </c>
      <c r="AD33" s="1031">
        <f>AD44+AD52</f>
        <v>0</v>
      </c>
      <c r="AE33" s="718">
        <f>+AA33+AC33</f>
        <v>0</v>
      </c>
      <c r="AF33" s="718">
        <f t="shared" si="6"/>
        <v>5562.04</v>
      </c>
      <c r="AG33" s="1031">
        <f>+AG44+AG52</f>
        <v>0</v>
      </c>
      <c r="AH33" s="1031">
        <f>AH44+AH52</f>
        <v>0</v>
      </c>
      <c r="AI33" s="718">
        <f>+AE33+AG33</f>
        <v>0</v>
      </c>
      <c r="AJ33" s="718">
        <f t="shared" si="7"/>
        <v>5562.04</v>
      </c>
      <c r="AK33" s="1031">
        <f>+AK44+AK52</f>
        <v>0</v>
      </c>
      <c r="AL33" s="1031">
        <f>AL44+AL52</f>
        <v>0</v>
      </c>
      <c r="AM33" s="717">
        <f t="shared" ref="AM33" si="71">AC33+AG33+AK33</f>
        <v>0</v>
      </c>
      <c r="AN33" s="717">
        <f t="shared" si="8"/>
        <v>0</v>
      </c>
      <c r="AO33" s="718">
        <f>+AK33+AI33</f>
        <v>0</v>
      </c>
      <c r="AP33" s="718">
        <f t="shared" si="69"/>
        <v>5562.04</v>
      </c>
      <c r="AQ33" s="1031">
        <f>+AQ44+AQ52</f>
        <v>0</v>
      </c>
      <c r="AR33" s="1031">
        <f>AR44+AR52</f>
        <v>0</v>
      </c>
      <c r="AS33" s="718">
        <f>+AO33+AQ33</f>
        <v>0</v>
      </c>
      <c r="AT33" s="718">
        <f t="shared" si="10"/>
        <v>5562.04</v>
      </c>
      <c r="AU33" s="1031">
        <f>+AU44+AU52</f>
        <v>0</v>
      </c>
      <c r="AV33" s="1031">
        <f>AV44+AV52</f>
        <v>0</v>
      </c>
      <c r="AW33" s="718">
        <f>+AS33+AU33</f>
        <v>0</v>
      </c>
      <c r="AX33" s="718">
        <f t="shared" si="11"/>
        <v>5562.04</v>
      </c>
      <c r="AY33" s="1031">
        <f>+AY44+AY52</f>
        <v>0</v>
      </c>
      <c r="AZ33" s="1031">
        <f>AZ44+AZ52</f>
        <v>0</v>
      </c>
      <c r="BA33" s="717">
        <f t="shared" ref="BA33" si="72">AQ33+AU33+AY33</f>
        <v>0</v>
      </c>
      <c r="BB33" s="717">
        <f t="shared" si="12"/>
        <v>0</v>
      </c>
      <c r="BC33" s="429">
        <f>AM33+BA33</f>
        <v>0</v>
      </c>
      <c r="BD33" s="429">
        <f t="shared" si="13"/>
        <v>0</v>
      </c>
      <c r="BE33" s="718">
        <f>+AA33+BC33</f>
        <v>0</v>
      </c>
      <c r="BF33" s="718">
        <f t="shared" si="14"/>
        <v>5562.04</v>
      </c>
    </row>
    <row r="34" spans="1:58" x14ac:dyDescent="0.3">
      <c r="A34" s="110"/>
      <c r="B34" s="5064" t="s">
        <v>2188</v>
      </c>
      <c r="C34" s="4932" t="s">
        <v>50</v>
      </c>
      <c r="D34" s="5984">
        <v>15000</v>
      </c>
      <c r="E34" s="5984">
        <f>+E39+E45+E53</f>
        <v>0</v>
      </c>
      <c r="F34" s="4928">
        <f>+F53+F45</f>
        <v>0</v>
      </c>
      <c r="G34" s="5984">
        <f>+G39+G45+G53</f>
        <v>0</v>
      </c>
      <c r="H34" s="4928">
        <f>+H53+H45</f>
        <v>2989.14</v>
      </c>
      <c r="I34" s="5987">
        <f>+E34+G34</f>
        <v>0</v>
      </c>
      <c r="J34" s="718">
        <f t="shared" si="1"/>
        <v>2989.14</v>
      </c>
      <c r="K34" s="5984">
        <f>+K39+K45+K53</f>
        <v>0</v>
      </c>
      <c r="L34" s="4928">
        <f>+L53+L45</f>
        <v>0</v>
      </c>
      <c r="M34" s="6015">
        <f>+I34+K34</f>
        <v>0</v>
      </c>
      <c r="N34" s="717">
        <f t="shared" si="2"/>
        <v>2989.14</v>
      </c>
      <c r="O34" s="5984">
        <f>+O39+O45+O53</f>
        <v>0</v>
      </c>
      <c r="P34" s="4928">
        <f>+P53+P45</f>
        <v>0</v>
      </c>
      <c r="Q34" s="5987">
        <f>+M34+O34</f>
        <v>0</v>
      </c>
      <c r="R34" s="718">
        <f t="shared" si="3"/>
        <v>2989.14</v>
      </c>
      <c r="S34" s="5984">
        <f>+S39+S45+S53</f>
        <v>0</v>
      </c>
      <c r="T34" s="4928">
        <f>+T53+T45</f>
        <v>0</v>
      </c>
      <c r="U34" s="5987">
        <f>+Q34+S34</f>
        <v>0</v>
      </c>
      <c r="V34" s="718">
        <f t="shared" si="4"/>
        <v>2989.14</v>
      </c>
      <c r="W34" s="5984">
        <f>+W39+W45+W53</f>
        <v>0</v>
      </c>
      <c r="X34" s="4928">
        <f>+X53+X45</f>
        <v>0</v>
      </c>
      <c r="Y34" s="6015">
        <f>O34+S34+W34</f>
        <v>0</v>
      </c>
      <c r="Z34" s="6015">
        <f t="shared" si="5"/>
        <v>0</v>
      </c>
      <c r="AA34" s="6002">
        <f>M34+Y34</f>
        <v>0</v>
      </c>
      <c r="AB34" s="429">
        <f t="shared" si="68"/>
        <v>2989.14</v>
      </c>
      <c r="AC34" s="5984">
        <f>+AC39+AC45+AC53</f>
        <v>0</v>
      </c>
      <c r="AD34" s="4928">
        <f>+AD53+AD45</f>
        <v>0</v>
      </c>
      <c r="AE34" s="5987">
        <f>+AA34+AC34</f>
        <v>0</v>
      </c>
      <c r="AF34" s="718">
        <f t="shared" si="6"/>
        <v>2989.14</v>
      </c>
      <c r="AG34" s="5984">
        <f>+AG39+AG45+AG53</f>
        <v>0</v>
      </c>
      <c r="AH34" s="4928">
        <f>+AH53+AH45</f>
        <v>0</v>
      </c>
      <c r="AI34" s="5987">
        <f>+AE34+AG34</f>
        <v>0</v>
      </c>
      <c r="AJ34" s="718">
        <f t="shared" si="7"/>
        <v>2989.14</v>
      </c>
      <c r="AK34" s="5984">
        <f>+AK39+AK45+AK53</f>
        <v>0</v>
      </c>
      <c r="AL34" s="4928">
        <f>+AL53+AL45</f>
        <v>0</v>
      </c>
      <c r="AM34" s="6015">
        <f>AC34+AG34+AK34</f>
        <v>0</v>
      </c>
      <c r="AN34" s="717">
        <f t="shared" si="8"/>
        <v>0</v>
      </c>
      <c r="AO34" s="5987">
        <f>+AK34+AI34</f>
        <v>0</v>
      </c>
      <c r="AP34" s="718">
        <f t="shared" si="69"/>
        <v>2989.14</v>
      </c>
      <c r="AQ34" s="5984">
        <f>+AQ39+AQ45+AQ53</f>
        <v>0</v>
      </c>
      <c r="AR34" s="4928">
        <f>+AR53+AR45</f>
        <v>0</v>
      </c>
      <c r="AS34" s="5987">
        <f>+AO34+AQ34</f>
        <v>0</v>
      </c>
      <c r="AT34" s="718">
        <f t="shared" si="10"/>
        <v>2989.14</v>
      </c>
      <c r="AU34" s="5984">
        <f>+AU39+AU45+AU53</f>
        <v>0</v>
      </c>
      <c r="AV34" s="4928">
        <f>+AV53+AV45</f>
        <v>2022.0800000000002</v>
      </c>
      <c r="AW34" s="5987">
        <f>+AS34+AU34</f>
        <v>0</v>
      </c>
      <c r="AX34" s="718">
        <f t="shared" si="11"/>
        <v>5011.22</v>
      </c>
      <c r="AY34" s="5984">
        <f>+AY39+AY45+AY53</f>
        <v>0</v>
      </c>
      <c r="AZ34" s="4928">
        <f>+AZ53+AZ45</f>
        <v>2066.8999999999996</v>
      </c>
      <c r="BA34" s="6015">
        <f>AQ34+AU34+AY34</f>
        <v>0</v>
      </c>
      <c r="BB34" s="717">
        <f t="shared" si="12"/>
        <v>4088.9799999999996</v>
      </c>
      <c r="BC34" s="6002">
        <f>AM34+BA34</f>
        <v>0</v>
      </c>
      <c r="BD34" s="429">
        <f t="shared" si="13"/>
        <v>4088.9799999999996</v>
      </c>
      <c r="BE34" s="5987">
        <f>+AA34+BC34</f>
        <v>0</v>
      </c>
      <c r="BF34" s="718">
        <f t="shared" si="14"/>
        <v>7078.119999999999</v>
      </c>
    </row>
    <row r="35" spans="1:58" x14ac:dyDescent="0.3">
      <c r="A35" s="88"/>
      <c r="B35" s="926" t="s">
        <v>2186</v>
      </c>
      <c r="C35" s="146" t="s">
        <v>50</v>
      </c>
      <c r="D35" s="5985"/>
      <c r="E35" s="5985"/>
      <c r="F35" s="1031">
        <f>+F46+F58+F54</f>
        <v>1961.5</v>
      </c>
      <c r="G35" s="5985"/>
      <c r="H35" s="1031">
        <f>+H46+H58+H54</f>
        <v>380.3</v>
      </c>
      <c r="I35" s="5988"/>
      <c r="J35" s="718">
        <f t="shared" si="1"/>
        <v>2341.8000000000002</v>
      </c>
      <c r="K35" s="5985"/>
      <c r="L35" s="1031">
        <f>+L46+L58+L54</f>
        <v>3983.52</v>
      </c>
      <c r="M35" s="6016"/>
      <c r="N35" s="717">
        <f t="shared" si="2"/>
        <v>6325.32</v>
      </c>
      <c r="O35" s="5985"/>
      <c r="P35" s="1031">
        <f>+P46+P58+P54</f>
        <v>2025.24</v>
      </c>
      <c r="Q35" s="5988"/>
      <c r="R35" s="718">
        <f t="shared" si="3"/>
        <v>8350.56</v>
      </c>
      <c r="S35" s="5985"/>
      <c r="T35" s="1031">
        <f>+T46+T58+T54</f>
        <v>1895.72</v>
      </c>
      <c r="U35" s="5988"/>
      <c r="V35" s="718">
        <f t="shared" si="4"/>
        <v>10246.279999999999</v>
      </c>
      <c r="W35" s="5985"/>
      <c r="X35" s="1031">
        <f>+X46+X58+X54</f>
        <v>960.38000000000011</v>
      </c>
      <c r="Y35" s="6016">
        <f t="shared" ref="Y35:Y36" si="73">O35+S35+W35</f>
        <v>0</v>
      </c>
      <c r="Z35" s="6016">
        <f t="shared" si="5"/>
        <v>4881.34</v>
      </c>
      <c r="AA35" s="5814">
        <f>M35+Y35</f>
        <v>0</v>
      </c>
      <c r="AB35" s="429">
        <f t="shared" si="68"/>
        <v>11206.66</v>
      </c>
      <c r="AC35" s="5985"/>
      <c r="AD35" s="1031">
        <f>+AD46+AD58+AD54</f>
        <v>4620.18</v>
      </c>
      <c r="AE35" s="5988"/>
      <c r="AF35" s="718">
        <f t="shared" si="6"/>
        <v>15826.84</v>
      </c>
      <c r="AG35" s="5985"/>
      <c r="AH35" s="1031">
        <f>+AH46+AH58+AH54</f>
        <v>0</v>
      </c>
      <c r="AI35" s="5988"/>
      <c r="AJ35" s="718">
        <f t="shared" si="7"/>
        <v>15826.84</v>
      </c>
      <c r="AK35" s="5985"/>
      <c r="AL35" s="1031">
        <f>+AL46+AL58+AL54</f>
        <v>0</v>
      </c>
      <c r="AM35" s="6016">
        <f t="shared" ref="AM35:AM36" si="74">AC35+AG35+AK35</f>
        <v>0</v>
      </c>
      <c r="AN35" s="717">
        <f t="shared" si="8"/>
        <v>4620.18</v>
      </c>
      <c r="AO35" s="5988"/>
      <c r="AP35" s="718">
        <f t="shared" si="69"/>
        <v>15826.84</v>
      </c>
      <c r="AQ35" s="5985"/>
      <c r="AR35" s="1031">
        <f>+AR46+AR58+AR54</f>
        <v>0</v>
      </c>
      <c r="AS35" s="5988"/>
      <c r="AT35" s="718">
        <f t="shared" si="10"/>
        <v>15826.84</v>
      </c>
      <c r="AU35" s="5985"/>
      <c r="AV35" s="1031">
        <f>+AV46+AV58+AV54</f>
        <v>0</v>
      </c>
      <c r="AW35" s="5988"/>
      <c r="AX35" s="718">
        <f t="shared" si="11"/>
        <v>15826.84</v>
      </c>
      <c r="AY35" s="5985"/>
      <c r="AZ35" s="1031">
        <f>+AZ46+AZ58+AZ54</f>
        <v>0</v>
      </c>
      <c r="BA35" s="6016">
        <f t="shared" ref="BA35:BA36" si="75">AQ35+AU35+AY35</f>
        <v>0</v>
      </c>
      <c r="BB35" s="717">
        <f t="shared" si="12"/>
        <v>0</v>
      </c>
      <c r="BC35" s="5814">
        <f>AO35+BA35</f>
        <v>0</v>
      </c>
      <c r="BD35" s="429">
        <f t="shared" si="13"/>
        <v>4620.18</v>
      </c>
      <c r="BE35" s="5988"/>
      <c r="BF35" s="718">
        <f t="shared" si="14"/>
        <v>15826.84</v>
      </c>
    </row>
    <row r="36" spans="1:58" ht="21.15" customHeight="1" x14ac:dyDescent="0.3">
      <c r="A36" s="88"/>
      <c r="B36" s="926" t="s">
        <v>2187</v>
      </c>
      <c r="C36" s="146" t="s">
        <v>50</v>
      </c>
      <c r="D36" s="5986"/>
      <c r="E36" s="5986"/>
      <c r="F36" s="1031">
        <f>+F39+F47+F55+F59</f>
        <v>4003.85</v>
      </c>
      <c r="G36" s="5986"/>
      <c r="H36" s="1031">
        <f>+H39+H47+H55+H59</f>
        <v>1783.23</v>
      </c>
      <c r="I36" s="5989"/>
      <c r="J36" s="718">
        <f t="shared" si="1"/>
        <v>5787.08</v>
      </c>
      <c r="K36" s="5986"/>
      <c r="L36" s="1031">
        <f>+L39+L47+L55+L59</f>
        <v>2820.29</v>
      </c>
      <c r="M36" s="6017"/>
      <c r="N36" s="717">
        <f t="shared" si="2"/>
        <v>8607.369999999999</v>
      </c>
      <c r="O36" s="5986"/>
      <c r="P36" s="1031">
        <f>+P39+P47+P55+P59</f>
        <v>1840.1200000000001</v>
      </c>
      <c r="Q36" s="5989"/>
      <c r="R36" s="718">
        <f t="shared" si="3"/>
        <v>10447.49</v>
      </c>
      <c r="S36" s="5986"/>
      <c r="T36" s="1031">
        <f>+T39+T47+T55+T59</f>
        <v>4123.17</v>
      </c>
      <c r="U36" s="5989"/>
      <c r="V36" s="718">
        <f t="shared" si="4"/>
        <v>14570.66</v>
      </c>
      <c r="W36" s="5986"/>
      <c r="X36" s="1031">
        <f>+X39+X47+X55+X59</f>
        <v>3724.98</v>
      </c>
      <c r="Y36" s="6017">
        <f t="shared" si="73"/>
        <v>0</v>
      </c>
      <c r="Z36" s="6017">
        <f t="shared" si="5"/>
        <v>9688.27</v>
      </c>
      <c r="AA36" s="5815">
        <f>M36+Y36</f>
        <v>0</v>
      </c>
      <c r="AB36" s="429">
        <f t="shared" si="68"/>
        <v>18295.64</v>
      </c>
      <c r="AC36" s="5986"/>
      <c r="AD36" s="1031">
        <f>+AD39+AD47+AD55+AD59</f>
        <v>601.74</v>
      </c>
      <c r="AE36" s="5989"/>
      <c r="AF36" s="718">
        <f t="shared" si="6"/>
        <v>18897.38</v>
      </c>
      <c r="AG36" s="5986"/>
      <c r="AH36" s="1031">
        <f>+AH39+AH47+AH55+AH59</f>
        <v>0</v>
      </c>
      <c r="AI36" s="5989"/>
      <c r="AJ36" s="718">
        <f t="shared" si="7"/>
        <v>18897.38</v>
      </c>
      <c r="AK36" s="5986"/>
      <c r="AL36" s="1031">
        <f>+AL39+AL47+AL55+AL59</f>
        <v>2959.9700000000003</v>
      </c>
      <c r="AM36" s="6017">
        <f t="shared" si="74"/>
        <v>0</v>
      </c>
      <c r="AN36" s="717">
        <f t="shared" si="8"/>
        <v>3561.71</v>
      </c>
      <c r="AO36" s="5989"/>
      <c r="AP36" s="718">
        <f t="shared" si="69"/>
        <v>21857.350000000002</v>
      </c>
      <c r="AQ36" s="5986"/>
      <c r="AR36" s="1031">
        <f>+AR39+AR47+AR55+AR59</f>
        <v>5867.05</v>
      </c>
      <c r="AS36" s="5989"/>
      <c r="AT36" s="718">
        <f t="shared" si="10"/>
        <v>27724.400000000001</v>
      </c>
      <c r="AU36" s="5986"/>
      <c r="AV36" s="1031">
        <f>+AV39+AV47+AV55+AV59</f>
        <v>3622.1200000000003</v>
      </c>
      <c r="AW36" s="5989"/>
      <c r="AX36" s="718">
        <f t="shared" si="11"/>
        <v>31346.52</v>
      </c>
      <c r="AY36" s="5986"/>
      <c r="AZ36" s="1031">
        <f>+AZ39+AZ47+AZ55+AZ59</f>
        <v>3701.69</v>
      </c>
      <c r="BA36" s="6017">
        <f t="shared" si="75"/>
        <v>0</v>
      </c>
      <c r="BB36" s="717">
        <f t="shared" si="12"/>
        <v>13190.86</v>
      </c>
      <c r="BC36" s="5815">
        <f>AO36+BA36</f>
        <v>0</v>
      </c>
      <c r="BD36" s="429">
        <f t="shared" si="13"/>
        <v>16752.57</v>
      </c>
      <c r="BE36" s="5989"/>
      <c r="BF36" s="718">
        <f t="shared" si="14"/>
        <v>35048.21</v>
      </c>
    </row>
    <row r="37" spans="1:58" ht="21.15" customHeight="1" x14ac:dyDescent="0.3">
      <c r="A37" s="88"/>
      <c r="B37" s="3123" t="s">
        <v>2</v>
      </c>
      <c r="C37" s="146" t="s">
        <v>50</v>
      </c>
      <c r="D37" s="421">
        <f>+'Maj Production Summ'!D36</f>
        <v>350000.39654600783</v>
      </c>
      <c r="E37" s="421">
        <f>+'Maj Production Summ'!E36</f>
        <v>20999.957109341791</v>
      </c>
      <c r="F37" s="421">
        <f t="shared" ref="F37" si="76">SUM(F31:F36)</f>
        <v>32106.71</v>
      </c>
      <c r="G37" s="421">
        <f>+'Maj Production Summ'!G36</f>
        <v>0.49149549403227866</v>
      </c>
      <c r="H37" s="421">
        <f t="shared" ref="H37" si="77">SUM(H31:H36)</f>
        <v>25913.72</v>
      </c>
      <c r="I37" s="344">
        <f>+E37+G37</f>
        <v>21000.448604835823</v>
      </c>
      <c r="J37" s="718">
        <f t="shared" si="1"/>
        <v>58020.43</v>
      </c>
      <c r="K37" s="421">
        <f>+'Maj Production Summ'!K36</f>
        <v>48000.110883115201</v>
      </c>
      <c r="L37" s="421">
        <f t="shared" ref="L37" si="78">SUM(L31:L36)</f>
        <v>6803.8099999999995</v>
      </c>
      <c r="M37" s="346">
        <f>+I37+K37</f>
        <v>69000.559487951017</v>
      </c>
      <c r="N37" s="717">
        <f t="shared" si="2"/>
        <v>64824.24</v>
      </c>
      <c r="O37" s="421">
        <f>+'Maj Production Summ'!O36</f>
        <v>43500.141355320899</v>
      </c>
      <c r="P37" s="421">
        <f t="shared" ref="P37" si="79">SUM(P31:P36)</f>
        <v>3865.36</v>
      </c>
      <c r="Q37" s="344">
        <f>+M37+O37</f>
        <v>112500.70084327192</v>
      </c>
      <c r="R37" s="718">
        <f t="shared" si="3"/>
        <v>68689.599999999991</v>
      </c>
      <c r="S37" s="421">
        <f>+'Maj Production Summ'!S36</f>
        <v>43500.141355320899</v>
      </c>
      <c r="T37" s="421">
        <f t="shared" ref="T37" si="80">SUM(T31:T36)</f>
        <v>6018.89</v>
      </c>
      <c r="U37" s="344">
        <f>+Q37+S37</f>
        <v>156000.84219859281</v>
      </c>
      <c r="V37" s="718">
        <f t="shared" si="4"/>
        <v>74708.489999999991</v>
      </c>
      <c r="W37" s="421">
        <f>+'Maj Production Summ'!W36</f>
        <v>15300.0147648532</v>
      </c>
      <c r="X37" s="421">
        <f t="shared" ref="X37" si="81">SUM(X31:X36)</f>
        <v>4685.3600000000006</v>
      </c>
      <c r="Y37" s="346">
        <f>O37+S37+W37</f>
        <v>102300.297475495</v>
      </c>
      <c r="Z37" s="346">
        <f t="shared" si="5"/>
        <v>14569.61</v>
      </c>
      <c r="AA37" s="502">
        <f>M37+Y37</f>
        <v>171300.85696344601</v>
      </c>
      <c r="AB37" s="429">
        <f t="shared" si="68"/>
        <v>79393.849999999991</v>
      </c>
      <c r="AC37" s="421">
        <f>+'Maj Production Summ'!AC36</f>
        <v>48999.528159756301</v>
      </c>
      <c r="AD37" s="421">
        <f t="shared" ref="AD37" si="82">SUM(AD31:AD36)</f>
        <v>5221.92</v>
      </c>
      <c r="AE37" s="344">
        <f>+AA37+AC37</f>
        <v>220300.38512320232</v>
      </c>
      <c r="AF37" s="718">
        <f t="shared" si="6"/>
        <v>84615.76999999999</v>
      </c>
      <c r="AG37" s="421">
        <f>+'Maj Production Summ'!AG36</f>
        <v>45499.588455674595</v>
      </c>
      <c r="AH37" s="421">
        <f t="shared" ref="AH37" si="83">SUM(AH31:AH36)</f>
        <v>0</v>
      </c>
      <c r="AI37" s="344">
        <f>+AE37+AG37</f>
        <v>265799.97357887693</v>
      </c>
      <c r="AJ37" s="718">
        <f t="shared" si="7"/>
        <v>84615.76999999999</v>
      </c>
      <c r="AK37" s="421">
        <f>+'Maj Production Summ'!AK36</f>
        <v>46000.054244216401</v>
      </c>
      <c r="AL37" s="421">
        <f t="shared" ref="AL37" si="84">SUM(AL31:AL36)</f>
        <v>2959.9700000000003</v>
      </c>
      <c r="AM37" s="346">
        <f>AC37+AG37+AK37</f>
        <v>140499.17085964727</v>
      </c>
      <c r="AN37" s="717">
        <f t="shared" si="8"/>
        <v>8181.89</v>
      </c>
      <c r="AO37" s="344">
        <f>+AK37+AI37</f>
        <v>311800.02782309335</v>
      </c>
      <c r="AP37" s="718">
        <f t="shared" si="69"/>
        <v>87575.739999999991</v>
      </c>
      <c r="AQ37" s="421">
        <f>+'Maj Production Summ'!AQ36</f>
        <v>48499.664678463945</v>
      </c>
      <c r="AR37" s="421">
        <f t="shared" ref="AR37" si="85">SUM(AR31:AR36)</f>
        <v>5867.05</v>
      </c>
      <c r="AS37" s="344">
        <f>+AO37+AQ37</f>
        <v>360299.69250155729</v>
      </c>
      <c r="AT37" s="718">
        <f t="shared" si="10"/>
        <v>93442.79</v>
      </c>
      <c r="AU37" s="421">
        <f>+'Maj Production Summ'!AU36</f>
        <v>41500.010429203743</v>
      </c>
      <c r="AV37" s="421">
        <f t="shared" ref="AV37" si="86">SUM(AV31:AV36)</f>
        <v>5644.2000000000007</v>
      </c>
      <c r="AW37" s="344">
        <f>+AS37+AU37</f>
        <v>401799.70293076104</v>
      </c>
      <c r="AX37" s="718">
        <f t="shared" si="11"/>
        <v>99086.989999999991</v>
      </c>
      <c r="AY37" s="421">
        <f>+'Maj Production Summ'!AY36</f>
        <v>46999.690762923987</v>
      </c>
      <c r="AZ37" s="421">
        <f t="shared" ref="AZ37" si="87">SUM(AZ31:AZ36)</f>
        <v>5768.59</v>
      </c>
      <c r="BA37" s="346">
        <f>AQ37+AU37+AY37</f>
        <v>136999.36587059166</v>
      </c>
      <c r="BB37" s="717">
        <f t="shared" si="12"/>
        <v>17279.84</v>
      </c>
      <c r="BC37" s="502">
        <f>AM37+BA37</f>
        <v>277498.53673023893</v>
      </c>
      <c r="BD37" s="429">
        <f t="shared" si="13"/>
        <v>25461.73</v>
      </c>
      <c r="BE37" s="344">
        <f>+AA37+BC37</f>
        <v>448799.39369368495</v>
      </c>
      <c r="BF37" s="718">
        <f t="shared" si="14"/>
        <v>104855.57999999999</v>
      </c>
    </row>
    <row r="38" spans="1:58" ht="21.15" customHeight="1" x14ac:dyDescent="0.3">
      <c r="A38" s="88"/>
      <c r="B38" s="3122" t="s">
        <v>2166</v>
      </c>
      <c r="C38" s="4932"/>
      <c r="D38" s="4939"/>
      <c r="E38" s="4933"/>
      <c r="F38" s="4933"/>
      <c r="G38" s="4933"/>
      <c r="H38" s="4933"/>
      <c r="I38" s="4940"/>
      <c r="J38" s="718"/>
      <c r="K38" s="4933"/>
      <c r="L38" s="4933"/>
      <c r="M38" s="4934"/>
      <c r="N38" s="717"/>
      <c r="O38" s="4933"/>
      <c r="P38" s="4933"/>
      <c r="Q38" s="4940"/>
      <c r="R38" s="718"/>
      <c r="S38" s="4933"/>
      <c r="T38" s="4933"/>
      <c r="U38" s="4940"/>
      <c r="V38" s="718"/>
      <c r="W38" s="4933"/>
      <c r="X38" s="4933"/>
      <c r="Y38" s="4934"/>
      <c r="Z38" s="4934"/>
      <c r="AA38" s="4938"/>
      <c r="AB38" s="429"/>
      <c r="AC38" s="4933"/>
      <c r="AD38" s="4933"/>
      <c r="AE38" s="4940"/>
      <c r="AF38" s="718"/>
      <c r="AG38" s="4933"/>
      <c r="AH38" s="4933"/>
      <c r="AI38" s="4940"/>
      <c r="AJ38" s="718"/>
      <c r="AK38" s="4933"/>
      <c r="AL38" s="4933"/>
      <c r="AM38" s="4934"/>
      <c r="AN38" s="717"/>
      <c r="AO38" s="4940"/>
      <c r="AP38" s="718"/>
      <c r="AQ38" s="4933"/>
      <c r="AR38" s="4933"/>
      <c r="AS38" s="4940"/>
      <c r="AT38" s="718"/>
      <c r="AU38" s="4933"/>
      <c r="AV38" s="4933"/>
      <c r="AW38" s="4940"/>
      <c r="AX38" s="718"/>
      <c r="AY38" s="4933"/>
      <c r="AZ38" s="4933"/>
      <c r="BA38" s="4934"/>
      <c r="BB38" s="717"/>
      <c r="BC38" s="4938"/>
      <c r="BD38" s="429"/>
      <c r="BE38" s="4940"/>
      <c r="BF38" s="718"/>
    </row>
    <row r="39" spans="1:58" ht="21.15" customHeight="1" x14ac:dyDescent="0.3">
      <c r="A39" s="88"/>
      <c r="B39" s="926" t="s">
        <v>2187</v>
      </c>
      <c r="C39" s="4932" t="s">
        <v>50</v>
      </c>
      <c r="D39" s="4939">
        <v>0</v>
      </c>
      <c r="E39" s="5564">
        <v>0</v>
      </c>
      <c r="F39" s="4933">
        <f>'Direct sales IPT details'!E12</f>
        <v>516.76</v>
      </c>
      <c r="G39" s="5564">
        <v>0</v>
      </c>
      <c r="H39" s="4933">
        <f>'Direct sales IPT details'!G12</f>
        <v>0</v>
      </c>
      <c r="I39" s="344">
        <f t="shared" ref="I39:I40" si="88">+E39+G39</f>
        <v>0</v>
      </c>
      <c r="J39" s="718">
        <f t="shared" si="1"/>
        <v>516.76</v>
      </c>
      <c r="K39" s="5564"/>
      <c r="L39" s="4933">
        <f>'Direct sales IPT details'!K12</f>
        <v>0</v>
      </c>
      <c r="M39" s="346">
        <f t="shared" ref="M39:M40" si="89">+I39+K39</f>
        <v>0</v>
      </c>
      <c r="N39" s="717">
        <f t="shared" si="2"/>
        <v>516.76</v>
      </c>
      <c r="O39" s="5564"/>
      <c r="P39" s="4933">
        <f>'Direct sales IPT details'!O12</f>
        <v>0</v>
      </c>
      <c r="Q39" s="344">
        <f t="shared" ref="Q39:Q40" si="90">+M39+O39</f>
        <v>0</v>
      </c>
      <c r="R39" s="718">
        <f t="shared" si="3"/>
        <v>516.76</v>
      </c>
      <c r="S39" s="5564"/>
      <c r="T39" s="4933">
        <f>'Direct sales IPT details'!S12</f>
        <v>0</v>
      </c>
      <c r="U39" s="344">
        <f t="shared" ref="U39:U40" si="91">+Q39+S39</f>
        <v>0</v>
      </c>
      <c r="V39" s="718">
        <f t="shared" si="4"/>
        <v>516.76</v>
      </c>
      <c r="W39" s="5564"/>
      <c r="X39" s="4933">
        <f>'Direct sales IPT details'!W12</f>
        <v>0</v>
      </c>
      <c r="Y39" s="717">
        <f t="shared" ref="Y39:Y40" si="92">O39+S39+W39</f>
        <v>0</v>
      </c>
      <c r="Z39" s="346">
        <f t="shared" si="5"/>
        <v>0</v>
      </c>
      <c r="AA39" s="429">
        <f t="shared" ref="AA39:AA40" si="93">M39+Y39</f>
        <v>0</v>
      </c>
      <c r="AB39" s="429">
        <f>X39+V39</f>
        <v>516.76</v>
      </c>
      <c r="AC39" s="5564"/>
      <c r="AD39" s="4933">
        <f>'Direct sales IPT details'!AC12</f>
        <v>0</v>
      </c>
      <c r="AE39" s="344">
        <f t="shared" ref="AE39:AE40" si="94">+AA39+AC39</f>
        <v>0</v>
      </c>
      <c r="AF39" s="718">
        <f t="shared" si="6"/>
        <v>516.76</v>
      </c>
      <c r="AG39" s="5564"/>
      <c r="AH39" s="4933">
        <f>'Direct sales IPT details'!AG12</f>
        <v>0</v>
      </c>
      <c r="AI39" s="344">
        <f t="shared" ref="AI39:AI40" si="95">+AE39+AG39</f>
        <v>0</v>
      </c>
      <c r="AJ39" s="718">
        <f t="shared" si="7"/>
        <v>516.76</v>
      </c>
      <c r="AK39" s="5564"/>
      <c r="AL39" s="4933">
        <f>'Direct sales IPT details'!AK12</f>
        <v>0</v>
      </c>
      <c r="AM39" s="717">
        <f t="shared" ref="AM39:AM40" si="96">AC39+AG39+AK39</f>
        <v>0</v>
      </c>
      <c r="AN39" s="717">
        <f t="shared" si="8"/>
        <v>0</v>
      </c>
      <c r="AO39" s="344">
        <f>+AK39+AI39</f>
        <v>0</v>
      </c>
      <c r="AP39" s="718">
        <f>AL39+AJ39</f>
        <v>516.76</v>
      </c>
      <c r="AQ39" s="5564"/>
      <c r="AR39" s="4933">
        <f>'Direct sales IPT details'!AQ12</f>
        <v>0</v>
      </c>
      <c r="AS39" s="344">
        <f t="shared" ref="AS39:AS40" si="97">+AO39+AQ39</f>
        <v>0</v>
      </c>
      <c r="AT39" s="718">
        <f t="shared" si="10"/>
        <v>516.76</v>
      </c>
      <c r="AU39" s="5564"/>
      <c r="AV39" s="4933">
        <f>'Direct sales IPT details'!AU12</f>
        <v>0</v>
      </c>
      <c r="AW39" s="344">
        <f t="shared" ref="AW39:AW40" si="98">+AS39+AU39</f>
        <v>0</v>
      </c>
      <c r="AX39" s="718">
        <f t="shared" si="11"/>
        <v>516.76</v>
      </c>
      <c r="AY39" s="5564"/>
      <c r="AZ39" s="4933">
        <f>'Direct sales IPT details'!AY12</f>
        <v>186.41</v>
      </c>
      <c r="BA39" s="717">
        <f t="shared" ref="BA39:BA40" si="99">AQ39+AU39+AY39</f>
        <v>0</v>
      </c>
      <c r="BB39" s="717">
        <f t="shared" si="12"/>
        <v>186.41</v>
      </c>
      <c r="BC39" s="429">
        <f>AM39+BA39</f>
        <v>0</v>
      </c>
      <c r="BD39" s="429">
        <f t="shared" si="13"/>
        <v>186.41</v>
      </c>
      <c r="BE39" s="344">
        <f>+AA39+BC39</f>
        <v>0</v>
      </c>
      <c r="BF39" s="718">
        <f t="shared" si="14"/>
        <v>703.17</v>
      </c>
    </row>
    <row r="40" spans="1:58" s="29" customFormat="1" ht="21.15" customHeight="1" x14ac:dyDescent="0.3">
      <c r="A40" s="772"/>
      <c r="B40" s="3123" t="s">
        <v>2</v>
      </c>
      <c r="C40" s="4932" t="s">
        <v>50</v>
      </c>
      <c r="D40" s="4939"/>
      <c r="E40" s="4933">
        <f>+E39</f>
        <v>0</v>
      </c>
      <c r="F40" s="4933">
        <f>+F39</f>
        <v>516.76</v>
      </c>
      <c r="G40" s="4933">
        <f>+G39</f>
        <v>0</v>
      </c>
      <c r="H40" s="4933">
        <f>+H39</f>
        <v>0</v>
      </c>
      <c r="I40" s="344">
        <f t="shared" si="88"/>
        <v>0</v>
      </c>
      <c r="J40" s="344">
        <f t="shared" si="1"/>
        <v>516.76</v>
      </c>
      <c r="K40" s="4933">
        <f>+K39</f>
        <v>0</v>
      </c>
      <c r="L40" s="4933">
        <f>+L39</f>
        <v>0</v>
      </c>
      <c r="M40" s="346">
        <f t="shared" si="89"/>
        <v>0</v>
      </c>
      <c r="N40" s="346">
        <f t="shared" si="2"/>
        <v>516.76</v>
      </c>
      <c r="O40" s="4933">
        <f>+O39</f>
        <v>0</v>
      </c>
      <c r="P40" s="4933">
        <f>+P39</f>
        <v>0</v>
      </c>
      <c r="Q40" s="344">
        <f t="shared" si="90"/>
        <v>0</v>
      </c>
      <c r="R40" s="344">
        <f t="shared" si="3"/>
        <v>516.76</v>
      </c>
      <c r="S40" s="4933">
        <f>+S39</f>
        <v>0</v>
      </c>
      <c r="T40" s="4933">
        <f>+T39</f>
        <v>0</v>
      </c>
      <c r="U40" s="344">
        <f t="shared" si="91"/>
        <v>0</v>
      </c>
      <c r="V40" s="344">
        <f t="shared" si="4"/>
        <v>516.76</v>
      </c>
      <c r="W40" s="4933">
        <f>+W39</f>
        <v>0</v>
      </c>
      <c r="X40" s="4933">
        <f>+X39</f>
        <v>0</v>
      </c>
      <c r="Y40" s="717">
        <f t="shared" si="92"/>
        <v>0</v>
      </c>
      <c r="Z40" s="346">
        <f t="shared" si="5"/>
        <v>0</v>
      </c>
      <c r="AA40" s="429">
        <f t="shared" si="93"/>
        <v>0</v>
      </c>
      <c r="AB40" s="502">
        <f>X40+V40</f>
        <v>516.76</v>
      </c>
      <c r="AC40" s="4933">
        <f>+AC39</f>
        <v>0</v>
      </c>
      <c r="AD40" s="4933">
        <f>+AD39</f>
        <v>0</v>
      </c>
      <c r="AE40" s="344">
        <f t="shared" si="94"/>
        <v>0</v>
      </c>
      <c r="AF40" s="344">
        <f t="shared" si="6"/>
        <v>516.76</v>
      </c>
      <c r="AG40" s="4933">
        <f>+AG39</f>
        <v>0</v>
      </c>
      <c r="AH40" s="4933">
        <f>+AH39</f>
        <v>0</v>
      </c>
      <c r="AI40" s="344">
        <f t="shared" si="95"/>
        <v>0</v>
      </c>
      <c r="AJ40" s="344">
        <f t="shared" si="7"/>
        <v>516.76</v>
      </c>
      <c r="AK40" s="4933">
        <f>+AK39</f>
        <v>0</v>
      </c>
      <c r="AL40" s="4933">
        <f>+AL39</f>
        <v>0</v>
      </c>
      <c r="AM40" s="717">
        <f t="shared" si="96"/>
        <v>0</v>
      </c>
      <c r="AN40" s="717">
        <f t="shared" si="8"/>
        <v>0</v>
      </c>
      <c r="AO40" s="344">
        <f>+AK40+AI40</f>
        <v>0</v>
      </c>
      <c r="AP40" s="344">
        <f>AL40+AJ40</f>
        <v>516.76</v>
      </c>
      <c r="AQ40" s="4933">
        <f>+AQ39</f>
        <v>0</v>
      </c>
      <c r="AR40" s="4933">
        <f>+AR39</f>
        <v>0</v>
      </c>
      <c r="AS40" s="344">
        <f t="shared" si="97"/>
        <v>0</v>
      </c>
      <c r="AT40" s="344">
        <f t="shared" si="10"/>
        <v>516.76</v>
      </c>
      <c r="AU40" s="4933">
        <f>+AU39</f>
        <v>0</v>
      </c>
      <c r="AV40" s="4933">
        <f>+AV39</f>
        <v>0</v>
      </c>
      <c r="AW40" s="344">
        <f t="shared" si="98"/>
        <v>0</v>
      </c>
      <c r="AX40" s="344">
        <f t="shared" si="11"/>
        <v>516.76</v>
      </c>
      <c r="AY40" s="4933">
        <f>+AY39</f>
        <v>0</v>
      </c>
      <c r="AZ40" s="4933">
        <f>+AZ39</f>
        <v>186.41</v>
      </c>
      <c r="BA40" s="717">
        <f t="shared" si="99"/>
        <v>0</v>
      </c>
      <c r="BB40" s="717">
        <f t="shared" si="12"/>
        <v>186.41</v>
      </c>
      <c r="BC40" s="429">
        <f>AM40+BA40</f>
        <v>0</v>
      </c>
      <c r="BD40" s="429">
        <f t="shared" si="13"/>
        <v>186.41</v>
      </c>
      <c r="BE40" s="344">
        <f>+AA40+BC40</f>
        <v>0</v>
      </c>
      <c r="BF40" s="718">
        <f t="shared" si="14"/>
        <v>703.17</v>
      </c>
    </row>
    <row r="41" spans="1:58" x14ac:dyDescent="0.3">
      <c r="A41" s="142"/>
      <c r="B41" s="3122" t="s">
        <v>1328</v>
      </c>
      <c r="C41" s="5075"/>
      <c r="D41" s="3125"/>
      <c r="E41" s="3125"/>
      <c r="F41" s="3124"/>
      <c r="G41" s="3125"/>
      <c r="H41" s="3124"/>
      <c r="I41" s="5066"/>
      <c r="J41" s="718"/>
      <c r="K41" s="3125"/>
      <c r="L41" s="3124"/>
      <c r="M41" s="5627"/>
      <c r="N41" s="717"/>
      <c r="O41" s="3125"/>
      <c r="P41" s="3124"/>
      <c r="Q41" s="5066"/>
      <c r="R41" s="718"/>
      <c r="S41" s="3125"/>
      <c r="T41" s="3124"/>
      <c r="U41" s="5066"/>
      <c r="V41" s="718"/>
      <c r="W41" s="3125"/>
      <c r="X41" s="3124"/>
      <c r="Y41" s="5627"/>
      <c r="Z41" s="5627"/>
      <c r="AA41" s="5637"/>
      <c r="AB41" s="429"/>
      <c r="AC41" s="3125"/>
      <c r="AD41" s="3124"/>
      <c r="AE41" s="5066"/>
      <c r="AF41" s="718"/>
      <c r="AG41" s="3125"/>
      <c r="AH41" s="3124"/>
      <c r="AI41" s="5066"/>
      <c r="AJ41" s="718"/>
      <c r="AK41" s="3125"/>
      <c r="AL41" s="3124"/>
      <c r="AM41" s="5627"/>
      <c r="AN41" s="717"/>
      <c r="AO41" s="5066"/>
      <c r="AP41" s="718"/>
      <c r="AQ41" s="3125"/>
      <c r="AR41" s="3124"/>
      <c r="AS41" s="5066"/>
      <c r="AT41" s="718"/>
      <c r="AU41" s="3125"/>
      <c r="AV41" s="3124"/>
      <c r="AW41" s="5066"/>
      <c r="AX41" s="718"/>
      <c r="AY41" s="3125"/>
      <c r="AZ41" s="3124"/>
      <c r="BA41" s="5627"/>
      <c r="BB41" s="717"/>
      <c r="BC41" s="5637"/>
      <c r="BD41" s="429"/>
      <c r="BE41" s="5066"/>
      <c r="BF41" s="718"/>
    </row>
    <row r="42" spans="1:58" x14ac:dyDescent="0.3">
      <c r="A42" s="88"/>
      <c r="B42" s="926" t="s">
        <v>75</v>
      </c>
      <c r="C42" s="146" t="s">
        <v>50</v>
      </c>
      <c r="D42" s="5984">
        <f>+D48-D44-D45</f>
        <v>314999.98851223482</v>
      </c>
      <c r="E42" s="5984">
        <f>+E48-E44-E45</f>
        <v>20999.683707758697</v>
      </c>
      <c r="F42" s="1031">
        <v>13900.46</v>
      </c>
      <c r="G42" s="5984">
        <f>+G48-G44-G45</f>
        <v>0.35686330405587796</v>
      </c>
      <c r="H42" s="1031">
        <v>3469.8400000000011</v>
      </c>
      <c r="I42" s="5987">
        <f>E42+G42</f>
        <v>21000.040571062753</v>
      </c>
      <c r="J42" s="718">
        <f t="shared" si="1"/>
        <v>17370.3</v>
      </c>
      <c r="K42" s="5984">
        <f>+K48-K44-K45</f>
        <v>48000.110883115201</v>
      </c>
      <c r="L42" s="1031"/>
      <c r="M42" s="6015">
        <f>I42+K42</f>
        <v>69000.151454177947</v>
      </c>
      <c r="N42" s="717">
        <f t="shared" si="2"/>
        <v>17370.3</v>
      </c>
      <c r="O42" s="5984">
        <f>+O48-O44-O45</f>
        <v>43500.141355320899</v>
      </c>
      <c r="P42" s="1031"/>
      <c r="Q42" s="5987">
        <f>M42+O42</f>
        <v>112500.29280949885</v>
      </c>
      <c r="R42" s="718">
        <f t="shared" si="3"/>
        <v>17370.3</v>
      </c>
      <c r="S42" s="5984">
        <f>+S48-S44-S45</f>
        <v>43500.141355320899</v>
      </c>
      <c r="T42" s="1031"/>
      <c r="U42" s="5987">
        <f>Q42+S42</f>
        <v>156000.43416481974</v>
      </c>
      <c r="V42" s="718">
        <f t="shared" si="4"/>
        <v>17370.3</v>
      </c>
      <c r="W42" s="5984">
        <f>+W48-W44-W45</f>
        <v>15300.0147648532</v>
      </c>
      <c r="X42" s="1031"/>
      <c r="Y42" s="6015">
        <f>O42+S42+W42</f>
        <v>102300.297475495</v>
      </c>
      <c r="Z42" s="6015">
        <f t="shared" si="5"/>
        <v>0</v>
      </c>
      <c r="AA42" s="6002">
        <f>M42+Y42</f>
        <v>171300.44892967294</v>
      </c>
      <c r="AB42" s="429">
        <f t="shared" ref="AB42:AB48" si="100">X42+V42</f>
        <v>17370.3</v>
      </c>
      <c r="AC42" s="5984">
        <f>+AC48-AC44-AC45</f>
        <v>48999.528159756301</v>
      </c>
      <c r="AD42" s="1031"/>
      <c r="AE42" s="5987">
        <f>AA42+AC42</f>
        <v>220299.97708942925</v>
      </c>
      <c r="AF42" s="718">
        <f t="shared" si="6"/>
        <v>17370.3</v>
      </c>
      <c r="AG42" s="5984">
        <f>+AG48-AG44-AG45</f>
        <v>45499.588455674595</v>
      </c>
      <c r="AH42" s="1031"/>
      <c r="AI42" s="5987">
        <f>AE42+AG42</f>
        <v>265799.56554510386</v>
      </c>
      <c r="AJ42" s="718">
        <f t="shared" si="7"/>
        <v>17370.3</v>
      </c>
      <c r="AK42" s="5984">
        <f>+AK48-AK44-AK45</f>
        <v>46000.054244216401</v>
      </c>
      <c r="AL42" s="1031"/>
      <c r="AM42" s="6015">
        <f>AC42+AG42+AK42</f>
        <v>140499.17085964727</v>
      </c>
      <c r="AN42" s="717">
        <f t="shared" si="8"/>
        <v>0</v>
      </c>
      <c r="AO42" s="5987">
        <f>AK42+AI42</f>
        <v>311799.61978932028</v>
      </c>
      <c r="AP42" s="718">
        <f>AL42+AJ42</f>
        <v>17370.3</v>
      </c>
      <c r="AQ42" s="5984">
        <f>+AQ48-AQ44-AQ45</f>
        <v>48499.664678463945</v>
      </c>
      <c r="AR42" s="1031"/>
      <c r="AS42" s="5987">
        <f>AO42+AQ42</f>
        <v>360299.28446778422</v>
      </c>
      <c r="AT42" s="718">
        <f t="shared" si="10"/>
        <v>17370.3</v>
      </c>
      <c r="AU42" s="5984">
        <f>+AU48-AU44-AU45</f>
        <v>41500.010429203743</v>
      </c>
      <c r="AV42" s="1031"/>
      <c r="AW42" s="5987">
        <f>AS42+AU42</f>
        <v>401799.29489698797</v>
      </c>
      <c r="AX42" s="718">
        <f t="shared" si="11"/>
        <v>17370.3</v>
      </c>
      <c r="AY42" s="5984">
        <f>+AY48-AY44-AY45</f>
        <v>46999.690762923987</v>
      </c>
      <c r="AZ42" s="1031"/>
      <c r="BA42" s="6015">
        <f>AQ42+AU42+AY42</f>
        <v>136999.36587059166</v>
      </c>
      <c r="BB42" s="717">
        <f t="shared" si="12"/>
        <v>0</v>
      </c>
      <c r="BC42" s="6002">
        <f>AM42+BA42</f>
        <v>277498.53673023893</v>
      </c>
      <c r="BD42" s="429">
        <f t="shared" si="13"/>
        <v>0</v>
      </c>
      <c r="BE42" s="5987">
        <f>AA42+BC42</f>
        <v>448798.98565991188</v>
      </c>
      <c r="BF42" s="718">
        <f t="shared" si="14"/>
        <v>17370.3</v>
      </c>
    </row>
    <row r="43" spans="1:58" x14ac:dyDescent="0.3">
      <c r="A43" s="88"/>
      <c r="B43" s="926" t="s">
        <v>76</v>
      </c>
      <c r="C43" s="146" t="s">
        <v>50</v>
      </c>
      <c r="D43" s="5986"/>
      <c r="E43" s="5986"/>
      <c r="F43" s="1031">
        <v>9527.6800000000039</v>
      </c>
      <c r="G43" s="5986"/>
      <c r="H43" s="1031">
        <v>14442.390000000001</v>
      </c>
      <c r="I43" s="5989"/>
      <c r="J43" s="718">
        <f t="shared" si="1"/>
        <v>23970.070000000007</v>
      </c>
      <c r="K43" s="5986"/>
      <c r="L43" s="1031"/>
      <c r="M43" s="6017"/>
      <c r="N43" s="717">
        <f t="shared" si="2"/>
        <v>23970.070000000007</v>
      </c>
      <c r="O43" s="5986"/>
      <c r="P43" s="1031"/>
      <c r="Q43" s="5989"/>
      <c r="R43" s="718">
        <f t="shared" si="3"/>
        <v>23970.070000000007</v>
      </c>
      <c r="S43" s="5986"/>
      <c r="T43" s="1031"/>
      <c r="U43" s="5989"/>
      <c r="V43" s="718">
        <f t="shared" si="4"/>
        <v>23970.070000000007</v>
      </c>
      <c r="W43" s="5986"/>
      <c r="X43" s="1031"/>
      <c r="Y43" s="6017"/>
      <c r="Z43" s="6017">
        <f t="shared" si="5"/>
        <v>0</v>
      </c>
      <c r="AA43" s="5815"/>
      <c r="AB43" s="429">
        <f t="shared" si="100"/>
        <v>23970.070000000007</v>
      </c>
      <c r="AC43" s="5986"/>
      <c r="AD43" s="1031"/>
      <c r="AE43" s="5989"/>
      <c r="AF43" s="718">
        <f t="shared" si="6"/>
        <v>23970.070000000007</v>
      </c>
      <c r="AG43" s="5986"/>
      <c r="AH43" s="1031"/>
      <c r="AI43" s="5989"/>
      <c r="AJ43" s="718">
        <f t="shared" si="7"/>
        <v>23970.070000000007</v>
      </c>
      <c r="AK43" s="5986"/>
      <c r="AL43" s="1031"/>
      <c r="AM43" s="6017"/>
      <c r="AN43" s="717">
        <f t="shared" si="8"/>
        <v>0</v>
      </c>
      <c r="AO43" s="5989"/>
      <c r="AP43" s="718">
        <f t="shared" ref="AP43:AP48" si="101">AL43+AJ43</f>
        <v>23970.070000000007</v>
      </c>
      <c r="AQ43" s="5986"/>
      <c r="AR43" s="1031"/>
      <c r="AS43" s="5989"/>
      <c r="AT43" s="718">
        <f t="shared" si="10"/>
        <v>23970.070000000007</v>
      </c>
      <c r="AU43" s="5986"/>
      <c r="AV43" s="1031"/>
      <c r="AW43" s="5989"/>
      <c r="AX43" s="718">
        <f t="shared" si="11"/>
        <v>23970.070000000007</v>
      </c>
      <c r="AY43" s="5986"/>
      <c r="AZ43" s="1031"/>
      <c r="BA43" s="6017"/>
      <c r="BB43" s="717">
        <f t="shared" si="12"/>
        <v>0</v>
      </c>
      <c r="BC43" s="5815"/>
      <c r="BD43" s="429">
        <f t="shared" si="13"/>
        <v>0</v>
      </c>
      <c r="BE43" s="5989"/>
      <c r="BF43" s="718">
        <f t="shared" si="14"/>
        <v>23970.070000000007</v>
      </c>
    </row>
    <row r="44" spans="1:58" x14ac:dyDescent="0.3">
      <c r="A44" s="88"/>
      <c r="B44" s="926" t="s">
        <v>136</v>
      </c>
      <c r="C44" s="146" t="s">
        <v>50</v>
      </c>
      <c r="D44" s="1031">
        <v>20000</v>
      </c>
      <c r="E44" s="5563">
        <v>0</v>
      </c>
      <c r="F44" s="1031">
        <v>2713.2199999999993</v>
      </c>
      <c r="G44" s="5563">
        <v>0</v>
      </c>
      <c r="H44" s="1031">
        <v>2848.8200000000006</v>
      </c>
      <c r="I44" s="718">
        <f>+E44+G44</f>
        <v>0</v>
      </c>
      <c r="J44" s="718">
        <f t="shared" si="1"/>
        <v>5562.04</v>
      </c>
      <c r="K44" s="5563"/>
      <c r="L44" s="1031"/>
      <c r="M44" s="717">
        <f>+I44+K44</f>
        <v>0</v>
      </c>
      <c r="N44" s="717">
        <f t="shared" si="2"/>
        <v>5562.04</v>
      </c>
      <c r="O44" s="5563"/>
      <c r="P44" s="1031"/>
      <c r="Q44" s="718">
        <f>+M44+O44</f>
        <v>0</v>
      </c>
      <c r="R44" s="718">
        <f t="shared" si="3"/>
        <v>5562.04</v>
      </c>
      <c r="S44" s="5563"/>
      <c r="T44" s="1031"/>
      <c r="U44" s="718">
        <f>+Q44+S44</f>
        <v>0</v>
      </c>
      <c r="V44" s="718">
        <f t="shared" si="4"/>
        <v>5562.04</v>
      </c>
      <c r="W44" s="5563"/>
      <c r="X44" s="1031"/>
      <c r="Y44" s="717">
        <f t="shared" ref="Y44" si="102">O44+S44+W44</f>
        <v>0</v>
      </c>
      <c r="Z44" s="717">
        <f t="shared" si="5"/>
        <v>0</v>
      </c>
      <c r="AA44" s="429">
        <f>M44+Y44</f>
        <v>0</v>
      </c>
      <c r="AB44" s="429">
        <f t="shared" si="100"/>
        <v>5562.04</v>
      </c>
      <c r="AC44" s="5563"/>
      <c r="AD44" s="1031"/>
      <c r="AE44" s="718">
        <f>+AA44+AC44</f>
        <v>0</v>
      </c>
      <c r="AF44" s="718">
        <f t="shared" si="6"/>
        <v>5562.04</v>
      </c>
      <c r="AG44" s="5563"/>
      <c r="AH44" s="1031"/>
      <c r="AI44" s="718">
        <f>+AE44+AG44</f>
        <v>0</v>
      </c>
      <c r="AJ44" s="718">
        <f t="shared" si="7"/>
        <v>5562.04</v>
      </c>
      <c r="AK44" s="5563"/>
      <c r="AL44" s="1031"/>
      <c r="AM44" s="717">
        <f t="shared" ref="AM44" si="103">AC44+AG44+AK44</f>
        <v>0</v>
      </c>
      <c r="AN44" s="717">
        <f t="shared" si="8"/>
        <v>0</v>
      </c>
      <c r="AO44" s="718">
        <f>+AK44+AI44</f>
        <v>0</v>
      </c>
      <c r="AP44" s="718">
        <f t="shared" si="101"/>
        <v>5562.04</v>
      </c>
      <c r="AQ44" s="5563"/>
      <c r="AR44" s="1031"/>
      <c r="AS44" s="718">
        <f>+AO44+AQ44</f>
        <v>0</v>
      </c>
      <c r="AT44" s="718">
        <f t="shared" si="10"/>
        <v>5562.04</v>
      </c>
      <c r="AU44" s="5563"/>
      <c r="AV44" s="1031"/>
      <c r="AW44" s="718">
        <f>+AS44+AU44</f>
        <v>0</v>
      </c>
      <c r="AX44" s="718">
        <f t="shared" si="11"/>
        <v>5562.04</v>
      </c>
      <c r="AY44" s="5563"/>
      <c r="AZ44" s="1031"/>
      <c r="BA44" s="717">
        <f t="shared" ref="BA44" si="104">AQ44+AU44+AY44</f>
        <v>0</v>
      </c>
      <c r="BB44" s="717">
        <f t="shared" si="12"/>
        <v>0</v>
      </c>
      <c r="BC44" s="429">
        <f>AM44+BA44</f>
        <v>0</v>
      </c>
      <c r="BD44" s="429">
        <f t="shared" si="13"/>
        <v>0</v>
      </c>
      <c r="BE44" s="718">
        <f>+AA44+BC44</f>
        <v>0</v>
      </c>
      <c r="BF44" s="718">
        <f t="shared" si="14"/>
        <v>5562.04</v>
      </c>
    </row>
    <row r="45" spans="1:58" x14ac:dyDescent="0.3">
      <c r="A45" s="88"/>
      <c r="B45" s="5064" t="s">
        <v>2188</v>
      </c>
      <c r="C45" s="4932" t="s">
        <v>50</v>
      </c>
      <c r="D45" s="5984">
        <v>15000</v>
      </c>
      <c r="E45" s="6033">
        <v>0</v>
      </c>
      <c r="F45" s="4928"/>
      <c r="G45" s="6033">
        <v>0</v>
      </c>
      <c r="H45" s="4928">
        <v>0</v>
      </c>
      <c r="I45" s="5987">
        <f>+E45+G45</f>
        <v>0</v>
      </c>
      <c r="J45" s="718">
        <f t="shared" ref="J45" si="105">F45+H45</f>
        <v>0</v>
      </c>
      <c r="K45" s="6033"/>
      <c r="L45" s="4928"/>
      <c r="M45" s="6015">
        <f>+I45+K45</f>
        <v>0</v>
      </c>
      <c r="N45" s="717">
        <f t="shared" si="2"/>
        <v>0</v>
      </c>
      <c r="O45" s="6033"/>
      <c r="P45" s="4928"/>
      <c r="Q45" s="5987">
        <f>+M45+O45</f>
        <v>0</v>
      </c>
      <c r="R45" s="718">
        <f t="shared" si="3"/>
        <v>0</v>
      </c>
      <c r="S45" s="6033"/>
      <c r="T45" s="4928"/>
      <c r="U45" s="5987">
        <f>+Q45+S45</f>
        <v>0</v>
      </c>
      <c r="V45" s="718">
        <f t="shared" si="4"/>
        <v>0</v>
      </c>
      <c r="W45" s="6033"/>
      <c r="X45" s="4928"/>
      <c r="Y45" s="6015">
        <f>O45+S45+W45</f>
        <v>0</v>
      </c>
      <c r="Z45" s="6015">
        <f t="shared" si="5"/>
        <v>0</v>
      </c>
      <c r="AA45" s="6002">
        <f>M45+Y45</f>
        <v>0</v>
      </c>
      <c r="AB45" s="429">
        <f t="shared" si="100"/>
        <v>0</v>
      </c>
      <c r="AC45" s="6033"/>
      <c r="AD45" s="4928"/>
      <c r="AE45" s="5987">
        <f>+AA45+AC45</f>
        <v>0</v>
      </c>
      <c r="AF45" s="718">
        <f t="shared" si="6"/>
        <v>0</v>
      </c>
      <c r="AG45" s="6033"/>
      <c r="AH45" s="4928"/>
      <c r="AI45" s="5987">
        <f>+AE45+AG45</f>
        <v>0</v>
      </c>
      <c r="AJ45" s="718">
        <f t="shared" si="7"/>
        <v>0</v>
      </c>
      <c r="AK45" s="6033"/>
      <c r="AL45" s="4928"/>
      <c r="AM45" s="6015">
        <f>AC45+AG45+AK45</f>
        <v>0</v>
      </c>
      <c r="AN45" s="717">
        <f t="shared" si="8"/>
        <v>0</v>
      </c>
      <c r="AO45" s="5987">
        <f>+AK45+AI45</f>
        <v>0</v>
      </c>
      <c r="AP45" s="718">
        <f t="shared" si="101"/>
        <v>0</v>
      </c>
      <c r="AQ45" s="6033"/>
      <c r="AR45" s="4928"/>
      <c r="AS45" s="5987">
        <f>+AO45+AQ45</f>
        <v>0</v>
      </c>
      <c r="AT45" s="718">
        <f t="shared" si="10"/>
        <v>0</v>
      </c>
      <c r="AU45" s="6033"/>
      <c r="AV45" s="4928"/>
      <c r="AW45" s="5987">
        <f>+AS45+AU45</f>
        <v>0</v>
      </c>
      <c r="AX45" s="718">
        <f t="shared" si="11"/>
        <v>0</v>
      </c>
      <c r="AY45" s="6033"/>
      <c r="AZ45" s="4928"/>
      <c r="BA45" s="6015">
        <f>AQ45+AU45+AY45</f>
        <v>0</v>
      </c>
      <c r="BB45" s="717">
        <f t="shared" si="12"/>
        <v>0</v>
      </c>
      <c r="BC45" s="6002">
        <f>AM45+BA45</f>
        <v>0</v>
      </c>
      <c r="BD45" s="429">
        <f t="shared" si="13"/>
        <v>0</v>
      </c>
      <c r="BE45" s="5987">
        <f>+AA45+BC45</f>
        <v>0</v>
      </c>
      <c r="BF45" s="718">
        <f t="shared" si="14"/>
        <v>0</v>
      </c>
    </row>
    <row r="46" spans="1:58" x14ac:dyDescent="0.3">
      <c r="A46" s="2217"/>
      <c r="B46" s="926" t="s">
        <v>2186</v>
      </c>
      <c r="C46" s="146" t="s">
        <v>50</v>
      </c>
      <c r="D46" s="5985"/>
      <c r="E46" s="6034"/>
      <c r="F46" s="1031">
        <f>+'Direct sales IPT details'!E8</f>
        <v>1961.5</v>
      </c>
      <c r="G46" s="6034"/>
      <c r="H46" s="1031">
        <f>+'Direct sales IPT details'!G8</f>
        <v>380.3</v>
      </c>
      <c r="I46" s="5988"/>
      <c r="J46" s="718">
        <f t="shared" si="1"/>
        <v>2341.8000000000002</v>
      </c>
      <c r="K46" s="6034"/>
      <c r="L46" s="1031">
        <f>+'Direct sales IPT details'!K8</f>
        <v>3983.52</v>
      </c>
      <c r="M46" s="6016"/>
      <c r="N46" s="717">
        <f t="shared" si="2"/>
        <v>6325.32</v>
      </c>
      <c r="O46" s="6034"/>
      <c r="P46" s="1031">
        <f>+'Direct sales IPT details'!O8</f>
        <v>1960.88</v>
      </c>
      <c r="Q46" s="5988"/>
      <c r="R46" s="718">
        <f t="shared" si="3"/>
        <v>8286.2000000000007</v>
      </c>
      <c r="S46" s="6034"/>
      <c r="T46" s="1031">
        <f>+'Direct sales IPT details'!S8</f>
        <v>0</v>
      </c>
      <c r="U46" s="5988"/>
      <c r="V46" s="718">
        <f t="shared" si="4"/>
        <v>8286.2000000000007</v>
      </c>
      <c r="W46" s="6034"/>
      <c r="X46" s="1031">
        <f>+'Direct sales IPT details'!W8</f>
        <v>0</v>
      </c>
      <c r="Y46" s="6016">
        <f t="shared" ref="Y46:Y47" si="106">O46+S46+W46</f>
        <v>0</v>
      </c>
      <c r="Z46" s="6016">
        <f t="shared" si="5"/>
        <v>1960.88</v>
      </c>
      <c r="AA46" s="5814">
        <f>M46+Y46</f>
        <v>0</v>
      </c>
      <c r="AB46" s="429">
        <f t="shared" si="100"/>
        <v>8286.2000000000007</v>
      </c>
      <c r="AC46" s="6034"/>
      <c r="AD46" s="1031">
        <f>+'Direct sales IPT details'!AC8</f>
        <v>2616.08</v>
      </c>
      <c r="AE46" s="5988"/>
      <c r="AF46" s="718">
        <f t="shared" si="6"/>
        <v>10902.28</v>
      </c>
      <c r="AG46" s="6034"/>
      <c r="AH46" s="1031">
        <f>+'Direct sales IPT details'!AG8</f>
        <v>0</v>
      </c>
      <c r="AI46" s="5988"/>
      <c r="AJ46" s="718">
        <f t="shared" si="7"/>
        <v>10902.28</v>
      </c>
      <c r="AK46" s="6034"/>
      <c r="AL46" s="1031">
        <f>+'Direct sales IPT details'!AK8</f>
        <v>0</v>
      </c>
      <c r="AM46" s="6016">
        <f t="shared" ref="AM46:AM47" si="107">AC46+AG46+AK46</f>
        <v>0</v>
      </c>
      <c r="AN46" s="717">
        <f t="shared" si="8"/>
        <v>2616.08</v>
      </c>
      <c r="AO46" s="5988"/>
      <c r="AP46" s="718">
        <f t="shared" si="101"/>
        <v>10902.28</v>
      </c>
      <c r="AQ46" s="6034"/>
      <c r="AR46" s="1031">
        <f>+'Direct sales IPT details'!AQ8</f>
        <v>0</v>
      </c>
      <c r="AS46" s="5988"/>
      <c r="AT46" s="718">
        <f t="shared" si="10"/>
        <v>10902.28</v>
      </c>
      <c r="AU46" s="6034"/>
      <c r="AV46" s="1031">
        <f>+'Direct sales IPT details'!AU8</f>
        <v>0</v>
      </c>
      <c r="AW46" s="5988"/>
      <c r="AX46" s="718">
        <f t="shared" si="11"/>
        <v>10902.28</v>
      </c>
      <c r="AY46" s="6034"/>
      <c r="AZ46" s="1031">
        <f>+'Direct sales IPT details'!AY8</f>
        <v>0</v>
      </c>
      <c r="BA46" s="6016">
        <f t="shared" ref="BA46:BA47" si="108">AQ46+AU46+AY46</f>
        <v>0</v>
      </c>
      <c r="BB46" s="717">
        <f t="shared" si="12"/>
        <v>0</v>
      </c>
      <c r="BC46" s="5814">
        <f>AO46+BA46</f>
        <v>0</v>
      </c>
      <c r="BD46" s="429">
        <f t="shared" si="13"/>
        <v>2616.08</v>
      </c>
      <c r="BE46" s="5988"/>
      <c r="BF46" s="718">
        <f t="shared" si="14"/>
        <v>10902.28</v>
      </c>
    </row>
    <row r="47" spans="1:58" x14ac:dyDescent="0.3">
      <c r="A47" s="88"/>
      <c r="B47" s="926" t="s">
        <v>2187</v>
      </c>
      <c r="C47" s="146" t="s">
        <v>50</v>
      </c>
      <c r="D47" s="5986"/>
      <c r="E47" s="6035"/>
      <c r="F47" s="1031">
        <f>+'Direct sales IPT details'!E7</f>
        <v>1862.01</v>
      </c>
      <c r="G47" s="6035"/>
      <c r="H47" s="1031">
        <f>+'Direct sales IPT details'!G7</f>
        <v>894.55</v>
      </c>
      <c r="I47" s="5989"/>
      <c r="J47" s="718">
        <f t="shared" si="1"/>
        <v>2756.56</v>
      </c>
      <c r="K47" s="6035"/>
      <c r="L47" s="1031">
        <f>+'Direct sales IPT details'!K7</f>
        <v>1754.69</v>
      </c>
      <c r="M47" s="6017"/>
      <c r="N47" s="717">
        <f t="shared" si="2"/>
        <v>4511.25</v>
      </c>
      <c r="O47" s="6035"/>
      <c r="P47" s="1031">
        <f>+'Direct sales IPT details'!O7</f>
        <v>1441.38</v>
      </c>
      <c r="Q47" s="5989"/>
      <c r="R47" s="718">
        <f t="shared" si="3"/>
        <v>5952.63</v>
      </c>
      <c r="S47" s="6035"/>
      <c r="T47" s="1031">
        <f>+'Direct sales IPT details'!S7</f>
        <v>3769.97</v>
      </c>
      <c r="U47" s="5989"/>
      <c r="V47" s="718">
        <f t="shared" si="4"/>
        <v>9722.6</v>
      </c>
      <c r="W47" s="6035"/>
      <c r="X47" s="1031">
        <f>+'Direct sales IPT details'!W7</f>
        <v>3271.59</v>
      </c>
      <c r="Y47" s="6017">
        <f t="shared" si="106"/>
        <v>0</v>
      </c>
      <c r="Z47" s="6017">
        <f t="shared" si="5"/>
        <v>8482.94</v>
      </c>
      <c r="AA47" s="5815">
        <f>M47+Y47</f>
        <v>0</v>
      </c>
      <c r="AB47" s="429">
        <f t="shared" si="100"/>
        <v>12994.19</v>
      </c>
      <c r="AC47" s="6035"/>
      <c r="AD47" s="1031">
        <f>+'Direct sales IPT details'!AC7</f>
        <v>601.74</v>
      </c>
      <c r="AE47" s="5989"/>
      <c r="AF47" s="718">
        <f t="shared" si="6"/>
        <v>13595.93</v>
      </c>
      <c r="AG47" s="6035"/>
      <c r="AH47" s="1031">
        <f>+'Direct sales IPT details'!AG7</f>
        <v>0</v>
      </c>
      <c r="AI47" s="5989"/>
      <c r="AJ47" s="718">
        <f t="shared" si="7"/>
        <v>13595.93</v>
      </c>
      <c r="AK47" s="6035"/>
      <c r="AL47" s="1031">
        <f>+'Direct sales IPT details'!AK7</f>
        <v>2256.63</v>
      </c>
      <c r="AM47" s="6017">
        <f t="shared" si="107"/>
        <v>0</v>
      </c>
      <c r="AN47" s="717">
        <f t="shared" si="8"/>
        <v>2858.37</v>
      </c>
      <c r="AO47" s="5989"/>
      <c r="AP47" s="718">
        <f t="shared" si="101"/>
        <v>15852.560000000001</v>
      </c>
      <c r="AQ47" s="6035"/>
      <c r="AR47" s="1031">
        <f>+'Direct sales IPT details'!AQ7</f>
        <v>4277.21</v>
      </c>
      <c r="AS47" s="5989"/>
      <c r="AT47" s="718">
        <f t="shared" si="10"/>
        <v>20129.77</v>
      </c>
      <c r="AU47" s="6035"/>
      <c r="AV47" s="1031">
        <f>+'Direct sales IPT details'!AU7</f>
        <v>3140.78</v>
      </c>
      <c r="AW47" s="5989"/>
      <c r="AX47" s="718">
        <f t="shared" si="11"/>
        <v>23270.55</v>
      </c>
      <c r="AY47" s="6035"/>
      <c r="AZ47" s="1031">
        <f>+'Direct sales IPT details'!AY7</f>
        <v>1971.02</v>
      </c>
      <c r="BA47" s="6017">
        <f t="shared" si="108"/>
        <v>0</v>
      </c>
      <c r="BB47" s="717">
        <f t="shared" si="12"/>
        <v>9389.01</v>
      </c>
      <c r="BC47" s="5815">
        <f>AO47+BA47</f>
        <v>0</v>
      </c>
      <c r="BD47" s="429">
        <f t="shared" si="13"/>
        <v>12247.380000000001</v>
      </c>
      <c r="BE47" s="5989"/>
      <c r="BF47" s="718">
        <f t="shared" si="14"/>
        <v>25241.57</v>
      </c>
    </row>
    <row r="48" spans="1:58" s="29" customFormat="1" ht="21.15" customHeight="1" x14ac:dyDescent="0.3">
      <c r="A48" s="772"/>
      <c r="B48" s="3123" t="s">
        <v>2</v>
      </c>
      <c r="C48" s="146" t="s">
        <v>50</v>
      </c>
      <c r="D48" s="421">
        <f>+'Maj Production Summ'!D34</f>
        <v>349999.98851223482</v>
      </c>
      <c r="E48" s="421">
        <f>+'Maj Production Summ'!E34</f>
        <v>20999.683707758697</v>
      </c>
      <c r="F48" s="421">
        <f>SUM(F42:F47)</f>
        <v>29964.87</v>
      </c>
      <c r="G48" s="421">
        <f>+'Maj Production Summ'!G34</f>
        <v>0.35686330405587796</v>
      </c>
      <c r="H48" s="421">
        <f>SUM(H42:H47)</f>
        <v>22035.9</v>
      </c>
      <c r="I48" s="344">
        <f>+E48+G48</f>
        <v>21000.040571062753</v>
      </c>
      <c r="J48" s="344">
        <f t="shared" si="1"/>
        <v>52000.770000000004</v>
      </c>
      <c r="K48" s="421">
        <f>+'Maj Production Summ'!K34</f>
        <v>48000.110883115201</v>
      </c>
      <c r="L48" s="421">
        <f>SUM(L42:L47)</f>
        <v>5738.21</v>
      </c>
      <c r="M48" s="346">
        <f>+I48+K48</f>
        <v>69000.151454177947</v>
      </c>
      <c r="N48" s="346">
        <f t="shared" si="2"/>
        <v>57738.98</v>
      </c>
      <c r="O48" s="421">
        <f>+'Maj Production Summ'!O34</f>
        <v>43500.141355320899</v>
      </c>
      <c r="P48" s="421">
        <f>SUM(P42:P47)</f>
        <v>3402.26</v>
      </c>
      <c r="Q48" s="344">
        <f>+M48+O48</f>
        <v>112500.29280949885</v>
      </c>
      <c r="R48" s="344">
        <f t="shared" si="3"/>
        <v>61141.240000000005</v>
      </c>
      <c r="S48" s="421">
        <f>+'Maj Production Summ'!S34</f>
        <v>43500.141355320899</v>
      </c>
      <c r="T48" s="421">
        <f>SUM(T42:T47)</f>
        <v>3769.97</v>
      </c>
      <c r="U48" s="344">
        <f>+Q48+S48</f>
        <v>156000.43416481974</v>
      </c>
      <c r="V48" s="344">
        <f t="shared" si="4"/>
        <v>64911.210000000006</v>
      </c>
      <c r="W48" s="421">
        <f>+'Maj Production Summ'!W34</f>
        <v>15300.0147648532</v>
      </c>
      <c r="X48" s="421">
        <f>SUM(X42:X47)</f>
        <v>3271.59</v>
      </c>
      <c r="Y48" s="346">
        <f>O48+S48+W48</f>
        <v>102300.297475495</v>
      </c>
      <c r="Z48" s="346">
        <f t="shared" si="5"/>
        <v>10443.82</v>
      </c>
      <c r="AA48" s="502">
        <f>M48+Y48</f>
        <v>171300.44892967294</v>
      </c>
      <c r="AB48" s="502">
        <f t="shared" si="100"/>
        <v>68182.8</v>
      </c>
      <c r="AC48" s="421">
        <f>+'Maj Production Summ'!AC34</f>
        <v>48999.528159756301</v>
      </c>
      <c r="AD48" s="421">
        <f>SUM(AD42:AD47)</f>
        <v>3217.8199999999997</v>
      </c>
      <c r="AE48" s="344">
        <f>+AA48+AC48</f>
        <v>220299.97708942925</v>
      </c>
      <c r="AF48" s="344">
        <f t="shared" si="6"/>
        <v>71400.62</v>
      </c>
      <c r="AG48" s="421">
        <f>+'Maj Production Summ'!AG34</f>
        <v>45499.588455674595</v>
      </c>
      <c r="AH48" s="421">
        <f>SUM(AH42:AH47)</f>
        <v>0</v>
      </c>
      <c r="AI48" s="344">
        <f>+AE48+AG48</f>
        <v>265799.56554510386</v>
      </c>
      <c r="AJ48" s="344">
        <f t="shared" si="7"/>
        <v>71400.62</v>
      </c>
      <c r="AK48" s="421">
        <f>+'Maj Production Summ'!AK34</f>
        <v>46000.054244216401</v>
      </c>
      <c r="AL48" s="421">
        <f>SUM(AL42:AL47)</f>
        <v>2256.63</v>
      </c>
      <c r="AM48" s="346">
        <f>AC48+AG48+AK48</f>
        <v>140499.17085964727</v>
      </c>
      <c r="AN48" s="717">
        <f t="shared" si="8"/>
        <v>5474.45</v>
      </c>
      <c r="AO48" s="344">
        <f>+AK48+AI48</f>
        <v>311799.61978932028</v>
      </c>
      <c r="AP48" s="344">
        <f t="shared" si="101"/>
        <v>73657.25</v>
      </c>
      <c r="AQ48" s="421">
        <f>+'Maj Production Summ'!AQ34</f>
        <v>48499.664678463945</v>
      </c>
      <c r="AR48" s="421">
        <f>SUM(AR42:AR47)</f>
        <v>4277.21</v>
      </c>
      <c r="AS48" s="344">
        <f>+AO48+AQ48</f>
        <v>360299.28446778422</v>
      </c>
      <c r="AT48" s="344">
        <f t="shared" si="10"/>
        <v>77934.460000000006</v>
      </c>
      <c r="AU48" s="421">
        <f>+'Maj Production Summ'!AU34</f>
        <v>41500.010429203743</v>
      </c>
      <c r="AV48" s="421">
        <f>SUM(AV42:AV47)</f>
        <v>3140.78</v>
      </c>
      <c r="AW48" s="344">
        <f>+AS48+AU48</f>
        <v>401799.29489698797</v>
      </c>
      <c r="AX48" s="344">
        <f t="shared" si="11"/>
        <v>81075.240000000005</v>
      </c>
      <c r="AY48" s="421">
        <f>+'Maj Production Summ'!AY34</f>
        <v>46999.690762923987</v>
      </c>
      <c r="AZ48" s="421">
        <f>SUM(AZ42:AZ47)</f>
        <v>1971.02</v>
      </c>
      <c r="BA48" s="346">
        <f>AQ48+AU48+AY48</f>
        <v>136999.36587059166</v>
      </c>
      <c r="BB48" s="717">
        <f t="shared" si="12"/>
        <v>9389.01</v>
      </c>
      <c r="BC48" s="502">
        <f>AM48+BA48</f>
        <v>277498.53673023893</v>
      </c>
      <c r="BD48" s="429">
        <f t="shared" si="13"/>
        <v>14863.46</v>
      </c>
      <c r="BE48" s="344">
        <f>+AA48+BC48</f>
        <v>448798.98565991188</v>
      </c>
      <c r="BF48" s="718">
        <f t="shared" si="14"/>
        <v>83046.260000000009</v>
      </c>
    </row>
    <row r="49" spans="1:60" ht="21.15" customHeight="1" x14ac:dyDescent="0.3">
      <c r="A49" s="142"/>
      <c r="B49" s="3122" t="s">
        <v>1329</v>
      </c>
      <c r="C49" s="5075"/>
      <c r="D49" s="3125"/>
      <c r="E49" s="3125"/>
      <c r="F49" s="3124"/>
      <c r="G49" s="3125"/>
      <c r="H49" s="3124"/>
      <c r="I49" s="5066"/>
      <c r="J49" s="718"/>
      <c r="K49" s="3125"/>
      <c r="L49" s="3124"/>
      <c r="M49" s="5627"/>
      <c r="N49" s="717"/>
      <c r="O49" s="3125"/>
      <c r="P49" s="3124"/>
      <c r="Q49" s="5066"/>
      <c r="R49" s="718"/>
      <c r="S49" s="3125"/>
      <c r="T49" s="3124"/>
      <c r="U49" s="5066"/>
      <c r="V49" s="718"/>
      <c r="W49" s="3125"/>
      <c r="X49" s="3124"/>
      <c r="Y49" s="5627"/>
      <c r="Z49" s="5627"/>
      <c r="AA49" s="5637"/>
      <c r="AB49" s="429"/>
      <c r="AC49" s="3125"/>
      <c r="AD49" s="3124"/>
      <c r="AE49" s="5066"/>
      <c r="AF49" s="718"/>
      <c r="AG49" s="3125"/>
      <c r="AH49" s="3124"/>
      <c r="AI49" s="5066"/>
      <c r="AJ49" s="718"/>
      <c r="AK49" s="3125"/>
      <c r="AL49" s="3124"/>
      <c r="AM49" s="5627"/>
      <c r="AN49" s="717"/>
      <c r="AO49" s="5066"/>
      <c r="AP49" s="718"/>
      <c r="AQ49" s="3125"/>
      <c r="AR49" s="3124"/>
      <c r="AS49" s="5066"/>
      <c r="AT49" s="718"/>
      <c r="AU49" s="3125"/>
      <c r="AV49" s="3124"/>
      <c r="AW49" s="5066"/>
      <c r="AX49" s="718"/>
      <c r="AY49" s="3125"/>
      <c r="AZ49" s="3124"/>
      <c r="BA49" s="5627"/>
      <c r="BB49" s="717"/>
      <c r="BC49" s="5637"/>
      <c r="BD49" s="429"/>
      <c r="BE49" s="5066"/>
      <c r="BF49" s="718"/>
    </row>
    <row r="50" spans="1:60" x14ac:dyDescent="0.3">
      <c r="A50" s="142"/>
      <c r="B50" s="926" t="s">
        <v>75</v>
      </c>
      <c r="C50" s="146" t="s">
        <v>50</v>
      </c>
      <c r="D50" s="6072">
        <v>0</v>
      </c>
      <c r="E50" s="5984">
        <f>+E56-E52-E53</f>
        <v>0.27340158309380058</v>
      </c>
      <c r="F50" s="1031"/>
      <c r="G50" s="5984">
        <f>+G56-G52-G53</f>
        <v>0.1346321899764007</v>
      </c>
      <c r="H50" s="1031">
        <v>0</v>
      </c>
      <c r="I50" s="5987">
        <f>E50+G50</f>
        <v>0.40803377307020128</v>
      </c>
      <c r="J50" s="718">
        <f t="shared" si="1"/>
        <v>0</v>
      </c>
      <c r="K50" s="5984">
        <f>+K56-K52-K53</f>
        <v>0</v>
      </c>
      <c r="L50" s="1031"/>
      <c r="M50" s="6015">
        <f>I50+K50</f>
        <v>0.40803377307020128</v>
      </c>
      <c r="N50" s="717">
        <f t="shared" si="2"/>
        <v>0</v>
      </c>
      <c r="O50" s="5984">
        <f>+O56-O52-O53</f>
        <v>0</v>
      </c>
      <c r="P50" s="1031"/>
      <c r="Q50" s="5987">
        <f>M50+O50</f>
        <v>0.40803377307020128</v>
      </c>
      <c r="R50" s="718">
        <f t="shared" si="3"/>
        <v>0</v>
      </c>
      <c r="S50" s="5984">
        <f>+S56-S52-S53</f>
        <v>0</v>
      </c>
      <c r="T50" s="1031"/>
      <c r="U50" s="5987">
        <f>Q50+S50</f>
        <v>0.40803377307020128</v>
      </c>
      <c r="V50" s="718">
        <f t="shared" si="4"/>
        <v>0</v>
      </c>
      <c r="W50" s="5984">
        <f>+W56-W52-W53</f>
        <v>0</v>
      </c>
      <c r="X50" s="1031"/>
      <c r="Y50" s="6015">
        <f>O50+S50+W50</f>
        <v>0</v>
      </c>
      <c r="Z50" s="6015">
        <f t="shared" si="5"/>
        <v>0</v>
      </c>
      <c r="AA50" s="6002">
        <f>M50+Y50</f>
        <v>0.40803377307020128</v>
      </c>
      <c r="AB50" s="429">
        <f t="shared" ref="AB50:AB56" si="109">X50+V50</f>
        <v>0</v>
      </c>
      <c r="AC50" s="5984">
        <f>+AC56-AC52-AC53</f>
        <v>0</v>
      </c>
      <c r="AD50" s="1031"/>
      <c r="AE50" s="5987">
        <f>AA50+AC50</f>
        <v>0.40803377307020128</v>
      </c>
      <c r="AF50" s="718">
        <f t="shared" si="6"/>
        <v>0</v>
      </c>
      <c r="AG50" s="5984">
        <f>+AG56-AG52-AG53</f>
        <v>0</v>
      </c>
      <c r="AH50" s="1031"/>
      <c r="AI50" s="5987">
        <f>AE50+AG50</f>
        <v>0.40803377307020128</v>
      </c>
      <c r="AJ50" s="718">
        <f t="shared" si="7"/>
        <v>0</v>
      </c>
      <c r="AK50" s="5984">
        <f>+AK56-AK52-AK53</f>
        <v>0</v>
      </c>
      <c r="AL50" s="1031"/>
      <c r="AM50" s="6015">
        <f>AC50+AG50+AK50</f>
        <v>0</v>
      </c>
      <c r="AN50" s="717">
        <f t="shared" si="8"/>
        <v>0</v>
      </c>
      <c r="AO50" s="5987">
        <f>AK50+AI50</f>
        <v>0.40803377307020128</v>
      </c>
      <c r="AP50" s="718">
        <f>AL50+AJ50</f>
        <v>0</v>
      </c>
      <c r="AQ50" s="5984">
        <f>+AQ56-AQ52-AQ53</f>
        <v>0</v>
      </c>
      <c r="AR50" s="1031"/>
      <c r="AS50" s="5987">
        <f>AO50+AQ50</f>
        <v>0.40803377307020128</v>
      </c>
      <c r="AT50" s="718">
        <f t="shared" si="10"/>
        <v>0</v>
      </c>
      <c r="AU50" s="5984">
        <f>+AU56-AU52-AU53</f>
        <v>0</v>
      </c>
      <c r="AV50" s="1031"/>
      <c r="AW50" s="5987">
        <f>AS50+AU50</f>
        <v>0.40803377307020128</v>
      </c>
      <c r="AX50" s="718">
        <f t="shared" si="11"/>
        <v>0</v>
      </c>
      <c r="AY50" s="5984">
        <f>+AY56-AY52-AY53</f>
        <v>0</v>
      </c>
      <c r="AZ50" s="1031"/>
      <c r="BA50" s="6015">
        <f>AQ50+AU50+AY50</f>
        <v>0</v>
      </c>
      <c r="BB50" s="717">
        <f t="shared" si="12"/>
        <v>0</v>
      </c>
      <c r="BC50" s="6002">
        <f>AM50+BA50</f>
        <v>0</v>
      </c>
      <c r="BD50" s="429">
        <f t="shared" si="13"/>
        <v>0</v>
      </c>
      <c r="BE50" s="5987">
        <f>AA50+BC50</f>
        <v>0.40803377307020128</v>
      </c>
      <c r="BF50" s="718">
        <f t="shared" si="14"/>
        <v>0</v>
      </c>
    </row>
    <row r="51" spans="1:60" x14ac:dyDescent="0.3">
      <c r="A51" s="88"/>
      <c r="B51" s="926" t="s">
        <v>76</v>
      </c>
      <c r="C51" s="146" t="s">
        <v>50</v>
      </c>
      <c r="D51" s="6072"/>
      <c r="E51" s="5986"/>
      <c r="F51" s="1031"/>
      <c r="G51" s="5986"/>
      <c r="H51" s="1031">
        <v>0</v>
      </c>
      <c r="I51" s="5989"/>
      <c r="J51" s="718">
        <f t="shared" si="1"/>
        <v>0</v>
      </c>
      <c r="K51" s="5986"/>
      <c r="L51" s="1031"/>
      <c r="M51" s="6017"/>
      <c r="N51" s="717">
        <f t="shared" si="2"/>
        <v>0</v>
      </c>
      <c r="O51" s="5986"/>
      <c r="P51" s="1031"/>
      <c r="Q51" s="5989"/>
      <c r="R51" s="718">
        <f t="shared" si="3"/>
        <v>0</v>
      </c>
      <c r="S51" s="5986"/>
      <c r="T51" s="1031"/>
      <c r="U51" s="5989"/>
      <c r="V51" s="718">
        <f t="shared" si="4"/>
        <v>0</v>
      </c>
      <c r="W51" s="5986"/>
      <c r="X51" s="1031"/>
      <c r="Y51" s="6017"/>
      <c r="Z51" s="6017">
        <f t="shared" si="5"/>
        <v>0</v>
      </c>
      <c r="AA51" s="5815"/>
      <c r="AB51" s="429">
        <f t="shared" si="109"/>
        <v>0</v>
      </c>
      <c r="AC51" s="5986"/>
      <c r="AD51" s="1031"/>
      <c r="AE51" s="5989"/>
      <c r="AF51" s="718">
        <f t="shared" si="6"/>
        <v>0</v>
      </c>
      <c r="AG51" s="5986"/>
      <c r="AH51" s="1031"/>
      <c r="AI51" s="5989"/>
      <c r="AJ51" s="718">
        <f t="shared" si="7"/>
        <v>0</v>
      </c>
      <c r="AK51" s="5986"/>
      <c r="AL51" s="1031"/>
      <c r="AM51" s="6017"/>
      <c r="AN51" s="717">
        <f t="shared" si="8"/>
        <v>0</v>
      </c>
      <c r="AO51" s="5989"/>
      <c r="AP51" s="718">
        <f t="shared" ref="AP51:AP56" si="110">AL51+AJ51</f>
        <v>0</v>
      </c>
      <c r="AQ51" s="5986"/>
      <c r="AR51" s="1031"/>
      <c r="AS51" s="5989"/>
      <c r="AT51" s="718">
        <f t="shared" si="10"/>
        <v>0</v>
      </c>
      <c r="AU51" s="5986"/>
      <c r="AV51" s="1031"/>
      <c r="AW51" s="5989"/>
      <c r="AX51" s="718">
        <f t="shared" si="11"/>
        <v>0</v>
      </c>
      <c r="AY51" s="5986"/>
      <c r="AZ51" s="1031"/>
      <c r="BA51" s="6017"/>
      <c r="BB51" s="717">
        <f t="shared" si="12"/>
        <v>0</v>
      </c>
      <c r="BC51" s="5815"/>
      <c r="BD51" s="429">
        <f t="shared" si="13"/>
        <v>0</v>
      </c>
      <c r="BE51" s="5989"/>
      <c r="BF51" s="718">
        <f t="shared" si="14"/>
        <v>0</v>
      </c>
    </row>
    <row r="52" spans="1:60" x14ac:dyDescent="0.3">
      <c r="A52" s="88"/>
      <c r="B52" s="926" t="s">
        <v>136</v>
      </c>
      <c r="C52" s="146" t="s">
        <v>50</v>
      </c>
      <c r="D52" s="1031">
        <v>0</v>
      </c>
      <c r="E52" s="5563">
        <v>0</v>
      </c>
      <c r="F52" s="1031"/>
      <c r="G52" s="5563">
        <v>0</v>
      </c>
      <c r="H52" s="1031">
        <v>0</v>
      </c>
      <c r="I52" s="718">
        <f>+E52+G52</f>
        <v>0</v>
      </c>
      <c r="J52" s="718">
        <f t="shared" si="1"/>
        <v>0</v>
      </c>
      <c r="K52" s="5563"/>
      <c r="L52" s="1031"/>
      <c r="M52" s="717">
        <f>+I52+K52</f>
        <v>0</v>
      </c>
      <c r="N52" s="717">
        <f t="shared" si="2"/>
        <v>0</v>
      </c>
      <c r="O52" s="5563"/>
      <c r="P52" s="1031"/>
      <c r="Q52" s="718">
        <f>+M52+O52</f>
        <v>0</v>
      </c>
      <c r="R52" s="718">
        <f t="shared" si="3"/>
        <v>0</v>
      </c>
      <c r="S52" s="5563"/>
      <c r="T52" s="1031"/>
      <c r="U52" s="718">
        <f>+Q52+S52</f>
        <v>0</v>
      </c>
      <c r="V52" s="718">
        <f t="shared" si="4"/>
        <v>0</v>
      </c>
      <c r="W52" s="5563"/>
      <c r="X52" s="1031"/>
      <c r="Y52" s="717">
        <f t="shared" ref="Y52" si="111">O52+S52+W52</f>
        <v>0</v>
      </c>
      <c r="Z52" s="717">
        <f t="shared" si="5"/>
        <v>0</v>
      </c>
      <c r="AA52" s="429">
        <f>M52+Y52</f>
        <v>0</v>
      </c>
      <c r="AB52" s="429">
        <f t="shared" si="109"/>
        <v>0</v>
      </c>
      <c r="AC52" s="5563"/>
      <c r="AD52" s="1031"/>
      <c r="AE52" s="718">
        <f>+AA52+AC52</f>
        <v>0</v>
      </c>
      <c r="AF52" s="718">
        <f t="shared" si="6"/>
        <v>0</v>
      </c>
      <c r="AG52" s="5563"/>
      <c r="AH52" s="1031"/>
      <c r="AI52" s="718">
        <f>+AE52+AG52</f>
        <v>0</v>
      </c>
      <c r="AJ52" s="718">
        <f t="shared" si="7"/>
        <v>0</v>
      </c>
      <c r="AK52" s="5563"/>
      <c r="AL52" s="1031"/>
      <c r="AM52" s="717">
        <f t="shared" ref="AM52" si="112">AC52+AG52+AK52</f>
        <v>0</v>
      </c>
      <c r="AN52" s="717">
        <f t="shared" si="8"/>
        <v>0</v>
      </c>
      <c r="AO52" s="718">
        <f>+AK52+AI52</f>
        <v>0</v>
      </c>
      <c r="AP52" s="718">
        <f t="shared" si="110"/>
        <v>0</v>
      </c>
      <c r="AQ52" s="5563"/>
      <c r="AR52" s="1031"/>
      <c r="AS52" s="718">
        <f>+AO52+AQ52</f>
        <v>0</v>
      </c>
      <c r="AT52" s="718">
        <f t="shared" si="10"/>
        <v>0</v>
      </c>
      <c r="AU52" s="5563"/>
      <c r="AV52" s="1031"/>
      <c r="AW52" s="718">
        <f>+AS52+AU52</f>
        <v>0</v>
      </c>
      <c r="AX52" s="718">
        <f t="shared" si="11"/>
        <v>0</v>
      </c>
      <c r="AY52" s="5563"/>
      <c r="AZ52" s="1031"/>
      <c r="BA52" s="717">
        <f t="shared" ref="BA52" si="113">AQ52+AU52+AY52</f>
        <v>0</v>
      </c>
      <c r="BB52" s="717">
        <f t="shared" si="12"/>
        <v>0</v>
      </c>
      <c r="BC52" s="429">
        <f>AM52+BA52</f>
        <v>0</v>
      </c>
      <c r="BD52" s="429">
        <f t="shared" si="13"/>
        <v>0</v>
      </c>
      <c r="BE52" s="718">
        <f>+AA52+BC52</f>
        <v>0</v>
      </c>
      <c r="BF52" s="718">
        <f t="shared" si="14"/>
        <v>0</v>
      </c>
    </row>
    <row r="53" spans="1:60" x14ac:dyDescent="0.3">
      <c r="A53" s="88"/>
      <c r="B53" s="5064" t="s">
        <v>2188</v>
      </c>
      <c r="C53" s="146" t="s">
        <v>50</v>
      </c>
      <c r="D53" s="4928">
        <v>0</v>
      </c>
      <c r="E53" s="6033">
        <v>0</v>
      </c>
      <c r="F53" s="4928">
        <f>+'Direct sales IPT details'!E201</f>
        <v>0</v>
      </c>
      <c r="G53" s="6033">
        <v>0</v>
      </c>
      <c r="H53" s="4928">
        <f>+'Direct sales IPT details'!G201</f>
        <v>2989.14</v>
      </c>
      <c r="I53" s="5987">
        <f>+E53+G53</f>
        <v>0</v>
      </c>
      <c r="J53" s="718">
        <f t="shared" si="1"/>
        <v>2989.14</v>
      </c>
      <c r="K53" s="6033"/>
      <c r="L53" s="4928">
        <f>+'Direct sales IPT details'!K201</f>
        <v>0</v>
      </c>
      <c r="M53" s="6015">
        <f>+I53+K53</f>
        <v>0</v>
      </c>
      <c r="N53" s="717">
        <f t="shared" si="2"/>
        <v>2989.14</v>
      </c>
      <c r="O53" s="6033"/>
      <c r="P53" s="4928">
        <f>+'Direct sales IPT details'!O201</f>
        <v>0</v>
      </c>
      <c r="Q53" s="5987">
        <f>+M53+O53</f>
        <v>0</v>
      </c>
      <c r="R53" s="718">
        <f t="shared" si="3"/>
        <v>2989.14</v>
      </c>
      <c r="S53" s="6033"/>
      <c r="T53" s="4928">
        <f>+'Direct sales IPT details'!S201</f>
        <v>0</v>
      </c>
      <c r="U53" s="5987">
        <f>+Q53+S53</f>
        <v>0</v>
      </c>
      <c r="V53" s="718">
        <f t="shared" si="4"/>
        <v>2989.14</v>
      </c>
      <c r="W53" s="6033"/>
      <c r="X53" s="4928">
        <f>+'Direct sales IPT details'!W201</f>
        <v>0</v>
      </c>
      <c r="Y53" s="6015">
        <f>O53+S53+W53</f>
        <v>0</v>
      </c>
      <c r="Z53" s="6015">
        <f t="shared" si="5"/>
        <v>0</v>
      </c>
      <c r="AA53" s="6002">
        <f>M53+Y53</f>
        <v>0</v>
      </c>
      <c r="AB53" s="429">
        <f t="shared" si="109"/>
        <v>2989.14</v>
      </c>
      <c r="AC53" s="6033"/>
      <c r="AD53" s="4928">
        <f>+'Direct sales IPT details'!AC201</f>
        <v>0</v>
      </c>
      <c r="AE53" s="5987">
        <f>+AA53+AC53</f>
        <v>0</v>
      </c>
      <c r="AF53" s="718">
        <f t="shared" si="6"/>
        <v>2989.14</v>
      </c>
      <c r="AG53" s="6033"/>
      <c r="AH53" s="4928">
        <f>+'Direct sales IPT details'!AG201</f>
        <v>0</v>
      </c>
      <c r="AI53" s="5987">
        <f>+AE53+AG53</f>
        <v>0</v>
      </c>
      <c r="AJ53" s="718">
        <f t="shared" si="7"/>
        <v>2989.14</v>
      </c>
      <c r="AK53" s="6033"/>
      <c r="AL53" s="4928">
        <f>+'Direct sales IPT details'!AK201</f>
        <v>0</v>
      </c>
      <c r="AM53" s="6015">
        <f>AC53+AG53+AK53</f>
        <v>0</v>
      </c>
      <c r="AN53" s="717">
        <f t="shared" si="8"/>
        <v>0</v>
      </c>
      <c r="AO53" s="5987">
        <f>+AK53+AI53</f>
        <v>0</v>
      </c>
      <c r="AP53" s="718">
        <f t="shared" si="110"/>
        <v>2989.14</v>
      </c>
      <c r="AQ53" s="6033"/>
      <c r="AR53" s="4928">
        <f>+'Direct sales IPT details'!AQ201</f>
        <v>0</v>
      </c>
      <c r="AS53" s="5987">
        <f>+AO53+AQ53</f>
        <v>0</v>
      </c>
      <c r="AT53" s="718">
        <f t="shared" si="10"/>
        <v>2989.14</v>
      </c>
      <c r="AU53" s="6033"/>
      <c r="AV53" s="4928">
        <f>+'Direct sales IPT details'!AU201</f>
        <v>2022.0800000000002</v>
      </c>
      <c r="AW53" s="5987">
        <f>+AS53+AU53</f>
        <v>0</v>
      </c>
      <c r="AX53" s="718">
        <f t="shared" si="11"/>
        <v>5011.22</v>
      </c>
      <c r="AY53" s="6033"/>
      <c r="AZ53" s="4928">
        <f>+'Direct sales IPT details'!AY201</f>
        <v>2066.8999999999996</v>
      </c>
      <c r="BA53" s="6015">
        <f>AQ53+AU53+AY53</f>
        <v>0</v>
      </c>
      <c r="BB53" s="717">
        <f t="shared" si="12"/>
        <v>4088.9799999999996</v>
      </c>
      <c r="BC53" s="6002">
        <f>AM53+BA53</f>
        <v>0</v>
      </c>
      <c r="BD53" s="429">
        <f t="shared" si="13"/>
        <v>4088.9799999999996</v>
      </c>
      <c r="BE53" s="5987">
        <f>+AA53+BC53</f>
        <v>0</v>
      </c>
      <c r="BF53" s="718">
        <f t="shared" si="14"/>
        <v>7078.119999999999</v>
      </c>
    </row>
    <row r="54" spans="1:60" x14ac:dyDescent="0.3">
      <c r="A54" s="88"/>
      <c r="B54" s="5064" t="s">
        <v>2186</v>
      </c>
      <c r="C54" s="4932" t="s">
        <v>50</v>
      </c>
      <c r="D54" s="4928">
        <v>0</v>
      </c>
      <c r="E54" s="6034"/>
      <c r="F54" s="4928"/>
      <c r="G54" s="6034"/>
      <c r="H54" s="4928">
        <f>'Direct sales IPT details'!G16</f>
        <v>0</v>
      </c>
      <c r="I54" s="5988"/>
      <c r="J54" s="718">
        <f t="shared" si="1"/>
        <v>0</v>
      </c>
      <c r="K54" s="6034"/>
      <c r="L54" s="4928">
        <f>'Direct sales IPT details'!K16</f>
        <v>0</v>
      </c>
      <c r="M54" s="6016"/>
      <c r="N54" s="717">
        <f t="shared" si="2"/>
        <v>0</v>
      </c>
      <c r="O54" s="6034"/>
      <c r="P54" s="4928">
        <f>'Direct sales IPT details'!O16</f>
        <v>0</v>
      </c>
      <c r="Q54" s="5988"/>
      <c r="R54" s="718">
        <f t="shared" si="3"/>
        <v>0</v>
      </c>
      <c r="S54" s="6034"/>
      <c r="T54" s="4928">
        <f>'Direct sales IPT details'!S16</f>
        <v>0</v>
      </c>
      <c r="U54" s="5988"/>
      <c r="V54" s="718">
        <f t="shared" si="4"/>
        <v>0</v>
      </c>
      <c r="W54" s="6034"/>
      <c r="X54" s="4928">
        <f>'Direct sales IPT details'!W16</f>
        <v>0</v>
      </c>
      <c r="Y54" s="6016">
        <f t="shared" ref="Y54:Y55" si="114">O54+S54+W54</f>
        <v>0</v>
      </c>
      <c r="Z54" s="6016">
        <f t="shared" si="5"/>
        <v>0</v>
      </c>
      <c r="AA54" s="5814">
        <f>M54+Y54</f>
        <v>0</v>
      </c>
      <c r="AB54" s="429">
        <f t="shared" si="109"/>
        <v>0</v>
      </c>
      <c r="AC54" s="6034"/>
      <c r="AD54" s="4928">
        <f>'Direct sales IPT details'!AC16</f>
        <v>0</v>
      </c>
      <c r="AE54" s="5988"/>
      <c r="AF54" s="718">
        <f t="shared" si="6"/>
        <v>0</v>
      </c>
      <c r="AG54" s="6034"/>
      <c r="AH54" s="4928">
        <f>'Direct sales IPT details'!AG16</f>
        <v>0</v>
      </c>
      <c r="AI54" s="5988"/>
      <c r="AJ54" s="718">
        <f t="shared" si="7"/>
        <v>0</v>
      </c>
      <c r="AK54" s="6034"/>
      <c r="AL54" s="4928">
        <f>'Direct sales IPT details'!AK16</f>
        <v>0</v>
      </c>
      <c r="AM54" s="6016">
        <f t="shared" ref="AM54:AM55" si="115">AC54+AG54+AK54</f>
        <v>0</v>
      </c>
      <c r="AN54" s="717">
        <f t="shared" si="8"/>
        <v>0</v>
      </c>
      <c r="AO54" s="5988"/>
      <c r="AP54" s="718">
        <f t="shared" si="110"/>
        <v>0</v>
      </c>
      <c r="AQ54" s="6034"/>
      <c r="AR54" s="4928">
        <f>'Direct sales IPT details'!AQ16</f>
        <v>0</v>
      </c>
      <c r="AS54" s="5988"/>
      <c r="AT54" s="718">
        <f t="shared" si="10"/>
        <v>0</v>
      </c>
      <c r="AU54" s="6034"/>
      <c r="AV54" s="4928">
        <f>'Direct sales IPT details'!AU16</f>
        <v>0</v>
      </c>
      <c r="AW54" s="5988"/>
      <c r="AX54" s="718">
        <f t="shared" si="11"/>
        <v>0</v>
      </c>
      <c r="AY54" s="6034"/>
      <c r="AZ54" s="4928">
        <f>'Direct sales IPT details'!AY16</f>
        <v>0</v>
      </c>
      <c r="BA54" s="6016">
        <f t="shared" ref="BA54:BA55" si="116">AQ54+AU54+AY54</f>
        <v>0</v>
      </c>
      <c r="BB54" s="717">
        <f t="shared" si="12"/>
        <v>0</v>
      </c>
      <c r="BC54" s="5814">
        <f>AO54+BA54</f>
        <v>0</v>
      </c>
      <c r="BD54" s="429">
        <f t="shared" si="13"/>
        <v>0</v>
      </c>
      <c r="BE54" s="5988"/>
      <c r="BF54" s="718">
        <f t="shared" si="14"/>
        <v>0</v>
      </c>
    </row>
    <row r="55" spans="1:60" ht="21.15" customHeight="1" x14ac:dyDescent="0.3">
      <c r="A55" s="88"/>
      <c r="B55" s="926" t="s">
        <v>2187</v>
      </c>
      <c r="C55" s="146" t="s">
        <v>50</v>
      </c>
      <c r="D55" s="1031">
        <v>0</v>
      </c>
      <c r="E55" s="6035"/>
      <c r="F55" s="1031">
        <f>+'Direct sales IPT details'!E14</f>
        <v>0</v>
      </c>
      <c r="G55" s="6035"/>
      <c r="H55" s="1031">
        <f>'Direct sales IPT details'!G15</f>
        <v>0</v>
      </c>
      <c r="I55" s="5989"/>
      <c r="J55" s="718">
        <f t="shared" si="1"/>
        <v>0</v>
      </c>
      <c r="K55" s="6035"/>
      <c r="L55" s="1031">
        <f>'Direct sales IPT details'!K15</f>
        <v>0</v>
      </c>
      <c r="M55" s="6017"/>
      <c r="N55" s="717">
        <f t="shared" si="2"/>
        <v>0</v>
      </c>
      <c r="O55" s="6035"/>
      <c r="P55" s="1031">
        <f>'Direct sales IPT details'!O15</f>
        <v>0</v>
      </c>
      <c r="Q55" s="5989"/>
      <c r="R55" s="718">
        <f t="shared" si="3"/>
        <v>0</v>
      </c>
      <c r="S55" s="6035"/>
      <c r="T55" s="1031">
        <f>'Direct sales IPT details'!S15</f>
        <v>0</v>
      </c>
      <c r="U55" s="5989"/>
      <c r="V55" s="718">
        <f t="shared" si="4"/>
        <v>0</v>
      </c>
      <c r="W55" s="6035"/>
      <c r="X55" s="1031">
        <f>'Direct sales IPT details'!W15</f>
        <v>0</v>
      </c>
      <c r="Y55" s="6017">
        <f t="shared" si="114"/>
        <v>0</v>
      </c>
      <c r="Z55" s="6017">
        <f t="shared" si="5"/>
        <v>0</v>
      </c>
      <c r="AA55" s="5815">
        <f>M55+Y55</f>
        <v>0</v>
      </c>
      <c r="AB55" s="429">
        <f t="shared" si="109"/>
        <v>0</v>
      </c>
      <c r="AC55" s="6035"/>
      <c r="AD55" s="1031">
        <f>'Direct sales IPT details'!AC15</f>
        <v>0</v>
      </c>
      <c r="AE55" s="5989"/>
      <c r="AF55" s="718">
        <f t="shared" si="6"/>
        <v>0</v>
      </c>
      <c r="AG55" s="6035"/>
      <c r="AH55" s="1031">
        <f>'Direct sales IPT details'!AG15</f>
        <v>0</v>
      </c>
      <c r="AI55" s="5989"/>
      <c r="AJ55" s="718">
        <f t="shared" si="7"/>
        <v>0</v>
      </c>
      <c r="AK55" s="6035"/>
      <c r="AL55" s="1031">
        <f>'Direct sales IPT details'!AK15</f>
        <v>0</v>
      </c>
      <c r="AM55" s="6017">
        <f t="shared" si="115"/>
        <v>0</v>
      </c>
      <c r="AN55" s="717">
        <f t="shared" si="8"/>
        <v>0</v>
      </c>
      <c r="AO55" s="5989"/>
      <c r="AP55" s="718">
        <f t="shared" si="110"/>
        <v>0</v>
      </c>
      <c r="AQ55" s="6035"/>
      <c r="AR55" s="1031">
        <f>'Direct sales IPT details'!AQ15</f>
        <v>0</v>
      </c>
      <c r="AS55" s="5989"/>
      <c r="AT55" s="718">
        <f t="shared" si="10"/>
        <v>0</v>
      </c>
      <c r="AU55" s="6035"/>
      <c r="AV55" s="1031">
        <f>'Direct sales IPT details'!AU15</f>
        <v>0</v>
      </c>
      <c r="AW55" s="5989"/>
      <c r="AX55" s="718">
        <f t="shared" si="11"/>
        <v>0</v>
      </c>
      <c r="AY55" s="6035"/>
      <c r="AZ55" s="1031">
        <f>'Direct sales IPT details'!AY15</f>
        <v>0</v>
      </c>
      <c r="BA55" s="6017">
        <f t="shared" si="116"/>
        <v>0</v>
      </c>
      <c r="BB55" s="717">
        <f t="shared" si="12"/>
        <v>0</v>
      </c>
      <c r="BC55" s="5815">
        <f>AO55+BA55</f>
        <v>0</v>
      </c>
      <c r="BD55" s="429">
        <f t="shared" si="13"/>
        <v>0</v>
      </c>
      <c r="BE55" s="5989"/>
      <c r="BF55" s="718">
        <f t="shared" si="14"/>
        <v>0</v>
      </c>
    </row>
    <row r="56" spans="1:60" s="29" customFormat="1" ht="21.15" customHeight="1" x14ac:dyDescent="0.3">
      <c r="A56" s="772"/>
      <c r="B56" s="3123" t="s">
        <v>2</v>
      </c>
      <c r="C56" s="146" t="s">
        <v>50</v>
      </c>
      <c r="D56" s="1589">
        <f>SUM(D50:D55)</f>
        <v>0</v>
      </c>
      <c r="E56" s="421">
        <f>+'Maj Production Summ'!E35</f>
        <v>0.27340158309380058</v>
      </c>
      <c r="F56" s="421">
        <f>SUM(F50:F55)</f>
        <v>0</v>
      </c>
      <c r="G56" s="421">
        <f>+'Maj Production Summ'!G35</f>
        <v>0.1346321899764007</v>
      </c>
      <c r="H56" s="421">
        <f>SUM(H50:H55)</f>
        <v>2989.14</v>
      </c>
      <c r="I56" s="344">
        <f>+E56+G56</f>
        <v>0.40803377307020128</v>
      </c>
      <c r="J56" s="344">
        <f t="shared" si="1"/>
        <v>2989.14</v>
      </c>
      <c r="K56" s="421">
        <f>+'Maj Production Summ'!K35</f>
        <v>0</v>
      </c>
      <c r="L56" s="421">
        <f>SUM(L50:L55)</f>
        <v>0</v>
      </c>
      <c r="M56" s="346">
        <f>+I56+K56</f>
        <v>0.40803377307020128</v>
      </c>
      <c r="N56" s="346">
        <f t="shared" si="2"/>
        <v>2989.14</v>
      </c>
      <c r="O56" s="421">
        <f>+'Maj Production Summ'!O35</f>
        <v>0</v>
      </c>
      <c r="P56" s="421">
        <f>SUM(P50:P55)</f>
        <v>0</v>
      </c>
      <c r="Q56" s="344">
        <f>+M56+O56</f>
        <v>0.40803377307020128</v>
      </c>
      <c r="R56" s="344">
        <f t="shared" si="3"/>
        <v>2989.14</v>
      </c>
      <c r="S56" s="421">
        <f>+'Maj Production Summ'!S35</f>
        <v>0</v>
      </c>
      <c r="T56" s="421">
        <f>SUM(T50:T55)</f>
        <v>0</v>
      </c>
      <c r="U56" s="344">
        <f>+Q56+S56</f>
        <v>0.40803377307020128</v>
      </c>
      <c r="V56" s="344">
        <f t="shared" si="4"/>
        <v>2989.14</v>
      </c>
      <c r="W56" s="421">
        <f>+'Maj Production Summ'!W35</f>
        <v>0</v>
      </c>
      <c r="X56" s="421">
        <f>SUM(X50:X55)</f>
        <v>0</v>
      </c>
      <c r="Y56" s="346">
        <f>O56+S56+W56</f>
        <v>0</v>
      </c>
      <c r="Z56" s="346">
        <f t="shared" si="5"/>
        <v>0</v>
      </c>
      <c r="AA56" s="502">
        <f>M56+Y56</f>
        <v>0.40803377307020128</v>
      </c>
      <c r="AB56" s="502">
        <f t="shared" si="109"/>
        <v>2989.14</v>
      </c>
      <c r="AC56" s="421">
        <f>+'Maj Production Summ'!AC35</f>
        <v>0</v>
      </c>
      <c r="AD56" s="421">
        <f>SUM(AD50:AD55)</f>
        <v>0</v>
      </c>
      <c r="AE56" s="344">
        <f>+AA56+AC56</f>
        <v>0.40803377307020128</v>
      </c>
      <c r="AF56" s="344">
        <f t="shared" si="6"/>
        <v>2989.14</v>
      </c>
      <c r="AG56" s="421">
        <f>+'Maj Production Summ'!AG35</f>
        <v>0</v>
      </c>
      <c r="AH56" s="421">
        <f>SUM(AH50:AH55)</f>
        <v>0</v>
      </c>
      <c r="AI56" s="344">
        <f>+AE56+AG56</f>
        <v>0.40803377307020128</v>
      </c>
      <c r="AJ56" s="344">
        <f t="shared" si="7"/>
        <v>2989.14</v>
      </c>
      <c r="AK56" s="421">
        <f>+'Maj Production Summ'!AK35</f>
        <v>0</v>
      </c>
      <c r="AL56" s="421">
        <f>SUM(AL50:AL55)</f>
        <v>0</v>
      </c>
      <c r="AM56" s="346">
        <f>AC56+AG56+AK56</f>
        <v>0</v>
      </c>
      <c r="AN56" s="717">
        <f t="shared" si="8"/>
        <v>0</v>
      </c>
      <c r="AO56" s="344">
        <f>+AK56+AI56</f>
        <v>0.40803377307020128</v>
      </c>
      <c r="AP56" s="344">
        <f t="shared" si="110"/>
        <v>2989.14</v>
      </c>
      <c r="AQ56" s="421">
        <f>+'Maj Production Summ'!AQ35</f>
        <v>0</v>
      </c>
      <c r="AR56" s="421">
        <f>SUM(AR50:AR55)</f>
        <v>0</v>
      </c>
      <c r="AS56" s="344">
        <f>+AO56+AQ56</f>
        <v>0.40803377307020128</v>
      </c>
      <c r="AT56" s="344">
        <f t="shared" si="10"/>
        <v>2989.14</v>
      </c>
      <c r="AU56" s="421">
        <f>+'Maj Production Summ'!AU35</f>
        <v>0</v>
      </c>
      <c r="AV56" s="421">
        <f>SUM(AV50:AV55)</f>
        <v>2022.0800000000002</v>
      </c>
      <c r="AW56" s="344">
        <f>+AS56+AU56</f>
        <v>0.40803377307020128</v>
      </c>
      <c r="AX56" s="344">
        <f t="shared" si="11"/>
        <v>5011.22</v>
      </c>
      <c r="AY56" s="421">
        <f>+'Maj Production Summ'!AY35</f>
        <v>0</v>
      </c>
      <c r="AZ56" s="421">
        <f>SUM(AZ50:AZ55)</f>
        <v>2066.8999999999996</v>
      </c>
      <c r="BA56" s="346">
        <f>AQ56+AU56+AY56</f>
        <v>0</v>
      </c>
      <c r="BB56" s="717">
        <f t="shared" si="12"/>
        <v>4088.9799999999996</v>
      </c>
      <c r="BC56" s="502">
        <f>AM56+BA56</f>
        <v>0</v>
      </c>
      <c r="BD56" s="429">
        <f t="shared" si="13"/>
        <v>4088.9799999999996</v>
      </c>
      <c r="BE56" s="344">
        <f>+AA56+BC56</f>
        <v>0.40803377307020128</v>
      </c>
      <c r="BF56" s="718">
        <f t="shared" si="14"/>
        <v>7078.119999999999</v>
      </c>
    </row>
    <row r="57" spans="1:60" x14ac:dyDescent="0.3">
      <c r="A57" s="142"/>
      <c r="B57" s="3122" t="s">
        <v>2185</v>
      </c>
      <c r="C57" s="192"/>
      <c r="D57" s="421"/>
      <c r="E57" s="421"/>
      <c r="F57" s="421"/>
      <c r="G57" s="421"/>
      <c r="H57" s="421"/>
      <c r="I57" s="344"/>
      <c r="J57" s="718"/>
      <c r="K57" s="421"/>
      <c r="L57" s="421"/>
      <c r="M57" s="346"/>
      <c r="N57" s="717"/>
      <c r="O57" s="421"/>
      <c r="P57" s="421"/>
      <c r="Q57" s="344"/>
      <c r="R57" s="718"/>
      <c r="S57" s="421"/>
      <c r="T57" s="421"/>
      <c r="U57" s="344"/>
      <c r="V57" s="718"/>
      <c r="W57" s="421"/>
      <c r="X57" s="421"/>
      <c r="Y57" s="346"/>
      <c r="Z57" s="346"/>
      <c r="AA57" s="502"/>
      <c r="AB57" s="429"/>
      <c r="AC57" s="421"/>
      <c r="AD57" s="421"/>
      <c r="AE57" s="344"/>
      <c r="AF57" s="718"/>
      <c r="AG57" s="421"/>
      <c r="AH57" s="421"/>
      <c r="AI57" s="344"/>
      <c r="AJ57" s="718"/>
      <c r="AK57" s="421"/>
      <c r="AL57" s="421"/>
      <c r="AM57" s="346"/>
      <c r="AN57" s="717"/>
      <c r="AO57" s="344"/>
      <c r="AP57" s="718"/>
      <c r="AQ57" s="421"/>
      <c r="AR57" s="421"/>
      <c r="AS57" s="344"/>
      <c r="AT57" s="718"/>
      <c r="AU57" s="421"/>
      <c r="AV57" s="421"/>
      <c r="AW57" s="344"/>
      <c r="AX57" s="718"/>
      <c r="AY57" s="421"/>
      <c r="AZ57" s="421"/>
      <c r="BA57" s="346"/>
      <c r="BB57" s="717"/>
      <c r="BC57" s="502"/>
      <c r="BD57" s="429"/>
      <c r="BE57" s="344"/>
      <c r="BF57" s="718"/>
    </row>
    <row r="58" spans="1:60" x14ac:dyDescent="0.3">
      <c r="A58" s="142"/>
      <c r="B58" s="926" t="s">
        <v>2186</v>
      </c>
      <c r="C58" s="146" t="s">
        <v>50</v>
      </c>
      <c r="D58" s="4928">
        <v>0</v>
      </c>
      <c r="E58" s="4928">
        <v>0</v>
      </c>
      <c r="F58" s="4928">
        <f>+'Direct sales IPT details'!E22</f>
        <v>0</v>
      </c>
      <c r="G58" s="4928">
        <v>0</v>
      </c>
      <c r="H58" s="4928">
        <f>+'Direct sales IPT details'!G22</f>
        <v>0</v>
      </c>
      <c r="I58" s="718">
        <f t="shared" ref="I58:I60" si="117">+E58+G58</f>
        <v>0</v>
      </c>
      <c r="J58" s="718">
        <f t="shared" si="1"/>
        <v>0</v>
      </c>
      <c r="K58" s="4928">
        <v>0</v>
      </c>
      <c r="L58" s="4928">
        <f>+'Direct sales IPT details'!K22</f>
        <v>0</v>
      </c>
      <c r="M58" s="717">
        <f t="shared" ref="M58:M60" si="118">+I58+K58</f>
        <v>0</v>
      </c>
      <c r="N58" s="717">
        <f t="shared" si="2"/>
        <v>0</v>
      </c>
      <c r="O58" s="4928">
        <v>0</v>
      </c>
      <c r="P58" s="4928">
        <f>+'Direct sales IPT details'!O22</f>
        <v>64.36</v>
      </c>
      <c r="Q58" s="718">
        <f t="shared" ref="Q58:Q60" si="119">+M58+O58</f>
        <v>0</v>
      </c>
      <c r="R58" s="718">
        <f t="shared" si="3"/>
        <v>64.36</v>
      </c>
      <c r="S58" s="4928">
        <v>0</v>
      </c>
      <c r="T58" s="4928">
        <f>+'Direct sales IPT details'!S22</f>
        <v>1895.72</v>
      </c>
      <c r="U58" s="718">
        <f t="shared" ref="U58:U60" si="120">+Q58+S58</f>
        <v>0</v>
      </c>
      <c r="V58" s="718">
        <f t="shared" si="4"/>
        <v>1960.08</v>
      </c>
      <c r="W58" s="4928">
        <v>0</v>
      </c>
      <c r="X58" s="4928">
        <f>+'Direct sales IPT details'!W22</f>
        <v>960.38000000000011</v>
      </c>
      <c r="Y58" s="717">
        <f t="shared" ref="Y58:Y60" si="121">O58+S58+W58</f>
        <v>0</v>
      </c>
      <c r="Z58" s="717">
        <f t="shared" si="5"/>
        <v>2920.46</v>
      </c>
      <c r="AA58" s="429">
        <f t="shared" ref="AA58:AA60" si="122">M58+Y58</f>
        <v>0</v>
      </c>
      <c r="AB58" s="429">
        <f>X58+V58</f>
        <v>2920.46</v>
      </c>
      <c r="AC58" s="4928">
        <v>0</v>
      </c>
      <c r="AD58" s="4928">
        <f>+'Direct sales IPT details'!AC22</f>
        <v>2004.1</v>
      </c>
      <c r="AE58" s="718">
        <f t="shared" ref="AE58:AE60" si="123">+AA58+AC58</f>
        <v>0</v>
      </c>
      <c r="AF58" s="718">
        <f t="shared" si="6"/>
        <v>4924.5599999999995</v>
      </c>
      <c r="AG58" s="4928">
        <v>0</v>
      </c>
      <c r="AH58" s="4928">
        <f>+'Direct sales IPT details'!AG22</f>
        <v>0</v>
      </c>
      <c r="AI58" s="718">
        <f t="shared" ref="AI58:AI60" si="124">+AE58+AG58</f>
        <v>0</v>
      </c>
      <c r="AJ58" s="718">
        <f t="shared" si="7"/>
        <v>4924.5599999999995</v>
      </c>
      <c r="AK58" s="4928">
        <v>0</v>
      </c>
      <c r="AL58" s="4928">
        <f>+'Direct sales IPT details'!AK22</f>
        <v>0</v>
      </c>
      <c r="AM58" s="717">
        <f t="shared" ref="AM58:AM60" si="125">AC58+AG58+AK58</f>
        <v>0</v>
      </c>
      <c r="AN58" s="717">
        <f t="shared" si="8"/>
        <v>2004.1</v>
      </c>
      <c r="AO58" s="718">
        <f>+AK58+AI58</f>
        <v>0</v>
      </c>
      <c r="AP58" s="718">
        <f>AL58+AJ58</f>
        <v>4924.5599999999995</v>
      </c>
      <c r="AQ58" s="4928">
        <v>0</v>
      </c>
      <c r="AR58" s="4928">
        <f>+'Direct sales IPT details'!AQ22</f>
        <v>0</v>
      </c>
      <c r="AS58" s="718">
        <f t="shared" ref="AS58:AS60" si="126">+AO58+AQ58</f>
        <v>0</v>
      </c>
      <c r="AT58" s="718">
        <f t="shared" si="10"/>
        <v>4924.5599999999995</v>
      </c>
      <c r="AU58" s="4928">
        <v>0</v>
      </c>
      <c r="AV58" s="4928">
        <f>+'Direct sales IPT details'!AU22</f>
        <v>0</v>
      </c>
      <c r="AW58" s="718">
        <f t="shared" ref="AW58:AW60" si="127">+AS58+AU58</f>
        <v>0</v>
      </c>
      <c r="AX58" s="718">
        <f t="shared" si="11"/>
        <v>4924.5599999999995</v>
      </c>
      <c r="AY58" s="4928">
        <v>0</v>
      </c>
      <c r="AZ58" s="4928">
        <f>+'Direct sales IPT details'!AY22</f>
        <v>0</v>
      </c>
      <c r="BA58" s="717">
        <f t="shared" ref="BA58:BA60" si="128">AQ58+AU58+AY58</f>
        <v>0</v>
      </c>
      <c r="BB58" s="717">
        <f t="shared" si="12"/>
        <v>0</v>
      </c>
      <c r="BC58" s="429">
        <f>AM58+BA58</f>
        <v>0</v>
      </c>
      <c r="BD58" s="429">
        <f t="shared" si="13"/>
        <v>2004.1</v>
      </c>
      <c r="BE58" s="718">
        <f>+AA58+BC58</f>
        <v>0</v>
      </c>
      <c r="BF58" s="718">
        <f t="shared" si="14"/>
        <v>4924.5599999999995</v>
      </c>
      <c r="BG58" s="4928"/>
      <c r="BH58" s="4928"/>
    </row>
    <row r="59" spans="1:60" x14ac:dyDescent="0.3">
      <c r="A59" s="142"/>
      <c r="B59" s="926" t="s">
        <v>2187</v>
      </c>
      <c r="C59" s="146" t="s">
        <v>50</v>
      </c>
      <c r="D59" s="4928">
        <v>0</v>
      </c>
      <c r="E59" s="4928">
        <v>0</v>
      </c>
      <c r="F59" s="4928">
        <f>+'Direct sales IPT details'!E21</f>
        <v>1625.08</v>
      </c>
      <c r="G59" s="4928">
        <v>0</v>
      </c>
      <c r="H59" s="4928">
        <f>+'Direct sales IPT details'!G21</f>
        <v>888.68</v>
      </c>
      <c r="I59" s="718">
        <f t="shared" si="117"/>
        <v>0</v>
      </c>
      <c r="J59" s="718">
        <f t="shared" si="1"/>
        <v>2513.7599999999998</v>
      </c>
      <c r="K59" s="4928">
        <v>0</v>
      </c>
      <c r="L59" s="4928">
        <f>+'Direct sales IPT details'!K21</f>
        <v>1065.5999999999999</v>
      </c>
      <c r="M59" s="717">
        <f t="shared" si="118"/>
        <v>0</v>
      </c>
      <c r="N59" s="717">
        <f t="shared" si="2"/>
        <v>3579.3599999999997</v>
      </c>
      <c r="O59" s="4928">
        <v>0</v>
      </c>
      <c r="P59" s="4928">
        <f>+'Direct sales IPT details'!O21</f>
        <v>398.74</v>
      </c>
      <c r="Q59" s="718">
        <f t="shared" si="119"/>
        <v>0</v>
      </c>
      <c r="R59" s="718">
        <f t="shared" si="3"/>
        <v>3978.0999999999995</v>
      </c>
      <c r="S59" s="4928">
        <v>0</v>
      </c>
      <c r="T59" s="4928">
        <f>+'Direct sales IPT details'!S21</f>
        <v>353.2</v>
      </c>
      <c r="U59" s="718">
        <f t="shared" si="120"/>
        <v>0</v>
      </c>
      <c r="V59" s="718">
        <f t="shared" si="4"/>
        <v>4331.2999999999993</v>
      </c>
      <c r="W59" s="4928">
        <v>0</v>
      </c>
      <c r="X59" s="4928">
        <f>+'Direct sales IPT details'!W21</f>
        <v>453.39000000000004</v>
      </c>
      <c r="Y59" s="717">
        <f t="shared" si="121"/>
        <v>0</v>
      </c>
      <c r="Z59" s="717">
        <f t="shared" si="5"/>
        <v>1205.3300000000002</v>
      </c>
      <c r="AA59" s="429">
        <f t="shared" si="122"/>
        <v>0</v>
      </c>
      <c r="AB59" s="429">
        <f>X59+V59</f>
        <v>4784.6899999999996</v>
      </c>
      <c r="AC59" s="4928">
        <v>0</v>
      </c>
      <c r="AD59" s="4928">
        <f>+'Direct sales IPT details'!AC21</f>
        <v>0</v>
      </c>
      <c r="AE59" s="718">
        <f t="shared" si="123"/>
        <v>0</v>
      </c>
      <c r="AF59" s="718">
        <f t="shared" si="6"/>
        <v>4784.6899999999996</v>
      </c>
      <c r="AG59" s="4928">
        <v>0</v>
      </c>
      <c r="AH59" s="4928">
        <f>+'Direct sales IPT details'!AG21</f>
        <v>0</v>
      </c>
      <c r="AI59" s="718">
        <f t="shared" si="124"/>
        <v>0</v>
      </c>
      <c r="AJ59" s="718">
        <f t="shared" si="7"/>
        <v>4784.6899999999996</v>
      </c>
      <c r="AK59" s="4928">
        <v>0</v>
      </c>
      <c r="AL59" s="4928">
        <f>+'Direct sales IPT details'!AK21</f>
        <v>703.34</v>
      </c>
      <c r="AM59" s="717">
        <f t="shared" si="125"/>
        <v>0</v>
      </c>
      <c r="AN59" s="717">
        <f t="shared" si="8"/>
        <v>703.34</v>
      </c>
      <c r="AO59" s="718">
        <f>+AK59+AI59</f>
        <v>0</v>
      </c>
      <c r="AP59" s="718">
        <f>AL59+AJ59</f>
        <v>5488.03</v>
      </c>
      <c r="AQ59" s="4928">
        <v>0</v>
      </c>
      <c r="AR59" s="4928">
        <f>+'Direct sales IPT details'!AQ21</f>
        <v>1589.84</v>
      </c>
      <c r="AS59" s="718">
        <f t="shared" si="126"/>
        <v>0</v>
      </c>
      <c r="AT59" s="718">
        <f t="shared" si="10"/>
        <v>7077.87</v>
      </c>
      <c r="AU59" s="4928">
        <v>0</v>
      </c>
      <c r="AV59" s="4928">
        <f>+'Direct sales IPT details'!AU21</f>
        <v>481.34000000000003</v>
      </c>
      <c r="AW59" s="718">
        <f t="shared" si="127"/>
        <v>0</v>
      </c>
      <c r="AX59" s="718">
        <f t="shared" si="11"/>
        <v>7559.21</v>
      </c>
      <c r="AY59" s="4928">
        <v>0</v>
      </c>
      <c r="AZ59" s="4928">
        <f>+'Direct sales IPT details'!AY21</f>
        <v>1544.2600000000002</v>
      </c>
      <c r="BA59" s="717">
        <f t="shared" si="128"/>
        <v>0</v>
      </c>
      <c r="BB59" s="717">
        <f t="shared" si="12"/>
        <v>3615.44</v>
      </c>
      <c r="BC59" s="429">
        <f>AM59+BA59</f>
        <v>0</v>
      </c>
      <c r="BD59" s="429">
        <f t="shared" si="13"/>
        <v>4318.78</v>
      </c>
      <c r="BE59" s="718">
        <f>+AA59+BC59</f>
        <v>0</v>
      </c>
      <c r="BF59" s="718">
        <f t="shared" si="14"/>
        <v>9103.4699999999993</v>
      </c>
    </row>
    <row r="60" spans="1:60" s="772" customFormat="1" x14ac:dyDescent="0.3">
      <c r="A60" s="5074"/>
      <c r="B60" s="3123" t="s">
        <v>2</v>
      </c>
      <c r="C60" s="146" t="s">
        <v>50</v>
      </c>
      <c r="D60" s="4933">
        <f>SUM(D58:D59)</f>
        <v>0</v>
      </c>
      <c r="E60" s="4933">
        <f>SUM(E58:E59)</f>
        <v>0</v>
      </c>
      <c r="F60" s="4933">
        <f>SUM(F58:F59)</f>
        <v>1625.08</v>
      </c>
      <c r="G60" s="4933">
        <f>SUM(G58:G59)</f>
        <v>0</v>
      </c>
      <c r="H60" s="4933">
        <f>SUM(H58:H59)</f>
        <v>888.68</v>
      </c>
      <c r="I60" s="718">
        <f t="shared" si="117"/>
        <v>0</v>
      </c>
      <c r="J60" s="344">
        <f t="shared" si="1"/>
        <v>2513.7599999999998</v>
      </c>
      <c r="K60" s="4933">
        <f>SUM(K58:K59)</f>
        <v>0</v>
      </c>
      <c r="L60" s="4933">
        <f>SUM(L58:L59)</f>
        <v>1065.5999999999999</v>
      </c>
      <c r="M60" s="717">
        <f t="shared" si="118"/>
        <v>0</v>
      </c>
      <c r="N60" s="346">
        <f t="shared" si="2"/>
        <v>3579.3599999999997</v>
      </c>
      <c r="O60" s="4933">
        <f>SUM(O58:O59)</f>
        <v>0</v>
      </c>
      <c r="P60" s="4933">
        <f>SUM(P58:P59)</f>
        <v>463.1</v>
      </c>
      <c r="Q60" s="718">
        <f t="shared" si="119"/>
        <v>0</v>
      </c>
      <c r="R60" s="344">
        <f t="shared" si="3"/>
        <v>4042.4599999999996</v>
      </c>
      <c r="S60" s="4933">
        <f>SUM(S58:S59)</f>
        <v>0</v>
      </c>
      <c r="T60" s="4933">
        <f>SUM(T58:T59)</f>
        <v>2248.92</v>
      </c>
      <c r="U60" s="718">
        <f t="shared" si="120"/>
        <v>0</v>
      </c>
      <c r="V60" s="344">
        <f t="shared" si="4"/>
        <v>6291.3799999999992</v>
      </c>
      <c r="W60" s="4933">
        <f>SUM(W58:W59)</f>
        <v>0</v>
      </c>
      <c r="X60" s="4933">
        <f>SUM(X58:X59)</f>
        <v>1413.7700000000002</v>
      </c>
      <c r="Y60" s="717">
        <f t="shared" si="121"/>
        <v>0</v>
      </c>
      <c r="Z60" s="717">
        <f t="shared" si="5"/>
        <v>4125.79</v>
      </c>
      <c r="AA60" s="429">
        <f t="shared" si="122"/>
        <v>0</v>
      </c>
      <c r="AB60" s="502">
        <f>X60+V60</f>
        <v>7705.15</v>
      </c>
      <c r="AC60" s="4933">
        <f>SUM(AC58:AC59)</f>
        <v>0</v>
      </c>
      <c r="AD60" s="4933">
        <f>SUM(AD58:AD59)</f>
        <v>2004.1</v>
      </c>
      <c r="AE60" s="718">
        <f t="shared" si="123"/>
        <v>0</v>
      </c>
      <c r="AF60" s="344">
        <f t="shared" si="6"/>
        <v>9709.25</v>
      </c>
      <c r="AG60" s="4933">
        <f>SUM(AG58:AG59)</f>
        <v>0</v>
      </c>
      <c r="AH60" s="4933">
        <f>SUM(AH58:AH59)</f>
        <v>0</v>
      </c>
      <c r="AI60" s="718">
        <f t="shared" si="124"/>
        <v>0</v>
      </c>
      <c r="AJ60" s="344">
        <f t="shared" si="7"/>
        <v>9709.25</v>
      </c>
      <c r="AK60" s="4933">
        <f>SUM(AK58:AK59)</f>
        <v>0</v>
      </c>
      <c r="AL60" s="4933">
        <f>SUM(AL58:AL59)</f>
        <v>703.34</v>
      </c>
      <c r="AM60" s="717">
        <f t="shared" si="125"/>
        <v>0</v>
      </c>
      <c r="AN60" s="717">
        <f t="shared" si="8"/>
        <v>2707.44</v>
      </c>
      <c r="AO60" s="718">
        <f>+AK60+AI60</f>
        <v>0</v>
      </c>
      <c r="AP60" s="344">
        <f>AL60+AJ60</f>
        <v>10412.59</v>
      </c>
      <c r="AQ60" s="4933">
        <f>SUM(AQ58:AQ59)</f>
        <v>0</v>
      </c>
      <c r="AR60" s="4933">
        <f>SUM(AR58:AR59)</f>
        <v>1589.84</v>
      </c>
      <c r="AS60" s="718">
        <f t="shared" si="126"/>
        <v>0</v>
      </c>
      <c r="AT60" s="344">
        <f t="shared" si="10"/>
        <v>12002.43</v>
      </c>
      <c r="AU60" s="4933">
        <f>SUM(AU58:AU59)</f>
        <v>0</v>
      </c>
      <c r="AV60" s="4933">
        <f>SUM(AV58:AV59)</f>
        <v>481.34000000000003</v>
      </c>
      <c r="AW60" s="718">
        <f t="shared" si="127"/>
        <v>0</v>
      </c>
      <c r="AX60" s="344">
        <f t="shared" si="11"/>
        <v>12483.77</v>
      </c>
      <c r="AY60" s="4933">
        <f>SUM(AY58:AY59)</f>
        <v>0</v>
      </c>
      <c r="AZ60" s="4933">
        <f>SUM(AZ58:AZ59)</f>
        <v>1544.2600000000002</v>
      </c>
      <c r="BA60" s="717">
        <f t="shared" si="128"/>
        <v>0</v>
      </c>
      <c r="BB60" s="717">
        <f t="shared" si="12"/>
        <v>3615.44</v>
      </c>
      <c r="BC60" s="429">
        <f>AM60+BA60</f>
        <v>0</v>
      </c>
      <c r="BD60" s="429">
        <f t="shared" si="13"/>
        <v>6322.88</v>
      </c>
      <c r="BE60" s="718">
        <f>+AA60+BC60</f>
        <v>0</v>
      </c>
      <c r="BF60" s="718">
        <f t="shared" si="14"/>
        <v>14028.029999999999</v>
      </c>
    </row>
    <row r="61" spans="1:60" x14ac:dyDescent="0.3">
      <c r="A61" s="142"/>
      <c r="B61" s="5063"/>
      <c r="C61" s="5076"/>
      <c r="D61" s="4933"/>
      <c r="E61" s="4933"/>
      <c r="F61" s="4933"/>
      <c r="G61" s="4933"/>
      <c r="H61" s="4933"/>
      <c r="I61" s="4940"/>
      <c r="J61" s="718"/>
      <c r="K61" s="4933"/>
      <c r="L61" s="4933"/>
      <c r="M61" s="4934"/>
      <c r="N61" s="717"/>
      <c r="O61" s="4933"/>
      <c r="P61" s="4933"/>
      <c r="Q61" s="4940"/>
      <c r="R61" s="718"/>
      <c r="S61" s="4933"/>
      <c r="T61" s="4933"/>
      <c r="U61" s="4940"/>
      <c r="V61" s="718"/>
      <c r="W61" s="4933"/>
      <c r="X61" s="4933"/>
      <c r="Y61" s="4934"/>
      <c r="Z61" s="4934"/>
      <c r="AA61" s="4938"/>
      <c r="AB61" s="429"/>
      <c r="AC61" s="4933"/>
      <c r="AD61" s="4933"/>
      <c r="AE61" s="4940"/>
      <c r="AF61" s="718"/>
      <c r="AG61" s="4933"/>
      <c r="AH61" s="4933"/>
      <c r="AI61" s="4940"/>
      <c r="AJ61" s="718"/>
      <c r="AK61" s="4933"/>
      <c r="AL61" s="4933"/>
      <c r="AM61" s="4934"/>
      <c r="AN61" s="717"/>
      <c r="AO61" s="4940"/>
      <c r="AP61" s="718"/>
      <c r="AQ61" s="4933"/>
      <c r="AR61" s="4933"/>
      <c r="AS61" s="4940"/>
      <c r="AT61" s="718"/>
      <c r="AU61" s="4933"/>
      <c r="AV61" s="4933"/>
      <c r="AW61" s="4940"/>
      <c r="AX61" s="718"/>
      <c r="AY61" s="4933"/>
      <c r="AZ61" s="4933"/>
      <c r="BA61" s="4934"/>
      <c r="BB61" s="717"/>
      <c r="BC61" s="4938"/>
      <c r="BD61" s="429"/>
      <c r="BE61" s="4940"/>
      <c r="BF61" s="718"/>
    </row>
    <row r="62" spans="1:60" x14ac:dyDescent="0.3">
      <c r="A62" s="142"/>
      <c r="B62" s="790" t="s">
        <v>117</v>
      </c>
      <c r="C62" s="3204"/>
      <c r="D62" s="790"/>
      <c r="E62" s="744"/>
      <c r="F62" s="3127"/>
      <c r="G62" s="744"/>
      <c r="H62" s="3127"/>
      <c r="I62" s="652"/>
      <c r="J62" s="718"/>
      <c r="K62" s="744"/>
      <c r="L62" s="3127"/>
      <c r="M62" s="653"/>
      <c r="N62" s="717"/>
      <c r="O62" s="744"/>
      <c r="P62" s="3127"/>
      <c r="Q62" s="652"/>
      <c r="R62" s="718"/>
      <c r="S62" s="744"/>
      <c r="T62" s="3127"/>
      <c r="U62" s="652"/>
      <c r="V62" s="718"/>
      <c r="W62" s="744"/>
      <c r="X62" s="3127"/>
      <c r="Y62" s="653"/>
      <c r="Z62" s="653"/>
      <c r="AA62" s="733"/>
      <c r="AB62" s="429"/>
      <c r="AC62" s="744"/>
      <c r="AD62" s="3127"/>
      <c r="AE62" s="652"/>
      <c r="AF62" s="718"/>
      <c r="AG62" s="744"/>
      <c r="AH62" s="3127"/>
      <c r="AI62" s="652"/>
      <c r="AJ62" s="718"/>
      <c r="AK62" s="744"/>
      <c r="AL62" s="3127"/>
      <c r="AM62" s="653"/>
      <c r="AN62" s="717"/>
      <c r="AO62" s="652"/>
      <c r="AP62" s="718"/>
      <c r="AQ62" s="744"/>
      <c r="AR62" s="3127"/>
      <c r="AS62" s="652"/>
      <c r="AT62" s="718"/>
      <c r="AU62" s="744"/>
      <c r="AV62" s="3127"/>
      <c r="AW62" s="652"/>
      <c r="AX62" s="718"/>
      <c r="AY62" s="744"/>
      <c r="AZ62" s="3127"/>
      <c r="BA62" s="653"/>
      <c r="BB62" s="717"/>
      <c r="BC62" s="733"/>
      <c r="BD62" s="429"/>
      <c r="BE62" s="652"/>
      <c r="BF62" s="718"/>
    </row>
    <row r="63" spans="1:60" x14ac:dyDescent="0.3">
      <c r="A63" s="88"/>
      <c r="B63" s="926" t="s">
        <v>75</v>
      </c>
      <c r="C63" s="146" t="s">
        <v>50</v>
      </c>
      <c r="D63" s="5984">
        <f>+D7+D15+D23+D31</f>
        <v>2656000.3965460081</v>
      </c>
      <c r="E63" s="5984">
        <f>+E7+E15+E23+E31</f>
        <v>181916.95710934181</v>
      </c>
      <c r="F63" s="1031">
        <f>F7+F15+F31+F23</f>
        <v>118626.72</v>
      </c>
      <c r="G63" s="5984">
        <f>+G7+G15+G23+G31</f>
        <v>167917.49149549403</v>
      </c>
      <c r="H63" s="1031">
        <f>H7+H15+H31+H23</f>
        <v>56864.990000000005</v>
      </c>
      <c r="I63" s="5987">
        <f>E63+G63</f>
        <v>349834.44860483584</v>
      </c>
      <c r="J63" s="718">
        <f t="shared" si="1"/>
        <v>175491.71000000002</v>
      </c>
      <c r="K63" s="5984">
        <f>+K7+K15+K23+K31</f>
        <v>229000.11088311521</v>
      </c>
      <c r="L63" s="1031">
        <f>L7+L15+L31+L23</f>
        <v>0</v>
      </c>
      <c r="M63" s="6015">
        <f>I63+K63</f>
        <v>578834.55948795099</v>
      </c>
      <c r="N63" s="717">
        <f t="shared" si="2"/>
        <v>175491.71000000002</v>
      </c>
      <c r="O63" s="5984">
        <f>+O7+O15+O23+O31</f>
        <v>231500.1413553209</v>
      </c>
      <c r="P63" s="1031">
        <f>P7+P15+P31+P23</f>
        <v>0</v>
      </c>
      <c r="Q63" s="5987">
        <f>M63+O63</f>
        <v>810334.70084327192</v>
      </c>
      <c r="R63" s="718">
        <f t="shared" si="3"/>
        <v>175491.71000000002</v>
      </c>
      <c r="S63" s="5984">
        <f>+S7+S15+S23+S31</f>
        <v>231500.1413553209</v>
      </c>
      <c r="T63" s="1031">
        <f>T7+T15+T31+T23</f>
        <v>0</v>
      </c>
      <c r="U63" s="5987">
        <f>Q63+S63</f>
        <v>1041834.8421985928</v>
      </c>
      <c r="V63" s="718">
        <f t="shared" si="4"/>
        <v>175491.71000000002</v>
      </c>
      <c r="W63" s="5984">
        <f>+W7+W15+W23+W31</f>
        <v>121300.0147648532</v>
      </c>
      <c r="X63" s="1031">
        <f>X7+X15+X31+X23</f>
        <v>0</v>
      </c>
      <c r="Y63" s="6015">
        <f t="shared" ref="Y63:Y64" si="129">O63+S63+W63</f>
        <v>584300.29747549503</v>
      </c>
      <c r="Z63" s="6015">
        <f t="shared" ref="Z63:Z69" si="130">+P63+T63+X63</f>
        <v>0</v>
      </c>
      <c r="AA63" s="6002">
        <f>M63+Y63</f>
        <v>1163134.8569634459</v>
      </c>
      <c r="AB63" s="429">
        <f t="shared" ref="AB63:AB69" si="131">X63+V63</f>
        <v>175491.71000000002</v>
      </c>
      <c r="AC63" s="5984">
        <f>+AC7+AC15+AC23+AC31</f>
        <v>236499.5281597563</v>
      </c>
      <c r="AD63" s="1031">
        <f>AD7+AD15+AD31+AD23</f>
        <v>0</v>
      </c>
      <c r="AE63" s="5987">
        <f>AA63+AC63</f>
        <v>1399634.3851232021</v>
      </c>
      <c r="AF63" s="718">
        <f t="shared" si="6"/>
        <v>175491.71000000002</v>
      </c>
      <c r="AG63" s="5984">
        <f>+AG7+AG15+AG23+AG31</f>
        <v>228999.58845567459</v>
      </c>
      <c r="AH63" s="1031">
        <f>AH7+AH15+AH31+AH23</f>
        <v>0</v>
      </c>
      <c r="AI63" s="5987">
        <f>AE63+AG63</f>
        <v>1628633.9735788768</v>
      </c>
      <c r="AJ63" s="718">
        <f t="shared" si="7"/>
        <v>175491.71000000002</v>
      </c>
      <c r="AK63" s="5984">
        <f>+AK7+AK15+AK23+AK31</f>
        <v>236500.05424421642</v>
      </c>
      <c r="AL63" s="1031">
        <f>AL7+AL15+AL31+AL23</f>
        <v>0</v>
      </c>
      <c r="AM63" s="6015">
        <f t="shared" ref="AM63:AM64" si="132">AC63+AG63+AK63</f>
        <v>701999.17085964733</v>
      </c>
      <c r="AN63" s="717">
        <f t="shared" ref="AN63:AN69" si="133">+AD63+AH63+AL63</f>
        <v>0</v>
      </c>
      <c r="AO63" s="5987">
        <f>AK63+AI63</f>
        <v>1865134.0278230933</v>
      </c>
      <c r="AP63" s="718">
        <f>AL63+AJ63</f>
        <v>175491.71000000002</v>
      </c>
      <c r="AQ63" s="5984">
        <f>+AQ7+AQ15+AQ23+AQ31</f>
        <v>239999.66467846395</v>
      </c>
      <c r="AR63" s="1031">
        <f>AR7+AR15+AR31+AR23</f>
        <v>0</v>
      </c>
      <c r="AS63" s="5987">
        <f>AO63+AQ63</f>
        <v>2105133.6925015571</v>
      </c>
      <c r="AT63" s="718">
        <f t="shared" si="10"/>
        <v>175491.71000000002</v>
      </c>
      <c r="AU63" s="5984">
        <f>+AU7+AU15+AU23+AU31</f>
        <v>214000.01042920374</v>
      </c>
      <c r="AV63" s="1031">
        <f>AV7+AV15+AV31+AV23</f>
        <v>0</v>
      </c>
      <c r="AW63" s="5987">
        <f>AS63+AU63</f>
        <v>2319133.7029307606</v>
      </c>
      <c r="AX63" s="718">
        <f t="shared" si="11"/>
        <v>175491.71000000002</v>
      </c>
      <c r="AY63" s="5984">
        <f>+AY7+AY15+AY23+AY31</f>
        <v>239999.69076292397</v>
      </c>
      <c r="AZ63" s="1031">
        <f>AZ7+AZ15+AZ31+AZ23</f>
        <v>0</v>
      </c>
      <c r="BA63" s="6015">
        <f t="shared" ref="BA63:BA64" si="134">AQ63+AU63+AY63</f>
        <v>693999.36587059172</v>
      </c>
      <c r="BB63" s="717">
        <f t="shared" ref="BB63:BB69" si="135">+AR63+AV63+AZ63</f>
        <v>0</v>
      </c>
      <c r="BC63" s="6002">
        <f>AM63+BA63</f>
        <v>1395998.5367302392</v>
      </c>
      <c r="BD63" s="429">
        <f t="shared" si="13"/>
        <v>0</v>
      </c>
      <c r="BE63" s="5987">
        <f>AA63+BC63</f>
        <v>2559133.3936936851</v>
      </c>
      <c r="BF63" s="718">
        <f t="shared" si="14"/>
        <v>175491.71000000002</v>
      </c>
    </row>
    <row r="64" spans="1:60" x14ac:dyDescent="0.3">
      <c r="A64" s="88"/>
      <c r="B64" s="926" t="s">
        <v>76</v>
      </c>
      <c r="C64" s="146" t="s">
        <v>50</v>
      </c>
      <c r="D64" s="5986"/>
      <c r="E64" s="5986"/>
      <c r="F64" s="1031">
        <f>F8+F16+F32+F24</f>
        <v>74831.493000000017</v>
      </c>
      <c r="G64" s="5986"/>
      <c r="H64" s="1031">
        <f>H8+H16+H32+H24</f>
        <v>53166.081000000006</v>
      </c>
      <c r="I64" s="5989"/>
      <c r="J64" s="718">
        <f t="shared" si="1"/>
        <v>127997.57400000002</v>
      </c>
      <c r="K64" s="5986"/>
      <c r="L64" s="1031">
        <f>L8+L16+L32+L24</f>
        <v>0</v>
      </c>
      <c r="M64" s="6017"/>
      <c r="N64" s="717">
        <f t="shared" si="2"/>
        <v>127997.57400000002</v>
      </c>
      <c r="O64" s="5986"/>
      <c r="P64" s="1031">
        <f>P8+P16+P32+P24</f>
        <v>0</v>
      </c>
      <c r="Q64" s="5989"/>
      <c r="R64" s="718">
        <f t="shared" si="3"/>
        <v>127997.57400000002</v>
      </c>
      <c r="S64" s="5986"/>
      <c r="T64" s="1031">
        <f>T8+T16+T32+T24</f>
        <v>0</v>
      </c>
      <c r="U64" s="5989"/>
      <c r="V64" s="718">
        <f t="shared" si="4"/>
        <v>127997.57400000002</v>
      </c>
      <c r="W64" s="5986"/>
      <c r="X64" s="1031">
        <f>X8+X16+X32+X24</f>
        <v>0</v>
      </c>
      <c r="Y64" s="6017">
        <f t="shared" si="129"/>
        <v>0</v>
      </c>
      <c r="Z64" s="6017">
        <f t="shared" si="130"/>
        <v>0</v>
      </c>
      <c r="AA64" s="5815"/>
      <c r="AB64" s="429">
        <f t="shared" si="131"/>
        <v>127997.57400000002</v>
      </c>
      <c r="AC64" s="5986"/>
      <c r="AD64" s="1031">
        <f>AD8+AD16+AD32+AD24</f>
        <v>0</v>
      </c>
      <c r="AE64" s="5989"/>
      <c r="AF64" s="718">
        <f t="shared" si="6"/>
        <v>127997.57400000002</v>
      </c>
      <c r="AG64" s="5986"/>
      <c r="AH64" s="1031">
        <f>AH8+AH16+AH32+AH24</f>
        <v>0</v>
      </c>
      <c r="AI64" s="5989"/>
      <c r="AJ64" s="718">
        <f t="shared" si="7"/>
        <v>127997.57400000002</v>
      </c>
      <c r="AK64" s="5986"/>
      <c r="AL64" s="1031">
        <f>AL8+AL16+AL32+AL24</f>
        <v>0</v>
      </c>
      <c r="AM64" s="6017">
        <f t="shared" si="132"/>
        <v>0</v>
      </c>
      <c r="AN64" s="717">
        <f t="shared" si="133"/>
        <v>0</v>
      </c>
      <c r="AO64" s="5989"/>
      <c r="AP64" s="718">
        <f t="shared" ref="AP64:AP69" si="136">AL64+AJ64</f>
        <v>127997.57400000002</v>
      </c>
      <c r="AQ64" s="5986"/>
      <c r="AR64" s="1031">
        <f>AR8+AR16+AR32+AR24</f>
        <v>0</v>
      </c>
      <c r="AS64" s="5989"/>
      <c r="AT64" s="718">
        <f t="shared" si="10"/>
        <v>127997.57400000002</v>
      </c>
      <c r="AU64" s="5986"/>
      <c r="AV64" s="1031">
        <f>AV8+AV16+AV32+AV24</f>
        <v>0</v>
      </c>
      <c r="AW64" s="5989"/>
      <c r="AX64" s="718">
        <f t="shared" si="11"/>
        <v>127997.57400000002</v>
      </c>
      <c r="AY64" s="5986"/>
      <c r="AZ64" s="1031">
        <f>AZ8+AZ16+AZ32+AZ24</f>
        <v>0</v>
      </c>
      <c r="BA64" s="6017">
        <f t="shared" si="134"/>
        <v>0</v>
      </c>
      <c r="BB64" s="717">
        <f t="shared" si="135"/>
        <v>0</v>
      </c>
      <c r="BC64" s="5815"/>
      <c r="BD64" s="429">
        <f t="shared" si="13"/>
        <v>0</v>
      </c>
      <c r="BE64" s="5989"/>
      <c r="BF64" s="718">
        <f t="shared" si="14"/>
        <v>127997.57400000002</v>
      </c>
    </row>
    <row r="65" spans="1:61" x14ac:dyDescent="0.3">
      <c r="A65" s="88"/>
      <c r="B65" s="926" t="s">
        <v>136</v>
      </c>
      <c r="C65" s="146" t="s">
        <v>50</v>
      </c>
      <c r="D65" s="1031">
        <f>+D9+D17+D25+D33</f>
        <v>38000</v>
      </c>
      <c r="E65" s="1031">
        <f>+E9+E17+E25+E33</f>
        <v>0</v>
      </c>
      <c r="F65" s="1031">
        <f>F9+F17+F33+F25</f>
        <v>2999.0299999999993</v>
      </c>
      <c r="G65" s="1031">
        <f>+G9+G17+G25+G33</f>
        <v>0</v>
      </c>
      <c r="H65" s="1031">
        <f>H9+H17+H33+H25</f>
        <v>3791.1600000000008</v>
      </c>
      <c r="I65" s="718">
        <f>+E65+G65</f>
        <v>0</v>
      </c>
      <c r="J65" s="718">
        <f t="shared" si="1"/>
        <v>6790.1900000000005</v>
      </c>
      <c r="K65" s="1031">
        <f>+K9+K17+K25+K33</f>
        <v>0</v>
      </c>
      <c r="L65" s="1031">
        <f>L9+L17+L33+L25</f>
        <v>0</v>
      </c>
      <c r="M65" s="717">
        <f>+I65+K65</f>
        <v>0</v>
      </c>
      <c r="N65" s="717">
        <f t="shared" si="2"/>
        <v>6790.1900000000005</v>
      </c>
      <c r="O65" s="1031">
        <f>+O9+O17+O25+O33</f>
        <v>0</v>
      </c>
      <c r="P65" s="1031">
        <f>P9+P17+P33+P25</f>
        <v>0</v>
      </c>
      <c r="Q65" s="718">
        <f>+M65+O65</f>
        <v>0</v>
      </c>
      <c r="R65" s="718">
        <f t="shared" si="3"/>
        <v>6790.1900000000005</v>
      </c>
      <c r="S65" s="1031">
        <f>+S9+S17+S25+S33</f>
        <v>0</v>
      </c>
      <c r="T65" s="1031">
        <f>T9+T17+T33+T25</f>
        <v>0</v>
      </c>
      <c r="U65" s="718">
        <f>+Q65+S65</f>
        <v>0</v>
      </c>
      <c r="V65" s="718">
        <f t="shared" si="4"/>
        <v>6790.1900000000005</v>
      </c>
      <c r="W65" s="1031">
        <f>+W9+W17+W25+W33</f>
        <v>0</v>
      </c>
      <c r="X65" s="1031">
        <f>X9+X17+X33+X25</f>
        <v>0</v>
      </c>
      <c r="Y65" s="717">
        <f>O65+S65+W65</f>
        <v>0</v>
      </c>
      <c r="Z65" s="717">
        <f t="shared" si="130"/>
        <v>0</v>
      </c>
      <c r="AA65" s="429">
        <f>M65+Y65</f>
        <v>0</v>
      </c>
      <c r="AB65" s="429">
        <f t="shared" si="131"/>
        <v>6790.1900000000005</v>
      </c>
      <c r="AC65" s="1031">
        <f>+AC9+AC17+AC25+AC33</f>
        <v>0</v>
      </c>
      <c r="AD65" s="1031">
        <f>AD9+AD17+AD33+AD25</f>
        <v>0</v>
      </c>
      <c r="AE65" s="718">
        <f>+AA65+AC65</f>
        <v>0</v>
      </c>
      <c r="AF65" s="718">
        <f t="shared" si="6"/>
        <v>6790.1900000000005</v>
      </c>
      <c r="AG65" s="1031">
        <f>+AG9+AG17+AG25+AG33</f>
        <v>0</v>
      </c>
      <c r="AH65" s="1031">
        <f>AH9+AH17+AH33+AH25</f>
        <v>0</v>
      </c>
      <c r="AI65" s="718">
        <f>+AE65+AG65</f>
        <v>0</v>
      </c>
      <c r="AJ65" s="718">
        <f t="shared" si="7"/>
        <v>6790.1900000000005</v>
      </c>
      <c r="AK65" s="1031">
        <f>+AK9+AK17+AK25+AK33</f>
        <v>0</v>
      </c>
      <c r="AL65" s="1031">
        <f>AL9+AL17+AL33+AL25</f>
        <v>0</v>
      </c>
      <c r="AM65" s="717">
        <f>AC65+AG65+AK65</f>
        <v>0</v>
      </c>
      <c r="AN65" s="717">
        <f t="shared" si="133"/>
        <v>0</v>
      </c>
      <c r="AO65" s="718">
        <f>+AK65+AI65</f>
        <v>0</v>
      </c>
      <c r="AP65" s="718">
        <f t="shared" si="136"/>
        <v>6790.1900000000005</v>
      </c>
      <c r="AQ65" s="1031">
        <f>+AQ9+AQ17+AQ25+AQ33</f>
        <v>0</v>
      </c>
      <c r="AR65" s="1031">
        <f>AR9+AR17+AR33+AR25</f>
        <v>0</v>
      </c>
      <c r="AS65" s="718">
        <f>+AO65+AQ65</f>
        <v>0</v>
      </c>
      <c r="AT65" s="718">
        <f t="shared" si="10"/>
        <v>6790.1900000000005</v>
      </c>
      <c r="AU65" s="1031">
        <f>+AU9+AU17+AU25+AU33</f>
        <v>0</v>
      </c>
      <c r="AV65" s="1031">
        <f>AV9+AV17+AV33+AV25</f>
        <v>0</v>
      </c>
      <c r="AW65" s="718">
        <f>+AS65+AU65</f>
        <v>0</v>
      </c>
      <c r="AX65" s="718">
        <f t="shared" si="11"/>
        <v>6790.1900000000005</v>
      </c>
      <c r="AY65" s="1031">
        <f>+AY9+AY17+AY25+AY33</f>
        <v>0</v>
      </c>
      <c r="AZ65" s="1031">
        <f>AZ9+AZ17+AZ33+AZ25</f>
        <v>0</v>
      </c>
      <c r="BA65" s="717">
        <f>AQ65+AU65+AY65</f>
        <v>0</v>
      </c>
      <c r="BB65" s="717">
        <f t="shared" si="135"/>
        <v>0</v>
      </c>
      <c r="BC65" s="429">
        <f>AM65+BA65</f>
        <v>0</v>
      </c>
      <c r="BD65" s="429">
        <f t="shared" si="13"/>
        <v>0</v>
      </c>
      <c r="BE65" s="718">
        <f>+AA65+BC65</f>
        <v>0</v>
      </c>
      <c r="BF65" s="718">
        <f t="shared" si="14"/>
        <v>6790.1900000000005</v>
      </c>
    </row>
    <row r="66" spans="1:61" x14ac:dyDescent="0.3">
      <c r="A66" s="88"/>
      <c r="B66" s="5064" t="s">
        <v>2188</v>
      </c>
      <c r="C66" s="146" t="s">
        <v>50</v>
      </c>
      <c r="D66" s="5984">
        <f>+D10+D18+D26+D34</f>
        <v>16000</v>
      </c>
      <c r="E66" s="5984">
        <f>+E10+E18+E26+E34</f>
        <v>83</v>
      </c>
      <c r="F66" s="4928">
        <f t="shared" ref="F66" si="137">F10+F18+F26+F34</f>
        <v>0</v>
      </c>
      <c r="G66" s="5984">
        <f>+G10+G18+G26+G34</f>
        <v>83</v>
      </c>
      <c r="H66" s="4928">
        <f t="shared" ref="H66" si="138">H10+H18+H26+H34</f>
        <v>3477.3599999999997</v>
      </c>
      <c r="I66" s="5987">
        <f>+E66+G66</f>
        <v>166</v>
      </c>
      <c r="J66" s="718">
        <f t="shared" si="1"/>
        <v>3477.3599999999997</v>
      </c>
      <c r="K66" s="5984">
        <f>+K10+K18+K26+K34</f>
        <v>0</v>
      </c>
      <c r="L66" s="4928">
        <f t="shared" ref="L66" si="139">L10+L18+L26+L34</f>
        <v>0</v>
      </c>
      <c r="M66" s="6015">
        <f>+I66+K66</f>
        <v>166</v>
      </c>
      <c r="N66" s="717">
        <f t="shared" si="2"/>
        <v>3477.3599999999997</v>
      </c>
      <c r="O66" s="5984">
        <f>+O10+O18+O26+O34</f>
        <v>0</v>
      </c>
      <c r="P66" s="4928">
        <f t="shared" ref="P66" si="140">P10+P18+P26+P34</f>
        <v>0</v>
      </c>
      <c r="Q66" s="5987">
        <f>+M66+O66</f>
        <v>166</v>
      </c>
      <c r="R66" s="718">
        <f t="shared" si="3"/>
        <v>3477.3599999999997</v>
      </c>
      <c r="S66" s="5984">
        <f>+S10+S18+S26+S34</f>
        <v>0</v>
      </c>
      <c r="T66" s="4928">
        <f t="shared" ref="T66" si="141">T10+T18+T26+T34</f>
        <v>0</v>
      </c>
      <c r="U66" s="5987">
        <f>+Q66+S66</f>
        <v>166</v>
      </c>
      <c r="V66" s="718">
        <f t="shared" si="4"/>
        <v>3477.3599999999997</v>
      </c>
      <c r="W66" s="5984">
        <f>+W10+W18+W26+W34</f>
        <v>0</v>
      </c>
      <c r="X66" s="4928">
        <f t="shared" ref="X66" si="142">X10+X18+X26+X34</f>
        <v>0</v>
      </c>
      <c r="Y66" s="6015">
        <f>+O66+S66+W66</f>
        <v>0</v>
      </c>
      <c r="Z66" s="6015">
        <f t="shared" si="130"/>
        <v>0</v>
      </c>
      <c r="AA66" s="6002">
        <f>M66+Y66</f>
        <v>166</v>
      </c>
      <c r="AB66" s="429">
        <f t="shared" si="131"/>
        <v>3477.3599999999997</v>
      </c>
      <c r="AC66" s="5984">
        <f>+AC10+AC18+AC26+AC34</f>
        <v>0</v>
      </c>
      <c r="AD66" s="4928">
        <f t="shared" ref="AD66" si="143">AD10+AD18+AD26+AD34</f>
        <v>0</v>
      </c>
      <c r="AE66" s="5987">
        <f>+AA66+AC66</f>
        <v>166</v>
      </c>
      <c r="AF66" s="718">
        <f t="shared" si="6"/>
        <v>3477.3599999999997</v>
      </c>
      <c r="AG66" s="5984">
        <f>+AG10+AG18+AG26+AG34</f>
        <v>0</v>
      </c>
      <c r="AH66" s="4928">
        <f t="shared" ref="AH66" si="144">AH10+AH18+AH26+AH34</f>
        <v>0</v>
      </c>
      <c r="AI66" s="5987">
        <f>+AE66+AG66</f>
        <v>166</v>
      </c>
      <c r="AJ66" s="718">
        <f t="shared" si="7"/>
        <v>3477.3599999999997</v>
      </c>
      <c r="AK66" s="5984">
        <f>+AK10+AK18+AK26+AK34</f>
        <v>0</v>
      </c>
      <c r="AL66" s="4928">
        <f t="shared" ref="AL66" si="145">AL10+AL18+AL26+AL34</f>
        <v>0</v>
      </c>
      <c r="AM66" s="6015">
        <f>+AC66+AG66+AK66</f>
        <v>0</v>
      </c>
      <c r="AN66" s="717">
        <f t="shared" si="133"/>
        <v>0</v>
      </c>
      <c r="AO66" s="5987">
        <f>+AK66+AI66</f>
        <v>166</v>
      </c>
      <c r="AP66" s="718">
        <f t="shared" si="136"/>
        <v>3477.3599999999997</v>
      </c>
      <c r="AQ66" s="5984">
        <f>+AQ10+AQ18+AQ26+AQ34</f>
        <v>0</v>
      </c>
      <c r="AR66" s="4928">
        <f t="shared" ref="AR66" si="146">AR10+AR18+AR26+AR34</f>
        <v>0</v>
      </c>
      <c r="AS66" s="5987">
        <f>+AO66+AQ66</f>
        <v>166</v>
      </c>
      <c r="AT66" s="718">
        <f t="shared" si="10"/>
        <v>3477.3599999999997</v>
      </c>
      <c r="AU66" s="5984">
        <f>+AU10+AU18+AU26+AU34</f>
        <v>0</v>
      </c>
      <c r="AV66" s="4928">
        <f t="shared" ref="AV66" si="147">AV10+AV18+AV26+AV34</f>
        <v>2022.0800000000002</v>
      </c>
      <c r="AW66" s="5987">
        <f>+AS66+AU66</f>
        <v>166</v>
      </c>
      <c r="AX66" s="718">
        <f t="shared" si="11"/>
        <v>5499.44</v>
      </c>
      <c r="AY66" s="5984">
        <f>+AY10+AY18+AY26+AY34</f>
        <v>0</v>
      </c>
      <c r="AZ66" s="4928">
        <f t="shared" ref="AZ66" si="148">AZ10+AZ18+AZ26+AZ34</f>
        <v>2066.8999999999996</v>
      </c>
      <c r="BA66" s="6015">
        <f>+AQ66+AU66+AY66</f>
        <v>0</v>
      </c>
      <c r="BB66" s="717">
        <f t="shared" si="135"/>
        <v>4088.9799999999996</v>
      </c>
      <c r="BC66" s="6002">
        <f>AM66+BA66</f>
        <v>0</v>
      </c>
      <c r="BD66" s="429">
        <f t="shared" si="13"/>
        <v>4088.9799999999996</v>
      </c>
      <c r="BE66" s="5987">
        <f>+AA66+BC66</f>
        <v>166</v>
      </c>
      <c r="BF66" s="718">
        <f t="shared" si="14"/>
        <v>7566.3399999999992</v>
      </c>
    </row>
    <row r="67" spans="1:61" x14ac:dyDescent="0.3">
      <c r="A67" s="142"/>
      <c r="B67" s="926" t="s">
        <v>2186</v>
      </c>
      <c r="C67" s="146" t="s">
        <v>50</v>
      </c>
      <c r="D67" s="5985"/>
      <c r="E67" s="5985"/>
      <c r="F67" s="1031">
        <f>F11+F19+F35+F27</f>
        <v>1961.5</v>
      </c>
      <c r="G67" s="5985"/>
      <c r="H67" s="1031">
        <f>H11+H19+H35+H27</f>
        <v>380.3</v>
      </c>
      <c r="I67" s="5988"/>
      <c r="J67" s="718">
        <f t="shared" si="1"/>
        <v>2341.8000000000002</v>
      </c>
      <c r="K67" s="5985"/>
      <c r="L67" s="1031">
        <f>L11+L19+L35+L27</f>
        <v>3983.52</v>
      </c>
      <c r="M67" s="6016"/>
      <c r="N67" s="717">
        <f t="shared" si="2"/>
        <v>6325.32</v>
      </c>
      <c r="O67" s="5985"/>
      <c r="P67" s="1031">
        <f>P11+P19+P35+P27</f>
        <v>2025.24</v>
      </c>
      <c r="Q67" s="5988"/>
      <c r="R67" s="718">
        <f t="shared" si="3"/>
        <v>8350.56</v>
      </c>
      <c r="S67" s="5985"/>
      <c r="T67" s="1031">
        <f>T11+T19+T35+T27</f>
        <v>1895.72</v>
      </c>
      <c r="U67" s="5988"/>
      <c r="V67" s="718">
        <f t="shared" si="4"/>
        <v>10246.279999999999</v>
      </c>
      <c r="W67" s="5985"/>
      <c r="X67" s="1031">
        <f>X11+X19+X35+X27</f>
        <v>960.38000000000011</v>
      </c>
      <c r="Y67" s="6016">
        <f t="shared" ref="Y67:Y68" si="149">O67+S67+W67</f>
        <v>0</v>
      </c>
      <c r="Z67" s="6016">
        <f t="shared" si="130"/>
        <v>4881.34</v>
      </c>
      <c r="AA67" s="5814">
        <f>M67+Y67</f>
        <v>0</v>
      </c>
      <c r="AB67" s="429">
        <f t="shared" si="131"/>
        <v>11206.66</v>
      </c>
      <c r="AC67" s="5985"/>
      <c r="AD67" s="1031">
        <f>AD11+AD19+AD35+AD27</f>
        <v>4620.18</v>
      </c>
      <c r="AE67" s="5988"/>
      <c r="AF67" s="718">
        <f t="shared" si="6"/>
        <v>15826.84</v>
      </c>
      <c r="AG67" s="5985"/>
      <c r="AH67" s="1031">
        <f>AH11+AH19+AH35+AH27</f>
        <v>0</v>
      </c>
      <c r="AI67" s="5988"/>
      <c r="AJ67" s="718">
        <f t="shared" si="7"/>
        <v>15826.84</v>
      </c>
      <c r="AK67" s="5985"/>
      <c r="AL67" s="1031">
        <f>AL11+AL19+AL35+AL27</f>
        <v>0</v>
      </c>
      <c r="AM67" s="6016">
        <f t="shared" ref="AM67:AM69" si="150">AC67+AG67+AK67</f>
        <v>0</v>
      </c>
      <c r="AN67" s="717">
        <f t="shared" si="133"/>
        <v>4620.18</v>
      </c>
      <c r="AO67" s="5988"/>
      <c r="AP67" s="718">
        <f t="shared" si="136"/>
        <v>15826.84</v>
      </c>
      <c r="AQ67" s="5985"/>
      <c r="AR67" s="1031">
        <f>AR11+AR19+AR35+AR27</f>
        <v>0</v>
      </c>
      <c r="AS67" s="5988"/>
      <c r="AT67" s="718">
        <f t="shared" si="10"/>
        <v>15826.84</v>
      </c>
      <c r="AU67" s="5985"/>
      <c r="AV67" s="1031">
        <f>AV11+AV19+AV35+AV27</f>
        <v>0</v>
      </c>
      <c r="AW67" s="5988"/>
      <c r="AX67" s="718">
        <f t="shared" si="11"/>
        <v>15826.84</v>
      </c>
      <c r="AY67" s="5985"/>
      <c r="AZ67" s="1031">
        <f>AZ11+AZ19+AZ35+AZ27</f>
        <v>0</v>
      </c>
      <c r="BA67" s="6016">
        <f t="shared" ref="BA67:BA69" si="151">AQ67+AU67+AY67</f>
        <v>0</v>
      </c>
      <c r="BB67" s="717">
        <f t="shared" si="135"/>
        <v>0</v>
      </c>
      <c r="BC67" s="5814">
        <f>AO67+BA67</f>
        <v>0</v>
      </c>
      <c r="BD67" s="429">
        <f t="shared" si="13"/>
        <v>4620.18</v>
      </c>
      <c r="BE67" s="5988"/>
      <c r="BF67" s="718">
        <f t="shared" si="14"/>
        <v>15826.84</v>
      </c>
    </row>
    <row r="68" spans="1:61" x14ac:dyDescent="0.3">
      <c r="A68" s="88"/>
      <c r="B68" s="926" t="s">
        <v>2187</v>
      </c>
      <c r="C68" s="146" t="s">
        <v>50</v>
      </c>
      <c r="D68" s="5986"/>
      <c r="E68" s="5986"/>
      <c r="F68" s="1031">
        <f>F12+F20+F36+F28</f>
        <v>4003.85</v>
      </c>
      <c r="G68" s="5986"/>
      <c r="H68" s="1031">
        <f>H12+H20+H36+H28</f>
        <v>1783.23</v>
      </c>
      <c r="I68" s="5989"/>
      <c r="J68" s="718">
        <f t="shared" si="1"/>
        <v>5787.08</v>
      </c>
      <c r="K68" s="5986"/>
      <c r="L68" s="1031">
        <f>L12+L20+L36+L28</f>
        <v>2820.29</v>
      </c>
      <c r="M68" s="6017"/>
      <c r="N68" s="717">
        <f t="shared" si="2"/>
        <v>8607.369999999999</v>
      </c>
      <c r="O68" s="5986"/>
      <c r="P68" s="1031">
        <f>P12+P20+P36+P28</f>
        <v>1840.1200000000001</v>
      </c>
      <c r="Q68" s="5989"/>
      <c r="R68" s="718">
        <f t="shared" si="3"/>
        <v>10447.49</v>
      </c>
      <c r="S68" s="5986"/>
      <c r="T68" s="1031">
        <f>T12+T20+T36+T28</f>
        <v>4123.17</v>
      </c>
      <c r="U68" s="5989"/>
      <c r="V68" s="718">
        <f t="shared" si="4"/>
        <v>14570.66</v>
      </c>
      <c r="W68" s="5986"/>
      <c r="X68" s="1031">
        <f>X12+X20+X36+X28</f>
        <v>3724.98</v>
      </c>
      <c r="Y68" s="6017">
        <f t="shared" si="149"/>
        <v>0</v>
      </c>
      <c r="Z68" s="6017">
        <f t="shared" si="130"/>
        <v>9688.27</v>
      </c>
      <c r="AA68" s="5815">
        <f>M68+Y68</f>
        <v>0</v>
      </c>
      <c r="AB68" s="429">
        <f t="shared" si="131"/>
        <v>18295.64</v>
      </c>
      <c r="AC68" s="5986"/>
      <c r="AD68" s="1031">
        <f>AD12+AD20+AD36+AD28</f>
        <v>601.74</v>
      </c>
      <c r="AE68" s="5989"/>
      <c r="AF68" s="718">
        <f t="shared" si="6"/>
        <v>18897.38</v>
      </c>
      <c r="AG68" s="5986"/>
      <c r="AH68" s="1031">
        <f>AH12+AH20+AH36+AH28</f>
        <v>0</v>
      </c>
      <c r="AI68" s="5989"/>
      <c r="AJ68" s="718">
        <f t="shared" si="7"/>
        <v>18897.38</v>
      </c>
      <c r="AK68" s="5986"/>
      <c r="AL68" s="1031">
        <f>AL12+AL20+AL36+AL28</f>
        <v>2959.9700000000003</v>
      </c>
      <c r="AM68" s="6017">
        <f t="shared" si="150"/>
        <v>0</v>
      </c>
      <c r="AN68" s="717">
        <f t="shared" si="133"/>
        <v>3561.71</v>
      </c>
      <c r="AO68" s="5989"/>
      <c r="AP68" s="718">
        <f t="shared" si="136"/>
        <v>21857.350000000002</v>
      </c>
      <c r="AQ68" s="5986"/>
      <c r="AR68" s="1031">
        <f>AR12+AR20+AR36+AR28</f>
        <v>5867.05</v>
      </c>
      <c r="AS68" s="5989"/>
      <c r="AT68" s="718">
        <f t="shared" si="10"/>
        <v>27724.400000000001</v>
      </c>
      <c r="AU68" s="5986"/>
      <c r="AV68" s="1031">
        <f>AV12+AV20+AV36+AV28</f>
        <v>3622.1200000000003</v>
      </c>
      <c r="AW68" s="5989"/>
      <c r="AX68" s="718">
        <f t="shared" si="11"/>
        <v>31346.52</v>
      </c>
      <c r="AY68" s="5986"/>
      <c r="AZ68" s="1031">
        <f>AZ12+AZ20+AZ36+AZ28</f>
        <v>3701.69</v>
      </c>
      <c r="BA68" s="6017">
        <f t="shared" si="151"/>
        <v>0</v>
      </c>
      <c r="BB68" s="717">
        <f t="shared" si="135"/>
        <v>13190.86</v>
      </c>
      <c r="BC68" s="5815">
        <f>AO68+BA68</f>
        <v>0</v>
      </c>
      <c r="BD68" s="429">
        <f t="shared" si="13"/>
        <v>16752.57</v>
      </c>
      <c r="BE68" s="5989"/>
      <c r="BF68" s="718">
        <f t="shared" si="14"/>
        <v>35048.21</v>
      </c>
    </row>
    <row r="69" spans="1:61" x14ac:dyDescent="0.3">
      <c r="A69" s="88"/>
      <c r="B69" s="3123" t="s">
        <v>2</v>
      </c>
      <c r="C69" s="146" t="s">
        <v>50</v>
      </c>
      <c r="D69" s="421">
        <f>SUM(D63:D68)</f>
        <v>2710000.3965460081</v>
      </c>
      <c r="E69" s="421">
        <f>SUM(E63:E68)</f>
        <v>181999.95710934181</v>
      </c>
      <c r="F69" s="421">
        <f t="shared" ref="F69" si="152">SUM(F63:F68)</f>
        <v>202422.59300000002</v>
      </c>
      <c r="G69" s="421">
        <f>SUM(G63:G68)</f>
        <v>168000.49149549403</v>
      </c>
      <c r="H69" s="421">
        <f t="shared" ref="H69" si="153">SUM(H63:H68)</f>
        <v>119463.12100000001</v>
      </c>
      <c r="I69" s="344">
        <f>+E69+G69</f>
        <v>350000.44860483584</v>
      </c>
      <c r="J69" s="718">
        <f t="shared" si="1"/>
        <v>321885.71400000004</v>
      </c>
      <c r="K69" s="421">
        <f>SUM(K63:K68)</f>
        <v>229000.11088311521</v>
      </c>
      <c r="L69" s="421">
        <f t="shared" ref="L69" si="154">SUM(L63:L68)</f>
        <v>6803.8099999999995</v>
      </c>
      <c r="M69" s="346">
        <f>+I69+K69</f>
        <v>579000.55948795099</v>
      </c>
      <c r="N69" s="717">
        <f t="shared" si="2"/>
        <v>328689.52400000003</v>
      </c>
      <c r="O69" s="421">
        <f>SUM(O63:O68)</f>
        <v>231500.1413553209</v>
      </c>
      <c r="P69" s="421">
        <f t="shared" ref="P69" si="155">SUM(P63:P68)</f>
        <v>3865.36</v>
      </c>
      <c r="Q69" s="344">
        <f>+M69+O69</f>
        <v>810500.70084327192</v>
      </c>
      <c r="R69" s="718">
        <f t="shared" si="3"/>
        <v>332554.88400000002</v>
      </c>
      <c r="S69" s="421">
        <f>SUM(S63:S68)</f>
        <v>231500.1413553209</v>
      </c>
      <c r="T69" s="421">
        <f t="shared" ref="T69" si="156">SUM(T63:T68)</f>
        <v>6018.89</v>
      </c>
      <c r="U69" s="344">
        <f>+Q69+S69</f>
        <v>1042000.8421985928</v>
      </c>
      <c r="V69" s="718">
        <f t="shared" si="4"/>
        <v>338573.77400000003</v>
      </c>
      <c r="W69" s="421">
        <f>SUM(W63:W68)</f>
        <v>121300.0147648532</v>
      </c>
      <c r="X69" s="421">
        <f t="shared" ref="X69" si="157">SUM(X63:X68)</f>
        <v>4685.3600000000006</v>
      </c>
      <c r="Y69" s="346">
        <f t="shared" ref="Y69" si="158">O69+S69+W69</f>
        <v>584300.29747549503</v>
      </c>
      <c r="Z69" s="346">
        <f t="shared" si="130"/>
        <v>14569.61</v>
      </c>
      <c r="AA69" s="502">
        <f>M69+Y69</f>
        <v>1163300.8569634459</v>
      </c>
      <c r="AB69" s="429">
        <f t="shared" si="131"/>
        <v>343259.13400000002</v>
      </c>
      <c r="AC69" s="421">
        <f>SUM(AC63:AC68)</f>
        <v>236499.5281597563</v>
      </c>
      <c r="AD69" s="421">
        <f t="shared" ref="AD69" si="159">SUM(AD63:AD68)</f>
        <v>5221.92</v>
      </c>
      <c r="AE69" s="344">
        <f>+AA69+AC69</f>
        <v>1399800.3851232021</v>
      </c>
      <c r="AF69" s="718">
        <f t="shared" si="6"/>
        <v>348481.054</v>
      </c>
      <c r="AG69" s="421">
        <f>SUM(AG63:AG68)</f>
        <v>228999.58845567459</v>
      </c>
      <c r="AH69" s="421">
        <f t="shared" ref="AH69" si="160">SUM(AH63:AH68)</f>
        <v>0</v>
      </c>
      <c r="AI69" s="344">
        <f>+AE69+AG69</f>
        <v>1628799.9735788768</v>
      </c>
      <c r="AJ69" s="718">
        <f t="shared" si="7"/>
        <v>348481.054</v>
      </c>
      <c r="AK69" s="421">
        <f>SUM(AK63:AK68)</f>
        <v>236500.05424421642</v>
      </c>
      <c r="AL69" s="421">
        <f t="shared" ref="AL69" si="161">SUM(AL63:AL68)</f>
        <v>2959.9700000000003</v>
      </c>
      <c r="AM69" s="346">
        <f t="shared" si="150"/>
        <v>701999.17085964733</v>
      </c>
      <c r="AN69" s="717">
        <f t="shared" si="133"/>
        <v>8181.89</v>
      </c>
      <c r="AO69" s="344">
        <f>+AK69+AI69</f>
        <v>1865300.0278230933</v>
      </c>
      <c r="AP69" s="718">
        <f t="shared" si="136"/>
        <v>351441.02399999998</v>
      </c>
      <c r="AQ69" s="421">
        <f>SUM(AQ63:AQ68)</f>
        <v>239999.66467846395</v>
      </c>
      <c r="AR69" s="421">
        <f t="shared" ref="AR69" si="162">SUM(AR63:AR68)</f>
        <v>5867.05</v>
      </c>
      <c r="AS69" s="344">
        <f>+AO69+AQ69</f>
        <v>2105299.6925015571</v>
      </c>
      <c r="AT69" s="718">
        <f t="shared" si="10"/>
        <v>357308.07399999996</v>
      </c>
      <c r="AU69" s="421">
        <f>SUM(AU63:AU68)</f>
        <v>214000.01042920374</v>
      </c>
      <c r="AV69" s="421">
        <f t="shared" ref="AV69" si="163">SUM(AV63:AV68)</f>
        <v>5644.2000000000007</v>
      </c>
      <c r="AW69" s="344">
        <f>+AS69+AU69</f>
        <v>2319299.7029307606</v>
      </c>
      <c r="AX69" s="718">
        <f t="shared" si="11"/>
        <v>362952.27399999998</v>
      </c>
      <c r="AY69" s="421">
        <f>SUM(AY63:AY68)</f>
        <v>239999.69076292397</v>
      </c>
      <c r="AZ69" s="421">
        <f t="shared" ref="AZ69" si="164">SUM(AZ63:AZ68)</f>
        <v>5768.59</v>
      </c>
      <c r="BA69" s="346">
        <f t="shared" si="151"/>
        <v>693999.36587059172</v>
      </c>
      <c r="BB69" s="717">
        <f t="shared" si="135"/>
        <v>17279.84</v>
      </c>
      <c r="BC69" s="502">
        <f>AM69+BA69</f>
        <v>1395998.5367302392</v>
      </c>
      <c r="BD69" s="429">
        <f t="shared" si="13"/>
        <v>25461.73</v>
      </c>
      <c r="BE69" s="344">
        <f>+AA69+BC69</f>
        <v>2559299.3936936851</v>
      </c>
      <c r="BF69" s="718">
        <f t="shared" si="14"/>
        <v>368720.864</v>
      </c>
    </row>
    <row r="70" spans="1:61" x14ac:dyDescent="0.3">
      <c r="A70" s="88"/>
      <c r="B70" s="3126" t="s">
        <v>2387</v>
      </c>
      <c r="C70" s="192" t="s">
        <v>49</v>
      </c>
      <c r="D70" s="744"/>
      <c r="E70" s="195"/>
      <c r="F70" s="195">
        <f>+((F63+F65+F67+F68+F66)/F69)*100</f>
        <v>63.032045044497579</v>
      </c>
      <c r="G70" s="195"/>
      <c r="H70" s="195">
        <f>+((H63+H65+H67+H68+H66)/H69)*100</f>
        <v>55.495821174804227</v>
      </c>
      <c r="I70" s="3128"/>
      <c r="J70" s="3128">
        <f>+((J63+J65+J67+J68+J66)/J69)*100</f>
        <v>60.235087040861956</v>
      </c>
      <c r="K70" s="195"/>
      <c r="L70" s="195">
        <f>+((L63+L65+L67+L68+L66)/L69)*100</f>
        <v>100</v>
      </c>
      <c r="M70" s="576"/>
      <c r="N70" s="576">
        <f>+((N63+N65+N67+N68+N66)/N69)*100</f>
        <v>61.058213099605808</v>
      </c>
      <c r="O70" s="195"/>
      <c r="P70" s="195">
        <f>+((P63+P65+P67+P68+P66)/P69)*100</f>
        <v>100</v>
      </c>
      <c r="Q70" s="3128"/>
      <c r="R70" s="3128">
        <f>+((R63+R65+R67+R68+R66)/R69)*100</f>
        <v>61.510842222362307</v>
      </c>
      <c r="S70" s="195"/>
      <c r="T70" s="195">
        <f>+((T63+T65+T67+T68+T66)/T69)*100</f>
        <v>100</v>
      </c>
      <c r="U70" s="3128"/>
      <c r="V70" s="3128">
        <f>+((V63+V65+V67+V68+V66)/V69)*100</f>
        <v>62.19507125794096</v>
      </c>
      <c r="W70" s="195"/>
      <c r="X70" s="195">
        <f>+((X63+X65+X67+X68+X66)/X69)*100</f>
        <v>100</v>
      </c>
      <c r="Y70" s="576"/>
      <c r="Z70" s="576">
        <f>+((Z63+Z65+Z67+Z68+Z66)/Z69)*100</f>
        <v>100</v>
      </c>
      <c r="AA70" s="5070"/>
      <c r="AB70" s="5070">
        <f>+((AB63+AB65+AB67+AB68+AB66)/AB69)*100</f>
        <v>62.711094528368761</v>
      </c>
      <c r="AC70" s="195"/>
      <c r="AD70" s="195">
        <f>+((AD63+AD65+AD67+AD68+AD66)/AD69)*100</f>
        <v>100</v>
      </c>
      <c r="AE70" s="3128"/>
      <c r="AF70" s="3128">
        <f>+((AF63+AF65+AF67+AF68+AF66)/AF69)*100</f>
        <v>63.26986143700082</v>
      </c>
      <c r="AG70" s="195"/>
      <c r="AH70" s="195" t="e">
        <f>+((AH63+AH65+AH67+AH68+AH66)/AH69)*100</f>
        <v>#DIV/0!</v>
      </c>
      <c r="AI70" s="3128"/>
      <c r="AJ70" s="3128">
        <f>+((AJ63+AJ65+AJ67+AJ68+AJ66)/AJ69)*100</f>
        <v>63.26986143700082</v>
      </c>
      <c r="AK70" s="195"/>
      <c r="AL70" s="195">
        <f>+((AL63+AL65+AL67+AL68+AL66)/AL69)*100</f>
        <v>100</v>
      </c>
      <c r="AM70" s="576"/>
      <c r="AN70" s="576">
        <f>+((AN63+AN65+AN67+AN68+AN66)/AN69)*100</f>
        <v>100</v>
      </c>
      <c r="AO70" s="3128"/>
      <c r="AP70" s="3128">
        <f>+((AP63+AP65+AP67+AP68+AP66)/AP69)*100</f>
        <v>63.579216636928535</v>
      </c>
      <c r="AQ70" s="195"/>
      <c r="AR70" s="195">
        <f>+((AR63+AR65+AR67+AR68+AR66)/AR69)*100</f>
        <v>100</v>
      </c>
      <c r="AS70" s="3128"/>
      <c r="AT70" s="3128">
        <f>+((AT63+AT65+AT67+AT68+AT66)/AT69)*100</f>
        <v>64.177251141545725</v>
      </c>
      <c r="AU70" s="195"/>
      <c r="AV70" s="195">
        <f>+((AV63+AV65+AV67+AV68+AV66)/AV69)*100</f>
        <v>100</v>
      </c>
      <c r="AW70" s="3128"/>
      <c r="AX70" s="3128">
        <f>+((AX63+AX65+AX67+AX68+AX66)/AX69)*100</f>
        <v>64.734323719927986</v>
      </c>
      <c r="AY70" s="195"/>
      <c r="AZ70" s="195">
        <f>+((AZ63+AZ65+AZ67+AZ68+AZ66)/AZ69)*100</f>
        <v>100</v>
      </c>
      <c r="BA70" s="576"/>
      <c r="BB70" s="576">
        <f>+((BB63+BB65+BB67+BB68+BB66)/BB69)*100</f>
        <v>100</v>
      </c>
      <c r="BC70" s="5070"/>
      <c r="BD70" s="5070">
        <f t="shared" ref="BD70:BF70" si="165">+((BD63+BD65+BD67+BD68+BD66)/BD69)*100</f>
        <v>100</v>
      </c>
      <c r="BE70" s="3128"/>
      <c r="BF70" s="3128">
        <f t="shared" si="165"/>
        <v>65.286050642363435</v>
      </c>
    </row>
    <row r="71" spans="1:61" x14ac:dyDescent="0.3">
      <c r="A71" s="88"/>
      <c r="B71" s="3126" t="s">
        <v>2388</v>
      </c>
      <c r="C71" s="192" t="s">
        <v>49</v>
      </c>
      <c r="D71" s="5548"/>
      <c r="E71" s="5549"/>
      <c r="F71" s="195">
        <f>+(F63+F65)*100/F69</f>
        <v>60.085066690159429</v>
      </c>
      <c r="G71" s="5549"/>
      <c r="H71" s="195">
        <f>+(H63+H65)*100/H69</f>
        <v>50.773953913358753</v>
      </c>
      <c r="I71" s="5550"/>
      <c r="J71" s="3128">
        <f>+(J63+J65)*100/J69</f>
        <v>56.629384925110415</v>
      </c>
      <c r="K71" s="5549"/>
      <c r="L71" s="195">
        <f>+(L63+L65)*100/L69</f>
        <v>0</v>
      </c>
      <c r="M71" s="5551"/>
      <c r="N71" s="576">
        <f>+(N63+N65)*100/N69</f>
        <v>55.457167536620368</v>
      </c>
      <c r="O71" s="5549"/>
      <c r="P71" s="195">
        <f>+(P63+P65)*100/P69</f>
        <v>0</v>
      </c>
      <c r="Q71" s="5550"/>
      <c r="R71" s="3128">
        <f>+(R63+R65)*100/R69</f>
        <v>54.812576440765795</v>
      </c>
      <c r="S71" s="5549"/>
      <c r="T71" s="195">
        <f>+(T63+T65)*100/T69</f>
        <v>0</v>
      </c>
      <c r="U71" s="5550"/>
      <c r="V71" s="3128">
        <f>+(V63+V65)*100/V69</f>
        <v>53.838162905080779</v>
      </c>
      <c r="W71" s="5549"/>
      <c r="X71" s="195">
        <f>+(X63+X65)*100/X69</f>
        <v>0</v>
      </c>
      <c r="Y71" s="5551"/>
      <c r="Z71" s="5551">
        <f>+(Z63+Z65)*100/Z69</f>
        <v>0</v>
      </c>
      <c r="AA71" s="5552"/>
      <c r="AB71" s="5070">
        <f>+(AB63+AB65)*100/AB69</f>
        <v>53.103291928715301</v>
      </c>
      <c r="AC71" s="5549"/>
      <c r="AD71" s="195">
        <f>+(AD63+AD65)*100/AD69</f>
        <v>0</v>
      </c>
      <c r="AE71" s="5550"/>
      <c r="AF71" s="3128">
        <f>+(AF63+AF65)*100/AF69</f>
        <v>52.307549551890425</v>
      </c>
      <c r="AG71" s="5549"/>
      <c r="AH71" s="195" t="e">
        <f>+(AH63+AH65)*100/AH69</f>
        <v>#DIV/0!</v>
      </c>
      <c r="AI71" s="5550"/>
      <c r="AJ71" s="3128">
        <f>+(AJ63+AJ65)*100/AJ69</f>
        <v>52.307549551890425</v>
      </c>
      <c r="AK71" s="5549"/>
      <c r="AL71" s="195">
        <f>+(AL63+AL65)*100/AL69</f>
        <v>0</v>
      </c>
      <c r="AM71" s="5551"/>
      <c r="AN71" s="576">
        <f>+(AN63+AN65)*100/AN69</f>
        <v>0</v>
      </c>
      <c r="AO71" s="5550"/>
      <c r="AP71" s="3128">
        <f>+(AP63+AP65)*100/AP69</f>
        <v>51.866995470625547</v>
      </c>
      <c r="AQ71" s="5549"/>
      <c r="AR71" s="195">
        <f>+(AR63+AR65)*100/AR69</f>
        <v>0</v>
      </c>
      <c r="AS71" s="5550"/>
      <c r="AT71" s="3128">
        <f>+(AT63+AT65)*100/AT69</f>
        <v>51.015331940134118</v>
      </c>
      <c r="AU71" s="5549"/>
      <c r="AV71" s="195">
        <f>+(AV63+AV65)*100/AV69</f>
        <v>0</v>
      </c>
      <c r="AW71" s="5550"/>
      <c r="AX71" s="3128">
        <f>+(AX63+AX65)*100/AX69</f>
        <v>50.222002466362852</v>
      </c>
      <c r="AY71" s="5549"/>
      <c r="AZ71" s="195">
        <f>+(AZ63+AZ65)*100/AZ69</f>
        <v>0</v>
      </c>
      <c r="BA71" s="5551"/>
      <c r="BB71" s="576">
        <f>+(BB63+BB65)*100/BB69</f>
        <v>0</v>
      </c>
      <c r="BC71" s="5552"/>
      <c r="BD71" s="5070">
        <f t="shared" ref="BD71:BF71" si="166">+(BD63+BD65)*100/BD69</f>
        <v>0</v>
      </c>
      <c r="BE71" s="5550"/>
      <c r="BF71" s="3128">
        <f t="shared" si="166"/>
        <v>49.43628576439874</v>
      </c>
    </row>
    <row r="72" spans="1:61" x14ac:dyDescent="0.3">
      <c r="A72" s="88"/>
      <c r="B72" s="5063"/>
      <c r="C72" s="5076"/>
      <c r="D72" s="5548"/>
      <c r="E72" s="5549"/>
      <c r="F72" s="5549"/>
      <c r="G72" s="5549"/>
      <c r="H72" s="5549"/>
      <c r="I72" s="5550"/>
      <c r="J72" s="5549"/>
      <c r="K72" s="5549"/>
      <c r="L72" s="5549"/>
      <c r="M72" s="5551"/>
      <c r="N72" s="5551"/>
      <c r="O72" s="5549"/>
      <c r="P72" s="5549"/>
      <c r="Q72" s="5550"/>
      <c r="R72" s="5549"/>
      <c r="S72" s="5549"/>
      <c r="T72" s="5549"/>
      <c r="U72" s="5550"/>
      <c r="V72" s="5549"/>
      <c r="W72" s="5549"/>
      <c r="X72" s="5549"/>
      <c r="Y72" s="5551"/>
      <c r="Z72" s="5551"/>
      <c r="AA72" s="5552"/>
      <c r="AB72" s="5552"/>
      <c r="AC72" s="5549"/>
      <c r="AD72" s="5549"/>
      <c r="AE72" s="5550"/>
      <c r="AF72" s="5549"/>
      <c r="AG72" s="5549"/>
      <c r="AH72" s="5549"/>
      <c r="AI72" s="5550"/>
      <c r="AJ72" s="5549"/>
      <c r="AK72" s="5549"/>
      <c r="AL72" s="5549"/>
      <c r="AM72" s="5551"/>
      <c r="AN72" s="5551"/>
      <c r="AO72" s="5550"/>
      <c r="AP72" s="5549"/>
      <c r="AQ72" s="5549"/>
      <c r="AR72" s="5549"/>
      <c r="AS72" s="5550"/>
      <c r="AT72" s="5549"/>
      <c r="AU72" s="5549"/>
      <c r="AV72" s="5549"/>
      <c r="AW72" s="5550"/>
      <c r="AX72" s="5549"/>
      <c r="AY72" s="5549"/>
      <c r="AZ72" s="5549"/>
      <c r="BA72" s="5551"/>
      <c r="BB72" s="5551"/>
      <c r="BC72" s="5552"/>
      <c r="BD72" s="429"/>
      <c r="BE72" s="5550"/>
      <c r="BF72" s="718"/>
    </row>
    <row r="73" spans="1:61" x14ac:dyDescent="0.3">
      <c r="A73" s="142"/>
      <c r="B73" s="790" t="s">
        <v>139</v>
      </c>
      <c r="C73" s="3204"/>
      <c r="D73" s="790"/>
      <c r="E73" s="744"/>
      <c r="F73" s="790"/>
      <c r="G73" s="744"/>
      <c r="H73" s="790"/>
      <c r="I73" s="652"/>
      <c r="J73" s="718"/>
      <c r="K73" s="744"/>
      <c r="L73" s="790"/>
      <c r="M73" s="653"/>
      <c r="N73" s="717"/>
      <c r="O73" s="744"/>
      <c r="P73" s="790"/>
      <c r="Q73" s="652"/>
      <c r="R73" s="718"/>
      <c r="S73" s="744"/>
      <c r="T73" s="790"/>
      <c r="U73" s="652"/>
      <c r="V73" s="718"/>
      <c r="W73" s="744"/>
      <c r="X73" s="790"/>
      <c r="Y73" s="653"/>
      <c r="Z73" s="653"/>
      <c r="AA73" s="733"/>
      <c r="AB73" s="429"/>
      <c r="AC73" s="744"/>
      <c r="AD73" s="790"/>
      <c r="AE73" s="652"/>
      <c r="AF73" s="718"/>
      <c r="AG73" s="744"/>
      <c r="AH73" s="790"/>
      <c r="AI73" s="652"/>
      <c r="AJ73" s="718"/>
      <c r="AK73" s="744"/>
      <c r="AL73" s="790"/>
      <c r="AM73" s="653"/>
      <c r="AN73" s="717"/>
      <c r="AO73" s="652"/>
      <c r="AP73" s="718"/>
      <c r="AQ73" s="744"/>
      <c r="AR73" s="790"/>
      <c r="AS73" s="652"/>
      <c r="AT73" s="718"/>
      <c r="AU73" s="744"/>
      <c r="AV73" s="790"/>
      <c r="AW73" s="652"/>
      <c r="AX73" s="718"/>
      <c r="AY73" s="744"/>
      <c r="AZ73" s="790"/>
      <c r="BA73" s="653"/>
      <c r="BB73" s="717"/>
      <c r="BC73" s="733"/>
      <c r="BD73" s="429"/>
      <c r="BE73" s="652"/>
      <c r="BF73" s="718"/>
    </row>
    <row r="74" spans="1:61" x14ac:dyDescent="0.3">
      <c r="A74" s="88"/>
      <c r="B74" s="926" t="s">
        <v>114</v>
      </c>
      <c r="C74" s="146" t="s">
        <v>50</v>
      </c>
      <c r="D74" s="1094">
        <f>+D13</f>
        <v>520000</v>
      </c>
      <c r="E74" s="1094">
        <f>+E13</f>
        <v>36500</v>
      </c>
      <c r="F74" s="1094">
        <f>+F13</f>
        <v>41076.229999999996</v>
      </c>
      <c r="G74" s="1094">
        <f>+G13</f>
        <v>37500</v>
      </c>
      <c r="H74" s="1094">
        <f>+H13</f>
        <v>29366.281999999999</v>
      </c>
      <c r="I74" s="718">
        <f t="shared" ref="I74:I78" si="167">E74+G74</f>
        <v>74000</v>
      </c>
      <c r="J74" s="718">
        <f t="shared" ref="J74:J87" si="168">F74+H74</f>
        <v>70442.511999999988</v>
      </c>
      <c r="K74" s="1094">
        <f>+K13</f>
        <v>42500</v>
      </c>
      <c r="L74" s="1094">
        <f>+L13</f>
        <v>0</v>
      </c>
      <c r="M74" s="717">
        <f t="shared" ref="M74:M78" si="169">I74+K74</f>
        <v>116500</v>
      </c>
      <c r="N74" s="717">
        <f t="shared" ref="N74:N137" si="170">J74+L74</f>
        <v>70442.511999999988</v>
      </c>
      <c r="O74" s="1094">
        <f>+O13</f>
        <v>44000</v>
      </c>
      <c r="P74" s="1094">
        <f>+P13</f>
        <v>0</v>
      </c>
      <c r="Q74" s="718">
        <f t="shared" ref="Q74:Q78" si="171">M74+O74</f>
        <v>160500</v>
      </c>
      <c r="R74" s="718">
        <f t="shared" ref="R74:R89" si="172">N74+P74</f>
        <v>70442.511999999988</v>
      </c>
      <c r="S74" s="1094">
        <f>+S13</f>
        <v>44000</v>
      </c>
      <c r="T74" s="1094">
        <f>+T13</f>
        <v>0</v>
      </c>
      <c r="U74" s="718">
        <f t="shared" ref="U74:U78" si="173">Q74+S74</f>
        <v>204500</v>
      </c>
      <c r="V74" s="718">
        <f t="shared" ref="V74:V89" si="174">R74+T74</f>
        <v>70442.511999999988</v>
      </c>
      <c r="W74" s="1094">
        <f>+W13</f>
        <v>25000</v>
      </c>
      <c r="X74" s="1094">
        <f>+X13</f>
        <v>0</v>
      </c>
      <c r="Y74" s="717">
        <f>O74+S74+W74</f>
        <v>113000</v>
      </c>
      <c r="Z74" s="717">
        <f t="shared" ref="Z74:Z78" si="175">+P74+T74+X74</f>
        <v>0</v>
      </c>
      <c r="AA74" s="429">
        <f t="shared" ref="AA74:AA78" si="176">M74+Y74</f>
        <v>229500</v>
      </c>
      <c r="AB74" s="429">
        <f>X74+V74</f>
        <v>70442.511999999988</v>
      </c>
      <c r="AC74" s="1094">
        <f>+AC13</f>
        <v>42500</v>
      </c>
      <c r="AD74" s="1094">
        <f>+AD13</f>
        <v>0</v>
      </c>
      <c r="AE74" s="718">
        <f t="shared" ref="AE74:AE78" si="177">AA74+AC74</f>
        <v>272000</v>
      </c>
      <c r="AF74" s="718">
        <f t="shared" ref="AF74:AF89" si="178">AB74+AD74</f>
        <v>70442.511999999988</v>
      </c>
      <c r="AG74" s="1094">
        <f>+AG13</f>
        <v>42500</v>
      </c>
      <c r="AH74" s="1094">
        <f>+AH13</f>
        <v>0</v>
      </c>
      <c r="AI74" s="718">
        <f t="shared" ref="AI74:AI78" si="179">AE74+AG74</f>
        <v>314500</v>
      </c>
      <c r="AJ74" s="718">
        <f t="shared" ref="AJ74:AJ89" si="180">AF74+AH74</f>
        <v>70442.511999999988</v>
      </c>
      <c r="AK74" s="1094">
        <f>+AK13</f>
        <v>44000</v>
      </c>
      <c r="AL74" s="1094">
        <f>+AL13</f>
        <v>0</v>
      </c>
      <c r="AM74" s="717">
        <f>AC74+AG74+AK74</f>
        <v>129000</v>
      </c>
      <c r="AN74" s="717">
        <f t="shared" ref="AN74:AN78" si="181">+AD74+AH74+AL74</f>
        <v>0</v>
      </c>
      <c r="AO74" s="718">
        <f t="shared" ref="AO74:AP78" si="182">AK74+AI74</f>
        <v>358500</v>
      </c>
      <c r="AP74" s="718">
        <f t="shared" si="182"/>
        <v>70442.511999999988</v>
      </c>
      <c r="AQ74" s="1094">
        <f>+AQ13</f>
        <v>44500</v>
      </c>
      <c r="AR74" s="1094">
        <f>+AR13</f>
        <v>0</v>
      </c>
      <c r="AS74" s="718">
        <f t="shared" ref="AS74:AS78" si="183">AO74+AQ74</f>
        <v>403000</v>
      </c>
      <c r="AT74" s="718">
        <f t="shared" ref="AT74:AT89" si="184">AP74+AR74</f>
        <v>70442.511999999988</v>
      </c>
      <c r="AU74" s="1094">
        <f>+AU13</f>
        <v>40000</v>
      </c>
      <c r="AV74" s="1094">
        <f>+AV13</f>
        <v>0</v>
      </c>
      <c r="AW74" s="718">
        <f t="shared" ref="AW74:AW78" si="185">AS74+AU74</f>
        <v>443000</v>
      </c>
      <c r="AX74" s="718">
        <f t="shared" ref="AX74:AX89" si="186">AT74+AV74</f>
        <v>70442.511999999988</v>
      </c>
      <c r="AY74" s="1094">
        <f>+AY13</f>
        <v>44500</v>
      </c>
      <c r="AZ74" s="1094">
        <f>+AZ13</f>
        <v>0</v>
      </c>
      <c r="BA74" s="717">
        <f>AQ74+AU74+AY74</f>
        <v>129000</v>
      </c>
      <c r="BB74" s="717">
        <f t="shared" ref="BB74:BB78" si="187">+AR74+AV74+AZ74</f>
        <v>0</v>
      </c>
      <c r="BC74" s="429">
        <f>AM74+BA74</f>
        <v>258000</v>
      </c>
      <c r="BD74" s="429">
        <f t="shared" ref="BD74:BD135" si="188">+AN74+BB74</f>
        <v>0</v>
      </c>
      <c r="BE74" s="718">
        <f>AA74+BC74</f>
        <v>487500</v>
      </c>
      <c r="BF74" s="718">
        <f t="shared" ref="BF74:BF135" si="189">+AB74+BD74</f>
        <v>70442.511999999988</v>
      </c>
    </row>
    <row r="75" spans="1:61" x14ac:dyDescent="0.3">
      <c r="A75" s="88"/>
      <c r="B75" s="926" t="s">
        <v>95</v>
      </c>
      <c r="C75" s="146" t="s">
        <v>50</v>
      </c>
      <c r="D75" s="1094">
        <f>+D21</f>
        <v>990000</v>
      </c>
      <c r="E75" s="1094">
        <f>+E21</f>
        <v>68500</v>
      </c>
      <c r="F75" s="1094">
        <f>+F21</f>
        <v>78698.73000000001</v>
      </c>
      <c r="G75" s="1094">
        <f>+G21</f>
        <v>71000</v>
      </c>
      <c r="H75" s="1094">
        <f>+H21</f>
        <v>35387.670000000013</v>
      </c>
      <c r="I75" s="718">
        <f t="shared" si="167"/>
        <v>139500</v>
      </c>
      <c r="J75" s="718">
        <f t="shared" si="168"/>
        <v>114086.40000000002</v>
      </c>
      <c r="K75" s="1094">
        <f>+K21</f>
        <v>76000</v>
      </c>
      <c r="L75" s="1094">
        <f>+L21</f>
        <v>0</v>
      </c>
      <c r="M75" s="717">
        <f t="shared" si="169"/>
        <v>215500</v>
      </c>
      <c r="N75" s="717">
        <f t="shared" si="170"/>
        <v>114086.40000000002</v>
      </c>
      <c r="O75" s="1094">
        <f>+O21</f>
        <v>79000</v>
      </c>
      <c r="P75" s="1094">
        <f>+P21</f>
        <v>0</v>
      </c>
      <c r="Q75" s="718">
        <f t="shared" si="171"/>
        <v>294500</v>
      </c>
      <c r="R75" s="718">
        <f t="shared" si="172"/>
        <v>114086.40000000002</v>
      </c>
      <c r="S75" s="1094">
        <f>+S21</f>
        <v>79000</v>
      </c>
      <c r="T75" s="1094">
        <f>+T21</f>
        <v>0</v>
      </c>
      <c r="U75" s="718">
        <f t="shared" si="173"/>
        <v>373500</v>
      </c>
      <c r="V75" s="718">
        <f t="shared" si="174"/>
        <v>114086.40000000002</v>
      </c>
      <c r="W75" s="1094">
        <f>+W21</f>
        <v>47500</v>
      </c>
      <c r="X75" s="1094">
        <f>+X21</f>
        <v>0</v>
      </c>
      <c r="Y75" s="717">
        <f t="shared" ref="Y75:Y77" si="190">O75+S75+W75</f>
        <v>205500</v>
      </c>
      <c r="Z75" s="717">
        <f t="shared" si="175"/>
        <v>0</v>
      </c>
      <c r="AA75" s="429">
        <f t="shared" ref="AA75:AA77" si="191">M75+Y75</f>
        <v>421000</v>
      </c>
      <c r="AB75" s="429">
        <f>X75+V75</f>
        <v>114086.40000000002</v>
      </c>
      <c r="AC75" s="1094">
        <f>+AC21</f>
        <v>78000</v>
      </c>
      <c r="AD75" s="1094">
        <f>+AD21</f>
        <v>0</v>
      </c>
      <c r="AE75" s="718">
        <f t="shared" si="177"/>
        <v>499000</v>
      </c>
      <c r="AF75" s="718">
        <f t="shared" si="178"/>
        <v>114086.40000000002</v>
      </c>
      <c r="AG75" s="1094">
        <f>+AG21</f>
        <v>76000</v>
      </c>
      <c r="AH75" s="1094">
        <f>+AH21</f>
        <v>0</v>
      </c>
      <c r="AI75" s="718">
        <f t="shared" si="179"/>
        <v>575000</v>
      </c>
      <c r="AJ75" s="718">
        <f t="shared" si="180"/>
        <v>114086.40000000002</v>
      </c>
      <c r="AK75" s="1094">
        <f>+AK21</f>
        <v>79000</v>
      </c>
      <c r="AL75" s="1094">
        <f>+AL21</f>
        <v>0</v>
      </c>
      <c r="AM75" s="717">
        <f t="shared" ref="AM75:AM77" si="192">AC75+AG75+AK75</f>
        <v>233000</v>
      </c>
      <c r="AN75" s="717">
        <f t="shared" si="181"/>
        <v>0</v>
      </c>
      <c r="AO75" s="718">
        <f t="shared" si="182"/>
        <v>654000</v>
      </c>
      <c r="AP75" s="718">
        <f t="shared" si="182"/>
        <v>114086.40000000002</v>
      </c>
      <c r="AQ75" s="1094">
        <f>+AQ21</f>
        <v>79000</v>
      </c>
      <c r="AR75" s="1094">
        <f>+AR21</f>
        <v>0</v>
      </c>
      <c r="AS75" s="718">
        <f t="shared" si="183"/>
        <v>733000</v>
      </c>
      <c r="AT75" s="718">
        <f t="shared" si="184"/>
        <v>114086.40000000002</v>
      </c>
      <c r="AU75" s="1094">
        <f>+AU21</f>
        <v>71500</v>
      </c>
      <c r="AV75" s="1094">
        <f>+AV21</f>
        <v>0</v>
      </c>
      <c r="AW75" s="718">
        <f t="shared" si="185"/>
        <v>804500</v>
      </c>
      <c r="AX75" s="718">
        <f t="shared" si="186"/>
        <v>114086.40000000002</v>
      </c>
      <c r="AY75" s="1094">
        <f>+AY21</f>
        <v>80000</v>
      </c>
      <c r="AZ75" s="1094">
        <f>+AZ21</f>
        <v>0</v>
      </c>
      <c r="BA75" s="717">
        <f t="shared" ref="BA75:BA77" si="193">AQ75+AU75+AY75</f>
        <v>230500</v>
      </c>
      <c r="BB75" s="717">
        <f t="shared" si="187"/>
        <v>0</v>
      </c>
      <c r="BC75" s="429">
        <f>AM75+BA75</f>
        <v>463500</v>
      </c>
      <c r="BD75" s="429">
        <f t="shared" si="188"/>
        <v>0</v>
      </c>
      <c r="BE75" s="718">
        <f>AA75+BC75</f>
        <v>884500</v>
      </c>
      <c r="BF75" s="718">
        <f t="shared" si="189"/>
        <v>114086.40000000002</v>
      </c>
    </row>
    <row r="76" spans="1:61" x14ac:dyDescent="0.3">
      <c r="A76" s="88"/>
      <c r="B76" s="926" t="s">
        <v>115</v>
      </c>
      <c r="C76" s="146" t="s">
        <v>50</v>
      </c>
      <c r="D76" s="1094">
        <f>+D29</f>
        <v>850000</v>
      </c>
      <c r="E76" s="1094">
        <f>+E29</f>
        <v>56000</v>
      </c>
      <c r="F76" s="1094">
        <f>+F29</f>
        <v>50540.922999999988</v>
      </c>
      <c r="G76" s="1094">
        <f>+G29</f>
        <v>59500</v>
      </c>
      <c r="H76" s="1094">
        <f>+H29</f>
        <v>28795.448999999997</v>
      </c>
      <c r="I76" s="718">
        <f t="shared" si="167"/>
        <v>115500</v>
      </c>
      <c r="J76" s="718">
        <f t="shared" si="168"/>
        <v>79336.371999999988</v>
      </c>
      <c r="K76" s="1094">
        <f>+K29</f>
        <v>62500</v>
      </c>
      <c r="L76" s="1094">
        <f>+L29</f>
        <v>0</v>
      </c>
      <c r="M76" s="717">
        <f t="shared" si="169"/>
        <v>178000</v>
      </c>
      <c r="N76" s="717">
        <f t="shared" si="170"/>
        <v>79336.371999999988</v>
      </c>
      <c r="O76" s="1094">
        <f>+O29</f>
        <v>65000</v>
      </c>
      <c r="P76" s="1094">
        <f>+P29</f>
        <v>0</v>
      </c>
      <c r="Q76" s="718">
        <f t="shared" si="171"/>
        <v>243000</v>
      </c>
      <c r="R76" s="718">
        <f t="shared" si="172"/>
        <v>79336.371999999988</v>
      </c>
      <c r="S76" s="1094">
        <f>+S29</f>
        <v>65000</v>
      </c>
      <c r="T76" s="1094">
        <f>+T29</f>
        <v>0</v>
      </c>
      <c r="U76" s="718">
        <f t="shared" si="173"/>
        <v>308000</v>
      </c>
      <c r="V76" s="718">
        <f t="shared" si="174"/>
        <v>79336.371999999988</v>
      </c>
      <c r="W76" s="1094">
        <f>+W29</f>
        <v>33500</v>
      </c>
      <c r="X76" s="1094">
        <f>+X29</f>
        <v>0</v>
      </c>
      <c r="Y76" s="717">
        <f t="shared" si="190"/>
        <v>163500</v>
      </c>
      <c r="Z76" s="717">
        <f t="shared" si="175"/>
        <v>0</v>
      </c>
      <c r="AA76" s="429">
        <f t="shared" si="191"/>
        <v>341500</v>
      </c>
      <c r="AB76" s="429">
        <f>X76+V76</f>
        <v>79336.371999999988</v>
      </c>
      <c r="AC76" s="1094">
        <f>+AC29</f>
        <v>67000</v>
      </c>
      <c r="AD76" s="1094">
        <f>+AD29</f>
        <v>0</v>
      </c>
      <c r="AE76" s="718">
        <f t="shared" si="177"/>
        <v>408500</v>
      </c>
      <c r="AF76" s="718">
        <f t="shared" si="178"/>
        <v>79336.371999999988</v>
      </c>
      <c r="AG76" s="1094">
        <f>+AG29</f>
        <v>65000</v>
      </c>
      <c r="AH76" s="1094">
        <f>+AH29</f>
        <v>0</v>
      </c>
      <c r="AI76" s="718">
        <f t="shared" si="179"/>
        <v>473500</v>
      </c>
      <c r="AJ76" s="718">
        <f t="shared" si="180"/>
        <v>79336.371999999988</v>
      </c>
      <c r="AK76" s="1094">
        <f>+AK29</f>
        <v>67500</v>
      </c>
      <c r="AL76" s="1094">
        <f>+AL29</f>
        <v>0</v>
      </c>
      <c r="AM76" s="717">
        <f t="shared" si="192"/>
        <v>199500</v>
      </c>
      <c r="AN76" s="717">
        <f t="shared" si="181"/>
        <v>0</v>
      </c>
      <c r="AO76" s="718">
        <f t="shared" si="182"/>
        <v>541000</v>
      </c>
      <c r="AP76" s="718">
        <f t="shared" si="182"/>
        <v>79336.371999999988</v>
      </c>
      <c r="AQ76" s="1094">
        <f>+AQ29</f>
        <v>68000</v>
      </c>
      <c r="AR76" s="1094">
        <f>+AR29</f>
        <v>0</v>
      </c>
      <c r="AS76" s="718">
        <f t="shared" si="183"/>
        <v>609000</v>
      </c>
      <c r="AT76" s="718">
        <f t="shared" si="184"/>
        <v>79336.371999999988</v>
      </c>
      <c r="AU76" s="1094">
        <f>+AU29</f>
        <v>61000</v>
      </c>
      <c r="AV76" s="1094">
        <f>+AV29</f>
        <v>0</v>
      </c>
      <c r="AW76" s="718">
        <f t="shared" si="185"/>
        <v>670000</v>
      </c>
      <c r="AX76" s="718">
        <f t="shared" si="186"/>
        <v>79336.371999999988</v>
      </c>
      <c r="AY76" s="1094">
        <f>+AY29</f>
        <v>68500</v>
      </c>
      <c r="AZ76" s="1094">
        <f>+AZ29</f>
        <v>0</v>
      </c>
      <c r="BA76" s="717">
        <f t="shared" si="193"/>
        <v>197500</v>
      </c>
      <c r="BB76" s="717">
        <f t="shared" si="187"/>
        <v>0</v>
      </c>
      <c r="BC76" s="429">
        <f>AM76+BA76</f>
        <v>397000</v>
      </c>
      <c r="BD76" s="429">
        <f t="shared" si="188"/>
        <v>0</v>
      </c>
      <c r="BE76" s="718">
        <f>AA76+BC76</f>
        <v>738500</v>
      </c>
      <c r="BF76" s="718">
        <f t="shared" si="189"/>
        <v>79336.371999999988</v>
      </c>
    </row>
    <row r="77" spans="1:61" x14ac:dyDescent="0.3">
      <c r="A77" s="142"/>
      <c r="B77" s="926" t="s">
        <v>487</v>
      </c>
      <c r="C77" s="146" t="s">
        <v>50</v>
      </c>
      <c r="D77" s="1094">
        <f>+D37</f>
        <v>350000.39654600783</v>
      </c>
      <c r="E77" s="1094">
        <f>+E37</f>
        <v>20999.957109341791</v>
      </c>
      <c r="F77" s="1094">
        <f>+F37</f>
        <v>32106.71</v>
      </c>
      <c r="G77" s="1094">
        <f>+G37</f>
        <v>0.49149549403227866</v>
      </c>
      <c r="H77" s="1094">
        <f>+H37</f>
        <v>25913.72</v>
      </c>
      <c r="I77" s="718">
        <f t="shared" si="167"/>
        <v>21000.448604835823</v>
      </c>
      <c r="J77" s="718">
        <f t="shared" si="168"/>
        <v>58020.43</v>
      </c>
      <c r="K77" s="1094">
        <f>+K37</f>
        <v>48000.110883115201</v>
      </c>
      <c r="L77" s="1094">
        <f>+L37</f>
        <v>6803.8099999999995</v>
      </c>
      <c r="M77" s="717">
        <f t="shared" si="169"/>
        <v>69000.559487951017</v>
      </c>
      <c r="N77" s="717">
        <f t="shared" si="170"/>
        <v>64824.24</v>
      </c>
      <c r="O77" s="1094">
        <f>+O37</f>
        <v>43500.141355320899</v>
      </c>
      <c r="P77" s="1094">
        <f>+P37</f>
        <v>3865.36</v>
      </c>
      <c r="Q77" s="718">
        <f t="shared" si="171"/>
        <v>112500.70084327192</v>
      </c>
      <c r="R77" s="718">
        <f t="shared" si="172"/>
        <v>68689.599999999991</v>
      </c>
      <c r="S77" s="1094">
        <f>+S37</f>
        <v>43500.141355320899</v>
      </c>
      <c r="T77" s="1094">
        <f>+T37</f>
        <v>6018.89</v>
      </c>
      <c r="U77" s="718">
        <f t="shared" si="173"/>
        <v>156000.84219859281</v>
      </c>
      <c r="V77" s="718">
        <f t="shared" si="174"/>
        <v>74708.489999999991</v>
      </c>
      <c r="W77" s="1094">
        <f>+W37</f>
        <v>15300.0147648532</v>
      </c>
      <c r="X77" s="1094">
        <f>+X37</f>
        <v>4685.3600000000006</v>
      </c>
      <c r="Y77" s="717">
        <f t="shared" si="190"/>
        <v>102300.297475495</v>
      </c>
      <c r="Z77" s="717">
        <f t="shared" si="175"/>
        <v>14569.61</v>
      </c>
      <c r="AA77" s="429">
        <f t="shared" si="191"/>
        <v>171300.85696344601</v>
      </c>
      <c r="AB77" s="429">
        <f>X77+V77</f>
        <v>79393.849999999991</v>
      </c>
      <c r="AC77" s="1094">
        <f>+AC37</f>
        <v>48999.528159756301</v>
      </c>
      <c r="AD77" s="1094">
        <f>+AD37</f>
        <v>5221.92</v>
      </c>
      <c r="AE77" s="718">
        <f t="shared" si="177"/>
        <v>220300.38512320232</v>
      </c>
      <c r="AF77" s="718">
        <f t="shared" si="178"/>
        <v>84615.76999999999</v>
      </c>
      <c r="AG77" s="1094">
        <f>+AG37</f>
        <v>45499.588455674595</v>
      </c>
      <c r="AH77" s="1094">
        <f>+AH37</f>
        <v>0</v>
      </c>
      <c r="AI77" s="718">
        <f t="shared" si="179"/>
        <v>265799.97357887693</v>
      </c>
      <c r="AJ77" s="718">
        <f t="shared" si="180"/>
        <v>84615.76999999999</v>
      </c>
      <c r="AK77" s="1094">
        <f>+AK37</f>
        <v>46000.054244216401</v>
      </c>
      <c r="AL77" s="1094">
        <f>+AL37</f>
        <v>2959.9700000000003</v>
      </c>
      <c r="AM77" s="717">
        <f t="shared" si="192"/>
        <v>140499.17085964727</v>
      </c>
      <c r="AN77" s="717">
        <f t="shared" si="181"/>
        <v>8181.89</v>
      </c>
      <c r="AO77" s="718">
        <f t="shared" si="182"/>
        <v>311800.02782309335</v>
      </c>
      <c r="AP77" s="718">
        <f t="shared" si="182"/>
        <v>87575.739999999991</v>
      </c>
      <c r="AQ77" s="1094">
        <f>+AQ37</f>
        <v>48499.664678463945</v>
      </c>
      <c r="AR77" s="1094">
        <f>+AR37</f>
        <v>5867.05</v>
      </c>
      <c r="AS77" s="718">
        <f t="shared" si="183"/>
        <v>360299.69250155729</v>
      </c>
      <c r="AT77" s="718">
        <f t="shared" si="184"/>
        <v>93442.79</v>
      </c>
      <c r="AU77" s="1094">
        <f>+AU37</f>
        <v>41500.010429203743</v>
      </c>
      <c r="AV77" s="1094">
        <f>+AV37</f>
        <v>5644.2000000000007</v>
      </c>
      <c r="AW77" s="718">
        <f t="shared" si="185"/>
        <v>401799.70293076104</v>
      </c>
      <c r="AX77" s="718">
        <f t="shared" si="186"/>
        <v>99086.989999999991</v>
      </c>
      <c r="AY77" s="1094">
        <f>+AY37</f>
        <v>46999.690762923987</v>
      </c>
      <c r="AZ77" s="1094">
        <f>+AZ37</f>
        <v>5768.59</v>
      </c>
      <c r="BA77" s="717">
        <f t="shared" si="193"/>
        <v>136999.36587059166</v>
      </c>
      <c r="BB77" s="717">
        <f t="shared" si="187"/>
        <v>17279.84</v>
      </c>
      <c r="BC77" s="429">
        <f>AM77+BA77</f>
        <v>277498.53673023893</v>
      </c>
      <c r="BD77" s="429">
        <f t="shared" si="188"/>
        <v>25461.73</v>
      </c>
      <c r="BE77" s="718">
        <f>AA77+BC77</f>
        <v>448799.39369368495</v>
      </c>
      <c r="BF77" s="718">
        <f t="shared" si="189"/>
        <v>104855.57999999999</v>
      </c>
    </row>
    <row r="78" spans="1:61" x14ac:dyDescent="0.3">
      <c r="A78" s="88"/>
      <c r="B78" s="3123" t="s">
        <v>2</v>
      </c>
      <c r="C78" s="146" t="s">
        <v>50</v>
      </c>
      <c r="D78" s="1589">
        <f>SUM(D74:D77)</f>
        <v>2710000.3965460081</v>
      </c>
      <c r="E78" s="1589">
        <f>SUM(E74:E77)</f>
        <v>181999.95710934181</v>
      </c>
      <c r="F78" s="1589">
        <f t="shared" ref="F78" si="194">SUM(F74:F77)</f>
        <v>202422.59299999999</v>
      </c>
      <c r="G78" s="1589">
        <f>SUM(G74:G77)</f>
        <v>168000.49149549403</v>
      </c>
      <c r="H78" s="1589">
        <f t="shared" ref="H78" si="195">SUM(H74:H77)</f>
        <v>119463.12100000001</v>
      </c>
      <c r="I78" s="344">
        <f t="shared" si="167"/>
        <v>350000.44860483584</v>
      </c>
      <c r="J78" s="718">
        <f t="shared" si="168"/>
        <v>321885.71400000004</v>
      </c>
      <c r="K78" s="1589">
        <f>SUM(K74:K77)</f>
        <v>229000.11088311521</v>
      </c>
      <c r="L78" s="1589">
        <f t="shared" ref="L78" si="196">SUM(L74:L77)</f>
        <v>6803.8099999999995</v>
      </c>
      <c r="M78" s="346">
        <f t="shared" si="169"/>
        <v>579000.55948795099</v>
      </c>
      <c r="N78" s="717">
        <f t="shared" si="170"/>
        <v>328689.52400000003</v>
      </c>
      <c r="O78" s="1589">
        <f>SUM(O74:O77)</f>
        <v>231500.1413553209</v>
      </c>
      <c r="P78" s="1589">
        <f t="shared" ref="P78" si="197">SUM(P74:P77)</f>
        <v>3865.36</v>
      </c>
      <c r="Q78" s="344">
        <f t="shared" si="171"/>
        <v>810500.70084327192</v>
      </c>
      <c r="R78" s="718">
        <f t="shared" si="172"/>
        <v>332554.88400000002</v>
      </c>
      <c r="S78" s="1589">
        <f>SUM(S74:S77)</f>
        <v>231500.1413553209</v>
      </c>
      <c r="T78" s="1589">
        <f t="shared" ref="T78" si="198">SUM(T74:T77)</f>
        <v>6018.89</v>
      </c>
      <c r="U78" s="344">
        <f t="shared" si="173"/>
        <v>1042000.8421985928</v>
      </c>
      <c r="V78" s="718">
        <f t="shared" si="174"/>
        <v>338573.77400000003</v>
      </c>
      <c r="W78" s="1589">
        <f>SUM(W74:W77)</f>
        <v>121300.0147648532</v>
      </c>
      <c r="X78" s="1589">
        <f t="shared" ref="X78" si="199">SUM(X74:X77)</f>
        <v>4685.3600000000006</v>
      </c>
      <c r="Y78" s="346">
        <f>O78+S78+W78</f>
        <v>584300.29747549503</v>
      </c>
      <c r="Z78" s="346">
        <f t="shared" si="175"/>
        <v>14569.61</v>
      </c>
      <c r="AA78" s="502">
        <f t="shared" si="176"/>
        <v>1163300.8569634459</v>
      </c>
      <c r="AB78" s="429">
        <f>X78+V78</f>
        <v>343259.13400000002</v>
      </c>
      <c r="AC78" s="1589">
        <f>SUM(AC74:AC77)</f>
        <v>236499.5281597563</v>
      </c>
      <c r="AD78" s="1589">
        <f t="shared" ref="AD78" si="200">SUM(AD74:AD77)</f>
        <v>5221.92</v>
      </c>
      <c r="AE78" s="344">
        <f t="shared" si="177"/>
        <v>1399800.3851232021</v>
      </c>
      <c r="AF78" s="718">
        <f t="shared" si="178"/>
        <v>348481.054</v>
      </c>
      <c r="AG78" s="1589">
        <f>SUM(AG74:AG77)</f>
        <v>228999.58845567459</v>
      </c>
      <c r="AH78" s="1589">
        <f t="shared" ref="AH78" si="201">SUM(AH74:AH77)</f>
        <v>0</v>
      </c>
      <c r="AI78" s="344">
        <f t="shared" si="179"/>
        <v>1628799.9735788768</v>
      </c>
      <c r="AJ78" s="718">
        <f t="shared" si="180"/>
        <v>348481.054</v>
      </c>
      <c r="AK78" s="1589">
        <f>SUM(AK74:AK77)</f>
        <v>236500.05424421642</v>
      </c>
      <c r="AL78" s="1589">
        <f t="shared" ref="AL78" si="202">SUM(AL74:AL77)</f>
        <v>2959.9700000000003</v>
      </c>
      <c r="AM78" s="346">
        <f>AC78+AG78+AK78</f>
        <v>701999.17085964733</v>
      </c>
      <c r="AN78" s="717">
        <f t="shared" si="181"/>
        <v>8181.89</v>
      </c>
      <c r="AO78" s="344">
        <f t="shared" si="182"/>
        <v>1865300.0278230933</v>
      </c>
      <c r="AP78" s="718">
        <f t="shared" si="182"/>
        <v>351441.02399999998</v>
      </c>
      <c r="AQ78" s="1589">
        <f>SUM(AQ74:AQ77)</f>
        <v>239999.66467846395</v>
      </c>
      <c r="AR78" s="1589">
        <f t="shared" ref="AR78" si="203">SUM(AR74:AR77)</f>
        <v>5867.05</v>
      </c>
      <c r="AS78" s="344">
        <f t="shared" si="183"/>
        <v>2105299.6925015571</v>
      </c>
      <c r="AT78" s="718">
        <f t="shared" si="184"/>
        <v>357308.07399999996</v>
      </c>
      <c r="AU78" s="1589">
        <f>SUM(AU74:AU77)</f>
        <v>214000.01042920374</v>
      </c>
      <c r="AV78" s="1589">
        <f t="shared" ref="AV78" si="204">SUM(AV74:AV77)</f>
        <v>5644.2000000000007</v>
      </c>
      <c r="AW78" s="344">
        <f t="shared" si="185"/>
        <v>2319299.7029307606</v>
      </c>
      <c r="AX78" s="718">
        <f t="shared" si="186"/>
        <v>362952.27399999998</v>
      </c>
      <c r="AY78" s="1589">
        <f>SUM(AY74:AY77)</f>
        <v>239999.69076292397</v>
      </c>
      <c r="AZ78" s="1589">
        <f t="shared" ref="AZ78" si="205">SUM(AZ74:AZ77)</f>
        <v>5768.59</v>
      </c>
      <c r="BA78" s="346">
        <f>AQ78+AU78+AY78</f>
        <v>693999.36587059172</v>
      </c>
      <c r="BB78" s="717">
        <f t="shared" si="187"/>
        <v>17279.84</v>
      </c>
      <c r="BC78" s="502">
        <f>AM78+BA78</f>
        <v>1395998.5367302392</v>
      </c>
      <c r="BD78" s="429">
        <f t="shared" si="188"/>
        <v>25461.73</v>
      </c>
      <c r="BE78" s="344">
        <f>AA78+BC78</f>
        <v>2559299.3936936851</v>
      </c>
      <c r="BF78" s="718">
        <f t="shared" si="189"/>
        <v>368720.864</v>
      </c>
    </row>
    <row r="79" spans="1:61" ht="15" customHeight="1" x14ac:dyDescent="0.3">
      <c r="A79" s="142"/>
      <c r="B79" s="3129" t="s">
        <v>315</v>
      </c>
      <c r="C79" s="3204"/>
      <c r="D79" s="790"/>
      <c r="E79" s="744"/>
      <c r="F79" s="790"/>
      <c r="G79" s="744"/>
      <c r="H79" s="790"/>
      <c r="I79" s="652"/>
      <c r="J79" s="718"/>
      <c r="K79" s="744"/>
      <c r="L79" s="790"/>
      <c r="M79" s="653"/>
      <c r="N79" s="717"/>
      <c r="O79" s="744"/>
      <c r="P79" s="790"/>
      <c r="Q79" s="652"/>
      <c r="R79" s="718"/>
      <c r="S79" s="744"/>
      <c r="T79" s="790"/>
      <c r="U79" s="652"/>
      <c r="V79" s="718"/>
      <c r="W79" s="744"/>
      <c r="X79" s="790"/>
      <c r="Y79" s="653"/>
      <c r="Z79" s="653"/>
      <c r="AA79" s="733"/>
      <c r="AB79" s="429"/>
      <c r="AC79" s="744"/>
      <c r="AD79" s="790"/>
      <c r="AE79" s="652"/>
      <c r="AF79" s="718"/>
      <c r="AG79" s="744"/>
      <c r="AH79" s="790"/>
      <c r="AI79" s="652"/>
      <c r="AJ79" s="718"/>
      <c r="AK79" s="744"/>
      <c r="AL79" s="790"/>
      <c r="AM79" s="653"/>
      <c r="AN79" s="717"/>
      <c r="AO79" s="652"/>
      <c r="AP79" s="718"/>
      <c r="AQ79" s="744"/>
      <c r="AR79" s="790"/>
      <c r="AS79" s="652"/>
      <c r="AT79" s="718"/>
      <c r="AU79" s="744"/>
      <c r="AV79" s="790"/>
      <c r="AW79" s="652"/>
      <c r="AX79" s="718"/>
      <c r="AY79" s="744"/>
      <c r="AZ79" s="790"/>
      <c r="BA79" s="653"/>
      <c r="BB79" s="717"/>
      <c r="BC79" s="733"/>
      <c r="BD79" s="429"/>
      <c r="BE79" s="652"/>
      <c r="BF79" s="718"/>
      <c r="BI79" s="23"/>
    </row>
    <row r="80" spans="1:61" x14ac:dyDescent="0.3">
      <c r="A80" s="142"/>
      <c r="B80" s="3122" t="s">
        <v>114</v>
      </c>
      <c r="C80" s="5075"/>
      <c r="D80" s="3122"/>
      <c r="E80" s="3125"/>
      <c r="F80" s="3122"/>
      <c r="G80" s="3125"/>
      <c r="H80" s="3122"/>
      <c r="I80" s="5066"/>
      <c r="J80" s="718"/>
      <c r="K80" s="3125"/>
      <c r="L80" s="3122"/>
      <c r="M80" s="5627"/>
      <c r="N80" s="717"/>
      <c r="O80" s="3125"/>
      <c r="P80" s="3122"/>
      <c r="Q80" s="5066"/>
      <c r="R80" s="718"/>
      <c r="S80" s="3125"/>
      <c r="T80" s="3122"/>
      <c r="U80" s="5066"/>
      <c r="V80" s="718"/>
      <c r="W80" s="3125"/>
      <c r="X80" s="3122"/>
      <c r="Y80" s="5627"/>
      <c r="Z80" s="5627"/>
      <c r="AA80" s="5637"/>
      <c r="AB80" s="429"/>
      <c r="AC80" s="3125"/>
      <c r="AD80" s="3122"/>
      <c r="AE80" s="5066"/>
      <c r="AF80" s="718"/>
      <c r="AG80" s="3125"/>
      <c r="AH80" s="3122"/>
      <c r="AI80" s="5066"/>
      <c r="AJ80" s="718"/>
      <c r="AK80" s="3125"/>
      <c r="AL80" s="3122"/>
      <c r="AM80" s="5627"/>
      <c r="AN80" s="717"/>
      <c r="AO80" s="5066"/>
      <c r="AP80" s="718"/>
      <c r="AQ80" s="3125"/>
      <c r="AR80" s="3122"/>
      <c r="AS80" s="5066"/>
      <c r="AT80" s="718"/>
      <c r="AU80" s="3125"/>
      <c r="AV80" s="3122"/>
      <c r="AW80" s="5066"/>
      <c r="AX80" s="718"/>
      <c r="AY80" s="3125"/>
      <c r="AZ80" s="3122"/>
      <c r="BA80" s="5627"/>
      <c r="BB80" s="717"/>
      <c r="BC80" s="5637"/>
      <c r="BD80" s="429"/>
      <c r="BE80" s="5066"/>
      <c r="BF80" s="718"/>
    </row>
    <row r="81" spans="1:60" x14ac:dyDescent="0.3">
      <c r="A81" s="142"/>
      <c r="B81" s="926" t="s">
        <v>22</v>
      </c>
      <c r="C81" s="146" t="s">
        <v>50</v>
      </c>
      <c r="D81" s="6048">
        <f>+D74</f>
        <v>520000</v>
      </c>
      <c r="E81" s="6048">
        <f>+E74</f>
        <v>36500</v>
      </c>
      <c r="F81" s="1094">
        <v>35145.900000000009</v>
      </c>
      <c r="G81" s="6048">
        <f>+G74</f>
        <v>37500</v>
      </c>
      <c r="H81" s="1094">
        <v>25747.782000000003</v>
      </c>
      <c r="I81" s="5990">
        <f>+E81+G81</f>
        <v>74000</v>
      </c>
      <c r="J81" s="718">
        <f t="shared" si="168"/>
        <v>60893.682000000015</v>
      </c>
      <c r="K81" s="6048">
        <f>+K74</f>
        <v>42500</v>
      </c>
      <c r="L81" s="1094"/>
      <c r="M81" s="6018">
        <f>+I81+K81</f>
        <v>116500</v>
      </c>
      <c r="N81" s="717">
        <f t="shared" si="170"/>
        <v>60893.682000000015</v>
      </c>
      <c r="O81" s="6048">
        <f>+O74</f>
        <v>44000</v>
      </c>
      <c r="P81" s="1094"/>
      <c r="Q81" s="5990">
        <f>+M81+O81</f>
        <v>160500</v>
      </c>
      <c r="R81" s="718">
        <f t="shared" si="172"/>
        <v>60893.682000000015</v>
      </c>
      <c r="S81" s="6048">
        <f>+S74</f>
        <v>44000</v>
      </c>
      <c r="T81" s="1094"/>
      <c r="U81" s="5990">
        <f>+Q81+S81</f>
        <v>204500</v>
      </c>
      <c r="V81" s="718">
        <f t="shared" si="174"/>
        <v>60893.682000000015</v>
      </c>
      <c r="W81" s="6048">
        <f>+W74</f>
        <v>25000</v>
      </c>
      <c r="X81" s="1094"/>
      <c r="Y81" s="6018">
        <f>O81+S81+W81</f>
        <v>113000</v>
      </c>
      <c r="Z81" s="6018">
        <f t="shared" ref="Z81:Z83" si="206">+P81+T81+X81</f>
        <v>0</v>
      </c>
      <c r="AA81" s="6003">
        <f>M81+Y81</f>
        <v>229500</v>
      </c>
      <c r="AB81" s="429">
        <f>X81+V81</f>
        <v>60893.682000000015</v>
      </c>
      <c r="AC81" s="6048">
        <f>+AC74</f>
        <v>42500</v>
      </c>
      <c r="AD81" s="1094"/>
      <c r="AE81" s="5990">
        <f>+AA81+AC81</f>
        <v>272000</v>
      </c>
      <c r="AF81" s="718">
        <f t="shared" si="178"/>
        <v>60893.682000000015</v>
      </c>
      <c r="AG81" s="6048">
        <f>+AG74</f>
        <v>42500</v>
      </c>
      <c r="AH81" s="1094"/>
      <c r="AI81" s="5990">
        <f>+AE81+AG81</f>
        <v>314500</v>
      </c>
      <c r="AJ81" s="718">
        <f t="shared" si="180"/>
        <v>60893.682000000015</v>
      </c>
      <c r="AK81" s="6048">
        <f>+AK74</f>
        <v>44000</v>
      </c>
      <c r="AL81" s="1094"/>
      <c r="AM81" s="6018">
        <f>AC81+AG81+AK81</f>
        <v>129000</v>
      </c>
      <c r="AN81" s="717">
        <f t="shared" ref="AN81:AN83" si="207">+AD81+AH81+AL81</f>
        <v>0</v>
      </c>
      <c r="AO81" s="5990">
        <f>+AK81+AI81</f>
        <v>358500</v>
      </c>
      <c r="AP81" s="718">
        <f>AL81+AJ81</f>
        <v>60893.682000000015</v>
      </c>
      <c r="AQ81" s="6048">
        <f>+AQ74</f>
        <v>44500</v>
      </c>
      <c r="AR81" s="1094"/>
      <c r="AS81" s="5990">
        <f>+AO81+AQ81</f>
        <v>403000</v>
      </c>
      <c r="AT81" s="718">
        <f t="shared" si="184"/>
        <v>60893.682000000015</v>
      </c>
      <c r="AU81" s="6048">
        <f>+AU74</f>
        <v>40000</v>
      </c>
      <c r="AV81" s="1094"/>
      <c r="AW81" s="5990">
        <f>+AS81+AU81</f>
        <v>443000</v>
      </c>
      <c r="AX81" s="718">
        <f t="shared" si="186"/>
        <v>60893.682000000015</v>
      </c>
      <c r="AY81" s="6048">
        <f>+AY74</f>
        <v>44500</v>
      </c>
      <c r="AZ81" s="1094"/>
      <c r="BA81" s="6018">
        <f>AQ81+AU81+AY81</f>
        <v>129000</v>
      </c>
      <c r="BB81" s="717">
        <f t="shared" ref="BB81:BB83" si="208">+AR81+AV81+AZ81</f>
        <v>0</v>
      </c>
      <c r="BC81" s="6003">
        <f>AM81+BA81</f>
        <v>258000</v>
      </c>
      <c r="BD81" s="429">
        <f t="shared" si="188"/>
        <v>0</v>
      </c>
      <c r="BE81" s="5990">
        <f>+AA81+BC81</f>
        <v>487500</v>
      </c>
      <c r="BF81" s="718">
        <f t="shared" si="189"/>
        <v>60893.682000000015</v>
      </c>
    </row>
    <row r="82" spans="1:60" x14ac:dyDescent="0.3">
      <c r="A82" s="88"/>
      <c r="B82" s="926" t="s">
        <v>23</v>
      </c>
      <c r="C82" s="146" t="s">
        <v>50</v>
      </c>
      <c r="D82" s="6049"/>
      <c r="E82" s="6049"/>
      <c r="F82" s="1094">
        <v>5930.3300000000008</v>
      </c>
      <c r="G82" s="6049"/>
      <c r="H82" s="1094">
        <v>3618.5000000000009</v>
      </c>
      <c r="I82" s="5991"/>
      <c r="J82" s="718">
        <f t="shared" si="168"/>
        <v>9548.8300000000017</v>
      </c>
      <c r="K82" s="6049"/>
      <c r="L82" s="1094"/>
      <c r="M82" s="6019"/>
      <c r="N82" s="717">
        <f t="shared" si="170"/>
        <v>9548.8300000000017</v>
      </c>
      <c r="O82" s="6049"/>
      <c r="P82" s="1094"/>
      <c r="Q82" s="5991"/>
      <c r="R82" s="718">
        <f t="shared" si="172"/>
        <v>9548.8300000000017</v>
      </c>
      <c r="S82" s="6049"/>
      <c r="T82" s="1094"/>
      <c r="U82" s="5991"/>
      <c r="V82" s="718">
        <f t="shared" si="174"/>
        <v>9548.8300000000017</v>
      </c>
      <c r="W82" s="6049"/>
      <c r="X82" s="1094"/>
      <c r="Y82" s="6019">
        <f t="shared" ref="Y82:Y83" si="209">O82+S82+W82</f>
        <v>0</v>
      </c>
      <c r="Z82" s="6019">
        <f t="shared" si="206"/>
        <v>0</v>
      </c>
      <c r="AA82" s="6004"/>
      <c r="AB82" s="429">
        <f>X82+V82</f>
        <v>9548.8300000000017</v>
      </c>
      <c r="AC82" s="6049"/>
      <c r="AD82" s="1094"/>
      <c r="AE82" s="5991"/>
      <c r="AF82" s="718">
        <f t="shared" si="178"/>
        <v>9548.8300000000017</v>
      </c>
      <c r="AG82" s="6049"/>
      <c r="AH82" s="1094"/>
      <c r="AI82" s="5991"/>
      <c r="AJ82" s="718">
        <f t="shared" si="180"/>
        <v>9548.8300000000017</v>
      </c>
      <c r="AK82" s="6049"/>
      <c r="AL82" s="1094"/>
      <c r="AM82" s="6019">
        <f t="shared" ref="AM82:AM83" si="210">AC82+AG82+AK82</f>
        <v>0</v>
      </c>
      <c r="AN82" s="717">
        <f t="shared" si="207"/>
        <v>0</v>
      </c>
      <c r="AO82" s="5991"/>
      <c r="AP82" s="718">
        <f>AL82+AJ82</f>
        <v>9548.8300000000017</v>
      </c>
      <c r="AQ82" s="6049"/>
      <c r="AR82" s="1094"/>
      <c r="AS82" s="5991"/>
      <c r="AT82" s="718">
        <f t="shared" si="184"/>
        <v>9548.8300000000017</v>
      </c>
      <c r="AU82" s="6049"/>
      <c r="AV82" s="1094"/>
      <c r="AW82" s="5991"/>
      <c r="AX82" s="718">
        <f t="shared" si="186"/>
        <v>9548.8300000000017</v>
      </c>
      <c r="AY82" s="6049"/>
      <c r="AZ82" s="1094"/>
      <c r="BA82" s="6019">
        <f t="shared" ref="BA82:BA83" si="211">AQ82+AU82+AY82</f>
        <v>0</v>
      </c>
      <c r="BB82" s="717">
        <f t="shared" si="208"/>
        <v>0</v>
      </c>
      <c r="BC82" s="6004"/>
      <c r="BD82" s="429">
        <f t="shared" si="188"/>
        <v>0</v>
      </c>
      <c r="BE82" s="5991"/>
      <c r="BF82" s="718">
        <f t="shared" si="189"/>
        <v>9548.8300000000017</v>
      </c>
      <c r="BH82" s="23"/>
    </row>
    <row r="83" spans="1:60" x14ac:dyDescent="0.3">
      <c r="A83" s="142"/>
      <c r="B83" s="3123" t="s">
        <v>2</v>
      </c>
      <c r="C83" s="146" t="s">
        <v>50</v>
      </c>
      <c r="D83" s="6050"/>
      <c r="E83" s="6050"/>
      <c r="F83" s="1589">
        <f>SUM(F81:F82)</f>
        <v>41076.23000000001</v>
      </c>
      <c r="G83" s="6050"/>
      <c r="H83" s="1589">
        <f>SUM(H81:H82)</f>
        <v>29366.282000000003</v>
      </c>
      <c r="I83" s="5992"/>
      <c r="J83" s="718">
        <f t="shared" si="168"/>
        <v>70442.512000000017</v>
      </c>
      <c r="K83" s="6050"/>
      <c r="L83" s="1589">
        <f>SUM(L81:L82)</f>
        <v>0</v>
      </c>
      <c r="M83" s="6020"/>
      <c r="N83" s="717">
        <f t="shared" si="170"/>
        <v>70442.512000000017</v>
      </c>
      <c r="O83" s="6050"/>
      <c r="P83" s="1589">
        <f>SUM(P81:P82)</f>
        <v>0</v>
      </c>
      <c r="Q83" s="5992"/>
      <c r="R83" s="718">
        <f t="shared" si="172"/>
        <v>70442.512000000017</v>
      </c>
      <c r="S83" s="6050"/>
      <c r="T83" s="1589">
        <f>SUM(T81:T82)</f>
        <v>0</v>
      </c>
      <c r="U83" s="5992"/>
      <c r="V83" s="718">
        <f t="shared" si="174"/>
        <v>70442.512000000017</v>
      </c>
      <c r="W83" s="6050"/>
      <c r="X83" s="1589">
        <f>SUM(X81:X82)</f>
        <v>0</v>
      </c>
      <c r="Y83" s="6020">
        <f t="shared" si="209"/>
        <v>0</v>
      </c>
      <c r="Z83" s="6020">
        <f t="shared" si="206"/>
        <v>0</v>
      </c>
      <c r="AA83" s="6005"/>
      <c r="AB83" s="429">
        <f>X83+V83</f>
        <v>70442.512000000017</v>
      </c>
      <c r="AC83" s="6050"/>
      <c r="AD83" s="1589">
        <f>SUM(AD81:AD82)</f>
        <v>0</v>
      </c>
      <c r="AE83" s="5992"/>
      <c r="AF83" s="718">
        <f t="shared" si="178"/>
        <v>70442.512000000017</v>
      </c>
      <c r="AG83" s="6050"/>
      <c r="AH83" s="1589">
        <f>SUM(AH81:AH82)</f>
        <v>0</v>
      </c>
      <c r="AI83" s="5992"/>
      <c r="AJ83" s="718">
        <f t="shared" si="180"/>
        <v>70442.512000000017</v>
      </c>
      <c r="AK83" s="6050"/>
      <c r="AL83" s="1589">
        <f>SUM(AL81:AL82)</f>
        <v>0</v>
      </c>
      <c r="AM83" s="6020">
        <f t="shared" si="210"/>
        <v>0</v>
      </c>
      <c r="AN83" s="717">
        <f t="shared" si="207"/>
        <v>0</v>
      </c>
      <c r="AO83" s="5992"/>
      <c r="AP83" s="718">
        <f>AL83+AJ83</f>
        <v>70442.512000000017</v>
      </c>
      <c r="AQ83" s="6050"/>
      <c r="AR83" s="1589">
        <f>SUM(AR81:AR82)</f>
        <v>0</v>
      </c>
      <c r="AS83" s="5992"/>
      <c r="AT83" s="718">
        <f t="shared" si="184"/>
        <v>70442.512000000017</v>
      </c>
      <c r="AU83" s="6050"/>
      <c r="AV83" s="1589">
        <f>SUM(AV81:AV82)</f>
        <v>0</v>
      </c>
      <c r="AW83" s="5992"/>
      <c r="AX83" s="718">
        <f t="shared" si="186"/>
        <v>70442.512000000017</v>
      </c>
      <c r="AY83" s="6050"/>
      <c r="AZ83" s="1589">
        <f>SUM(AZ81:AZ82)</f>
        <v>0</v>
      </c>
      <c r="BA83" s="6020">
        <f t="shared" si="211"/>
        <v>0</v>
      </c>
      <c r="BB83" s="717">
        <f t="shared" si="208"/>
        <v>0</v>
      </c>
      <c r="BC83" s="6005"/>
      <c r="BD83" s="429">
        <f t="shared" si="188"/>
        <v>0</v>
      </c>
      <c r="BE83" s="5992"/>
      <c r="BF83" s="718">
        <f t="shared" si="189"/>
        <v>70442.512000000017</v>
      </c>
    </row>
    <row r="84" spans="1:60" x14ac:dyDescent="0.3">
      <c r="A84" s="142"/>
      <c r="B84" s="3122" t="s">
        <v>95</v>
      </c>
      <c r="C84" s="5075"/>
      <c r="D84" s="3125"/>
      <c r="E84" s="3125"/>
      <c r="F84" s="3130"/>
      <c r="G84" s="3125"/>
      <c r="H84" s="3130"/>
      <c r="I84" s="5066"/>
      <c r="J84" s="718"/>
      <c r="K84" s="3125"/>
      <c r="L84" s="3130"/>
      <c r="M84" s="5627"/>
      <c r="N84" s="717"/>
      <c r="O84" s="3125"/>
      <c r="P84" s="3130"/>
      <c r="Q84" s="5066"/>
      <c r="R84" s="718"/>
      <c r="S84" s="3125"/>
      <c r="T84" s="3130"/>
      <c r="U84" s="5066"/>
      <c r="V84" s="718"/>
      <c r="W84" s="3125"/>
      <c r="X84" s="3130"/>
      <c r="Y84" s="5627"/>
      <c r="Z84" s="5627"/>
      <c r="AA84" s="5637"/>
      <c r="AB84" s="429"/>
      <c r="AC84" s="3125"/>
      <c r="AD84" s="3130"/>
      <c r="AE84" s="5066"/>
      <c r="AF84" s="718"/>
      <c r="AG84" s="3125"/>
      <c r="AH84" s="3130"/>
      <c r="AI84" s="5066"/>
      <c r="AJ84" s="718"/>
      <c r="AK84" s="3125"/>
      <c r="AL84" s="3130"/>
      <c r="AM84" s="5627"/>
      <c r="AN84" s="717"/>
      <c r="AO84" s="5066"/>
      <c r="AP84" s="718"/>
      <c r="AQ84" s="3125"/>
      <c r="AR84" s="3130"/>
      <c r="AS84" s="5066"/>
      <c r="AT84" s="718"/>
      <c r="AU84" s="3125"/>
      <c r="AV84" s="3130"/>
      <c r="AW84" s="5066"/>
      <c r="AX84" s="718"/>
      <c r="AY84" s="3125"/>
      <c r="AZ84" s="3130"/>
      <c r="BA84" s="5627"/>
      <c r="BB84" s="717"/>
      <c r="BC84" s="5637"/>
      <c r="BD84" s="429"/>
      <c r="BE84" s="5066"/>
      <c r="BF84" s="718"/>
    </row>
    <row r="85" spans="1:60" ht="21.15" customHeight="1" x14ac:dyDescent="0.3">
      <c r="A85" s="88"/>
      <c r="B85" s="926" t="s">
        <v>22</v>
      </c>
      <c r="C85" s="146" t="s">
        <v>50</v>
      </c>
      <c r="D85" s="6048">
        <f>+D75</f>
        <v>990000</v>
      </c>
      <c r="E85" s="6048">
        <f>+E75</f>
        <v>68500</v>
      </c>
      <c r="F85" s="1094">
        <v>69139.47</v>
      </c>
      <c r="G85" s="6048">
        <f>+G75</f>
        <v>71000</v>
      </c>
      <c r="H85" s="1094">
        <v>29913.740000000013</v>
      </c>
      <c r="I85" s="5990">
        <f>+E85+G85</f>
        <v>139500</v>
      </c>
      <c r="J85" s="718">
        <f t="shared" si="168"/>
        <v>99053.210000000021</v>
      </c>
      <c r="K85" s="6048">
        <f>+K75</f>
        <v>76000</v>
      </c>
      <c r="L85" s="1094"/>
      <c r="M85" s="6018">
        <f>+I85+K85</f>
        <v>215500</v>
      </c>
      <c r="N85" s="717">
        <f t="shared" si="170"/>
        <v>99053.210000000021</v>
      </c>
      <c r="O85" s="6048">
        <f>+O75</f>
        <v>79000</v>
      </c>
      <c r="P85" s="1094"/>
      <c r="Q85" s="5990">
        <f>+M85+O85</f>
        <v>294500</v>
      </c>
      <c r="R85" s="718">
        <f t="shared" si="172"/>
        <v>99053.210000000021</v>
      </c>
      <c r="S85" s="6048">
        <f>+S75</f>
        <v>79000</v>
      </c>
      <c r="T85" s="1094"/>
      <c r="U85" s="5990">
        <f>+Q85+S85</f>
        <v>373500</v>
      </c>
      <c r="V85" s="718">
        <f t="shared" si="174"/>
        <v>99053.210000000021</v>
      </c>
      <c r="W85" s="6048">
        <f>+W75</f>
        <v>47500</v>
      </c>
      <c r="X85" s="1094"/>
      <c r="Y85" s="6018">
        <f>O85+S85+W85</f>
        <v>205500</v>
      </c>
      <c r="Z85" s="6018">
        <f t="shared" ref="Z85:Z87" si="212">+P85+T85+X85</f>
        <v>0</v>
      </c>
      <c r="AA85" s="6003">
        <f>M85+Y85</f>
        <v>421000</v>
      </c>
      <c r="AB85" s="429">
        <f>X85+V85</f>
        <v>99053.210000000021</v>
      </c>
      <c r="AC85" s="6048">
        <f>+AC75</f>
        <v>78000</v>
      </c>
      <c r="AD85" s="1094"/>
      <c r="AE85" s="5990">
        <f>+AA85+AC85</f>
        <v>499000</v>
      </c>
      <c r="AF85" s="718">
        <f t="shared" si="178"/>
        <v>99053.210000000021</v>
      </c>
      <c r="AG85" s="6048">
        <f>+AG75</f>
        <v>76000</v>
      </c>
      <c r="AH85" s="1094"/>
      <c r="AI85" s="5990">
        <f>+AE85+AG85</f>
        <v>575000</v>
      </c>
      <c r="AJ85" s="718">
        <f t="shared" si="180"/>
        <v>99053.210000000021</v>
      </c>
      <c r="AK85" s="6048">
        <f>+AK75</f>
        <v>79000</v>
      </c>
      <c r="AL85" s="1094"/>
      <c r="AM85" s="6018">
        <f>AC85+AG85+AK85</f>
        <v>233000</v>
      </c>
      <c r="AN85" s="717">
        <f t="shared" ref="AN85:AN87" si="213">+AD85+AH85+AL85</f>
        <v>0</v>
      </c>
      <c r="AO85" s="5990">
        <f>+AK85+AI85</f>
        <v>654000</v>
      </c>
      <c r="AP85" s="718">
        <f>AL85+AJ85</f>
        <v>99053.210000000021</v>
      </c>
      <c r="AQ85" s="6048">
        <f>+AQ75</f>
        <v>79000</v>
      </c>
      <c r="AR85" s="1094"/>
      <c r="AS85" s="5990">
        <f>+AO85+AQ85</f>
        <v>733000</v>
      </c>
      <c r="AT85" s="718">
        <f t="shared" si="184"/>
        <v>99053.210000000021</v>
      </c>
      <c r="AU85" s="6048">
        <f>+AU75</f>
        <v>71500</v>
      </c>
      <c r="AV85" s="1094"/>
      <c r="AW85" s="5990">
        <f>+AS85+AU85</f>
        <v>804500</v>
      </c>
      <c r="AX85" s="718">
        <f t="shared" si="186"/>
        <v>99053.210000000021</v>
      </c>
      <c r="AY85" s="6048">
        <f>+AY75</f>
        <v>80000</v>
      </c>
      <c r="AZ85" s="1094"/>
      <c r="BA85" s="6018">
        <f>AQ85+AU85+AY85</f>
        <v>230500</v>
      </c>
      <c r="BB85" s="717">
        <f t="shared" ref="BB85:BB87" si="214">+AR85+AV85+AZ85</f>
        <v>0</v>
      </c>
      <c r="BC85" s="6003">
        <f>AM85+BA85</f>
        <v>463500</v>
      </c>
      <c r="BD85" s="429">
        <f t="shared" si="188"/>
        <v>0</v>
      </c>
      <c r="BE85" s="5990">
        <f>+AA85+BC85</f>
        <v>884500</v>
      </c>
      <c r="BF85" s="718">
        <f t="shared" si="189"/>
        <v>99053.210000000021</v>
      </c>
    </row>
    <row r="86" spans="1:60" x14ac:dyDescent="0.3">
      <c r="A86" s="142"/>
      <c r="B86" s="926" t="s">
        <v>23</v>
      </c>
      <c r="C86" s="146" t="s">
        <v>50</v>
      </c>
      <c r="D86" s="6049"/>
      <c r="E86" s="6049"/>
      <c r="F86" s="1094">
        <v>9559.260000000002</v>
      </c>
      <c r="G86" s="6049"/>
      <c r="H86" s="1094">
        <v>5473.9299999999985</v>
      </c>
      <c r="I86" s="5991"/>
      <c r="J86" s="718">
        <f t="shared" si="168"/>
        <v>15033.19</v>
      </c>
      <c r="K86" s="6049"/>
      <c r="L86" s="1094"/>
      <c r="M86" s="6019"/>
      <c r="N86" s="717">
        <f t="shared" si="170"/>
        <v>15033.19</v>
      </c>
      <c r="O86" s="6049"/>
      <c r="P86" s="1094"/>
      <c r="Q86" s="5991"/>
      <c r="R86" s="718">
        <f t="shared" si="172"/>
        <v>15033.19</v>
      </c>
      <c r="S86" s="6049"/>
      <c r="T86" s="1094"/>
      <c r="U86" s="5991"/>
      <c r="V86" s="718">
        <f t="shared" si="174"/>
        <v>15033.19</v>
      </c>
      <c r="W86" s="6049"/>
      <c r="X86" s="1094"/>
      <c r="Y86" s="6019">
        <f t="shared" ref="Y86:Y87" si="215">O86+S86+W86</f>
        <v>0</v>
      </c>
      <c r="Z86" s="6019">
        <f t="shared" si="212"/>
        <v>0</v>
      </c>
      <c r="AA86" s="6004"/>
      <c r="AB86" s="429">
        <f>X86+V86</f>
        <v>15033.19</v>
      </c>
      <c r="AC86" s="6049"/>
      <c r="AD86" s="1094"/>
      <c r="AE86" s="5991"/>
      <c r="AF86" s="718">
        <f t="shared" si="178"/>
        <v>15033.19</v>
      </c>
      <c r="AG86" s="6049"/>
      <c r="AH86" s="1094"/>
      <c r="AI86" s="5991"/>
      <c r="AJ86" s="718">
        <f t="shared" si="180"/>
        <v>15033.19</v>
      </c>
      <c r="AK86" s="6049"/>
      <c r="AL86" s="1094"/>
      <c r="AM86" s="6019">
        <f t="shared" ref="AM86:AM87" si="216">AC86+AG86+AK86</f>
        <v>0</v>
      </c>
      <c r="AN86" s="717">
        <f t="shared" si="213"/>
        <v>0</v>
      </c>
      <c r="AO86" s="5991"/>
      <c r="AP86" s="718">
        <f>AL86+AJ86</f>
        <v>15033.19</v>
      </c>
      <c r="AQ86" s="6049"/>
      <c r="AR86" s="1094"/>
      <c r="AS86" s="5991"/>
      <c r="AT86" s="718">
        <f t="shared" si="184"/>
        <v>15033.19</v>
      </c>
      <c r="AU86" s="6049"/>
      <c r="AV86" s="1094"/>
      <c r="AW86" s="5991"/>
      <c r="AX86" s="718">
        <f t="shared" si="186"/>
        <v>15033.19</v>
      </c>
      <c r="AY86" s="6049"/>
      <c r="AZ86" s="1094"/>
      <c r="BA86" s="6019">
        <f t="shared" ref="BA86:BA87" si="217">AQ86+AU86+AY86</f>
        <v>0</v>
      </c>
      <c r="BB86" s="717">
        <f t="shared" si="214"/>
        <v>0</v>
      </c>
      <c r="BC86" s="6004"/>
      <c r="BD86" s="429">
        <f t="shared" si="188"/>
        <v>0</v>
      </c>
      <c r="BE86" s="5991"/>
      <c r="BF86" s="718">
        <f t="shared" si="189"/>
        <v>15033.19</v>
      </c>
      <c r="BH86" s="23"/>
    </row>
    <row r="87" spans="1:60" x14ac:dyDescent="0.3">
      <c r="A87" s="88"/>
      <c r="B87" s="3123" t="s">
        <v>2</v>
      </c>
      <c r="C87" s="146" t="s">
        <v>50</v>
      </c>
      <c r="D87" s="6050"/>
      <c r="E87" s="6050"/>
      <c r="F87" s="1589">
        <f>SUM(F85:F86)</f>
        <v>78698.73000000001</v>
      </c>
      <c r="G87" s="6050"/>
      <c r="H87" s="1589">
        <f>SUM(H85:H86)</f>
        <v>35387.670000000013</v>
      </c>
      <c r="I87" s="5992"/>
      <c r="J87" s="718">
        <f t="shared" si="168"/>
        <v>114086.40000000002</v>
      </c>
      <c r="K87" s="6050"/>
      <c r="L87" s="1589">
        <f>SUM(L85:L86)</f>
        <v>0</v>
      </c>
      <c r="M87" s="6020"/>
      <c r="N87" s="717">
        <f t="shared" si="170"/>
        <v>114086.40000000002</v>
      </c>
      <c r="O87" s="6050"/>
      <c r="P87" s="1589">
        <f>SUM(P85:P86)</f>
        <v>0</v>
      </c>
      <c r="Q87" s="5992"/>
      <c r="R87" s="718">
        <f t="shared" si="172"/>
        <v>114086.40000000002</v>
      </c>
      <c r="S87" s="6050"/>
      <c r="T87" s="1589">
        <f>SUM(T85:T86)</f>
        <v>0</v>
      </c>
      <c r="U87" s="5992"/>
      <c r="V87" s="718">
        <f t="shared" si="174"/>
        <v>114086.40000000002</v>
      </c>
      <c r="W87" s="6050"/>
      <c r="X87" s="1589">
        <f>SUM(X85:X86)</f>
        <v>0</v>
      </c>
      <c r="Y87" s="6020">
        <f t="shared" si="215"/>
        <v>0</v>
      </c>
      <c r="Z87" s="6020">
        <f t="shared" si="212"/>
        <v>0</v>
      </c>
      <c r="AA87" s="6005"/>
      <c r="AB87" s="429">
        <f>X87+V87</f>
        <v>114086.40000000002</v>
      </c>
      <c r="AC87" s="6050"/>
      <c r="AD87" s="1589">
        <f>SUM(AD85:AD86)</f>
        <v>0</v>
      </c>
      <c r="AE87" s="5992"/>
      <c r="AF87" s="718">
        <f t="shared" si="178"/>
        <v>114086.40000000002</v>
      </c>
      <c r="AG87" s="6050"/>
      <c r="AH87" s="1589">
        <f>SUM(AH85:AH86)</f>
        <v>0</v>
      </c>
      <c r="AI87" s="5992"/>
      <c r="AJ87" s="718">
        <f t="shared" si="180"/>
        <v>114086.40000000002</v>
      </c>
      <c r="AK87" s="6050"/>
      <c r="AL87" s="1589">
        <f>SUM(AL85:AL86)</f>
        <v>0</v>
      </c>
      <c r="AM87" s="6020">
        <f t="shared" si="216"/>
        <v>0</v>
      </c>
      <c r="AN87" s="717">
        <f t="shared" si="213"/>
        <v>0</v>
      </c>
      <c r="AO87" s="5992"/>
      <c r="AP87" s="718">
        <f>AL87+AJ87</f>
        <v>114086.40000000002</v>
      </c>
      <c r="AQ87" s="6050"/>
      <c r="AR87" s="1589">
        <f>SUM(AR85:AR86)</f>
        <v>0</v>
      </c>
      <c r="AS87" s="5992"/>
      <c r="AT87" s="718">
        <f t="shared" si="184"/>
        <v>114086.40000000002</v>
      </c>
      <c r="AU87" s="6050"/>
      <c r="AV87" s="1589">
        <f>SUM(AV85:AV86)</f>
        <v>0</v>
      </c>
      <c r="AW87" s="5992"/>
      <c r="AX87" s="718">
        <f t="shared" si="186"/>
        <v>114086.40000000002</v>
      </c>
      <c r="AY87" s="6050"/>
      <c r="AZ87" s="1589">
        <f>SUM(AZ85:AZ86)</f>
        <v>0</v>
      </c>
      <c r="BA87" s="6020">
        <f t="shared" si="217"/>
        <v>0</v>
      </c>
      <c r="BB87" s="717">
        <f t="shared" si="214"/>
        <v>0</v>
      </c>
      <c r="BC87" s="6005"/>
      <c r="BD87" s="429">
        <f t="shared" si="188"/>
        <v>0</v>
      </c>
      <c r="BE87" s="5992"/>
      <c r="BF87" s="718">
        <f t="shared" si="189"/>
        <v>114086.40000000002</v>
      </c>
    </row>
    <row r="88" spans="1:60" ht="20.25" customHeight="1" x14ac:dyDescent="0.3">
      <c r="A88" s="142"/>
      <c r="B88" s="3122" t="s">
        <v>115</v>
      </c>
      <c r="C88" s="5075"/>
      <c r="D88" s="3125"/>
      <c r="E88" s="3125"/>
      <c r="F88" s="3130"/>
      <c r="G88" s="3125"/>
      <c r="H88" s="3130"/>
      <c r="I88" s="5066"/>
      <c r="J88" s="718"/>
      <c r="K88" s="3125"/>
      <c r="L88" s="3130"/>
      <c r="M88" s="5627"/>
      <c r="N88" s="717"/>
      <c r="O88" s="3125"/>
      <c r="P88" s="3130"/>
      <c r="Q88" s="5066"/>
      <c r="R88" s="718"/>
      <c r="S88" s="3125"/>
      <c r="T88" s="3130"/>
      <c r="U88" s="5066"/>
      <c r="V88" s="718"/>
      <c r="W88" s="3125"/>
      <c r="X88" s="3130"/>
      <c r="Y88" s="5627"/>
      <c r="Z88" s="5627"/>
      <c r="AA88" s="5637"/>
      <c r="AB88" s="429"/>
      <c r="AC88" s="3125"/>
      <c r="AD88" s="3130"/>
      <c r="AE88" s="5066"/>
      <c r="AF88" s="718"/>
      <c r="AG88" s="3125"/>
      <c r="AH88" s="3130"/>
      <c r="AI88" s="5066"/>
      <c r="AJ88" s="718"/>
      <c r="AK88" s="3125"/>
      <c r="AL88" s="3130"/>
      <c r="AM88" s="5627"/>
      <c r="AN88" s="717"/>
      <c r="AO88" s="5066"/>
      <c r="AP88" s="718"/>
      <c r="AQ88" s="3125"/>
      <c r="AR88" s="3130"/>
      <c r="AS88" s="5066"/>
      <c r="AT88" s="718"/>
      <c r="AU88" s="3125"/>
      <c r="AV88" s="3130"/>
      <c r="AW88" s="5066"/>
      <c r="AX88" s="718"/>
      <c r="AY88" s="3125"/>
      <c r="AZ88" s="3130"/>
      <c r="BA88" s="5627"/>
      <c r="BB88" s="717"/>
      <c r="BC88" s="5637"/>
      <c r="BD88" s="429"/>
      <c r="BE88" s="5066"/>
      <c r="BF88" s="718"/>
    </row>
    <row r="89" spans="1:60" ht="20.25" customHeight="1" x14ac:dyDescent="0.3">
      <c r="A89" s="88"/>
      <c r="B89" s="926" t="s">
        <v>22</v>
      </c>
      <c r="C89" s="146" t="s">
        <v>50</v>
      </c>
      <c r="D89" s="6048">
        <f>+D76</f>
        <v>850000</v>
      </c>
      <c r="E89" s="6048">
        <f>+E76</f>
        <v>56000</v>
      </c>
      <c r="F89" s="1094">
        <v>40321.253000000004</v>
      </c>
      <c r="G89" s="6048">
        <f>+G76</f>
        <v>59500</v>
      </c>
      <c r="H89" s="1094">
        <v>23655.179</v>
      </c>
      <c r="I89" s="5990">
        <f>+E89+G89</f>
        <v>115500</v>
      </c>
      <c r="J89" s="718">
        <f t="shared" ref="J89:J167" si="218">F89+H89</f>
        <v>63976.432000000001</v>
      </c>
      <c r="K89" s="6048">
        <f>+K76</f>
        <v>62500</v>
      </c>
      <c r="L89" s="1094"/>
      <c r="M89" s="6018">
        <f>+I89+K89</f>
        <v>178000</v>
      </c>
      <c r="N89" s="717">
        <f t="shared" si="170"/>
        <v>63976.432000000001</v>
      </c>
      <c r="O89" s="6048">
        <f>+O76</f>
        <v>65000</v>
      </c>
      <c r="P89" s="1094"/>
      <c r="Q89" s="5990">
        <f>+M89+O89</f>
        <v>243000</v>
      </c>
      <c r="R89" s="718">
        <f t="shared" si="172"/>
        <v>63976.432000000001</v>
      </c>
      <c r="S89" s="6048">
        <f>+S76</f>
        <v>65000</v>
      </c>
      <c r="T89" s="1094"/>
      <c r="U89" s="5990">
        <f>+Q89+S89</f>
        <v>308000</v>
      </c>
      <c r="V89" s="718">
        <f t="shared" si="174"/>
        <v>63976.432000000001</v>
      </c>
      <c r="W89" s="6048">
        <f>+W76</f>
        <v>33500</v>
      </c>
      <c r="X89" s="1094"/>
      <c r="Y89" s="6018">
        <f>O89+S89+W89</f>
        <v>163500</v>
      </c>
      <c r="Z89" s="6018">
        <f t="shared" ref="Z89:Z91" si="219">+P89+T89+X89</f>
        <v>0</v>
      </c>
      <c r="AA89" s="6003">
        <f>M89+Y89</f>
        <v>341500</v>
      </c>
      <c r="AB89" s="429">
        <f>X89+V89</f>
        <v>63976.432000000001</v>
      </c>
      <c r="AC89" s="6048">
        <f>+AC76</f>
        <v>67000</v>
      </c>
      <c r="AD89" s="1094"/>
      <c r="AE89" s="5990">
        <f>+AA89+AC89</f>
        <v>408500</v>
      </c>
      <c r="AF89" s="718">
        <f t="shared" si="178"/>
        <v>63976.432000000001</v>
      </c>
      <c r="AG89" s="6048">
        <f>+AG76</f>
        <v>65000</v>
      </c>
      <c r="AH89" s="1094"/>
      <c r="AI89" s="5990">
        <f>+AE89+AG89</f>
        <v>473500</v>
      </c>
      <c r="AJ89" s="718">
        <f t="shared" si="180"/>
        <v>63976.432000000001</v>
      </c>
      <c r="AK89" s="6048">
        <f>+AK76</f>
        <v>67500</v>
      </c>
      <c r="AL89" s="1094"/>
      <c r="AM89" s="6018">
        <f>AC89+AG89+AK89</f>
        <v>199500</v>
      </c>
      <c r="AN89" s="717">
        <f t="shared" ref="AN89:AN91" si="220">+AD89+AH89+AL89</f>
        <v>0</v>
      </c>
      <c r="AO89" s="5990">
        <f>+AK89+AI89</f>
        <v>541000</v>
      </c>
      <c r="AP89" s="718">
        <f>AL89+AJ89</f>
        <v>63976.432000000001</v>
      </c>
      <c r="AQ89" s="6048">
        <f>+AQ76</f>
        <v>68000</v>
      </c>
      <c r="AR89" s="1094"/>
      <c r="AS89" s="5990">
        <f>+AO89+AQ89</f>
        <v>609000</v>
      </c>
      <c r="AT89" s="718">
        <f t="shared" si="184"/>
        <v>63976.432000000001</v>
      </c>
      <c r="AU89" s="6048">
        <f>+AU76</f>
        <v>61000</v>
      </c>
      <c r="AV89" s="1094"/>
      <c r="AW89" s="5990">
        <f>+AS89+AU89</f>
        <v>670000</v>
      </c>
      <c r="AX89" s="718">
        <f t="shared" si="186"/>
        <v>63976.432000000001</v>
      </c>
      <c r="AY89" s="6048">
        <f>+AY76</f>
        <v>68500</v>
      </c>
      <c r="AZ89" s="1094"/>
      <c r="BA89" s="6018">
        <f>AQ89+AU89+AY89</f>
        <v>197500</v>
      </c>
      <c r="BB89" s="717">
        <f t="shared" ref="BB89:BB91" si="221">+AR89+AV89+AZ89</f>
        <v>0</v>
      </c>
      <c r="BC89" s="6003">
        <f>AM89+BA89</f>
        <v>397000</v>
      </c>
      <c r="BD89" s="429">
        <f t="shared" si="188"/>
        <v>0</v>
      </c>
      <c r="BE89" s="5990">
        <f>+AA89+BC89</f>
        <v>738500</v>
      </c>
      <c r="BF89" s="718">
        <f t="shared" si="189"/>
        <v>63976.432000000001</v>
      </c>
    </row>
    <row r="90" spans="1:60" ht="20.25" customHeight="1" x14ac:dyDescent="0.3">
      <c r="A90" s="88"/>
      <c r="B90" s="926" t="s">
        <v>23</v>
      </c>
      <c r="C90" s="146" t="s">
        <v>50</v>
      </c>
      <c r="D90" s="6049"/>
      <c r="E90" s="6049"/>
      <c r="F90" s="1094">
        <v>10219.67</v>
      </c>
      <c r="G90" s="6049"/>
      <c r="H90" s="1094">
        <v>5140.2700000000023</v>
      </c>
      <c r="I90" s="5991"/>
      <c r="J90" s="718">
        <f t="shared" si="218"/>
        <v>15359.940000000002</v>
      </c>
      <c r="K90" s="6049"/>
      <c r="L90" s="1094"/>
      <c r="M90" s="6019"/>
      <c r="N90" s="717">
        <f t="shared" si="170"/>
        <v>15359.940000000002</v>
      </c>
      <c r="O90" s="6049"/>
      <c r="P90" s="1094"/>
      <c r="Q90" s="5991"/>
      <c r="R90" s="718">
        <f t="shared" ref="R90:R169" si="222">N90+P90</f>
        <v>15359.940000000002</v>
      </c>
      <c r="S90" s="6049"/>
      <c r="T90" s="1094"/>
      <c r="U90" s="5991"/>
      <c r="V90" s="718">
        <f t="shared" ref="V90:V169" si="223">R90+T90</f>
        <v>15359.940000000002</v>
      </c>
      <c r="W90" s="6049"/>
      <c r="X90" s="1094"/>
      <c r="Y90" s="6019">
        <f t="shared" ref="Y90:Y91" si="224">O90+S90+W90</f>
        <v>0</v>
      </c>
      <c r="Z90" s="6019">
        <f t="shared" si="219"/>
        <v>0</v>
      </c>
      <c r="AA90" s="6004"/>
      <c r="AB90" s="429">
        <f>X90+V90</f>
        <v>15359.940000000002</v>
      </c>
      <c r="AC90" s="6049"/>
      <c r="AD90" s="1094"/>
      <c r="AE90" s="5991"/>
      <c r="AF90" s="718">
        <f t="shared" ref="AF90:AF169" si="225">AB90+AD90</f>
        <v>15359.940000000002</v>
      </c>
      <c r="AG90" s="6049"/>
      <c r="AH90" s="1094"/>
      <c r="AI90" s="5991"/>
      <c r="AJ90" s="718">
        <f t="shared" ref="AJ90:AJ169" si="226">AF90+AH90</f>
        <v>15359.940000000002</v>
      </c>
      <c r="AK90" s="6049"/>
      <c r="AL90" s="1094"/>
      <c r="AM90" s="6019">
        <f t="shared" ref="AM90:AM91" si="227">AC90+AG90+AK90</f>
        <v>0</v>
      </c>
      <c r="AN90" s="717">
        <f t="shared" si="220"/>
        <v>0</v>
      </c>
      <c r="AO90" s="5991"/>
      <c r="AP90" s="718">
        <f>AL90+AJ90</f>
        <v>15359.940000000002</v>
      </c>
      <c r="AQ90" s="6049"/>
      <c r="AR90" s="1094"/>
      <c r="AS90" s="5991"/>
      <c r="AT90" s="718">
        <f t="shared" ref="AT90:AT169" si="228">AP90+AR90</f>
        <v>15359.940000000002</v>
      </c>
      <c r="AU90" s="6049"/>
      <c r="AV90" s="1094"/>
      <c r="AW90" s="5991"/>
      <c r="AX90" s="718">
        <f t="shared" ref="AX90:AX169" si="229">AT90+AV90</f>
        <v>15359.940000000002</v>
      </c>
      <c r="AY90" s="6049"/>
      <c r="AZ90" s="1094"/>
      <c r="BA90" s="6019">
        <f t="shared" ref="BA90:BA91" si="230">AQ90+AU90+AY90</f>
        <v>0</v>
      </c>
      <c r="BB90" s="717">
        <f t="shared" si="221"/>
        <v>0</v>
      </c>
      <c r="BC90" s="6004"/>
      <c r="BD90" s="429">
        <f t="shared" si="188"/>
        <v>0</v>
      </c>
      <c r="BE90" s="5991"/>
      <c r="BF90" s="718">
        <f t="shared" si="189"/>
        <v>15359.940000000002</v>
      </c>
      <c r="BH90" s="23"/>
    </row>
    <row r="91" spans="1:60" x14ac:dyDescent="0.3">
      <c r="A91" s="88"/>
      <c r="B91" s="3123" t="s">
        <v>2</v>
      </c>
      <c r="C91" s="146" t="s">
        <v>50</v>
      </c>
      <c r="D91" s="6050"/>
      <c r="E91" s="6050"/>
      <c r="F91" s="1589">
        <f>SUM(F89:F90)</f>
        <v>50540.923000000003</v>
      </c>
      <c r="G91" s="6050"/>
      <c r="H91" s="1589">
        <f>SUM(H89:H90)</f>
        <v>28795.449000000001</v>
      </c>
      <c r="I91" s="5992"/>
      <c r="J91" s="718">
        <f t="shared" si="218"/>
        <v>79336.372000000003</v>
      </c>
      <c r="K91" s="6050"/>
      <c r="L91" s="1589">
        <f>SUM(L89:L90)</f>
        <v>0</v>
      </c>
      <c r="M91" s="6020"/>
      <c r="N91" s="717">
        <f t="shared" si="170"/>
        <v>79336.372000000003</v>
      </c>
      <c r="O91" s="6050"/>
      <c r="P91" s="1589">
        <f>SUM(P89:P90)</f>
        <v>0</v>
      </c>
      <c r="Q91" s="5992"/>
      <c r="R91" s="718">
        <f t="shared" si="222"/>
        <v>79336.372000000003</v>
      </c>
      <c r="S91" s="6050"/>
      <c r="T91" s="1589">
        <f>SUM(T89:T90)</f>
        <v>0</v>
      </c>
      <c r="U91" s="5992"/>
      <c r="V91" s="718">
        <f t="shared" si="223"/>
        <v>79336.372000000003</v>
      </c>
      <c r="W91" s="6050"/>
      <c r="X91" s="1589">
        <f>SUM(X89:X90)</f>
        <v>0</v>
      </c>
      <c r="Y91" s="6020">
        <f t="shared" si="224"/>
        <v>0</v>
      </c>
      <c r="Z91" s="6020">
        <f t="shared" si="219"/>
        <v>0</v>
      </c>
      <c r="AA91" s="6005"/>
      <c r="AB91" s="429">
        <f>X91+V91</f>
        <v>79336.372000000003</v>
      </c>
      <c r="AC91" s="6050"/>
      <c r="AD91" s="1589">
        <f>SUM(AD89:AD90)</f>
        <v>0</v>
      </c>
      <c r="AE91" s="5992"/>
      <c r="AF91" s="718">
        <f t="shared" si="225"/>
        <v>79336.372000000003</v>
      </c>
      <c r="AG91" s="6050"/>
      <c r="AH91" s="1589">
        <f>SUM(AH89:AH90)</f>
        <v>0</v>
      </c>
      <c r="AI91" s="5992"/>
      <c r="AJ91" s="718">
        <f t="shared" si="226"/>
        <v>79336.372000000003</v>
      </c>
      <c r="AK91" s="6050"/>
      <c r="AL91" s="1589">
        <f>SUM(AL89:AL90)</f>
        <v>0</v>
      </c>
      <c r="AM91" s="6020">
        <f t="shared" si="227"/>
        <v>0</v>
      </c>
      <c r="AN91" s="717">
        <f t="shared" si="220"/>
        <v>0</v>
      </c>
      <c r="AO91" s="5992"/>
      <c r="AP91" s="718">
        <f>AL91+AJ91</f>
        <v>79336.372000000003</v>
      </c>
      <c r="AQ91" s="6050"/>
      <c r="AR91" s="1589">
        <f>SUM(AR89:AR90)</f>
        <v>0</v>
      </c>
      <c r="AS91" s="5992"/>
      <c r="AT91" s="718">
        <f t="shared" si="228"/>
        <v>79336.372000000003</v>
      </c>
      <c r="AU91" s="6050"/>
      <c r="AV91" s="1589">
        <f>SUM(AV89:AV90)</f>
        <v>0</v>
      </c>
      <c r="AW91" s="5992"/>
      <c r="AX91" s="718">
        <f t="shared" si="229"/>
        <v>79336.372000000003</v>
      </c>
      <c r="AY91" s="6050"/>
      <c r="AZ91" s="1589">
        <f>SUM(AZ89:AZ90)</f>
        <v>0</v>
      </c>
      <c r="BA91" s="6020">
        <f t="shared" si="230"/>
        <v>0</v>
      </c>
      <c r="BB91" s="717">
        <f t="shared" si="221"/>
        <v>0</v>
      </c>
      <c r="BC91" s="6005"/>
      <c r="BD91" s="429">
        <f t="shared" si="188"/>
        <v>0</v>
      </c>
      <c r="BE91" s="5992"/>
      <c r="BF91" s="718">
        <f t="shared" si="189"/>
        <v>79336.372000000003</v>
      </c>
    </row>
    <row r="92" spans="1:60" x14ac:dyDescent="0.3">
      <c r="A92" s="142"/>
      <c r="B92" s="3122" t="s">
        <v>487</v>
      </c>
      <c r="C92" s="5075"/>
      <c r="D92" s="3125"/>
      <c r="E92" s="3125"/>
      <c r="F92" s="3130"/>
      <c r="G92" s="3125"/>
      <c r="H92" s="3130"/>
      <c r="I92" s="5066"/>
      <c r="J92" s="718"/>
      <c r="K92" s="3125"/>
      <c r="L92" s="3130"/>
      <c r="M92" s="5627"/>
      <c r="N92" s="717"/>
      <c r="O92" s="3125"/>
      <c r="P92" s="3130"/>
      <c r="Q92" s="5066"/>
      <c r="R92" s="718"/>
      <c r="S92" s="3125"/>
      <c r="T92" s="3130"/>
      <c r="U92" s="5066"/>
      <c r="V92" s="718"/>
      <c r="W92" s="3125"/>
      <c r="X92" s="3130"/>
      <c r="Y92" s="5627"/>
      <c r="Z92" s="5627"/>
      <c r="AA92" s="5637"/>
      <c r="AB92" s="429"/>
      <c r="AC92" s="3125"/>
      <c r="AD92" s="3130"/>
      <c r="AE92" s="5066"/>
      <c r="AF92" s="718"/>
      <c r="AG92" s="3125"/>
      <c r="AH92" s="3130"/>
      <c r="AI92" s="5066"/>
      <c r="AJ92" s="718"/>
      <c r="AK92" s="3125"/>
      <c r="AL92" s="3130"/>
      <c r="AM92" s="5627"/>
      <c r="AN92" s="717"/>
      <c r="AO92" s="5066"/>
      <c r="AP92" s="718"/>
      <c r="AQ92" s="3125"/>
      <c r="AR92" s="3130"/>
      <c r="AS92" s="5066"/>
      <c r="AT92" s="718"/>
      <c r="AU92" s="3125"/>
      <c r="AV92" s="3130"/>
      <c r="AW92" s="5066"/>
      <c r="AX92" s="718"/>
      <c r="AY92" s="3125"/>
      <c r="AZ92" s="3130"/>
      <c r="BA92" s="5627"/>
      <c r="BB92" s="717"/>
      <c r="BC92" s="5637"/>
      <c r="BD92" s="429"/>
      <c r="BE92" s="5066"/>
      <c r="BF92" s="718"/>
    </row>
    <row r="93" spans="1:60" ht="20.25" customHeight="1" x14ac:dyDescent="0.3">
      <c r="A93" s="88"/>
      <c r="B93" s="926" t="s">
        <v>22</v>
      </c>
      <c r="C93" s="146" t="s">
        <v>50</v>
      </c>
      <c r="D93" s="6048">
        <f>+D77</f>
        <v>350000.39654600783</v>
      </c>
      <c r="E93" s="6048">
        <f>+E77</f>
        <v>20999.957109341791</v>
      </c>
      <c r="F93" s="1094">
        <v>20288.099999999999</v>
      </c>
      <c r="G93" s="6048">
        <f>+G77</f>
        <v>0.49149549403227866</v>
      </c>
      <c r="H93" s="1094">
        <v>18026.480000000003</v>
      </c>
      <c r="I93" s="5990">
        <f>+E93+G93</f>
        <v>21000.448604835823</v>
      </c>
      <c r="J93" s="718">
        <f t="shared" si="218"/>
        <v>38314.58</v>
      </c>
      <c r="K93" s="6048">
        <f>+K77</f>
        <v>48000.110883115201</v>
      </c>
      <c r="L93" s="1094"/>
      <c r="M93" s="6018">
        <f>+I93+K93</f>
        <v>69000.559487951017</v>
      </c>
      <c r="N93" s="717">
        <f t="shared" si="170"/>
        <v>38314.58</v>
      </c>
      <c r="O93" s="6048">
        <f>+O77</f>
        <v>43500.141355320899</v>
      </c>
      <c r="P93" s="1094"/>
      <c r="Q93" s="5990">
        <f>+M93+O93</f>
        <v>112500.70084327192</v>
      </c>
      <c r="R93" s="718">
        <f t="shared" si="222"/>
        <v>38314.58</v>
      </c>
      <c r="S93" s="6048">
        <f>+S77</f>
        <v>43500.141355320899</v>
      </c>
      <c r="T93" s="1094"/>
      <c r="U93" s="5990">
        <f>+Q93+S93</f>
        <v>156000.84219859281</v>
      </c>
      <c r="V93" s="718">
        <f t="shared" si="223"/>
        <v>38314.58</v>
      </c>
      <c r="W93" s="6048">
        <f>+W77</f>
        <v>15300.0147648532</v>
      </c>
      <c r="X93" s="1094"/>
      <c r="Y93" s="6018">
        <f>O93+S93+W93</f>
        <v>102300.297475495</v>
      </c>
      <c r="Z93" s="6018">
        <f t="shared" ref="Z93:Z95" si="231">+P93+T93+X93</f>
        <v>0</v>
      </c>
      <c r="AA93" s="6003">
        <f>M93+Y93</f>
        <v>171300.85696344601</v>
      </c>
      <c r="AB93" s="429">
        <f>X93+V93</f>
        <v>38314.58</v>
      </c>
      <c r="AC93" s="6048">
        <f>+AC77</f>
        <v>48999.528159756301</v>
      </c>
      <c r="AD93" s="1094"/>
      <c r="AE93" s="5990">
        <f>+AA93+AC93</f>
        <v>220300.38512320232</v>
      </c>
      <c r="AF93" s="718">
        <f t="shared" si="225"/>
        <v>38314.58</v>
      </c>
      <c r="AG93" s="6048">
        <f>+AG77</f>
        <v>45499.588455674595</v>
      </c>
      <c r="AH93" s="1094"/>
      <c r="AI93" s="5990">
        <f>+AE93+AG93</f>
        <v>265799.97357887693</v>
      </c>
      <c r="AJ93" s="718">
        <f t="shared" si="226"/>
        <v>38314.58</v>
      </c>
      <c r="AK93" s="6048">
        <f>+AK77</f>
        <v>46000.054244216401</v>
      </c>
      <c r="AL93" s="1094"/>
      <c r="AM93" s="6018">
        <f>AC93+AG93+AK93</f>
        <v>140499.17085964727</v>
      </c>
      <c r="AN93" s="717">
        <f t="shared" ref="AN93:AN95" si="232">+AD93+AH93+AL93</f>
        <v>0</v>
      </c>
      <c r="AO93" s="5990">
        <f>+AK93+AI93</f>
        <v>311800.02782309335</v>
      </c>
      <c r="AP93" s="718">
        <f>AL93+AJ93</f>
        <v>38314.58</v>
      </c>
      <c r="AQ93" s="6048">
        <f>+AQ77</f>
        <v>48499.664678463945</v>
      </c>
      <c r="AR93" s="1094"/>
      <c r="AS93" s="5990">
        <f>+AO93+AQ93</f>
        <v>360299.69250155729</v>
      </c>
      <c r="AT93" s="718">
        <f t="shared" si="228"/>
        <v>38314.58</v>
      </c>
      <c r="AU93" s="6048">
        <f>+AU77</f>
        <v>41500.010429203743</v>
      </c>
      <c r="AV93" s="1094"/>
      <c r="AW93" s="5990">
        <f>+AS93+AU93</f>
        <v>401799.70293076104</v>
      </c>
      <c r="AX93" s="718">
        <f t="shared" si="229"/>
        <v>38314.58</v>
      </c>
      <c r="AY93" s="6048">
        <f>+AY77</f>
        <v>46999.690762923987</v>
      </c>
      <c r="AZ93" s="1094"/>
      <c r="BA93" s="6018">
        <f>AQ93+AU93+AY93</f>
        <v>136999.36587059166</v>
      </c>
      <c r="BB93" s="717">
        <f t="shared" ref="BB93:BB95" si="233">+AR93+AV93+AZ93</f>
        <v>0</v>
      </c>
      <c r="BC93" s="6003">
        <f>AM93+BA93</f>
        <v>277498.53673023893</v>
      </c>
      <c r="BD93" s="429">
        <f t="shared" si="188"/>
        <v>0</v>
      </c>
      <c r="BE93" s="5990">
        <f>+AA93+BC93</f>
        <v>448799.39369368495</v>
      </c>
      <c r="BF93" s="718">
        <f t="shared" si="189"/>
        <v>38314.58</v>
      </c>
    </row>
    <row r="94" spans="1:60" ht="20.25" customHeight="1" x14ac:dyDescent="0.3">
      <c r="A94" s="88"/>
      <c r="B94" s="926" t="s">
        <v>23</v>
      </c>
      <c r="C94" s="146" t="s">
        <v>50</v>
      </c>
      <c r="D94" s="6049"/>
      <c r="E94" s="6049"/>
      <c r="F94" s="1094">
        <v>11818.610000000004</v>
      </c>
      <c r="G94" s="6049"/>
      <c r="H94" s="1094">
        <v>7887.18</v>
      </c>
      <c r="I94" s="5991"/>
      <c r="J94" s="718">
        <f t="shared" si="218"/>
        <v>19705.790000000005</v>
      </c>
      <c r="K94" s="6049"/>
      <c r="L94" s="1094"/>
      <c r="M94" s="6019"/>
      <c r="N94" s="717">
        <f t="shared" si="170"/>
        <v>19705.790000000005</v>
      </c>
      <c r="O94" s="6049"/>
      <c r="P94" s="1094"/>
      <c r="Q94" s="5991"/>
      <c r="R94" s="718">
        <f t="shared" si="222"/>
        <v>19705.790000000005</v>
      </c>
      <c r="S94" s="6049"/>
      <c r="T94" s="1094"/>
      <c r="U94" s="5991"/>
      <c r="V94" s="718">
        <f t="shared" si="223"/>
        <v>19705.790000000005</v>
      </c>
      <c r="W94" s="6049"/>
      <c r="X94" s="1094"/>
      <c r="Y94" s="6019">
        <f t="shared" ref="Y94:Y95" si="234">O94+S94+W94</f>
        <v>0</v>
      </c>
      <c r="Z94" s="6019">
        <f t="shared" si="231"/>
        <v>0</v>
      </c>
      <c r="AA94" s="6004"/>
      <c r="AB94" s="429">
        <f>X94+V94</f>
        <v>19705.790000000005</v>
      </c>
      <c r="AC94" s="6049"/>
      <c r="AD94" s="1094"/>
      <c r="AE94" s="5991"/>
      <c r="AF94" s="718">
        <f t="shared" si="225"/>
        <v>19705.790000000005</v>
      </c>
      <c r="AG94" s="6049"/>
      <c r="AH94" s="1094"/>
      <c r="AI94" s="5991"/>
      <c r="AJ94" s="718">
        <f t="shared" si="226"/>
        <v>19705.790000000005</v>
      </c>
      <c r="AK94" s="6049"/>
      <c r="AL94" s="1094"/>
      <c r="AM94" s="6019">
        <f t="shared" ref="AM94:AM95" si="235">AC94+AG94+AK94</f>
        <v>0</v>
      </c>
      <c r="AN94" s="717">
        <f t="shared" si="232"/>
        <v>0</v>
      </c>
      <c r="AO94" s="5991"/>
      <c r="AP94" s="718">
        <f>AL94+AJ94</f>
        <v>19705.790000000005</v>
      </c>
      <c r="AQ94" s="6049"/>
      <c r="AR94" s="1094"/>
      <c r="AS94" s="5991"/>
      <c r="AT94" s="718">
        <f t="shared" si="228"/>
        <v>19705.790000000005</v>
      </c>
      <c r="AU94" s="6049"/>
      <c r="AV94" s="1094"/>
      <c r="AW94" s="5991"/>
      <c r="AX94" s="718">
        <f t="shared" si="229"/>
        <v>19705.790000000005</v>
      </c>
      <c r="AY94" s="6049"/>
      <c r="AZ94" s="1094"/>
      <c r="BA94" s="6019">
        <f t="shared" ref="BA94:BA95" si="236">AQ94+AU94+AY94</f>
        <v>0</v>
      </c>
      <c r="BB94" s="717">
        <f t="shared" si="233"/>
        <v>0</v>
      </c>
      <c r="BC94" s="6004"/>
      <c r="BD94" s="429">
        <f t="shared" si="188"/>
        <v>0</v>
      </c>
      <c r="BE94" s="5991"/>
      <c r="BF94" s="718">
        <f t="shared" si="189"/>
        <v>19705.790000000005</v>
      </c>
      <c r="BH94" s="23"/>
    </row>
    <row r="95" spans="1:60" x14ac:dyDescent="0.3">
      <c r="A95" s="88"/>
      <c r="B95" s="3123" t="s">
        <v>2</v>
      </c>
      <c r="C95" s="146" t="s">
        <v>50</v>
      </c>
      <c r="D95" s="6050"/>
      <c r="E95" s="6050"/>
      <c r="F95" s="1589">
        <f>SUM(F93:F94)</f>
        <v>32106.710000000003</v>
      </c>
      <c r="G95" s="6050"/>
      <c r="H95" s="1589">
        <f>SUM(H93:H94)</f>
        <v>25913.660000000003</v>
      </c>
      <c r="I95" s="5992"/>
      <c r="J95" s="718">
        <f t="shared" si="218"/>
        <v>58020.37000000001</v>
      </c>
      <c r="K95" s="6050"/>
      <c r="L95" s="1589">
        <f>SUM(L93:L94)</f>
        <v>0</v>
      </c>
      <c r="M95" s="6020"/>
      <c r="N95" s="717">
        <f t="shared" si="170"/>
        <v>58020.37000000001</v>
      </c>
      <c r="O95" s="6050"/>
      <c r="P95" s="1589">
        <f>SUM(P93:P94)</f>
        <v>0</v>
      </c>
      <c r="Q95" s="5992"/>
      <c r="R95" s="718">
        <f t="shared" si="222"/>
        <v>58020.37000000001</v>
      </c>
      <c r="S95" s="6050"/>
      <c r="T95" s="1589">
        <f>SUM(T93:T94)</f>
        <v>0</v>
      </c>
      <c r="U95" s="5992"/>
      <c r="V95" s="718">
        <f t="shared" si="223"/>
        <v>58020.37000000001</v>
      </c>
      <c r="W95" s="6050"/>
      <c r="X95" s="1589">
        <f>SUM(X93:X94)</f>
        <v>0</v>
      </c>
      <c r="Y95" s="6020">
        <f t="shared" si="234"/>
        <v>0</v>
      </c>
      <c r="Z95" s="6020">
        <f t="shared" si="231"/>
        <v>0</v>
      </c>
      <c r="AA95" s="6005"/>
      <c r="AB95" s="429">
        <f>X95+V95</f>
        <v>58020.37000000001</v>
      </c>
      <c r="AC95" s="6050"/>
      <c r="AD95" s="1589">
        <f>SUM(AD93:AD94)</f>
        <v>0</v>
      </c>
      <c r="AE95" s="5992"/>
      <c r="AF95" s="718">
        <f t="shared" si="225"/>
        <v>58020.37000000001</v>
      </c>
      <c r="AG95" s="6050"/>
      <c r="AH95" s="1589">
        <f>SUM(AH93:AH94)</f>
        <v>0</v>
      </c>
      <c r="AI95" s="5992"/>
      <c r="AJ95" s="718">
        <f t="shared" si="226"/>
        <v>58020.37000000001</v>
      </c>
      <c r="AK95" s="6050"/>
      <c r="AL95" s="1589">
        <f>SUM(AL93:AL94)</f>
        <v>0</v>
      </c>
      <c r="AM95" s="6020">
        <f t="shared" si="235"/>
        <v>0</v>
      </c>
      <c r="AN95" s="717">
        <f t="shared" si="232"/>
        <v>0</v>
      </c>
      <c r="AO95" s="5992"/>
      <c r="AP95" s="718">
        <f>AL95+AJ95</f>
        <v>58020.37000000001</v>
      </c>
      <c r="AQ95" s="6050"/>
      <c r="AR95" s="1589">
        <f>SUM(AR93:AR94)</f>
        <v>0</v>
      </c>
      <c r="AS95" s="5992"/>
      <c r="AT95" s="718">
        <f t="shared" si="228"/>
        <v>58020.37000000001</v>
      </c>
      <c r="AU95" s="6050"/>
      <c r="AV95" s="1589">
        <f>SUM(AV93:AV94)</f>
        <v>0</v>
      </c>
      <c r="AW95" s="5992"/>
      <c r="AX95" s="718">
        <f t="shared" si="229"/>
        <v>58020.37000000001</v>
      </c>
      <c r="AY95" s="6050"/>
      <c r="AZ95" s="1589">
        <f>SUM(AZ93:AZ94)</f>
        <v>0</v>
      </c>
      <c r="BA95" s="6020">
        <f t="shared" si="236"/>
        <v>0</v>
      </c>
      <c r="BB95" s="717">
        <f t="shared" si="233"/>
        <v>0</v>
      </c>
      <c r="BC95" s="6005"/>
      <c r="BD95" s="429">
        <f t="shared" si="188"/>
        <v>0</v>
      </c>
      <c r="BE95" s="5992"/>
      <c r="BF95" s="718">
        <f t="shared" si="189"/>
        <v>58020.37000000001</v>
      </c>
    </row>
    <row r="96" spans="1:60" x14ac:dyDescent="0.3">
      <c r="A96" s="142"/>
      <c r="B96" s="790" t="s">
        <v>116</v>
      </c>
      <c r="C96" s="3204"/>
      <c r="D96" s="744"/>
      <c r="E96" s="744"/>
      <c r="F96" s="3127"/>
      <c r="G96" s="744"/>
      <c r="H96" s="3127"/>
      <c r="I96" s="652"/>
      <c r="J96" s="718"/>
      <c r="K96" s="744"/>
      <c r="L96" s="3127"/>
      <c r="M96" s="653"/>
      <c r="N96" s="717"/>
      <c r="O96" s="744"/>
      <c r="P96" s="3127"/>
      <c r="Q96" s="652"/>
      <c r="R96" s="718"/>
      <c r="S96" s="744"/>
      <c r="T96" s="3127"/>
      <c r="U96" s="652"/>
      <c r="V96" s="718"/>
      <c r="W96" s="744"/>
      <c r="X96" s="3127"/>
      <c r="Y96" s="653"/>
      <c r="Z96" s="653"/>
      <c r="AA96" s="733"/>
      <c r="AB96" s="429"/>
      <c r="AC96" s="744"/>
      <c r="AD96" s="3127"/>
      <c r="AE96" s="652"/>
      <c r="AF96" s="718"/>
      <c r="AG96" s="744"/>
      <c r="AH96" s="3127"/>
      <c r="AI96" s="652"/>
      <c r="AJ96" s="718"/>
      <c r="AK96" s="744"/>
      <c r="AL96" s="3127"/>
      <c r="AM96" s="653"/>
      <c r="AN96" s="717"/>
      <c r="AO96" s="652"/>
      <c r="AP96" s="718"/>
      <c r="AQ96" s="744"/>
      <c r="AR96" s="3127"/>
      <c r="AS96" s="652"/>
      <c r="AT96" s="718"/>
      <c r="AU96" s="744"/>
      <c r="AV96" s="3127"/>
      <c r="AW96" s="652"/>
      <c r="AX96" s="718"/>
      <c r="AY96" s="744"/>
      <c r="AZ96" s="3127"/>
      <c r="BA96" s="653"/>
      <c r="BB96" s="717"/>
      <c r="BC96" s="733"/>
      <c r="BD96" s="429"/>
      <c r="BE96" s="652"/>
      <c r="BF96" s="718"/>
    </row>
    <row r="97" spans="1:58" x14ac:dyDescent="0.3">
      <c r="A97" s="88"/>
      <c r="B97" s="3123" t="s">
        <v>22</v>
      </c>
      <c r="C97" s="146" t="s">
        <v>50</v>
      </c>
      <c r="D97" s="6048">
        <f>+D78</f>
        <v>2710000.3965460081</v>
      </c>
      <c r="E97" s="6048">
        <f>+E78</f>
        <v>181999.95710934181</v>
      </c>
      <c r="F97" s="1589">
        <f>+F81+F85+F89+F93</f>
        <v>164894.72300000003</v>
      </c>
      <c r="G97" s="6048">
        <f>+G78</f>
        <v>168000.49149549403</v>
      </c>
      <c r="H97" s="1589">
        <f>+H81+H85+H89+H93</f>
        <v>97343.181000000011</v>
      </c>
      <c r="I97" s="5990">
        <f>+E97+G97</f>
        <v>350000.44860483584</v>
      </c>
      <c r="J97" s="718">
        <f t="shared" si="218"/>
        <v>262237.90400000004</v>
      </c>
      <c r="K97" s="6048">
        <f>+K78</f>
        <v>229000.11088311521</v>
      </c>
      <c r="L97" s="1589">
        <f>+L81+L85+L89+L93</f>
        <v>0</v>
      </c>
      <c r="M97" s="6018">
        <f>+I97+K97</f>
        <v>579000.55948795099</v>
      </c>
      <c r="N97" s="717">
        <f t="shared" si="170"/>
        <v>262237.90400000004</v>
      </c>
      <c r="O97" s="6048">
        <f>+O78</f>
        <v>231500.1413553209</v>
      </c>
      <c r="P97" s="1589">
        <f>+P81+P85+P89+P93</f>
        <v>0</v>
      </c>
      <c r="Q97" s="5990">
        <f>+M97+O97</f>
        <v>810500.70084327192</v>
      </c>
      <c r="R97" s="718">
        <f t="shared" si="222"/>
        <v>262237.90400000004</v>
      </c>
      <c r="S97" s="6048">
        <f>+S78</f>
        <v>231500.1413553209</v>
      </c>
      <c r="T97" s="1589">
        <f>+T81+T85+T89+T93</f>
        <v>0</v>
      </c>
      <c r="U97" s="5990">
        <f>+Q97+S97</f>
        <v>1042000.8421985928</v>
      </c>
      <c r="V97" s="718">
        <f t="shared" si="223"/>
        <v>262237.90400000004</v>
      </c>
      <c r="W97" s="6048">
        <f>+W78</f>
        <v>121300.0147648532</v>
      </c>
      <c r="X97" s="1589">
        <f>+X81+X85+X89+X93</f>
        <v>0</v>
      </c>
      <c r="Y97" s="6018">
        <f>O97+S97+W97</f>
        <v>584300.29747549503</v>
      </c>
      <c r="Z97" s="6018">
        <f t="shared" ref="Z97:Z99" si="237">+P97+T97+X97</f>
        <v>0</v>
      </c>
      <c r="AA97" s="6003">
        <f>M97+Y97</f>
        <v>1163300.8569634459</v>
      </c>
      <c r="AB97" s="429">
        <f>X97+V97</f>
        <v>262237.90400000004</v>
      </c>
      <c r="AC97" s="6048">
        <f>+AC78</f>
        <v>236499.5281597563</v>
      </c>
      <c r="AD97" s="1589">
        <f>+AD81+AD85+AD89+AD93</f>
        <v>0</v>
      </c>
      <c r="AE97" s="5990">
        <f>+AA97+AC97</f>
        <v>1399800.3851232021</v>
      </c>
      <c r="AF97" s="718">
        <f t="shared" si="225"/>
        <v>262237.90400000004</v>
      </c>
      <c r="AG97" s="6048">
        <f>+AG78</f>
        <v>228999.58845567459</v>
      </c>
      <c r="AH97" s="1589">
        <f>+AH81+AH85+AH89+AH93</f>
        <v>0</v>
      </c>
      <c r="AI97" s="5990">
        <f>+AE97+AG97</f>
        <v>1628799.9735788768</v>
      </c>
      <c r="AJ97" s="718">
        <f t="shared" si="226"/>
        <v>262237.90400000004</v>
      </c>
      <c r="AK97" s="6048">
        <f>+AK78</f>
        <v>236500.05424421642</v>
      </c>
      <c r="AL97" s="1589">
        <f>+AL81+AL85+AL89+AL93</f>
        <v>0</v>
      </c>
      <c r="AM97" s="6018">
        <f>AC97+AG97+AK97</f>
        <v>701999.17085964733</v>
      </c>
      <c r="AN97" s="717">
        <f t="shared" ref="AN97:AN99" si="238">+AD97+AH97+AL97</f>
        <v>0</v>
      </c>
      <c r="AO97" s="5990">
        <f>+AK97+AI97</f>
        <v>1865300.0278230933</v>
      </c>
      <c r="AP97" s="718">
        <f>AL97+AJ97</f>
        <v>262237.90400000004</v>
      </c>
      <c r="AQ97" s="6048">
        <f>+AQ78</f>
        <v>239999.66467846395</v>
      </c>
      <c r="AR97" s="1589">
        <f>+AR81+AR85+AR89+AR93</f>
        <v>0</v>
      </c>
      <c r="AS97" s="5990">
        <f>+AO97+AQ97</f>
        <v>2105299.6925015571</v>
      </c>
      <c r="AT97" s="718">
        <f t="shared" si="228"/>
        <v>262237.90400000004</v>
      </c>
      <c r="AU97" s="6048">
        <f>+AU78</f>
        <v>214000.01042920374</v>
      </c>
      <c r="AV97" s="1589">
        <f>+AV81+AV85+AV89+AV93</f>
        <v>0</v>
      </c>
      <c r="AW97" s="5990">
        <f>+AS97+AU97</f>
        <v>2319299.7029307606</v>
      </c>
      <c r="AX97" s="718">
        <f t="shared" si="229"/>
        <v>262237.90400000004</v>
      </c>
      <c r="AY97" s="6048">
        <f>+AY78</f>
        <v>239999.69076292397</v>
      </c>
      <c r="AZ97" s="1589">
        <f>+AZ81+AZ85+AZ89+AZ93</f>
        <v>0</v>
      </c>
      <c r="BA97" s="6018">
        <f>AQ97+AU97+AY97</f>
        <v>693999.36587059172</v>
      </c>
      <c r="BB97" s="717">
        <f t="shared" ref="BB97:BB99" si="239">+AR97+AV97+AZ97</f>
        <v>0</v>
      </c>
      <c r="BC97" s="6003">
        <f>AM97+BA97</f>
        <v>1395998.5367302392</v>
      </c>
      <c r="BD97" s="429">
        <f t="shared" si="188"/>
        <v>0</v>
      </c>
      <c r="BE97" s="5990">
        <f>+AA97+BC97</f>
        <v>2559299.3936936851</v>
      </c>
      <c r="BF97" s="718">
        <f t="shared" si="189"/>
        <v>262237.90400000004</v>
      </c>
    </row>
    <row r="98" spans="1:58" x14ac:dyDescent="0.3">
      <c r="A98" s="88"/>
      <c r="B98" s="3126" t="s">
        <v>23</v>
      </c>
      <c r="C98" s="192" t="s">
        <v>50</v>
      </c>
      <c r="D98" s="6049"/>
      <c r="E98" s="6049"/>
      <c r="F98" s="421">
        <f>+F82+F86+F90+F94</f>
        <v>37527.87000000001</v>
      </c>
      <c r="G98" s="6049"/>
      <c r="H98" s="421">
        <f>+H82+H86+H90+H94</f>
        <v>22119.880000000005</v>
      </c>
      <c r="I98" s="5991"/>
      <c r="J98" s="718">
        <f t="shared" si="218"/>
        <v>59647.750000000015</v>
      </c>
      <c r="K98" s="6049"/>
      <c r="L98" s="421">
        <f>+L82+L86+L90+L94</f>
        <v>0</v>
      </c>
      <c r="M98" s="6019"/>
      <c r="N98" s="717">
        <f t="shared" si="170"/>
        <v>59647.750000000015</v>
      </c>
      <c r="O98" s="6049"/>
      <c r="P98" s="421">
        <f>+P82+P86+P90+P94</f>
        <v>0</v>
      </c>
      <c r="Q98" s="5991"/>
      <c r="R98" s="718">
        <f t="shared" si="222"/>
        <v>59647.750000000015</v>
      </c>
      <c r="S98" s="6049"/>
      <c r="T98" s="421">
        <f>+T82+T86+T90+T94</f>
        <v>0</v>
      </c>
      <c r="U98" s="5991"/>
      <c r="V98" s="718">
        <f t="shared" si="223"/>
        <v>59647.750000000015</v>
      </c>
      <c r="W98" s="6049"/>
      <c r="X98" s="421">
        <f>+X82+X86+X90+X94</f>
        <v>0</v>
      </c>
      <c r="Y98" s="6019">
        <f t="shared" ref="Y98:Y99" si="240">O98+S98+W98</f>
        <v>0</v>
      </c>
      <c r="Z98" s="6019">
        <f t="shared" si="237"/>
        <v>0</v>
      </c>
      <c r="AA98" s="6004"/>
      <c r="AB98" s="429">
        <f>X98+V98</f>
        <v>59647.750000000015</v>
      </c>
      <c r="AC98" s="6049"/>
      <c r="AD98" s="421">
        <f>+AD82+AD86+AD90+AD94</f>
        <v>0</v>
      </c>
      <c r="AE98" s="5991"/>
      <c r="AF98" s="718">
        <f t="shared" si="225"/>
        <v>59647.750000000015</v>
      </c>
      <c r="AG98" s="6049"/>
      <c r="AH98" s="421">
        <f>+AH82+AH86+AH90+AH94</f>
        <v>0</v>
      </c>
      <c r="AI98" s="5991"/>
      <c r="AJ98" s="718">
        <f t="shared" si="226"/>
        <v>59647.750000000015</v>
      </c>
      <c r="AK98" s="6049"/>
      <c r="AL98" s="421">
        <f>+AL82+AL86+AL90+AL94</f>
        <v>0</v>
      </c>
      <c r="AM98" s="6019">
        <f t="shared" ref="AM98:AM99" si="241">AC98+AG98+AK98</f>
        <v>0</v>
      </c>
      <c r="AN98" s="717">
        <f t="shared" si="238"/>
        <v>0</v>
      </c>
      <c r="AO98" s="5991"/>
      <c r="AP98" s="718">
        <f>AL98+AJ98</f>
        <v>59647.750000000015</v>
      </c>
      <c r="AQ98" s="6049"/>
      <c r="AR98" s="421">
        <f>+AR82+AR86+AR90+AR94</f>
        <v>0</v>
      </c>
      <c r="AS98" s="5991"/>
      <c r="AT98" s="718">
        <f t="shared" si="228"/>
        <v>59647.750000000015</v>
      </c>
      <c r="AU98" s="6049"/>
      <c r="AV98" s="421">
        <f>+AV82+AV86+AV90+AV94</f>
        <v>0</v>
      </c>
      <c r="AW98" s="5991"/>
      <c r="AX98" s="718">
        <f t="shared" si="229"/>
        <v>59647.750000000015</v>
      </c>
      <c r="AY98" s="6049"/>
      <c r="AZ98" s="421">
        <f>+AZ82+AZ86+AZ90+AZ94</f>
        <v>0</v>
      </c>
      <c r="BA98" s="6019">
        <f t="shared" ref="BA98:BA99" si="242">AQ98+AU98+AY98</f>
        <v>0</v>
      </c>
      <c r="BB98" s="717">
        <f t="shared" si="239"/>
        <v>0</v>
      </c>
      <c r="BC98" s="6004"/>
      <c r="BD98" s="429">
        <f t="shared" si="188"/>
        <v>0</v>
      </c>
      <c r="BE98" s="5991"/>
      <c r="BF98" s="718">
        <f t="shared" si="189"/>
        <v>59647.750000000015</v>
      </c>
    </row>
    <row r="99" spans="1:58" ht="20.25" customHeight="1" x14ac:dyDescent="0.3">
      <c r="A99" s="88"/>
      <c r="B99" s="3123" t="s">
        <v>2</v>
      </c>
      <c r="C99" s="146" t="s">
        <v>50</v>
      </c>
      <c r="D99" s="6050"/>
      <c r="E99" s="6050"/>
      <c r="F99" s="1589">
        <f>SUM(F97:F98)</f>
        <v>202422.59300000005</v>
      </c>
      <c r="G99" s="6050"/>
      <c r="H99" s="1589">
        <f>SUM(H97:H98)</f>
        <v>119463.06100000002</v>
      </c>
      <c r="I99" s="5992"/>
      <c r="J99" s="718">
        <f t="shared" si="218"/>
        <v>321885.6540000001</v>
      </c>
      <c r="K99" s="6050"/>
      <c r="L99" s="1589">
        <f>SUM(L97:L98)</f>
        <v>0</v>
      </c>
      <c r="M99" s="6020"/>
      <c r="N99" s="717">
        <f t="shared" si="170"/>
        <v>321885.6540000001</v>
      </c>
      <c r="O99" s="6050"/>
      <c r="P99" s="1589">
        <f>SUM(P97:P98)</f>
        <v>0</v>
      </c>
      <c r="Q99" s="5992"/>
      <c r="R99" s="718">
        <f t="shared" si="222"/>
        <v>321885.6540000001</v>
      </c>
      <c r="S99" s="6050"/>
      <c r="T99" s="1589">
        <f>SUM(T97:T98)</f>
        <v>0</v>
      </c>
      <c r="U99" s="5992"/>
      <c r="V99" s="718">
        <f t="shared" si="223"/>
        <v>321885.6540000001</v>
      </c>
      <c r="W99" s="6050"/>
      <c r="X99" s="1589">
        <f>SUM(X97:X98)</f>
        <v>0</v>
      </c>
      <c r="Y99" s="6020">
        <f t="shared" si="240"/>
        <v>0</v>
      </c>
      <c r="Z99" s="6020">
        <f t="shared" si="237"/>
        <v>0</v>
      </c>
      <c r="AA99" s="6005"/>
      <c r="AB99" s="429">
        <f>X99+V99</f>
        <v>321885.6540000001</v>
      </c>
      <c r="AC99" s="6050"/>
      <c r="AD99" s="1589">
        <f>SUM(AD97:AD98)</f>
        <v>0</v>
      </c>
      <c r="AE99" s="5992"/>
      <c r="AF99" s="718">
        <f t="shared" si="225"/>
        <v>321885.6540000001</v>
      </c>
      <c r="AG99" s="6050"/>
      <c r="AH99" s="1589">
        <f>SUM(AH97:AH98)</f>
        <v>0</v>
      </c>
      <c r="AI99" s="5992"/>
      <c r="AJ99" s="718">
        <f t="shared" si="226"/>
        <v>321885.6540000001</v>
      </c>
      <c r="AK99" s="6050"/>
      <c r="AL99" s="1589">
        <f>SUM(AL97:AL98)</f>
        <v>0</v>
      </c>
      <c r="AM99" s="6020">
        <f t="shared" si="241"/>
        <v>0</v>
      </c>
      <c r="AN99" s="717">
        <f t="shared" si="238"/>
        <v>0</v>
      </c>
      <c r="AO99" s="5992"/>
      <c r="AP99" s="718">
        <f>AL99+AJ99</f>
        <v>321885.6540000001</v>
      </c>
      <c r="AQ99" s="6050"/>
      <c r="AR99" s="1589">
        <f>SUM(AR97:AR98)</f>
        <v>0</v>
      </c>
      <c r="AS99" s="5992"/>
      <c r="AT99" s="718">
        <f t="shared" si="228"/>
        <v>321885.6540000001</v>
      </c>
      <c r="AU99" s="6050"/>
      <c r="AV99" s="1589">
        <f>SUM(AV97:AV98)</f>
        <v>0</v>
      </c>
      <c r="AW99" s="5992"/>
      <c r="AX99" s="718">
        <f t="shared" si="229"/>
        <v>321885.6540000001</v>
      </c>
      <c r="AY99" s="6050"/>
      <c r="AZ99" s="1589">
        <f>SUM(AZ97:AZ98)</f>
        <v>0</v>
      </c>
      <c r="BA99" s="6020">
        <f t="shared" si="242"/>
        <v>0</v>
      </c>
      <c r="BB99" s="717">
        <f t="shared" si="239"/>
        <v>0</v>
      </c>
      <c r="BC99" s="6005"/>
      <c r="BD99" s="429">
        <f t="shared" si="188"/>
        <v>0</v>
      </c>
      <c r="BE99" s="5992"/>
      <c r="BF99" s="718">
        <f t="shared" si="189"/>
        <v>321885.6540000001</v>
      </c>
    </row>
    <row r="100" spans="1:58" x14ac:dyDescent="0.3">
      <c r="A100" s="88"/>
      <c r="B100" s="3123" t="s">
        <v>622</v>
      </c>
      <c r="C100" s="146" t="s">
        <v>49</v>
      </c>
      <c r="D100" s="651"/>
      <c r="E100" s="651"/>
      <c r="F100" s="3131">
        <f>+F98/F99*100</f>
        <v>18.539368280891452</v>
      </c>
      <c r="G100" s="651"/>
      <c r="H100" s="3131">
        <f>+H98/H99*100</f>
        <v>18.516083394179898</v>
      </c>
      <c r="I100" s="652"/>
      <c r="J100" s="3128">
        <f>+J98/J99*100</f>
        <v>18.530726442378199</v>
      </c>
      <c r="K100" s="651"/>
      <c r="L100" s="3131" t="e">
        <f>+L98/L99*100</f>
        <v>#DIV/0!</v>
      </c>
      <c r="M100" s="653"/>
      <c r="N100" s="576">
        <f>+N98/N99*100</f>
        <v>18.530726442378199</v>
      </c>
      <c r="O100" s="651"/>
      <c r="P100" s="3131" t="e">
        <f>+P98/P99*100</f>
        <v>#DIV/0!</v>
      </c>
      <c r="Q100" s="652"/>
      <c r="R100" s="3128">
        <f>+R98/R99*100</f>
        <v>18.530726442378199</v>
      </c>
      <c r="S100" s="651"/>
      <c r="T100" s="3131" t="e">
        <f>+T98/T99*100</f>
        <v>#DIV/0!</v>
      </c>
      <c r="U100" s="652"/>
      <c r="V100" s="3128">
        <f>+V98/V99*100</f>
        <v>18.530726442378199</v>
      </c>
      <c r="W100" s="651"/>
      <c r="X100" s="3131" t="e">
        <f>+X98/X99*100</f>
        <v>#DIV/0!</v>
      </c>
      <c r="Y100" s="653"/>
      <c r="Z100" s="653" t="e">
        <f>+Z98/Z99*100</f>
        <v>#DIV/0!</v>
      </c>
      <c r="AA100" s="733"/>
      <c r="AB100" s="5070">
        <f>+AB98/AB99*100</f>
        <v>18.530726442378199</v>
      </c>
      <c r="AC100" s="651"/>
      <c r="AD100" s="3131" t="e">
        <f>+AD98/AD99*100</f>
        <v>#DIV/0!</v>
      </c>
      <c r="AE100" s="652"/>
      <c r="AF100" s="3128">
        <f>+AF98/AF99*100</f>
        <v>18.530726442378199</v>
      </c>
      <c r="AG100" s="651"/>
      <c r="AH100" s="3131" t="e">
        <f>+AH98/AH99*100</f>
        <v>#DIV/0!</v>
      </c>
      <c r="AI100" s="652"/>
      <c r="AJ100" s="3128">
        <f>+AJ98/AJ99*100</f>
        <v>18.530726442378199</v>
      </c>
      <c r="AK100" s="651"/>
      <c r="AL100" s="3131" t="e">
        <f>+AL98/AL99*100</f>
        <v>#DIV/0!</v>
      </c>
      <c r="AM100" s="653"/>
      <c r="AN100" s="576" t="e">
        <f>+AN98/AN99*100</f>
        <v>#DIV/0!</v>
      </c>
      <c r="AO100" s="652"/>
      <c r="AP100" s="3128">
        <f>+AP98/AP99*100</f>
        <v>18.530726442378199</v>
      </c>
      <c r="AQ100" s="651"/>
      <c r="AR100" s="3131" t="e">
        <f>+AR98/AR99*100</f>
        <v>#DIV/0!</v>
      </c>
      <c r="AS100" s="652"/>
      <c r="AT100" s="3128">
        <f>+AT98/AT99*100</f>
        <v>18.530726442378199</v>
      </c>
      <c r="AU100" s="651"/>
      <c r="AV100" s="3131" t="e">
        <f>+AV98/AV99*100</f>
        <v>#DIV/0!</v>
      </c>
      <c r="AW100" s="652"/>
      <c r="AX100" s="3128">
        <f>+AX98/AX99*100</f>
        <v>18.530726442378199</v>
      </c>
      <c r="AY100" s="651"/>
      <c r="AZ100" s="3131" t="e">
        <f>+AZ98/AZ99*100</f>
        <v>#DIV/0!</v>
      </c>
      <c r="BA100" s="653"/>
      <c r="BB100" s="576" t="e">
        <f>+BB98/BB99*100</f>
        <v>#DIV/0!</v>
      </c>
      <c r="BC100" s="733"/>
      <c r="BD100" s="5070" t="e">
        <f t="shared" ref="BD100:BF100" si="243">+BD98/BD99*100</f>
        <v>#DIV/0!</v>
      </c>
      <c r="BE100" s="652"/>
      <c r="BF100" s="3128">
        <f t="shared" si="243"/>
        <v>18.530726442378199</v>
      </c>
    </row>
    <row r="101" spans="1:58" ht="49.5" customHeight="1" thickBot="1" x14ac:dyDescent="0.35">
      <c r="A101" s="142"/>
      <c r="B101" s="3132" t="s">
        <v>316</v>
      </c>
      <c r="C101" s="5077"/>
      <c r="D101" s="3133"/>
      <c r="E101" s="5553"/>
      <c r="F101" s="3133"/>
      <c r="G101" s="5553"/>
      <c r="H101" s="3133"/>
      <c r="I101" s="5618"/>
      <c r="J101" s="718"/>
      <c r="K101" s="5553"/>
      <c r="L101" s="3133"/>
      <c r="M101" s="5629"/>
      <c r="N101" s="717"/>
      <c r="O101" s="5553"/>
      <c r="P101" s="3133"/>
      <c r="Q101" s="5618"/>
      <c r="R101" s="718"/>
      <c r="S101" s="5553"/>
      <c r="T101" s="3133"/>
      <c r="U101" s="5618"/>
      <c r="V101" s="718"/>
      <c r="W101" s="5553"/>
      <c r="X101" s="3133"/>
      <c r="Y101" s="5629"/>
      <c r="Z101" s="5629"/>
      <c r="AA101" s="5639"/>
      <c r="AB101" s="429"/>
      <c r="AC101" s="5553"/>
      <c r="AD101" s="3133"/>
      <c r="AE101" s="5618"/>
      <c r="AF101" s="718"/>
      <c r="AG101" s="5553"/>
      <c r="AH101" s="3133"/>
      <c r="AI101" s="5618"/>
      <c r="AJ101" s="718"/>
      <c r="AK101" s="5553"/>
      <c r="AL101" s="3133"/>
      <c r="AM101" s="5629"/>
      <c r="AN101" s="717"/>
      <c r="AO101" s="5618"/>
      <c r="AP101" s="718"/>
      <c r="AQ101" s="5553"/>
      <c r="AR101" s="3133"/>
      <c r="AS101" s="5618"/>
      <c r="AT101" s="718"/>
      <c r="AU101" s="5553"/>
      <c r="AV101" s="3133"/>
      <c r="AW101" s="5618"/>
      <c r="AX101" s="718"/>
      <c r="AY101" s="5553"/>
      <c r="AZ101" s="3133"/>
      <c r="BA101" s="5629"/>
      <c r="BB101" s="717"/>
      <c r="BC101" s="5639"/>
      <c r="BD101" s="429"/>
      <c r="BE101" s="5618"/>
      <c r="BF101" s="718"/>
    </row>
    <row r="102" spans="1:58" x14ac:dyDescent="0.3">
      <c r="A102" s="88"/>
      <c r="B102" s="3134" t="s">
        <v>823</v>
      </c>
      <c r="C102" s="3135" t="s">
        <v>861</v>
      </c>
      <c r="D102" s="3135"/>
      <c r="E102" s="6036"/>
      <c r="F102" s="145">
        <v>20.7</v>
      </c>
      <c r="G102" s="6036"/>
      <c r="H102" s="5437">
        <v>5.7460000000000004</v>
      </c>
      <c r="I102" s="5990"/>
      <c r="J102" s="718">
        <f t="shared" si="218"/>
        <v>26.445999999999998</v>
      </c>
      <c r="K102" s="6036"/>
      <c r="L102" s="5437"/>
      <c r="M102" s="6018"/>
      <c r="N102" s="717">
        <f t="shared" si="170"/>
        <v>26.445999999999998</v>
      </c>
      <c r="O102" s="6036"/>
      <c r="P102" s="5437"/>
      <c r="Q102" s="5990"/>
      <c r="R102" s="718">
        <f t="shared" si="222"/>
        <v>26.445999999999998</v>
      </c>
      <c r="S102" s="6036"/>
      <c r="T102" s="5437"/>
      <c r="U102" s="5990"/>
      <c r="V102" s="718">
        <f t="shared" si="223"/>
        <v>26.445999999999998</v>
      </c>
      <c r="W102" s="6036"/>
      <c r="X102" s="5437"/>
      <c r="Y102" s="6018"/>
      <c r="Z102" s="6018">
        <f t="shared" ref="Z102:Z165" si="244">+P102+T102+X102</f>
        <v>0</v>
      </c>
      <c r="AA102" s="6003"/>
      <c r="AB102" s="429">
        <f t="shared" ref="AB102:AB133" si="245">X102+V102</f>
        <v>26.445999999999998</v>
      </c>
      <c r="AC102" s="6036"/>
      <c r="AD102" s="5437"/>
      <c r="AE102" s="5990"/>
      <c r="AF102" s="718">
        <f t="shared" si="225"/>
        <v>26.445999999999998</v>
      </c>
      <c r="AG102" s="6036"/>
      <c r="AH102" s="5437"/>
      <c r="AI102" s="5990"/>
      <c r="AJ102" s="718">
        <f t="shared" si="226"/>
        <v>26.445999999999998</v>
      </c>
      <c r="AK102" s="6036"/>
      <c r="AL102" s="5437"/>
      <c r="AM102" s="6018"/>
      <c r="AN102" s="717">
        <f t="shared" ref="AN102:AN165" si="246">+AD102+AH102+AL102</f>
        <v>0</v>
      </c>
      <c r="AO102" s="5990"/>
      <c r="AP102" s="718">
        <f t="shared" ref="AP102:AP133" si="247">AL102+AJ102</f>
        <v>26.445999999999998</v>
      </c>
      <c r="AQ102" s="6036"/>
      <c r="AR102" s="5437"/>
      <c r="AS102" s="5990"/>
      <c r="AT102" s="718">
        <f t="shared" si="228"/>
        <v>26.445999999999998</v>
      </c>
      <c r="AU102" s="6036"/>
      <c r="AV102" s="5437"/>
      <c r="AW102" s="5990"/>
      <c r="AX102" s="718">
        <f t="shared" si="229"/>
        <v>26.445999999999998</v>
      </c>
      <c r="AY102" s="6036"/>
      <c r="AZ102" s="5437"/>
      <c r="BA102" s="6018"/>
      <c r="BB102" s="717">
        <f t="shared" ref="BB102:BB165" si="248">+AR102+AV102+AZ102</f>
        <v>0</v>
      </c>
      <c r="BC102" s="6003"/>
      <c r="BD102" s="429">
        <f t="shared" si="188"/>
        <v>0</v>
      </c>
      <c r="BE102" s="5990"/>
      <c r="BF102" s="718">
        <f t="shared" si="189"/>
        <v>26.445999999999998</v>
      </c>
    </row>
    <row r="103" spans="1:58" ht="15.75" customHeight="1" x14ac:dyDescent="0.3">
      <c r="A103" s="88"/>
      <c r="B103" s="3144" t="s">
        <v>823</v>
      </c>
      <c r="C103" s="3145" t="s">
        <v>863</v>
      </c>
      <c r="D103" s="3145"/>
      <c r="E103" s="6037"/>
      <c r="F103" s="1095"/>
      <c r="G103" s="6037"/>
      <c r="H103" s="5438">
        <v>5.7460000000000004</v>
      </c>
      <c r="I103" s="5991"/>
      <c r="J103" s="718">
        <f t="shared" si="218"/>
        <v>5.7460000000000004</v>
      </c>
      <c r="K103" s="6037"/>
      <c r="L103" s="5438"/>
      <c r="M103" s="6019"/>
      <c r="N103" s="717">
        <f t="shared" si="170"/>
        <v>5.7460000000000004</v>
      </c>
      <c r="O103" s="6037"/>
      <c r="P103" s="5438"/>
      <c r="Q103" s="5991"/>
      <c r="R103" s="718">
        <f t="shared" si="222"/>
        <v>5.7460000000000004</v>
      </c>
      <c r="S103" s="6037"/>
      <c r="T103" s="5438"/>
      <c r="U103" s="5991"/>
      <c r="V103" s="718">
        <f t="shared" si="223"/>
        <v>5.7460000000000004</v>
      </c>
      <c r="W103" s="6037"/>
      <c r="X103" s="5438"/>
      <c r="Y103" s="6019"/>
      <c r="Z103" s="6019">
        <f t="shared" si="244"/>
        <v>0</v>
      </c>
      <c r="AA103" s="6004"/>
      <c r="AB103" s="429">
        <f t="shared" si="245"/>
        <v>5.7460000000000004</v>
      </c>
      <c r="AC103" s="6037"/>
      <c r="AD103" s="5438"/>
      <c r="AE103" s="5991"/>
      <c r="AF103" s="718">
        <f t="shared" si="225"/>
        <v>5.7460000000000004</v>
      </c>
      <c r="AG103" s="6037"/>
      <c r="AH103" s="5438"/>
      <c r="AI103" s="5991"/>
      <c r="AJ103" s="718">
        <f t="shared" si="226"/>
        <v>5.7460000000000004</v>
      </c>
      <c r="AK103" s="6037"/>
      <c r="AL103" s="5438"/>
      <c r="AM103" s="6019"/>
      <c r="AN103" s="717">
        <f t="shared" si="246"/>
        <v>0</v>
      </c>
      <c r="AO103" s="5991"/>
      <c r="AP103" s="718">
        <f t="shared" si="247"/>
        <v>5.7460000000000004</v>
      </c>
      <c r="AQ103" s="6037"/>
      <c r="AR103" s="5438"/>
      <c r="AS103" s="5991"/>
      <c r="AT103" s="718">
        <f t="shared" si="228"/>
        <v>5.7460000000000004</v>
      </c>
      <c r="AU103" s="6037"/>
      <c r="AV103" s="5438"/>
      <c r="AW103" s="5991"/>
      <c r="AX103" s="718">
        <f t="shared" si="229"/>
        <v>5.7460000000000004</v>
      </c>
      <c r="AY103" s="6037"/>
      <c r="AZ103" s="5438"/>
      <c r="BA103" s="6019"/>
      <c r="BB103" s="717">
        <f t="shared" si="248"/>
        <v>0</v>
      </c>
      <c r="BC103" s="6004"/>
      <c r="BD103" s="429">
        <f t="shared" si="188"/>
        <v>0</v>
      </c>
      <c r="BE103" s="5991"/>
      <c r="BF103" s="718">
        <f t="shared" si="189"/>
        <v>5.7460000000000004</v>
      </c>
    </row>
    <row r="104" spans="1:58" ht="15.75" customHeight="1" x14ac:dyDescent="0.3">
      <c r="A104" s="88"/>
      <c r="B104" s="3144" t="s">
        <v>823</v>
      </c>
      <c r="C104" s="3145" t="s">
        <v>837</v>
      </c>
      <c r="D104" s="3145"/>
      <c r="E104" s="6037"/>
      <c r="F104" s="1095"/>
      <c r="G104" s="6037"/>
      <c r="H104" s="5438">
        <v>8.2189999999999994</v>
      </c>
      <c r="I104" s="5991"/>
      <c r="J104" s="718">
        <f t="shared" si="218"/>
        <v>8.2189999999999994</v>
      </c>
      <c r="K104" s="6037"/>
      <c r="L104" s="5438"/>
      <c r="M104" s="6019"/>
      <c r="N104" s="717">
        <f t="shared" si="170"/>
        <v>8.2189999999999994</v>
      </c>
      <c r="O104" s="6037"/>
      <c r="P104" s="5438"/>
      <c r="Q104" s="5991"/>
      <c r="R104" s="718">
        <f t="shared" si="222"/>
        <v>8.2189999999999994</v>
      </c>
      <c r="S104" s="6037"/>
      <c r="T104" s="5438"/>
      <c r="U104" s="5991"/>
      <c r="V104" s="718">
        <f t="shared" si="223"/>
        <v>8.2189999999999994</v>
      </c>
      <c r="W104" s="6037"/>
      <c r="X104" s="5438"/>
      <c r="Y104" s="6019"/>
      <c r="Z104" s="6019">
        <f t="shared" si="244"/>
        <v>0</v>
      </c>
      <c r="AA104" s="6004"/>
      <c r="AB104" s="429">
        <f t="shared" si="245"/>
        <v>8.2189999999999994</v>
      </c>
      <c r="AC104" s="6037"/>
      <c r="AD104" s="5438"/>
      <c r="AE104" s="5991"/>
      <c r="AF104" s="718">
        <f t="shared" si="225"/>
        <v>8.2189999999999994</v>
      </c>
      <c r="AG104" s="6037"/>
      <c r="AH104" s="5438"/>
      <c r="AI104" s="5991"/>
      <c r="AJ104" s="718">
        <f t="shared" si="226"/>
        <v>8.2189999999999994</v>
      </c>
      <c r="AK104" s="6037"/>
      <c r="AL104" s="5438"/>
      <c r="AM104" s="6019"/>
      <c r="AN104" s="717">
        <f t="shared" si="246"/>
        <v>0</v>
      </c>
      <c r="AO104" s="5991"/>
      <c r="AP104" s="718">
        <f t="shared" si="247"/>
        <v>8.2189999999999994</v>
      </c>
      <c r="AQ104" s="6037"/>
      <c r="AR104" s="5438"/>
      <c r="AS104" s="5991"/>
      <c r="AT104" s="718">
        <f t="shared" si="228"/>
        <v>8.2189999999999994</v>
      </c>
      <c r="AU104" s="6037"/>
      <c r="AV104" s="5438"/>
      <c r="AW104" s="5991"/>
      <c r="AX104" s="718">
        <f t="shared" si="229"/>
        <v>8.2189999999999994</v>
      </c>
      <c r="AY104" s="6037"/>
      <c r="AZ104" s="5438"/>
      <c r="BA104" s="6019"/>
      <c r="BB104" s="717">
        <f t="shared" si="248"/>
        <v>0</v>
      </c>
      <c r="BC104" s="6004"/>
      <c r="BD104" s="429">
        <f t="shared" si="188"/>
        <v>0</v>
      </c>
      <c r="BE104" s="5991"/>
      <c r="BF104" s="718">
        <f t="shared" si="189"/>
        <v>8.2189999999999994</v>
      </c>
    </row>
    <row r="105" spans="1:58" x14ac:dyDescent="0.3">
      <c r="A105" s="88"/>
      <c r="B105" s="3136" t="s">
        <v>823</v>
      </c>
      <c r="C105" s="3137" t="s">
        <v>1446</v>
      </c>
      <c r="D105" s="3137"/>
      <c r="E105" s="6037"/>
      <c r="F105" s="1094"/>
      <c r="G105" s="6037"/>
      <c r="H105" s="5439">
        <v>6.165</v>
      </c>
      <c r="I105" s="5991"/>
      <c r="J105" s="718">
        <f t="shared" si="218"/>
        <v>6.165</v>
      </c>
      <c r="K105" s="6037"/>
      <c r="L105" s="5439"/>
      <c r="M105" s="6019"/>
      <c r="N105" s="717">
        <f t="shared" si="170"/>
        <v>6.165</v>
      </c>
      <c r="O105" s="6037"/>
      <c r="P105" s="5439"/>
      <c r="Q105" s="5991"/>
      <c r="R105" s="718">
        <f t="shared" si="222"/>
        <v>6.165</v>
      </c>
      <c r="S105" s="6037"/>
      <c r="T105" s="5439"/>
      <c r="U105" s="5991"/>
      <c r="V105" s="718">
        <f t="shared" si="223"/>
        <v>6.165</v>
      </c>
      <c r="W105" s="6037"/>
      <c r="X105" s="5439"/>
      <c r="Y105" s="6019"/>
      <c r="Z105" s="6019">
        <f t="shared" si="244"/>
        <v>0</v>
      </c>
      <c r="AA105" s="6004"/>
      <c r="AB105" s="429">
        <f t="shared" si="245"/>
        <v>6.165</v>
      </c>
      <c r="AC105" s="6037"/>
      <c r="AD105" s="5439"/>
      <c r="AE105" s="5991"/>
      <c r="AF105" s="718">
        <f t="shared" si="225"/>
        <v>6.165</v>
      </c>
      <c r="AG105" s="6037"/>
      <c r="AH105" s="5439"/>
      <c r="AI105" s="5991"/>
      <c r="AJ105" s="718">
        <f t="shared" si="226"/>
        <v>6.165</v>
      </c>
      <c r="AK105" s="6037"/>
      <c r="AL105" s="5439"/>
      <c r="AM105" s="6019"/>
      <c r="AN105" s="717">
        <f t="shared" si="246"/>
        <v>0</v>
      </c>
      <c r="AO105" s="5991"/>
      <c r="AP105" s="718">
        <f t="shared" si="247"/>
        <v>6.165</v>
      </c>
      <c r="AQ105" s="6037"/>
      <c r="AR105" s="5439"/>
      <c r="AS105" s="5991"/>
      <c r="AT105" s="718">
        <f t="shared" si="228"/>
        <v>6.165</v>
      </c>
      <c r="AU105" s="6037"/>
      <c r="AV105" s="5439"/>
      <c r="AW105" s="5991"/>
      <c r="AX105" s="718">
        <f t="shared" si="229"/>
        <v>6.165</v>
      </c>
      <c r="AY105" s="6037"/>
      <c r="AZ105" s="5439"/>
      <c r="BA105" s="6019"/>
      <c r="BB105" s="717">
        <f t="shared" si="248"/>
        <v>0</v>
      </c>
      <c r="BC105" s="6004"/>
      <c r="BD105" s="429">
        <f t="shared" si="188"/>
        <v>0</v>
      </c>
      <c r="BE105" s="5991"/>
      <c r="BF105" s="718">
        <f t="shared" si="189"/>
        <v>6.165</v>
      </c>
    </row>
    <row r="106" spans="1:58" ht="15.75" customHeight="1" x14ac:dyDescent="0.3">
      <c r="A106" s="88"/>
      <c r="B106" s="3136" t="s">
        <v>823</v>
      </c>
      <c r="C106" s="3167" t="s">
        <v>1388</v>
      </c>
      <c r="D106" s="3167"/>
      <c r="E106" s="6037"/>
      <c r="F106" s="2348"/>
      <c r="G106" s="6037"/>
      <c r="H106" s="2590"/>
      <c r="I106" s="5991"/>
      <c r="J106" s="718">
        <f t="shared" si="218"/>
        <v>0</v>
      </c>
      <c r="K106" s="6037"/>
      <c r="L106" s="2590"/>
      <c r="M106" s="6019"/>
      <c r="N106" s="717">
        <f t="shared" si="170"/>
        <v>0</v>
      </c>
      <c r="O106" s="6037"/>
      <c r="P106" s="2590"/>
      <c r="Q106" s="5991"/>
      <c r="R106" s="718">
        <f t="shared" si="222"/>
        <v>0</v>
      </c>
      <c r="S106" s="6037"/>
      <c r="T106" s="2590"/>
      <c r="U106" s="5991"/>
      <c r="V106" s="718">
        <f t="shared" si="223"/>
        <v>0</v>
      </c>
      <c r="W106" s="6037"/>
      <c r="X106" s="2590"/>
      <c r="Y106" s="6019"/>
      <c r="Z106" s="6019">
        <f t="shared" si="244"/>
        <v>0</v>
      </c>
      <c r="AA106" s="6004"/>
      <c r="AB106" s="429">
        <f t="shared" si="245"/>
        <v>0</v>
      </c>
      <c r="AC106" s="6037"/>
      <c r="AD106" s="2590"/>
      <c r="AE106" s="5991"/>
      <c r="AF106" s="718">
        <f t="shared" si="225"/>
        <v>0</v>
      </c>
      <c r="AG106" s="6037"/>
      <c r="AH106" s="2590"/>
      <c r="AI106" s="5991"/>
      <c r="AJ106" s="718">
        <f t="shared" si="226"/>
        <v>0</v>
      </c>
      <c r="AK106" s="6037"/>
      <c r="AL106" s="2590"/>
      <c r="AM106" s="6019"/>
      <c r="AN106" s="717">
        <f t="shared" si="246"/>
        <v>0</v>
      </c>
      <c r="AO106" s="5991"/>
      <c r="AP106" s="718">
        <f t="shared" si="247"/>
        <v>0</v>
      </c>
      <c r="AQ106" s="6037"/>
      <c r="AR106" s="2590"/>
      <c r="AS106" s="5991"/>
      <c r="AT106" s="718">
        <f t="shared" si="228"/>
        <v>0</v>
      </c>
      <c r="AU106" s="6037"/>
      <c r="AV106" s="2590"/>
      <c r="AW106" s="5991"/>
      <c r="AX106" s="718">
        <f t="shared" si="229"/>
        <v>0</v>
      </c>
      <c r="AY106" s="6037"/>
      <c r="AZ106" s="2590"/>
      <c r="BA106" s="6019"/>
      <c r="BB106" s="717">
        <f t="shared" si="248"/>
        <v>0</v>
      </c>
      <c r="BC106" s="6004"/>
      <c r="BD106" s="429">
        <f t="shared" si="188"/>
        <v>0</v>
      </c>
      <c r="BE106" s="5991"/>
      <c r="BF106" s="718">
        <f t="shared" si="189"/>
        <v>0</v>
      </c>
    </row>
    <row r="107" spans="1:58" x14ac:dyDescent="0.3">
      <c r="A107" s="88"/>
      <c r="B107" s="3136" t="s">
        <v>823</v>
      </c>
      <c r="C107" s="3137" t="s">
        <v>862</v>
      </c>
      <c r="D107" s="3137"/>
      <c r="E107" s="6037"/>
      <c r="F107" s="1094">
        <v>15.96</v>
      </c>
      <c r="G107" s="6037"/>
      <c r="H107" s="5439">
        <v>63.750999999999998</v>
      </c>
      <c r="I107" s="5991"/>
      <c r="J107" s="718">
        <f t="shared" si="218"/>
        <v>79.710999999999999</v>
      </c>
      <c r="K107" s="6037"/>
      <c r="L107" s="5439"/>
      <c r="M107" s="6019"/>
      <c r="N107" s="717">
        <f t="shared" si="170"/>
        <v>79.710999999999999</v>
      </c>
      <c r="O107" s="6037"/>
      <c r="P107" s="5439"/>
      <c r="Q107" s="5991"/>
      <c r="R107" s="718">
        <f t="shared" si="222"/>
        <v>79.710999999999999</v>
      </c>
      <c r="S107" s="6037"/>
      <c r="T107" s="5439"/>
      <c r="U107" s="5991"/>
      <c r="V107" s="718">
        <f t="shared" si="223"/>
        <v>79.710999999999999</v>
      </c>
      <c r="W107" s="6037"/>
      <c r="X107" s="5439"/>
      <c r="Y107" s="6019"/>
      <c r="Z107" s="6019">
        <f t="shared" si="244"/>
        <v>0</v>
      </c>
      <c r="AA107" s="6004"/>
      <c r="AB107" s="429">
        <f t="shared" si="245"/>
        <v>79.710999999999999</v>
      </c>
      <c r="AC107" s="6037"/>
      <c r="AD107" s="5439"/>
      <c r="AE107" s="5991"/>
      <c r="AF107" s="718">
        <f t="shared" si="225"/>
        <v>79.710999999999999</v>
      </c>
      <c r="AG107" s="6037"/>
      <c r="AH107" s="5439"/>
      <c r="AI107" s="5991"/>
      <c r="AJ107" s="718">
        <f t="shared" si="226"/>
        <v>79.710999999999999</v>
      </c>
      <c r="AK107" s="6037"/>
      <c r="AL107" s="5439"/>
      <c r="AM107" s="6019"/>
      <c r="AN107" s="717">
        <f t="shared" si="246"/>
        <v>0</v>
      </c>
      <c r="AO107" s="5991"/>
      <c r="AP107" s="718">
        <f t="shared" si="247"/>
        <v>79.710999999999999</v>
      </c>
      <c r="AQ107" s="6037"/>
      <c r="AR107" s="5439"/>
      <c r="AS107" s="5991"/>
      <c r="AT107" s="718">
        <f t="shared" si="228"/>
        <v>79.710999999999999</v>
      </c>
      <c r="AU107" s="6037"/>
      <c r="AV107" s="5439"/>
      <c r="AW107" s="5991"/>
      <c r="AX107" s="718">
        <f t="shared" si="229"/>
        <v>79.710999999999999</v>
      </c>
      <c r="AY107" s="6037"/>
      <c r="AZ107" s="5439"/>
      <c r="BA107" s="6019"/>
      <c r="BB107" s="717">
        <f t="shared" si="248"/>
        <v>0</v>
      </c>
      <c r="BC107" s="6004"/>
      <c r="BD107" s="429">
        <f t="shared" si="188"/>
        <v>0</v>
      </c>
      <c r="BE107" s="5991"/>
      <c r="BF107" s="718">
        <f t="shared" si="189"/>
        <v>79.710999999999999</v>
      </c>
    </row>
    <row r="108" spans="1:58" ht="15" thickBot="1" x14ac:dyDescent="0.35">
      <c r="A108" s="88"/>
      <c r="B108" s="3138" t="s">
        <v>823</v>
      </c>
      <c r="C108" s="3139" t="s">
        <v>905</v>
      </c>
      <c r="D108" s="3139"/>
      <c r="E108" s="6037"/>
      <c r="F108" s="103"/>
      <c r="G108" s="6037"/>
      <c r="H108" s="3527">
        <v>6.6550000000000002</v>
      </c>
      <c r="I108" s="5991"/>
      <c r="J108" s="718">
        <f t="shared" si="218"/>
        <v>6.6550000000000002</v>
      </c>
      <c r="K108" s="6037"/>
      <c r="L108" s="3527"/>
      <c r="M108" s="6019"/>
      <c r="N108" s="717">
        <f t="shared" si="170"/>
        <v>6.6550000000000002</v>
      </c>
      <c r="O108" s="6037"/>
      <c r="P108" s="3527"/>
      <c r="Q108" s="5991"/>
      <c r="R108" s="718">
        <f t="shared" si="222"/>
        <v>6.6550000000000002</v>
      </c>
      <c r="S108" s="6037"/>
      <c r="T108" s="3527"/>
      <c r="U108" s="5991"/>
      <c r="V108" s="718">
        <f t="shared" si="223"/>
        <v>6.6550000000000002</v>
      </c>
      <c r="W108" s="6037"/>
      <c r="X108" s="3527"/>
      <c r="Y108" s="6019"/>
      <c r="Z108" s="6019">
        <f t="shared" si="244"/>
        <v>0</v>
      </c>
      <c r="AA108" s="6004"/>
      <c r="AB108" s="429">
        <f t="shared" si="245"/>
        <v>6.6550000000000002</v>
      </c>
      <c r="AC108" s="6037"/>
      <c r="AD108" s="3527"/>
      <c r="AE108" s="5991"/>
      <c r="AF108" s="718">
        <f t="shared" si="225"/>
        <v>6.6550000000000002</v>
      </c>
      <c r="AG108" s="6037"/>
      <c r="AH108" s="3527"/>
      <c r="AI108" s="5991"/>
      <c r="AJ108" s="718">
        <f t="shared" si="226"/>
        <v>6.6550000000000002</v>
      </c>
      <c r="AK108" s="6037"/>
      <c r="AL108" s="3527"/>
      <c r="AM108" s="6019"/>
      <c r="AN108" s="717">
        <f t="shared" si="246"/>
        <v>0</v>
      </c>
      <c r="AO108" s="5991"/>
      <c r="AP108" s="718">
        <f t="shared" si="247"/>
        <v>6.6550000000000002</v>
      </c>
      <c r="AQ108" s="6037"/>
      <c r="AR108" s="3527"/>
      <c r="AS108" s="5991"/>
      <c r="AT108" s="718">
        <f t="shared" si="228"/>
        <v>6.6550000000000002</v>
      </c>
      <c r="AU108" s="6037"/>
      <c r="AV108" s="3527"/>
      <c r="AW108" s="5991"/>
      <c r="AX108" s="718">
        <f t="shared" si="229"/>
        <v>6.6550000000000002</v>
      </c>
      <c r="AY108" s="6037"/>
      <c r="AZ108" s="3527"/>
      <c r="BA108" s="6019"/>
      <c r="BB108" s="717">
        <f t="shared" si="248"/>
        <v>0</v>
      </c>
      <c r="BC108" s="6004"/>
      <c r="BD108" s="429">
        <f t="shared" si="188"/>
        <v>0</v>
      </c>
      <c r="BE108" s="5991"/>
      <c r="BF108" s="718">
        <f t="shared" si="189"/>
        <v>6.6550000000000002</v>
      </c>
    </row>
    <row r="109" spans="1:58" ht="15.75" customHeight="1" x14ac:dyDescent="0.3">
      <c r="A109" s="88"/>
      <c r="B109" s="3134" t="s">
        <v>840</v>
      </c>
      <c r="C109" s="3135" t="s">
        <v>1446</v>
      </c>
      <c r="D109" s="3135"/>
      <c r="E109" s="6037"/>
      <c r="F109" s="145"/>
      <c r="G109" s="6037"/>
      <c r="H109" s="145">
        <v>14.493</v>
      </c>
      <c r="I109" s="5991"/>
      <c r="J109" s="718">
        <f t="shared" si="218"/>
        <v>14.493</v>
      </c>
      <c r="K109" s="6037"/>
      <c r="L109" s="145"/>
      <c r="M109" s="6019"/>
      <c r="N109" s="717">
        <f t="shared" si="170"/>
        <v>14.493</v>
      </c>
      <c r="O109" s="6037"/>
      <c r="P109" s="145"/>
      <c r="Q109" s="5991"/>
      <c r="R109" s="718">
        <f t="shared" si="222"/>
        <v>14.493</v>
      </c>
      <c r="S109" s="6037"/>
      <c r="T109" s="145"/>
      <c r="U109" s="5991"/>
      <c r="V109" s="718">
        <f t="shared" si="223"/>
        <v>14.493</v>
      </c>
      <c r="W109" s="6037"/>
      <c r="X109" s="145"/>
      <c r="Y109" s="6019"/>
      <c r="Z109" s="6019">
        <f t="shared" si="244"/>
        <v>0</v>
      </c>
      <c r="AA109" s="6004"/>
      <c r="AB109" s="429">
        <f t="shared" si="245"/>
        <v>14.493</v>
      </c>
      <c r="AC109" s="6037"/>
      <c r="AD109" s="145"/>
      <c r="AE109" s="5991"/>
      <c r="AF109" s="718">
        <f t="shared" si="225"/>
        <v>14.493</v>
      </c>
      <c r="AG109" s="6037"/>
      <c r="AH109" s="145"/>
      <c r="AI109" s="5991"/>
      <c r="AJ109" s="718">
        <f t="shared" si="226"/>
        <v>14.493</v>
      </c>
      <c r="AK109" s="6037"/>
      <c r="AL109" s="145"/>
      <c r="AM109" s="6019"/>
      <c r="AN109" s="717">
        <f t="shared" si="246"/>
        <v>0</v>
      </c>
      <c r="AO109" s="5991"/>
      <c r="AP109" s="718">
        <f t="shared" si="247"/>
        <v>14.493</v>
      </c>
      <c r="AQ109" s="6037"/>
      <c r="AR109" s="145"/>
      <c r="AS109" s="5991"/>
      <c r="AT109" s="718">
        <f t="shared" si="228"/>
        <v>14.493</v>
      </c>
      <c r="AU109" s="6037"/>
      <c r="AV109" s="145"/>
      <c r="AW109" s="5991"/>
      <c r="AX109" s="718">
        <f t="shared" si="229"/>
        <v>14.493</v>
      </c>
      <c r="AY109" s="6037"/>
      <c r="AZ109" s="145"/>
      <c r="BA109" s="6019"/>
      <c r="BB109" s="717">
        <f t="shared" si="248"/>
        <v>0</v>
      </c>
      <c r="BC109" s="6004"/>
      <c r="BD109" s="429">
        <f t="shared" si="188"/>
        <v>0</v>
      </c>
      <c r="BE109" s="5991"/>
      <c r="BF109" s="718">
        <f t="shared" si="189"/>
        <v>14.493</v>
      </c>
    </row>
    <row r="110" spans="1:58" ht="15.75" customHeight="1" x14ac:dyDescent="0.3">
      <c r="A110" s="88"/>
      <c r="B110" s="3144" t="s">
        <v>840</v>
      </c>
      <c r="C110" s="3145" t="s">
        <v>1388</v>
      </c>
      <c r="D110" s="3145"/>
      <c r="E110" s="6037"/>
      <c r="F110" s="1095"/>
      <c r="G110" s="6037"/>
      <c r="H110" s="1095">
        <v>6.3659999999999997</v>
      </c>
      <c r="I110" s="5991"/>
      <c r="J110" s="718">
        <f t="shared" si="218"/>
        <v>6.3659999999999997</v>
      </c>
      <c r="K110" s="6037"/>
      <c r="L110" s="1095"/>
      <c r="M110" s="6019"/>
      <c r="N110" s="717">
        <f t="shared" si="170"/>
        <v>6.3659999999999997</v>
      </c>
      <c r="O110" s="6037"/>
      <c r="P110" s="1095"/>
      <c r="Q110" s="5991"/>
      <c r="R110" s="718">
        <f t="shared" si="222"/>
        <v>6.3659999999999997</v>
      </c>
      <c r="S110" s="6037"/>
      <c r="T110" s="1095"/>
      <c r="U110" s="5991"/>
      <c r="V110" s="718">
        <f t="shared" si="223"/>
        <v>6.3659999999999997</v>
      </c>
      <c r="W110" s="6037"/>
      <c r="X110" s="1095"/>
      <c r="Y110" s="6019"/>
      <c r="Z110" s="6019">
        <f t="shared" si="244"/>
        <v>0</v>
      </c>
      <c r="AA110" s="6004"/>
      <c r="AB110" s="429">
        <f t="shared" si="245"/>
        <v>6.3659999999999997</v>
      </c>
      <c r="AC110" s="6037"/>
      <c r="AD110" s="1095"/>
      <c r="AE110" s="5991"/>
      <c r="AF110" s="718">
        <f t="shared" si="225"/>
        <v>6.3659999999999997</v>
      </c>
      <c r="AG110" s="6037"/>
      <c r="AH110" s="1095"/>
      <c r="AI110" s="5991"/>
      <c r="AJ110" s="718">
        <f t="shared" si="226"/>
        <v>6.3659999999999997</v>
      </c>
      <c r="AK110" s="6037"/>
      <c r="AL110" s="1095"/>
      <c r="AM110" s="6019"/>
      <c r="AN110" s="717">
        <f t="shared" si="246"/>
        <v>0</v>
      </c>
      <c r="AO110" s="5991"/>
      <c r="AP110" s="718">
        <f t="shared" si="247"/>
        <v>6.3659999999999997</v>
      </c>
      <c r="AQ110" s="6037"/>
      <c r="AR110" s="1095"/>
      <c r="AS110" s="5991"/>
      <c r="AT110" s="718">
        <f t="shared" si="228"/>
        <v>6.3659999999999997</v>
      </c>
      <c r="AU110" s="6037"/>
      <c r="AV110" s="1095"/>
      <c r="AW110" s="5991"/>
      <c r="AX110" s="718">
        <f t="shared" si="229"/>
        <v>6.3659999999999997</v>
      </c>
      <c r="AY110" s="6037"/>
      <c r="AZ110" s="1095"/>
      <c r="BA110" s="6019"/>
      <c r="BB110" s="717">
        <f t="shared" si="248"/>
        <v>0</v>
      </c>
      <c r="BC110" s="6004"/>
      <c r="BD110" s="429">
        <f t="shared" si="188"/>
        <v>0</v>
      </c>
      <c r="BE110" s="5991"/>
      <c r="BF110" s="718">
        <f t="shared" si="189"/>
        <v>6.3659999999999997</v>
      </c>
    </row>
    <row r="111" spans="1:58" ht="20.25" customHeight="1" x14ac:dyDescent="0.3">
      <c r="A111" s="88"/>
      <c r="B111" s="3136" t="s">
        <v>840</v>
      </c>
      <c r="C111" s="3137" t="s">
        <v>861</v>
      </c>
      <c r="D111" s="3137"/>
      <c r="E111" s="6037"/>
      <c r="F111" s="1094">
        <v>803.82</v>
      </c>
      <c r="G111" s="6037"/>
      <c r="H111" s="1094">
        <v>485.65800000000002</v>
      </c>
      <c r="I111" s="5991"/>
      <c r="J111" s="718">
        <f t="shared" si="218"/>
        <v>1289.4780000000001</v>
      </c>
      <c r="K111" s="6037"/>
      <c r="L111" s="1094"/>
      <c r="M111" s="6019"/>
      <c r="N111" s="717">
        <f t="shared" si="170"/>
        <v>1289.4780000000001</v>
      </c>
      <c r="O111" s="6037"/>
      <c r="P111" s="1094"/>
      <c r="Q111" s="5991"/>
      <c r="R111" s="718">
        <f t="shared" si="222"/>
        <v>1289.4780000000001</v>
      </c>
      <c r="S111" s="6037"/>
      <c r="T111" s="1094"/>
      <c r="U111" s="5991"/>
      <c r="V111" s="718">
        <f t="shared" si="223"/>
        <v>1289.4780000000001</v>
      </c>
      <c r="W111" s="6037"/>
      <c r="X111" s="1094"/>
      <c r="Y111" s="6019"/>
      <c r="Z111" s="6019">
        <f t="shared" si="244"/>
        <v>0</v>
      </c>
      <c r="AA111" s="6004"/>
      <c r="AB111" s="429">
        <f t="shared" si="245"/>
        <v>1289.4780000000001</v>
      </c>
      <c r="AC111" s="6037"/>
      <c r="AD111" s="1094"/>
      <c r="AE111" s="5991"/>
      <c r="AF111" s="718">
        <f t="shared" si="225"/>
        <v>1289.4780000000001</v>
      </c>
      <c r="AG111" s="6037"/>
      <c r="AH111" s="1094"/>
      <c r="AI111" s="5991"/>
      <c r="AJ111" s="718">
        <f t="shared" si="226"/>
        <v>1289.4780000000001</v>
      </c>
      <c r="AK111" s="6037"/>
      <c r="AL111" s="1094"/>
      <c r="AM111" s="6019"/>
      <c r="AN111" s="717">
        <f t="shared" si="246"/>
        <v>0</v>
      </c>
      <c r="AO111" s="5991"/>
      <c r="AP111" s="718">
        <f t="shared" si="247"/>
        <v>1289.4780000000001</v>
      </c>
      <c r="AQ111" s="6037"/>
      <c r="AR111" s="1094"/>
      <c r="AS111" s="5991"/>
      <c r="AT111" s="718">
        <f t="shared" si="228"/>
        <v>1289.4780000000001</v>
      </c>
      <c r="AU111" s="6037"/>
      <c r="AV111" s="1094"/>
      <c r="AW111" s="5991"/>
      <c r="AX111" s="718">
        <f t="shared" si="229"/>
        <v>1289.4780000000001</v>
      </c>
      <c r="AY111" s="6037"/>
      <c r="AZ111" s="1094"/>
      <c r="BA111" s="6019"/>
      <c r="BB111" s="717">
        <f t="shared" si="248"/>
        <v>0</v>
      </c>
      <c r="BC111" s="6004"/>
      <c r="BD111" s="429">
        <f t="shared" si="188"/>
        <v>0</v>
      </c>
      <c r="BE111" s="5991"/>
      <c r="BF111" s="718">
        <f t="shared" si="189"/>
        <v>1289.4780000000001</v>
      </c>
    </row>
    <row r="112" spans="1:58" ht="20.25" customHeight="1" x14ac:dyDescent="0.3">
      <c r="A112" s="88"/>
      <c r="B112" s="3136" t="s">
        <v>840</v>
      </c>
      <c r="C112" s="4806" t="s">
        <v>863</v>
      </c>
      <c r="D112" s="4806"/>
      <c r="E112" s="6037"/>
      <c r="F112" s="4657"/>
      <c r="G112" s="6037"/>
      <c r="H112" s="4657">
        <v>6.2169999999999996</v>
      </c>
      <c r="I112" s="5991"/>
      <c r="J112" s="718">
        <f t="shared" si="218"/>
        <v>6.2169999999999996</v>
      </c>
      <c r="K112" s="6037"/>
      <c r="L112" s="4657"/>
      <c r="M112" s="6019"/>
      <c r="N112" s="717">
        <f t="shared" si="170"/>
        <v>6.2169999999999996</v>
      </c>
      <c r="O112" s="6037"/>
      <c r="P112" s="4657"/>
      <c r="Q112" s="5991"/>
      <c r="R112" s="718">
        <f t="shared" si="222"/>
        <v>6.2169999999999996</v>
      </c>
      <c r="S112" s="6037"/>
      <c r="T112" s="4657"/>
      <c r="U112" s="5991"/>
      <c r="V112" s="718">
        <f t="shared" si="223"/>
        <v>6.2169999999999996</v>
      </c>
      <c r="W112" s="6037"/>
      <c r="X112" s="4657"/>
      <c r="Y112" s="6019"/>
      <c r="Z112" s="6019">
        <f t="shared" si="244"/>
        <v>0</v>
      </c>
      <c r="AA112" s="6004"/>
      <c r="AB112" s="429">
        <f t="shared" si="245"/>
        <v>6.2169999999999996</v>
      </c>
      <c r="AC112" s="6037"/>
      <c r="AD112" s="4657"/>
      <c r="AE112" s="5991"/>
      <c r="AF112" s="718">
        <f t="shared" si="225"/>
        <v>6.2169999999999996</v>
      </c>
      <c r="AG112" s="6037"/>
      <c r="AH112" s="4657"/>
      <c r="AI112" s="5991"/>
      <c r="AJ112" s="718">
        <f t="shared" si="226"/>
        <v>6.2169999999999996</v>
      </c>
      <c r="AK112" s="6037"/>
      <c r="AL112" s="4657"/>
      <c r="AM112" s="6019"/>
      <c r="AN112" s="717">
        <f t="shared" si="246"/>
        <v>0</v>
      </c>
      <c r="AO112" s="5991"/>
      <c r="AP112" s="718">
        <f t="shared" si="247"/>
        <v>6.2169999999999996</v>
      </c>
      <c r="AQ112" s="6037"/>
      <c r="AR112" s="4657"/>
      <c r="AS112" s="5991"/>
      <c r="AT112" s="718">
        <f t="shared" si="228"/>
        <v>6.2169999999999996</v>
      </c>
      <c r="AU112" s="6037"/>
      <c r="AV112" s="4657"/>
      <c r="AW112" s="5991"/>
      <c r="AX112" s="718">
        <f t="shared" si="229"/>
        <v>6.2169999999999996</v>
      </c>
      <c r="AY112" s="6037"/>
      <c r="AZ112" s="4657"/>
      <c r="BA112" s="6019"/>
      <c r="BB112" s="717">
        <f t="shared" si="248"/>
        <v>0</v>
      </c>
      <c r="BC112" s="6004"/>
      <c r="BD112" s="429">
        <f t="shared" si="188"/>
        <v>0</v>
      </c>
      <c r="BE112" s="5991"/>
      <c r="BF112" s="718">
        <f t="shared" si="189"/>
        <v>6.2169999999999996</v>
      </c>
    </row>
    <row r="113" spans="1:58" ht="20.25" customHeight="1" x14ac:dyDescent="0.3">
      <c r="A113" s="88"/>
      <c r="B113" s="3136" t="s">
        <v>840</v>
      </c>
      <c r="C113" s="3137" t="s">
        <v>862</v>
      </c>
      <c r="D113" s="3137"/>
      <c r="E113" s="6037"/>
      <c r="F113" s="1094">
        <v>64.06</v>
      </c>
      <c r="G113" s="6037"/>
      <c r="H113" s="1094">
        <v>67.463999999999999</v>
      </c>
      <c r="I113" s="5991"/>
      <c r="J113" s="718">
        <f t="shared" si="218"/>
        <v>131.524</v>
      </c>
      <c r="K113" s="6037"/>
      <c r="L113" s="1094"/>
      <c r="M113" s="6019"/>
      <c r="N113" s="717">
        <f t="shared" si="170"/>
        <v>131.524</v>
      </c>
      <c r="O113" s="6037"/>
      <c r="P113" s="1094"/>
      <c r="Q113" s="5991"/>
      <c r="R113" s="718">
        <f t="shared" si="222"/>
        <v>131.524</v>
      </c>
      <c r="S113" s="6037"/>
      <c r="T113" s="1094"/>
      <c r="U113" s="5991"/>
      <c r="V113" s="718">
        <f t="shared" si="223"/>
        <v>131.524</v>
      </c>
      <c r="W113" s="6037"/>
      <c r="X113" s="1094"/>
      <c r="Y113" s="6019"/>
      <c r="Z113" s="6019">
        <f t="shared" si="244"/>
        <v>0</v>
      </c>
      <c r="AA113" s="6004"/>
      <c r="AB113" s="429">
        <f t="shared" si="245"/>
        <v>131.524</v>
      </c>
      <c r="AC113" s="6037"/>
      <c r="AD113" s="1094"/>
      <c r="AE113" s="5991"/>
      <c r="AF113" s="718">
        <f t="shared" si="225"/>
        <v>131.524</v>
      </c>
      <c r="AG113" s="6037"/>
      <c r="AH113" s="1094"/>
      <c r="AI113" s="5991"/>
      <c r="AJ113" s="718">
        <f t="shared" si="226"/>
        <v>131.524</v>
      </c>
      <c r="AK113" s="6037"/>
      <c r="AL113" s="1094"/>
      <c r="AM113" s="6019"/>
      <c r="AN113" s="717">
        <f t="shared" si="246"/>
        <v>0</v>
      </c>
      <c r="AO113" s="5991"/>
      <c r="AP113" s="718">
        <f t="shared" si="247"/>
        <v>131.524</v>
      </c>
      <c r="AQ113" s="6037"/>
      <c r="AR113" s="1094"/>
      <c r="AS113" s="5991"/>
      <c r="AT113" s="718">
        <f t="shared" si="228"/>
        <v>131.524</v>
      </c>
      <c r="AU113" s="6037"/>
      <c r="AV113" s="1094"/>
      <c r="AW113" s="5991"/>
      <c r="AX113" s="718">
        <f t="shared" si="229"/>
        <v>131.524</v>
      </c>
      <c r="AY113" s="6037"/>
      <c r="AZ113" s="1094"/>
      <c r="BA113" s="6019"/>
      <c r="BB113" s="717">
        <f t="shared" si="248"/>
        <v>0</v>
      </c>
      <c r="BC113" s="6004"/>
      <c r="BD113" s="429">
        <f t="shared" si="188"/>
        <v>0</v>
      </c>
      <c r="BE113" s="5991"/>
      <c r="BF113" s="718">
        <f t="shared" si="189"/>
        <v>131.524</v>
      </c>
    </row>
    <row r="114" spans="1:58" ht="15" thickBot="1" x14ac:dyDescent="0.35">
      <c r="A114" s="88"/>
      <c r="B114" s="3138" t="s">
        <v>840</v>
      </c>
      <c r="C114" s="3139" t="s">
        <v>905</v>
      </c>
      <c r="D114" s="3139"/>
      <c r="E114" s="6037"/>
      <c r="F114" s="103"/>
      <c r="G114" s="6037"/>
      <c r="H114" s="103">
        <v>10.629</v>
      </c>
      <c r="I114" s="5991"/>
      <c r="J114" s="718">
        <f t="shared" si="218"/>
        <v>10.629</v>
      </c>
      <c r="K114" s="6037"/>
      <c r="L114" s="103"/>
      <c r="M114" s="6019"/>
      <c r="N114" s="717">
        <f t="shared" si="170"/>
        <v>10.629</v>
      </c>
      <c r="O114" s="6037"/>
      <c r="P114" s="103"/>
      <c r="Q114" s="5991"/>
      <c r="R114" s="718">
        <f t="shared" si="222"/>
        <v>10.629</v>
      </c>
      <c r="S114" s="6037"/>
      <c r="T114" s="103"/>
      <c r="U114" s="5991"/>
      <c r="V114" s="718">
        <f t="shared" si="223"/>
        <v>10.629</v>
      </c>
      <c r="W114" s="6037"/>
      <c r="X114" s="103"/>
      <c r="Y114" s="6019"/>
      <c r="Z114" s="6019">
        <f t="shared" si="244"/>
        <v>0</v>
      </c>
      <c r="AA114" s="6004"/>
      <c r="AB114" s="429">
        <f t="shared" si="245"/>
        <v>10.629</v>
      </c>
      <c r="AC114" s="6037"/>
      <c r="AD114" s="103"/>
      <c r="AE114" s="5991"/>
      <c r="AF114" s="718">
        <f t="shared" si="225"/>
        <v>10.629</v>
      </c>
      <c r="AG114" s="6037"/>
      <c r="AH114" s="103"/>
      <c r="AI114" s="5991"/>
      <c r="AJ114" s="718">
        <f t="shared" si="226"/>
        <v>10.629</v>
      </c>
      <c r="AK114" s="6037"/>
      <c r="AL114" s="103"/>
      <c r="AM114" s="6019"/>
      <c r="AN114" s="717">
        <f t="shared" si="246"/>
        <v>0</v>
      </c>
      <c r="AO114" s="5991"/>
      <c r="AP114" s="718">
        <f t="shared" si="247"/>
        <v>10.629</v>
      </c>
      <c r="AQ114" s="6037"/>
      <c r="AR114" s="103"/>
      <c r="AS114" s="5991"/>
      <c r="AT114" s="718">
        <f t="shared" si="228"/>
        <v>10.629</v>
      </c>
      <c r="AU114" s="6037"/>
      <c r="AV114" s="103"/>
      <c r="AW114" s="5991"/>
      <c r="AX114" s="718">
        <f t="shared" si="229"/>
        <v>10.629</v>
      </c>
      <c r="AY114" s="6037"/>
      <c r="AZ114" s="103"/>
      <c r="BA114" s="6019"/>
      <c r="BB114" s="717">
        <f t="shared" si="248"/>
        <v>0</v>
      </c>
      <c r="BC114" s="6004"/>
      <c r="BD114" s="429">
        <f t="shared" si="188"/>
        <v>0</v>
      </c>
      <c r="BE114" s="5991"/>
      <c r="BF114" s="718">
        <f t="shared" si="189"/>
        <v>10.629</v>
      </c>
    </row>
    <row r="115" spans="1:58" ht="15.75" customHeight="1" thickBot="1" x14ac:dyDescent="0.35">
      <c r="A115" s="88"/>
      <c r="B115" s="3134" t="s">
        <v>1267</v>
      </c>
      <c r="C115" s="3135" t="s">
        <v>862</v>
      </c>
      <c r="D115" s="3135"/>
      <c r="E115" s="6037"/>
      <c r="F115" s="145"/>
      <c r="G115" s="6037"/>
      <c r="H115" s="145">
        <v>6.12</v>
      </c>
      <c r="I115" s="5991"/>
      <c r="J115" s="718">
        <f t="shared" si="218"/>
        <v>6.12</v>
      </c>
      <c r="K115" s="6037"/>
      <c r="L115" s="145"/>
      <c r="M115" s="6019"/>
      <c r="N115" s="717">
        <f t="shared" si="170"/>
        <v>6.12</v>
      </c>
      <c r="O115" s="6037"/>
      <c r="P115" s="145"/>
      <c r="Q115" s="5991"/>
      <c r="R115" s="718">
        <f t="shared" si="222"/>
        <v>6.12</v>
      </c>
      <c r="S115" s="6037"/>
      <c r="T115" s="145"/>
      <c r="U115" s="5991"/>
      <c r="V115" s="718">
        <f t="shared" si="223"/>
        <v>6.12</v>
      </c>
      <c r="W115" s="6037"/>
      <c r="X115" s="145"/>
      <c r="Y115" s="6019"/>
      <c r="Z115" s="6019">
        <f t="shared" si="244"/>
        <v>0</v>
      </c>
      <c r="AA115" s="6004"/>
      <c r="AB115" s="429">
        <f t="shared" si="245"/>
        <v>6.12</v>
      </c>
      <c r="AC115" s="6037"/>
      <c r="AD115" s="145"/>
      <c r="AE115" s="5991"/>
      <c r="AF115" s="718">
        <f t="shared" si="225"/>
        <v>6.12</v>
      </c>
      <c r="AG115" s="6037"/>
      <c r="AH115" s="145"/>
      <c r="AI115" s="5991"/>
      <c r="AJ115" s="718">
        <f t="shared" si="226"/>
        <v>6.12</v>
      </c>
      <c r="AK115" s="6037"/>
      <c r="AL115" s="145"/>
      <c r="AM115" s="6019"/>
      <c r="AN115" s="717">
        <f t="shared" si="246"/>
        <v>0</v>
      </c>
      <c r="AO115" s="5991"/>
      <c r="AP115" s="718">
        <f t="shared" si="247"/>
        <v>6.12</v>
      </c>
      <c r="AQ115" s="6037"/>
      <c r="AR115" s="145"/>
      <c r="AS115" s="5991"/>
      <c r="AT115" s="718">
        <f t="shared" si="228"/>
        <v>6.12</v>
      </c>
      <c r="AU115" s="6037"/>
      <c r="AV115" s="145"/>
      <c r="AW115" s="5991"/>
      <c r="AX115" s="718">
        <f t="shared" si="229"/>
        <v>6.12</v>
      </c>
      <c r="AY115" s="6037"/>
      <c r="AZ115" s="145"/>
      <c r="BA115" s="6019"/>
      <c r="BB115" s="717">
        <f t="shared" si="248"/>
        <v>0</v>
      </c>
      <c r="BC115" s="6004"/>
      <c r="BD115" s="429">
        <f t="shared" si="188"/>
        <v>0</v>
      </c>
      <c r="BE115" s="5991"/>
      <c r="BF115" s="718">
        <f t="shared" si="189"/>
        <v>6.12</v>
      </c>
    </row>
    <row r="116" spans="1:58" ht="15.75" customHeight="1" thickBot="1" x14ac:dyDescent="0.35">
      <c r="A116" s="88"/>
      <c r="B116" s="3134" t="s">
        <v>1267</v>
      </c>
      <c r="C116" s="3139" t="s">
        <v>905</v>
      </c>
      <c r="D116" s="3150"/>
      <c r="E116" s="6037"/>
      <c r="F116" s="3152"/>
      <c r="G116" s="6037"/>
      <c r="H116" s="3152">
        <v>9.9779999999999998</v>
      </c>
      <c r="I116" s="5991"/>
      <c r="J116" s="718">
        <f t="shared" si="218"/>
        <v>9.9779999999999998</v>
      </c>
      <c r="K116" s="6037"/>
      <c r="L116" s="3152"/>
      <c r="M116" s="6019"/>
      <c r="N116" s="717">
        <f t="shared" si="170"/>
        <v>9.9779999999999998</v>
      </c>
      <c r="O116" s="6037"/>
      <c r="P116" s="3152"/>
      <c r="Q116" s="5991"/>
      <c r="R116" s="718">
        <f t="shared" si="222"/>
        <v>9.9779999999999998</v>
      </c>
      <c r="S116" s="6037"/>
      <c r="T116" s="3152"/>
      <c r="U116" s="5991"/>
      <c r="V116" s="718">
        <f t="shared" si="223"/>
        <v>9.9779999999999998</v>
      </c>
      <c r="W116" s="6037"/>
      <c r="X116" s="3152"/>
      <c r="Y116" s="6019"/>
      <c r="Z116" s="6019">
        <f t="shared" si="244"/>
        <v>0</v>
      </c>
      <c r="AA116" s="6004"/>
      <c r="AB116" s="429">
        <f t="shared" si="245"/>
        <v>9.9779999999999998</v>
      </c>
      <c r="AC116" s="6037"/>
      <c r="AD116" s="3152"/>
      <c r="AE116" s="5991"/>
      <c r="AF116" s="718">
        <f t="shared" si="225"/>
        <v>9.9779999999999998</v>
      </c>
      <c r="AG116" s="6037"/>
      <c r="AH116" s="3152"/>
      <c r="AI116" s="5991"/>
      <c r="AJ116" s="718">
        <f t="shared" si="226"/>
        <v>9.9779999999999998</v>
      </c>
      <c r="AK116" s="6037"/>
      <c r="AL116" s="3152"/>
      <c r="AM116" s="6019"/>
      <c r="AN116" s="717">
        <f t="shared" si="246"/>
        <v>0</v>
      </c>
      <c r="AO116" s="5991"/>
      <c r="AP116" s="718">
        <f t="shared" si="247"/>
        <v>9.9779999999999998</v>
      </c>
      <c r="AQ116" s="6037"/>
      <c r="AR116" s="3152"/>
      <c r="AS116" s="5991"/>
      <c r="AT116" s="718">
        <f t="shared" si="228"/>
        <v>9.9779999999999998</v>
      </c>
      <c r="AU116" s="6037"/>
      <c r="AV116" s="3152"/>
      <c r="AW116" s="5991"/>
      <c r="AX116" s="718">
        <f t="shared" si="229"/>
        <v>9.9779999999999998</v>
      </c>
      <c r="AY116" s="6037"/>
      <c r="AZ116" s="3152"/>
      <c r="BA116" s="6019"/>
      <c r="BB116" s="717">
        <f t="shared" si="248"/>
        <v>0</v>
      </c>
      <c r="BC116" s="6004"/>
      <c r="BD116" s="429">
        <f t="shared" si="188"/>
        <v>0</v>
      </c>
      <c r="BE116" s="5991"/>
      <c r="BF116" s="718">
        <f t="shared" si="189"/>
        <v>9.9779999999999998</v>
      </c>
    </row>
    <row r="117" spans="1:58" ht="15.75" customHeight="1" thickBot="1" x14ac:dyDescent="0.35">
      <c r="A117" s="88"/>
      <c r="B117" s="3138" t="s">
        <v>1267</v>
      </c>
      <c r="C117" s="3139" t="s">
        <v>861</v>
      </c>
      <c r="D117" s="3139"/>
      <c r="E117" s="6037"/>
      <c r="F117" s="103"/>
      <c r="G117" s="6037"/>
      <c r="H117" s="103">
        <v>6.12</v>
      </c>
      <c r="I117" s="5991"/>
      <c r="J117" s="718">
        <f t="shared" si="218"/>
        <v>6.12</v>
      </c>
      <c r="K117" s="6037"/>
      <c r="L117" s="103"/>
      <c r="M117" s="6019"/>
      <c r="N117" s="717">
        <f t="shared" si="170"/>
        <v>6.12</v>
      </c>
      <c r="O117" s="6037"/>
      <c r="P117" s="103"/>
      <c r="Q117" s="5991"/>
      <c r="R117" s="718">
        <f t="shared" si="222"/>
        <v>6.12</v>
      </c>
      <c r="S117" s="6037"/>
      <c r="T117" s="103"/>
      <c r="U117" s="5991"/>
      <c r="V117" s="718">
        <f t="shared" si="223"/>
        <v>6.12</v>
      </c>
      <c r="W117" s="6037"/>
      <c r="X117" s="103"/>
      <c r="Y117" s="6019"/>
      <c r="Z117" s="6019">
        <f t="shared" si="244"/>
        <v>0</v>
      </c>
      <c r="AA117" s="6004"/>
      <c r="AB117" s="429">
        <f t="shared" si="245"/>
        <v>6.12</v>
      </c>
      <c r="AC117" s="6037"/>
      <c r="AD117" s="103"/>
      <c r="AE117" s="5991"/>
      <c r="AF117" s="718">
        <f t="shared" si="225"/>
        <v>6.12</v>
      </c>
      <c r="AG117" s="6037"/>
      <c r="AH117" s="103"/>
      <c r="AI117" s="5991"/>
      <c r="AJ117" s="718">
        <f t="shared" si="226"/>
        <v>6.12</v>
      </c>
      <c r="AK117" s="6037"/>
      <c r="AL117" s="103"/>
      <c r="AM117" s="6019"/>
      <c r="AN117" s="717">
        <f t="shared" si="246"/>
        <v>0</v>
      </c>
      <c r="AO117" s="5991"/>
      <c r="AP117" s="718">
        <f t="shared" si="247"/>
        <v>6.12</v>
      </c>
      <c r="AQ117" s="6037"/>
      <c r="AR117" s="103"/>
      <c r="AS117" s="5991"/>
      <c r="AT117" s="718">
        <f t="shared" si="228"/>
        <v>6.12</v>
      </c>
      <c r="AU117" s="6037"/>
      <c r="AV117" s="103"/>
      <c r="AW117" s="5991"/>
      <c r="AX117" s="718">
        <f t="shared" si="229"/>
        <v>6.12</v>
      </c>
      <c r="AY117" s="6037"/>
      <c r="AZ117" s="103"/>
      <c r="BA117" s="6019"/>
      <c r="BB117" s="717">
        <f t="shared" si="248"/>
        <v>0</v>
      </c>
      <c r="BC117" s="6004"/>
      <c r="BD117" s="429">
        <f t="shared" si="188"/>
        <v>0</v>
      </c>
      <c r="BE117" s="5991"/>
      <c r="BF117" s="718">
        <f t="shared" si="189"/>
        <v>6.12</v>
      </c>
    </row>
    <row r="118" spans="1:58" x14ac:dyDescent="0.3">
      <c r="A118" s="88"/>
      <c r="B118" s="3134" t="s">
        <v>824</v>
      </c>
      <c r="C118" s="3135" t="s">
        <v>861</v>
      </c>
      <c r="D118" s="3135"/>
      <c r="E118" s="6037"/>
      <c r="F118" s="145">
        <v>130.63</v>
      </c>
      <c r="G118" s="6037"/>
      <c r="H118" s="145">
        <v>78.906000000000006</v>
      </c>
      <c r="I118" s="5991"/>
      <c r="J118" s="718">
        <f t="shared" si="218"/>
        <v>209.536</v>
      </c>
      <c r="K118" s="6037"/>
      <c r="L118" s="145"/>
      <c r="M118" s="6019"/>
      <c r="N118" s="717">
        <f t="shared" si="170"/>
        <v>209.536</v>
      </c>
      <c r="O118" s="6037"/>
      <c r="P118" s="145"/>
      <c r="Q118" s="5991"/>
      <c r="R118" s="718">
        <f t="shared" si="222"/>
        <v>209.536</v>
      </c>
      <c r="S118" s="6037"/>
      <c r="T118" s="145"/>
      <c r="U118" s="5991"/>
      <c r="V118" s="718">
        <f t="shared" si="223"/>
        <v>209.536</v>
      </c>
      <c r="W118" s="6037"/>
      <c r="X118" s="145"/>
      <c r="Y118" s="6019"/>
      <c r="Z118" s="6019">
        <f t="shared" si="244"/>
        <v>0</v>
      </c>
      <c r="AA118" s="6004"/>
      <c r="AB118" s="429">
        <f t="shared" si="245"/>
        <v>209.536</v>
      </c>
      <c r="AC118" s="6037"/>
      <c r="AD118" s="145"/>
      <c r="AE118" s="5991"/>
      <c r="AF118" s="718">
        <f t="shared" si="225"/>
        <v>209.536</v>
      </c>
      <c r="AG118" s="6037"/>
      <c r="AH118" s="145"/>
      <c r="AI118" s="5991"/>
      <c r="AJ118" s="718">
        <f t="shared" si="226"/>
        <v>209.536</v>
      </c>
      <c r="AK118" s="6037"/>
      <c r="AL118" s="145"/>
      <c r="AM118" s="6019"/>
      <c r="AN118" s="717">
        <f t="shared" si="246"/>
        <v>0</v>
      </c>
      <c r="AO118" s="5991"/>
      <c r="AP118" s="718">
        <f t="shared" si="247"/>
        <v>209.536</v>
      </c>
      <c r="AQ118" s="6037"/>
      <c r="AR118" s="145"/>
      <c r="AS118" s="5991"/>
      <c r="AT118" s="718">
        <f t="shared" si="228"/>
        <v>209.536</v>
      </c>
      <c r="AU118" s="6037"/>
      <c r="AV118" s="145"/>
      <c r="AW118" s="5991"/>
      <c r="AX118" s="718">
        <f t="shared" si="229"/>
        <v>209.536</v>
      </c>
      <c r="AY118" s="6037"/>
      <c r="AZ118" s="145"/>
      <c r="BA118" s="6019"/>
      <c r="BB118" s="717">
        <f t="shared" si="248"/>
        <v>0</v>
      </c>
      <c r="BC118" s="6004"/>
      <c r="BD118" s="429">
        <f t="shared" si="188"/>
        <v>0</v>
      </c>
      <c r="BE118" s="5991"/>
      <c r="BF118" s="718">
        <f t="shared" si="189"/>
        <v>209.536</v>
      </c>
    </row>
    <row r="119" spans="1:58" x14ac:dyDescent="0.3">
      <c r="A119" s="88"/>
      <c r="B119" s="3136" t="s">
        <v>824</v>
      </c>
      <c r="C119" s="3137" t="s">
        <v>905</v>
      </c>
      <c r="D119" s="3137"/>
      <c r="E119" s="6037"/>
      <c r="F119" s="1094"/>
      <c r="G119" s="6037"/>
      <c r="H119" s="1094">
        <v>13.968999999999999</v>
      </c>
      <c r="I119" s="5991"/>
      <c r="J119" s="718">
        <f t="shared" si="218"/>
        <v>13.968999999999999</v>
      </c>
      <c r="K119" s="6037"/>
      <c r="L119" s="1094"/>
      <c r="M119" s="6019"/>
      <c r="N119" s="717">
        <f t="shared" si="170"/>
        <v>13.968999999999999</v>
      </c>
      <c r="O119" s="6037"/>
      <c r="P119" s="1094"/>
      <c r="Q119" s="5991"/>
      <c r="R119" s="718">
        <f t="shared" si="222"/>
        <v>13.968999999999999</v>
      </c>
      <c r="S119" s="6037"/>
      <c r="T119" s="1094"/>
      <c r="U119" s="5991"/>
      <c r="V119" s="718">
        <f t="shared" si="223"/>
        <v>13.968999999999999</v>
      </c>
      <c r="W119" s="6037"/>
      <c r="X119" s="1094"/>
      <c r="Y119" s="6019"/>
      <c r="Z119" s="6019">
        <f t="shared" si="244"/>
        <v>0</v>
      </c>
      <c r="AA119" s="6004"/>
      <c r="AB119" s="429">
        <f t="shared" si="245"/>
        <v>13.968999999999999</v>
      </c>
      <c r="AC119" s="6037"/>
      <c r="AD119" s="1094"/>
      <c r="AE119" s="5991"/>
      <c r="AF119" s="718">
        <f t="shared" si="225"/>
        <v>13.968999999999999</v>
      </c>
      <c r="AG119" s="6037"/>
      <c r="AH119" s="1094"/>
      <c r="AI119" s="5991"/>
      <c r="AJ119" s="718">
        <f t="shared" si="226"/>
        <v>13.968999999999999</v>
      </c>
      <c r="AK119" s="6037"/>
      <c r="AL119" s="1094"/>
      <c r="AM119" s="6019"/>
      <c r="AN119" s="717">
        <f t="shared" si="246"/>
        <v>0</v>
      </c>
      <c r="AO119" s="5991"/>
      <c r="AP119" s="718">
        <f t="shared" si="247"/>
        <v>13.968999999999999</v>
      </c>
      <c r="AQ119" s="6037"/>
      <c r="AR119" s="1094"/>
      <c r="AS119" s="5991"/>
      <c r="AT119" s="718">
        <f t="shared" si="228"/>
        <v>13.968999999999999</v>
      </c>
      <c r="AU119" s="6037"/>
      <c r="AV119" s="1094"/>
      <c r="AW119" s="5991"/>
      <c r="AX119" s="718">
        <f t="shared" si="229"/>
        <v>13.968999999999999</v>
      </c>
      <c r="AY119" s="6037"/>
      <c r="AZ119" s="1094"/>
      <c r="BA119" s="6019"/>
      <c r="BB119" s="717">
        <f t="shared" si="248"/>
        <v>0</v>
      </c>
      <c r="BC119" s="6004"/>
      <c r="BD119" s="429">
        <f t="shared" si="188"/>
        <v>0</v>
      </c>
      <c r="BE119" s="5991"/>
      <c r="BF119" s="718">
        <f t="shared" si="189"/>
        <v>13.968999999999999</v>
      </c>
    </row>
    <row r="120" spans="1:58" x14ac:dyDescent="0.3">
      <c r="A120" s="88"/>
      <c r="B120" s="3136" t="s">
        <v>824</v>
      </c>
      <c r="C120" s="3137" t="s">
        <v>863</v>
      </c>
      <c r="D120" s="3137"/>
      <c r="E120" s="6037"/>
      <c r="F120" s="1094"/>
      <c r="G120" s="6037"/>
      <c r="H120" s="1094">
        <v>74.638000000000005</v>
      </c>
      <c r="I120" s="5991"/>
      <c r="J120" s="718">
        <f t="shared" si="218"/>
        <v>74.638000000000005</v>
      </c>
      <c r="K120" s="6037"/>
      <c r="L120" s="1094"/>
      <c r="M120" s="6019"/>
      <c r="N120" s="717">
        <f t="shared" si="170"/>
        <v>74.638000000000005</v>
      </c>
      <c r="O120" s="6037"/>
      <c r="P120" s="1094"/>
      <c r="Q120" s="5991"/>
      <c r="R120" s="718">
        <f t="shared" si="222"/>
        <v>74.638000000000005</v>
      </c>
      <c r="S120" s="6037"/>
      <c r="T120" s="1094"/>
      <c r="U120" s="5991"/>
      <c r="V120" s="718">
        <f t="shared" si="223"/>
        <v>74.638000000000005</v>
      </c>
      <c r="W120" s="6037"/>
      <c r="X120" s="1094"/>
      <c r="Y120" s="6019"/>
      <c r="Z120" s="6019">
        <f t="shared" si="244"/>
        <v>0</v>
      </c>
      <c r="AA120" s="6004"/>
      <c r="AB120" s="429">
        <f t="shared" si="245"/>
        <v>74.638000000000005</v>
      </c>
      <c r="AC120" s="6037"/>
      <c r="AD120" s="1094"/>
      <c r="AE120" s="5991"/>
      <c r="AF120" s="718">
        <f t="shared" si="225"/>
        <v>74.638000000000005</v>
      </c>
      <c r="AG120" s="6037"/>
      <c r="AH120" s="1094"/>
      <c r="AI120" s="5991"/>
      <c r="AJ120" s="718">
        <f t="shared" si="226"/>
        <v>74.638000000000005</v>
      </c>
      <c r="AK120" s="6037"/>
      <c r="AL120" s="1094"/>
      <c r="AM120" s="6019"/>
      <c r="AN120" s="717">
        <f t="shared" si="246"/>
        <v>0</v>
      </c>
      <c r="AO120" s="5991"/>
      <c r="AP120" s="718">
        <f t="shared" si="247"/>
        <v>74.638000000000005</v>
      </c>
      <c r="AQ120" s="6037"/>
      <c r="AR120" s="1094"/>
      <c r="AS120" s="5991"/>
      <c r="AT120" s="718">
        <f t="shared" si="228"/>
        <v>74.638000000000005</v>
      </c>
      <c r="AU120" s="6037"/>
      <c r="AV120" s="1094"/>
      <c r="AW120" s="5991"/>
      <c r="AX120" s="718">
        <f t="shared" si="229"/>
        <v>74.638000000000005</v>
      </c>
      <c r="AY120" s="6037"/>
      <c r="AZ120" s="1094"/>
      <c r="BA120" s="6019"/>
      <c r="BB120" s="717">
        <f t="shared" si="248"/>
        <v>0</v>
      </c>
      <c r="BC120" s="6004"/>
      <c r="BD120" s="429">
        <f t="shared" si="188"/>
        <v>0</v>
      </c>
      <c r="BE120" s="5991"/>
      <c r="BF120" s="718">
        <f t="shared" si="189"/>
        <v>74.638000000000005</v>
      </c>
    </row>
    <row r="121" spans="1:58" x14ac:dyDescent="0.3">
      <c r="A121" s="88"/>
      <c r="B121" s="3136" t="s">
        <v>824</v>
      </c>
      <c r="C121" s="3137" t="s">
        <v>2271</v>
      </c>
      <c r="D121" s="4929"/>
      <c r="E121" s="6037"/>
      <c r="F121" s="4923"/>
      <c r="G121" s="6037"/>
      <c r="H121" s="4923">
        <v>8.093</v>
      </c>
      <c r="I121" s="5991"/>
      <c r="J121" s="718">
        <f t="shared" si="218"/>
        <v>8.093</v>
      </c>
      <c r="K121" s="6037"/>
      <c r="L121" s="4923"/>
      <c r="M121" s="6019"/>
      <c r="N121" s="717">
        <f t="shared" si="170"/>
        <v>8.093</v>
      </c>
      <c r="O121" s="6037"/>
      <c r="P121" s="4923"/>
      <c r="Q121" s="5991"/>
      <c r="R121" s="718">
        <f t="shared" si="222"/>
        <v>8.093</v>
      </c>
      <c r="S121" s="6037"/>
      <c r="T121" s="4923"/>
      <c r="U121" s="5991"/>
      <c r="V121" s="718">
        <f t="shared" si="223"/>
        <v>8.093</v>
      </c>
      <c r="W121" s="6037"/>
      <c r="X121" s="4923"/>
      <c r="Y121" s="6019"/>
      <c r="Z121" s="6019">
        <f t="shared" si="244"/>
        <v>0</v>
      </c>
      <c r="AA121" s="6004"/>
      <c r="AB121" s="429">
        <f t="shared" si="245"/>
        <v>8.093</v>
      </c>
      <c r="AC121" s="6037"/>
      <c r="AD121" s="4923"/>
      <c r="AE121" s="5991"/>
      <c r="AF121" s="718">
        <f t="shared" si="225"/>
        <v>8.093</v>
      </c>
      <c r="AG121" s="6037"/>
      <c r="AH121" s="4923"/>
      <c r="AI121" s="5991"/>
      <c r="AJ121" s="718">
        <f t="shared" si="226"/>
        <v>8.093</v>
      </c>
      <c r="AK121" s="6037"/>
      <c r="AL121" s="4923"/>
      <c r="AM121" s="6019"/>
      <c r="AN121" s="717">
        <f t="shared" si="246"/>
        <v>0</v>
      </c>
      <c r="AO121" s="5991"/>
      <c r="AP121" s="718">
        <f t="shared" si="247"/>
        <v>8.093</v>
      </c>
      <c r="AQ121" s="6037"/>
      <c r="AR121" s="4923"/>
      <c r="AS121" s="5991"/>
      <c r="AT121" s="718">
        <f t="shared" si="228"/>
        <v>8.093</v>
      </c>
      <c r="AU121" s="6037"/>
      <c r="AV121" s="4923"/>
      <c r="AW121" s="5991"/>
      <c r="AX121" s="718">
        <f t="shared" si="229"/>
        <v>8.093</v>
      </c>
      <c r="AY121" s="6037"/>
      <c r="AZ121" s="4923"/>
      <c r="BA121" s="6019"/>
      <c r="BB121" s="717">
        <f t="shared" si="248"/>
        <v>0</v>
      </c>
      <c r="BC121" s="6004"/>
      <c r="BD121" s="429">
        <f t="shared" si="188"/>
        <v>0</v>
      </c>
      <c r="BE121" s="5991"/>
      <c r="BF121" s="718">
        <f t="shared" si="189"/>
        <v>8.093</v>
      </c>
    </row>
    <row r="122" spans="1:58" x14ac:dyDescent="0.3">
      <c r="A122" s="88"/>
      <c r="B122" s="3136" t="s">
        <v>824</v>
      </c>
      <c r="C122" s="4929" t="s">
        <v>2272</v>
      </c>
      <c r="D122" s="4929"/>
      <c r="E122" s="6037"/>
      <c r="F122" s="4923"/>
      <c r="G122" s="6037"/>
      <c r="H122" s="4923">
        <v>5.7460000000000004</v>
      </c>
      <c r="I122" s="5991"/>
      <c r="J122" s="718">
        <f t="shared" si="218"/>
        <v>5.7460000000000004</v>
      </c>
      <c r="K122" s="6037"/>
      <c r="L122" s="4923"/>
      <c r="M122" s="6019"/>
      <c r="N122" s="717">
        <f t="shared" si="170"/>
        <v>5.7460000000000004</v>
      </c>
      <c r="O122" s="6037"/>
      <c r="P122" s="4923"/>
      <c r="Q122" s="5991"/>
      <c r="R122" s="718">
        <f t="shared" si="222"/>
        <v>5.7460000000000004</v>
      </c>
      <c r="S122" s="6037"/>
      <c r="T122" s="4923"/>
      <c r="U122" s="5991"/>
      <c r="V122" s="718">
        <f t="shared" si="223"/>
        <v>5.7460000000000004</v>
      </c>
      <c r="W122" s="6037"/>
      <c r="X122" s="4923"/>
      <c r="Y122" s="6019"/>
      <c r="Z122" s="6019">
        <f t="shared" si="244"/>
        <v>0</v>
      </c>
      <c r="AA122" s="6004"/>
      <c r="AB122" s="429">
        <f t="shared" si="245"/>
        <v>5.7460000000000004</v>
      </c>
      <c r="AC122" s="6037"/>
      <c r="AD122" s="4923"/>
      <c r="AE122" s="5991"/>
      <c r="AF122" s="718">
        <f t="shared" si="225"/>
        <v>5.7460000000000004</v>
      </c>
      <c r="AG122" s="6037"/>
      <c r="AH122" s="4923"/>
      <c r="AI122" s="5991"/>
      <c r="AJ122" s="718">
        <f t="shared" si="226"/>
        <v>5.7460000000000004</v>
      </c>
      <c r="AK122" s="6037"/>
      <c r="AL122" s="4923"/>
      <c r="AM122" s="6019"/>
      <c r="AN122" s="717">
        <f t="shared" si="246"/>
        <v>0</v>
      </c>
      <c r="AO122" s="5991"/>
      <c r="AP122" s="718">
        <f t="shared" si="247"/>
        <v>5.7460000000000004</v>
      </c>
      <c r="AQ122" s="6037"/>
      <c r="AR122" s="4923"/>
      <c r="AS122" s="5991"/>
      <c r="AT122" s="718">
        <f t="shared" si="228"/>
        <v>5.7460000000000004</v>
      </c>
      <c r="AU122" s="6037"/>
      <c r="AV122" s="4923"/>
      <c r="AW122" s="5991"/>
      <c r="AX122" s="718">
        <f t="shared" si="229"/>
        <v>5.7460000000000004</v>
      </c>
      <c r="AY122" s="6037"/>
      <c r="AZ122" s="4923"/>
      <c r="BA122" s="6019"/>
      <c r="BB122" s="717">
        <f t="shared" si="248"/>
        <v>0</v>
      </c>
      <c r="BC122" s="6004"/>
      <c r="BD122" s="429">
        <f t="shared" si="188"/>
        <v>0</v>
      </c>
      <c r="BE122" s="5991"/>
      <c r="BF122" s="718">
        <f t="shared" si="189"/>
        <v>5.7460000000000004</v>
      </c>
    </row>
    <row r="123" spans="1:58" x14ac:dyDescent="0.3">
      <c r="A123" s="88"/>
      <c r="B123" s="3136" t="s">
        <v>824</v>
      </c>
      <c r="C123" s="4929" t="s">
        <v>2273</v>
      </c>
      <c r="D123" s="4929"/>
      <c r="E123" s="6037"/>
      <c r="F123" s="4923"/>
      <c r="G123" s="6037"/>
      <c r="H123" s="4923">
        <v>7.8410000000000002</v>
      </c>
      <c r="I123" s="5991"/>
      <c r="J123" s="718">
        <f t="shared" si="218"/>
        <v>7.8410000000000002</v>
      </c>
      <c r="K123" s="6037"/>
      <c r="L123" s="4923"/>
      <c r="M123" s="6019"/>
      <c r="N123" s="717">
        <f t="shared" si="170"/>
        <v>7.8410000000000002</v>
      </c>
      <c r="O123" s="6037"/>
      <c r="P123" s="4923"/>
      <c r="Q123" s="5991"/>
      <c r="R123" s="718">
        <f t="shared" si="222"/>
        <v>7.8410000000000002</v>
      </c>
      <c r="S123" s="6037"/>
      <c r="T123" s="4923"/>
      <c r="U123" s="5991"/>
      <c r="V123" s="718">
        <f t="shared" si="223"/>
        <v>7.8410000000000002</v>
      </c>
      <c r="W123" s="6037"/>
      <c r="X123" s="4923"/>
      <c r="Y123" s="6019"/>
      <c r="Z123" s="6019">
        <f t="shared" si="244"/>
        <v>0</v>
      </c>
      <c r="AA123" s="6004"/>
      <c r="AB123" s="429">
        <f t="shared" si="245"/>
        <v>7.8410000000000002</v>
      </c>
      <c r="AC123" s="6037"/>
      <c r="AD123" s="4923"/>
      <c r="AE123" s="5991"/>
      <c r="AF123" s="718">
        <f t="shared" si="225"/>
        <v>7.8410000000000002</v>
      </c>
      <c r="AG123" s="6037"/>
      <c r="AH123" s="4923"/>
      <c r="AI123" s="5991"/>
      <c r="AJ123" s="718">
        <f t="shared" si="226"/>
        <v>7.8410000000000002</v>
      </c>
      <c r="AK123" s="6037"/>
      <c r="AL123" s="4923"/>
      <c r="AM123" s="6019"/>
      <c r="AN123" s="717">
        <f t="shared" si="246"/>
        <v>0</v>
      </c>
      <c r="AO123" s="5991"/>
      <c r="AP123" s="718">
        <f t="shared" si="247"/>
        <v>7.8410000000000002</v>
      </c>
      <c r="AQ123" s="6037"/>
      <c r="AR123" s="4923"/>
      <c r="AS123" s="5991"/>
      <c r="AT123" s="718">
        <f t="shared" si="228"/>
        <v>7.8410000000000002</v>
      </c>
      <c r="AU123" s="6037"/>
      <c r="AV123" s="4923"/>
      <c r="AW123" s="5991"/>
      <c r="AX123" s="718">
        <f t="shared" si="229"/>
        <v>7.8410000000000002</v>
      </c>
      <c r="AY123" s="6037"/>
      <c r="AZ123" s="4923"/>
      <c r="BA123" s="6019"/>
      <c r="BB123" s="717">
        <f t="shared" si="248"/>
        <v>0</v>
      </c>
      <c r="BC123" s="6004"/>
      <c r="BD123" s="429">
        <f t="shared" si="188"/>
        <v>0</v>
      </c>
      <c r="BE123" s="5991"/>
      <c r="BF123" s="718">
        <f t="shared" si="189"/>
        <v>7.8410000000000002</v>
      </c>
    </row>
    <row r="124" spans="1:58" x14ac:dyDescent="0.3">
      <c r="A124" s="88"/>
      <c r="B124" s="3136" t="s">
        <v>824</v>
      </c>
      <c r="C124" s="3137" t="s">
        <v>1446</v>
      </c>
      <c r="D124" s="3137"/>
      <c r="E124" s="6037"/>
      <c r="F124" s="1094"/>
      <c r="G124" s="6037"/>
      <c r="H124" s="1094">
        <v>163.983</v>
      </c>
      <c r="I124" s="5991"/>
      <c r="J124" s="718">
        <f t="shared" si="218"/>
        <v>163.983</v>
      </c>
      <c r="K124" s="6037"/>
      <c r="L124" s="1094"/>
      <c r="M124" s="6019"/>
      <c r="N124" s="717">
        <f t="shared" si="170"/>
        <v>163.983</v>
      </c>
      <c r="O124" s="6037"/>
      <c r="P124" s="1094"/>
      <c r="Q124" s="5991"/>
      <c r="R124" s="718">
        <f t="shared" si="222"/>
        <v>163.983</v>
      </c>
      <c r="S124" s="6037"/>
      <c r="T124" s="1094"/>
      <c r="U124" s="5991"/>
      <c r="V124" s="718">
        <f t="shared" si="223"/>
        <v>163.983</v>
      </c>
      <c r="W124" s="6037"/>
      <c r="X124" s="1094"/>
      <c r="Y124" s="6019"/>
      <c r="Z124" s="6019">
        <f t="shared" si="244"/>
        <v>0</v>
      </c>
      <c r="AA124" s="6004"/>
      <c r="AB124" s="429">
        <f t="shared" si="245"/>
        <v>163.983</v>
      </c>
      <c r="AC124" s="6037"/>
      <c r="AD124" s="1094"/>
      <c r="AE124" s="5991"/>
      <c r="AF124" s="718">
        <f t="shared" si="225"/>
        <v>163.983</v>
      </c>
      <c r="AG124" s="6037"/>
      <c r="AH124" s="1094"/>
      <c r="AI124" s="5991"/>
      <c r="AJ124" s="718">
        <f t="shared" si="226"/>
        <v>163.983</v>
      </c>
      <c r="AK124" s="6037"/>
      <c r="AL124" s="1094"/>
      <c r="AM124" s="6019"/>
      <c r="AN124" s="717">
        <f t="shared" si="246"/>
        <v>0</v>
      </c>
      <c r="AO124" s="5991"/>
      <c r="AP124" s="718">
        <f t="shared" si="247"/>
        <v>163.983</v>
      </c>
      <c r="AQ124" s="6037"/>
      <c r="AR124" s="1094"/>
      <c r="AS124" s="5991"/>
      <c r="AT124" s="718">
        <f t="shared" si="228"/>
        <v>163.983</v>
      </c>
      <c r="AU124" s="6037"/>
      <c r="AV124" s="1094"/>
      <c r="AW124" s="5991"/>
      <c r="AX124" s="718">
        <f t="shared" si="229"/>
        <v>163.983</v>
      </c>
      <c r="AY124" s="6037"/>
      <c r="AZ124" s="1094"/>
      <c r="BA124" s="6019"/>
      <c r="BB124" s="717">
        <f t="shared" si="248"/>
        <v>0</v>
      </c>
      <c r="BC124" s="6004"/>
      <c r="BD124" s="429">
        <f t="shared" si="188"/>
        <v>0</v>
      </c>
      <c r="BE124" s="5991"/>
      <c r="BF124" s="718">
        <f t="shared" si="189"/>
        <v>163.983</v>
      </c>
    </row>
    <row r="125" spans="1:58" x14ac:dyDescent="0.3">
      <c r="A125" s="88"/>
      <c r="B125" s="3136" t="s">
        <v>824</v>
      </c>
      <c r="C125" s="3137" t="s">
        <v>2274</v>
      </c>
      <c r="D125" s="4929"/>
      <c r="E125" s="6037"/>
      <c r="F125" s="4923"/>
      <c r="G125" s="6037"/>
      <c r="H125" s="4923">
        <v>64.813999999999993</v>
      </c>
      <c r="I125" s="5991"/>
      <c r="J125" s="718">
        <f t="shared" si="218"/>
        <v>64.813999999999993</v>
      </c>
      <c r="K125" s="6037"/>
      <c r="L125" s="4923"/>
      <c r="M125" s="6019"/>
      <c r="N125" s="717">
        <f t="shared" si="170"/>
        <v>64.813999999999993</v>
      </c>
      <c r="O125" s="6037"/>
      <c r="P125" s="4923"/>
      <c r="Q125" s="5991"/>
      <c r="R125" s="718">
        <f t="shared" si="222"/>
        <v>64.813999999999993</v>
      </c>
      <c r="S125" s="6037"/>
      <c r="T125" s="4923"/>
      <c r="U125" s="5991"/>
      <c r="V125" s="718">
        <f t="shared" si="223"/>
        <v>64.813999999999993</v>
      </c>
      <c r="W125" s="6037"/>
      <c r="X125" s="4923"/>
      <c r="Y125" s="6019"/>
      <c r="Z125" s="6019">
        <f t="shared" si="244"/>
        <v>0</v>
      </c>
      <c r="AA125" s="6004"/>
      <c r="AB125" s="429">
        <f t="shared" si="245"/>
        <v>64.813999999999993</v>
      </c>
      <c r="AC125" s="6037"/>
      <c r="AD125" s="4923"/>
      <c r="AE125" s="5991"/>
      <c r="AF125" s="718">
        <f t="shared" si="225"/>
        <v>64.813999999999993</v>
      </c>
      <c r="AG125" s="6037"/>
      <c r="AH125" s="4923"/>
      <c r="AI125" s="5991"/>
      <c r="AJ125" s="718">
        <f t="shared" si="226"/>
        <v>64.813999999999993</v>
      </c>
      <c r="AK125" s="6037"/>
      <c r="AL125" s="4923"/>
      <c r="AM125" s="6019"/>
      <c r="AN125" s="717">
        <f t="shared" si="246"/>
        <v>0</v>
      </c>
      <c r="AO125" s="5991"/>
      <c r="AP125" s="718">
        <f t="shared" si="247"/>
        <v>64.813999999999993</v>
      </c>
      <c r="AQ125" s="6037"/>
      <c r="AR125" s="4923"/>
      <c r="AS125" s="5991"/>
      <c r="AT125" s="718">
        <f t="shared" si="228"/>
        <v>64.813999999999993</v>
      </c>
      <c r="AU125" s="6037"/>
      <c r="AV125" s="4923"/>
      <c r="AW125" s="5991"/>
      <c r="AX125" s="718">
        <f t="shared" si="229"/>
        <v>64.813999999999993</v>
      </c>
      <c r="AY125" s="6037"/>
      <c r="AZ125" s="4923"/>
      <c r="BA125" s="6019"/>
      <c r="BB125" s="717">
        <f t="shared" si="248"/>
        <v>0</v>
      </c>
      <c r="BC125" s="6004"/>
      <c r="BD125" s="429">
        <f t="shared" si="188"/>
        <v>0</v>
      </c>
      <c r="BE125" s="5991"/>
      <c r="BF125" s="718">
        <f t="shared" si="189"/>
        <v>64.813999999999993</v>
      </c>
    </row>
    <row r="126" spans="1:58" x14ac:dyDescent="0.3">
      <c r="A126" s="88"/>
      <c r="B126" s="3136" t="s">
        <v>824</v>
      </c>
      <c r="C126" s="3137" t="s">
        <v>1388</v>
      </c>
      <c r="D126" s="3137"/>
      <c r="E126" s="6037"/>
      <c r="F126" s="1094"/>
      <c r="G126" s="6037"/>
      <c r="H126" s="1094">
        <v>6.06</v>
      </c>
      <c r="I126" s="5991"/>
      <c r="J126" s="718">
        <f t="shared" si="218"/>
        <v>6.06</v>
      </c>
      <c r="K126" s="6037"/>
      <c r="L126" s="1094"/>
      <c r="M126" s="6019"/>
      <c r="N126" s="717">
        <f t="shared" si="170"/>
        <v>6.06</v>
      </c>
      <c r="O126" s="6037"/>
      <c r="P126" s="1094"/>
      <c r="Q126" s="5991"/>
      <c r="R126" s="718">
        <f t="shared" si="222"/>
        <v>6.06</v>
      </c>
      <c r="S126" s="6037"/>
      <c r="T126" s="1094"/>
      <c r="U126" s="5991"/>
      <c r="V126" s="718">
        <f t="shared" si="223"/>
        <v>6.06</v>
      </c>
      <c r="W126" s="6037"/>
      <c r="X126" s="1094"/>
      <c r="Y126" s="6019"/>
      <c r="Z126" s="6019">
        <f t="shared" si="244"/>
        <v>0</v>
      </c>
      <c r="AA126" s="6004"/>
      <c r="AB126" s="429">
        <f t="shared" si="245"/>
        <v>6.06</v>
      </c>
      <c r="AC126" s="6037"/>
      <c r="AD126" s="1094"/>
      <c r="AE126" s="5991"/>
      <c r="AF126" s="718">
        <f t="shared" si="225"/>
        <v>6.06</v>
      </c>
      <c r="AG126" s="6037"/>
      <c r="AH126" s="1094"/>
      <c r="AI126" s="5991"/>
      <c r="AJ126" s="718">
        <f t="shared" si="226"/>
        <v>6.06</v>
      </c>
      <c r="AK126" s="6037"/>
      <c r="AL126" s="1094"/>
      <c r="AM126" s="6019"/>
      <c r="AN126" s="717">
        <f t="shared" si="246"/>
        <v>0</v>
      </c>
      <c r="AO126" s="5991"/>
      <c r="AP126" s="718">
        <f t="shared" si="247"/>
        <v>6.06</v>
      </c>
      <c r="AQ126" s="6037"/>
      <c r="AR126" s="1094"/>
      <c r="AS126" s="5991"/>
      <c r="AT126" s="718">
        <f t="shared" si="228"/>
        <v>6.06</v>
      </c>
      <c r="AU126" s="6037"/>
      <c r="AV126" s="1094"/>
      <c r="AW126" s="5991"/>
      <c r="AX126" s="718">
        <f t="shared" si="229"/>
        <v>6.06</v>
      </c>
      <c r="AY126" s="6037"/>
      <c r="AZ126" s="1094"/>
      <c r="BA126" s="6019"/>
      <c r="BB126" s="717">
        <f t="shared" si="248"/>
        <v>0</v>
      </c>
      <c r="BC126" s="6004"/>
      <c r="BD126" s="429">
        <f t="shared" si="188"/>
        <v>0</v>
      </c>
      <c r="BE126" s="5991"/>
      <c r="BF126" s="718">
        <f t="shared" si="189"/>
        <v>6.06</v>
      </c>
    </row>
    <row r="127" spans="1:58" x14ac:dyDescent="0.3">
      <c r="A127" s="88"/>
      <c r="B127" s="3591" t="s">
        <v>824</v>
      </c>
      <c r="C127" s="4794" t="s">
        <v>1099</v>
      </c>
      <c r="D127" s="4794"/>
      <c r="E127" s="6037"/>
      <c r="F127" s="4795"/>
      <c r="G127" s="6037"/>
      <c r="H127" s="4795">
        <v>46.667000000000002</v>
      </c>
      <c r="I127" s="5991"/>
      <c r="J127" s="718">
        <f t="shared" si="218"/>
        <v>46.667000000000002</v>
      </c>
      <c r="K127" s="6037"/>
      <c r="L127" s="4795"/>
      <c r="M127" s="6019"/>
      <c r="N127" s="717">
        <f t="shared" si="170"/>
        <v>46.667000000000002</v>
      </c>
      <c r="O127" s="6037"/>
      <c r="P127" s="4795"/>
      <c r="Q127" s="5991"/>
      <c r="R127" s="718">
        <f t="shared" si="222"/>
        <v>46.667000000000002</v>
      </c>
      <c r="S127" s="6037"/>
      <c r="T127" s="4795"/>
      <c r="U127" s="5991"/>
      <c r="V127" s="718">
        <f t="shared" si="223"/>
        <v>46.667000000000002</v>
      </c>
      <c r="W127" s="6037"/>
      <c r="X127" s="4795"/>
      <c r="Y127" s="6019"/>
      <c r="Z127" s="6019">
        <f t="shared" si="244"/>
        <v>0</v>
      </c>
      <c r="AA127" s="6004"/>
      <c r="AB127" s="429">
        <f t="shared" si="245"/>
        <v>46.667000000000002</v>
      </c>
      <c r="AC127" s="6037"/>
      <c r="AD127" s="4795"/>
      <c r="AE127" s="5991"/>
      <c r="AF127" s="718">
        <f t="shared" si="225"/>
        <v>46.667000000000002</v>
      </c>
      <c r="AG127" s="6037"/>
      <c r="AH127" s="4795"/>
      <c r="AI127" s="5991"/>
      <c r="AJ127" s="718">
        <f t="shared" si="226"/>
        <v>46.667000000000002</v>
      </c>
      <c r="AK127" s="6037"/>
      <c r="AL127" s="4795"/>
      <c r="AM127" s="6019"/>
      <c r="AN127" s="717">
        <f t="shared" si="246"/>
        <v>0</v>
      </c>
      <c r="AO127" s="5991"/>
      <c r="AP127" s="718">
        <f t="shared" si="247"/>
        <v>46.667000000000002</v>
      </c>
      <c r="AQ127" s="6037"/>
      <c r="AR127" s="4795"/>
      <c r="AS127" s="5991"/>
      <c r="AT127" s="718">
        <f t="shared" si="228"/>
        <v>46.667000000000002</v>
      </c>
      <c r="AU127" s="6037"/>
      <c r="AV127" s="4795"/>
      <c r="AW127" s="5991"/>
      <c r="AX127" s="718">
        <f t="shared" si="229"/>
        <v>46.667000000000002</v>
      </c>
      <c r="AY127" s="6037"/>
      <c r="AZ127" s="4795"/>
      <c r="BA127" s="6019"/>
      <c r="BB127" s="717">
        <f t="shared" si="248"/>
        <v>0</v>
      </c>
      <c r="BC127" s="6004"/>
      <c r="BD127" s="429">
        <f t="shared" si="188"/>
        <v>0</v>
      </c>
      <c r="BE127" s="5991"/>
      <c r="BF127" s="718">
        <f t="shared" si="189"/>
        <v>46.667000000000002</v>
      </c>
    </row>
    <row r="128" spans="1:58" ht="15" thickBot="1" x14ac:dyDescent="0.35">
      <c r="A128" s="88"/>
      <c r="B128" s="3138" t="s">
        <v>824</v>
      </c>
      <c r="C128" s="3139" t="s">
        <v>862</v>
      </c>
      <c r="D128" s="3139"/>
      <c r="E128" s="6037"/>
      <c r="F128" s="103">
        <v>41.73</v>
      </c>
      <c r="G128" s="6037"/>
      <c r="H128" s="4795">
        <v>144.79900000000001</v>
      </c>
      <c r="I128" s="5991"/>
      <c r="J128" s="718">
        <f t="shared" si="218"/>
        <v>186.529</v>
      </c>
      <c r="K128" s="6037"/>
      <c r="L128" s="4795"/>
      <c r="M128" s="6019"/>
      <c r="N128" s="717">
        <f t="shared" si="170"/>
        <v>186.529</v>
      </c>
      <c r="O128" s="6037"/>
      <c r="P128" s="4795"/>
      <c r="Q128" s="5991"/>
      <c r="R128" s="718">
        <f t="shared" si="222"/>
        <v>186.529</v>
      </c>
      <c r="S128" s="6037"/>
      <c r="T128" s="4795"/>
      <c r="U128" s="5991"/>
      <c r="V128" s="718">
        <f t="shared" si="223"/>
        <v>186.529</v>
      </c>
      <c r="W128" s="6037"/>
      <c r="X128" s="4795"/>
      <c r="Y128" s="6019"/>
      <c r="Z128" s="6019">
        <f t="shared" si="244"/>
        <v>0</v>
      </c>
      <c r="AA128" s="6004"/>
      <c r="AB128" s="429">
        <f t="shared" si="245"/>
        <v>186.529</v>
      </c>
      <c r="AC128" s="6037"/>
      <c r="AD128" s="4795"/>
      <c r="AE128" s="5991"/>
      <c r="AF128" s="718">
        <f t="shared" si="225"/>
        <v>186.529</v>
      </c>
      <c r="AG128" s="6037"/>
      <c r="AH128" s="4795"/>
      <c r="AI128" s="5991"/>
      <c r="AJ128" s="718">
        <f t="shared" si="226"/>
        <v>186.529</v>
      </c>
      <c r="AK128" s="6037"/>
      <c r="AL128" s="4795"/>
      <c r="AM128" s="6019"/>
      <c r="AN128" s="717">
        <f t="shared" si="246"/>
        <v>0</v>
      </c>
      <c r="AO128" s="5991"/>
      <c r="AP128" s="718">
        <f t="shared" si="247"/>
        <v>186.529</v>
      </c>
      <c r="AQ128" s="6037"/>
      <c r="AR128" s="4795"/>
      <c r="AS128" s="5991"/>
      <c r="AT128" s="718">
        <f t="shared" si="228"/>
        <v>186.529</v>
      </c>
      <c r="AU128" s="6037"/>
      <c r="AV128" s="4795"/>
      <c r="AW128" s="5991"/>
      <c r="AX128" s="718">
        <f t="shared" si="229"/>
        <v>186.529</v>
      </c>
      <c r="AY128" s="6037"/>
      <c r="AZ128" s="4795"/>
      <c r="BA128" s="6019"/>
      <c r="BB128" s="717">
        <f t="shared" si="248"/>
        <v>0</v>
      </c>
      <c r="BC128" s="6004"/>
      <c r="BD128" s="429">
        <f t="shared" si="188"/>
        <v>0</v>
      </c>
      <c r="BE128" s="5991"/>
      <c r="BF128" s="718">
        <f t="shared" si="189"/>
        <v>186.529</v>
      </c>
    </row>
    <row r="129" spans="1:58" x14ac:dyDescent="0.3">
      <c r="A129" s="88"/>
      <c r="B129" s="3134" t="s">
        <v>836</v>
      </c>
      <c r="C129" s="3135" t="s">
        <v>861</v>
      </c>
      <c r="D129" s="3135"/>
      <c r="E129" s="6037"/>
      <c r="F129" s="145"/>
      <c r="G129" s="6037"/>
      <c r="H129" s="4923">
        <v>28.27</v>
      </c>
      <c r="I129" s="5991"/>
      <c r="J129" s="718">
        <f t="shared" si="218"/>
        <v>28.27</v>
      </c>
      <c r="K129" s="6037"/>
      <c r="L129" s="4923"/>
      <c r="M129" s="6019"/>
      <c r="N129" s="717">
        <f t="shared" si="170"/>
        <v>28.27</v>
      </c>
      <c r="O129" s="6037"/>
      <c r="P129" s="4923"/>
      <c r="Q129" s="5991"/>
      <c r="R129" s="718">
        <f t="shared" si="222"/>
        <v>28.27</v>
      </c>
      <c r="S129" s="6037"/>
      <c r="T129" s="4923"/>
      <c r="U129" s="5991"/>
      <c r="V129" s="718">
        <f t="shared" si="223"/>
        <v>28.27</v>
      </c>
      <c r="W129" s="6037"/>
      <c r="X129" s="4923"/>
      <c r="Y129" s="6019"/>
      <c r="Z129" s="6019">
        <f t="shared" si="244"/>
        <v>0</v>
      </c>
      <c r="AA129" s="6004"/>
      <c r="AB129" s="429">
        <f t="shared" si="245"/>
        <v>28.27</v>
      </c>
      <c r="AC129" s="6037"/>
      <c r="AD129" s="4923"/>
      <c r="AE129" s="5991"/>
      <c r="AF129" s="718">
        <f t="shared" si="225"/>
        <v>28.27</v>
      </c>
      <c r="AG129" s="6037"/>
      <c r="AH129" s="4923"/>
      <c r="AI129" s="5991"/>
      <c r="AJ129" s="718">
        <f t="shared" si="226"/>
        <v>28.27</v>
      </c>
      <c r="AK129" s="6037"/>
      <c r="AL129" s="4923"/>
      <c r="AM129" s="6019"/>
      <c r="AN129" s="717">
        <f t="shared" si="246"/>
        <v>0</v>
      </c>
      <c r="AO129" s="5991"/>
      <c r="AP129" s="718">
        <f t="shared" si="247"/>
        <v>28.27</v>
      </c>
      <c r="AQ129" s="6037"/>
      <c r="AR129" s="4923"/>
      <c r="AS129" s="5991"/>
      <c r="AT129" s="718">
        <f t="shared" si="228"/>
        <v>28.27</v>
      </c>
      <c r="AU129" s="6037"/>
      <c r="AV129" s="4923"/>
      <c r="AW129" s="5991"/>
      <c r="AX129" s="718">
        <f t="shared" si="229"/>
        <v>28.27</v>
      </c>
      <c r="AY129" s="6037"/>
      <c r="AZ129" s="4923"/>
      <c r="BA129" s="6019"/>
      <c r="BB129" s="717">
        <f t="shared" si="248"/>
        <v>0</v>
      </c>
      <c r="BC129" s="6004"/>
      <c r="BD129" s="429">
        <f t="shared" si="188"/>
        <v>0</v>
      </c>
      <c r="BE129" s="5991"/>
      <c r="BF129" s="718">
        <f t="shared" si="189"/>
        <v>28.27</v>
      </c>
    </row>
    <row r="130" spans="1:58" ht="15.75" customHeight="1" x14ac:dyDescent="0.3">
      <c r="A130" s="88"/>
      <c r="B130" s="3144" t="s">
        <v>836</v>
      </c>
      <c r="C130" s="3145" t="s">
        <v>863</v>
      </c>
      <c r="D130" s="3145"/>
      <c r="E130" s="6037"/>
      <c r="F130" s="1095"/>
      <c r="G130" s="6037"/>
      <c r="H130" s="1095">
        <v>6.391</v>
      </c>
      <c r="I130" s="5991"/>
      <c r="J130" s="718">
        <f t="shared" si="218"/>
        <v>6.391</v>
      </c>
      <c r="K130" s="6037"/>
      <c r="L130" s="1095"/>
      <c r="M130" s="6019"/>
      <c r="N130" s="717">
        <f t="shared" si="170"/>
        <v>6.391</v>
      </c>
      <c r="O130" s="6037"/>
      <c r="P130" s="1095"/>
      <c r="Q130" s="5991"/>
      <c r="R130" s="718">
        <f t="shared" si="222"/>
        <v>6.391</v>
      </c>
      <c r="S130" s="6037"/>
      <c r="T130" s="1095"/>
      <c r="U130" s="5991"/>
      <c r="V130" s="718">
        <f t="shared" si="223"/>
        <v>6.391</v>
      </c>
      <c r="W130" s="6037"/>
      <c r="X130" s="1095"/>
      <c r="Y130" s="6019"/>
      <c r="Z130" s="6019">
        <f t="shared" si="244"/>
        <v>0</v>
      </c>
      <c r="AA130" s="6004"/>
      <c r="AB130" s="429">
        <f t="shared" si="245"/>
        <v>6.391</v>
      </c>
      <c r="AC130" s="6037"/>
      <c r="AD130" s="1095"/>
      <c r="AE130" s="5991"/>
      <c r="AF130" s="718">
        <f t="shared" si="225"/>
        <v>6.391</v>
      </c>
      <c r="AG130" s="6037"/>
      <c r="AH130" s="1095"/>
      <c r="AI130" s="5991"/>
      <c r="AJ130" s="718">
        <f t="shared" si="226"/>
        <v>6.391</v>
      </c>
      <c r="AK130" s="6037"/>
      <c r="AL130" s="1095"/>
      <c r="AM130" s="6019"/>
      <c r="AN130" s="717">
        <f t="shared" si="246"/>
        <v>0</v>
      </c>
      <c r="AO130" s="5991"/>
      <c r="AP130" s="718">
        <f t="shared" si="247"/>
        <v>6.391</v>
      </c>
      <c r="AQ130" s="6037"/>
      <c r="AR130" s="1095"/>
      <c r="AS130" s="5991"/>
      <c r="AT130" s="718">
        <f t="shared" si="228"/>
        <v>6.391</v>
      </c>
      <c r="AU130" s="6037"/>
      <c r="AV130" s="1095"/>
      <c r="AW130" s="5991"/>
      <c r="AX130" s="718">
        <f t="shared" si="229"/>
        <v>6.391</v>
      </c>
      <c r="AY130" s="6037"/>
      <c r="AZ130" s="1095"/>
      <c r="BA130" s="6019"/>
      <c r="BB130" s="717">
        <f t="shared" si="248"/>
        <v>0</v>
      </c>
      <c r="BC130" s="6004"/>
      <c r="BD130" s="429">
        <f t="shared" si="188"/>
        <v>0</v>
      </c>
      <c r="BE130" s="5991"/>
      <c r="BF130" s="718">
        <f t="shared" si="189"/>
        <v>6.391</v>
      </c>
    </row>
    <row r="131" spans="1:58" x14ac:dyDescent="0.3">
      <c r="A131" s="88"/>
      <c r="B131" s="3144" t="s">
        <v>836</v>
      </c>
      <c r="C131" s="3145" t="s">
        <v>905</v>
      </c>
      <c r="D131" s="3145"/>
      <c r="E131" s="6037"/>
      <c r="F131" s="1095"/>
      <c r="G131" s="6037"/>
      <c r="H131" s="1095">
        <v>3.9849999999999999</v>
      </c>
      <c r="I131" s="5991"/>
      <c r="J131" s="718">
        <f t="shared" si="218"/>
        <v>3.9849999999999999</v>
      </c>
      <c r="K131" s="6037"/>
      <c r="L131" s="1095"/>
      <c r="M131" s="6019"/>
      <c r="N131" s="717">
        <f t="shared" si="170"/>
        <v>3.9849999999999999</v>
      </c>
      <c r="O131" s="6037"/>
      <c r="P131" s="1095"/>
      <c r="Q131" s="5991"/>
      <c r="R131" s="718">
        <f t="shared" si="222"/>
        <v>3.9849999999999999</v>
      </c>
      <c r="S131" s="6037"/>
      <c r="T131" s="1095"/>
      <c r="U131" s="5991"/>
      <c r="V131" s="718">
        <f t="shared" si="223"/>
        <v>3.9849999999999999</v>
      </c>
      <c r="W131" s="6037"/>
      <c r="X131" s="1095"/>
      <c r="Y131" s="6019"/>
      <c r="Z131" s="6019">
        <f t="shared" si="244"/>
        <v>0</v>
      </c>
      <c r="AA131" s="6004"/>
      <c r="AB131" s="429">
        <f t="shared" si="245"/>
        <v>3.9849999999999999</v>
      </c>
      <c r="AC131" s="6037"/>
      <c r="AD131" s="1095"/>
      <c r="AE131" s="5991"/>
      <c r="AF131" s="718">
        <f t="shared" si="225"/>
        <v>3.9849999999999999</v>
      </c>
      <c r="AG131" s="6037"/>
      <c r="AH131" s="1095"/>
      <c r="AI131" s="5991"/>
      <c r="AJ131" s="718">
        <f t="shared" si="226"/>
        <v>3.9849999999999999</v>
      </c>
      <c r="AK131" s="6037"/>
      <c r="AL131" s="1095"/>
      <c r="AM131" s="6019"/>
      <c r="AN131" s="717">
        <f t="shared" si="246"/>
        <v>0</v>
      </c>
      <c r="AO131" s="5991"/>
      <c r="AP131" s="718">
        <f t="shared" si="247"/>
        <v>3.9849999999999999</v>
      </c>
      <c r="AQ131" s="6037"/>
      <c r="AR131" s="1095"/>
      <c r="AS131" s="5991"/>
      <c r="AT131" s="718">
        <f t="shared" si="228"/>
        <v>3.9849999999999999</v>
      </c>
      <c r="AU131" s="6037"/>
      <c r="AV131" s="1095"/>
      <c r="AW131" s="5991"/>
      <c r="AX131" s="718">
        <f t="shared" si="229"/>
        <v>3.9849999999999999</v>
      </c>
      <c r="AY131" s="6037"/>
      <c r="AZ131" s="1095"/>
      <c r="BA131" s="6019"/>
      <c r="BB131" s="717">
        <f t="shared" si="248"/>
        <v>0</v>
      </c>
      <c r="BC131" s="6004"/>
      <c r="BD131" s="429">
        <f t="shared" si="188"/>
        <v>0</v>
      </c>
      <c r="BE131" s="5991"/>
      <c r="BF131" s="718">
        <f t="shared" si="189"/>
        <v>3.9849999999999999</v>
      </c>
    </row>
    <row r="132" spans="1:58" ht="15.75" customHeight="1" x14ac:dyDescent="0.3">
      <c r="A132" s="88"/>
      <c r="B132" s="3136" t="s">
        <v>836</v>
      </c>
      <c r="C132" s="3137" t="s">
        <v>1337</v>
      </c>
      <c r="D132" s="3137"/>
      <c r="E132" s="6037"/>
      <c r="F132" s="1094"/>
      <c r="G132" s="6037"/>
      <c r="H132" s="1094"/>
      <c r="I132" s="5991"/>
      <c r="J132" s="718">
        <f t="shared" si="218"/>
        <v>0</v>
      </c>
      <c r="K132" s="6037"/>
      <c r="L132" s="1094"/>
      <c r="M132" s="6019"/>
      <c r="N132" s="717">
        <f t="shared" si="170"/>
        <v>0</v>
      </c>
      <c r="O132" s="6037"/>
      <c r="P132" s="1094"/>
      <c r="Q132" s="5991"/>
      <c r="R132" s="718">
        <f t="shared" si="222"/>
        <v>0</v>
      </c>
      <c r="S132" s="6037"/>
      <c r="T132" s="1094"/>
      <c r="U132" s="5991"/>
      <c r="V132" s="718">
        <f t="shared" si="223"/>
        <v>0</v>
      </c>
      <c r="W132" s="6037"/>
      <c r="X132" s="1094"/>
      <c r="Y132" s="6019"/>
      <c r="Z132" s="6019">
        <f t="shared" si="244"/>
        <v>0</v>
      </c>
      <c r="AA132" s="6004"/>
      <c r="AB132" s="429">
        <f t="shared" si="245"/>
        <v>0</v>
      </c>
      <c r="AC132" s="6037"/>
      <c r="AD132" s="1094"/>
      <c r="AE132" s="5991"/>
      <c r="AF132" s="718">
        <f t="shared" si="225"/>
        <v>0</v>
      </c>
      <c r="AG132" s="6037"/>
      <c r="AH132" s="1094"/>
      <c r="AI132" s="5991"/>
      <c r="AJ132" s="718">
        <f t="shared" si="226"/>
        <v>0</v>
      </c>
      <c r="AK132" s="6037"/>
      <c r="AL132" s="1094"/>
      <c r="AM132" s="6019"/>
      <c r="AN132" s="717">
        <f t="shared" si="246"/>
        <v>0</v>
      </c>
      <c r="AO132" s="5991"/>
      <c r="AP132" s="718">
        <f t="shared" si="247"/>
        <v>0</v>
      </c>
      <c r="AQ132" s="6037"/>
      <c r="AR132" s="1094"/>
      <c r="AS132" s="5991"/>
      <c r="AT132" s="718">
        <f t="shared" si="228"/>
        <v>0</v>
      </c>
      <c r="AU132" s="6037"/>
      <c r="AV132" s="1094"/>
      <c r="AW132" s="5991"/>
      <c r="AX132" s="718">
        <f t="shared" si="229"/>
        <v>0</v>
      </c>
      <c r="AY132" s="6037"/>
      <c r="AZ132" s="1094"/>
      <c r="BA132" s="6019"/>
      <c r="BB132" s="717">
        <f t="shared" si="248"/>
        <v>0</v>
      </c>
      <c r="BC132" s="6004"/>
      <c r="BD132" s="429">
        <f t="shared" si="188"/>
        <v>0</v>
      </c>
      <c r="BE132" s="5991"/>
      <c r="BF132" s="718">
        <f t="shared" si="189"/>
        <v>0</v>
      </c>
    </row>
    <row r="133" spans="1:58" ht="15.75" customHeight="1" x14ac:dyDescent="0.3">
      <c r="A133" s="88"/>
      <c r="B133" s="3136" t="s">
        <v>836</v>
      </c>
      <c r="C133" s="3137" t="s">
        <v>1388</v>
      </c>
      <c r="D133" s="3137"/>
      <c r="E133" s="6037"/>
      <c r="F133" s="1094"/>
      <c r="G133" s="6037"/>
      <c r="H133" s="1094">
        <v>6.391</v>
      </c>
      <c r="I133" s="5991"/>
      <c r="J133" s="718">
        <f t="shared" si="218"/>
        <v>6.391</v>
      </c>
      <c r="K133" s="6037"/>
      <c r="L133" s="1094"/>
      <c r="M133" s="6019"/>
      <c r="N133" s="717">
        <f t="shared" si="170"/>
        <v>6.391</v>
      </c>
      <c r="O133" s="6037"/>
      <c r="P133" s="1094"/>
      <c r="Q133" s="5991"/>
      <c r="R133" s="718">
        <f t="shared" si="222"/>
        <v>6.391</v>
      </c>
      <c r="S133" s="6037"/>
      <c r="T133" s="1094"/>
      <c r="U133" s="5991"/>
      <c r="V133" s="718">
        <f t="shared" si="223"/>
        <v>6.391</v>
      </c>
      <c r="W133" s="6037"/>
      <c r="X133" s="1094"/>
      <c r="Y133" s="6019"/>
      <c r="Z133" s="6019">
        <f t="shared" si="244"/>
        <v>0</v>
      </c>
      <c r="AA133" s="6004"/>
      <c r="AB133" s="429">
        <f t="shared" si="245"/>
        <v>6.391</v>
      </c>
      <c r="AC133" s="6037"/>
      <c r="AD133" s="1094"/>
      <c r="AE133" s="5991"/>
      <c r="AF133" s="718">
        <f t="shared" si="225"/>
        <v>6.391</v>
      </c>
      <c r="AG133" s="6037"/>
      <c r="AH133" s="1094"/>
      <c r="AI133" s="5991"/>
      <c r="AJ133" s="718">
        <f t="shared" si="226"/>
        <v>6.391</v>
      </c>
      <c r="AK133" s="6037"/>
      <c r="AL133" s="1094"/>
      <c r="AM133" s="6019"/>
      <c r="AN133" s="717">
        <f t="shared" si="246"/>
        <v>0</v>
      </c>
      <c r="AO133" s="5991"/>
      <c r="AP133" s="718">
        <f t="shared" si="247"/>
        <v>6.391</v>
      </c>
      <c r="AQ133" s="6037"/>
      <c r="AR133" s="1094"/>
      <c r="AS133" s="5991"/>
      <c r="AT133" s="718">
        <f t="shared" si="228"/>
        <v>6.391</v>
      </c>
      <c r="AU133" s="6037"/>
      <c r="AV133" s="1094"/>
      <c r="AW133" s="5991"/>
      <c r="AX133" s="718">
        <f t="shared" si="229"/>
        <v>6.391</v>
      </c>
      <c r="AY133" s="6037"/>
      <c r="AZ133" s="1094"/>
      <c r="BA133" s="6019"/>
      <c r="BB133" s="717">
        <f t="shared" si="248"/>
        <v>0</v>
      </c>
      <c r="BC133" s="6004"/>
      <c r="BD133" s="429">
        <f t="shared" si="188"/>
        <v>0</v>
      </c>
      <c r="BE133" s="5991"/>
      <c r="BF133" s="718">
        <f t="shared" si="189"/>
        <v>6.391</v>
      </c>
    </row>
    <row r="134" spans="1:58" ht="15.75" customHeight="1" x14ac:dyDescent="0.3">
      <c r="A134" s="88"/>
      <c r="B134" s="3136" t="s">
        <v>836</v>
      </c>
      <c r="C134" s="3137" t="s">
        <v>837</v>
      </c>
      <c r="D134" s="3137"/>
      <c r="E134" s="6037"/>
      <c r="F134" s="1094"/>
      <c r="G134" s="6037"/>
      <c r="H134" s="1094">
        <v>39.908999999999999</v>
      </c>
      <c r="I134" s="5991"/>
      <c r="J134" s="718">
        <f t="shared" si="218"/>
        <v>39.908999999999999</v>
      </c>
      <c r="K134" s="6037"/>
      <c r="L134" s="1094"/>
      <c r="M134" s="6019"/>
      <c r="N134" s="717">
        <f t="shared" si="170"/>
        <v>39.908999999999999</v>
      </c>
      <c r="O134" s="6037"/>
      <c r="P134" s="1094"/>
      <c r="Q134" s="5991"/>
      <c r="R134" s="718">
        <f t="shared" si="222"/>
        <v>39.908999999999999</v>
      </c>
      <c r="S134" s="6037"/>
      <c r="T134" s="1094"/>
      <c r="U134" s="5991"/>
      <c r="V134" s="718">
        <f t="shared" si="223"/>
        <v>39.908999999999999</v>
      </c>
      <c r="W134" s="6037"/>
      <c r="X134" s="1094"/>
      <c r="Y134" s="6019"/>
      <c r="Z134" s="6019">
        <f t="shared" si="244"/>
        <v>0</v>
      </c>
      <c r="AA134" s="6004"/>
      <c r="AB134" s="429">
        <f t="shared" ref="AB134:AB165" si="249">X134+V134</f>
        <v>39.908999999999999</v>
      </c>
      <c r="AC134" s="6037"/>
      <c r="AD134" s="1094"/>
      <c r="AE134" s="5991"/>
      <c r="AF134" s="718">
        <f t="shared" si="225"/>
        <v>39.908999999999999</v>
      </c>
      <c r="AG134" s="6037"/>
      <c r="AH134" s="1094"/>
      <c r="AI134" s="5991"/>
      <c r="AJ134" s="718">
        <f t="shared" si="226"/>
        <v>39.908999999999999</v>
      </c>
      <c r="AK134" s="6037"/>
      <c r="AL134" s="1094"/>
      <c r="AM134" s="6019"/>
      <c r="AN134" s="717">
        <f t="shared" si="246"/>
        <v>0</v>
      </c>
      <c r="AO134" s="5991"/>
      <c r="AP134" s="718">
        <f t="shared" ref="AP134:AP165" si="250">AL134+AJ134</f>
        <v>39.908999999999999</v>
      </c>
      <c r="AQ134" s="6037"/>
      <c r="AR134" s="1094"/>
      <c r="AS134" s="5991"/>
      <c r="AT134" s="718">
        <f t="shared" si="228"/>
        <v>39.908999999999999</v>
      </c>
      <c r="AU134" s="6037"/>
      <c r="AV134" s="1094"/>
      <c r="AW134" s="5991"/>
      <c r="AX134" s="718">
        <f t="shared" si="229"/>
        <v>39.908999999999999</v>
      </c>
      <c r="AY134" s="6037"/>
      <c r="AZ134" s="1094"/>
      <c r="BA134" s="6019"/>
      <c r="BB134" s="717">
        <f t="shared" si="248"/>
        <v>0</v>
      </c>
      <c r="BC134" s="6004"/>
      <c r="BD134" s="429">
        <f t="shared" si="188"/>
        <v>0</v>
      </c>
      <c r="BE134" s="5991"/>
      <c r="BF134" s="718">
        <f t="shared" si="189"/>
        <v>39.908999999999999</v>
      </c>
    </row>
    <row r="135" spans="1:58" ht="15.75" customHeight="1" x14ac:dyDescent="0.3">
      <c r="A135" s="88"/>
      <c r="B135" s="3136" t="s">
        <v>836</v>
      </c>
      <c r="C135" s="3137" t="s">
        <v>873</v>
      </c>
      <c r="D135" s="3137"/>
      <c r="E135" s="6037"/>
      <c r="F135" s="1094"/>
      <c r="G135" s="6037"/>
      <c r="H135" s="1094"/>
      <c r="I135" s="5991"/>
      <c r="J135" s="718">
        <f t="shared" si="218"/>
        <v>0</v>
      </c>
      <c r="K135" s="6037"/>
      <c r="L135" s="1094"/>
      <c r="M135" s="6019"/>
      <c r="N135" s="717">
        <f t="shared" si="170"/>
        <v>0</v>
      </c>
      <c r="O135" s="6037"/>
      <c r="P135" s="1094"/>
      <c r="Q135" s="5991"/>
      <c r="R135" s="718">
        <f t="shared" si="222"/>
        <v>0</v>
      </c>
      <c r="S135" s="6037"/>
      <c r="T135" s="1094"/>
      <c r="U135" s="5991"/>
      <c r="V135" s="718">
        <f t="shared" si="223"/>
        <v>0</v>
      </c>
      <c r="W135" s="6037"/>
      <c r="X135" s="1094"/>
      <c r="Y135" s="6019"/>
      <c r="Z135" s="6019">
        <f t="shared" si="244"/>
        <v>0</v>
      </c>
      <c r="AA135" s="6004"/>
      <c r="AB135" s="429">
        <f t="shared" si="249"/>
        <v>0</v>
      </c>
      <c r="AC135" s="6037"/>
      <c r="AD135" s="1094"/>
      <c r="AE135" s="5991"/>
      <c r="AF135" s="718">
        <f t="shared" si="225"/>
        <v>0</v>
      </c>
      <c r="AG135" s="6037"/>
      <c r="AH135" s="1094"/>
      <c r="AI135" s="5991"/>
      <c r="AJ135" s="718">
        <f t="shared" si="226"/>
        <v>0</v>
      </c>
      <c r="AK135" s="6037"/>
      <c r="AL135" s="1094"/>
      <c r="AM135" s="6019"/>
      <c r="AN135" s="717">
        <f t="shared" si="246"/>
        <v>0</v>
      </c>
      <c r="AO135" s="5991"/>
      <c r="AP135" s="718">
        <f t="shared" si="250"/>
        <v>0</v>
      </c>
      <c r="AQ135" s="6037"/>
      <c r="AR135" s="1094"/>
      <c r="AS135" s="5991"/>
      <c r="AT135" s="718">
        <f t="shared" si="228"/>
        <v>0</v>
      </c>
      <c r="AU135" s="6037"/>
      <c r="AV135" s="1094"/>
      <c r="AW135" s="5991"/>
      <c r="AX135" s="718">
        <f t="shared" si="229"/>
        <v>0</v>
      </c>
      <c r="AY135" s="6037"/>
      <c r="AZ135" s="1094"/>
      <c r="BA135" s="6019"/>
      <c r="BB135" s="717">
        <f t="shared" si="248"/>
        <v>0</v>
      </c>
      <c r="BC135" s="6004"/>
      <c r="BD135" s="429">
        <f t="shared" si="188"/>
        <v>0</v>
      </c>
      <c r="BE135" s="5991"/>
      <c r="BF135" s="718">
        <f t="shared" si="189"/>
        <v>0</v>
      </c>
    </row>
    <row r="136" spans="1:58" ht="15.75" customHeight="1" x14ac:dyDescent="0.3">
      <c r="A136" s="88"/>
      <c r="B136" s="3591" t="s">
        <v>836</v>
      </c>
      <c r="C136" s="3588" t="s">
        <v>1779</v>
      </c>
      <c r="D136" s="3588"/>
      <c r="E136" s="6037"/>
      <c r="F136" s="3577"/>
      <c r="G136" s="6037"/>
      <c r="H136" s="3577"/>
      <c r="I136" s="5991"/>
      <c r="J136" s="718">
        <f t="shared" si="218"/>
        <v>0</v>
      </c>
      <c r="K136" s="6037"/>
      <c r="L136" s="3577"/>
      <c r="M136" s="6019"/>
      <c r="N136" s="717">
        <f t="shared" si="170"/>
        <v>0</v>
      </c>
      <c r="O136" s="6037"/>
      <c r="P136" s="3577"/>
      <c r="Q136" s="5991"/>
      <c r="R136" s="718">
        <f t="shared" si="222"/>
        <v>0</v>
      </c>
      <c r="S136" s="6037"/>
      <c r="T136" s="3577"/>
      <c r="U136" s="5991"/>
      <c r="V136" s="718">
        <f t="shared" si="223"/>
        <v>0</v>
      </c>
      <c r="W136" s="6037"/>
      <c r="X136" s="3577"/>
      <c r="Y136" s="6019"/>
      <c r="Z136" s="6019">
        <f t="shared" si="244"/>
        <v>0</v>
      </c>
      <c r="AA136" s="6004"/>
      <c r="AB136" s="429">
        <f t="shared" si="249"/>
        <v>0</v>
      </c>
      <c r="AC136" s="6037"/>
      <c r="AD136" s="3577"/>
      <c r="AE136" s="5991"/>
      <c r="AF136" s="718">
        <f t="shared" si="225"/>
        <v>0</v>
      </c>
      <c r="AG136" s="6037"/>
      <c r="AH136" s="3577"/>
      <c r="AI136" s="5991"/>
      <c r="AJ136" s="718">
        <f t="shared" si="226"/>
        <v>0</v>
      </c>
      <c r="AK136" s="6037"/>
      <c r="AL136" s="3577"/>
      <c r="AM136" s="6019"/>
      <c r="AN136" s="717">
        <f t="shared" si="246"/>
        <v>0</v>
      </c>
      <c r="AO136" s="5991"/>
      <c r="AP136" s="718">
        <f t="shared" si="250"/>
        <v>0</v>
      </c>
      <c r="AQ136" s="6037"/>
      <c r="AR136" s="3577"/>
      <c r="AS136" s="5991"/>
      <c r="AT136" s="718">
        <f t="shared" si="228"/>
        <v>0</v>
      </c>
      <c r="AU136" s="6037"/>
      <c r="AV136" s="3577"/>
      <c r="AW136" s="5991"/>
      <c r="AX136" s="718">
        <f t="shared" si="229"/>
        <v>0</v>
      </c>
      <c r="AY136" s="6037"/>
      <c r="AZ136" s="3577"/>
      <c r="BA136" s="6019"/>
      <c r="BB136" s="717">
        <f t="shared" si="248"/>
        <v>0</v>
      </c>
      <c r="BC136" s="6004"/>
      <c r="BD136" s="429">
        <f t="shared" ref="BD136:BD199" si="251">+AN136+BB136</f>
        <v>0</v>
      </c>
      <c r="BE136" s="5991"/>
      <c r="BF136" s="718">
        <f t="shared" ref="BF136:BF199" si="252">+AB136+BD136</f>
        <v>0</v>
      </c>
    </row>
    <row r="137" spans="1:58" ht="15.75" customHeight="1" x14ac:dyDescent="0.3">
      <c r="A137" s="88"/>
      <c r="B137" s="3591" t="s">
        <v>836</v>
      </c>
      <c r="C137" s="4929" t="s">
        <v>1099</v>
      </c>
      <c r="D137" s="4794"/>
      <c r="E137" s="6037"/>
      <c r="F137" s="4795"/>
      <c r="G137" s="6037"/>
      <c r="H137" s="4795">
        <v>11.670999999999999</v>
      </c>
      <c r="I137" s="5991"/>
      <c r="J137" s="718">
        <f t="shared" si="218"/>
        <v>11.670999999999999</v>
      </c>
      <c r="K137" s="6037"/>
      <c r="L137" s="4795"/>
      <c r="M137" s="6019"/>
      <c r="N137" s="717">
        <f t="shared" si="170"/>
        <v>11.670999999999999</v>
      </c>
      <c r="O137" s="6037"/>
      <c r="P137" s="4795"/>
      <c r="Q137" s="5991"/>
      <c r="R137" s="718">
        <f t="shared" si="222"/>
        <v>11.670999999999999</v>
      </c>
      <c r="S137" s="6037"/>
      <c r="T137" s="4795"/>
      <c r="U137" s="5991"/>
      <c r="V137" s="718">
        <f t="shared" si="223"/>
        <v>11.670999999999999</v>
      </c>
      <c r="W137" s="6037"/>
      <c r="X137" s="4795"/>
      <c r="Y137" s="6019"/>
      <c r="Z137" s="6019">
        <f t="shared" si="244"/>
        <v>0</v>
      </c>
      <c r="AA137" s="6004"/>
      <c r="AB137" s="429">
        <f t="shared" si="249"/>
        <v>11.670999999999999</v>
      </c>
      <c r="AC137" s="6037"/>
      <c r="AD137" s="4795"/>
      <c r="AE137" s="5991"/>
      <c r="AF137" s="718">
        <f t="shared" si="225"/>
        <v>11.670999999999999</v>
      </c>
      <c r="AG137" s="6037"/>
      <c r="AH137" s="4795"/>
      <c r="AI137" s="5991"/>
      <c r="AJ137" s="718">
        <f t="shared" si="226"/>
        <v>11.670999999999999</v>
      </c>
      <c r="AK137" s="6037"/>
      <c r="AL137" s="4795"/>
      <c r="AM137" s="6019"/>
      <c r="AN137" s="717">
        <f t="shared" si="246"/>
        <v>0</v>
      </c>
      <c r="AO137" s="5991"/>
      <c r="AP137" s="718">
        <f t="shared" si="250"/>
        <v>11.670999999999999</v>
      </c>
      <c r="AQ137" s="6037"/>
      <c r="AR137" s="4795"/>
      <c r="AS137" s="5991"/>
      <c r="AT137" s="718">
        <f t="shared" si="228"/>
        <v>11.670999999999999</v>
      </c>
      <c r="AU137" s="6037"/>
      <c r="AV137" s="4795"/>
      <c r="AW137" s="5991"/>
      <c r="AX137" s="718">
        <f t="shared" si="229"/>
        <v>11.670999999999999</v>
      </c>
      <c r="AY137" s="6037"/>
      <c r="AZ137" s="4795"/>
      <c r="BA137" s="6019"/>
      <c r="BB137" s="717">
        <f t="shared" si="248"/>
        <v>0</v>
      </c>
      <c r="BC137" s="6004"/>
      <c r="BD137" s="429">
        <f t="shared" si="251"/>
        <v>0</v>
      </c>
      <c r="BE137" s="5991"/>
      <c r="BF137" s="718">
        <f t="shared" si="252"/>
        <v>11.670999999999999</v>
      </c>
    </row>
    <row r="138" spans="1:58" ht="15" thickBot="1" x14ac:dyDescent="0.35">
      <c r="A138" s="88"/>
      <c r="B138" s="3138" t="s">
        <v>836</v>
      </c>
      <c r="C138" s="5440" t="s">
        <v>862</v>
      </c>
      <c r="D138" s="3139"/>
      <c r="E138" s="6037"/>
      <c r="F138" s="103"/>
      <c r="G138" s="6037"/>
      <c r="H138" s="103">
        <v>21.036000000000001</v>
      </c>
      <c r="I138" s="5991"/>
      <c r="J138" s="718">
        <f t="shared" si="218"/>
        <v>21.036000000000001</v>
      </c>
      <c r="K138" s="6037"/>
      <c r="L138" s="103"/>
      <c r="M138" s="6019"/>
      <c r="N138" s="717">
        <f t="shared" ref="N138:N217" si="253">J138+L138</f>
        <v>21.036000000000001</v>
      </c>
      <c r="O138" s="6037"/>
      <c r="P138" s="103"/>
      <c r="Q138" s="5991"/>
      <c r="R138" s="718">
        <f t="shared" si="222"/>
        <v>21.036000000000001</v>
      </c>
      <c r="S138" s="6037"/>
      <c r="T138" s="103"/>
      <c r="U138" s="5991"/>
      <c r="V138" s="718">
        <f t="shared" si="223"/>
        <v>21.036000000000001</v>
      </c>
      <c r="W138" s="6037"/>
      <c r="X138" s="103"/>
      <c r="Y138" s="6019"/>
      <c r="Z138" s="6019">
        <f t="shared" si="244"/>
        <v>0</v>
      </c>
      <c r="AA138" s="6004"/>
      <c r="AB138" s="429">
        <f t="shared" si="249"/>
        <v>21.036000000000001</v>
      </c>
      <c r="AC138" s="6037"/>
      <c r="AD138" s="103"/>
      <c r="AE138" s="5991"/>
      <c r="AF138" s="718">
        <f t="shared" si="225"/>
        <v>21.036000000000001</v>
      </c>
      <c r="AG138" s="6037"/>
      <c r="AH138" s="103"/>
      <c r="AI138" s="5991"/>
      <c r="AJ138" s="718">
        <f t="shared" si="226"/>
        <v>21.036000000000001</v>
      </c>
      <c r="AK138" s="6037"/>
      <c r="AL138" s="103"/>
      <c r="AM138" s="6019"/>
      <c r="AN138" s="717">
        <f t="shared" si="246"/>
        <v>0</v>
      </c>
      <c r="AO138" s="5991"/>
      <c r="AP138" s="718">
        <f t="shared" si="250"/>
        <v>21.036000000000001</v>
      </c>
      <c r="AQ138" s="6037"/>
      <c r="AR138" s="103"/>
      <c r="AS138" s="5991"/>
      <c r="AT138" s="718">
        <f t="shared" si="228"/>
        <v>21.036000000000001</v>
      </c>
      <c r="AU138" s="6037"/>
      <c r="AV138" s="103"/>
      <c r="AW138" s="5991"/>
      <c r="AX138" s="718">
        <f t="shared" si="229"/>
        <v>21.036000000000001</v>
      </c>
      <c r="AY138" s="6037"/>
      <c r="AZ138" s="103"/>
      <c r="BA138" s="6019"/>
      <c r="BB138" s="717">
        <f t="shared" si="248"/>
        <v>0</v>
      </c>
      <c r="BC138" s="6004"/>
      <c r="BD138" s="429">
        <f t="shared" si="251"/>
        <v>0</v>
      </c>
      <c r="BE138" s="5991"/>
      <c r="BF138" s="718">
        <f t="shared" si="252"/>
        <v>21.036000000000001</v>
      </c>
    </row>
    <row r="139" spans="1:58" ht="20.25" customHeight="1" thickBot="1" x14ac:dyDescent="0.35">
      <c r="A139" s="88"/>
      <c r="B139" s="3149" t="s">
        <v>1622</v>
      </c>
      <c r="C139" s="3150" t="s">
        <v>861</v>
      </c>
      <c r="D139" s="3150"/>
      <c r="E139" s="6037"/>
      <c r="F139" s="3152"/>
      <c r="G139" s="6037"/>
      <c r="H139" s="3152">
        <v>6.3920000000000003</v>
      </c>
      <c r="I139" s="5991"/>
      <c r="J139" s="718">
        <f t="shared" si="218"/>
        <v>6.3920000000000003</v>
      </c>
      <c r="K139" s="6037"/>
      <c r="L139" s="3152"/>
      <c r="M139" s="6019"/>
      <c r="N139" s="717">
        <f t="shared" si="253"/>
        <v>6.3920000000000003</v>
      </c>
      <c r="O139" s="6037"/>
      <c r="P139" s="3152"/>
      <c r="Q139" s="5991"/>
      <c r="R139" s="718">
        <f t="shared" si="222"/>
        <v>6.3920000000000003</v>
      </c>
      <c r="S139" s="6037"/>
      <c r="T139" s="3152"/>
      <c r="U139" s="5991"/>
      <c r="V139" s="718">
        <f t="shared" si="223"/>
        <v>6.3920000000000003</v>
      </c>
      <c r="W139" s="6037"/>
      <c r="X139" s="3152"/>
      <c r="Y139" s="6019"/>
      <c r="Z139" s="6019">
        <f t="shared" si="244"/>
        <v>0</v>
      </c>
      <c r="AA139" s="6004"/>
      <c r="AB139" s="429">
        <f t="shared" si="249"/>
        <v>6.3920000000000003</v>
      </c>
      <c r="AC139" s="6037"/>
      <c r="AD139" s="3152"/>
      <c r="AE139" s="5991"/>
      <c r="AF139" s="718">
        <f t="shared" si="225"/>
        <v>6.3920000000000003</v>
      </c>
      <c r="AG139" s="6037"/>
      <c r="AH139" s="3152"/>
      <c r="AI139" s="5991"/>
      <c r="AJ139" s="718">
        <f t="shared" si="226"/>
        <v>6.3920000000000003</v>
      </c>
      <c r="AK139" s="6037"/>
      <c r="AL139" s="3152"/>
      <c r="AM139" s="6019"/>
      <c r="AN139" s="717">
        <f t="shared" si="246"/>
        <v>0</v>
      </c>
      <c r="AO139" s="5991"/>
      <c r="AP139" s="718">
        <f t="shared" si="250"/>
        <v>6.3920000000000003</v>
      </c>
      <c r="AQ139" s="6037"/>
      <c r="AR139" s="3152"/>
      <c r="AS139" s="5991"/>
      <c r="AT139" s="718">
        <f t="shared" si="228"/>
        <v>6.3920000000000003</v>
      </c>
      <c r="AU139" s="6037"/>
      <c r="AV139" s="3152"/>
      <c r="AW139" s="5991"/>
      <c r="AX139" s="718">
        <f t="shared" si="229"/>
        <v>6.3920000000000003</v>
      </c>
      <c r="AY139" s="6037"/>
      <c r="AZ139" s="3152"/>
      <c r="BA139" s="6019"/>
      <c r="BB139" s="717">
        <f t="shared" si="248"/>
        <v>0</v>
      </c>
      <c r="BC139" s="6004"/>
      <c r="BD139" s="429">
        <f t="shared" si="251"/>
        <v>0</v>
      </c>
      <c r="BE139" s="5991"/>
      <c r="BF139" s="718">
        <f t="shared" si="252"/>
        <v>6.3920000000000003</v>
      </c>
    </row>
    <row r="140" spans="1:58" ht="20.25" customHeight="1" x14ac:dyDescent="0.3">
      <c r="A140" s="88"/>
      <c r="B140" s="5442" t="s">
        <v>825</v>
      </c>
      <c r="C140" s="3156" t="s">
        <v>863</v>
      </c>
      <c r="D140" s="3156"/>
      <c r="E140" s="6037"/>
      <c r="F140" s="145"/>
      <c r="G140" s="6037"/>
      <c r="H140" s="145">
        <v>72.412999999999997</v>
      </c>
      <c r="I140" s="5991"/>
      <c r="J140" s="718">
        <f t="shared" si="218"/>
        <v>72.412999999999997</v>
      </c>
      <c r="K140" s="6037"/>
      <c r="L140" s="145"/>
      <c r="M140" s="6019"/>
      <c r="N140" s="717">
        <f t="shared" si="253"/>
        <v>72.412999999999997</v>
      </c>
      <c r="O140" s="6037"/>
      <c r="P140" s="145"/>
      <c r="Q140" s="5991"/>
      <c r="R140" s="718">
        <f t="shared" si="222"/>
        <v>72.412999999999997</v>
      </c>
      <c r="S140" s="6037"/>
      <c r="T140" s="145"/>
      <c r="U140" s="5991"/>
      <c r="V140" s="718">
        <f t="shared" si="223"/>
        <v>72.412999999999997</v>
      </c>
      <c r="W140" s="6037"/>
      <c r="X140" s="145"/>
      <c r="Y140" s="6019"/>
      <c r="Z140" s="6019">
        <f t="shared" si="244"/>
        <v>0</v>
      </c>
      <c r="AA140" s="6004"/>
      <c r="AB140" s="429">
        <f t="shared" si="249"/>
        <v>72.412999999999997</v>
      </c>
      <c r="AC140" s="6037"/>
      <c r="AD140" s="145"/>
      <c r="AE140" s="5991"/>
      <c r="AF140" s="718">
        <f t="shared" si="225"/>
        <v>72.412999999999997</v>
      </c>
      <c r="AG140" s="6037"/>
      <c r="AH140" s="145"/>
      <c r="AI140" s="5991"/>
      <c r="AJ140" s="718">
        <f t="shared" si="226"/>
        <v>72.412999999999997</v>
      </c>
      <c r="AK140" s="6037"/>
      <c r="AL140" s="145"/>
      <c r="AM140" s="6019"/>
      <c r="AN140" s="717">
        <f t="shared" si="246"/>
        <v>0</v>
      </c>
      <c r="AO140" s="5991"/>
      <c r="AP140" s="718">
        <f t="shared" si="250"/>
        <v>72.412999999999997</v>
      </c>
      <c r="AQ140" s="6037"/>
      <c r="AR140" s="145"/>
      <c r="AS140" s="5991"/>
      <c r="AT140" s="718">
        <f t="shared" si="228"/>
        <v>72.412999999999997</v>
      </c>
      <c r="AU140" s="6037"/>
      <c r="AV140" s="145"/>
      <c r="AW140" s="5991"/>
      <c r="AX140" s="718">
        <f t="shared" si="229"/>
        <v>72.412999999999997</v>
      </c>
      <c r="AY140" s="6037"/>
      <c r="AZ140" s="145"/>
      <c r="BA140" s="6019"/>
      <c r="BB140" s="717">
        <f t="shared" si="248"/>
        <v>0</v>
      </c>
      <c r="BC140" s="6004"/>
      <c r="BD140" s="429">
        <f t="shared" si="251"/>
        <v>0</v>
      </c>
      <c r="BE140" s="5991"/>
      <c r="BF140" s="718">
        <f t="shared" si="252"/>
        <v>72.412999999999997</v>
      </c>
    </row>
    <row r="141" spans="1:58" ht="20.25" customHeight="1" x14ac:dyDescent="0.3">
      <c r="A141" s="88"/>
      <c r="B141" s="5441" t="s">
        <v>825</v>
      </c>
      <c r="C141" s="3150" t="s">
        <v>861</v>
      </c>
      <c r="D141" s="3163"/>
      <c r="E141" s="6037"/>
      <c r="F141" s="1095"/>
      <c r="G141" s="6037"/>
      <c r="H141" s="1095">
        <v>11.635</v>
      </c>
      <c r="I141" s="5991"/>
      <c r="J141" s="718">
        <f t="shared" si="218"/>
        <v>11.635</v>
      </c>
      <c r="K141" s="6037"/>
      <c r="L141" s="1095"/>
      <c r="M141" s="6019"/>
      <c r="N141" s="717">
        <f t="shared" si="253"/>
        <v>11.635</v>
      </c>
      <c r="O141" s="6037"/>
      <c r="P141" s="1095"/>
      <c r="Q141" s="5991"/>
      <c r="R141" s="718">
        <f t="shared" si="222"/>
        <v>11.635</v>
      </c>
      <c r="S141" s="6037"/>
      <c r="T141" s="1095"/>
      <c r="U141" s="5991"/>
      <c r="V141" s="718">
        <f t="shared" si="223"/>
        <v>11.635</v>
      </c>
      <c r="W141" s="6037"/>
      <c r="X141" s="1095"/>
      <c r="Y141" s="6019"/>
      <c r="Z141" s="6019">
        <f t="shared" si="244"/>
        <v>0</v>
      </c>
      <c r="AA141" s="6004"/>
      <c r="AB141" s="429">
        <f t="shared" si="249"/>
        <v>11.635</v>
      </c>
      <c r="AC141" s="6037"/>
      <c r="AD141" s="1095"/>
      <c r="AE141" s="5991"/>
      <c r="AF141" s="718">
        <f t="shared" si="225"/>
        <v>11.635</v>
      </c>
      <c r="AG141" s="6037"/>
      <c r="AH141" s="1095"/>
      <c r="AI141" s="5991"/>
      <c r="AJ141" s="718">
        <f t="shared" si="226"/>
        <v>11.635</v>
      </c>
      <c r="AK141" s="6037"/>
      <c r="AL141" s="1095"/>
      <c r="AM141" s="6019"/>
      <c r="AN141" s="717">
        <f t="shared" si="246"/>
        <v>0</v>
      </c>
      <c r="AO141" s="5991"/>
      <c r="AP141" s="718">
        <f t="shared" si="250"/>
        <v>11.635</v>
      </c>
      <c r="AQ141" s="6037"/>
      <c r="AR141" s="1095"/>
      <c r="AS141" s="5991"/>
      <c r="AT141" s="718">
        <f t="shared" si="228"/>
        <v>11.635</v>
      </c>
      <c r="AU141" s="6037"/>
      <c r="AV141" s="1095"/>
      <c r="AW141" s="5991"/>
      <c r="AX141" s="718">
        <f t="shared" si="229"/>
        <v>11.635</v>
      </c>
      <c r="AY141" s="6037"/>
      <c r="AZ141" s="1095"/>
      <c r="BA141" s="6019"/>
      <c r="BB141" s="717">
        <f t="shared" si="248"/>
        <v>0</v>
      </c>
      <c r="BC141" s="6004"/>
      <c r="BD141" s="429">
        <f t="shared" si="251"/>
        <v>0</v>
      </c>
      <c r="BE141" s="5991"/>
      <c r="BF141" s="718">
        <f t="shared" si="252"/>
        <v>11.635</v>
      </c>
    </row>
    <row r="142" spans="1:58" x14ac:dyDescent="0.3">
      <c r="A142" s="88"/>
      <c r="B142" s="3136" t="s">
        <v>825</v>
      </c>
      <c r="C142" s="3137" t="s">
        <v>1099</v>
      </c>
      <c r="D142" s="3157"/>
      <c r="E142" s="6037"/>
      <c r="F142" s="1094"/>
      <c r="G142" s="6037"/>
      <c r="H142" s="1094">
        <v>61.04</v>
      </c>
      <c r="I142" s="5991"/>
      <c r="J142" s="718">
        <f t="shared" si="218"/>
        <v>61.04</v>
      </c>
      <c r="K142" s="6037"/>
      <c r="L142" s="1094"/>
      <c r="M142" s="6019"/>
      <c r="N142" s="717">
        <f t="shared" si="253"/>
        <v>61.04</v>
      </c>
      <c r="O142" s="6037"/>
      <c r="P142" s="1094"/>
      <c r="Q142" s="5991"/>
      <c r="R142" s="718">
        <f t="shared" si="222"/>
        <v>61.04</v>
      </c>
      <c r="S142" s="6037"/>
      <c r="T142" s="1094"/>
      <c r="U142" s="5991"/>
      <c r="V142" s="718">
        <f t="shared" si="223"/>
        <v>61.04</v>
      </c>
      <c r="W142" s="6037"/>
      <c r="X142" s="1094"/>
      <c r="Y142" s="6019"/>
      <c r="Z142" s="6019">
        <f t="shared" si="244"/>
        <v>0</v>
      </c>
      <c r="AA142" s="6004"/>
      <c r="AB142" s="429">
        <f t="shared" si="249"/>
        <v>61.04</v>
      </c>
      <c r="AC142" s="6037"/>
      <c r="AD142" s="1094"/>
      <c r="AE142" s="5991"/>
      <c r="AF142" s="718">
        <f t="shared" si="225"/>
        <v>61.04</v>
      </c>
      <c r="AG142" s="6037"/>
      <c r="AH142" s="1094"/>
      <c r="AI142" s="5991"/>
      <c r="AJ142" s="718">
        <f t="shared" si="226"/>
        <v>61.04</v>
      </c>
      <c r="AK142" s="6037"/>
      <c r="AL142" s="1094"/>
      <c r="AM142" s="6019"/>
      <c r="AN142" s="717">
        <f t="shared" si="246"/>
        <v>0</v>
      </c>
      <c r="AO142" s="5991"/>
      <c r="AP142" s="718">
        <f t="shared" si="250"/>
        <v>61.04</v>
      </c>
      <c r="AQ142" s="6037"/>
      <c r="AR142" s="1094"/>
      <c r="AS142" s="5991"/>
      <c r="AT142" s="718">
        <f t="shared" si="228"/>
        <v>61.04</v>
      </c>
      <c r="AU142" s="6037"/>
      <c r="AV142" s="1094"/>
      <c r="AW142" s="5991"/>
      <c r="AX142" s="718">
        <f t="shared" si="229"/>
        <v>61.04</v>
      </c>
      <c r="AY142" s="6037"/>
      <c r="AZ142" s="1094"/>
      <c r="BA142" s="6019"/>
      <c r="BB142" s="717">
        <f t="shared" si="248"/>
        <v>0</v>
      </c>
      <c r="BC142" s="6004"/>
      <c r="BD142" s="429">
        <f t="shared" si="251"/>
        <v>0</v>
      </c>
      <c r="BE142" s="5991"/>
      <c r="BF142" s="718">
        <f t="shared" si="252"/>
        <v>61.04</v>
      </c>
    </row>
    <row r="143" spans="1:58" ht="15.75" customHeight="1" x14ac:dyDescent="0.3">
      <c r="A143" s="88"/>
      <c r="B143" s="3136" t="s">
        <v>825</v>
      </c>
      <c r="C143" s="3137" t="s">
        <v>842</v>
      </c>
      <c r="D143" s="3157"/>
      <c r="E143" s="6037"/>
      <c r="F143" s="1094"/>
      <c r="G143" s="6037"/>
      <c r="H143" s="1094"/>
      <c r="I143" s="5991"/>
      <c r="J143" s="718">
        <f t="shared" si="218"/>
        <v>0</v>
      </c>
      <c r="K143" s="6037"/>
      <c r="L143" s="1094"/>
      <c r="M143" s="6019"/>
      <c r="N143" s="717">
        <f t="shared" si="253"/>
        <v>0</v>
      </c>
      <c r="O143" s="6037"/>
      <c r="P143" s="1094"/>
      <c r="Q143" s="5991"/>
      <c r="R143" s="718">
        <f t="shared" si="222"/>
        <v>0</v>
      </c>
      <c r="S143" s="6037"/>
      <c r="T143" s="1094"/>
      <c r="U143" s="5991"/>
      <c r="V143" s="718">
        <f t="shared" si="223"/>
        <v>0</v>
      </c>
      <c r="W143" s="6037"/>
      <c r="X143" s="1094"/>
      <c r="Y143" s="6019"/>
      <c r="Z143" s="6019">
        <f t="shared" si="244"/>
        <v>0</v>
      </c>
      <c r="AA143" s="6004"/>
      <c r="AB143" s="429">
        <f t="shared" si="249"/>
        <v>0</v>
      </c>
      <c r="AC143" s="6037"/>
      <c r="AD143" s="1094"/>
      <c r="AE143" s="5991"/>
      <c r="AF143" s="718">
        <f t="shared" si="225"/>
        <v>0</v>
      </c>
      <c r="AG143" s="6037"/>
      <c r="AH143" s="1094"/>
      <c r="AI143" s="5991"/>
      <c r="AJ143" s="718">
        <f t="shared" si="226"/>
        <v>0</v>
      </c>
      <c r="AK143" s="6037"/>
      <c r="AL143" s="1094"/>
      <c r="AM143" s="6019"/>
      <c r="AN143" s="717">
        <f t="shared" si="246"/>
        <v>0</v>
      </c>
      <c r="AO143" s="5991"/>
      <c r="AP143" s="718">
        <f t="shared" si="250"/>
        <v>0</v>
      </c>
      <c r="AQ143" s="6037"/>
      <c r="AR143" s="1094"/>
      <c r="AS143" s="5991"/>
      <c r="AT143" s="718">
        <f t="shared" si="228"/>
        <v>0</v>
      </c>
      <c r="AU143" s="6037"/>
      <c r="AV143" s="1094"/>
      <c r="AW143" s="5991"/>
      <c r="AX143" s="718">
        <f t="shared" si="229"/>
        <v>0</v>
      </c>
      <c r="AY143" s="6037"/>
      <c r="AZ143" s="1094"/>
      <c r="BA143" s="6019"/>
      <c r="BB143" s="717">
        <f t="shared" si="248"/>
        <v>0</v>
      </c>
      <c r="BC143" s="6004"/>
      <c r="BD143" s="429">
        <f t="shared" si="251"/>
        <v>0</v>
      </c>
      <c r="BE143" s="5991"/>
      <c r="BF143" s="718">
        <f t="shared" si="252"/>
        <v>0</v>
      </c>
    </row>
    <row r="144" spans="1:58" ht="15.75" customHeight="1" x14ac:dyDescent="0.3">
      <c r="A144" s="88"/>
      <c r="B144" s="3136" t="s">
        <v>825</v>
      </c>
      <c r="C144" s="3167" t="s">
        <v>862</v>
      </c>
      <c r="D144" s="3166"/>
      <c r="E144" s="6037"/>
      <c r="F144" s="2348"/>
      <c r="G144" s="6037"/>
      <c r="H144" s="2348">
        <v>32.271000000000001</v>
      </c>
      <c r="I144" s="5991"/>
      <c r="J144" s="718">
        <f t="shared" si="218"/>
        <v>32.271000000000001</v>
      </c>
      <c r="K144" s="6037"/>
      <c r="L144" s="2348"/>
      <c r="M144" s="6019"/>
      <c r="N144" s="717">
        <f t="shared" si="253"/>
        <v>32.271000000000001</v>
      </c>
      <c r="O144" s="6037"/>
      <c r="P144" s="2348"/>
      <c r="Q144" s="5991"/>
      <c r="R144" s="718">
        <f t="shared" si="222"/>
        <v>32.271000000000001</v>
      </c>
      <c r="S144" s="6037"/>
      <c r="T144" s="2348"/>
      <c r="U144" s="5991"/>
      <c r="V144" s="718">
        <f t="shared" si="223"/>
        <v>32.271000000000001</v>
      </c>
      <c r="W144" s="6037"/>
      <c r="X144" s="2348"/>
      <c r="Y144" s="6019"/>
      <c r="Z144" s="6019">
        <f t="shared" si="244"/>
        <v>0</v>
      </c>
      <c r="AA144" s="6004"/>
      <c r="AB144" s="429">
        <f t="shared" si="249"/>
        <v>32.271000000000001</v>
      </c>
      <c r="AC144" s="6037"/>
      <c r="AD144" s="2348"/>
      <c r="AE144" s="5991"/>
      <c r="AF144" s="718">
        <f t="shared" si="225"/>
        <v>32.271000000000001</v>
      </c>
      <c r="AG144" s="6037"/>
      <c r="AH144" s="2348"/>
      <c r="AI144" s="5991"/>
      <c r="AJ144" s="718">
        <f t="shared" si="226"/>
        <v>32.271000000000001</v>
      </c>
      <c r="AK144" s="6037"/>
      <c r="AL144" s="2348"/>
      <c r="AM144" s="6019"/>
      <c r="AN144" s="717">
        <f t="shared" si="246"/>
        <v>0</v>
      </c>
      <c r="AO144" s="5991"/>
      <c r="AP144" s="718">
        <f t="shared" si="250"/>
        <v>32.271000000000001</v>
      </c>
      <c r="AQ144" s="6037"/>
      <c r="AR144" s="2348"/>
      <c r="AS144" s="5991"/>
      <c r="AT144" s="718">
        <f t="shared" si="228"/>
        <v>32.271000000000001</v>
      </c>
      <c r="AU144" s="6037"/>
      <c r="AV144" s="2348"/>
      <c r="AW144" s="5991"/>
      <c r="AX144" s="718">
        <f t="shared" si="229"/>
        <v>32.271000000000001</v>
      </c>
      <c r="AY144" s="6037"/>
      <c r="AZ144" s="2348"/>
      <c r="BA144" s="6019"/>
      <c r="BB144" s="717">
        <f t="shared" si="248"/>
        <v>0</v>
      </c>
      <c r="BC144" s="6004"/>
      <c r="BD144" s="429">
        <f t="shared" si="251"/>
        <v>0</v>
      </c>
      <c r="BE144" s="5991"/>
      <c r="BF144" s="718">
        <f t="shared" si="252"/>
        <v>32.271000000000001</v>
      </c>
    </row>
    <row r="145" spans="1:58" ht="15.75" customHeight="1" x14ac:dyDescent="0.3">
      <c r="A145" s="88"/>
      <c r="B145" s="3136" t="s">
        <v>825</v>
      </c>
      <c r="C145" s="4929" t="s">
        <v>2275</v>
      </c>
      <c r="D145" s="5443"/>
      <c r="E145" s="6037"/>
      <c r="F145" s="4923"/>
      <c r="G145" s="6037"/>
      <c r="H145" s="4923">
        <v>19.085000000000001</v>
      </c>
      <c r="I145" s="5991"/>
      <c r="J145" s="718">
        <f t="shared" si="218"/>
        <v>19.085000000000001</v>
      </c>
      <c r="K145" s="6037"/>
      <c r="L145" s="4923"/>
      <c r="M145" s="6019"/>
      <c r="N145" s="717">
        <f t="shared" si="253"/>
        <v>19.085000000000001</v>
      </c>
      <c r="O145" s="6037"/>
      <c r="P145" s="4923"/>
      <c r="Q145" s="5991"/>
      <c r="R145" s="718">
        <f t="shared" si="222"/>
        <v>19.085000000000001</v>
      </c>
      <c r="S145" s="6037"/>
      <c r="T145" s="4923"/>
      <c r="U145" s="5991"/>
      <c r="V145" s="718">
        <f t="shared" si="223"/>
        <v>19.085000000000001</v>
      </c>
      <c r="W145" s="6037"/>
      <c r="X145" s="4923"/>
      <c r="Y145" s="6019"/>
      <c r="Z145" s="6019">
        <f t="shared" si="244"/>
        <v>0</v>
      </c>
      <c r="AA145" s="6004"/>
      <c r="AB145" s="429">
        <f t="shared" si="249"/>
        <v>19.085000000000001</v>
      </c>
      <c r="AC145" s="6037"/>
      <c r="AD145" s="4923"/>
      <c r="AE145" s="5991"/>
      <c r="AF145" s="718">
        <f t="shared" si="225"/>
        <v>19.085000000000001</v>
      </c>
      <c r="AG145" s="6037"/>
      <c r="AH145" s="4923"/>
      <c r="AI145" s="5991"/>
      <c r="AJ145" s="718">
        <f t="shared" si="226"/>
        <v>19.085000000000001</v>
      </c>
      <c r="AK145" s="6037"/>
      <c r="AL145" s="4923"/>
      <c r="AM145" s="6019"/>
      <c r="AN145" s="717">
        <f t="shared" si="246"/>
        <v>0</v>
      </c>
      <c r="AO145" s="5991"/>
      <c r="AP145" s="718">
        <f t="shared" si="250"/>
        <v>19.085000000000001</v>
      </c>
      <c r="AQ145" s="6037"/>
      <c r="AR145" s="4923"/>
      <c r="AS145" s="5991"/>
      <c r="AT145" s="718">
        <f t="shared" si="228"/>
        <v>19.085000000000001</v>
      </c>
      <c r="AU145" s="6037"/>
      <c r="AV145" s="4923"/>
      <c r="AW145" s="5991"/>
      <c r="AX145" s="718">
        <f t="shared" si="229"/>
        <v>19.085000000000001</v>
      </c>
      <c r="AY145" s="6037"/>
      <c r="AZ145" s="4923"/>
      <c r="BA145" s="6019"/>
      <c r="BB145" s="717">
        <f t="shared" si="248"/>
        <v>0</v>
      </c>
      <c r="BC145" s="6004"/>
      <c r="BD145" s="429">
        <f t="shared" si="251"/>
        <v>0</v>
      </c>
      <c r="BE145" s="5991"/>
      <c r="BF145" s="718">
        <f t="shared" si="252"/>
        <v>19.085000000000001</v>
      </c>
    </row>
    <row r="146" spans="1:58" ht="20.25" customHeight="1" x14ac:dyDescent="0.3">
      <c r="A146" s="88"/>
      <c r="B146" s="3158" t="s">
        <v>825</v>
      </c>
      <c r="C146" s="3157" t="s">
        <v>905</v>
      </c>
      <c r="D146" s="3157"/>
      <c r="E146" s="6037"/>
      <c r="F146" s="1094"/>
      <c r="G146" s="6037"/>
      <c r="H146" s="1094">
        <v>28.254000000000001</v>
      </c>
      <c r="I146" s="5991"/>
      <c r="J146" s="718">
        <f t="shared" si="218"/>
        <v>28.254000000000001</v>
      </c>
      <c r="K146" s="6037"/>
      <c r="L146" s="1094"/>
      <c r="M146" s="6019"/>
      <c r="N146" s="717">
        <f t="shared" si="253"/>
        <v>28.254000000000001</v>
      </c>
      <c r="O146" s="6037"/>
      <c r="P146" s="1094"/>
      <c r="Q146" s="5991"/>
      <c r="R146" s="718">
        <f t="shared" si="222"/>
        <v>28.254000000000001</v>
      </c>
      <c r="S146" s="6037"/>
      <c r="T146" s="1094"/>
      <c r="U146" s="5991"/>
      <c r="V146" s="718">
        <f t="shared" si="223"/>
        <v>28.254000000000001</v>
      </c>
      <c r="W146" s="6037"/>
      <c r="X146" s="1094"/>
      <c r="Y146" s="6019"/>
      <c r="Z146" s="6019">
        <f t="shared" si="244"/>
        <v>0</v>
      </c>
      <c r="AA146" s="6004"/>
      <c r="AB146" s="429">
        <f t="shared" si="249"/>
        <v>28.254000000000001</v>
      </c>
      <c r="AC146" s="6037"/>
      <c r="AD146" s="1094"/>
      <c r="AE146" s="5991"/>
      <c r="AF146" s="718">
        <f t="shared" si="225"/>
        <v>28.254000000000001</v>
      </c>
      <c r="AG146" s="6037"/>
      <c r="AH146" s="1094"/>
      <c r="AI146" s="5991"/>
      <c r="AJ146" s="718">
        <f t="shared" si="226"/>
        <v>28.254000000000001</v>
      </c>
      <c r="AK146" s="6037"/>
      <c r="AL146" s="1094"/>
      <c r="AM146" s="6019"/>
      <c r="AN146" s="717">
        <f t="shared" si="246"/>
        <v>0</v>
      </c>
      <c r="AO146" s="5991"/>
      <c r="AP146" s="718">
        <f t="shared" si="250"/>
        <v>28.254000000000001</v>
      </c>
      <c r="AQ146" s="6037"/>
      <c r="AR146" s="1094"/>
      <c r="AS146" s="5991"/>
      <c r="AT146" s="718">
        <f t="shared" si="228"/>
        <v>28.254000000000001</v>
      </c>
      <c r="AU146" s="6037"/>
      <c r="AV146" s="1094"/>
      <c r="AW146" s="5991"/>
      <c r="AX146" s="718">
        <f t="shared" si="229"/>
        <v>28.254000000000001</v>
      </c>
      <c r="AY146" s="6037"/>
      <c r="AZ146" s="1094"/>
      <c r="BA146" s="6019"/>
      <c r="BB146" s="717">
        <f t="shared" si="248"/>
        <v>0</v>
      </c>
      <c r="BC146" s="6004"/>
      <c r="BD146" s="429">
        <f t="shared" si="251"/>
        <v>0</v>
      </c>
      <c r="BE146" s="5991"/>
      <c r="BF146" s="718">
        <f t="shared" si="252"/>
        <v>28.254000000000001</v>
      </c>
    </row>
    <row r="147" spans="1:58" ht="15.75" customHeight="1" x14ac:dyDescent="0.3">
      <c r="A147" s="88"/>
      <c r="B147" s="3158" t="s">
        <v>825</v>
      </c>
      <c r="C147" s="3157" t="s">
        <v>1388</v>
      </c>
      <c r="D147" s="3157"/>
      <c r="E147" s="6037"/>
      <c r="F147" s="1094"/>
      <c r="G147" s="6037"/>
      <c r="H147" s="1094"/>
      <c r="I147" s="5991"/>
      <c r="J147" s="718">
        <f t="shared" si="218"/>
        <v>0</v>
      </c>
      <c r="K147" s="6037"/>
      <c r="L147" s="1094"/>
      <c r="M147" s="6019"/>
      <c r="N147" s="717">
        <f t="shared" si="253"/>
        <v>0</v>
      </c>
      <c r="O147" s="6037"/>
      <c r="P147" s="1094"/>
      <c r="Q147" s="5991"/>
      <c r="R147" s="718">
        <f t="shared" si="222"/>
        <v>0</v>
      </c>
      <c r="S147" s="6037"/>
      <c r="T147" s="1094"/>
      <c r="U147" s="5991"/>
      <c r="V147" s="718">
        <f t="shared" si="223"/>
        <v>0</v>
      </c>
      <c r="W147" s="6037"/>
      <c r="X147" s="1094"/>
      <c r="Y147" s="6019"/>
      <c r="Z147" s="6019">
        <f t="shared" si="244"/>
        <v>0</v>
      </c>
      <c r="AA147" s="6004"/>
      <c r="AB147" s="429">
        <f t="shared" si="249"/>
        <v>0</v>
      </c>
      <c r="AC147" s="6037"/>
      <c r="AD147" s="1094"/>
      <c r="AE147" s="5991"/>
      <c r="AF147" s="718">
        <f t="shared" si="225"/>
        <v>0</v>
      </c>
      <c r="AG147" s="6037"/>
      <c r="AH147" s="1094"/>
      <c r="AI147" s="5991"/>
      <c r="AJ147" s="718">
        <f t="shared" si="226"/>
        <v>0</v>
      </c>
      <c r="AK147" s="6037"/>
      <c r="AL147" s="1094"/>
      <c r="AM147" s="6019"/>
      <c r="AN147" s="717">
        <f t="shared" si="246"/>
        <v>0</v>
      </c>
      <c r="AO147" s="5991"/>
      <c r="AP147" s="718">
        <f t="shared" si="250"/>
        <v>0</v>
      </c>
      <c r="AQ147" s="6037"/>
      <c r="AR147" s="1094"/>
      <c r="AS147" s="5991"/>
      <c r="AT147" s="718">
        <f t="shared" si="228"/>
        <v>0</v>
      </c>
      <c r="AU147" s="6037"/>
      <c r="AV147" s="1094"/>
      <c r="AW147" s="5991"/>
      <c r="AX147" s="718">
        <f t="shared" si="229"/>
        <v>0</v>
      </c>
      <c r="AY147" s="6037"/>
      <c r="AZ147" s="1094"/>
      <c r="BA147" s="6019"/>
      <c r="BB147" s="717">
        <f t="shared" si="248"/>
        <v>0</v>
      </c>
      <c r="BC147" s="6004"/>
      <c r="BD147" s="429">
        <f t="shared" si="251"/>
        <v>0</v>
      </c>
      <c r="BE147" s="5991"/>
      <c r="BF147" s="718">
        <f t="shared" si="252"/>
        <v>0</v>
      </c>
    </row>
    <row r="148" spans="1:58" ht="15.75" customHeight="1" thickBot="1" x14ac:dyDescent="0.35">
      <c r="A148" s="88"/>
      <c r="B148" s="3158" t="s">
        <v>825</v>
      </c>
      <c r="C148" s="23" t="s">
        <v>2280</v>
      </c>
      <c r="D148" s="4043"/>
      <c r="E148" s="6037"/>
      <c r="F148" s="4795"/>
      <c r="G148" s="6037"/>
      <c r="H148" s="2436">
        <v>48.981000000000002</v>
      </c>
      <c r="I148" s="5991"/>
      <c r="J148" s="718">
        <f t="shared" si="218"/>
        <v>48.981000000000002</v>
      </c>
      <c r="K148" s="6037"/>
      <c r="L148" s="2436"/>
      <c r="M148" s="6019"/>
      <c r="N148" s="717">
        <f t="shared" si="253"/>
        <v>48.981000000000002</v>
      </c>
      <c r="O148" s="6037"/>
      <c r="P148" s="2436"/>
      <c r="Q148" s="5991"/>
      <c r="R148" s="718">
        <f t="shared" si="222"/>
        <v>48.981000000000002</v>
      </c>
      <c r="S148" s="6037"/>
      <c r="T148" s="2436"/>
      <c r="U148" s="5991"/>
      <c r="V148" s="718">
        <f t="shared" si="223"/>
        <v>48.981000000000002</v>
      </c>
      <c r="W148" s="6037"/>
      <c r="X148" s="2436"/>
      <c r="Y148" s="6019"/>
      <c r="Z148" s="6019">
        <f t="shared" si="244"/>
        <v>0</v>
      </c>
      <c r="AA148" s="6004"/>
      <c r="AB148" s="429">
        <f t="shared" si="249"/>
        <v>48.981000000000002</v>
      </c>
      <c r="AC148" s="6037"/>
      <c r="AD148" s="2436"/>
      <c r="AE148" s="5991"/>
      <c r="AF148" s="718">
        <f t="shared" si="225"/>
        <v>48.981000000000002</v>
      </c>
      <c r="AG148" s="6037"/>
      <c r="AH148" s="2436"/>
      <c r="AI148" s="5991"/>
      <c r="AJ148" s="718">
        <f t="shared" si="226"/>
        <v>48.981000000000002</v>
      </c>
      <c r="AK148" s="6037"/>
      <c r="AL148" s="2436"/>
      <c r="AM148" s="6019"/>
      <c r="AN148" s="717">
        <f t="shared" si="246"/>
        <v>0</v>
      </c>
      <c r="AO148" s="5991"/>
      <c r="AP148" s="718">
        <f t="shared" si="250"/>
        <v>48.981000000000002</v>
      </c>
      <c r="AQ148" s="6037"/>
      <c r="AR148" s="2436"/>
      <c r="AS148" s="5991"/>
      <c r="AT148" s="718">
        <f t="shared" si="228"/>
        <v>48.981000000000002</v>
      </c>
      <c r="AU148" s="6037"/>
      <c r="AV148" s="2436"/>
      <c r="AW148" s="5991"/>
      <c r="AX148" s="718">
        <f t="shared" si="229"/>
        <v>48.981000000000002</v>
      </c>
      <c r="AY148" s="6037"/>
      <c r="AZ148" s="2436"/>
      <c r="BA148" s="6019"/>
      <c r="BB148" s="717">
        <f t="shared" si="248"/>
        <v>0</v>
      </c>
      <c r="BC148" s="6004"/>
      <c r="BD148" s="429">
        <f t="shared" si="251"/>
        <v>0</v>
      </c>
      <c r="BE148" s="5991"/>
      <c r="BF148" s="718">
        <f t="shared" si="252"/>
        <v>48.981000000000002</v>
      </c>
    </row>
    <row r="149" spans="1:58" ht="15.75" customHeight="1" thickBot="1" x14ac:dyDescent="0.35">
      <c r="A149" s="88"/>
      <c r="B149" s="3158" t="s">
        <v>825</v>
      </c>
      <c r="C149" s="3156" t="s">
        <v>837</v>
      </c>
      <c r="D149" s="3520"/>
      <c r="E149" s="6037"/>
      <c r="F149" s="1108"/>
      <c r="G149" s="6037"/>
      <c r="H149" s="2436">
        <v>13.311</v>
      </c>
      <c r="I149" s="5991"/>
      <c r="J149" s="718">
        <f t="shared" si="218"/>
        <v>13.311</v>
      </c>
      <c r="K149" s="6037"/>
      <c r="L149" s="2436"/>
      <c r="M149" s="6019"/>
      <c r="N149" s="717">
        <f t="shared" si="253"/>
        <v>13.311</v>
      </c>
      <c r="O149" s="6037"/>
      <c r="P149" s="2436"/>
      <c r="Q149" s="5991"/>
      <c r="R149" s="718">
        <f t="shared" si="222"/>
        <v>13.311</v>
      </c>
      <c r="S149" s="6037"/>
      <c r="T149" s="2436"/>
      <c r="U149" s="5991"/>
      <c r="V149" s="718">
        <f t="shared" si="223"/>
        <v>13.311</v>
      </c>
      <c r="W149" s="6037"/>
      <c r="X149" s="2436"/>
      <c r="Y149" s="6019"/>
      <c r="Z149" s="6019">
        <f t="shared" si="244"/>
        <v>0</v>
      </c>
      <c r="AA149" s="6004"/>
      <c r="AB149" s="429">
        <f t="shared" si="249"/>
        <v>13.311</v>
      </c>
      <c r="AC149" s="6037"/>
      <c r="AD149" s="2436"/>
      <c r="AE149" s="5991"/>
      <c r="AF149" s="718">
        <f t="shared" si="225"/>
        <v>13.311</v>
      </c>
      <c r="AG149" s="6037"/>
      <c r="AH149" s="2436"/>
      <c r="AI149" s="5991"/>
      <c r="AJ149" s="718">
        <f t="shared" si="226"/>
        <v>13.311</v>
      </c>
      <c r="AK149" s="6037"/>
      <c r="AL149" s="2436"/>
      <c r="AM149" s="6019"/>
      <c r="AN149" s="717">
        <f t="shared" si="246"/>
        <v>0</v>
      </c>
      <c r="AO149" s="5991"/>
      <c r="AP149" s="718">
        <f t="shared" si="250"/>
        <v>13.311</v>
      </c>
      <c r="AQ149" s="6037"/>
      <c r="AR149" s="2436"/>
      <c r="AS149" s="5991"/>
      <c r="AT149" s="718">
        <f t="shared" si="228"/>
        <v>13.311</v>
      </c>
      <c r="AU149" s="6037"/>
      <c r="AV149" s="2436"/>
      <c r="AW149" s="5991"/>
      <c r="AX149" s="718">
        <f t="shared" si="229"/>
        <v>13.311</v>
      </c>
      <c r="AY149" s="6037"/>
      <c r="AZ149" s="2436"/>
      <c r="BA149" s="6019"/>
      <c r="BB149" s="717">
        <f t="shared" si="248"/>
        <v>0</v>
      </c>
      <c r="BC149" s="6004"/>
      <c r="BD149" s="429">
        <f t="shared" si="251"/>
        <v>0</v>
      </c>
      <c r="BE149" s="5991"/>
      <c r="BF149" s="718">
        <f t="shared" si="252"/>
        <v>13.311</v>
      </c>
    </row>
    <row r="150" spans="1:58" ht="15.75" customHeight="1" x14ac:dyDescent="0.3">
      <c r="A150" s="88"/>
      <c r="B150" s="3158" t="s">
        <v>825</v>
      </c>
      <c r="C150" s="3156" t="s">
        <v>2279</v>
      </c>
      <c r="D150" s="4043"/>
      <c r="E150" s="6037"/>
      <c r="F150" s="4795"/>
      <c r="G150" s="6037"/>
      <c r="H150" s="2436">
        <v>10.096</v>
      </c>
      <c r="I150" s="5991"/>
      <c r="J150" s="718">
        <f t="shared" si="218"/>
        <v>10.096</v>
      </c>
      <c r="K150" s="6037"/>
      <c r="L150" s="2436"/>
      <c r="M150" s="6019"/>
      <c r="N150" s="717">
        <f t="shared" si="253"/>
        <v>10.096</v>
      </c>
      <c r="O150" s="6037"/>
      <c r="P150" s="2436"/>
      <c r="Q150" s="5991"/>
      <c r="R150" s="718">
        <f t="shared" si="222"/>
        <v>10.096</v>
      </c>
      <c r="S150" s="6037"/>
      <c r="T150" s="2436"/>
      <c r="U150" s="5991"/>
      <c r="V150" s="718">
        <f t="shared" si="223"/>
        <v>10.096</v>
      </c>
      <c r="W150" s="6037"/>
      <c r="X150" s="2436"/>
      <c r="Y150" s="6019"/>
      <c r="Z150" s="6019">
        <f t="shared" si="244"/>
        <v>0</v>
      </c>
      <c r="AA150" s="6004"/>
      <c r="AB150" s="429">
        <f t="shared" si="249"/>
        <v>10.096</v>
      </c>
      <c r="AC150" s="6037"/>
      <c r="AD150" s="2436"/>
      <c r="AE150" s="5991"/>
      <c r="AF150" s="718">
        <f t="shared" si="225"/>
        <v>10.096</v>
      </c>
      <c r="AG150" s="6037"/>
      <c r="AH150" s="2436"/>
      <c r="AI150" s="5991"/>
      <c r="AJ150" s="718">
        <f t="shared" si="226"/>
        <v>10.096</v>
      </c>
      <c r="AK150" s="6037"/>
      <c r="AL150" s="2436"/>
      <c r="AM150" s="6019"/>
      <c r="AN150" s="717">
        <f t="shared" si="246"/>
        <v>0</v>
      </c>
      <c r="AO150" s="5991"/>
      <c r="AP150" s="718">
        <f t="shared" si="250"/>
        <v>10.096</v>
      </c>
      <c r="AQ150" s="6037"/>
      <c r="AR150" s="2436"/>
      <c r="AS150" s="5991"/>
      <c r="AT150" s="718">
        <f t="shared" si="228"/>
        <v>10.096</v>
      </c>
      <c r="AU150" s="6037"/>
      <c r="AV150" s="2436"/>
      <c r="AW150" s="5991"/>
      <c r="AX150" s="718">
        <f t="shared" si="229"/>
        <v>10.096</v>
      </c>
      <c r="AY150" s="6037"/>
      <c r="AZ150" s="2436"/>
      <c r="BA150" s="6019"/>
      <c r="BB150" s="717">
        <f t="shared" si="248"/>
        <v>0</v>
      </c>
      <c r="BC150" s="6004"/>
      <c r="BD150" s="429">
        <f t="shared" si="251"/>
        <v>0</v>
      </c>
      <c r="BE150" s="5991"/>
      <c r="BF150" s="718">
        <f t="shared" si="252"/>
        <v>10.096</v>
      </c>
    </row>
    <row r="151" spans="1:58" ht="15" thickBot="1" x14ac:dyDescent="0.35">
      <c r="A151" s="88"/>
      <c r="B151" s="3159" t="s">
        <v>825</v>
      </c>
      <c r="C151" s="3160" t="s">
        <v>1446</v>
      </c>
      <c r="D151" s="3160"/>
      <c r="E151" s="6037"/>
      <c r="F151" s="103"/>
      <c r="G151" s="6037"/>
      <c r="H151" s="103">
        <v>39.877000000000002</v>
      </c>
      <c r="I151" s="5991"/>
      <c r="J151" s="718">
        <f t="shared" si="218"/>
        <v>39.877000000000002</v>
      </c>
      <c r="K151" s="6037"/>
      <c r="L151" s="103"/>
      <c r="M151" s="6019"/>
      <c r="N151" s="717">
        <f t="shared" si="253"/>
        <v>39.877000000000002</v>
      </c>
      <c r="O151" s="6037"/>
      <c r="P151" s="103"/>
      <c r="Q151" s="5991"/>
      <c r="R151" s="718">
        <f t="shared" si="222"/>
        <v>39.877000000000002</v>
      </c>
      <c r="S151" s="6037"/>
      <c r="T151" s="103"/>
      <c r="U151" s="5991"/>
      <c r="V151" s="718">
        <f t="shared" si="223"/>
        <v>39.877000000000002</v>
      </c>
      <c r="W151" s="6037"/>
      <c r="X151" s="103"/>
      <c r="Y151" s="6019"/>
      <c r="Z151" s="6019">
        <f t="shared" si="244"/>
        <v>0</v>
      </c>
      <c r="AA151" s="6004"/>
      <c r="AB151" s="429">
        <f t="shared" si="249"/>
        <v>39.877000000000002</v>
      </c>
      <c r="AC151" s="6037"/>
      <c r="AD151" s="103"/>
      <c r="AE151" s="5991"/>
      <c r="AF151" s="718">
        <f t="shared" si="225"/>
        <v>39.877000000000002</v>
      </c>
      <c r="AG151" s="6037"/>
      <c r="AH151" s="103"/>
      <c r="AI151" s="5991"/>
      <c r="AJ151" s="718">
        <f t="shared" si="226"/>
        <v>39.877000000000002</v>
      </c>
      <c r="AK151" s="6037"/>
      <c r="AL151" s="103"/>
      <c r="AM151" s="6019"/>
      <c r="AN151" s="717">
        <f t="shared" si="246"/>
        <v>0</v>
      </c>
      <c r="AO151" s="5991"/>
      <c r="AP151" s="718">
        <f t="shared" si="250"/>
        <v>39.877000000000002</v>
      </c>
      <c r="AQ151" s="6037"/>
      <c r="AR151" s="103"/>
      <c r="AS151" s="5991"/>
      <c r="AT151" s="718">
        <f t="shared" si="228"/>
        <v>39.877000000000002</v>
      </c>
      <c r="AU151" s="6037"/>
      <c r="AV151" s="103"/>
      <c r="AW151" s="5991"/>
      <c r="AX151" s="718">
        <f t="shared" si="229"/>
        <v>39.877000000000002</v>
      </c>
      <c r="AY151" s="6037"/>
      <c r="AZ151" s="103"/>
      <c r="BA151" s="6019"/>
      <c r="BB151" s="717">
        <f t="shared" si="248"/>
        <v>0</v>
      </c>
      <c r="BC151" s="6004"/>
      <c r="BD151" s="429">
        <f t="shared" si="251"/>
        <v>0</v>
      </c>
      <c r="BE151" s="5991"/>
      <c r="BF151" s="718">
        <f t="shared" si="252"/>
        <v>39.877000000000002</v>
      </c>
    </row>
    <row r="152" spans="1:58" ht="15.75" customHeight="1" x14ac:dyDescent="0.3">
      <c r="A152" s="88"/>
      <c r="B152" s="3158" t="s">
        <v>1792</v>
      </c>
      <c r="C152" s="3157" t="s">
        <v>1804</v>
      </c>
      <c r="D152" s="3185"/>
      <c r="E152" s="6037"/>
      <c r="F152" s="3152"/>
      <c r="G152" s="6037"/>
      <c r="H152" s="3152">
        <v>33.238</v>
      </c>
      <c r="I152" s="5991"/>
      <c r="J152" s="718">
        <f t="shared" si="218"/>
        <v>33.238</v>
      </c>
      <c r="K152" s="6037"/>
      <c r="L152" s="3152"/>
      <c r="M152" s="6019"/>
      <c r="N152" s="717">
        <f t="shared" si="253"/>
        <v>33.238</v>
      </c>
      <c r="O152" s="6037"/>
      <c r="P152" s="3152"/>
      <c r="Q152" s="5991"/>
      <c r="R152" s="718">
        <f t="shared" si="222"/>
        <v>33.238</v>
      </c>
      <c r="S152" s="6037"/>
      <c r="T152" s="3152"/>
      <c r="U152" s="5991"/>
      <c r="V152" s="718">
        <f t="shared" si="223"/>
        <v>33.238</v>
      </c>
      <c r="W152" s="6037"/>
      <c r="X152" s="3152"/>
      <c r="Y152" s="6019"/>
      <c r="Z152" s="6019">
        <f t="shared" si="244"/>
        <v>0</v>
      </c>
      <c r="AA152" s="6004"/>
      <c r="AB152" s="429">
        <f t="shared" si="249"/>
        <v>33.238</v>
      </c>
      <c r="AC152" s="6037"/>
      <c r="AD152" s="3152"/>
      <c r="AE152" s="5991"/>
      <c r="AF152" s="718">
        <f t="shared" si="225"/>
        <v>33.238</v>
      </c>
      <c r="AG152" s="6037"/>
      <c r="AH152" s="3152"/>
      <c r="AI152" s="5991"/>
      <c r="AJ152" s="718">
        <f t="shared" si="226"/>
        <v>33.238</v>
      </c>
      <c r="AK152" s="6037"/>
      <c r="AL152" s="3152"/>
      <c r="AM152" s="6019"/>
      <c r="AN152" s="717">
        <f t="shared" si="246"/>
        <v>0</v>
      </c>
      <c r="AO152" s="5991"/>
      <c r="AP152" s="718">
        <f t="shared" si="250"/>
        <v>33.238</v>
      </c>
      <c r="AQ152" s="6037"/>
      <c r="AR152" s="3152"/>
      <c r="AS152" s="5991"/>
      <c r="AT152" s="718">
        <f t="shared" si="228"/>
        <v>33.238</v>
      </c>
      <c r="AU152" s="6037"/>
      <c r="AV152" s="3152"/>
      <c r="AW152" s="5991"/>
      <c r="AX152" s="718">
        <f t="shared" si="229"/>
        <v>33.238</v>
      </c>
      <c r="AY152" s="6037"/>
      <c r="AZ152" s="3152"/>
      <c r="BA152" s="6019"/>
      <c r="BB152" s="717">
        <f t="shared" si="248"/>
        <v>0</v>
      </c>
      <c r="BC152" s="6004"/>
      <c r="BD152" s="429">
        <f t="shared" si="251"/>
        <v>0</v>
      </c>
      <c r="BE152" s="5991"/>
      <c r="BF152" s="718">
        <f t="shared" si="252"/>
        <v>33.238</v>
      </c>
    </row>
    <row r="153" spans="1:58" ht="15.75" customHeight="1" thickBot="1" x14ac:dyDescent="0.35">
      <c r="A153" s="88"/>
      <c r="B153" s="3158" t="s">
        <v>1792</v>
      </c>
      <c r="C153" s="3163" t="s">
        <v>2277</v>
      </c>
      <c r="D153" s="3185"/>
      <c r="E153" s="6037"/>
      <c r="F153" s="3152"/>
      <c r="G153" s="6037"/>
      <c r="H153" s="3152">
        <v>6.3659999999999997</v>
      </c>
      <c r="I153" s="5991"/>
      <c r="J153" s="718">
        <f t="shared" si="218"/>
        <v>6.3659999999999997</v>
      </c>
      <c r="K153" s="6037"/>
      <c r="L153" s="3152"/>
      <c r="M153" s="6019"/>
      <c r="N153" s="717">
        <f t="shared" si="253"/>
        <v>6.3659999999999997</v>
      </c>
      <c r="O153" s="6037"/>
      <c r="P153" s="3152"/>
      <c r="Q153" s="5991"/>
      <c r="R153" s="718">
        <f t="shared" si="222"/>
        <v>6.3659999999999997</v>
      </c>
      <c r="S153" s="6037"/>
      <c r="T153" s="3152"/>
      <c r="U153" s="5991"/>
      <c r="V153" s="718">
        <f t="shared" si="223"/>
        <v>6.3659999999999997</v>
      </c>
      <c r="W153" s="6037"/>
      <c r="X153" s="3152"/>
      <c r="Y153" s="6019"/>
      <c r="Z153" s="6019">
        <f t="shared" si="244"/>
        <v>0</v>
      </c>
      <c r="AA153" s="6004"/>
      <c r="AB153" s="429">
        <f t="shared" si="249"/>
        <v>6.3659999999999997</v>
      </c>
      <c r="AC153" s="6037"/>
      <c r="AD153" s="3152"/>
      <c r="AE153" s="5991"/>
      <c r="AF153" s="718">
        <f t="shared" si="225"/>
        <v>6.3659999999999997</v>
      </c>
      <c r="AG153" s="6037"/>
      <c r="AH153" s="3152"/>
      <c r="AI153" s="5991"/>
      <c r="AJ153" s="718">
        <f t="shared" si="226"/>
        <v>6.3659999999999997</v>
      </c>
      <c r="AK153" s="6037"/>
      <c r="AL153" s="3152"/>
      <c r="AM153" s="6019"/>
      <c r="AN153" s="717">
        <f t="shared" si="246"/>
        <v>0</v>
      </c>
      <c r="AO153" s="5991"/>
      <c r="AP153" s="718">
        <f t="shared" si="250"/>
        <v>6.3659999999999997</v>
      </c>
      <c r="AQ153" s="6037"/>
      <c r="AR153" s="3152"/>
      <c r="AS153" s="5991"/>
      <c r="AT153" s="718">
        <f t="shared" si="228"/>
        <v>6.3659999999999997</v>
      </c>
      <c r="AU153" s="6037"/>
      <c r="AV153" s="3152"/>
      <c r="AW153" s="5991"/>
      <c r="AX153" s="718">
        <f t="shared" si="229"/>
        <v>6.3659999999999997</v>
      </c>
      <c r="AY153" s="6037"/>
      <c r="AZ153" s="3152"/>
      <c r="BA153" s="6019"/>
      <c r="BB153" s="717">
        <f t="shared" si="248"/>
        <v>0</v>
      </c>
      <c r="BC153" s="6004"/>
      <c r="BD153" s="429">
        <f t="shared" si="251"/>
        <v>0</v>
      </c>
      <c r="BE153" s="5991"/>
      <c r="BF153" s="718">
        <f t="shared" si="252"/>
        <v>6.3659999999999997</v>
      </c>
    </row>
    <row r="154" spans="1:58" ht="15.75" customHeight="1" thickBot="1" x14ac:dyDescent="0.35">
      <c r="A154" s="88"/>
      <c r="B154" s="3158" t="s">
        <v>1792</v>
      </c>
      <c r="C154" s="3156" t="s">
        <v>1805</v>
      </c>
      <c r="D154" s="3185"/>
      <c r="E154" s="6037"/>
      <c r="F154" s="3152"/>
      <c r="G154" s="6037"/>
      <c r="H154" s="3152">
        <v>66.99499999999999</v>
      </c>
      <c r="I154" s="5991"/>
      <c r="J154" s="718">
        <f t="shared" si="218"/>
        <v>66.99499999999999</v>
      </c>
      <c r="K154" s="6037"/>
      <c r="L154" s="3152"/>
      <c r="M154" s="6019"/>
      <c r="N154" s="717">
        <f t="shared" si="253"/>
        <v>66.99499999999999</v>
      </c>
      <c r="O154" s="6037"/>
      <c r="P154" s="3152"/>
      <c r="Q154" s="5991"/>
      <c r="R154" s="718">
        <f t="shared" si="222"/>
        <v>66.99499999999999</v>
      </c>
      <c r="S154" s="6037"/>
      <c r="T154" s="3152"/>
      <c r="U154" s="5991"/>
      <c r="V154" s="718">
        <f t="shared" si="223"/>
        <v>66.99499999999999</v>
      </c>
      <c r="W154" s="6037"/>
      <c r="X154" s="3152"/>
      <c r="Y154" s="6019"/>
      <c r="Z154" s="6019">
        <f t="shared" si="244"/>
        <v>0</v>
      </c>
      <c r="AA154" s="6004"/>
      <c r="AB154" s="429">
        <f t="shared" si="249"/>
        <v>66.99499999999999</v>
      </c>
      <c r="AC154" s="6037"/>
      <c r="AD154" s="3152"/>
      <c r="AE154" s="5991"/>
      <c r="AF154" s="718">
        <f t="shared" si="225"/>
        <v>66.99499999999999</v>
      </c>
      <c r="AG154" s="6037"/>
      <c r="AH154" s="3152"/>
      <c r="AI154" s="5991"/>
      <c r="AJ154" s="718">
        <f t="shared" si="226"/>
        <v>66.99499999999999</v>
      </c>
      <c r="AK154" s="6037"/>
      <c r="AL154" s="3152"/>
      <c r="AM154" s="6019"/>
      <c r="AN154" s="717">
        <f t="shared" si="246"/>
        <v>0</v>
      </c>
      <c r="AO154" s="5991"/>
      <c r="AP154" s="718">
        <f t="shared" si="250"/>
        <v>66.99499999999999</v>
      </c>
      <c r="AQ154" s="6037"/>
      <c r="AR154" s="3152"/>
      <c r="AS154" s="5991"/>
      <c r="AT154" s="718">
        <f t="shared" si="228"/>
        <v>66.99499999999999</v>
      </c>
      <c r="AU154" s="6037"/>
      <c r="AV154" s="3152"/>
      <c r="AW154" s="5991"/>
      <c r="AX154" s="718">
        <f t="shared" si="229"/>
        <v>66.99499999999999</v>
      </c>
      <c r="AY154" s="6037"/>
      <c r="AZ154" s="3152"/>
      <c r="BA154" s="6019"/>
      <c r="BB154" s="717">
        <f t="shared" si="248"/>
        <v>0</v>
      </c>
      <c r="BC154" s="6004"/>
      <c r="BD154" s="429">
        <f t="shared" si="251"/>
        <v>0</v>
      </c>
      <c r="BE154" s="5991"/>
      <c r="BF154" s="718">
        <f t="shared" si="252"/>
        <v>66.99499999999999</v>
      </c>
    </row>
    <row r="155" spans="1:58" ht="15.75" customHeight="1" thickBot="1" x14ac:dyDescent="0.35">
      <c r="A155" s="88"/>
      <c r="B155" s="4319" t="s">
        <v>1792</v>
      </c>
      <c r="C155" s="3156" t="s">
        <v>1099</v>
      </c>
      <c r="D155" s="3185"/>
      <c r="E155" s="6037"/>
      <c r="F155" s="3152"/>
      <c r="G155" s="6037"/>
      <c r="H155" s="3152">
        <v>6.3659999999999997</v>
      </c>
      <c r="I155" s="5991"/>
      <c r="J155" s="718">
        <f t="shared" si="218"/>
        <v>6.3659999999999997</v>
      </c>
      <c r="K155" s="6037"/>
      <c r="L155" s="3152"/>
      <c r="M155" s="6019"/>
      <c r="N155" s="717">
        <f t="shared" si="253"/>
        <v>6.3659999999999997</v>
      </c>
      <c r="O155" s="6037"/>
      <c r="P155" s="3152"/>
      <c r="Q155" s="5991"/>
      <c r="R155" s="718">
        <f t="shared" si="222"/>
        <v>6.3659999999999997</v>
      </c>
      <c r="S155" s="6037"/>
      <c r="T155" s="3152"/>
      <c r="U155" s="5991"/>
      <c r="V155" s="718">
        <f t="shared" si="223"/>
        <v>6.3659999999999997</v>
      </c>
      <c r="W155" s="6037"/>
      <c r="X155" s="3152"/>
      <c r="Y155" s="6019"/>
      <c r="Z155" s="6019">
        <f t="shared" si="244"/>
        <v>0</v>
      </c>
      <c r="AA155" s="6004"/>
      <c r="AB155" s="429">
        <f t="shared" si="249"/>
        <v>6.3659999999999997</v>
      </c>
      <c r="AC155" s="6037"/>
      <c r="AD155" s="3152"/>
      <c r="AE155" s="5991"/>
      <c r="AF155" s="718">
        <f t="shared" si="225"/>
        <v>6.3659999999999997</v>
      </c>
      <c r="AG155" s="6037"/>
      <c r="AH155" s="3152"/>
      <c r="AI155" s="5991"/>
      <c r="AJ155" s="718">
        <f t="shared" si="226"/>
        <v>6.3659999999999997</v>
      </c>
      <c r="AK155" s="6037"/>
      <c r="AL155" s="3152"/>
      <c r="AM155" s="6019"/>
      <c r="AN155" s="717">
        <f t="shared" si="246"/>
        <v>0</v>
      </c>
      <c r="AO155" s="5991"/>
      <c r="AP155" s="718">
        <f t="shared" si="250"/>
        <v>6.3659999999999997</v>
      </c>
      <c r="AQ155" s="6037"/>
      <c r="AR155" s="3152"/>
      <c r="AS155" s="5991"/>
      <c r="AT155" s="718">
        <f t="shared" si="228"/>
        <v>6.3659999999999997</v>
      </c>
      <c r="AU155" s="6037"/>
      <c r="AV155" s="3152"/>
      <c r="AW155" s="5991"/>
      <c r="AX155" s="718">
        <f t="shared" si="229"/>
        <v>6.3659999999999997</v>
      </c>
      <c r="AY155" s="6037"/>
      <c r="AZ155" s="3152"/>
      <c r="BA155" s="6019"/>
      <c r="BB155" s="717">
        <f t="shared" si="248"/>
        <v>0</v>
      </c>
      <c r="BC155" s="6004"/>
      <c r="BD155" s="429">
        <f t="shared" si="251"/>
        <v>0</v>
      </c>
      <c r="BE155" s="5991"/>
      <c r="BF155" s="718">
        <f t="shared" si="252"/>
        <v>6.3659999999999997</v>
      </c>
    </row>
    <row r="156" spans="1:58" ht="15.75" customHeight="1" x14ac:dyDescent="0.3">
      <c r="A156" s="88"/>
      <c r="B156" s="3158" t="s">
        <v>826</v>
      </c>
      <c r="C156" s="3156" t="s">
        <v>837</v>
      </c>
      <c r="D156" s="3156"/>
      <c r="E156" s="6037"/>
      <c r="F156" s="145"/>
      <c r="G156" s="6037"/>
      <c r="H156" s="145">
        <v>25.777000000000001</v>
      </c>
      <c r="I156" s="5991"/>
      <c r="J156" s="718">
        <f t="shared" si="218"/>
        <v>25.777000000000001</v>
      </c>
      <c r="K156" s="6037"/>
      <c r="L156" s="145"/>
      <c r="M156" s="6019"/>
      <c r="N156" s="717">
        <f t="shared" si="253"/>
        <v>25.777000000000001</v>
      </c>
      <c r="O156" s="6037"/>
      <c r="P156" s="145"/>
      <c r="Q156" s="5991"/>
      <c r="R156" s="718">
        <f t="shared" si="222"/>
        <v>25.777000000000001</v>
      </c>
      <c r="S156" s="6037"/>
      <c r="T156" s="145"/>
      <c r="U156" s="5991"/>
      <c r="V156" s="718">
        <f t="shared" si="223"/>
        <v>25.777000000000001</v>
      </c>
      <c r="W156" s="6037"/>
      <c r="X156" s="145"/>
      <c r="Y156" s="6019"/>
      <c r="Z156" s="6019">
        <f t="shared" si="244"/>
        <v>0</v>
      </c>
      <c r="AA156" s="6004"/>
      <c r="AB156" s="429">
        <f t="shared" si="249"/>
        <v>25.777000000000001</v>
      </c>
      <c r="AC156" s="6037"/>
      <c r="AD156" s="145"/>
      <c r="AE156" s="5991"/>
      <c r="AF156" s="718">
        <f t="shared" si="225"/>
        <v>25.777000000000001</v>
      </c>
      <c r="AG156" s="6037"/>
      <c r="AH156" s="145"/>
      <c r="AI156" s="5991"/>
      <c r="AJ156" s="718">
        <f t="shared" si="226"/>
        <v>25.777000000000001</v>
      </c>
      <c r="AK156" s="6037"/>
      <c r="AL156" s="145"/>
      <c r="AM156" s="6019"/>
      <c r="AN156" s="717">
        <f t="shared" si="246"/>
        <v>0</v>
      </c>
      <c r="AO156" s="5991"/>
      <c r="AP156" s="718">
        <f t="shared" si="250"/>
        <v>25.777000000000001</v>
      </c>
      <c r="AQ156" s="6037"/>
      <c r="AR156" s="145"/>
      <c r="AS156" s="5991"/>
      <c r="AT156" s="718">
        <f t="shared" si="228"/>
        <v>25.777000000000001</v>
      </c>
      <c r="AU156" s="6037"/>
      <c r="AV156" s="145"/>
      <c r="AW156" s="5991"/>
      <c r="AX156" s="718">
        <f t="shared" si="229"/>
        <v>25.777000000000001</v>
      </c>
      <c r="AY156" s="6037"/>
      <c r="AZ156" s="145"/>
      <c r="BA156" s="6019"/>
      <c r="BB156" s="717">
        <f t="shared" si="248"/>
        <v>0</v>
      </c>
      <c r="BC156" s="6004"/>
      <c r="BD156" s="429">
        <f t="shared" si="251"/>
        <v>0</v>
      </c>
      <c r="BE156" s="5991"/>
      <c r="BF156" s="718">
        <f t="shared" si="252"/>
        <v>25.777000000000001</v>
      </c>
    </row>
    <row r="157" spans="1:58" ht="15.75" customHeight="1" x14ac:dyDescent="0.3">
      <c r="A157" s="88"/>
      <c r="B157" s="3158" t="s">
        <v>826</v>
      </c>
      <c r="C157" s="3163" t="s">
        <v>2273</v>
      </c>
      <c r="D157" s="3163"/>
      <c r="E157" s="6037"/>
      <c r="F157" s="1095"/>
      <c r="G157" s="6037"/>
      <c r="H157" s="1095">
        <v>2.0430000000000001</v>
      </c>
      <c r="I157" s="5991"/>
      <c r="J157" s="718">
        <f t="shared" si="218"/>
        <v>2.0430000000000001</v>
      </c>
      <c r="K157" s="6037"/>
      <c r="L157" s="1095"/>
      <c r="M157" s="6019"/>
      <c r="N157" s="717">
        <f t="shared" si="253"/>
        <v>2.0430000000000001</v>
      </c>
      <c r="O157" s="6037"/>
      <c r="P157" s="1095"/>
      <c r="Q157" s="5991"/>
      <c r="R157" s="718">
        <f t="shared" si="222"/>
        <v>2.0430000000000001</v>
      </c>
      <c r="S157" s="6037"/>
      <c r="T157" s="1095"/>
      <c r="U157" s="5991"/>
      <c r="V157" s="718">
        <f t="shared" si="223"/>
        <v>2.0430000000000001</v>
      </c>
      <c r="W157" s="6037"/>
      <c r="X157" s="1095"/>
      <c r="Y157" s="6019"/>
      <c r="Z157" s="6019">
        <f t="shared" si="244"/>
        <v>0</v>
      </c>
      <c r="AA157" s="6004"/>
      <c r="AB157" s="429">
        <f t="shared" si="249"/>
        <v>2.0430000000000001</v>
      </c>
      <c r="AC157" s="6037"/>
      <c r="AD157" s="1095"/>
      <c r="AE157" s="5991"/>
      <c r="AF157" s="718">
        <f t="shared" si="225"/>
        <v>2.0430000000000001</v>
      </c>
      <c r="AG157" s="6037"/>
      <c r="AH157" s="1095"/>
      <c r="AI157" s="5991"/>
      <c r="AJ157" s="718">
        <f t="shared" si="226"/>
        <v>2.0430000000000001</v>
      </c>
      <c r="AK157" s="6037"/>
      <c r="AL157" s="1095"/>
      <c r="AM157" s="6019"/>
      <c r="AN157" s="717">
        <f t="shared" si="246"/>
        <v>0</v>
      </c>
      <c r="AO157" s="5991"/>
      <c r="AP157" s="718">
        <f t="shared" si="250"/>
        <v>2.0430000000000001</v>
      </c>
      <c r="AQ157" s="6037"/>
      <c r="AR157" s="1095"/>
      <c r="AS157" s="5991"/>
      <c r="AT157" s="718">
        <f t="shared" si="228"/>
        <v>2.0430000000000001</v>
      </c>
      <c r="AU157" s="6037"/>
      <c r="AV157" s="1095"/>
      <c r="AW157" s="5991"/>
      <c r="AX157" s="718">
        <f t="shared" si="229"/>
        <v>2.0430000000000001</v>
      </c>
      <c r="AY157" s="6037"/>
      <c r="AZ157" s="1095"/>
      <c r="BA157" s="6019"/>
      <c r="BB157" s="717">
        <f t="shared" si="248"/>
        <v>0</v>
      </c>
      <c r="BC157" s="6004"/>
      <c r="BD157" s="429">
        <f t="shared" si="251"/>
        <v>0</v>
      </c>
      <c r="BE157" s="5991"/>
      <c r="BF157" s="718">
        <f t="shared" si="252"/>
        <v>2.0430000000000001</v>
      </c>
    </row>
    <row r="158" spans="1:58" ht="15.75" customHeight="1" x14ac:dyDescent="0.3">
      <c r="A158" s="88"/>
      <c r="B158" s="3164" t="s">
        <v>826</v>
      </c>
      <c r="C158" s="3163" t="s">
        <v>1779</v>
      </c>
      <c r="D158" s="3163"/>
      <c r="E158" s="6037"/>
      <c r="F158" s="1095"/>
      <c r="G158" s="6037"/>
      <c r="H158" s="1095"/>
      <c r="I158" s="5991"/>
      <c r="J158" s="718">
        <f t="shared" si="218"/>
        <v>0</v>
      </c>
      <c r="K158" s="6037"/>
      <c r="L158" s="1095"/>
      <c r="M158" s="6019"/>
      <c r="N158" s="717">
        <f t="shared" si="253"/>
        <v>0</v>
      </c>
      <c r="O158" s="6037"/>
      <c r="P158" s="1095"/>
      <c r="Q158" s="5991"/>
      <c r="R158" s="718">
        <f t="shared" si="222"/>
        <v>0</v>
      </c>
      <c r="S158" s="6037"/>
      <c r="T158" s="1095"/>
      <c r="U158" s="5991"/>
      <c r="V158" s="718">
        <f t="shared" si="223"/>
        <v>0</v>
      </c>
      <c r="W158" s="6037"/>
      <c r="X158" s="1095"/>
      <c r="Y158" s="6019"/>
      <c r="Z158" s="6019">
        <f t="shared" si="244"/>
        <v>0</v>
      </c>
      <c r="AA158" s="6004"/>
      <c r="AB158" s="429">
        <f t="shared" si="249"/>
        <v>0</v>
      </c>
      <c r="AC158" s="6037"/>
      <c r="AD158" s="1095"/>
      <c r="AE158" s="5991"/>
      <c r="AF158" s="718">
        <f t="shared" si="225"/>
        <v>0</v>
      </c>
      <c r="AG158" s="6037"/>
      <c r="AH158" s="1095"/>
      <c r="AI158" s="5991"/>
      <c r="AJ158" s="718">
        <f t="shared" si="226"/>
        <v>0</v>
      </c>
      <c r="AK158" s="6037"/>
      <c r="AL158" s="1095"/>
      <c r="AM158" s="6019"/>
      <c r="AN158" s="717">
        <f t="shared" si="246"/>
        <v>0</v>
      </c>
      <c r="AO158" s="5991"/>
      <c r="AP158" s="718">
        <f t="shared" si="250"/>
        <v>0</v>
      </c>
      <c r="AQ158" s="6037"/>
      <c r="AR158" s="1095"/>
      <c r="AS158" s="5991"/>
      <c r="AT158" s="718">
        <f t="shared" si="228"/>
        <v>0</v>
      </c>
      <c r="AU158" s="6037"/>
      <c r="AV158" s="1095"/>
      <c r="AW158" s="5991"/>
      <c r="AX158" s="718">
        <f t="shared" si="229"/>
        <v>0</v>
      </c>
      <c r="AY158" s="6037"/>
      <c r="AZ158" s="1095"/>
      <c r="BA158" s="6019"/>
      <c r="BB158" s="717">
        <f t="shared" si="248"/>
        <v>0</v>
      </c>
      <c r="BC158" s="6004"/>
      <c r="BD158" s="429">
        <f t="shared" si="251"/>
        <v>0</v>
      </c>
      <c r="BE158" s="5991"/>
      <c r="BF158" s="718">
        <f t="shared" si="252"/>
        <v>0</v>
      </c>
    </row>
    <row r="159" spans="1:58" ht="15.75" customHeight="1" x14ac:dyDescent="0.3">
      <c r="A159" s="88"/>
      <c r="B159" s="3162" t="s">
        <v>826</v>
      </c>
      <c r="C159" s="3166" t="s">
        <v>1104</v>
      </c>
      <c r="D159" s="3163"/>
      <c r="E159" s="6037"/>
      <c r="F159" s="1095"/>
      <c r="G159" s="6037"/>
      <c r="H159" s="1095">
        <v>8.1709999999999994</v>
      </c>
      <c r="I159" s="5991"/>
      <c r="J159" s="718">
        <f t="shared" si="218"/>
        <v>8.1709999999999994</v>
      </c>
      <c r="K159" s="6037"/>
      <c r="L159" s="1095"/>
      <c r="M159" s="6019"/>
      <c r="N159" s="717">
        <f t="shared" si="253"/>
        <v>8.1709999999999994</v>
      </c>
      <c r="O159" s="6037"/>
      <c r="P159" s="1095"/>
      <c r="Q159" s="5991"/>
      <c r="R159" s="718">
        <f t="shared" si="222"/>
        <v>8.1709999999999994</v>
      </c>
      <c r="S159" s="6037"/>
      <c r="T159" s="1095"/>
      <c r="U159" s="5991"/>
      <c r="V159" s="718">
        <f t="shared" si="223"/>
        <v>8.1709999999999994</v>
      </c>
      <c r="W159" s="6037"/>
      <c r="X159" s="1095"/>
      <c r="Y159" s="6019"/>
      <c r="Z159" s="6019">
        <f t="shared" si="244"/>
        <v>0</v>
      </c>
      <c r="AA159" s="6004"/>
      <c r="AB159" s="429">
        <f t="shared" si="249"/>
        <v>8.1709999999999994</v>
      </c>
      <c r="AC159" s="6037"/>
      <c r="AD159" s="1095"/>
      <c r="AE159" s="5991"/>
      <c r="AF159" s="718">
        <f t="shared" si="225"/>
        <v>8.1709999999999994</v>
      </c>
      <c r="AG159" s="6037"/>
      <c r="AH159" s="1095"/>
      <c r="AI159" s="5991"/>
      <c r="AJ159" s="718">
        <f t="shared" si="226"/>
        <v>8.1709999999999994</v>
      </c>
      <c r="AK159" s="6037"/>
      <c r="AL159" s="1095"/>
      <c r="AM159" s="6019"/>
      <c r="AN159" s="717">
        <f t="shared" si="246"/>
        <v>0</v>
      </c>
      <c r="AO159" s="5991"/>
      <c r="AP159" s="718">
        <f t="shared" si="250"/>
        <v>8.1709999999999994</v>
      </c>
      <c r="AQ159" s="6037"/>
      <c r="AR159" s="1095"/>
      <c r="AS159" s="5991"/>
      <c r="AT159" s="718">
        <f t="shared" si="228"/>
        <v>8.1709999999999994</v>
      </c>
      <c r="AU159" s="6037"/>
      <c r="AV159" s="1095"/>
      <c r="AW159" s="5991"/>
      <c r="AX159" s="718">
        <f t="shared" si="229"/>
        <v>8.1709999999999994</v>
      </c>
      <c r="AY159" s="6037"/>
      <c r="AZ159" s="1095"/>
      <c r="BA159" s="6019"/>
      <c r="BB159" s="717">
        <f t="shared" si="248"/>
        <v>0</v>
      </c>
      <c r="BC159" s="6004"/>
      <c r="BD159" s="429">
        <f t="shared" si="251"/>
        <v>0</v>
      </c>
      <c r="BE159" s="5991"/>
      <c r="BF159" s="718">
        <f t="shared" si="252"/>
        <v>8.1709999999999994</v>
      </c>
    </row>
    <row r="160" spans="1:58" ht="15.75" customHeight="1" x14ac:dyDescent="0.3">
      <c r="A160" s="88"/>
      <c r="B160" s="3164" t="s">
        <v>826</v>
      </c>
      <c r="C160" s="3166" t="s">
        <v>869</v>
      </c>
      <c r="D160" s="3163"/>
      <c r="E160" s="6037"/>
      <c r="F160" s="1095"/>
      <c r="G160" s="6037"/>
      <c r="H160" s="1095">
        <v>9.5719999999999992</v>
      </c>
      <c r="I160" s="5991"/>
      <c r="J160" s="718">
        <f t="shared" si="218"/>
        <v>9.5719999999999992</v>
      </c>
      <c r="K160" s="6037"/>
      <c r="L160" s="1095"/>
      <c r="M160" s="6019"/>
      <c r="N160" s="717">
        <f t="shared" si="253"/>
        <v>9.5719999999999992</v>
      </c>
      <c r="O160" s="6037"/>
      <c r="P160" s="1095"/>
      <c r="Q160" s="5991"/>
      <c r="R160" s="718">
        <f t="shared" si="222"/>
        <v>9.5719999999999992</v>
      </c>
      <c r="S160" s="6037"/>
      <c r="T160" s="1095"/>
      <c r="U160" s="5991"/>
      <c r="V160" s="718">
        <f t="shared" si="223"/>
        <v>9.5719999999999992</v>
      </c>
      <c r="W160" s="6037"/>
      <c r="X160" s="1095"/>
      <c r="Y160" s="6019"/>
      <c r="Z160" s="6019">
        <f t="shared" si="244"/>
        <v>0</v>
      </c>
      <c r="AA160" s="6004"/>
      <c r="AB160" s="429">
        <f t="shared" si="249"/>
        <v>9.5719999999999992</v>
      </c>
      <c r="AC160" s="6037"/>
      <c r="AD160" s="1095"/>
      <c r="AE160" s="5991"/>
      <c r="AF160" s="718">
        <f t="shared" si="225"/>
        <v>9.5719999999999992</v>
      </c>
      <c r="AG160" s="6037"/>
      <c r="AH160" s="1095"/>
      <c r="AI160" s="5991"/>
      <c r="AJ160" s="718">
        <f t="shared" si="226"/>
        <v>9.5719999999999992</v>
      </c>
      <c r="AK160" s="6037"/>
      <c r="AL160" s="1095"/>
      <c r="AM160" s="6019"/>
      <c r="AN160" s="717">
        <f t="shared" si="246"/>
        <v>0</v>
      </c>
      <c r="AO160" s="5991"/>
      <c r="AP160" s="718">
        <f t="shared" si="250"/>
        <v>9.5719999999999992</v>
      </c>
      <c r="AQ160" s="6037"/>
      <c r="AR160" s="1095"/>
      <c r="AS160" s="5991"/>
      <c r="AT160" s="718">
        <f t="shared" si="228"/>
        <v>9.5719999999999992</v>
      </c>
      <c r="AU160" s="6037"/>
      <c r="AV160" s="1095"/>
      <c r="AW160" s="5991"/>
      <c r="AX160" s="718">
        <f t="shared" si="229"/>
        <v>9.5719999999999992</v>
      </c>
      <c r="AY160" s="6037"/>
      <c r="AZ160" s="1095"/>
      <c r="BA160" s="6019"/>
      <c r="BB160" s="717">
        <f t="shared" si="248"/>
        <v>0</v>
      </c>
      <c r="BC160" s="6004"/>
      <c r="BD160" s="429">
        <f t="shared" si="251"/>
        <v>0</v>
      </c>
      <c r="BE160" s="5991"/>
      <c r="BF160" s="718">
        <f t="shared" si="252"/>
        <v>9.5719999999999992</v>
      </c>
    </row>
    <row r="161" spans="1:58" ht="15.75" customHeight="1" x14ac:dyDescent="0.3">
      <c r="A161" s="88"/>
      <c r="B161" s="3164" t="s">
        <v>826</v>
      </c>
      <c r="C161" s="3166" t="s">
        <v>2281</v>
      </c>
      <c r="D161" s="3163"/>
      <c r="E161" s="6037"/>
      <c r="F161" s="1095"/>
      <c r="G161" s="6037"/>
      <c r="H161" s="1095">
        <v>6.1280000000000001</v>
      </c>
      <c r="I161" s="5991"/>
      <c r="J161" s="718">
        <f t="shared" si="218"/>
        <v>6.1280000000000001</v>
      </c>
      <c r="K161" s="6037"/>
      <c r="L161" s="1095"/>
      <c r="M161" s="6019"/>
      <c r="N161" s="717">
        <f t="shared" si="253"/>
        <v>6.1280000000000001</v>
      </c>
      <c r="O161" s="6037"/>
      <c r="P161" s="1095"/>
      <c r="Q161" s="5991"/>
      <c r="R161" s="718">
        <f t="shared" si="222"/>
        <v>6.1280000000000001</v>
      </c>
      <c r="S161" s="6037"/>
      <c r="T161" s="1095"/>
      <c r="U161" s="5991"/>
      <c r="V161" s="718">
        <f t="shared" si="223"/>
        <v>6.1280000000000001</v>
      </c>
      <c r="W161" s="6037"/>
      <c r="X161" s="1095"/>
      <c r="Y161" s="6019"/>
      <c r="Z161" s="6019">
        <f t="shared" si="244"/>
        <v>0</v>
      </c>
      <c r="AA161" s="6004"/>
      <c r="AB161" s="429">
        <f t="shared" si="249"/>
        <v>6.1280000000000001</v>
      </c>
      <c r="AC161" s="6037"/>
      <c r="AD161" s="1095"/>
      <c r="AE161" s="5991"/>
      <c r="AF161" s="718">
        <f t="shared" si="225"/>
        <v>6.1280000000000001</v>
      </c>
      <c r="AG161" s="6037"/>
      <c r="AH161" s="1095"/>
      <c r="AI161" s="5991"/>
      <c r="AJ161" s="718">
        <f t="shared" si="226"/>
        <v>6.1280000000000001</v>
      </c>
      <c r="AK161" s="6037"/>
      <c r="AL161" s="1095"/>
      <c r="AM161" s="6019"/>
      <c r="AN161" s="717">
        <f t="shared" si="246"/>
        <v>0</v>
      </c>
      <c r="AO161" s="5991"/>
      <c r="AP161" s="718">
        <f t="shared" si="250"/>
        <v>6.1280000000000001</v>
      </c>
      <c r="AQ161" s="6037"/>
      <c r="AR161" s="1095"/>
      <c r="AS161" s="5991"/>
      <c r="AT161" s="718">
        <f t="shared" si="228"/>
        <v>6.1280000000000001</v>
      </c>
      <c r="AU161" s="6037"/>
      <c r="AV161" s="1095"/>
      <c r="AW161" s="5991"/>
      <c r="AX161" s="718">
        <f t="shared" si="229"/>
        <v>6.1280000000000001</v>
      </c>
      <c r="AY161" s="6037"/>
      <c r="AZ161" s="1095"/>
      <c r="BA161" s="6019"/>
      <c r="BB161" s="717">
        <f t="shared" si="248"/>
        <v>0</v>
      </c>
      <c r="BC161" s="6004"/>
      <c r="BD161" s="429">
        <f t="shared" si="251"/>
        <v>0</v>
      </c>
      <c r="BE161" s="5991"/>
      <c r="BF161" s="718">
        <f t="shared" si="252"/>
        <v>6.1280000000000001</v>
      </c>
    </row>
    <row r="162" spans="1:58" x14ac:dyDescent="0.3">
      <c r="A162" s="88"/>
      <c r="B162" s="3162" t="s">
        <v>826</v>
      </c>
      <c r="C162" s="3163" t="s">
        <v>905</v>
      </c>
      <c r="D162" s="3163"/>
      <c r="E162" s="6037"/>
      <c r="F162" s="1095"/>
      <c r="G162" s="6037"/>
      <c r="H162" s="1095">
        <v>12.109</v>
      </c>
      <c r="I162" s="5991"/>
      <c r="J162" s="718">
        <f t="shared" si="218"/>
        <v>12.109</v>
      </c>
      <c r="K162" s="6037"/>
      <c r="L162" s="1095"/>
      <c r="M162" s="6019"/>
      <c r="N162" s="717">
        <f t="shared" si="253"/>
        <v>12.109</v>
      </c>
      <c r="O162" s="6037"/>
      <c r="P162" s="1095"/>
      <c r="Q162" s="5991"/>
      <c r="R162" s="718">
        <f t="shared" si="222"/>
        <v>12.109</v>
      </c>
      <c r="S162" s="6037"/>
      <c r="T162" s="1095"/>
      <c r="U162" s="5991"/>
      <c r="V162" s="718">
        <f t="shared" si="223"/>
        <v>12.109</v>
      </c>
      <c r="W162" s="6037"/>
      <c r="X162" s="1095"/>
      <c r="Y162" s="6019"/>
      <c r="Z162" s="6019">
        <f t="shared" si="244"/>
        <v>0</v>
      </c>
      <c r="AA162" s="6004"/>
      <c r="AB162" s="429">
        <f t="shared" si="249"/>
        <v>12.109</v>
      </c>
      <c r="AC162" s="6037"/>
      <c r="AD162" s="1095"/>
      <c r="AE162" s="5991"/>
      <c r="AF162" s="718">
        <f t="shared" si="225"/>
        <v>12.109</v>
      </c>
      <c r="AG162" s="6037"/>
      <c r="AH162" s="1095"/>
      <c r="AI162" s="5991"/>
      <c r="AJ162" s="718">
        <f t="shared" si="226"/>
        <v>12.109</v>
      </c>
      <c r="AK162" s="6037"/>
      <c r="AL162" s="1095"/>
      <c r="AM162" s="6019"/>
      <c r="AN162" s="717">
        <f t="shared" si="246"/>
        <v>0</v>
      </c>
      <c r="AO162" s="5991"/>
      <c r="AP162" s="718">
        <f t="shared" si="250"/>
        <v>12.109</v>
      </c>
      <c r="AQ162" s="6037"/>
      <c r="AR162" s="1095"/>
      <c r="AS162" s="5991"/>
      <c r="AT162" s="718">
        <f t="shared" si="228"/>
        <v>12.109</v>
      </c>
      <c r="AU162" s="6037"/>
      <c r="AV162" s="1095"/>
      <c r="AW162" s="5991"/>
      <c r="AX162" s="718">
        <f t="shared" si="229"/>
        <v>12.109</v>
      </c>
      <c r="AY162" s="6037"/>
      <c r="AZ162" s="1095"/>
      <c r="BA162" s="6019"/>
      <c r="BB162" s="717">
        <f t="shared" si="248"/>
        <v>0</v>
      </c>
      <c r="BC162" s="6004"/>
      <c r="BD162" s="429">
        <f t="shared" si="251"/>
        <v>0</v>
      </c>
      <c r="BE162" s="5991"/>
      <c r="BF162" s="718">
        <f t="shared" si="252"/>
        <v>12.109</v>
      </c>
    </row>
    <row r="163" spans="1:58" ht="15.75" customHeight="1" x14ac:dyDescent="0.3">
      <c r="A163" s="88"/>
      <c r="B163" s="3164" t="s">
        <v>826</v>
      </c>
      <c r="C163" s="3157" t="s">
        <v>1447</v>
      </c>
      <c r="D163" s="3137"/>
      <c r="E163" s="6037"/>
      <c r="F163" s="1094"/>
      <c r="G163" s="6037"/>
      <c r="H163" s="1094"/>
      <c r="I163" s="5991"/>
      <c r="J163" s="718">
        <f t="shared" si="218"/>
        <v>0</v>
      </c>
      <c r="K163" s="6037"/>
      <c r="L163" s="1094"/>
      <c r="M163" s="6019"/>
      <c r="N163" s="717">
        <f t="shared" si="253"/>
        <v>0</v>
      </c>
      <c r="O163" s="6037"/>
      <c r="P163" s="1094"/>
      <c r="Q163" s="5991"/>
      <c r="R163" s="718">
        <f t="shared" si="222"/>
        <v>0</v>
      </c>
      <c r="S163" s="6037"/>
      <c r="T163" s="1094"/>
      <c r="U163" s="5991"/>
      <c r="V163" s="718">
        <f t="shared" si="223"/>
        <v>0</v>
      </c>
      <c r="W163" s="6037"/>
      <c r="X163" s="1094"/>
      <c r="Y163" s="6019"/>
      <c r="Z163" s="6019">
        <f t="shared" si="244"/>
        <v>0</v>
      </c>
      <c r="AA163" s="6004"/>
      <c r="AB163" s="429">
        <f t="shared" si="249"/>
        <v>0</v>
      </c>
      <c r="AC163" s="6037"/>
      <c r="AD163" s="1094"/>
      <c r="AE163" s="5991"/>
      <c r="AF163" s="718">
        <f t="shared" si="225"/>
        <v>0</v>
      </c>
      <c r="AG163" s="6037"/>
      <c r="AH163" s="1094"/>
      <c r="AI163" s="5991"/>
      <c r="AJ163" s="718">
        <f t="shared" si="226"/>
        <v>0</v>
      </c>
      <c r="AK163" s="6037"/>
      <c r="AL163" s="1094"/>
      <c r="AM163" s="6019"/>
      <c r="AN163" s="717">
        <f t="shared" si="246"/>
        <v>0</v>
      </c>
      <c r="AO163" s="5991"/>
      <c r="AP163" s="718">
        <f t="shared" si="250"/>
        <v>0</v>
      </c>
      <c r="AQ163" s="6037"/>
      <c r="AR163" s="1094"/>
      <c r="AS163" s="5991"/>
      <c r="AT163" s="718">
        <f t="shared" si="228"/>
        <v>0</v>
      </c>
      <c r="AU163" s="6037"/>
      <c r="AV163" s="1094"/>
      <c r="AW163" s="5991"/>
      <c r="AX163" s="718">
        <f t="shared" si="229"/>
        <v>0</v>
      </c>
      <c r="AY163" s="6037"/>
      <c r="AZ163" s="1094"/>
      <c r="BA163" s="6019"/>
      <c r="BB163" s="717">
        <f t="shared" si="248"/>
        <v>0</v>
      </c>
      <c r="BC163" s="6004"/>
      <c r="BD163" s="429">
        <f t="shared" si="251"/>
        <v>0</v>
      </c>
      <c r="BE163" s="5991"/>
      <c r="BF163" s="718">
        <f t="shared" si="252"/>
        <v>0</v>
      </c>
    </row>
    <row r="164" spans="1:58" x14ac:dyDescent="0.3">
      <c r="A164" s="88"/>
      <c r="B164" s="3162" t="s">
        <v>826</v>
      </c>
      <c r="C164" s="3157" t="s">
        <v>1388</v>
      </c>
      <c r="D164" s="3137"/>
      <c r="E164" s="6037"/>
      <c r="F164" s="1094"/>
      <c r="G164" s="6037"/>
      <c r="H164" s="1094"/>
      <c r="I164" s="5991"/>
      <c r="J164" s="718">
        <f t="shared" si="218"/>
        <v>0</v>
      </c>
      <c r="K164" s="6037"/>
      <c r="L164" s="1094"/>
      <c r="M164" s="6019"/>
      <c r="N164" s="717">
        <f t="shared" si="253"/>
        <v>0</v>
      </c>
      <c r="O164" s="6037"/>
      <c r="P164" s="1094"/>
      <c r="Q164" s="5991"/>
      <c r="R164" s="718">
        <f t="shared" si="222"/>
        <v>0</v>
      </c>
      <c r="S164" s="6037"/>
      <c r="T164" s="1094"/>
      <c r="U164" s="5991"/>
      <c r="V164" s="718">
        <f t="shared" si="223"/>
        <v>0</v>
      </c>
      <c r="W164" s="6037"/>
      <c r="X164" s="1094"/>
      <c r="Y164" s="6019"/>
      <c r="Z164" s="6019">
        <f t="shared" si="244"/>
        <v>0</v>
      </c>
      <c r="AA164" s="6004"/>
      <c r="AB164" s="429">
        <f t="shared" si="249"/>
        <v>0</v>
      </c>
      <c r="AC164" s="6037"/>
      <c r="AD164" s="1094"/>
      <c r="AE164" s="5991"/>
      <c r="AF164" s="718">
        <f t="shared" si="225"/>
        <v>0</v>
      </c>
      <c r="AG164" s="6037"/>
      <c r="AH164" s="1094"/>
      <c r="AI164" s="5991"/>
      <c r="AJ164" s="718">
        <f t="shared" si="226"/>
        <v>0</v>
      </c>
      <c r="AK164" s="6037"/>
      <c r="AL164" s="1094"/>
      <c r="AM164" s="6019"/>
      <c r="AN164" s="717">
        <f t="shared" si="246"/>
        <v>0</v>
      </c>
      <c r="AO164" s="5991"/>
      <c r="AP164" s="718">
        <f t="shared" si="250"/>
        <v>0</v>
      </c>
      <c r="AQ164" s="6037"/>
      <c r="AR164" s="1094"/>
      <c r="AS164" s="5991"/>
      <c r="AT164" s="718">
        <f t="shared" si="228"/>
        <v>0</v>
      </c>
      <c r="AU164" s="6037"/>
      <c r="AV164" s="1094"/>
      <c r="AW164" s="5991"/>
      <c r="AX164" s="718">
        <f t="shared" si="229"/>
        <v>0</v>
      </c>
      <c r="AY164" s="6037"/>
      <c r="AZ164" s="1094"/>
      <c r="BA164" s="6019"/>
      <c r="BB164" s="717">
        <f t="shared" si="248"/>
        <v>0</v>
      </c>
      <c r="BC164" s="6004"/>
      <c r="BD164" s="429">
        <f t="shared" si="251"/>
        <v>0</v>
      </c>
      <c r="BE164" s="5991"/>
      <c r="BF164" s="718">
        <f t="shared" si="252"/>
        <v>0</v>
      </c>
    </row>
    <row r="165" spans="1:58" x14ac:dyDescent="0.3">
      <c r="A165" s="88"/>
      <c r="B165" s="3162" t="s">
        <v>826</v>
      </c>
      <c r="C165" s="5443" t="s">
        <v>2282</v>
      </c>
      <c r="D165" s="4929"/>
      <c r="E165" s="6037"/>
      <c r="F165" s="4923"/>
      <c r="G165" s="6037"/>
      <c r="H165" s="4923">
        <v>6.1280000000000001</v>
      </c>
      <c r="I165" s="5991"/>
      <c r="J165" s="718">
        <f t="shared" si="218"/>
        <v>6.1280000000000001</v>
      </c>
      <c r="K165" s="6037"/>
      <c r="L165" s="4923"/>
      <c r="M165" s="6019"/>
      <c r="N165" s="717">
        <f t="shared" si="253"/>
        <v>6.1280000000000001</v>
      </c>
      <c r="O165" s="6037"/>
      <c r="P165" s="4923"/>
      <c r="Q165" s="5991"/>
      <c r="R165" s="718">
        <f t="shared" si="222"/>
        <v>6.1280000000000001</v>
      </c>
      <c r="S165" s="6037"/>
      <c r="T165" s="4923"/>
      <c r="U165" s="5991"/>
      <c r="V165" s="718">
        <f t="shared" si="223"/>
        <v>6.1280000000000001</v>
      </c>
      <c r="W165" s="6037"/>
      <c r="X165" s="4923"/>
      <c r="Y165" s="6019"/>
      <c r="Z165" s="6019">
        <f t="shared" si="244"/>
        <v>0</v>
      </c>
      <c r="AA165" s="6004"/>
      <c r="AB165" s="429">
        <f t="shared" si="249"/>
        <v>6.1280000000000001</v>
      </c>
      <c r="AC165" s="6037"/>
      <c r="AD165" s="4923"/>
      <c r="AE165" s="5991"/>
      <c r="AF165" s="718">
        <f t="shared" si="225"/>
        <v>6.1280000000000001</v>
      </c>
      <c r="AG165" s="6037"/>
      <c r="AH165" s="4923"/>
      <c r="AI165" s="5991"/>
      <c r="AJ165" s="718">
        <f t="shared" si="226"/>
        <v>6.1280000000000001</v>
      </c>
      <c r="AK165" s="6037"/>
      <c r="AL165" s="4923"/>
      <c r="AM165" s="6019"/>
      <c r="AN165" s="717">
        <f t="shared" si="246"/>
        <v>0</v>
      </c>
      <c r="AO165" s="5991"/>
      <c r="AP165" s="718">
        <f t="shared" si="250"/>
        <v>6.1280000000000001</v>
      </c>
      <c r="AQ165" s="6037"/>
      <c r="AR165" s="4923"/>
      <c r="AS165" s="5991"/>
      <c r="AT165" s="718">
        <f t="shared" si="228"/>
        <v>6.1280000000000001</v>
      </c>
      <c r="AU165" s="6037"/>
      <c r="AV165" s="4923"/>
      <c r="AW165" s="5991"/>
      <c r="AX165" s="718">
        <f t="shared" si="229"/>
        <v>6.1280000000000001</v>
      </c>
      <c r="AY165" s="6037"/>
      <c r="AZ165" s="4923"/>
      <c r="BA165" s="6019"/>
      <c r="BB165" s="717">
        <f t="shared" si="248"/>
        <v>0</v>
      </c>
      <c r="BC165" s="6004"/>
      <c r="BD165" s="429">
        <f t="shared" si="251"/>
        <v>0</v>
      </c>
      <c r="BE165" s="5991"/>
      <c r="BF165" s="718">
        <f t="shared" si="252"/>
        <v>6.1280000000000001</v>
      </c>
    </row>
    <row r="166" spans="1:58" x14ac:dyDescent="0.3">
      <c r="A166" s="88"/>
      <c r="B166" s="3164" t="s">
        <v>826</v>
      </c>
      <c r="C166" s="3157" t="s">
        <v>1446</v>
      </c>
      <c r="D166" s="3137"/>
      <c r="E166" s="6037"/>
      <c r="F166" s="1094"/>
      <c r="G166" s="6037"/>
      <c r="H166" s="1094">
        <v>40.404999999999987</v>
      </c>
      <c r="I166" s="5991"/>
      <c r="J166" s="718">
        <f t="shared" si="218"/>
        <v>40.404999999999987</v>
      </c>
      <c r="K166" s="6037"/>
      <c r="L166" s="1094"/>
      <c r="M166" s="6019"/>
      <c r="N166" s="717">
        <f t="shared" si="253"/>
        <v>40.404999999999987</v>
      </c>
      <c r="O166" s="6037"/>
      <c r="P166" s="1094"/>
      <c r="Q166" s="5991"/>
      <c r="R166" s="718">
        <f t="shared" si="222"/>
        <v>40.404999999999987</v>
      </c>
      <c r="S166" s="6037"/>
      <c r="T166" s="1094"/>
      <c r="U166" s="5991"/>
      <c r="V166" s="718">
        <f t="shared" si="223"/>
        <v>40.404999999999987</v>
      </c>
      <c r="W166" s="6037"/>
      <c r="X166" s="1094"/>
      <c r="Y166" s="6019"/>
      <c r="Z166" s="6019">
        <f t="shared" ref="Z166:Z229" si="254">+P166+T166+X166</f>
        <v>0</v>
      </c>
      <c r="AA166" s="6004"/>
      <c r="AB166" s="429">
        <f t="shared" ref="AB166:AB197" si="255">X166+V166</f>
        <v>40.404999999999987</v>
      </c>
      <c r="AC166" s="6037"/>
      <c r="AD166" s="1094"/>
      <c r="AE166" s="5991"/>
      <c r="AF166" s="718">
        <f t="shared" si="225"/>
        <v>40.404999999999987</v>
      </c>
      <c r="AG166" s="6037"/>
      <c r="AH166" s="1094"/>
      <c r="AI166" s="5991"/>
      <c r="AJ166" s="718">
        <f t="shared" si="226"/>
        <v>40.404999999999987</v>
      </c>
      <c r="AK166" s="6037"/>
      <c r="AL166" s="1094"/>
      <c r="AM166" s="6019"/>
      <c r="AN166" s="717">
        <f t="shared" ref="AN166:AN229" si="256">+AD166+AH166+AL166</f>
        <v>0</v>
      </c>
      <c r="AO166" s="5991"/>
      <c r="AP166" s="718">
        <f t="shared" ref="AP166:AP197" si="257">AL166+AJ166</f>
        <v>40.404999999999987</v>
      </c>
      <c r="AQ166" s="6037"/>
      <c r="AR166" s="1094"/>
      <c r="AS166" s="5991"/>
      <c r="AT166" s="718">
        <f t="shared" si="228"/>
        <v>40.404999999999987</v>
      </c>
      <c r="AU166" s="6037"/>
      <c r="AV166" s="1094"/>
      <c r="AW166" s="5991"/>
      <c r="AX166" s="718">
        <f t="shared" si="229"/>
        <v>40.404999999999987</v>
      </c>
      <c r="AY166" s="6037"/>
      <c r="AZ166" s="1094"/>
      <c r="BA166" s="6019"/>
      <c r="BB166" s="717">
        <f t="shared" ref="BB166:BB229" si="258">+AR166+AV166+AZ166</f>
        <v>0</v>
      </c>
      <c r="BC166" s="6004"/>
      <c r="BD166" s="429">
        <f t="shared" si="251"/>
        <v>0</v>
      </c>
      <c r="BE166" s="5991"/>
      <c r="BF166" s="718">
        <f t="shared" si="252"/>
        <v>40.404999999999987</v>
      </c>
    </row>
    <row r="167" spans="1:58" ht="20.25" customHeight="1" x14ac:dyDescent="0.3">
      <c r="A167" s="88"/>
      <c r="B167" s="3162" t="s">
        <v>826</v>
      </c>
      <c r="C167" s="3157" t="s">
        <v>1099</v>
      </c>
      <c r="D167" s="3137"/>
      <c r="E167" s="6037"/>
      <c r="F167" s="1094"/>
      <c r="G167" s="6037"/>
      <c r="H167" s="1094">
        <v>63.264999999999993</v>
      </c>
      <c r="I167" s="5991"/>
      <c r="J167" s="718">
        <f t="shared" si="218"/>
        <v>63.264999999999993</v>
      </c>
      <c r="K167" s="6037"/>
      <c r="L167" s="1094"/>
      <c r="M167" s="6019"/>
      <c r="N167" s="717">
        <f t="shared" si="253"/>
        <v>63.264999999999993</v>
      </c>
      <c r="O167" s="6037"/>
      <c r="P167" s="1094"/>
      <c r="Q167" s="5991"/>
      <c r="R167" s="718">
        <f t="shared" si="222"/>
        <v>63.264999999999993</v>
      </c>
      <c r="S167" s="6037"/>
      <c r="T167" s="1094"/>
      <c r="U167" s="5991"/>
      <c r="V167" s="718">
        <f t="shared" si="223"/>
        <v>63.264999999999993</v>
      </c>
      <c r="W167" s="6037"/>
      <c r="X167" s="1094"/>
      <c r="Y167" s="6019"/>
      <c r="Z167" s="6019">
        <f t="shared" si="254"/>
        <v>0</v>
      </c>
      <c r="AA167" s="6004"/>
      <c r="AB167" s="429">
        <f t="shared" si="255"/>
        <v>63.264999999999993</v>
      </c>
      <c r="AC167" s="6037"/>
      <c r="AD167" s="1094"/>
      <c r="AE167" s="5991"/>
      <c r="AF167" s="718">
        <f t="shared" si="225"/>
        <v>63.264999999999993</v>
      </c>
      <c r="AG167" s="6037"/>
      <c r="AH167" s="1094"/>
      <c r="AI167" s="5991"/>
      <c r="AJ167" s="718">
        <f t="shared" si="226"/>
        <v>63.264999999999993</v>
      </c>
      <c r="AK167" s="6037"/>
      <c r="AL167" s="1094"/>
      <c r="AM167" s="6019"/>
      <c r="AN167" s="717">
        <f t="shared" si="256"/>
        <v>0</v>
      </c>
      <c r="AO167" s="5991"/>
      <c r="AP167" s="718">
        <f t="shared" si="257"/>
        <v>63.264999999999993</v>
      </c>
      <c r="AQ167" s="6037"/>
      <c r="AR167" s="1094"/>
      <c r="AS167" s="5991"/>
      <c r="AT167" s="718">
        <f t="shared" si="228"/>
        <v>63.264999999999993</v>
      </c>
      <c r="AU167" s="6037"/>
      <c r="AV167" s="1094"/>
      <c r="AW167" s="5991"/>
      <c r="AX167" s="718">
        <f t="shared" si="229"/>
        <v>63.264999999999993</v>
      </c>
      <c r="AY167" s="6037"/>
      <c r="AZ167" s="1094"/>
      <c r="BA167" s="6019"/>
      <c r="BB167" s="717">
        <f t="shared" si="258"/>
        <v>0</v>
      </c>
      <c r="BC167" s="6004"/>
      <c r="BD167" s="429">
        <f t="shared" si="251"/>
        <v>0</v>
      </c>
      <c r="BE167" s="5991"/>
      <c r="BF167" s="718">
        <f t="shared" si="252"/>
        <v>63.264999999999993</v>
      </c>
    </row>
    <row r="168" spans="1:58" ht="15" thickBot="1" x14ac:dyDescent="0.35">
      <c r="A168" s="88"/>
      <c r="B168" s="3164" t="s">
        <v>826</v>
      </c>
      <c r="C168" s="3160" t="s">
        <v>863</v>
      </c>
      <c r="D168" s="3139"/>
      <c r="E168" s="6037"/>
      <c r="F168" s="103"/>
      <c r="G168" s="6037"/>
      <c r="H168" s="103">
        <v>57.239999999999988</v>
      </c>
      <c r="I168" s="5991"/>
      <c r="J168" s="718">
        <f t="shared" ref="J168" si="259">F168+H168</f>
        <v>57.239999999999988</v>
      </c>
      <c r="K168" s="6037"/>
      <c r="L168" s="103"/>
      <c r="M168" s="6019"/>
      <c r="N168" s="717">
        <f t="shared" si="253"/>
        <v>57.239999999999988</v>
      </c>
      <c r="O168" s="6037"/>
      <c r="P168" s="103"/>
      <c r="Q168" s="5991"/>
      <c r="R168" s="718">
        <f t="shared" si="222"/>
        <v>57.239999999999988</v>
      </c>
      <c r="S168" s="6037"/>
      <c r="T168" s="103"/>
      <c r="U168" s="5991"/>
      <c r="V168" s="718">
        <f t="shared" si="223"/>
        <v>57.239999999999988</v>
      </c>
      <c r="W168" s="6037"/>
      <c r="X168" s="103"/>
      <c r="Y168" s="6019"/>
      <c r="Z168" s="6019">
        <f t="shared" si="254"/>
        <v>0</v>
      </c>
      <c r="AA168" s="6004"/>
      <c r="AB168" s="429">
        <f t="shared" si="255"/>
        <v>57.239999999999988</v>
      </c>
      <c r="AC168" s="6037"/>
      <c r="AD168" s="103"/>
      <c r="AE168" s="5991"/>
      <c r="AF168" s="718">
        <f t="shared" si="225"/>
        <v>57.239999999999988</v>
      </c>
      <c r="AG168" s="6037"/>
      <c r="AH168" s="103"/>
      <c r="AI168" s="5991"/>
      <c r="AJ168" s="718">
        <f t="shared" si="226"/>
        <v>57.239999999999988</v>
      </c>
      <c r="AK168" s="6037"/>
      <c r="AL168" s="103"/>
      <c r="AM168" s="6019"/>
      <c r="AN168" s="717">
        <f t="shared" si="256"/>
        <v>0</v>
      </c>
      <c r="AO168" s="5991"/>
      <c r="AP168" s="718">
        <f t="shared" si="257"/>
        <v>57.239999999999988</v>
      </c>
      <c r="AQ168" s="6037"/>
      <c r="AR168" s="103"/>
      <c r="AS168" s="5991"/>
      <c r="AT168" s="718">
        <f t="shared" si="228"/>
        <v>57.239999999999988</v>
      </c>
      <c r="AU168" s="6037"/>
      <c r="AV168" s="103"/>
      <c r="AW168" s="5991"/>
      <c r="AX168" s="718">
        <f t="shared" si="229"/>
        <v>57.239999999999988</v>
      </c>
      <c r="AY168" s="6037"/>
      <c r="AZ168" s="103"/>
      <c r="BA168" s="6019"/>
      <c r="BB168" s="717">
        <f t="shared" si="258"/>
        <v>0</v>
      </c>
      <c r="BC168" s="6004"/>
      <c r="BD168" s="429">
        <f t="shared" si="251"/>
        <v>0</v>
      </c>
      <c r="BE168" s="5991"/>
      <c r="BF168" s="718">
        <f t="shared" si="252"/>
        <v>57.239999999999988</v>
      </c>
    </row>
    <row r="169" spans="1:58" ht="15.75" customHeight="1" x14ac:dyDescent="0.3">
      <c r="A169" s="88"/>
      <c r="B169" s="3162" t="s">
        <v>826</v>
      </c>
      <c r="C169" s="3150" t="s">
        <v>861</v>
      </c>
      <c r="D169" s="3150"/>
      <c r="E169" s="6037"/>
      <c r="F169" s="3152"/>
      <c r="G169" s="6037"/>
      <c r="H169" s="3152"/>
      <c r="I169" s="5991"/>
      <c r="J169" s="718">
        <f t="shared" ref="J169:J238" si="260">F169+H169</f>
        <v>0</v>
      </c>
      <c r="K169" s="6037"/>
      <c r="L169" s="3152"/>
      <c r="M169" s="6019"/>
      <c r="N169" s="717">
        <f t="shared" si="253"/>
        <v>0</v>
      </c>
      <c r="O169" s="6037"/>
      <c r="P169" s="3152"/>
      <c r="Q169" s="5991"/>
      <c r="R169" s="718">
        <f t="shared" si="222"/>
        <v>0</v>
      </c>
      <c r="S169" s="6037"/>
      <c r="T169" s="3152"/>
      <c r="U169" s="5991"/>
      <c r="V169" s="718">
        <f t="shared" si="223"/>
        <v>0</v>
      </c>
      <c r="W169" s="6037"/>
      <c r="X169" s="3152"/>
      <c r="Y169" s="6019"/>
      <c r="Z169" s="6019">
        <f t="shared" si="254"/>
        <v>0</v>
      </c>
      <c r="AA169" s="6004"/>
      <c r="AB169" s="429">
        <f t="shared" si="255"/>
        <v>0</v>
      </c>
      <c r="AC169" s="6037"/>
      <c r="AD169" s="3152"/>
      <c r="AE169" s="5991"/>
      <c r="AF169" s="718">
        <f t="shared" si="225"/>
        <v>0</v>
      </c>
      <c r="AG169" s="6037"/>
      <c r="AH169" s="3152"/>
      <c r="AI169" s="5991"/>
      <c r="AJ169" s="718">
        <f t="shared" si="226"/>
        <v>0</v>
      </c>
      <c r="AK169" s="6037"/>
      <c r="AL169" s="3152"/>
      <c r="AM169" s="6019"/>
      <c r="AN169" s="717">
        <f t="shared" si="256"/>
        <v>0</v>
      </c>
      <c r="AO169" s="5991"/>
      <c r="AP169" s="718">
        <f t="shared" si="257"/>
        <v>0</v>
      </c>
      <c r="AQ169" s="6037"/>
      <c r="AR169" s="3152"/>
      <c r="AS169" s="5991"/>
      <c r="AT169" s="718">
        <f t="shared" si="228"/>
        <v>0</v>
      </c>
      <c r="AU169" s="6037"/>
      <c r="AV169" s="3152"/>
      <c r="AW169" s="5991"/>
      <c r="AX169" s="718">
        <f t="shared" si="229"/>
        <v>0</v>
      </c>
      <c r="AY169" s="6037"/>
      <c r="AZ169" s="3152"/>
      <c r="BA169" s="6019"/>
      <c r="BB169" s="717">
        <f t="shared" si="258"/>
        <v>0</v>
      </c>
      <c r="BC169" s="6004"/>
      <c r="BD169" s="429">
        <f t="shared" si="251"/>
        <v>0</v>
      </c>
      <c r="BE169" s="5991"/>
      <c r="BF169" s="718">
        <f t="shared" si="252"/>
        <v>0</v>
      </c>
    </row>
    <row r="170" spans="1:58" ht="15.75" customHeight="1" thickBot="1" x14ac:dyDescent="0.35">
      <c r="A170" s="88"/>
      <c r="B170" s="3162" t="s">
        <v>2284</v>
      </c>
      <c r="C170" s="3150" t="s">
        <v>2278</v>
      </c>
      <c r="D170" s="3150"/>
      <c r="E170" s="6037"/>
      <c r="F170" s="3152"/>
      <c r="G170" s="6037"/>
      <c r="H170" s="3152">
        <v>6.12</v>
      </c>
      <c r="I170" s="5991"/>
      <c r="J170" s="718">
        <f t="shared" si="260"/>
        <v>6.12</v>
      </c>
      <c r="K170" s="6037"/>
      <c r="L170" s="3152"/>
      <c r="M170" s="6019"/>
      <c r="N170" s="717">
        <f t="shared" si="253"/>
        <v>6.12</v>
      </c>
      <c r="O170" s="6037"/>
      <c r="P170" s="3152"/>
      <c r="Q170" s="5991"/>
      <c r="R170" s="718">
        <f t="shared" ref="R170:R239" si="261">N170+P170</f>
        <v>6.12</v>
      </c>
      <c r="S170" s="6037"/>
      <c r="T170" s="3152"/>
      <c r="U170" s="5991"/>
      <c r="V170" s="718">
        <f t="shared" ref="V170:V239" si="262">R170+T170</f>
        <v>6.12</v>
      </c>
      <c r="W170" s="6037"/>
      <c r="X170" s="3152"/>
      <c r="Y170" s="6019"/>
      <c r="Z170" s="6019">
        <f t="shared" si="254"/>
        <v>0</v>
      </c>
      <c r="AA170" s="6004"/>
      <c r="AB170" s="429">
        <f t="shared" si="255"/>
        <v>6.12</v>
      </c>
      <c r="AC170" s="6037"/>
      <c r="AD170" s="3152"/>
      <c r="AE170" s="5991"/>
      <c r="AF170" s="718">
        <f t="shared" ref="AF170:AF239" si="263">AB170+AD170</f>
        <v>6.12</v>
      </c>
      <c r="AG170" s="6037"/>
      <c r="AH170" s="3152"/>
      <c r="AI170" s="5991"/>
      <c r="AJ170" s="718">
        <f t="shared" ref="AJ170:AJ239" si="264">AF170+AH170</f>
        <v>6.12</v>
      </c>
      <c r="AK170" s="6037"/>
      <c r="AL170" s="3152"/>
      <c r="AM170" s="6019"/>
      <c r="AN170" s="717">
        <f t="shared" si="256"/>
        <v>0</v>
      </c>
      <c r="AO170" s="5991"/>
      <c r="AP170" s="718">
        <f t="shared" si="257"/>
        <v>6.12</v>
      </c>
      <c r="AQ170" s="6037"/>
      <c r="AR170" s="3152"/>
      <c r="AS170" s="5991"/>
      <c r="AT170" s="718">
        <f t="shared" ref="AT170:AT239" si="265">AP170+AR170</f>
        <v>6.12</v>
      </c>
      <c r="AU170" s="6037"/>
      <c r="AV170" s="3152"/>
      <c r="AW170" s="5991"/>
      <c r="AX170" s="718">
        <f t="shared" ref="AX170:AX239" si="266">AT170+AV170</f>
        <v>6.12</v>
      </c>
      <c r="AY170" s="6037"/>
      <c r="AZ170" s="3152"/>
      <c r="BA170" s="6019"/>
      <c r="BB170" s="717">
        <f t="shared" si="258"/>
        <v>0</v>
      </c>
      <c r="BC170" s="6004"/>
      <c r="BD170" s="429">
        <f t="shared" si="251"/>
        <v>0</v>
      </c>
      <c r="BE170" s="5991"/>
      <c r="BF170" s="718">
        <f t="shared" si="252"/>
        <v>6.12</v>
      </c>
    </row>
    <row r="171" spans="1:58" ht="20.25" customHeight="1" x14ac:dyDescent="0.3">
      <c r="A171" s="88"/>
      <c r="B171" s="3161" t="s">
        <v>827</v>
      </c>
      <c r="C171" s="3135" t="s">
        <v>863</v>
      </c>
      <c r="D171" s="3135"/>
      <c r="E171" s="6037"/>
      <c r="F171" s="145"/>
      <c r="G171" s="6037"/>
      <c r="H171" s="145">
        <v>28.65</v>
      </c>
      <c r="I171" s="5991"/>
      <c r="J171" s="718">
        <f t="shared" si="260"/>
        <v>28.65</v>
      </c>
      <c r="K171" s="6037"/>
      <c r="L171" s="145"/>
      <c r="M171" s="6019"/>
      <c r="N171" s="717">
        <f t="shared" si="253"/>
        <v>28.65</v>
      </c>
      <c r="O171" s="6037"/>
      <c r="P171" s="145"/>
      <c r="Q171" s="5991"/>
      <c r="R171" s="718">
        <f t="shared" si="261"/>
        <v>28.65</v>
      </c>
      <c r="S171" s="6037"/>
      <c r="T171" s="145"/>
      <c r="U171" s="5991"/>
      <c r="V171" s="718">
        <f t="shared" si="262"/>
        <v>28.65</v>
      </c>
      <c r="W171" s="6037"/>
      <c r="X171" s="145"/>
      <c r="Y171" s="6019"/>
      <c r="Z171" s="6019">
        <f t="shared" si="254"/>
        <v>0</v>
      </c>
      <c r="AA171" s="6004"/>
      <c r="AB171" s="429">
        <f t="shared" si="255"/>
        <v>28.65</v>
      </c>
      <c r="AC171" s="6037"/>
      <c r="AD171" s="145"/>
      <c r="AE171" s="5991"/>
      <c r="AF171" s="718">
        <f t="shared" si="263"/>
        <v>28.65</v>
      </c>
      <c r="AG171" s="6037"/>
      <c r="AH171" s="145"/>
      <c r="AI171" s="5991"/>
      <c r="AJ171" s="718">
        <f t="shared" si="264"/>
        <v>28.65</v>
      </c>
      <c r="AK171" s="6037"/>
      <c r="AL171" s="145"/>
      <c r="AM171" s="6019"/>
      <c r="AN171" s="717">
        <f t="shared" si="256"/>
        <v>0</v>
      </c>
      <c r="AO171" s="5991"/>
      <c r="AP171" s="718">
        <f t="shared" si="257"/>
        <v>28.65</v>
      </c>
      <c r="AQ171" s="6037"/>
      <c r="AR171" s="145"/>
      <c r="AS171" s="5991"/>
      <c r="AT171" s="718">
        <f t="shared" si="265"/>
        <v>28.65</v>
      </c>
      <c r="AU171" s="6037"/>
      <c r="AV171" s="145"/>
      <c r="AW171" s="5991"/>
      <c r="AX171" s="718">
        <f t="shared" si="266"/>
        <v>28.65</v>
      </c>
      <c r="AY171" s="6037"/>
      <c r="AZ171" s="145"/>
      <c r="BA171" s="6019"/>
      <c r="BB171" s="717">
        <f t="shared" si="258"/>
        <v>0</v>
      </c>
      <c r="BC171" s="6004"/>
      <c r="BD171" s="429">
        <f t="shared" si="251"/>
        <v>0</v>
      </c>
      <c r="BE171" s="5991"/>
      <c r="BF171" s="718">
        <f t="shared" si="252"/>
        <v>28.65</v>
      </c>
    </row>
    <row r="172" spans="1:58" ht="15.75" customHeight="1" x14ac:dyDescent="0.3">
      <c r="A172" s="88"/>
      <c r="B172" s="3164" t="s">
        <v>827</v>
      </c>
      <c r="C172" s="3157" t="s">
        <v>842</v>
      </c>
      <c r="D172" s="3137"/>
      <c r="E172" s="6037"/>
      <c r="F172" s="1094">
        <v>1745.06</v>
      </c>
      <c r="G172" s="6037"/>
      <c r="H172" s="1094">
        <v>347.22199999999998</v>
      </c>
      <c r="I172" s="5991"/>
      <c r="J172" s="718">
        <f t="shared" si="260"/>
        <v>2092.2820000000002</v>
      </c>
      <c r="K172" s="6037"/>
      <c r="L172" s="1094"/>
      <c r="M172" s="6019"/>
      <c r="N172" s="717">
        <f t="shared" si="253"/>
        <v>2092.2820000000002</v>
      </c>
      <c r="O172" s="6037"/>
      <c r="P172" s="1094"/>
      <c r="Q172" s="5991"/>
      <c r="R172" s="718">
        <f t="shared" si="261"/>
        <v>2092.2820000000002</v>
      </c>
      <c r="S172" s="6037"/>
      <c r="T172" s="1094"/>
      <c r="U172" s="5991"/>
      <c r="V172" s="718">
        <f t="shared" si="262"/>
        <v>2092.2820000000002</v>
      </c>
      <c r="W172" s="6037"/>
      <c r="X172" s="1094"/>
      <c r="Y172" s="6019"/>
      <c r="Z172" s="6019">
        <f t="shared" si="254"/>
        <v>0</v>
      </c>
      <c r="AA172" s="6004"/>
      <c r="AB172" s="429">
        <f t="shared" si="255"/>
        <v>2092.2820000000002</v>
      </c>
      <c r="AC172" s="6037"/>
      <c r="AD172" s="1094"/>
      <c r="AE172" s="5991"/>
      <c r="AF172" s="718">
        <f t="shared" si="263"/>
        <v>2092.2820000000002</v>
      </c>
      <c r="AG172" s="6037"/>
      <c r="AH172" s="1094"/>
      <c r="AI172" s="5991"/>
      <c r="AJ172" s="718">
        <f t="shared" si="264"/>
        <v>2092.2820000000002</v>
      </c>
      <c r="AK172" s="6037"/>
      <c r="AL172" s="1094"/>
      <c r="AM172" s="6019"/>
      <c r="AN172" s="717">
        <f t="shared" si="256"/>
        <v>0</v>
      </c>
      <c r="AO172" s="5991"/>
      <c r="AP172" s="718">
        <f t="shared" si="257"/>
        <v>2092.2820000000002</v>
      </c>
      <c r="AQ172" s="6037"/>
      <c r="AR172" s="1094"/>
      <c r="AS172" s="5991"/>
      <c r="AT172" s="718">
        <f t="shared" si="265"/>
        <v>2092.2820000000002</v>
      </c>
      <c r="AU172" s="6037"/>
      <c r="AV172" s="1094"/>
      <c r="AW172" s="5991"/>
      <c r="AX172" s="718">
        <f t="shared" si="266"/>
        <v>2092.2820000000002</v>
      </c>
      <c r="AY172" s="6037"/>
      <c r="AZ172" s="1094"/>
      <c r="BA172" s="6019"/>
      <c r="BB172" s="717">
        <f t="shared" si="258"/>
        <v>0</v>
      </c>
      <c r="BC172" s="6004"/>
      <c r="BD172" s="429">
        <f t="shared" si="251"/>
        <v>0</v>
      </c>
      <c r="BE172" s="5991"/>
      <c r="BF172" s="718">
        <f t="shared" si="252"/>
        <v>2092.2820000000002</v>
      </c>
    </row>
    <row r="173" spans="1:58" ht="15.75" customHeight="1" x14ac:dyDescent="0.3">
      <c r="A173" s="88"/>
      <c r="B173" s="3164" t="s">
        <v>827</v>
      </c>
      <c r="C173" s="3157" t="s">
        <v>864</v>
      </c>
      <c r="D173" s="3137"/>
      <c r="E173" s="6037"/>
      <c r="F173" s="1094"/>
      <c r="G173" s="6037"/>
      <c r="H173" s="1094">
        <v>44.718000000000004</v>
      </c>
      <c r="I173" s="5991"/>
      <c r="J173" s="718">
        <f t="shared" si="260"/>
        <v>44.718000000000004</v>
      </c>
      <c r="K173" s="6037"/>
      <c r="L173" s="1094"/>
      <c r="M173" s="6019"/>
      <c r="N173" s="717">
        <f t="shared" si="253"/>
        <v>44.718000000000004</v>
      </c>
      <c r="O173" s="6037"/>
      <c r="P173" s="1094"/>
      <c r="Q173" s="5991"/>
      <c r="R173" s="718">
        <f t="shared" si="261"/>
        <v>44.718000000000004</v>
      </c>
      <c r="S173" s="6037"/>
      <c r="T173" s="1094"/>
      <c r="U173" s="5991"/>
      <c r="V173" s="718">
        <f t="shared" si="262"/>
        <v>44.718000000000004</v>
      </c>
      <c r="W173" s="6037"/>
      <c r="X173" s="1094"/>
      <c r="Y173" s="6019"/>
      <c r="Z173" s="6019">
        <f t="shared" si="254"/>
        <v>0</v>
      </c>
      <c r="AA173" s="6004"/>
      <c r="AB173" s="429">
        <f t="shared" si="255"/>
        <v>44.718000000000004</v>
      </c>
      <c r="AC173" s="6037"/>
      <c r="AD173" s="1094"/>
      <c r="AE173" s="5991"/>
      <c r="AF173" s="718">
        <f t="shared" si="263"/>
        <v>44.718000000000004</v>
      </c>
      <c r="AG173" s="6037"/>
      <c r="AH173" s="1094"/>
      <c r="AI173" s="5991"/>
      <c r="AJ173" s="718">
        <f t="shared" si="264"/>
        <v>44.718000000000004</v>
      </c>
      <c r="AK173" s="6037"/>
      <c r="AL173" s="1094"/>
      <c r="AM173" s="6019"/>
      <c r="AN173" s="717">
        <f t="shared" si="256"/>
        <v>0</v>
      </c>
      <c r="AO173" s="5991"/>
      <c r="AP173" s="718">
        <f t="shared" si="257"/>
        <v>44.718000000000004</v>
      </c>
      <c r="AQ173" s="6037"/>
      <c r="AR173" s="1094"/>
      <c r="AS173" s="5991"/>
      <c r="AT173" s="718">
        <f t="shared" si="265"/>
        <v>44.718000000000004</v>
      </c>
      <c r="AU173" s="6037"/>
      <c r="AV173" s="1094"/>
      <c r="AW173" s="5991"/>
      <c r="AX173" s="718">
        <f t="shared" si="266"/>
        <v>44.718000000000004</v>
      </c>
      <c r="AY173" s="6037"/>
      <c r="AZ173" s="1094"/>
      <c r="BA173" s="6019"/>
      <c r="BB173" s="717">
        <f t="shared" si="258"/>
        <v>0</v>
      </c>
      <c r="BC173" s="6004"/>
      <c r="BD173" s="429">
        <f t="shared" si="251"/>
        <v>0</v>
      </c>
      <c r="BE173" s="5991"/>
      <c r="BF173" s="718">
        <f t="shared" si="252"/>
        <v>44.718000000000004</v>
      </c>
    </row>
    <row r="174" spans="1:58" ht="15.75" customHeight="1" x14ac:dyDescent="0.3">
      <c r="A174" s="88"/>
      <c r="B174" s="3164" t="s">
        <v>827</v>
      </c>
      <c r="C174" s="3166" t="s">
        <v>1102</v>
      </c>
      <c r="D174" s="3167"/>
      <c r="E174" s="6037"/>
      <c r="F174" s="2348"/>
      <c r="G174" s="6037"/>
      <c r="H174" s="2348"/>
      <c r="I174" s="5991"/>
      <c r="J174" s="718">
        <f t="shared" si="260"/>
        <v>0</v>
      </c>
      <c r="K174" s="6037"/>
      <c r="L174" s="2348"/>
      <c r="M174" s="6019"/>
      <c r="N174" s="717">
        <f t="shared" si="253"/>
        <v>0</v>
      </c>
      <c r="O174" s="6037"/>
      <c r="P174" s="2348"/>
      <c r="Q174" s="5991"/>
      <c r="R174" s="718">
        <f t="shared" si="261"/>
        <v>0</v>
      </c>
      <c r="S174" s="6037"/>
      <c r="T174" s="2348"/>
      <c r="U174" s="5991"/>
      <c r="V174" s="718">
        <f t="shared" si="262"/>
        <v>0</v>
      </c>
      <c r="W174" s="6037"/>
      <c r="X174" s="2348"/>
      <c r="Y174" s="6019"/>
      <c r="Z174" s="6019">
        <f t="shared" si="254"/>
        <v>0</v>
      </c>
      <c r="AA174" s="6004"/>
      <c r="AB174" s="429">
        <f t="shared" si="255"/>
        <v>0</v>
      </c>
      <c r="AC174" s="6037"/>
      <c r="AD174" s="2348"/>
      <c r="AE174" s="5991"/>
      <c r="AF174" s="718">
        <f t="shared" si="263"/>
        <v>0</v>
      </c>
      <c r="AG174" s="6037"/>
      <c r="AH174" s="2348"/>
      <c r="AI174" s="5991"/>
      <c r="AJ174" s="718">
        <f t="shared" si="264"/>
        <v>0</v>
      </c>
      <c r="AK174" s="6037"/>
      <c r="AL174" s="2348"/>
      <c r="AM174" s="6019"/>
      <c r="AN174" s="717">
        <f t="shared" si="256"/>
        <v>0</v>
      </c>
      <c r="AO174" s="5991"/>
      <c r="AP174" s="718">
        <f t="shared" si="257"/>
        <v>0</v>
      </c>
      <c r="AQ174" s="6037"/>
      <c r="AR174" s="2348"/>
      <c r="AS174" s="5991"/>
      <c r="AT174" s="718">
        <f t="shared" si="265"/>
        <v>0</v>
      </c>
      <c r="AU174" s="6037"/>
      <c r="AV174" s="2348"/>
      <c r="AW174" s="5991"/>
      <c r="AX174" s="718">
        <f t="shared" si="266"/>
        <v>0</v>
      </c>
      <c r="AY174" s="6037"/>
      <c r="AZ174" s="2348"/>
      <c r="BA174" s="6019"/>
      <c r="BB174" s="717">
        <f t="shared" si="258"/>
        <v>0</v>
      </c>
      <c r="BC174" s="6004"/>
      <c r="BD174" s="429">
        <f t="shared" si="251"/>
        <v>0</v>
      </c>
      <c r="BE174" s="5991"/>
      <c r="BF174" s="718">
        <f t="shared" si="252"/>
        <v>0</v>
      </c>
    </row>
    <row r="175" spans="1:58" ht="15.75" customHeight="1" x14ac:dyDescent="0.3">
      <c r="A175" s="88"/>
      <c r="B175" s="3164" t="s">
        <v>827</v>
      </c>
      <c r="C175" s="3166" t="s">
        <v>860</v>
      </c>
      <c r="D175" s="3167"/>
      <c r="E175" s="6037"/>
      <c r="F175" s="2348"/>
      <c r="G175" s="6037"/>
      <c r="H175" s="2348">
        <v>6.1139999999999999</v>
      </c>
      <c r="I175" s="5991"/>
      <c r="J175" s="718">
        <f t="shared" si="260"/>
        <v>6.1139999999999999</v>
      </c>
      <c r="K175" s="6037"/>
      <c r="L175" s="2348"/>
      <c r="M175" s="6019"/>
      <c r="N175" s="717">
        <f t="shared" si="253"/>
        <v>6.1139999999999999</v>
      </c>
      <c r="O175" s="6037"/>
      <c r="P175" s="2348"/>
      <c r="Q175" s="5991"/>
      <c r="R175" s="718">
        <f t="shared" si="261"/>
        <v>6.1139999999999999</v>
      </c>
      <c r="S175" s="6037"/>
      <c r="T175" s="2348"/>
      <c r="U175" s="5991"/>
      <c r="V175" s="718">
        <f t="shared" si="262"/>
        <v>6.1139999999999999</v>
      </c>
      <c r="W175" s="6037"/>
      <c r="X175" s="2348"/>
      <c r="Y175" s="6019"/>
      <c r="Z175" s="6019">
        <f t="shared" si="254"/>
        <v>0</v>
      </c>
      <c r="AA175" s="6004"/>
      <c r="AB175" s="429">
        <f t="shared" si="255"/>
        <v>6.1139999999999999</v>
      </c>
      <c r="AC175" s="6037"/>
      <c r="AD175" s="2348"/>
      <c r="AE175" s="5991"/>
      <c r="AF175" s="718">
        <f t="shared" si="263"/>
        <v>6.1139999999999999</v>
      </c>
      <c r="AG175" s="6037"/>
      <c r="AH175" s="2348"/>
      <c r="AI175" s="5991"/>
      <c r="AJ175" s="718">
        <f t="shared" si="264"/>
        <v>6.1139999999999999</v>
      </c>
      <c r="AK175" s="6037"/>
      <c r="AL175" s="2348"/>
      <c r="AM175" s="6019"/>
      <c r="AN175" s="717">
        <f t="shared" si="256"/>
        <v>0</v>
      </c>
      <c r="AO175" s="5991"/>
      <c r="AP175" s="718">
        <f t="shared" si="257"/>
        <v>6.1139999999999999</v>
      </c>
      <c r="AQ175" s="6037"/>
      <c r="AR175" s="2348"/>
      <c r="AS175" s="5991"/>
      <c r="AT175" s="718">
        <f t="shared" si="265"/>
        <v>6.1139999999999999</v>
      </c>
      <c r="AU175" s="6037"/>
      <c r="AV175" s="2348"/>
      <c r="AW175" s="5991"/>
      <c r="AX175" s="718">
        <f t="shared" si="266"/>
        <v>6.1139999999999999</v>
      </c>
      <c r="AY175" s="6037"/>
      <c r="AZ175" s="2348"/>
      <c r="BA175" s="6019"/>
      <c r="BB175" s="717">
        <f t="shared" si="258"/>
        <v>0</v>
      </c>
      <c r="BC175" s="6004"/>
      <c r="BD175" s="429">
        <f t="shared" si="251"/>
        <v>0</v>
      </c>
      <c r="BE175" s="5991"/>
      <c r="BF175" s="718">
        <f t="shared" si="252"/>
        <v>6.1139999999999999</v>
      </c>
    </row>
    <row r="176" spans="1:58" ht="15.75" customHeight="1" x14ac:dyDescent="0.3">
      <c r="A176" s="88"/>
      <c r="B176" s="3164" t="s">
        <v>827</v>
      </c>
      <c r="C176" s="5443" t="s">
        <v>2283</v>
      </c>
      <c r="D176" s="4929"/>
      <c r="E176" s="6037"/>
      <c r="F176" s="4923"/>
      <c r="G176" s="6037"/>
      <c r="H176" s="4923">
        <v>7.8470000000000004</v>
      </c>
      <c r="I176" s="5991"/>
      <c r="J176" s="718">
        <f t="shared" si="260"/>
        <v>7.8470000000000004</v>
      </c>
      <c r="K176" s="6037"/>
      <c r="L176" s="4923"/>
      <c r="M176" s="6019"/>
      <c r="N176" s="717">
        <f t="shared" si="253"/>
        <v>7.8470000000000004</v>
      </c>
      <c r="O176" s="6037"/>
      <c r="P176" s="4923"/>
      <c r="Q176" s="5991"/>
      <c r="R176" s="718">
        <f t="shared" si="261"/>
        <v>7.8470000000000004</v>
      </c>
      <c r="S176" s="6037"/>
      <c r="T176" s="4923"/>
      <c r="U176" s="5991"/>
      <c r="V176" s="718">
        <f t="shared" si="262"/>
        <v>7.8470000000000004</v>
      </c>
      <c r="W176" s="6037"/>
      <c r="X176" s="4923"/>
      <c r="Y176" s="6019"/>
      <c r="Z176" s="6019">
        <f t="shared" si="254"/>
        <v>0</v>
      </c>
      <c r="AA176" s="6004"/>
      <c r="AB176" s="429">
        <f t="shared" si="255"/>
        <v>7.8470000000000004</v>
      </c>
      <c r="AC176" s="6037"/>
      <c r="AD176" s="4923"/>
      <c r="AE176" s="5991"/>
      <c r="AF176" s="718">
        <f t="shared" si="263"/>
        <v>7.8470000000000004</v>
      </c>
      <c r="AG176" s="6037"/>
      <c r="AH176" s="4923"/>
      <c r="AI176" s="5991"/>
      <c r="AJ176" s="718">
        <f t="shared" si="264"/>
        <v>7.8470000000000004</v>
      </c>
      <c r="AK176" s="6037"/>
      <c r="AL176" s="4923"/>
      <c r="AM176" s="6019"/>
      <c r="AN176" s="717">
        <f t="shared" si="256"/>
        <v>0</v>
      </c>
      <c r="AO176" s="5991"/>
      <c r="AP176" s="718">
        <f t="shared" si="257"/>
        <v>7.8470000000000004</v>
      </c>
      <c r="AQ176" s="6037"/>
      <c r="AR176" s="4923"/>
      <c r="AS176" s="5991"/>
      <c r="AT176" s="718">
        <f t="shared" si="265"/>
        <v>7.8470000000000004</v>
      </c>
      <c r="AU176" s="6037"/>
      <c r="AV176" s="4923"/>
      <c r="AW176" s="5991"/>
      <c r="AX176" s="718">
        <f t="shared" si="266"/>
        <v>7.8470000000000004</v>
      </c>
      <c r="AY176" s="6037"/>
      <c r="AZ176" s="4923"/>
      <c r="BA176" s="6019"/>
      <c r="BB176" s="717">
        <f t="shared" si="258"/>
        <v>0</v>
      </c>
      <c r="BC176" s="6004"/>
      <c r="BD176" s="429">
        <f t="shared" si="251"/>
        <v>0</v>
      </c>
      <c r="BE176" s="5991"/>
      <c r="BF176" s="718">
        <f t="shared" si="252"/>
        <v>7.8470000000000004</v>
      </c>
    </row>
    <row r="177" spans="1:58" ht="15.75" customHeight="1" x14ac:dyDescent="0.3">
      <c r="A177" s="88"/>
      <c r="B177" s="3164" t="s">
        <v>827</v>
      </c>
      <c r="C177" s="5443" t="s">
        <v>2281</v>
      </c>
      <c r="D177" s="4929"/>
      <c r="E177" s="6037"/>
      <c r="F177" s="4923"/>
      <c r="G177" s="6037"/>
      <c r="H177" s="4923">
        <v>7.4710000000000001</v>
      </c>
      <c r="I177" s="5991"/>
      <c r="J177" s="718">
        <f t="shared" si="260"/>
        <v>7.4710000000000001</v>
      </c>
      <c r="K177" s="6037"/>
      <c r="L177" s="4923"/>
      <c r="M177" s="6019"/>
      <c r="N177" s="717">
        <f t="shared" si="253"/>
        <v>7.4710000000000001</v>
      </c>
      <c r="O177" s="6037"/>
      <c r="P177" s="4923"/>
      <c r="Q177" s="5991"/>
      <c r="R177" s="718">
        <f t="shared" si="261"/>
        <v>7.4710000000000001</v>
      </c>
      <c r="S177" s="6037"/>
      <c r="T177" s="4923"/>
      <c r="U177" s="5991"/>
      <c r="V177" s="718">
        <f t="shared" si="262"/>
        <v>7.4710000000000001</v>
      </c>
      <c r="W177" s="6037"/>
      <c r="X177" s="4923"/>
      <c r="Y177" s="6019"/>
      <c r="Z177" s="6019">
        <f t="shared" si="254"/>
        <v>0</v>
      </c>
      <c r="AA177" s="6004"/>
      <c r="AB177" s="429">
        <f t="shared" si="255"/>
        <v>7.4710000000000001</v>
      </c>
      <c r="AC177" s="6037"/>
      <c r="AD177" s="4923"/>
      <c r="AE177" s="5991"/>
      <c r="AF177" s="718">
        <f t="shared" si="263"/>
        <v>7.4710000000000001</v>
      </c>
      <c r="AG177" s="6037"/>
      <c r="AH177" s="4923"/>
      <c r="AI177" s="5991"/>
      <c r="AJ177" s="718">
        <f t="shared" si="264"/>
        <v>7.4710000000000001</v>
      </c>
      <c r="AK177" s="6037"/>
      <c r="AL177" s="4923"/>
      <c r="AM177" s="6019"/>
      <c r="AN177" s="717">
        <f t="shared" si="256"/>
        <v>0</v>
      </c>
      <c r="AO177" s="5991"/>
      <c r="AP177" s="718">
        <f t="shared" si="257"/>
        <v>7.4710000000000001</v>
      </c>
      <c r="AQ177" s="6037"/>
      <c r="AR177" s="4923"/>
      <c r="AS177" s="5991"/>
      <c r="AT177" s="718">
        <f t="shared" si="265"/>
        <v>7.4710000000000001</v>
      </c>
      <c r="AU177" s="6037"/>
      <c r="AV177" s="4923"/>
      <c r="AW177" s="5991"/>
      <c r="AX177" s="718">
        <f t="shared" si="266"/>
        <v>7.4710000000000001</v>
      </c>
      <c r="AY177" s="6037"/>
      <c r="AZ177" s="4923"/>
      <c r="BA177" s="6019"/>
      <c r="BB177" s="717">
        <f t="shared" si="258"/>
        <v>0</v>
      </c>
      <c r="BC177" s="6004"/>
      <c r="BD177" s="429">
        <f t="shared" si="251"/>
        <v>0</v>
      </c>
      <c r="BE177" s="5991"/>
      <c r="BF177" s="718">
        <f t="shared" si="252"/>
        <v>7.4710000000000001</v>
      </c>
    </row>
    <row r="178" spans="1:58" ht="15.75" customHeight="1" x14ac:dyDescent="0.3">
      <c r="A178" s="88"/>
      <c r="B178" s="3164" t="s">
        <v>827</v>
      </c>
      <c r="C178" s="3166" t="s">
        <v>905</v>
      </c>
      <c r="D178" s="3167"/>
      <c r="E178" s="6037"/>
      <c r="F178" s="2348"/>
      <c r="G178" s="6037"/>
      <c r="H178" s="2348">
        <v>24.218</v>
      </c>
      <c r="I178" s="5991"/>
      <c r="J178" s="718">
        <f t="shared" si="260"/>
        <v>24.218</v>
      </c>
      <c r="K178" s="6037"/>
      <c r="L178" s="2348"/>
      <c r="M178" s="6019"/>
      <c r="N178" s="717">
        <f t="shared" si="253"/>
        <v>24.218</v>
      </c>
      <c r="O178" s="6037"/>
      <c r="P178" s="2348"/>
      <c r="Q178" s="5991"/>
      <c r="R178" s="718">
        <f t="shared" si="261"/>
        <v>24.218</v>
      </c>
      <c r="S178" s="6037"/>
      <c r="T178" s="2348"/>
      <c r="U178" s="5991"/>
      <c r="V178" s="718">
        <f t="shared" si="262"/>
        <v>24.218</v>
      </c>
      <c r="W178" s="6037"/>
      <c r="X178" s="2348"/>
      <c r="Y178" s="6019"/>
      <c r="Z178" s="6019">
        <f t="shared" si="254"/>
        <v>0</v>
      </c>
      <c r="AA178" s="6004"/>
      <c r="AB178" s="429">
        <f t="shared" si="255"/>
        <v>24.218</v>
      </c>
      <c r="AC178" s="6037"/>
      <c r="AD178" s="2348"/>
      <c r="AE178" s="5991"/>
      <c r="AF178" s="718">
        <f t="shared" si="263"/>
        <v>24.218</v>
      </c>
      <c r="AG178" s="6037"/>
      <c r="AH178" s="2348"/>
      <c r="AI178" s="5991"/>
      <c r="AJ178" s="718">
        <f t="shared" si="264"/>
        <v>24.218</v>
      </c>
      <c r="AK178" s="6037"/>
      <c r="AL178" s="2348"/>
      <c r="AM178" s="6019"/>
      <c r="AN178" s="717">
        <f t="shared" si="256"/>
        <v>0</v>
      </c>
      <c r="AO178" s="5991"/>
      <c r="AP178" s="718">
        <f t="shared" si="257"/>
        <v>24.218</v>
      </c>
      <c r="AQ178" s="6037"/>
      <c r="AR178" s="2348"/>
      <c r="AS178" s="5991"/>
      <c r="AT178" s="718">
        <f t="shared" si="265"/>
        <v>24.218</v>
      </c>
      <c r="AU178" s="6037"/>
      <c r="AV178" s="2348"/>
      <c r="AW178" s="5991"/>
      <c r="AX178" s="718">
        <f t="shared" si="266"/>
        <v>24.218</v>
      </c>
      <c r="AY178" s="6037"/>
      <c r="AZ178" s="2348"/>
      <c r="BA178" s="6019"/>
      <c r="BB178" s="717">
        <f t="shared" si="258"/>
        <v>0</v>
      </c>
      <c r="BC178" s="6004"/>
      <c r="BD178" s="429">
        <f t="shared" si="251"/>
        <v>0</v>
      </c>
      <c r="BE178" s="5991"/>
      <c r="BF178" s="718">
        <f t="shared" si="252"/>
        <v>24.218</v>
      </c>
    </row>
    <row r="179" spans="1:58" ht="15.75" customHeight="1" x14ac:dyDescent="0.3">
      <c r="A179" s="88"/>
      <c r="B179" s="3164" t="s">
        <v>827</v>
      </c>
      <c r="C179" s="5443" t="s">
        <v>2280</v>
      </c>
      <c r="D179" s="4929"/>
      <c r="E179" s="6037"/>
      <c r="F179" s="4923"/>
      <c r="G179" s="6037"/>
      <c r="H179" s="4923">
        <v>3.4209999999999998</v>
      </c>
      <c r="I179" s="5991"/>
      <c r="J179" s="718">
        <f t="shared" si="260"/>
        <v>3.4209999999999998</v>
      </c>
      <c r="K179" s="6037"/>
      <c r="L179" s="4923"/>
      <c r="M179" s="6019"/>
      <c r="N179" s="717">
        <f t="shared" si="253"/>
        <v>3.4209999999999998</v>
      </c>
      <c r="O179" s="6037"/>
      <c r="P179" s="4923"/>
      <c r="Q179" s="5991"/>
      <c r="R179" s="718">
        <f t="shared" si="261"/>
        <v>3.4209999999999998</v>
      </c>
      <c r="S179" s="6037"/>
      <c r="T179" s="4923"/>
      <c r="U179" s="5991"/>
      <c r="V179" s="718">
        <f t="shared" si="262"/>
        <v>3.4209999999999998</v>
      </c>
      <c r="W179" s="6037"/>
      <c r="X179" s="4923"/>
      <c r="Y179" s="6019"/>
      <c r="Z179" s="6019">
        <f t="shared" si="254"/>
        <v>0</v>
      </c>
      <c r="AA179" s="6004"/>
      <c r="AB179" s="429">
        <f t="shared" si="255"/>
        <v>3.4209999999999998</v>
      </c>
      <c r="AC179" s="6037"/>
      <c r="AD179" s="4923"/>
      <c r="AE179" s="5991"/>
      <c r="AF179" s="718">
        <f t="shared" si="263"/>
        <v>3.4209999999999998</v>
      </c>
      <c r="AG179" s="6037"/>
      <c r="AH179" s="4923"/>
      <c r="AI179" s="5991"/>
      <c r="AJ179" s="718">
        <f t="shared" si="264"/>
        <v>3.4209999999999998</v>
      </c>
      <c r="AK179" s="6037"/>
      <c r="AL179" s="4923"/>
      <c r="AM179" s="6019"/>
      <c r="AN179" s="717">
        <f t="shared" si="256"/>
        <v>0</v>
      </c>
      <c r="AO179" s="5991"/>
      <c r="AP179" s="718">
        <f t="shared" si="257"/>
        <v>3.4209999999999998</v>
      </c>
      <c r="AQ179" s="6037"/>
      <c r="AR179" s="4923"/>
      <c r="AS179" s="5991"/>
      <c r="AT179" s="718">
        <f t="shared" si="265"/>
        <v>3.4209999999999998</v>
      </c>
      <c r="AU179" s="6037"/>
      <c r="AV179" s="4923"/>
      <c r="AW179" s="5991"/>
      <c r="AX179" s="718">
        <f t="shared" si="266"/>
        <v>3.4209999999999998</v>
      </c>
      <c r="AY179" s="6037"/>
      <c r="AZ179" s="4923"/>
      <c r="BA179" s="6019"/>
      <c r="BB179" s="717">
        <f t="shared" si="258"/>
        <v>0</v>
      </c>
      <c r="BC179" s="6004"/>
      <c r="BD179" s="429">
        <f t="shared" si="251"/>
        <v>0</v>
      </c>
      <c r="BE179" s="5991"/>
      <c r="BF179" s="718">
        <f t="shared" si="252"/>
        <v>3.4209999999999998</v>
      </c>
    </row>
    <row r="180" spans="1:58" ht="15.75" customHeight="1" x14ac:dyDescent="0.3">
      <c r="A180" s="88"/>
      <c r="B180" s="3164" t="s">
        <v>827</v>
      </c>
      <c r="C180" s="3157" t="s">
        <v>1388</v>
      </c>
      <c r="D180" s="3157"/>
      <c r="E180" s="6037"/>
      <c r="F180" s="1094"/>
      <c r="G180" s="6037"/>
      <c r="H180" s="1094"/>
      <c r="I180" s="5991"/>
      <c r="J180" s="718">
        <f t="shared" si="260"/>
        <v>0</v>
      </c>
      <c r="K180" s="6037"/>
      <c r="L180" s="1094"/>
      <c r="M180" s="6019"/>
      <c r="N180" s="717">
        <f t="shared" si="253"/>
        <v>0</v>
      </c>
      <c r="O180" s="6037"/>
      <c r="P180" s="1094"/>
      <c r="Q180" s="5991"/>
      <c r="R180" s="718">
        <f t="shared" si="261"/>
        <v>0</v>
      </c>
      <c r="S180" s="6037"/>
      <c r="T180" s="1094"/>
      <c r="U180" s="5991"/>
      <c r="V180" s="718">
        <f t="shared" si="262"/>
        <v>0</v>
      </c>
      <c r="W180" s="6037"/>
      <c r="X180" s="1094"/>
      <c r="Y180" s="6019"/>
      <c r="Z180" s="6019">
        <f t="shared" si="254"/>
        <v>0</v>
      </c>
      <c r="AA180" s="6004"/>
      <c r="AB180" s="429">
        <f t="shared" si="255"/>
        <v>0</v>
      </c>
      <c r="AC180" s="6037"/>
      <c r="AD180" s="1094"/>
      <c r="AE180" s="5991"/>
      <c r="AF180" s="718">
        <f t="shared" si="263"/>
        <v>0</v>
      </c>
      <c r="AG180" s="6037"/>
      <c r="AH180" s="1094"/>
      <c r="AI180" s="5991"/>
      <c r="AJ180" s="718">
        <f t="shared" si="264"/>
        <v>0</v>
      </c>
      <c r="AK180" s="6037"/>
      <c r="AL180" s="1094"/>
      <c r="AM180" s="6019"/>
      <c r="AN180" s="717">
        <f t="shared" si="256"/>
        <v>0</v>
      </c>
      <c r="AO180" s="5991"/>
      <c r="AP180" s="718">
        <f t="shared" si="257"/>
        <v>0</v>
      </c>
      <c r="AQ180" s="6037"/>
      <c r="AR180" s="1094"/>
      <c r="AS180" s="5991"/>
      <c r="AT180" s="718">
        <f t="shared" si="265"/>
        <v>0</v>
      </c>
      <c r="AU180" s="6037"/>
      <c r="AV180" s="1094"/>
      <c r="AW180" s="5991"/>
      <c r="AX180" s="718">
        <f t="shared" si="266"/>
        <v>0</v>
      </c>
      <c r="AY180" s="6037"/>
      <c r="AZ180" s="1094"/>
      <c r="BA180" s="6019"/>
      <c r="BB180" s="717">
        <f t="shared" si="258"/>
        <v>0</v>
      </c>
      <c r="BC180" s="6004"/>
      <c r="BD180" s="429">
        <f t="shared" si="251"/>
        <v>0</v>
      </c>
      <c r="BE180" s="5991"/>
      <c r="BF180" s="718">
        <f t="shared" si="252"/>
        <v>0</v>
      </c>
    </row>
    <row r="181" spans="1:58" ht="15" thickBot="1" x14ac:dyDescent="0.35">
      <c r="A181" s="88"/>
      <c r="B181" s="3165" t="s">
        <v>827</v>
      </c>
      <c r="C181" s="3160" t="s">
        <v>1101</v>
      </c>
      <c r="D181" s="3139"/>
      <c r="E181" s="6037"/>
      <c r="F181" s="103"/>
      <c r="G181" s="6037"/>
      <c r="H181" s="103">
        <v>22.704000000000001</v>
      </c>
      <c r="I181" s="5991"/>
      <c r="J181" s="718">
        <f t="shared" si="260"/>
        <v>22.704000000000001</v>
      </c>
      <c r="K181" s="6037"/>
      <c r="L181" s="103"/>
      <c r="M181" s="6019"/>
      <c r="N181" s="717">
        <f t="shared" si="253"/>
        <v>22.704000000000001</v>
      </c>
      <c r="O181" s="6037"/>
      <c r="P181" s="103"/>
      <c r="Q181" s="5991"/>
      <c r="R181" s="718">
        <f t="shared" si="261"/>
        <v>22.704000000000001</v>
      </c>
      <c r="S181" s="6037"/>
      <c r="T181" s="103"/>
      <c r="U181" s="5991"/>
      <c r="V181" s="718">
        <f t="shared" si="262"/>
        <v>22.704000000000001</v>
      </c>
      <c r="W181" s="6037"/>
      <c r="X181" s="103"/>
      <c r="Y181" s="6019"/>
      <c r="Z181" s="6019">
        <f t="shared" si="254"/>
        <v>0</v>
      </c>
      <c r="AA181" s="6004"/>
      <c r="AB181" s="429">
        <f t="shared" si="255"/>
        <v>22.704000000000001</v>
      </c>
      <c r="AC181" s="6037"/>
      <c r="AD181" s="103"/>
      <c r="AE181" s="5991"/>
      <c r="AF181" s="718">
        <f t="shared" si="263"/>
        <v>22.704000000000001</v>
      </c>
      <c r="AG181" s="6037"/>
      <c r="AH181" s="103"/>
      <c r="AI181" s="5991"/>
      <c r="AJ181" s="718">
        <f t="shared" si="264"/>
        <v>22.704000000000001</v>
      </c>
      <c r="AK181" s="6037"/>
      <c r="AL181" s="103"/>
      <c r="AM181" s="6019"/>
      <c r="AN181" s="717">
        <f t="shared" si="256"/>
        <v>0</v>
      </c>
      <c r="AO181" s="5991"/>
      <c r="AP181" s="718">
        <f t="shared" si="257"/>
        <v>22.704000000000001</v>
      </c>
      <c r="AQ181" s="6037"/>
      <c r="AR181" s="103"/>
      <c r="AS181" s="5991"/>
      <c r="AT181" s="718">
        <f t="shared" si="265"/>
        <v>22.704000000000001</v>
      </c>
      <c r="AU181" s="6037"/>
      <c r="AV181" s="103"/>
      <c r="AW181" s="5991"/>
      <c r="AX181" s="718">
        <f t="shared" si="266"/>
        <v>22.704000000000001</v>
      </c>
      <c r="AY181" s="6037"/>
      <c r="AZ181" s="103"/>
      <c r="BA181" s="6019"/>
      <c r="BB181" s="717">
        <f t="shared" si="258"/>
        <v>0</v>
      </c>
      <c r="BC181" s="6004"/>
      <c r="BD181" s="429">
        <f t="shared" si="251"/>
        <v>0</v>
      </c>
      <c r="BE181" s="5991"/>
      <c r="BF181" s="718">
        <f t="shared" si="252"/>
        <v>22.704000000000001</v>
      </c>
    </row>
    <row r="182" spans="1:58" ht="20.25" customHeight="1" x14ac:dyDescent="0.3">
      <c r="A182" s="88"/>
      <c r="B182" s="3161" t="s">
        <v>828</v>
      </c>
      <c r="C182" s="3156" t="s">
        <v>905</v>
      </c>
      <c r="D182" s="3135"/>
      <c r="E182" s="6037"/>
      <c r="F182" s="145"/>
      <c r="G182" s="6037"/>
      <c r="H182" s="145">
        <v>39.912999999999997</v>
      </c>
      <c r="I182" s="5991"/>
      <c r="J182" s="718">
        <f t="shared" si="260"/>
        <v>39.912999999999997</v>
      </c>
      <c r="K182" s="6037"/>
      <c r="L182" s="145"/>
      <c r="M182" s="6019"/>
      <c r="N182" s="717">
        <f t="shared" si="253"/>
        <v>39.912999999999997</v>
      </c>
      <c r="O182" s="6037"/>
      <c r="P182" s="145"/>
      <c r="Q182" s="5991"/>
      <c r="R182" s="718">
        <f t="shared" si="261"/>
        <v>39.912999999999997</v>
      </c>
      <c r="S182" s="6037"/>
      <c r="T182" s="145"/>
      <c r="U182" s="5991"/>
      <c r="V182" s="718">
        <f t="shared" si="262"/>
        <v>39.912999999999997</v>
      </c>
      <c r="W182" s="6037"/>
      <c r="X182" s="145"/>
      <c r="Y182" s="6019"/>
      <c r="Z182" s="6019">
        <f t="shared" si="254"/>
        <v>0</v>
      </c>
      <c r="AA182" s="6004"/>
      <c r="AB182" s="429">
        <f t="shared" si="255"/>
        <v>39.912999999999997</v>
      </c>
      <c r="AC182" s="6037"/>
      <c r="AD182" s="145"/>
      <c r="AE182" s="5991"/>
      <c r="AF182" s="718">
        <f t="shared" si="263"/>
        <v>39.912999999999997</v>
      </c>
      <c r="AG182" s="6037"/>
      <c r="AH182" s="145"/>
      <c r="AI182" s="5991"/>
      <c r="AJ182" s="718">
        <f t="shared" si="264"/>
        <v>39.912999999999997</v>
      </c>
      <c r="AK182" s="6037"/>
      <c r="AL182" s="145"/>
      <c r="AM182" s="6019"/>
      <c r="AN182" s="717">
        <f t="shared" si="256"/>
        <v>0</v>
      </c>
      <c r="AO182" s="5991"/>
      <c r="AP182" s="718">
        <f t="shared" si="257"/>
        <v>39.912999999999997</v>
      </c>
      <c r="AQ182" s="6037"/>
      <c r="AR182" s="145"/>
      <c r="AS182" s="5991"/>
      <c r="AT182" s="718">
        <f t="shared" si="265"/>
        <v>39.912999999999997</v>
      </c>
      <c r="AU182" s="6037"/>
      <c r="AV182" s="145"/>
      <c r="AW182" s="5991"/>
      <c r="AX182" s="718">
        <f t="shared" si="266"/>
        <v>39.912999999999997</v>
      </c>
      <c r="AY182" s="6037"/>
      <c r="AZ182" s="145"/>
      <c r="BA182" s="6019"/>
      <c r="BB182" s="717">
        <f t="shared" si="258"/>
        <v>0</v>
      </c>
      <c r="BC182" s="6004"/>
      <c r="BD182" s="429">
        <f t="shared" si="251"/>
        <v>0</v>
      </c>
      <c r="BE182" s="5991"/>
      <c r="BF182" s="718">
        <f t="shared" si="252"/>
        <v>39.912999999999997</v>
      </c>
    </row>
    <row r="183" spans="1:58" x14ac:dyDescent="0.3">
      <c r="A183" s="88"/>
      <c r="B183" s="3164" t="s">
        <v>828</v>
      </c>
      <c r="C183" s="3157" t="s">
        <v>841</v>
      </c>
      <c r="D183" s="3137"/>
      <c r="E183" s="6037"/>
      <c r="F183" s="1094">
        <v>1047.8</v>
      </c>
      <c r="G183" s="6037"/>
      <c r="H183" s="1094"/>
      <c r="I183" s="5991"/>
      <c r="J183" s="718">
        <f t="shared" si="260"/>
        <v>1047.8</v>
      </c>
      <c r="K183" s="6037"/>
      <c r="L183" s="1094"/>
      <c r="M183" s="6019"/>
      <c r="N183" s="717">
        <f t="shared" si="253"/>
        <v>1047.8</v>
      </c>
      <c r="O183" s="6037"/>
      <c r="P183" s="1094"/>
      <c r="Q183" s="5991"/>
      <c r="R183" s="718">
        <f t="shared" si="261"/>
        <v>1047.8</v>
      </c>
      <c r="S183" s="6037"/>
      <c r="T183" s="1094"/>
      <c r="U183" s="5991"/>
      <c r="V183" s="718">
        <f t="shared" si="262"/>
        <v>1047.8</v>
      </c>
      <c r="W183" s="6037"/>
      <c r="X183" s="1094"/>
      <c r="Y183" s="6019"/>
      <c r="Z183" s="6019">
        <f t="shared" si="254"/>
        <v>0</v>
      </c>
      <c r="AA183" s="6004"/>
      <c r="AB183" s="429">
        <f t="shared" si="255"/>
        <v>1047.8</v>
      </c>
      <c r="AC183" s="6037"/>
      <c r="AD183" s="1094"/>
      <c r="AE183" s="5991"/>
      <c r="AF183" s="718">
        <f t="shared" si="263"/>
        <v>1047.8</v>
      </c>
      <c r="AG183" s="6037"/>
      <c r="AH183" s="1094"/>
      <c r="AI183" s="5991"/>
      <c r="AJ183" s="718">
        <f t="shared" si="264"/>
        <v>1047.8</v>
      </c>
      <c r="AK183" s="6037"/>
      <c r="AL183" s="1094"/>
      <c r="AM183" s="6019"/>
      <c r="AN183" s="717">
        <f t="shared" si="256"/>
        <v>0</v>
      </c>
      <c r="AO183" s="5991"/>
      <c r="AP183" s="718">
        <f t="shared" si="257"/>
        <v>1047.8</v>
      </c>
      <c r="AQ183" s="6037"/>
      <c r="AR183" s="1094"/>
      <c r="AS183" s="5991"/>
      <c r="AT183" s="718">
        <f t="shared" si="265"/>
        <v>1047.8</v>
      </c>
      <c r="AU183" s="6037"/>
      <c r="AV183" s="1094"/>
      <c r="AW183" s="5991"/>
      <c r="AX183" s="718">
        <f t="shared" si="266"/>
        <v>1047.8</v>
      </c>
      <c r="AY183" s="6037"/>
      <c r="AZ183" s="1094"/>
      <c r="BA183" s="6019"/>
      <c r="BB183" s="717">
        <f t="shared" si="258"/>
        <v>0</v>
      </c>
      <c r="BC183" s="6004"/>
      <c r="BD183" s="429">
        <f t="shared" si="251"/>
        <v>0</v>
      </c>
      <c r="BE183" s="5991"/>
      <c r="BF183" s="718">
        <f t="shared" si="252"/>
        <v>1047.8</v>
      </c>
    </row>
    <row r="184" spans="1:58" x14ac:dyDescent="0.3">
      <c r="A184" s="88"/>
      <c r="B184" s="3164" t="s">
        <v>828</v>
      </c>
      <c r="C184" s="3157" t="s">
        <v>1099</v>
      </c>
      <c r="D184" s="146"/>
      <c r="E184" s="6037"/>
      <c r="F184" s="1094">
        <v>191.52</v>
      </c>
      <c r="G184" s="6037"/>
      <c r="H184" s="1094">
        <v>54.675999999999988</v>
      </c>
      <c r="I184" s="5991"/>
      <c r="J184" s="718">
        <f t="shared" si="260"/>
        <v>246.196</v>
      </c>
      <c r="K184" s="6037"/>
      <c r="L184" s="1094"/>
      <c r="M184" s="6019"/>
      <c r="N184" s="717">
        <f t="shared" si="253"/>
        <v>246.196</v>
      </c>
      <c r="O184" s="6037"/>
      <c r="P184" s="1094"/>
      <c r="Q184" s="5991"/>
      <c r="R184" s="718">
        <f t="shared" si="261"/>
        <v>246.196</v>
      </c>
      <c r="S184" s="6037"/>
      <c r="T184" s="1094"/>
      <c r="U184" s="5991"/>
      <c r="V184" s="718">
        <f t="shared" si="262"/>
        <v>246.196</v>
      </c>
      <c r="W184" s="6037"/>
      <c r="X184" s="1094"/>
      <c r="Y184" s="6019"/>
      <c r="Z184" s="6019">
        <f t="shared" si="254"/>
        <v>0</v>
      </c>
      <c r="AA184" s="6004"/>
      <c r="AB184" s="429">
        <f t="shared" si="255"/>
        <v>246.196</v>
      </c>
      <c r="AC184" s="6037"/>
      <c r="AD184" s="1094"/>
      <c r="AE184" s="5991"/>
      <c r="AF184" s="718">
        <f t="shared" si="263"/>
        <v>246.196</v>
      </c>
      <c r="AG184" s="6037"/>
      <c r="AH184" s="1094"/>
      <c r="AI184" s="5991"/>
      <c r="AJ184" s="718">
        <f t="shared" si="264"/>
        <v>246.196</v>
      </c>
      <c r="AK184" s="6037"/>
      <c r="AL184" s="1094"/>
      <c r="AM184" s="6019"/>
      <c r="AN184" s="717">
        <f t="shared" si="256"/>
        <v>0</v>
      </c>
      <c r="AO184" s="5991"/>
      <c r="AP184" s="718">
        <f t="shared" si="257"/>
        <v>246.196</v>
      </c>
      <c r="AQ184" s="6037"/>
      <c r="AR184" s="1094"/>
      <c r="AS184" s="5991"/>
      <c r="AT184" s="718">
        <f t="shared" si="265"/>
        <v>246.196</v>
      </c>
      <c r="AU184" s="6037"/>
      <c r="AV184" s="1094"/>
      <c r="AW184" s="5991"/>
      <c r="AX184" s="718">
        <f t="shared" si="266"/>
        <v>246.196</v>
      </c>
      <c r="AY184" s="6037"/>
      <c r="AZ184" s="1094"/>
      <c r="BA184" s="6019"/>
      <c r="BB184" s="717">
        <f t="shared" si="258"/>
        <v>0</v>
      </c>
      <c r="BC184" s="6004"/>
      <c r="BD184" s="429">
        <f t="shared" si="251"/>
        <v>0</v>
      </c>
      <c r="BE184" s="5991"/>
      <c r="BF184" s="718">
        <f t="shared" si="252"/>
        <v>246.196</v>
      </c>
    </row>
    <row r="185" spans="1:58" x14ac:dyDescent="0.3">
      <c r="A185" s="88"/>
      <c r="B185" s="3164" t="s">
        <v>828</v>
      </c>
      <c r="C185" s="23" t="s">
        <v>2276</v>
      </c>
      <c r="D185" s="4932"/>
      <c r="E185" s="6037"/>
      <c r="F185" s="4923"/>
      <c r="G185" s="6037"/>
      <c r="H185" s="4923">
        <v>2.1349999999999998</v>
      </c>
      <c r="I185" s="5991"/>
      <c r="J185" s="718">
        <f t="shared" si="260"/>
        <v>2.1349999999999998</v>
      </c>
      <c r="K185" s="6037"/>
      <c r="L185" s="4923"/>
      <c r="M185" s="6019"/>
      <c r="N185" s="717">
        <f t="shared" si="253"/>
        <v>2.1349999999999998</v>
      </c>
      <c r="O185" s="6037"/>
      <c r="P185" s="4923"/>
      <c r="Q185" s="5991"/>
      <c r="R185" s="718">
        <f t="shared" si="261"/>
        <v>2.1349999999999998</v>
      </c>
      <c r="S185" s="6037"/>
      <c r="T185" s="4923"/>
      <c r="U185" s="5991"/>
      <c r="V185" s="718">
        <f t="shared" si="262"/>
        <v>2.1349999999999998</v>
      </c>
      <c r="W185" s="6037"/>
      <c r="X185" s="4923"/>
      <c r="Y185" s="6019"/>
      <c r="Z185" s="6019">
        <f t="shared" si="254"/>
        <v>0</v>
      </c>
      <c r="AA185" s="6004"/>
      <c r="AB185" s="429">
        <f t="shared" si="255"/>
        <v>2.1349999999999998</v>
      </c>
      <c r="AC185" s="6037"/>
      <c r="AD185" s="4923"/>
      <c r="AE185" s="5991"/>
      <c r="AF185" s="718">
        <f t="shared" si="263"/>
        <v>2.1349999999999998</v>
      </c>
      <c r="AG185" s="6037"/>
      <c r="AH185" s="4923"/>
      <c r="AI185" s="5991"/>
      <c r="AJ185" s="718">
        <f t="shared" si="264"/>
        <v>2.1349999999999998</v>
      </c>
      <c r="AK185" s="6037"/>
      <c r="AL185" s="4923"/>
      <c r="AM185" s="6019"/>
      <c r="AN185" s="717">
        <f t="shared" si="256"/>
        <v>0</v>
      </c>
      <c r="AO185" s="5991"/>
      <c r="AP185" s="718">
        <f t="shared" si="257"/>
        <v>2.1349999999999998</v>
      </c>
      <c r="AQ185" s="6037"/>
      <c r="AR185" s="4923"/>
      <c r="AS185" s="5991"/>
      <c r="AT185" s="718">
        <f t="shared" si="265"/>
        <v>2.1349999999999998</v>
      </c>
      <c r="AU185" s="6037"/>
      <c r="AV185" s="4923"/>
      <c r="AW185" s="5991"/>
      <c r="AX185" s="718">
        <f t="shared" si="266"/>
        <v>2.1349999999999998</v>
      </c>
      <c r="AY185" s="6037"/>
      <c r="AZ185" s="4923"/>
      <c r="BA185" s="6019"/>
      <c r="BB185" s="717">
        <f t="shared" si="258"/>
        <v>0</v>
      </c>
      <c r="BC185" s="6004"/>
      <c r="BD185" s="429">
        <f t="shared" si="251"/>
        <v>0</v>
      </c>
      <c r="BE185" s="5991"/>
      <c r="BF185" s="718">
        <f t="shared" si="252"/>
        <v>2.1349999999999998</v>
      </c>
    </row>
    <row r="186" spans="1:58" ht="15.75" customHeight="1" x14ac:dyDescent="0.3">
      <c r="A186" s="88"/>
      <c r="B186" s="4040" t="s">
        <v>828</v>
      </c>
      <c r="C186" s="4041" t="s">
        <v>1833</v>
      </c>
      <c r="D186" s="4042"/>
      <c r="E186" s="6037"/>
      <c r="F186" s="4023"/>
      <c r="G186" s="6037"/>
      <c r="H186" s="4023"/>
      <c r="I186" s="5991"/>
      <c r="J186" s="718">
        <f t="shared" si="260"/>
        <v>0</v>
      </c>
      <c r="K186" s="6037"/>
      <c r="L186" s="4023"/>
      <c r="M186" s="6019"/>
      <c r="N186" s="717">
        <f t="shared" si="253"/>
        <v>0</v>
      </c>
      <c r="O186" s="6037"/>
      <c r="P186" s="4023"/>
      <c r="Q186" s="5991"/>
      <c r="R186" s="718">
        <f t="shared" si="261"/>
        <v>0</v>
      </c>
      <c r="S186" s="6037"/>
      <c r="T186" s="4023"/>
      <c r="U186" s="5991"/>
      <c r="V186" s="718">
        <f t="shared" si="262"/>
        <v>0</v>
      </c>
      <c r="W186" s="6037"/>
      <c r="X186" s="4023"/>
      <c r="Y186" s="6019"/>
      <c r="Z186" s="6019">
        <f t="shared" si="254"/>
        <v>0</v>
      </c>
      <c r="AA186" s="6004"/>
      <c r="AB186" s="429">
        <f t="shared" si="255"/>
        <v>0</v>
      </c>
      <c r="AC186" s="6037"/>
      <c r="AD186" s="4023"/>
      <c r="AE186" s="5991"/>
      <c r="AF186" s="718">
        <f t="shared" si="263"/>
        <v>0</v>
      </c>
      <c r="AG186" s="6037"/>
      <c r="AH186" s="4023"/>
      <c r="AI186" s="5991"/>
      <c r="AJ186" s="718">
        <f t="shared" si="264"/>
        <v>0</v>
      </c>
      <c r="AK186" s="6037"/>
      <c r="AL186" s="4023"/>
      <c r="AM186" s="6019"/>
      <c r="AN186" s="717">
        <f t="shared" si="256"/>
        <v>0</v>
      </c>
      <c r="AO186" s="5991"/>
      <c r="AP186" s="718">
        <f t="shared" si="257"/>
        <v>0</v>
      </c>
      <c r="AQ186" s="6037"/>
      <c r="AR186" s="4023"/>
      <c r="AS186" s="5991"/>
      <c r="AT186" s="718">
        <f t="shared" si="265"/>
        <v>0</v>
      </c>
      <c r="AU186" s="6037"/>
      <c r="AV186" s="4023"/>
      <c r="AW186" s="5991"/>
      <c r="AX186" s="718">
        <f t="shared" si="266"/>
        <v>0</v>
      </c>
      <c r="AY186" s="6037"/>
      <c r="AZ186" s="4023"/>
      <c r="BA186" s="6019"/>
      <c r="BB186" s="717">
        <f t="shared" si="258"/>
        <v>0</v>
      </c>
      <c r="BC186" s="6004"/>
      <c r="BD186" s="429">
        <f t="shared" si="251"/>
        <v>0</v>
      </c>
      <c r="BE186" s="5991"/>
      <c r="BF186" s="718">
        <f t="shared" si="252"/>
        <v>0</v>
      </c>
    </row>
    <row r="187" spans="1:58" ht="15.75" customHeight="1" x14ac:dyDescent="0.3">
      <c r="A187" s="88"/>
      <c r="B187" s="3164" t="s">
        <v>828</v>
      </c>
      <c r="C187" s="3157" t="s">
        <v>863</v>
      </c>
      <c r="D187" s="3157"/>
      <c r="E187" s="6037"/>
      <c r="F187" s="1094"/>
      <c r="G187" s="6037"/>
      <c r="H187" s="1094">
        <v>17.14</v>
      </c>
      <c r="I187" s="5991"/>
      <c r="J187" s="718">
        <f t="shared" si="260"/>
        <v>17.14</v>
      </c>
      <c r="K187" s="6037"/>
      <c r="L187" s="1094"/>
      <c r="M187" s="6019"/>
      <c r="N187" s="717">
        <f t="shared" si="253"/>
        <v>17.14</v>
      </c>
      <c r="O187" s="6037"/>
      <c r="P187" s="1094"/>
      <c r="Q187" s="5991"/>
      <c r="R187" s="718">
        <f t="shared" si="261"/>
        <v>17.14</v>
      </c>
      <c r="S187" s="6037"/>
      <c r="T187" s="1094"/>
      <c r="U187" s="5991"/>
      <c r="V187" s="718">
        <f t="shared" si="262"/>
        <v>17.14</v>
      </c>
      <c r="W187" s="6037"/>
      <c r="X187" s="1094"/>
      <c r="Y187" s="6019"/>
      <c r="Z187" s="6019">
        <f t="shared" si="254"/>
        <v>0</v>
      </c>
      <c r="AA187" s="6004"/>
      <c r="AB187" s="429">
        <f t="shared" si="255"/>
        <v>17.14</v>
      </c>
      <c r="AC187" s="6037"/>
      <c r="AD187" s="1094"/>
      <c r="AE187" s="5991"/>
      <c r="AF187" s="718">
        <f t="shared" si="263"/>
        <v>17.14</v>
      </c>
      <c r="AG187" s="6037"/>
      <c r="AH187" s="1094"/>
      <c r="AI187" s="5991"/>
      <c r="AJ187" s="718">
        <f t="shared" si="264"/>
        <v>17.14</v>
      </c>
      <c r="AK187" s="6037"/>
      <c r="AL187" s="1094"/>
      <c r="AM187" s="6019"/>
      <c r="AN187" s="717">
        <f t="shared" si="256"/>
        <v>0</v>
      </c>
      <c r="AO187" s="5991"/>
      <c r="AP187" s="718">
        <f t="shared" si="257"/>
        <v>17.14</v>
      </c>
      <c r="AQ187" s="6037"/>
      <c r="AR187" s="1094"/>
      <c r="AS187" s="5991"/>
      <c r="AT187" s="718">
        <f t="shared" si="265"/>
        <v>17.14</v>
      </c>
      <c r="AU187" s="6037"/>
      <c r="AV187" s="1094"/>
      <c r="AW187" s="5991"/>
      <c r="AX187" s="718">
        <f t="shared" si="266"/>
        <v>17.14</v>
      </c>
      <c r="AY187" s="6037"/>
      <c r="AZ187" s="1094"/>
      <c r="BA187" s="6019"/>
      <c r="BB187" s="717">
        <f t="shared" si="258"/>
        <v>0</v>
      </c>
      <c r="BC187" s="6004"/>
      <c r="BD187" s="429">
        <f t="shared" si="251"/>
        <v>0</v>
      </c>
      <c r="BE187" s="5991"/>
      <c r="BF187" s="718">
        <f t="shared" si="252"/>
        <v>17.14</v>
      </c>
    </row>
    <row r="188" spans="1:58" x14ac:dyDescent="0.3">
      <c r="A188" s="88"/>
      <c r="B188" s="3164" t="s">
        <v>828</v>
      </c>
      <c r="C188" s="3157" t="s">
        <v>951</v>
      </c>
      <c r="D188" s="3137"/>
      <c r="E188" s="6037"/>
      <c r="F188" s="1094">
        <v>238.66</v>
      </c>
      <c r="G188" s="6037"/>
      <c r="H188" s="1094">
        <v>59.206000000000003</v>
      </c>
      <c r="I188" s="5991"/>
      <c r="J188" s="718">
        <f t="shared" si="260"/>
        <v>297.86599999999999</v>
      </c>
      <c r="K188" s="6037"/>
      <c r="L188" s="1094"/>
      <c r="M188" s="6019"/>
      <c r="N188" s="717">
        <f t="shared" si="253"/>
        <v>297.86599999999999</v>
      </c>
      <c r="O188" s="6037"/>
      <c r="P188" s="1094"/>
      <c r="Q188" s="5991"/>
      <c r="R188" s="718">
        <f t="shared" si="261"/>
        <v>297.86599999999999</v>
      </c>
      <c r="S188" s="6037"/>
      <c r="T188" s="1094"/>
      <c r="U188" s="5991"/>
      <c r="V188" s="718">
        <f t="shared" si="262"/>
        <v>297.86599999999999</v>
      </c>
      <c r="W188" s="6037"/>
      <c r="X188" s="1094"/>
      <c r="Y188" s="6019"/>
      <c r="Z188" s="6019">
        <f t="shared" si="254"/>
        <v>0</v>
      </c>
      <c r="AA188" s="6004"/>
      <c r="AB188" s="429">
        <f t="shared" si="255"/>
        <v>297.86599999999999</v>
      </c>
      <c r="AC188" s="6037"/>
      <c r="AD188" s="1094"/>
      <c r="AE188" s="5991"/>
      <c r="AF188" s="718">
        <f t="shared" si="263"/>
        <v>297.86599999999999</v>
      </c>
      <c r="AG188" s="6037"/>
      <c r="AH188" s="1094"/>
      <c r="AI188" s="5991"/>
      <c r="AJ188" s="718">
        <f t="shared" si="264"/>
        <v>297.86599999999999</v>
      </c>
      <c r="AK188" s="6037"/>
      <c r="AL188" s="1094"/>
      <c r="AM188" s="6019"/>
      <c r="AN188" s="717">
        <f t="shared" si="256"/>
        <v>0</v>
      </c>
      <c r="AO188" s="5991"/>
      <c r="AP188" s="718">
        <f t="shared" si="257"/>
        <v>297.86599999999999</v>
      </c>
      <c r="AQ188" s="6037"/>
      <c r="AR188" s="1094"/>
      <c r="AS188" s="5991"/>
      <c r="AT188" s="718">
        <f t="shared" si="265"/>
        <v>297.86599999999999</v>
      </c>
      <c r="AU188" s="6037"/>
      <c r="AV188" s="1094"/>
      <c r="AW188" s="5991"/>
      <c r="AX188" s="718">
        <f t="shared" si="266"/>
        <v>297.86599999999999</v>
      </c>
      <c r="AY188" s="6037"/>
      <c r="AZ188" s="1094"/>
      <c r="BA188" s="6019"/>
      <c r="BB188" s="717">
        <f t="shared" si="258"/>
        <v>0</v>
      </c>
      <c r="BC188" s="6004"/>
      <c r="BD188" s="429">
        <f t="shared" si="251"/>
        <v>0</v>
      </c>
      <c r="BE188" s="5991"/>
      <c r="BF188" s="718">
        <f t="shared" si="252"/>
        <v>297.86599999999999</v>
      </c>
    </row>
    <row r="189" spans="1:58" ht="15.75" customHeight="1" x14ac:dyDescent="0.3">
      <c r="A189" s="88"/>
      <c r="B189" s="3164" t="s">
        <v>828</v>
      </c>
      <c r="C189" s="3988" t="s">
        <v>860</v>
      </c>
      <c r="D189" s="3989"/>
      <c r="E189" s="6037"/>
      <c r="F189" s="3969"/>
      <c r="G189" s="6037"/>
      <c r="H189" s="3969">
        <v>41.55</v>
      </c>
      <c r="I189" s="5991"/>
      <c r="J189" s="718">
        <f t="shared" si="260"/>
        <v>41.55</v>
      </c>
      <c r="K189" s="6037"/>
      <c r="L189" s="3969"/>
      <c r="M189" s="6019"/>
      <c r="N189" s="717">
        <f t="shared" si="253"/>
        <v>41.55</v>
      </c>
      <c r="O189" s="6037"/>
      <c r="P189" s="3969"/>
      <c r="Q189" s="5991"/>
      <c r="R189" s="718">
        <f t="shared" si="261"/>
        <v>41.55</v>
      </c>
      <c r="S189" s="6037"/>
      <c r="T189" s="3969"/>
      <c r="U189" s="5991"/>
      <c r="V189" s="718">
        <f t="shared" si="262"/>
        <v>41.55</v>
      </c>
      <c r="W189" s="6037"/>
      <c r="X189" s="3969"/>
      <c r="Y189" s="6019"/>
      <c r="Z189" s="6019">
        <f t="shared" si="254"/>
        <v>0</v>
      </c>
      <c r="AA189" s="6004"/>
      <c r="AB189" s="429">
        <f t="shared" si="255"/>
        <v>41.55</v>
      </c>
      <c r="AC189" s="6037"/>
      <c r="AD189" s="3969"/>
      <c r="AE189" s="5991"/>
      <c r="AF189" s="718">
        <f t="shared" si="263"/>
        <v>41.55</v>
      </c>
      <c r="AG189" s="6037"/>
      <c r="AH189" s="3969"/>
      <c r="AI189" s="5991"/>
      <c r="AJ189" s="718">
        <f t="shared" si="264"/>
        <v>41.55</v>
      </c>
      <c r="AK189" s="6037"/>
      <c r="AL189" s="3969"/>
      <c r="AM189" s="6019"/>
      <c r="AN189" s="717">
        <f t="shared" si="256"/>
        <v>0</v>
      </c>
      <c r="AO189" s="5991"/>
      <c r="AP189" s="718">
        <f t="shared" si="257"/>
        <v>41.55</v>
      </c>
      <c r="AQ189" s="6037"/>
      <c r="AR189" s="3969"/>
      <c r="AS189" s="5991"/>
      <c r="AT189" s="718">
        <f t="shared" si="265"/>
        <v>41.55</v>
      </c>
      <c r="AU189" s="6037"/>
      <c r="AV189" s="3969"/>
      <c r="AW189" s="5991"/>
      <c r="AX189" s="718">
        <f t="shared" si="266"/>
        <v>41.55</v>
      </c>
      <c r="AY189" s="6037"/>
      <c r="AZ189" s="3969"/>
      <c r="BA189" s="6019"/>
      <c r="BB189" s="717">
        <f t="shared" si="258"/>
        <v>0</v>
      </c>
      <c r="BC189" s="6004"/>
      <c r="BD189" s="429">
        <f t="shared" si="251"/>
        <v>0</v>
      </c>
      <c r="BE189" s="5991"/>
      <c r="BF189" s="718">
        <f t="shared" si="252"/>
        <v>41.55</v>
      </c>
    </row>
    <row r="190" spans="1:58" ht="15.75" customHeight="1" x14ac:dyDescent="0.3">
      <c r="A190" s="88"/>
      <c r="B190" s="3164" t="s">
        <v>828</v>
      </c>
      <c r="C190" s="5443" t="s">
        <v>2283</v>
      </c>
      <c r="D190" s="4929"/>
      <c r="E190" s="6037"/>
      <c r="F190" s="4923"/>
      <c r="G190" s="6037"/>
      <c r="H190" s="4923">
        <v>250.53</v>
      </c>
      <c r="I190" s="5991"/>
      <c r="J190" s="718">
        <f t="shared" si="260"/>
        <v>250.53</v>
      </c>
      <c r="K190" s="6037"/>
      <c r="L190" s="4923"/>
      <c r="M190" s="6019"/>
      <c r="N190" s="717">
        <f t="shared" si="253"/>
        <v>250.53</v>
      </c>
      <c r="O190" s="6037"/>
      <c r="P190" s="4923"/>
      <c r="Q190" s="5991"/>
      <c r="R190" s="718">
        <f t="shared" si="261"/>
        <v>250.53</v>
      </c>
      <c r="S190" s="6037"/>
      <c r="T190" s="4923"/>
      <c r="U190" s="5991"/>
      <c r="V190" s="718">
        <f t="shared" si="262"/>
        <v>250.53</v>
      </c>
      <c r="W190" s="6037"/>
      <c r="X190" s="4923"/>
      <c r="Y190" s="6019"/>
      <c r="Z190" s="6019">
        <f t="shared" si="254"/>
        <v>0</v>
      </c>
      <c r="AA190" s="6004"/>
      <c r="AB190" s="429">
        <f t="shared" si="255"/>
        <v>250.53</v>
      </c>
      <c r="AC190" s="6037"/>
      <c r="AD190" s="4923"/>
      <c r="AE190" s="5991"/>
      <c r="AF190" s="718">
        <f t="shared" si="263"/>
        <v>250.53</v>
      </c>
      <c r="AG190" s="6037"/>
      <c r="AH190" s="4923"/>
      <c r="AI190" s="5991"/>
      <c r="AJ190" s="718">
        <f t="shared" si="264"/>
        <v>250.53</v>
      </c>
      <c r="AK190" s="6037"/>
      <c r="AL190" s="4923"/>
      <c r="AM190" s="6019"/>
      <c r="AN190" s="717">
        <f t="shared" si="256"/>
        <v>0</v>
      </c>
      <c r="AO190" s="5991"/>
      <c r="AP190" s="718">
        <f t="shared" si="257"/>
        <v>250.53</v>
      </c>
      <c r="AQ190" s="6037"/>
      <c r="AR190" s="4923"/>
      <c r="AS190" s="5991"/>
      <c r="AT190" s="718">
        <f t="shared" si="265"/>
        <v>250.53</v>
      </c>
      <c r="AU190" s="6037"/>
      <c r="AV190" s="4923"/>
      <c r="AW190" s="5991"/>
      <c r="AX190" s="718">
        <f t="shared" si="266"/>
        <v>250.53</v>
      </c>
      <c r="AY190" s="6037"/>
      <c r="AZ190" s="4923"/>
      <c r="BA190" s="6019"/>
      <c r="BB190" s="717">
        <f t="shared" si="258"/>
        <v>0</v>
      </c>
      <c r="BC190" s="6004"/>
      <c r="BD190" s="429">
        <f t="shared" si="251"/>
        <v>0</v>
      </c>
      <c r="BE190" s="5991"/>
      <c r="BF190" s="718">
        <f t="shared" si="252"/>
        <v>250.53</v>
      </c>
    </row>
    <row r="191" spans="1:58" x14ac:dyDescent="0.3">
      <c r="A191" s="88"/>
      <c r="B191" s="3164" t="s">
        <v>828</v>
      </c>
      <c r="C191" s="3166" t="s">
        <v>1104</v>
      </c>
      <c r="D191" s="3167"/>
      <c r="E191" s="6037"/>
      <c r="F191" s="2348">
        <v>252.8</v>
      </c>
      <c r="G191" s="6037"/>
      <c r="H191" s="2348">
        <v>93.295000000000002</v>
      </c>
      <c r="I191" s="5991"/>
      <c r="J191" s="718">
        <f t="shared" si="260"/>
        <v>346.09500000000003</v>
      </c>
      <c r="K191" s="6037"/>
      <c r="L191" s="2348"/>
      <c r="M191" s="6019"/>
      <c r="N191" s="717">
        <f t="shared" si="253"/>
        <v>346.09500000000003</v>
      </c>
      <c r="O191" s="6037"/>
      <c r="P191" s="2348"/>
      <c r="Q191" s="5991"/>
      <c r="R191" s="718">
        <f t="shared" si="261"/>
        <v>346.09500000000003</v>
      </c>
      <c r="S191" s="6037"/>
      <c r="T191" s="2348"/>
      <c r="U191" s="5991"/>
      <c r="V191" s="718">
        <f t="shared" si="262"/>
        <v>346.09500000000003</v>
      </c>
      <c r="W191" s="6037"/>
      <c r="X191" s="2348"/>
      <c r="Y191" s="6019"/>
      <c r="Z191" s="6019">
        <f t="shared" si="254"/>
        <v>0</v>
      </c>
      <c r="AA191" s="6004"/>
      <c r="AB191" s="429">
        <f t="shared" si="255"/>
        <v>346.09500000000003</v>
      </c>
      <c r="AC191" s="6037"/>
      <c r="AD191" s="2348"/>
      <c r="AE191" s="5991"/>
      <c r="AF191" s="718">
        <f t="shared" si="263"/>
        <v>346.09500000000003</v>
      </c>
      <c r="AG191" s="6037"/>
      <c r="AH191" s="2348"/>
      <c r="AI191" s="5991"/>
      <c r="AJ191" s="718">
        <f t="shared" si="264"/>
        <v>346.09500000000003</v>
      </c>
      <c r="AK191" s="6037"/>
      <c r="AL191" s="2348"/>
      <c r="AM191" s="6019"/>
      <c r="AN191" s="717">
        <f t="shared" si="256"/>
        <v>0</v>
      </c>
      <c r="AO191" s="5991"/>
      <c r="AP191" s="718">
        <f t="shared" si="257"/>
        <v>346.09500000000003</v>
      </c>
      <c r="AQ191" s="6037"/>
      <c r="AR191" s="2348"/>
      <c r="AS191" s="5991"/>
      <c r="AT191" s="718">
        <f t="shared" si="265"/>
        <v>346.09500000000003</v>
      </c>
      <c r="AU191" s="6037"/>
      <c r="AV191" s="2348"/>
      <c r="AW191" s="5991"/>
      <c r="AX191" s="718">
        <f t="shared" si="266"/>
        <v>346.09500000000003</v>
      </c>
      <c r="AY191" s="6037"/>
      <c r="AZ191" s="2348"/>
      <c r="BA191" s="6019"/>
      <c r="BB191" s="717">
        <f t="shared" si="258"/>
        <v>0</v>
      </c>
      <c r="BC191" s="6004"/>
      <c r="BD191" s="429">
        <f t="shared" si="251"/>
        <v>0</v>
      </c>
      <c r="BE191" s="5991"/>
      <c r="BF191" s="718">
        <f t="shared" si="252"/>
        <v>346.09500000000003</v>
      </c>
    </row>
    <row r="192" spans="1:58" ht="15.75" customHeight="1" x14ac:dyDescent="0.3">
      <c r="A192" s="88"/>
      <c r="B192" s="3164" t="s">
        <v>828</v>
      </c>
      <c r="C192" s="3157" t="s">
        <v>869</v>
      </c>
      <c r="D192" s="3137"/>
      <c r="E192" s="6037"/>
      <c r="F192" s="1094"/>
      <c r="G192" s="6037"/>
      <c r="H192" s="1094">
        <v>78.227000000000004</v>
      </c>
      <c r="I192" s="5991"/>
      <c r="J192" s="718">
        <f t="shared" si="260"/>
        <v>78.227000000000004</v>
      </c>
      <c r="K192" s="6037"/>
      <c r="L192" s="1094"/>
      <c r="M192" s="6019"/>
      <c r="N192" s="717">
        <f t="shared" si="253"/>
        <v>78.227000000000004</v>
      </c>
      <c r="O192" s="6037"/>
      <c r="P192" s="1094"/>
      <c r="Q192" s="5991"/>
      <c r="R192" s="718">
        <f t="shared" si="261"/>
        <v>78.227000000000004</v>
      </c>
      <c r="S192" s="6037"/>
      <c r="T192" s="1094"/>
      <c r="U192" s="5991"/>
      <c r="V192" s="718">
        <f t="shared" si="262"/>
        <v>78.227000000000004</v>
      </c>
      <c r="W192" s="6037"/>
      <c r="X192" s="1094"/>
      <c r="Y192" s="6019"/>
      <c r="Z192" s="6019">
        <f t="shared" si="254"/>
        <v>0</v>
      </c>
      <c r="AA192" s="6004"/>
      <c r="AB192" s="429">
        <f t="shared" si="255"/>
        <v>78.227000000000004</v>
      </c>
      <c r="AC192" s="6037"/>
      <c r="AD192" s="1094"/>
      <c r="AE192" s="5991"/>
      <c r="AF192" s="718">
        <f t="shared" si="263"/>
        <v>78.227000000000004</v>
      </c>
      <c r="AG192" s="6037"/>
      <c r="AH192" s="1094"/>
      <c r="AI192" s="5991"/>
      <c r="AJ192" s="718">
        <f t="shared" si="264"/>
        <v>78.227000000000004</v>
      </c>
      <c r="AK192" s="6037"/>
      <c r="AL192" s="1094"/>
      <c r="AM192" s="6019"/>
      <c r="AN192" s="717">
        <f t="shared" si="256"/>
        <v>0</v>
      </c>
      <c r="AO192" s="5991"/>
      <c r="AP192" s="718">
        <f t="shared" si="257"/>
        <v>78.227000000000004</v>
      </c>
      <c r="AQ192" s="6037"/>
      <c r="AR192" s="1094"/>
      <c r="AS192" s="5991"/>
      <c r="AT192" s="718">
        <f t="shared" si="265"/>
        <v>78.227000000000004</v>
      </c>
      <c r="AU192" s="6037"/>
      <c r="AV192" s="1094"/>
      <c r="AW192" s="5991"/>
      <c r="AX192" s="718">
        <f t="shared" si="266"/>
        <v>78.227000000000004</v>
      </c>
      <c r="AY192" s="6037"/>
      <c r="AZ192" s="1094"/>
      <c r="BA192" s="6019"/>
      <c r="BB192" s="717">
        <f t="shared" si="258"/>
        <v>0</v>
      </c>
      <c r="BC192" s="6004"/>
      <c r="BD192" s="429">
        <f t="shared" si="251"/>
        <v>0</v>
      </c>
      <c r="BE192" s="5991"/>
      <c r="BF192" s="718">
        <f t="shared" si="252"/>
        <v>78.227000000000004</v>
      </c>
    </row>
    <row r="193" spans="1:58" x14ac:dyDescent="0.3">
      <c r="A193" s="88"/>
      <c r="B193" s="3164" t="s">
        <v>828</v>
      </c>
      <c r="C193" s="3157" t="s">
        <v>1100</v>
      </c>
      <c r="D193" s="3137"/>
      <c r="E193" s="6037"/>
      <c r="F193" s="1094">
        <v>81.290000000000006</v>
      </c>
      <c r="G193" s="6037"/>
      <c r="H193" s="1094">
        <v>136.095</v>
      </c>
      <c r="I193" s="5991"/>
      <c r="J193" s="718">
        <f t="shared" si="260"/>
        <v>217.38499999999999</v>
      </c>
      <c r="K193" s="6037"/>
      <c r="L193" s="1094"/>
      <c r="M193" s="6019"/>
      <c r="N193" s="717">
        <f t="shared" si="253"/>
        <v>217.38499999999999</v>
      </c>
      <c r="O193" s="6037"/>
      <c r="P193" s="1094"/>
      <c r="Q193" s="5991"/>
      <c r="R193" s="718">
        <f t="shared" si="261"/>
        <v>217.38499999999999</v>
      </c>
      <c r="S193" s="6037"/>
      <c r="T193" s="1094"/>
      <c r="U193" s="5991"/>
      <c r="V193" s="718">
        <f t="shared" si="262"/>
        <v>217.38499999999999</v>
      </c>
      <c r="W193" s="6037"/>
      <c r="X193" s="1094"/>
      <c r="Y193" s="6019"/>
      <c r="Z193" s="6019">
        <f t="shared" si="254"/>
        <v>0</v>
      </c>
      <c r="AA193" s="6004"/>
      <c r="AB193" s="429">
        <f t="shared" si="255"/>
        <v>217.38499999999999</v>
      </c>
      <c r="AC193" s="6037"/>
      <c r="AD193" s="1094"/>
      <c r="AE193" s="5991"/>
      <c r="AF193" s="718">
        <f t="shared" si="263"/>
        <v>217.38499999999999</v>
      </c>
      <c r="AG193" s="6037"/>
      <c r="AH193" s="1094"/>
      <c r="AI193" s="5991"/>
      <c r="AJ193" s="718">
        <f t="shared" si="264"/>
        <v>217.38499999999999</v>
      </c>
      <c r="AK193" s="6037"/>
      <c r="AL193" s="1094"/>
      <c r="AM193" s="6019"/>
      <c r="AN193" s="717">
        <f t="shared" si="256"/>
        <v>0</v>
      </c>
      <c r="AO193" s="5991"/>
      <c r="AP193" s="718">
        <f t="shared" si="257"/>
        <v>217.38499999999999</v>
      </c>
      <c r="AQ193" s="6037"/>
      <c r="AR193" s="1094"/>
      <c r="AS193" s="5991"/>
      <c r="AT193" s="718">
        <f t="shared" si="265"/>
        <v>217.38499999999999</v>
      </c>
      <c r="AU193" s="6037"/>
      <c r="AV193" s="1094"/>
      <c r="AW193" s="5991"/>
      <c r="AX193" s="718">
        <f t="shared" si="266"/>
        <v>217.38499999999999</v>
      </c>
      <c r="AY193" s="6037"/>
      <c r="AZ193" s="1094"/>
      <c r="BA193" s="6019"/>
      <c r="BB193" s="717">
        <f t="shared" si="258"/>
        <v>0</v>
      </c>
      <c r="BC193" s="6004"/>
      <c r="BD193" s="429">
        <f t="shared" si="251"/>
        <v>0</v>
      </c>
      <c r="BE193" s="5991"/>
      <c r="BF193" s="718">
        <f t="shared" si="252"/>
        <v>217.38499999999999</v>
      </c>
    </row>
    <row r="194" spans="1:58" ht="15.75" customHeight="1" x14ac:dyDescent="0.3">
      <c r="A194" s="88"/>
      <c r="B194" s="3164" t="s">
        <v>828</v>
      </c>
      <c r="C194" s="3166" t="s">
        <v>837</v>
      </c>
      <c r="D194" s="3167"/>
      <c r="E194" s="6037"/>
      <c r="F194" s="2348"/>
      <c r="G194" s="6037"/>
      <c r="H194" s="2348"/>
      <c r="I194" s="5991"/>
      <c r="J194" s="718">
        <f t="shared" si="260"/>
        <v>0</v>
      </c>
      <c r="K194" s="6037"/>
      <c r="L194" s="2348"/>
      <c r="M194" s="6019"/>
      <c r="N194" s="717">
        <f t="shared" si="253"/>
        <v>0</v>
      </c>
      <c r="O194" s="6037"/>
      <c r="P194" s="2348"/>
      <c r="Q194" s="5991"/>
      <c r="R194" s="718">
        <f t="shared" si="261"/>
        <v>0</v>
      </c>
      <c r="S194" s="6037"/>
      <c r="T194" s="2348"/>
      <c r="U194" s="5991"/>
      <c r="V194" s="718">
        <f t="shared" si="262"/>
        <v>0</v>
      </c>
      <c r="W194" s="6037"/>
      <c r="X194" s="2348"/>
      <c r="Y194" s="6019"/>
      <c r="Z194" s="6019">
        <f t="shared" si="254"/>
        <v>0</v>
      </c>
      <c r="AA194" s="6004"/>
      <c r="AB194" s="429">
        <f t="shared" si="255"/>
        <v>0</v>
      </c>
      <c r="AC194" s="6037"/>
      <c r="AD194" s="2348"/>
      <c r="AE194" s="5991"/>
      <c r="AF194" s="718">
        <f t="shared" si="263"/>
        <v>0</v>
      </c>
      <c r="AG194" s="6037"/>
      <c r="AH194" s="2348"/>
      <c r="AI194" s="5991"/>
      <c r="AJ194" s="718">
        <f t="shared" si="264"/>
        <v>0</v>
      </c>
      <c r="AK194" s="6037"/>
      <c r="AL194" s="2348"/>
      <c r="AM194" s="6019"/>
      <c r="AN194" s="717">
        <f t="shared" si="256"/>
        <v>0</v>
      </c>
      <c r="AO194" s="5991"/>
      <c r="AP194" s="718">
        <f t="shared" si="257"/>
        <v>0</v>
      </c>
      <c r="AQ194" s="6037"/>
      <c r="AR194" s="2348"/>
      <c r="AS194" s="5991"/>
      <c r="AT194" s="718">
        <f t="shared" si="265"/>
        <v>0</v>
      </c>
      <c r="AU194" s="6037"/>
      <c r="AV194" s="2348"/>
      <c r="AW194" s="5991"/>
      <c r="AX194" s="718">
        <f t="shared" si="266"/>
        <v>0</v>
      </c>
      <c r="AY194" s="6037"/>
      <c r="AZ194" s="2348"/>
      <c r="BA194" s="6019"/>
      <c r="BB194" s="717">
        <f t="shared" si="258"/>
        <v>0</v>
      </c>
      <c r="BC194" s="6004"/>
      <c r="BD194" s="429">
        <f t="shared" si="251"/>
        <v>0</v>
      </c>
      <c r="BE194" s="5991"/>
      <c r="BF194" s="718">
        <f t="shared" si="252"/>
        <v>0</v>
      </c>
    </row>
    <row r="195" spans="1:58" ht="15.75" customHeight="1" x14ac:dyDescent="0.3">
      <c r="A195" s="142"/>
      <c r="B195" s="3164" t="s">
        <v>828</v>
      </c>
      <c r="C195" s="3157" t="s">
        <v>1232</v>
      </c>
      <c r="D195" s="3157"/>
      <c r="E195" s="6037"/>
      <c r="F195" s="1094"/>
      <c r="G195" s="6037"/>
      <c r="H195" s="1094">
        <v>32.058999999999997</v>
      </c>
      <c r="I195" s="5991"/>
      <c r="J195" s="718">
        <f t="shared" si="260"/>
        <v>32.058999999999997</v>
      </c>
      <c r="K195" s="6037"/>
      <c r="L195" s="1094"/>
      <c r="M195" s="6019"/>
      <c r="N195" s="717">
        <f t="shared" si="253"/>
        <v>32.058999999999997</v>
      </c>
      <c r="O195" s="6037"/>
      <c r="P195" s="1094"/>
      <c r="Q195" s="5991"/>
      <c r="R195" s="718">
        <f t="shared" si="261"/>
        <v>32.058999999999997</v>
      </c>
      <c r="S195" s="6037"/>
      <c r="T195" s="1094"/>
      <c r="U195" s="5991"/>
      <c r="V195" s="718">
        <f t="shared" si="262"/>
        <v>32.058999999999997</v>
      </c>
      <c r="W195" s="6037"/>
      <c r="X195" s="1094"/>
      <c r="Y195" s="6019"/>
      <c r="Z195" s="6019">
        <f t="shared" si="254"/>
        <v>0</v>
      </c>
      <c r="AA195" s="6004"/>
      <c r="AB195" s="429">
        <f t="shared" si="255"/>
        <v>32.058999999999997</v>
      </c>
      <c r="AC195" s="6037"/>
      <c r="AD195" s="1094"/>
      <c r="AE195" s="5991"/>
      <c r="AF195" s="718">
        <f t="shared" si="263"/>
        <v>32.058999999999997</v>
      </c>
      <c r="AG195" s="6037"/>
      <c r="AH195" s="1094"/>
      <c r="AI195" s="5991"/>
      <c r="AJ195" s="718">
        <f t="shared" si="264"/>
        <v>32.058999999999997</v>
      </c>
      <c r="AK195" s="6037"/>
      <c r="AL195" s="1094"/>
      <c r="AM195" s="6019"/>
      <c r="AN195" s="717">
        <f t="shared" si="256"/>
        <v>0</v>
      </c>
      <c r="AO195" s="5991"/>
      <c r="AP195" s="718">
        <f t="shared" si="257"/>
        <v>32.058999999999997</v>
      </c>
      <c r="AQ195" s="6037"/>
      <c r="AR195" s="1094"/>
      <c r="AS195" s="5991"/>
      <c r="AT195" s="718">
        <f t="shared" si="265"/>
        <v>32.058999999999997</v>
      </c>
      <c r="AU195" s="6037"/>
      <c r="AV195" s="1094"/>
      <c r="AW195" s="5991"/>
      <c r="AX195" s="718">
        <f t="shared" si="266"/>
        <v>32.058999999999997</v>
      </c>
      <c r="AY195" s="6037"/>
      <c r="AZ195" s="1094"/>
      <c r="BA195" s="6019"/>
      <c r="BB195" s="717">
        <f t="shared" si="258"/>
        <v>0</v>
      </c>
      <c r="BC195" s="6004"/>
      <c r="BD195" s="429">
        <f t="shared" si="251"/>
        <v>0</v>
      </c>
      <c r="BE195" s="5991"/>
      <c r="BF195" s="718">
        <f t="shared" si="252"/>
        <v>32.058999999999997</v>
      </c>
    </row>
    <row r="196" spans="1:58" x14ac:dyDescent="0.3">
      <c r="A196" s="142"/>
      <c r="B196" s="3164" t="s">
        <v>828</v>
      </c>
      <c r="C196" s="3166" t="s">
        <v>1102</v>
      </c>
      <c r="D196" s="3166"/>
      <c r="E196" s="6037"/>
      <c r="F196" s="2348"/>
      <c r="G196" s="6037"/>
      <c r="H196" s="2348">
        <v>34.087000000000003</v>
      </c>
      <c r="I196" s="5991"/>
      <c r="J196" s="718">
        <f t="shared" si="260"/>
        <v>34.087000000000003</v>
      </c>
      <c r="K196" s="6037"/>
      <c r="L196" s="2348"/>
      <c r="M196" s="6019"/>
      <c r="N196" s="717">
        <f t="shared" si="253"/>
        <v>34.087000000000003</v>
      </c>
      <c r="O196" s="6037"/>
      <c r="P196" s="2348"/>
      <c r="Q196" s="5991"/>
      <c r="R196" s="718">
        <f t="shared" si="261"/>
        <v>34.087000000000003</v>
      </c>
      <c r="S196" s="6037"/>
      <c r="T196" s="2348"/>
      <c r="U196" s="5991"/>
      <c r="V196" s="718">
        <f t="shared" si="262"/>
        <v>34.087000000000003</v>
      </c>
      <c r="W196" s="6037"/>
      <c r="X196" s="2348"/>
      <c r="Y196" s="6019"/>
      <c r="Z196" s="6019">
        <f t="shared" si="254"/>
        <v>0</v>
      </c>
      <c r="AA196" s="6004"/>
      <c r="AB196" s="429">
        <f t="shared" si="255"/>
        <v>34.087000000000003</v>
      </c>
      <c r="AC196" s="6037"/>
      <c r="AD196" s="2348"/>
      <c r="AE196" s="5991"/>
      <c r="AF196" s="718">
        <f t="shared" si="263"/>
        <v>34.087000000000003</v>
      </c>
      <c r="AG196" s="6037"/>
      <c r="AH196" s="2348"/>
      <c r="AI196" s="5991"/>
      <c r="AJ196" s="718">
        <f t="shared" si="264"/>
        <v>34.087000000000003</v>
      </c>
      <c r="AK196" s="6037"/>
      <c r="AL196" s="2348"/>
      <c r="AM196" s="6019"/>
      <c r="AN196" s="717">
        <f t="shared" si="256"/>
        <v>0</v>
      </c>
      <c r="AO196" s="5991"/>
      <c r="AP196" s="718">
        <f t="shared" si="257"/>
        <v>34.087000000000003</v>
      </c>
      <c r="AQ196" s="6037"/>
      <c r="AR196" s="2348"/>
      <c r="AS196" s="5991"/>
      <c r="AT196" s="718">
        <f t="shared" si="265"/>
        <v>34.087000000000003</v>
      </c>
      <c r="AU196" s="6037"/>
      <c r="AV196" s="2348"/>
      <c r="AW196" s="5991"/>
      <c r="AX196" s="718">
        <f t="shared" si="266"/>
        <v>34.087000000000003</v>
      </c>
      <c r="AY196" s="6037"/>
      <c r="AZ196" s="2348"/>
      <c r="BA196" s="6019"/>
      <c r="BB196" s="717">
        <f t="shared" si="258"/>
        <v>0</v>
      </c>
      <c r="BC196" s="6004"/>
      <c r="BD196" s="429">
        <f t="shared" si="251"/>
        <v>0</v>
      </c>
      <c r="BE196" s="5991"/>
      <c r="BF196" s="718">
        <f t="shared" si="252"/>
        <v>34.087000000000003</v>
      </c>
    </row>
    <row r="197" spans="1:58" x14ac:dyDescent="0.3">
      <c r="A197" s="142"/>
      <c r="B197" s="3164" t="s">
        <v>828</v>
      </c>
      <c r="C197" s="3157" t="s">
        <v>1103</v>
      </c>
      <c r="D197" s="3157"/>
      <c r="E197" s="6037"/>
      <c r="F197" s="1094">
        <v>1851.02</v>
      </c>
      <c r="G197" s="6037"/>
      <c r="H197" s="1094">
        <v>73.949999999999989</v>
      </c>
      <c r="I197" s="5991"/>
      <c r="J197" s="718">
        <f t="shared" si="260"/>
        <v>1924.97</v>
      </c>
      <c r="K197" s="6037"/>
      <c r="L197" s="1094"/>
      <c r="M197" s="6019"/>
      <c r="N197" s="717">
        <f t="shared" si="253"/>
        <v>1924.97</v>
      </c>
      <c r="O197" s="6037"/>
      <c r="P197" s="1094"/>
      <c r="Q197" s="5991"/>
      <c r="R197" s="718">
        <f t="shared" si="261"/>
        <v>1924.97</v>
      </c>
      <c r="S197" s="6037"/>
      <c r="T197" s="1094"/>
      <c r="U197" s="5991"/>
      <c r="V197" s="718">
        <f t="shared" si="262"/>
        <v>1924.97</v>
      </c>
      <c r="W197" s="6037"/>
      <c r="X197" s="1094"/>
      <c r="Y197" s="6019"/>
      <c r="Z197" s="6019">
        <f t="shared" si="254"/>
        <v>0</v>
      </c>
      <c r="AA197" s="6004"/>
      <c r="AB197" s="429">
        <f t="shared" si="255"/>
        <v>1924.97</v>
      </c>
      <c r="AC197" s="6037"/>
      <c r="AD197" s="1094"/>
      <c r="AE197" s="5991"/>
      <c r="AF197" s="718">
        <f t="shared" si="263"/>
        <v>1924.97</v>
      </c>
      <c r="AG197" s="6037"/>
      <c r="AH197" s="1094"/>
      <c r="AI197" s="5991"/>
      <c r="AJ197" s="718">
        <f t="shared" si="264"/>
        <v>1924.97</v>
      </c>
      <c r="AK197" s="6037"/>
      <c r="AL197" s="1094"/>
      <c r="AM197" s="6019"/>
      <c r="AN197" s="717">
        <f t="shared" si="256"/>
        <v>0</v>
      </c>
      <c r="AO197" s="5991"/>
      <c r="AP197" s="718">
        <f t="shared" si="257"/>
        <v>1924.97</v>
      </c>
      <c r="AQ197" s="6037"/>
      <c r="AR197" s="1094"/>
      <c r="AS197" s="5991"/>
      <c r="AT197" s="718">
        <f t="shared" si="265"/>
        <v>1924.97</v>
      </c>
      <c r="AU197" s="6037"/>
      <c r="AV197" s="1094"/>
      <c r="AW197" s="5991"/>
      <c r="AX197" s="718">
        <f t="shared" si="266"/>
        <v>1924.97</v>
      </c>
      <c r="AY197" s="6037"/>
      <c r="AZ197" s="1094"/>
      <c r="BA197" s="6019"/>
      <c r="BB197" s="717">
        <f t="shared" si="258"/>
        <v>0</v>
      </c>
      <c r="BC197" s="6004"/>
      <c r="BD197" s="429">
        <f t="shared" si="251"/>
        <v>0</v>
      </c>
      <c r="BE197" s="5991"/>
      <c r="BF197" s="718">
        <f t="shared" si="252"/>
        <v>1924.97</v>
      </c>
    </row>
    <row r="198" spans="1:58" x14ac:dyDescent="0.3">
      <c r="A198" s="88"/>
      <c r="B198" s="3164" t="s">
        <v>828</v>
      </c>
      <c r="C198" s="3157" t="s">
        <v>864</v>
      </c>
      <c r="D198" s="146"/>
      <c r="E198" s="6037"/>
      <c r="F198" s="1094">
        <v>230.96</v>
      </c>
      <c r="G198" s="6037"/>
      <c r="H198" s="1094">
        <v>734.93499999999995</v>
      </c>
      <c r="I198" s="5991"/>
      <c r="J198" s="718">
        <f t="shared" si="260"/>
        <v>965.89499999999998</v>
      </c>
      <c r="K198" s="6037"/>
      <c r="L198" s="1094"/>
      <c r="M198" s="6019"/>
      <c r="N198" s="717">
        <f t="shared" si="253"/>
        <v>965.89499999999998</v>
      </c>
      <c r="O198" s="6037"/>
      <c r="P198" s="1094"/>
      <c r="Q198" s="5991"/>
      <c r="R198" s="718">
        <f t="shared" si="261"/>
        <v>965.89499999999998</v>
      </c>
      <c r="S198" s="6037"/>
      <c r="T198" s="1094"/>
      <c r="U198" s="5991"/>
      <c r="V198" s="718">
        <f t="shared" si="262"/>
        <v>965.89499999999998</v>
      </c>
      <c r="W198" s="6037"/>
      <c r="X198" s="1094"/>
      <c r="Y198" s="6019"/>
      <c r="Z198" s="6019">
        <f t="shared" si="254"/>
        <v>0</v>
      </c>
      <c r="AA198" s="6004"/>
      <c r="AB198" s="429">
        <f t="shared" ref="AB198:AB229" si="267">X198+V198</f>
        <v>965.89499999999998</v>
      </c>
      <c r="AC198" s="6037"/>
      <c r="AD198" s="1094"/>
      <c r="AE198" s="5991"/>
      <c r="AF198" s="718">
        <f t="shared" si="263"/>
        <v>965.89499999999998</v>
      </c>
      <c r="AG198" s="6037"/>
      <c r="AH198" s="1094"/>
      <c r="AI198" s="5991"/>
      <c r="AJ198" s="718">
        <f t="shared" si="264"/>
        <v>965.89499999999998</v>
      </c>
      <c r="AK198" s="6037"/>
      <c r="AL198" s="1094"/>
      <c r="AM198" s="6019"/>
      <c r="AN198" s="717">
        <f t="shared" si="256"/>
        <v>0</v>
      </c>
      <c r="AO198" s="5991"/>
      <c r="AP198" s="718">
        <f t="shared" ref="AP198:AP229" si="268">AL198+AJ198</f>
        <v>965.89499999999998</v>
      </c>
      <c r="AQ198" s="6037"/>
      <c r="AR198" s="1094"/>
      <c r="AS198" s="5991"/>
      <c r="AT198" s="718">
        <f t="shared" si="265"/>
        <v>965.89499999999998</v>
      </c>
      <c r="AU198" s="6037"/>
      <c r="AV198" s="1094"/>
      <c r="AW198" s="5991"/>
      <c r="AX198" s="718">
        <f t="shared" si="266"/>
        <v>965.89499999999998</v>
      </c>
      <c r="AY198" s="6037"/>
      <c r="AZ198" s="1094"/>
      <c r="BA198" s="6019"/>
      <c r="BB198" s="717">
        <f t="shared" si="258"/>
        <v>0</v>
      </c>
      <c r="BC198" s="6004"/>
      <c r="BD198" s="429">
        <f t="shared" si="251"/>
        <v>0</v>
      </c>
      <c r="BE198" s="5991"/>
      <c r="BF198" s="718">
        <f t="shared" si="252"/>
        <v>965.89499999999998</v>
      </c>
    </row>
    <row r="199" spans="1:58" x14ac:dyDescent="0.3">
      <c r="A199" s="88"/>
      <c r="B199" s="3164" t="s">
        <v>828</v>
      </c>
      <c r="C199" s="3157" t="s">
        <v>842</v>
      </c>
      <c r="D199" s="3137"/>
      <c r="E199" s="6037"/>
      <c r="F199" s="1094">
        <v>15427.87</v>
      </c>
      <c r="G199" s="6037"/>
      <c r="H199" s="1094">
        <v>447.95</v>
      </c>
      <c r="I199" s="5991"/>
      <c r="J199" s="718">
        <f t="shared" si="260"/>
        <v>15875.820000000002</v>
      </c>
      <c r="K199" s="6037"/>
      <c r="L199" s="1094"/>
      <c r="M199" s="6019"/>
      <c r="N199" s="717">
        <f t="shared" si="253"/>
        <v>15875.820000000002</v>
      </c>
      <c r="O199" s="6037"/>
      <c r="P199" s="1094"/>
      <c r="Q199" s="5991"/>
      <c r="R199" s="718">
        <f t="shared" si="261"/>
        <v>15875.820000000002</v>
      </c>
      <c r="S199" s="6037"/>
      <c r="T199" s="1094"/>
      <c r="U199" s="5991"/>
      <c r="V199" s="718">
        <f t="shared" si="262"/>
        <v>15875.820000000002</v>
      </c>
      <c r="W199" s="6037"/>
      <c r="X199" s="1094"/>
      <c r="Y199" s="6019"/>
      <c r="Z199" s="6019">
        <f t="shared" si="254"/>
        <v>0</v>
      </c>
      <c r="AA199" s="6004"/>
      <c r="AB199" s="429">
        <f t="shared" si="267"/>
        <v>15875.820000000002</v>
      </c>
      <c r="AC199" s="6037"/>
      <c r="AD199" s="1094"/>
      <c r="AE199" s="5991"/>
      <c r="AF199" s="718">
        <f t="shared" si="263"/>
        <v>15875.820000000002</v>
      </c>
      <c r="AG199" s="6037"/>
      <c r="AH199" s="1094"/>
      <c r="AI199" s="5991"/>
      <c r="AJ199" s="718">
        <f t="shared" si="264"/>
        <v>15875.820000000002</v>
      </c>
      <c r="AK199" s="6037"/>
      <c r="AL199" s="1094"/>
      <c r="AM199" s="6019"/>
      <c r="AN199" s="717">
        <f t="shared" si="256"/>
        <v>0</v>
      </c>
      <c r="AO199" s="5991"/>
      <c r="AP199" s="718">
        <f t="shared" si="268"/>
        <v>15875.820000000002</v>
      </c>
      <c r="AQ199" s="6037"/>
      <c r="AR199" s="1094"/>
      <c r="AS199" s="5991"/>
      <c r="AT199" s="718">
        <f t="shared" si="265"/>
        <v>15875.820000000002</v>
      </c>
      <c r="AU199" s="6037"/>
      <c r="AV199" s="1094"/>
      <c r="AW199" s="5991"/>
      <c r="AX199" s="718">
        <f t="shared" si="266"/>
        <v>15875.820000000002</v>
      </c>
      <c r="AY199" s="6037"/>
      <c r="AZ199" s="1094"/>
      <c r="BA199" s="6019"/>
      <c r="BB199" s="717">
        <f t="shared" si="258"/>
        <v>0</v>
      </c>
      <c r="BC199" s="6004"/>
      <c r="BD199" s="429">
        <f t="shared" si="251"/>
        <v>0</v>
      </c>
      <c r="BE199" s="5991"/>
      <c r="BF199" s="718">
        <f t="shared" si="252"/>
        <v>15875.820000000002</v>
      </c>
    </row>
    <row r="200" spans="1:58" ht="15" thickBot="1" x14ac:dyDescent="0.35">
      <c r="A200" s="88"/>
      <c r="B200" s="3164" t="s">
        <v>828</v>
      </c>
      <c r="C200" s="3157" t="s">
        <v>1106</v>
      </c>
      <c r="D200" s="3137"/>
      <c r="E200" s="6037"/>
      <c r="F200" s="1094">
        <v>1263.18</v>
      </c>
      <c r="G200" s="6037"/>
      <c r="H200" s="1094">
        <v>185.57</v>
      </c>
      <c r="I200" s="5991"/>
      <c r="J200" s="718">
        <f t="shared" si="260"/>
        <v>1448.75</v>
      </c>
      <c r="K200" s="6037"/>
      <c r="L200" s="1094"/>
      <c r="M200" s="6019"/>
      <c r="N200" s="717">
        <f t="shared" si="253"/>
        <v>1448.75</v>
      </c>
      <c r="O200" s="6037"/>
      <c r="P200" s="1094"/>
      <c r="Q200" s="5991"/>
      <c r="R200" s="718">
        <f t="shared" si="261"/>
        <v>1448.75</v>
      </c>
      <c r="S200" s="6037"/>
      <c r="T200" s="1094"/>
      <c r="U200" s="5991"/>
      <c r="V200" s="718">
        <f t="shared" si="262"/>
        <v>1448.75</v>
      </c>
      <c r="W200" s="6037"/>
      <c r="X200" s="1094"/>
      <c r="Y200" s="6019"/>
      <c r="Z200" s="6019">
        <f t="shared" si="254"/>
        <v>0</v>
      </c>
      <c r="AA200" s="6004"/>
      <c r="AB200" s="429">
        <f t="shared" si="267"/>
        <v>1448.75</v>
      </c>
      <c r="AC200" s="6037"/>
      <c r="AD200" s="1094"/>
      <c r="AE200" s="5991"/>
      <c r="AF200" s="718">
        <f t="shared" si="263"/>
        <v>1448.75</v>
      </c>
      <c r="AG200" s="6037"/>
      <c r="AH200" s="1094"/>
      <c r="AI200" s="5991"/>
      <c r="AJ200" s="718">
        <f t="shared" si="264"/>
        <v>1448.75</v>
      </c>
      <c r="AK200" s="6037"/>
      <c r="AL200" s="1094"/>
      <c r="AM200" s="6019"/>
      <c r="AN200" s="717">
        <f t="shared" si="256"/>
        <v>0</v>
      </c>
      <c r="AO200" s="5991"/>
      <c r="AP200" s="718">
        <f t="shared" si="268"/>
        <v>1448.75</v>
      </c>
      <c r="AQ200" s="6037"/>
      <c r="AR200" s="1094"/>
      <c r="AS200" s="5991"/>
      <c r="AT200" s="718">
        <f t="shared" si="265"/>
        <v>1448.75</v>
      </c>
      <c r="AU200" s="6037"/>
      <c r="AV200" s="1094"/>
      <c r="AW200" s="5991"/>
      <c r="AX200" s="718">
        <f t="shared" si="266"/>
        <v>1448.75</v>
      </c>
      <c r="AY200" s="6037"/>
      <c r="AZ200" s="1094"/>
      <c r="BA200" s="6019"/>
      <c r="BB200" s="717">
        <f t="shared" si="258"/>
        <v>0</v>
      </c>
      <c r="BC200" s="6004"/>
      <c r="BD200" s="429">
        <f t="shared" ref="BD200:BD263" si="269">+AN200+BB200</f>
        <v>0</v>
      </c>
      <c r="BE200" s="5991"/>
      <c r="BF200" s="718">
        <f t="shared" ref="BF200:BF263" si="270">+AB200+BD200</f>
        <v>1448.75</v>
      </c>
    </row>
    <row r="201" spans="1:58" ht="15.75" customHeight="1" x14ac:dyDescent="0.3">
      <c r="A201" s="88"/>
      <c r="B201" s="3161" t="s">
        <v>957</v>
      </c>
      <c r="C201" s="3156" t="s">
        <v>1102</v>
      </c>
      <c r="D201" s="3135"/>
      <c r="E201" s="6037"/>
      <c r="F201" s="145"/>
      <c r="G201" s="6037"/>
      <c r="H201" s="145">
        <v>6.399</v>
      </c>
      <c r="I201" s="5991"/>
      <c r="J201" s="718">
        <f t="shared" si="260"/>
        <v>6.399</v>
      </c>
      <c r="K201" s="6037"/>
      <c r="L201" s="145"/>
      <c r="M201" s="6019"/>
      <c r="N201" s="717">
        <f t="shared" si="253"/>
        <v>6.399</v>
      </c>
      <c r="O201" s="6037"/>
      <c r="P201" s="145"/>
      <c r="Q201" s="5991"/>
      <c r="R201" s="718">
        <f t="shared" si="261"/>
        <v>6.399</v>
      </c>
      <c r="S201" s="6037"/>
      <c r="T201" s="145"/>
      <c r="U201" s="5991"/>
      <c r="V201" s="718">
        <f t="shared" si="262"/>
        <v>6.399</v>
      </c>
      <c r="W201" s="6037"/>
      <c r="X201" s="145"/>
      <c r="Y201" s="6019"/>
      <c r="Z201" s="6019">
        <f t="shared" si="254"/>
        <v>0</v>
      </c>
      <c r="AA201" s="6004"/>
      <c r="AB201" s="429">
        <f t="shared" si="267"/>
        <v>6.399</v>
      </c>
      <c r="AC201" s="6037"/>
      <c r="AD201" s="145"/>
      <c r="AE201" s="5991"/>
      <c r="AF201" s="718">
        <f t="shared" si="263"/>
        <v>6.399</v>
      </c>
      <c r="AG201" s="6037"/>
      <c r="AH201" s="145"/>
      <c r="AI201" s="5991"/>
      <c r="AJ201" s="718">
        <f t="shared" si="264"/>
        <v>6.399</v>
      </c>
      <c r="AK201" s="6037"/>
      <c r="AL201" s="145"/>
      <c r="AM201" s="6019"/>
      <c r="AN201" s="717">
        <f t="shared" si="256"/>
        <v>0</v>
      </c>
      <c r="AO201" s="5991"/>
      <c r="AP201" s="718">
        <f t="shared" si="268"/>
        <v>6.399</v>
      </c>
      <c r="AQ201" s="6037"/>
      <c r="AR201" s="145"/>
      <c r="AS201" s="5991"/>
      <c r="AT201" s="718">
        <f t="shared" si="265"/>
        <v>6.399</v>
      </c>
      <c r="AU201" s="6037"/>
      <c r="AV201" s="145"/>
      <c r="AW201" s="5991"/>
      <c r="AX201" s="718">
        <f t="shared" si="266"/>
        <v>6.399</v>
      </c>
      <c r="AY201" s="6037"/>
      <c r="AZ201" s="145"/>
      <c r="BA201" s="6019"/>
      <c r="BB201" s="717">
        <f t="shared" si="258"/>
        <v>0</v>
      </c>
      <c r="BC201" s="6004"/>
      <c r="BD201" s="429">
        <f t="shared" si="269"/>
        <v>0</v>
      </c>
      <c r="BE201" s="5991"/>
      <c r="BF201" s="718">
        <f t="shared" si="270"/>
        <v>6.399</v>
      </c>
    </row>
    <row r="202" spans="1:58" ht="15.75" customHeight="1" x14ac:dyDescent="0.3">
      <c r="A202" s="88"/>
      <c r="B202" s="3164" t="s">
        <v>957</v>
      </c>
      <c r="C202" s="3157" t="s">
        <v>1099</v>
      </c>
      <c r="D202" s="3137"/>
      <c r="E202" s="6037"/>
      <c r="F202" s="1094"/>
      <c r="G202" s="6037"/>
      <c r="H202" s="1094">
        <v>17.073</v>
      </c>
      <c r="I202" s="5991"/>
      <c r="J202" s="718">
        <f t="shared" si="260"/>
        <v>17.073</v>
      </c>
      <c r="K202" s="6037"/>
      <c r="L202" s="1094"/>
      <c r="M202" s="6019"/>
      <c r="N202" s="717">
        <f t="shared" si="253"/>
        <v>17.073</v>
      </c>
      <c r="O202" s="6037"/>
      <c r="P202" s="1094"/>
      <c r="Q202" s="5991"/>
      <c r="R202" s="718">
        <f t="shared" si="261"/>
        <v>17.073</v>
      </c>
      <c r="S202" s="6037"/>
      <c r="T202" s="1094"/>
      <c r="U202" s="5991"/>
      <c r="V202" s="718">
        <f t="shared" si="262"/>
        <v>17.073</v>
      </c>
      <c r="W202" s="6037"/>
      <c r="X202" s="1094"/>
      <c r="Y202" s="6019"/>
      <c r="Z202" s="6019">
        <f t="shared" si="254"/>
        <v>0</v>
      </c>
      <c r="AA202" s="6004"/>
      <c r="AB202" s="429">
        <f t="shared" si="267"/>
        <v>17.073</v>
      </c>
      <c r="AC202" s="6037"/>
      <c r="AD202" s="1094"/>
      <c r="AE202" s="5991"/>
      <c r="AF202" s="718">
        <f t="shared" si="263"/>
        <v>17.073</v>
      </c>
      <c r="AG202" s="6037"/>
      <c r="AH202" s="1094"/>
      <c r="AI202" s="5991"/>
      <c r="AJ202" s="718">
        <f t="shared" si="264"/>
        <v>17.073</v>
      </c>
      <c r="AK202" s="6037"/>
      <c r="AL202" s="1094"/>
      <c r="AM202" s="6019"/>
      <c r="AN202" s="717">
        <f t="shared" si="256"/>
        <v>0</v>
      </c>
      <c r="AO202" s="5991"/>
      <c r="AP202" s="718">
        <f t="shared" si="268"/>
        <v>17.073</v>
      </c>
      <c r="AQ202" s="6037"/>
      <c r="AR202" s="1094"/>
      <c r="AS202" s="5991"/>
      <c r="AT202" s="718">
        <f t="shared" si="265"/>
        <v>17.073</v>
      </c>
      <c r="AU202" s="6037"/>
      <c r="AV202" s="1094"/>
      <c r="AW202" s="5991"/>
      <c r="AX202" s="718">
        <f t="shared" si="266"/>
        <v>17.073</v>
      </c>
      <c r="AY202" s="6037"/>
      <c r="AZ202" s="1094"/>
      <c r="BA202" s="6019"/>
      <c r="BB202" s="717">
        <f t="shared" si="258"/>
        <v>0</v>
      </c>
      <c r="BC202" s="6004"/>
      <c r="BD202" s="429">
        <f t="shared" si="269"/>
        <v>0</v>
      </c>
      <c r="BE202" s="5991"/>
      <c r="BF202" s="718">
        <f t="shared" si="270"/>
        <v>17.073</v>
      </c>
    </row>
    <row r="203" spans="1:58" ht="15.75" customHeight="1" x14ac:dyDescent="0.3">
      <c r="A203" s="88"/>
      <c r="B203" s="3164" t="s">
        <v>957</v>
      </c>
      <c r="C203" s="3157" t="s">
        <v>842</v>
      </c>
      <c r="D203" s="3137"/>
      <c r="E203" s="6037"/>
      <c r="F203" s="1094"/>
      <c r="G203" s="6037"/>
      <c r="H203" s="1094">
        <v>84.641999999999996</v>
      </c>
      <c r="I203" s="5991"/>
      <c r="J203" s="718">
        <f t="shared" si="260"/>
        <v>84.641999999999996</v>
      </c>
      <c r="K203" s="6037"/>
      <c r="L203" s="1094"/>
      <c r="M203" s="6019"/>
      <c r="N203" s="717">
        <f t="shared" si="253"/>
        <v>84.641999999999996</v>
      </c>
      <c r="O203" s="6037"/>
      <c r="P203" s="1094"/>
      <c r="Q203" s="5991"/>
      <c r="R203" s="718">
        <f t="shared" si="261"/>
        <v>84.641999999999996</v>
      </c>
      <c r="S203" s="6037"/>
      <c r="T203" s="1094"/>
      <c r="U203" s="5991"/>
      <c r="V203" s="718">
        <f t="shared" si="262"/>
        <v>84.641999999999996</v>
      </c>
      <c r="W203" s="6037"/>
      <c r="X203" s="1094"/>
      <c r="Y203" s="6019"/>
      <c r="Z203" s="6019">
        <f t="shared" si="254"/>
        <v>0</v>
      </c>
      <c r="AA203" s="6004"/>
      <c r="AB203" s="429">
        <f t="shared" si="267"/>
        <v>84.641999999999996</v>
      </c>
      <c r="AC203" s="6037"/>
      <c r="AD203" s="1094"/>
      <c r="AE203" s="5991"/>
      <c r="AF203" s="718">
        <f t="shared" si="263"/>
        <v>84.641999999999996</v>
      </c>
      <c r="AG203" s="6037"/>
      <c r="AH203" s="1094"/>
      <c r="AI203" s="5991"/>
      <c r="AJ203" s="718">
        <f t="shared" si="264"/>
        <v>84.641999999999996</v>
      </c>
      <c r="AK203" s="6037"/>
      <c r="AL203" s="1094"/>
      <c r="AM203" s="6019"/>
      <c r="AN203" s="717">
        <f t="shared" si="256"/>
        <v>0</v>
      </c>
      <c r="AO203" s="5991"/>
      <c r="AP203" s="718">
        <f t="shared" si="268"/>
        <v>84.641999999999996</v>
      </c>
      <c r="AQ203" s="6037"/>
      <c r="AR203" s="1094"/>
      <c r="AS203" s="5991"/>
      <c r="AT203" s="718">
        <f t="shared" si="265"/>
        <v>84.641999999999996</v>
      </c>
      <c r="AU203" s="6037"/>
      <c r="AV203" s="1094"/>
      <c r="AW203" s="5991"/>
      <c r="AX203" s="718">
        <f t="shared" si="266"/>
        <v>84.641999999999996</v>
      </c>
      <c r="AY203" s="6037"/>
      <c r="AZ203" s="1094"/>
      <c r="BA203" s="6019"/>
      <c r="BB203" s="717">
        <f t="shared" si="258"/>
        <v>0</v>
      </c>
      <c r="BC203" s="6004"/>
      <c r="BD203" s="429">
        <f t="shared" si="269"/>
        <v>0</v>
      </c>
      <c r="BE203" s="5991"/>
      <c r="BF203" s="718">
        <f t="shared" si="270"/>
        <v>84.641999999999996</v>
      </c>
    </row>
    <row r="204" spans="1:58" ht="15.75" customHeight="1" x14ac:dyDescent="0.3">
      <c r="A204" s="88"/>
      <c r="B204" s="3164" t="s">
        <v>957</v>
      </c>
      <c r="C204" s="4797" t="s">
        <v>1103</v>
      </c>
      <c r="D204" s="4806"/>
      <c r="E204" s="6037"/>
      <c r="F204" s="4657"/>
      <c r="G204" s="6037"/>
      <c r="H204" s="4657">
        <v>12.798999999999999</v>
      </c>
      <c r="I204" s="5991"/>
      <c r="J204" s="718">
        <f t="shared" si="260"/>
        <v>12.798999999999999</v>
      </c>
      <c r="K204" s="6037"/>
      <c r="L204" s="4657"/>
      <c r="M204" s="6019"/>
      <c r="N204" s="717">
        <f t="shared" si="253"/>
        <v>12.798999999999999</v>
      </c>
      <c r="O204" s="6037"/>
      <c r="P204" s="4657"/>
      <c r="Q204" s="5991"/>
      <c r="R204" s="718">
        <f t="shared" si="261"/>
        <v>12.798999999999999</v>
      </c>
      <c r="S204" s="6037"/>
      <c r="T204" s="4657"/>
      <c r="U204" s="5991"/>
      <c r="V204" s="718">
        <f t="shared" si="262"/>
        <v>12.798999999999999</v>
      </c>
      <c r="W204" s="6037"/>
      <c r="X204" s="4657"/>
      <c r="Y204" s="6019"/>
      <c r="Z204" s="6019">
        <f t="shared" si="254"/>
        <v>0</v>
      </c>
      <c r="AA204" s="6004"/>
      <c r="AB204" s="429">
        <f t="shared" si="267"/>
        <v>12.798999999999999</v>
      </c>
      <c r="AC204" s="6037"/>
      <c r="AD204" s="4657"/>
      <c r="AE204" s="5991"/>
      <c r="AF204" s="718">
        <f t="shared" si="263"/>
        <v>12.798999999999999</v>
      </c>
      <c r="AG204" s="6037"/>
      <c r="AH204" s="4657"/>
      <c r="AI204" s="5991"/>
      <c r="AJ204" s="718">
        <f t="shared" si="264"/>
        <v>12.798999999999999</v>
      </c>
      <c r="AK204" s="6037"/>
      <c r="AL204" s="4657"/>
      <c r="AM204" s="6019"/>
      <c r="AN204" s="717">
        <f t="shared" si="256"/>
        <v>0</v>
      </c>
      <c r="AO204" s="5991"/>
      <c r="AP204" s="718">
        <f t="shared" si="268"/>
        <v>12.798999999999999</v>
      </c>
      <c r="AQ204" s="6037"/>
      <c r="AR204" s="4657"/>
      <c r="AS204" s="5991"/>
      <c r="AT204" s="718">
        <f t="shared" si="265"/>
        <v>12.798999999999999</v>
      </c>
      <c r="AU204" s="6037"/>
      <c r="AV204" s="4657"/>
      <c r="AW204" s="5991"/>
      <c r="AX204" s="718">
        <f t="shared" si="266"/>
        <v>12.798999999999999</v>
      </c>
      <c r="AY204" s="6037"/>
      <c r="AZ204" s="4657"/>
      <c r="BA204" s="6019"/>
      <c r="BB204" s="717">
        <f t="shared" si="258"/>
        <v>0</v>
      </c>
      <c r="BC204" s="6004"/>
      <c r="BD204" s="429">
        <f t="shared" si="269"/>
        <v>0</v>
      </c>
      <c r="BE204" s="5991"/>
      <c r="BF204" s="718">
        <f t="shared" si="270"/>
        <v>12.798999999999999</v>
      </c>
    </row>
    <row r="205" spans="1:58" ht="15.75" customHeight="1" x14ac:dyDescent="0.3">
      <c r="A205" s="88"/>
      <c r="B205" s="3164" t="s">
        <v>957</v>
      </c>
      <c r="C205" s="3157" t="s">
        <v>864</v>
      </c>
      <c r="D205" s="3137"/>
      <c r="E205" s="6037"/>
      <c r="F205" s="1094"/>
      <c r="G205" s="6037"/>
      <c r="H205" s="1094">
        <v>46.727999999999987</v>
      </c>
      <c r="I205" s="5991"/>
      <c r="J205" s="718">
        <f t="shared" si="260"/>
        <v>46.727999999999987</v>
      </c>
      <c r="K205" s="6037"/>
      <c r="L205" s="1094"/>
      <c r="M205" s="6019"/>
      <c r="N205" s="717">
        <f t="shared" si="253"/>
        <v>46.727999999999987</v>
      </c>
      <c r="O205" s="6037"/>
      <c r="P205" s="1094"/>
      <c r="Q205" s="5991"/>
      <c r="R205" s="718">
        <f t="shared" si="261"/>
        <v>46.727999999999987</v>
      </c>
      <c r="S205" s="6037"/>
      <c r="T205" s="1094"/>
      <c r="U205" s="5991"/>
      <c r="V205" s="718">
        <f t="shared" si="262"/>
        <v>46.727999999999987</v>
      </c>
      <c r="W205" s="6037"/>
      <c r="X205" s="1094"/>
      <c r="Y205" s="6019"/>
      <c r="Z205" s="6019">
        <f t="shared" si="254"/>
        <v>0</v>
      </c>
      <c r="AA205" s="6004"/>
      <c r="AB205" s="429">
        <f t="shared" si="267"/>
        <v>46.727999999999987</v>
      </c>
      <c r="AC205" s="6037"/>
      <c r="AD205" s="1094"/>
      <c r="AE205" s="5991"/>
      <c r="AF205" s="718">
        <f t="shared" si="263"/>
        <v>46.727999999999987</v>
      </c>
      <c r="AG205" s="6037"/>
      <c r="AH205" s="1094"/>
      <c r="AI205" s="5991"/>
      <c r="AJ205" s="718">
        <f t="shared" si="264"/>
        <v>46.727999999999987</v>
      </c>
      <c r="AK205" s="6037"/>
      <c r="AL205" s="1094"/>
      <c r="AM205" s="6019"/>
      <c r="AN205" s="717">
        <f t="shared" si="256"/>
        <v>0</v>
      </c>
      <c r="AO205" s="5991"/>
      <c r="AP205" s="718">
        <f t="shared" si="268"/>
        <v>46.727999999999987</v>
      </c>
      <c r="AQ205" s="6037"/>
      <c r="AR205" s="1094"/>
      <c r="AS205" s="5991"/>
      <c r="AT205" s="718">
        <f t="shared" si="265"/>
        <v>46.727999999999987</v>
      </c>
      <c r="AU205" s="6037"/>
      <c r="AV205" s="1094"/>
      <c r="AW205" s="5991"/>
      <c r="AX205" s="718">
        <f t="shared" si="266"/>
        <v>46.727999999999987</v>
      </c>
      <c r="AY205" s="6037"/>
      <c r="AZ205" s="1094"/>
      <c r="BA205" s="6019"/>
      <c r="BB205" s="717">
        <f t="shared" si="258"/>
        <v>0</v>
      </c>
      <c r="BC205" s="6004"/>
      <c r="BD205" s="429">
        <f t="shared" si="269"/>
        <v>0</v>
      </c>
      <c r="BE205" s="5991"/>
      <c r="BF205" s="718">
        <f t="shared" si="270"/>
        <v>46.727999999999987</v>
      </c>
    </row>
    <row r="206" spans="1:58" ht="15.75" customHeight="1" x14ac:dyDescent="0.3">
      <c r="A206" s="88"/>
      <c r="B206" s="3164" t="s">
        <v>957</v>
      </c>
      <c r="C206" s="3157" t="s">
        <v>869</v>
      </c>
      <c r="D206" s="3137"/>
      <c r="E206" s="6037"/>
      <c r="F206" s="1094"/>
      <c r="G206" s="6037"/>
      <c r="H206" s="1094">
        <v>31.986999999999998</v>
      </c>
      <c r="I206" s="5991"/>
      <c r="J206" s="718">
        <f t="shared" si="260"/>
        <v>31.986999999999998</v>
      </c>
      <c r="K206" s="6037"/>
      <c r="L206" s="1094"/>
      <c r="M206" s="6019"/>
      <c r="N206" s="717">
        <f t="shared" si="253"/>
        <v>31.986999999999998</v>
      </c>
      <c r="O206" s="6037"/>
      <c r="P206" s="1094"/>
      <c r="Q206" s="5991"/>
      <c r="R206" s="718">
        <f t="shared" si="261"/>
        <v>31.986999999999998</v>
      </c>
      <c r="S206" s="6037"/>
      <c r="T206" s="1094"/>
      <c r="U206" s="5991"/>
      <c r="V206" s="718">
        <f t="shared" si="262"/>
        <v>31.986999999999998</v>
      </c>
      <c r="W206" s="6037"/>
      <c r="X206" s="1094"/>
      <c r="Y206" s="6019"/>
      <c r="Z206" s="6019">
        <f t="shared" si="254"/>
        <v>0</v>
      </c>
      <c r="AA206" s="6004"/>
      <c r="AB206" s="429">
        <f t="shared" si="267"/>
        <v>31.986999999999998</v>
      </c>
      <c r="AC206" s="6037"/>
      <c r="AD206" s="1094"/>
      <c r="AE206" s="5991"/>
      <c r="AF206" s="718">
        <f t="shared" si="263"/>
        <v>31.986999999999998</v>
      </c>
      <c r="AG206" s="6037"/>
      <c r="AH206" s="1094"/>
      <c r="AI206" s="5991"/>
      <c r="AJ206" s="718">
        <f t="shared" si="264"/>
        <v>31.986999999999998</v>
      </c>
      <c r="AK206" s="6037"/>
      <c r="AL206" s="1094"/>
      <c r="AM206" s="6019"/>
      <c r="AN206" s="717">
        <f t="shared" si="256"/>
        <v>0</v>
      </c>
      <c r="AO206" s="5991"/>
      <c r="AP206" s="718">
        <f t="shared" si="268"/>
        <v>31.986999999999998</v>
      </c>
      <c r="AQ206" s="6037"/>
      <c r="AR206" s="1094"/>
      <c r="AS206" s="5991"/>
      <c r="AT206" s="718">
        <f t="shared" si="265"/>
        <v>31.986999999999998</v>
      </c>
      <c r="AU206" s="6037"/>
      <c r="AV206" s="1094"/>
      <c r="AW206" s="5991"/>
      <c r="AX206" s="718">
        <f t="shared" si="266"/>
        <v>31.986999999999998</v>
      </c>
      <c r="AY206" s="6037"/>
      <c r="AZ206" s="1094"/>
      <c r="BA206" s="6019"/>
      <c r="BB206" s="717">
        <f t="shared" si="258"/>
        <v>0</v>
      </c>
      <c r="BC206" s="6004"/>
      <c r="BD206" s="429">
        <f t="shared" si="269"/>
        <v>0</v>
      </c>
      <c r="BE206" s="5991"/>
      <c r="BF206" s="718">
        <f t="shared" si="270"/>
        <v>31.986999999999998</v>
      </c>
    </row>
    <row r="207" spans="1:58" x14ac:dyDescent="0.3">
      <c r="A207" s="88"/>
      <c r="B207" s="3164" t="s">
        <v>957</v>
      </c>
      <c r="C207" s="3168" t="s">
        <v>905</v>
      </c>
      <c r="D207" s="3169"/>
      <c r="E207" s="6037"/>
      <c r="F207" s="2244"/>
      <c r="G207" s="6037"/>
      <c r="H207" s="2244"/>
      <c r="I207" s="5991"/>
      <c r="J207" s="718">
        <f t="shared" si="260"/>
        <v>0</v>
      </c>
      <c r="K207" s="6037"/>
      <c r="L207" s="2244"/>
      <c r="M207" s="6019"/>
      <c r="N207" s="717">
        <f t="shared" si="253"/>
        <v>0</v>
      </c>
      <c r="O207" s="6037"/>
      <c r="P207" s="2244"/>
      <c r="Q207" s="5991"/>
      <c r="R207" s="718">
        <f t="shared" si="261"/>
        <v>0</v>
      </c>
      <c r="S207" s="6037"/>
      <c r="T207" s="2244"/>
      <c r="U207" s="5991"/>
      <c r="V207" s="718">
        <f t="shared" si="262"/>
        <v>0</v>
      </c>
      <c r="W207" s="6037"/>
      <c r="X207" s="2244"/>
      <c r="Y207" s="6019"/>
      <c r="Z207" s="6019">
        <f t="shared" si="254"/>
        <v>0</v>
      </c>
      <c r="AA207" s="6004"/>
      <c r="AB207" s="429">
        <f t="shared" si="267"/>
        <v>0</v>
      </c>
      <c r="AC207" s="6037"/>
      <c r="AD207" s="2244"/>
      <c r="AE207" s="5991"/>
      <c r="AF207" s="718">
        <f t="shared" si="263"/>
        <v>0</v>
      </c>
      <c r="AG207" s="6037"/>
      <c r="AH207" s="2244"/>
      <c r="AI207" s="5991"/>
      <c r="AJ207" s="718">
        <f t="shared" si="264"/>
        <v>0</v>
      </c>
      <c r="AK207" s="6037"/>
      <c r="AL207" s="2244"/>
      <c r="AM207" s="6019"/>
      <c r="AN207" s="717">
        <f t="shared" si="256"/>
        <v>0</v>
      </c>
      <c r="AO207" s="5991"/>
      <c r="AP207" s="718">
        <f t="shared" si="268"/>
        <v>0</v>
      </c>
      <c r="AQ207" s="6037"/>
      <c r="AR207" s="2244"/>
      <c r="AS207" s="5991"/>
      <c r="AT207" s="718">
        <f t="shared" si="265"/>
        <v>0</v>
      </c>
      <c r="AU207" s="6037"/>
      <c r="AV207" s="2244"/>
      <c r="AW207" s="5991"/>
      <c r="AX207" s="718">
        <f t="shared" si="266"/>
        <v>0</v>
      </c>
      <c r="AY207" s="6037"/>
      <c r="AZ207" s="2244"/>
      <c r="BA207" s="6019"/>
      <c r="BB207" s="717">
        <f t="shared" si="258"/>
        <v>0</v>
      </c>
      <c r="BC207" s="6004"/>
      <c r="BD207" s="429">
        <f t="shared" si="269"/>
        <v>0</v>
      </c>
      <c r="BE207" s="5991"/>
      <c r="BF207" s="718">
        <f t="shared" si="270"/>
        <v>0</v>
      </c>
    </row>
    <row r="208" spans="1:58" ht="15.75" customHeight="1" x14ac:dyDescent="0.3">
      <c r="A208" s="88"/>
      <c r="B208" s="3164" t="s">
        <v>957</v>
      </c>
      <c r="C208" s="3157" t="s">
        <v>864</v>
      </c>
      <c r="D208" s="146"/>
      <c r="E208" s="6037"/>
      <c r="F208" s="1094"/>
      <c r="G208" s="6037"/>
      <c r="H208" s="1094">
        <v>1.714</v>
      </c>
      <c r="I208" s="5991"/>
      <c r="J208" s="718">
        <f t="shared" si="260"/>
        <v>1.714</v>
      </c>
      <c r="K208" s="6037"/>
      <c r="L208" s="1094"/>
      <c r="M208" s="6019"/>
      <c r="N208" s="717">
        <f t="shared" si="253"/>
        <v>1.714</v>
      </c>
      <c r="O208" s="6037"/>
      <c r="P208" s="1094"/>
      <c r="Q208" s="5991"/>
      <c r="R208" s="718">
        <f t="shared" si="261"/>
        <v>1.714</v>
      </c>
      <c r="S208" s="6037"/>
      <c r="T208" s="1094"/>
      <c r="U208" s="5991"/>
      <c r="V208" s="718">
        <f t="shared" si="262"/>
        <v>1.714</v>
      </c>
      <c r="W208" s="6037"/>
      <c r="X208" s="1094"/>
      <c r="Y208" s="6019"/>
      <c r="Z208" s="6019">
        <f t="shared" si="254"/>
        <v>0</v>
      </c>
      <c r="AA208" s="6004"/>
      <c r="AB208" s="429">
        <f t="shared" si="267"/>
        <v>1.714</v>
      </c>
      <c r="AC208" s="6037"/>
      <c r="AD208" s="1094"/>
      <c r="AE208" s="5991"/>
      <c r="AF208" s="718">
        <f t="shared" si="263"/>
        <v>1.714</v>
      </c>
      <c r="AG208" s="6037"/>
      <c r="AH208" s="1094"/>
      <c r="AI208" s="5991"/>
      <c r="AJ208" s="718">
        <f t="shared" si="264"/>
        <v>1.714</v>
      </c>
      <c r="AK208" s="6037"/>
      <c r="AL208" s="1094"/>
      <c r="AM208" s="6019"/>
      <c r="AN208" s="717">
        <f t="shared" si="256"/>
        <v>0</v>
      </c>
      <c r="AO208" s="5991"/>
      <c r="AP208" s="718">
        <f t="shared" si="268"/>
        <v>1.714</v>
      </c>
      <c r="AQ208" s="6037"/>
      <c r="AR208" s="1094"/>
      <c r="AS208" s="5991"/>
      <c r="AT208" s="718">
        <f t="shared" si="265"/>
        <v>1.714</v>
      </c>
      <c r="AU208" s="6037"/>
      <c r="AV208" s="1094"/>
      <c r="AW208" s="5991"/>
      <c r="AX208" s="718">
        <f t="shared" si="266"/>
        <v>1.714</v>
      </c>
      <c r="AY208" s="6037"/>
      <c r="AZ208" s="1094"/>
      <c r="BA208" s="6019"/>
      <c r="BB208" s="717">
        <f t="shared" si="258"/>
        <v>0</v>
      </c>
      <c r="BC208" s="6004"/>
      <c r="BD208" s="429">
        <f t="shared" si="269"/>
        <v>0</v>
      </c>
      <c r="BE208" s="5991"/>
      <c r="BF208" s="718">
        <f t="shared" si="270"/>
        <v>1.714</v>
      </c>
    </row>
    <row r="209" spans="1:58" ht="15.75" customHeight="1" x14ac:dyDescent="0.3">
      <c r="A209" s="88"/>
      <c r="B209" s="3164" t="s">
        <v>957</v>
      </c>
      <c r="C209" s="3157" t="s">
        <v>1103</v>
      </c>
      <c r="D209" s="146"/>
      <c r="E209" s="6037"/>
      <c r="F209" s="1094"/>
      <c r="G209" s="6037"/>
      <c r="H209" s="1094"/>
      <c r="I209" s="5991"/>
      <c r="J209" s="718">
        <f t="shared" si="260"/>
        <v>0</v>
      </c>
      <c r="K209" s="6037"/>
      <c r="L209" s="1094"/>
      <c r="M209" s="6019"/>
      <c r="N209" s="717">
        <f t="shared" si="253"/>
        <v>0</v>
      </c>
      <c r="O209" s="6037"/>
      <c r="P209" s="1094"/>
      <c r="Q209" s="5991"/>
      <c r="R209" s="718">
        <f t="shared" si="261"/>
        <v>0</v>
      </c>
      <c r="S209" s="6037"/>
      <c r="T209" s="1094"/>
      <c r="U209" s="5991"/>
      <c r="V209" s="718">
        <f t="shared" si="262"/>
        <v>0</v>
      </c>
      <c r="W209" s="6037"/>
      <c r="X209" s="1094"/>
      <c r="Y209" s="6019"/>
      <c r="Z209" s="6019">
        <f t="shared" si="254"/>
        <v>0</v>
      </c>
      <c r="AA209" s="6004"/>
      <c r="AB209" s="429">
        <f t="shared" si="267"/>
        <v>0</v>
      </c>
      <c r="AC209" s="6037"/>
      <c r="AD209" s="1094"/>
      <c r="AE209" s="5991"/>
      <c r="AF209" s="718">
        <f t="shared" si="263"/>
        <v>0</v>
      </c>
      <c r="AG209" s="6037"/>
      <c r="AH209" s="1094"/>
      <c r="AI209" s="5991"/>
      <c r="AJ209" s="718">
        <f t="shared" si="264"/>
        <v>0</v>
      </c>
      <c r="AK209" s="6037"/>
      <c r="AL209" s="1094"/>
      <c r="AM209" s="6019"/>
      <c r="AN209" s="717">
        <f t="shared" si="256"/>
        <v>0</v>
      </c>
      <c r="AO209" s="5991"/>
      <c r="AP209" s="718">
        <f t="shared" si="268"/>
        <v>0</v>
      </c>
      <c r="AQ209" s="6037"/>
      <c r="AR209" s="1094"/>
      <c r="AS209" s="5991"/>
      <c r="AT209" s="718">
        <f t="shared" si="265"/>
        <v>0</v>
      </c>
      <c r="AU209" s="6037"/>
      <c r="AV209" s="1094"/>
      <c r="AW209" s="5991"/>
      <c r="AX209" s="718">
        <f t="shared" si="266"/>
        <v>0</v>
      </c>
      <c r="AY209" s="6037"/>
      <c r="AZ209" s="1094"/>
      <c r="BA209" s="6019"/>
      <c r="BB209" s="717">
        <f t="shared" si="258"/>
        <v>0</v>
      </c>
      <c r="BC209" s="6004"/>
      <c r="BD209" s="429">
        <f t="shared" si="269"/>
        <v>0</v>
      </c>
      <c r="BE209" s="5991"/>
      <c r="BF209" s="718">
        <f t="shared" si="270"/>
        <v>0</v>
      </c>
    </row>
    <row r="210" spans="1:58" ht="15.75" customHeight="1" thickBot="1" x14ac:dyDescent="0.35">
      <c r="A210" s="88"/>
      <c r="B210" s="3165" t="s">
        <v>957</v>
      </c>
      <c r="C210" s="3160" t="s">
        <v>1106</v>
      </c>
      <c r="D210" s="821"/>
      <c r="E210" s="6037"/>
      <c r="F210" s="103"/>
      <c r="G210" s="6037"/>
      <c r="H210" s="103"/>
      <c r="I210" s="5991"/>
      <c r="J210" s="718">
        <f t="shared" si="260"/>
        <v>0</v>
      </c>
      <c r="K210" s="6037"/>
      <c r="L210" s="103"/>
      <c r="M210" s="6019"/>
      <c r="N210" s="717">
        <f t="shared" si="253"/>
        <v>0</v>
      </c>
      <c r="O210" s="6037"/>
      <c r="P210" s="103"/>
      <c r="Q210" s="5991"/>
      <c r="R210" s="718">
        <f t="shared" si="261"/>
        <v>0</v>
      </c>
      <c r="S210" s="6037"/>
      <c r="T210" s="103"/>
      <c r="U210" s="5991"/>
      <c r="V210" s="718">
        <f t="shared" si="262"/>
        <v>0</v>
      </c>
      <c r="W210" s="6037"/>
      <c r="X210" s="103"/>
      <c r="Y210" s="6019"/>
      <c r="Z210" s="6019">
        <f t="shared" si="254"/>
        <v>0</v>
      </c>
      <c r="AA210" s="6004"/>
      <c r="AB210" s="429">
        <f t="shared" si="267"/>
        <v>0</v>
      </c>
      <c r="AC210" s="6037"/>
      <c r="AD210" s="103"/>
      <c r="AE210" s="5991"/>
      <c r="AF210" s="718">
        <f t="shared" si="263"/>
        <v>0</v>
      </c>
      <c r="AG210" s="6037"/>
      <c r="AH210" s="103"/>
      <c r="AI210" s="5991"/>
      <c r="AJ210" s="718">
        <f t="shared" si="264"/>
        <v>0</v>
      </c>
      <c r="AK210" s="6037"/>
      <c r="AL210" s="103"/>
      <c r="AM210" s="6019"/>
      <c r="AN210" s="717">
        <f t="shared" si="256"/>
        <v>0</v>
      </c>
      <c r="AO210" s="5991"/>
      <c r="AP210" s="718">
        <f t="shared" si="268"/>
        <v>0</v>
      </c>
      <c r="AQ210" s="6037"/>
      <c r="AR210" s="103"/>
      <c r="AS210" s="5991"/>
      <c r="AT210" s="718">
        <f t="shared" si="265"/>
        <v>0</v>
      </c>
      <c r="AU210" s="6037"/>
      <c r="AV210" s="103"/>
      <c r="AW210" s="5991"/>
      <c r="AX210" s="718">
        <f t="shared" si="266"/>
        <v>0</v>
      </c>
      <c r="AY210" s="6037"/>
      <c r="AZ210" s="103"/>
      <c r="BA210" s="6019"/>
      <c r="BB210" s="717">
        <f t="shared" si="258"/>
        <v>0</v>
      </c>
      <c r="BC210" s="6004"/>
      <c r="BD210" s="429">
        <f t="shared" si="269"/>
        <v>0</v>
      </c>
      <c r="BE210" s="5991"/>
      <c r="BF210" s="718">
        <f t="shared" si="270"/>
        <v>0</v>
      </c>
    </row>
    <row r="211" spans="1:58" ht="15" thickBot="1" x14ac:dyDescent="0.35">
      <c r="A211" s="110"/>
      <c r="B211" s="3161" t="s">
        <v>829</v>
      </c>
      <c r="C211" s="3156" t="s">
        <v>1104</v>
      </c>
      <c r="D211" s="3135"/>
      <c r="E211" s="6037"/>
      <c r="F211" s="145">
        <v>1580.74</v>
      </c>
      <c r="G211" s="6037"/>
      <c r="H211" s="145">
        <v>854.25200000000007</v>
      </c>
      <c r="I211" s="5991"/>
      <c r="J211" s="718">
        <f t="shared" si="260"/>
        <v>2434.9920000000002</v>
      </c>
      <c r="K211" s="6037"/>
      <c r="L211" s="145"/>
      <c r="M211" s="6019"/>
      <c r="N211" s="717">
        <f t="shared" si="253"/>
        <v>2434.9920000000002</v>
      </c>
      <c r="O211" s="6037"/>
      <c r="P211" s="145"/>
      <c r="Q211" s="5991"/>
      <c r="R211" s="718">
        <f t="shared" si="261"/>
        <v>2434.9920000000002</v>
      </c>
      <c r="S211" s="6037"/>
      <c r="T211" s="145"/>
      <c r="U211" s="5991"/>
      <c r="V211" s="718">
        <f t="shared" si="262"/>
        <v>2434.9920000000002</v>
      </c>
      <c r="W211" s="6037"/>
      <c r="X211" s="145"/>
      <c r="Y211" s="6019"/>
      <c r="Z211" s="6019">
        <f t="shared" si="254"/>
        <v>0</v>
      </c>
      <c r="AA211" s="6004"/>
      <c r="AB211" s="429">
        <f t="shared" si="267"/>
        <v>2434.9920000000002</v>
      </c>
      <c r="AC211" s="6037"/>
      <c r="AD211" s="145"/>
      <c r="AE211" s="5991"/>
      <c r="AF211" s="718">
        <f t="shared" si="263"/>
        <v>2434.9920000000002</v>
      </c>
      <c r="AG211" s="6037"/>
      <c r="AH211" s="145"/>
      <c r="AI211" s="5991"/>
      <c r="AJ211" s="718">
        <f t="shared" si="264"/>
        <v>2434.9920000000002</v>
      </c>
      <c r="AK211" s="6037"/>
      <c r="AL211" s="145"/>
      <c r="AM211" s="6019"/>
      <c r="AN211" s="717">
        <f t="shared" si="256"/>
        <v>0</v>
      </c>
      <c r="AO211" s="5991"/>
      <c r="AP211" s="718">
        <f t="shared" si="268"/>
        <v>2434.9920000000002</v>
      </c>
      <c r="AQ211" s="6037"/>
      <c r="AR211" s="145"/>
      <c r="AS211" s="5991"/>
      <c r="AT211" s="718">
        <f t="shared" si="265"/>
        <v>2434.9920000000002</v>
      </c>
      <c r="AU211" s="6037"/>
      <c r="AV211" s="145"/>
      <c r="AW211" s="5991"/>
      <c r="AX211" s="718">
        <f t="shared" si="266"/>
        <v>2434.9920000000002</v>
      </c>
      <c r="AY211" s="6037"/>
      <c r="AZ211" s="145"/>
      <c r="BA211" s="6019"/>
      <c r="BB211" s="717">
        <f t="shared" si="258"/>
        <v>0</v>
      </c>
      <c r="BC211" s="6004"/>
      <c r="BD211" s="429">
        <f t="shared" si="269"/>
        <v>0</v>
      </c>
      <c r="BE211" s="5991"/>
      <c r="BF211" s="718">
        <f t="shared" si="270"/>
        <v>2434.9920000000002</v>
      </c>
    </row>
    <row r="212" spans="1:58" ht="15.75" customHeight="1" x14ac:dyDescent="0.3">
      <c r="A212" s="110"/>
      <c r="B212" s="3161" t="s">
        <v>829</v>
      </c>
      <c r="C212" s="3163" t="s">
        <v>1105</v>
      </c>
      <c r="D212" s="3145"/>
      <c r="E212" s="6037"/>
      <c r="F212" s="1095">
        <v>122.78</v>
      </c>
      <c r="G212" s="6037"/>
      <c r="H212" s="1095">
        <v>336.803</v>
      </c>
      <c r="I212" s="5991"/>
      <c r="J212" s="718">
        <f t="shared" si="260"/>
        <v>459.58299999999997</v>
      </c>
      <c r="K212" s="6037"/>
      <c r="L212" s="1095"/>
      <c r="M212" s="6019"/>
      <c r="N212" s="717">
        <f t="shared" si="253"/>
        <v>459.58299999999997</v>
      </c>
      <c r="O212" s="6037"/>
      <c r="P212" s="1095"/>
      <c r="Q212" s="5991"/>
      <c r="R212" s="718">
        <f t="shared" si="261"/>
        <v>459.58299999999997</v>
      </c>
      <c r="S212" s="6037"/>
      <c r="T212" s="1095"/>
      <c r="U212" s="5991"/>
      <c r="V212" s="718">
        <f t="shared" si="262"/>
        <v>459.58299999999997</v>
      </c>
      <c r="W212" s="6037"/>
      <c r="X212" s="1095"/>
      <c r="Y212" s="6019"/>
      <c r="Z212" s="6019">
        <f t="shared" si="254"/>
        <v>0</v>
      </c>
      <c r="AA212" s="6004"/>
      <c r="AB212" s="429">
        <f t="shared" si="267"/>
        <v>459.58299999999997</v>
      </c>
      <c r="AC212" s="6037"/>
      <c r="AD212" s="1095"/>
      <c r="AE212" s="5991"/>
      <c r="AF212" s="718">
        <f t="shared" si="263"/>
        <v>459.58299999999997</v>
      </c>
      <c r="AG212" s="6037"/>
      <c r="AH212" s="1095"/>
      <c r="AI212" s="5991"/>
      <c r="AJ212" s="718">
        <f t="shared" si="264"/>
        <v>459.58299999999997</v>
      </c>
      <c r="AK212" s="6037"/>
      <c r="AL212" s="1095"/>
      <c r="AM212" s="6019"/>
      <c r="AN212" s="717">
        <f t="shared" si="256"/>
        <v>0</v>
      </c>
      <c r="AO212" s="5991"/>
      <c r="AP212" s="718">
        <f t="shared" si="268"/>
        <v>459.58299999999997</v>
      </c>
      <c r="AQ212" s="6037"/>
      <c r="AR212" s="1095"/>
      <c r="AS212" s="5991"/>
      <c r="AT212" s="718">
        <f t="shared" si="265"/>
        <v>459.58299999999997</v>
      </c>
      <c r="AU212" s="6037"/>
      <c r="AV212" s="1095"/>
      <c r="AW212" s="5991"/>
      <c r="AX212" s="718">
        <f t="shared" si="266"/>
        <v>459.58299999999997</v>
      </c>
      <c r="AY212" s="6037"/>
      <c r="AZ212" s="1095"/>
      <c r="BA212" s="6019"/>
      <c r="BB212" s="717">
        <f t="shared" si="258"/>
        <v>0</v>
      </c>
      <c r="BC212" s="6004"/>
      <c r="BD212" s="429">
        <f t="shared" si="269"/>
        <v>0</v>
      </c>
      <c r="BE212" s="5991"/>
      <c r="BF212" s="718">
        <f t="shared" si="270"/>
        <v>459.58299999999997</v>
      </c>
    </row>
    <row r="213" spans="1:58" x14ac:dyDescent="0.3">
      <c r="A213" s="88"/>
      <c r="B213" s="3164" t="s">
        <v>829</v>
      </c>
      <c r="C213" s="3157" t="s">
        <v>841</v>
      </c>
      <c r="D213" s="3137"/>
      <c r="E213" s="6037"/>
      <c r="F213" s="1094">
        <v>409.32</v>
      </c>
      <c r="G213" s="6037"/>
      <c r="H213" s="1094">
        <v>1045.279</v>
      </c>
      <c r="I213" s="5991"/>
      <c r="J213" s="718">
        <f t="shared" si="260"/>
        <v>1454.5989999999999</v>
      </c>
      <c r="K213" s="6037"/>
      <c r="L213" s="1094"/>
      <c r="M213" s="6019"/>
      <c r="N213" s="717">
        <f t="shared" si="253"/>
        <v>1454.5989999999999</v>
      </c>
      <c r="O213" s="6037"/>
      <c r="P213" s="1094"/>
      <c r="Q213" s="5991"/>
      <c r="R213" s="718">
        <f t="shared" si="261"/>
        <v>1454.5989999999999</v>
      </c>
      <c r="S213" s="6037"/>
      <c r="T213" s="1094"/>
      <c r="U213" s="5991"/>
      <c r="V213" s="718">
        <f t="shared" si="262"/>
        <v>1454.5989999999999</v>
      </c>
      <c r="W213" s="6037"/>
      <c r="X213" s="1094"/>
      <c r="Y213" s="6019"/>
      <c r="Z213" s="6019">
        <f t="shared" si="254"/>
        <v>0</v>
      </c>
      <c r="AA213" s="6004"/>
      <c r="AB213" s="429">
        <f t="shared" si="267"/>
        <v>1454.5989999999999</v>
      </c>
      <c r="AC213" s="6037"/>
      <c r="AD213" s="1094"/>
      <c r="AE213" s="5991"/>
      <c r="AF213" s="718">
        <f t="shared" si="263"/>
        <v>1454.5989999999999</v>
      </c>
      <c r="AG213" s="6037"/>
      <c r="AH213" s="1094"/>
      <c r="AI213" s="5991"/>
      <c r="AJ213" s="718">
        <f t="shared" si="264"/>
        <v>1454.5989999999999</v>
      </c>
      <c r="AK213" s="6037"/>
      <c r="AL213" s="1094"/>
      <c r="AM213" s="6019"/>
      <c r="AN213" s="717">
        <f t="shared" si="256"/>
        <v>0</v>
      </c>
      <c r="AO213" s="5991"/>
      <c r="AP213" s="718">
        <f t="shared" si="268"/>
        <v>1454.5989999999999</v>
      </c>
      <c r="AQ213" s="6037"/>
      <c r="AR213" s="1094"/>
      <c r="AS213" s="5991"/>
      <c r="AT213" s="718">
        <f t="shared" si="265"/>
        <v>1454.5989999999999</v>
      </c>
      <c r="AU213" s="6037"/>
      <c r="AV213" s="1094"/>
      <c r="AW213" s="5991"/>
      <c r="AX213" s="718">
        <f t="shared" si="266"/>
        <v>1454.5989999999999</v>
      </c>
      <c r="AY213" s="6037"/>
      <c r="AZ213" s="1094"/>
      <c r="BA213" s="6019"/>
      <c r="BB213" s="717">
        <f t="shared" si="258"/>
        <v>0</v>
      </c>
      <c r="BC213" s="6004"/>
      <c r="BD213" s="429">
        <f t="shared" si="269"/>
        <v>0</v>
      </c>
      <c r="BE213" s="5991"/>
      <c r="BF213" s="718">
        <f t="shared" si="270"/>
        <v>1454.5989999999999</v>
      </c>
    </row>
    <row r="214" spans="1:58" x14ac:dyDescent="0.3">
      <c r="A214" s="88"/>
      <c r="B214" s="3164" t="s">
        <v>829</v>
      </c>
      <c r="C214" s="3157" t="s">
        <v>860</v>
      </c>
      <c r="D214" s="3167"/>
      <c r="E214" s="6037"/>
      <c r="F214" s="2348"/>
      <c r="G214" s="6037"/>
      <c r="H214" s="2348">
        <v>542.26800000000003</v>
      </c>
      <c r="I214" s="5991"/>
      <c r="J214" s="718">
        <f t="shared" si="260"/>
        <v>542.26800000000003</v>
      </c>
      <c r="K214" s="6037"/>
      <c r="L214" s="2348"/>
      <c r="M214" s="6019"/>
      <c r="N214" s="717">
        <f t="shared" si="253"/>
        <v>542.26800000000003</v>
      </c>
      <c r="O214" s="6037"/>
      <c r="P214" s="2348"/>
      <c r="Q214" s="5991"/>
      <c r="R214" s="718">
        <f t="shared" si="261"/>
        <v>542.26800000000003</v>
      </c>
      <c r="S214" s="6037"/>
      <c r="T214" s="2348"/>
      <c r="U214" s="5991"/>
      <c r="V214" s="718">
        <f t="shared" si="262"/>
        <v>542.26800000000003</v>
      </c>
      <c r="W214" s="6037"/>
      <c r="X214" s="2348"/>
      <c r="Y214" s="6019"/>
      <c r="Z214" s="6019">
        <f t="shared" si="254"/>
        <v>0</v>
      </c>
      <c r="AA214" s="6004"/>
      <c r="AB214" s="429">
        <f t="shared" si="267"/>
        <v>542.26800000000003</v>
      </c>
      <c r="AC214" s="6037"/>
      <c r="AD214" s="2348"/>
      <c r="AE214" s="5991"/>
      <c r="AF214" s="718">
        <f t="shared" si="263"/>
        <v>542.26800000000003</v>
      </c>
      <c r="AG214" s="6037"/>
      <c r="AH214" s="2348"/>
      <c r="AI214" s="5991"/>
      <c r="AJ214" s="718">
        <f t="shared" si="264"/>
        <v>542.26800000000003</v>
      </c>
      <c r="AK214" s="6037"/>
      <c r="AL214" s="2348"/>
      <c r="AM214" s="6019"/>
      <c r="AN214" s="717">
        <f t="shared" si="256"/>
        <v>0</v>
      </c>
      <c r="AO214" s="5991"/>
      <c r="AP214" s="718">
        <f t="shared" si="268"/>
        <v>542.26800000000003</v>
      </c>
      <c r="AQ214" s="6037"/>
      <c r="AR214" s="2348"/>
      <c r="AS214" s="5991"/>
      <c r="AT214" s="718">
        <f t="shared" si="265"/>
        <v>542.26800000000003</v>
      </c>
      <c r="AU214" s="6037"/>
      <c r="AV214" s="2348"/>
      <c r="AW214" s="5991"/>
      <c r="AX214" s="718">
        <f t="shared" si="266"/>
        <v>542.26800000000003</v>
      </c>
      <c r="AY214" s="6037"/>
      <c r="AZ214" s="2348"/>
      <c r="BA214" s="6019"/>
      <c r="BB214" s="717">
        <f t="shared" si="258"/>
        <v>0</v>
      </c>
      <c r="BC214" s="6004"/>
      <c r="BD214" s="429">
        <f t="shared" si="269"/>
        <v>0</v>
      </c>
      <c r="BE214" s="5991"/>
      <c r="BF214" s="718">
        <f t="shared" si="270"/>
        <v>542.26800000000003</v>
      </c>
    </row>
    <row r="215" spans="1:58" x14ac:dyDescent="0.3">
      <c r="A215" s="142"/>
      <c r="B215" s="3164" t="s">
        <v>829</v>
      </c>
      <c r="C215" s="3157" t="s">
        <v>951</v>
      </c>
      <c r="D215" s="3157"/>
      <c r="E215" s="6037"/>
      <c r="F215" s="1094"/>
      <c r="G215" s="6037"/>
      <c r="H215" s="1094">
        <v>668.12499999999989</v>
      </c>
      <c r="I215" s="5991"/>
      <c r="J215" s="718">
        <f t="shared" si="260"/>
        <v>668.12499999999989</v>
      </c>
      <c r="K215" s="6037"/>
      <c r="L215" s="1094"/>
      <c r="M215" s="6019"/>
      <c r="N215" s="717">
        <f t="shared" si="253"/>
        <v>668.12499999999989</v>
      </c>
      <c r="O215" s="6037"/>
      <c r="P215" s="1094"/>
      <c r="Q215" s="5991"/>
      <c r="R215" s="718">
        <f t="shared" si="261"/>
        <v>668.12499999999989</v>
      </c>
      <c r="S215" s="6037"/>
      <c r="T215" s="1094"/>
      <c r="U215" s="5991"/>
      <c r="V215" s="718">
        <f t="shared" si="262"/>
        <v>668.12499999999989</v>
      </c>
      <c r="W215" s="6037"/>
      <c r="X215" s="1094"/>
      <c r="Y215" s="6019"/>
      <c r="Z215" s="6019">
        <f t="shared" si="254"/>
        <v>0</v>
      </c>
      <c r="AA215" s="6004"/>
      <c r="AB215" s="429">
        <f t="shared" si="267"/>
        <v>668.12499999999989</v>
      </c>
      <c r="AC215" s="6037"/>
      <c r="AD215" s="1094"/>
      <c r="AE215" s="5991"/>
      <c r="AF215" s="718">
        <f t="shared" si="263"/>
        <v>668.12499999999989</v>
      </c>
      <c r="AG215" s="6037"/>
      <c r="AH215" s="1094"/>
      <c r="AI215" s="5991"/>
      <c r="AJ215" s="718">
        <f t="shared" si="264"/>
        <v>668.12499999999989</v>
      </c>
      <c r="AK215" s="6037"/>
      <c r="AL215" s="1094"/>
      <c r="AM215" s="6019"/>
      <c r="AN215" s="717">
        <f t="shared" si="256"/>
        <v>0</v>
      </c>
      <c r="AO215" s="5991"/>
      <c r="AP215" s="718">
        <f t="shared" si="268"/>
        <v>668.12499999999989</v>
      </c>
      <c r="AQ215" s="6037"/>
      <c r="AR215" s="1094"/>
      <c r="AS215" s="5991"/>
      <c r="AT215" s="718">
        <f t="shared" si="265"/>
        <v>668.12499999999989</v>
      </c>
      <c r="AU215" s="6037"/>
      <c r="AV215" s="1094"/>
      <c r="AW215" s="5991"/>
      <c r="AX215" s="718">
        <f t="shared" si="266"/>
        <v>668.12499999999989</v>
      </c>
      <c r="AY215" s="6037"/>
      <c r="AZ215" s="1094"/>
      <c r="BA215" s="6019"/>
      <c r="BB215" s="717">
        <f t="shared" si="258"/>
        <v>0</v>
      </c>
      <c r="BC215" s="6004"/>
      <c r="BD215" s="429">
        <f t="shared" si="269"/>
        <v>0</v>
      </c>
      <c r="BE215" s="5991"/>
      <c r="BF215" s="718">
        <f t="shared" si="270"/>
        <v>668.12499999999989</v>
      </c>
    </row>
    <row r="216" spans="1:58" ht="15.75" customHeight="1" x14ac:dyDescent="0.3">
      <c r="A216" s="88"/>
      <c r="B216" s="3164" t="s">
        <v>829</v>
      </c>
      <c r="C216" s="3157" t="s">
        <v>869</v>
      </c>
      <c r="D216" s="3137"/>
      <c r="E216" s="6037"/>
      <c r="F216" s="1094"/>
      <c r="G216" s="6037"/>
      <c r="H216" s="1094">
        <v>51.292999999999999</v>
      </c>
      <c r="I216" s="5991"/>
      <c r="J216" s="718">
        <f t="shared" si="260"/>
        <v>51.292999999999999</v>
      </c>
      <c r="K216" s="6037"/>
      <c r="L216" s="1094"/>
      <c r="M216" s="6019"/>
      <c r="N216" s="717">
        <f t="shared" si="253"/>
        <v>51.292999999999999</v>
      </c>
      <c r="O216" s="6037"/>
      <c r="P216" s="1094"/>
      <c r="Q216" s="5991"/>
      <c r="R216" s="718">
        <f t="shared" si="261"/>
        <v>51.292999999999999</v>
      </c>
      <c r="S216" s="6037"/>
      <c r="T216" s="1094"/>
      <c r="U216" s="5991"/>
      <c r="V216" s="718">
        <f t="shared" si="262"/>
        <v>51.292999999999999</v>
      </c>
      <c r="W216" s="6037"/>
      <c r="X216" s="1094"/>
      <c r="Y216" s="6019"/>
      <c r="Z216" s="6019">
        <f t="shared" si="254"/>
        <v>0</v>
      </c>
      <c r="AA216" s="6004"/>
      <c r="AB216" s="429">
        <f t="shared" si="267"/>
        <v>51.292999999999999</v>
      </c>
      <c r="AC216" s="6037"/>
      <c r="AD216" s="1094"/>
      <c r="AE216" s="5991"/>
      <c r="AF216" s="718">
        <f t="shared" si="263"/>
        <v>51.292999999999999</v>
      </c>
      <c r="AG216" s="6037"/>
      <c r="AH216" s="1094"/>
      <c r="AI216" s="5991"/>
      <c r="AJ216" s="718">
        <f t="shared" si="264"/>
        <v>51.292999999999999</v>
      </c>
      <c r="AK216" s="6037"/>
      <c r="AL216" s="1094"/>
      <c r="AM216" s="6019"/>
      <c r="AN216" s="717">
        <f t="shared" si="256"/>
        <v>0</v>
      </c>
      <c r="AO216" s="5991"/>
      <c r="AP216" s="718">
        <f t="shared" si="268"/>
        <v>51.292999999999999</v>
      </c>
      <c r="AQ216" s="6037"/>
      <c r="AR216" s="1094"/>
      <c r="AS216" s="5991"/>
      <c r="AT216" s="718">
        <f t="shared" si="265"/>
        <v>51.292999999999999</v>
      </c>
      <c r="AU216" s="6037"/>
      <c r="AV216" s="1094"/>
      <c r="AW216" s="5991"/>
      <c r="AX216" s="718">
        <f t="shared" si="266"/>
        <v>51.292999999999999</v>
      </c>
      <c r="AY216" s="6037"/>
      <c r="AZ216" s="1094"/>
      <c r="BA216" s="6019"/>
      <c r="BB216" s="717">
        <f t="shared" si="258"/>
        <v>0</v>
      </c>
      <c r="BC216" s="6004"/>
      <c r="BD216" s="429">
        <f t="shared" si="269"/>
        <v>0</v>
      </c>
      <c r="BE216" s="5991"/>
      <c r="BF216" s="718">
        <f t="shared" si="270"/>
        <v>51.292999999999999</v>
      </c>
    </row>
    <row r="217" spans="1:58" x14ac:dyDescent="0.3">
      <c r="A217" s="142"/>
      <c r="B217" s="3164" t="s">
        <v>829</v>
      </c>
      <c r="C217" s="3157" t="s">
        <v>1272</v>
      </c>
      <c r="D217" s="3157"/>
      <c r="E217" s="6037"/>
      <c r="F217" s="1094">
        <v>615.65</v>
      </c>
      <c r="G217" s="6037"/>
      <c r="H217" s="1094">
        <v>642.95499999999993</v>
      </c>
      <c r="I217" s="5991"/>
      <c r="J217" s="718">
        <f t="shared" si="260"/>
        <v>1258.605</v>
      </c>
      <c r="K217" s="6037"/>
      <c r="L217" s="1094"/>
      <c r="M217" s="6019"/>
      <c r="N217" s="717">
        <f t="shared" si="253"/>
        <v>1258.605</v>
      </c>
      <c r="O217" s="6037"/>
      <c r="P217" s="1094"/>
      <c r="Q217" s="5991"/>
      <c r="R217" s="718">
        <f t="shared" si="261"/>
        <v>1258.605</v>
      </c>
      <c r="S217" s="6037"/>
      <c r="T217" s="1094"/>
      <c r="U217" s="5991"/>
      <c r="V217" s="718">
        <f t="shared" si="262"/>
        <v>1258.605</v>
      </c>
      <c r="W217" s="6037"/>
      <c r="X217" s="1094"/>
      <c r="Y217" s="6019"/>
      <c r="Z217" s="6019">
        <f t="shared" si="254"/>
        <v>0</v>
      </c>
      <c r="AA217" s="6004"/>
      <c r="AB217" s="429">
        <f t="shared" si="267"/>
        <v>1258.605</v>
      </c>
      <c r="AC217" s="6037"/>
      <c r="AD217" s="1094"/>
      <c r="AE217" s="5991"/>
      <c r="AF217" s="718">
        <f t="shared" si="263"/>
        <v>1258.605</v>
      </c>
      <c r="AG217" s="6037"/>
      <c r="AH217" s="1094"/>
      <c r="AI217" s="5991"/>
      <c r="AJ217" s="718">
        <f t="shared" si="264"/>
        <v>1258.605</v>
      </c>
      <c r="AK217" s="6037"/>
      <c r="AL217" s="1094"/>
      <c r="AM217" s="6019"/>
      <c r="AN217" s="717">
        <f t="shared" si="256"/>
        <v>0</v>
      </c>
      <c r="AO217" s="5991"/>
      <c r="AP217" s="718">
        <f t="shared" si="268"/>
        <v>1258.605</v>
      </c>
      <c r="AQ217" s="6037"/>
      <c r="AR217" s="1094"/>
      <c r="AS217" s="5991"/>
      <c r="AT217" s="718">
        <f t="shared" si="265"/>
        <v>1258.605</v>
      </c>
      <c r="AU217" s="6037"/>
      <c r="AV217" s="1094"/>
      <c r="AW217" s="5991"/>
      <c r="AX217" s="718">
        <f t="shared" si="266"/>
        <v>1258.605</v>
      </c>
      <c r="AY217" s="6037"/>
      <c r="AZ217" s="1094"/>
      <c r="BA217" s="6019"/>
      <c r="BB217" s="717">
        <f t="shared" si="258"/>
        <v>0</v>
      </c>
      <c r="BC217" s="6004"/>
      <c r="BD217" s="429">
        <f t="shared" si="269"/>
        <v>0</v>
      </c>
      <c r="BE217" s="5991"/>
      <c r="BF217" s="718">
        <f t="shared" si="270"/>
        <v>1258.605</v>
      </c>
    </row>
    <row r="218" spans="1:58" x14ac:dyDescent="0.3">
      <c r="A218" s="88"/>
      <c r="B218" s="3164" t="s">
        <v>829</v>
      </c>
      <c r="C218" s="3157" t="s">
        <v>863</v>
      </c>
      <c r="D218" s="146"/>
      <c r="E218" s="6037"/>
      <c r="F218" s="1094"/>
      <c r="G218" s="6037"/>
      <c r="H218" s="1094">
        <v>284.75200000000001</v>
      </c>
      <c r="I218" s="5991"/>
      <c r="J218" s="718">
        <f t="shared" si="260"/>
        <v>284.75200000000001</v>
      </c>
      <c r="K218" s="6037"/>
      <c r="L218" s="1094"/>
      <c r="M218" s="6019"/>
      <c r="N218" s="717">
        <f t="shared" ref="N218:N287" si="271">J218+L218</f>
        <v>284.75200000000001</v>
      </c>
      <c r="O218" s="6037"/>
      <c r="P218" s="1094"/>
      <c r="Q218" s="5991"/>
      <c r="R218" s="718">
        <f t="shared" si="261"/>
        <v>284.75200000000001</v>
      </c>
      <c r="S218" s="6037"/>
      <c r="T218" s="1094"/>
      <c r="U218" s="5991"/>
      <c r="V218" s="718">
        <f t="shared" si="262"/>
        <v>284.75200000000001</v>
      </c>
      <c r="W218" s="6037"/>
      <c r="X218" s="1094"/>
      <c r="Y218" s="6019"/>
      <c r="Z218" s="6019">
        <f t="shared" si="254"/>
        <v>0</v>
      </c>
      <c r="AA218" s="6004"/>
      <c r="AB218" s="429">
        <f t="shared" si="267"/>
        <v>284.75200000000001</v>
      </c>
      <c r="AC218" s="6037"/>
      <c r="AD218" s="1094"/>
      <c r="AE218" s="5991"/>
      <c r="AF218" s="718">
        <f t="shared" si="263"/>
        <v>284.75200000000001</v>
      </c>
      <c r="AG218" s="6037"/>
      <c r="AH218" s="1094"/>
      <c r="AI218" s="5991"/>
      <c r="AJ218" s="718">
        <f t="shared" si="264"/>
        <v>284.75200000000001</v>
      </c>
      <c r="AK218" s="6037"/>
      <c r="AL218" s="1094"/>
      <c r="AM218" s="6019"/>
      <c r="AN218" s="717">
        <f t="shared" si="256"/>
        <v>0</v>
      </c>
      <c r="AO218" s="5991"/>
      <c r="AP218" s="718">
        <f t="shared" si="268"/>
        <v>284.75200000000001</v>
      </c>
      <c r="AQ218" s="6037"/>
      <c r="AR218" s="1094"/>
      <c r="AS218" s="5991"/>
      <c r="AT218" s="718">
        <f t="shared" si="265"/>
        <v>284.75200000000001</v>
      </c>
      <c r="AU218" s="6037"/>
      <c r="AV218" s="1094"/>
      <c r="AW218" s="5991"/>
      <c r="AX218" s="718">
        <f t="shared" si="266"/>
        <v>284.75200000000001</v>
      </c>
      <c r="AY218" s="6037"/>
      <c r="AZ218" s="1094"/>
      <c r="BA218" s="6019"/>
      <c r="BB218" s="717">
        <f t="shared" si="258"/>
        <v>0</v>
      </c>
      <c r="BC218" s="6004"/>
      <c r="BD218" s="429">
        <f t="shared" si="269"/>
        <v>0</v>
      </c>
      <c r="BE218" s="5991"/>
      <c r="BF218" s="718">
        <f t="shared" si="270"/>
        <v>284.75200000000001</v>
      </c>
    </row>
    <row r="219" spans="1:58" x14ac:dyDescent="0.3">
      <c r="A219" s="88"/>
      <c r="B219" s="3164" t="s">
        <v>829</v>
      </c>
      <c r="C219" s="3157" t="s">
        <v>905</v>
      </c>
      <c r="D219" s="3137"/>
      <c r="E219" s="6037"/>
      <c r="F219" s="1094"/>
      <c r="G219" s="6037"/>
      <c r="H219" s="1094">
        <v>189.33</v>
      </c>
      <c r="I219" s="5991"/>
      <c r="J219" s="718">
        <f t="shared" si="260"/>
        <v>189.33</v>
      </c>
      <c r="K219" s="6037"/>
      <c r="L219" s="1094"/>
      <c r="M219" s="6019"/>
      <c r="N219" s="717">
        <f t="shared" si="271"/>
        <v>189.33</v>
      </c>
      <c r="O219" s="6037"/>
      <c r="P219" s="1094"/>
      <c r="Q219" s="5991"/>
      <c r="R219" s="718">
        <f t="shared" si="261"/>
        <v>189.33</v>
      </c>
      <c r="S219" s="6037"/>
      <c r="T219" s="1094"/>
      <c r="U219" s="5991"/>
      <c r="V219" s="718">
        <f t="shared" si="262"/>
        <v>189.33</v>
      </c>
      <c r="W219" s="6037"/>
      <c r="X219" s="1094"/>
      <c r="Y219" s="6019"/>
      <c r="Z219" s="6019">
        <f t="shared" si="254"/>
        <v>0</v>
      </c>
      <c r="AA219" s="6004"/>
      <c r="AB219" s="429">
        <f t="shared" si="267"/>
        <v>189.33</v>
      </c>
      <c r="AC219" s="6037"/>
      <c r="AD219" s="1094"/>
      <c r="AE219" s="5991"/>
      <c r="AF219" s="718">
        <f t="shared" si="263"/>
        <v>189.33</v>
      </c>
      <c r="AG219" s="6037"/>
      <c r="AH219" s="1094"/>
      <c r="AI219" s="5991"/>
      <c r="AJ219" s="718">
        <f t="shared" si="264"/>
        <v>189.33</v>
      </c>
      <c r="AK219" s="6037"/>
      <c r="AL219" s="1094"/>
      <c r="AM219" s="6019"/>
      <c r="AN219" s="717">
        <f t="shared" si="256"/>
        <v>0</v>
      </c>
      <c r="AO219" s="5991"/>
      <c r="AP219" s="718">
        <f t="shared" si="268"/>
        <v>189.33</v>
      </c>
      <c r="AQ219" s="6037"/>
      <c r="AR219" s="1094"/>
      <c r="AS219" s="5991"/>
      <c r="AT219" s="718">
        <f t="shared" si="265"/>
        <v>189.33</v>
      </c>
      <c r="AU219" s="6037"/>
      <c r="AV219" s="1094"/>
      <c r="AW219" s="5991"/>
      <c r="AX219" s="718">
        <f t="shared" si="266"/>
        <v>189.33</v>
      </c>
      <c r="AY219" s="6037"/>
      <c r="AZ219" s="1094"/>
      <c r="BA219" s="6019"/>
      <c r="BB219" s="717">
        <f t="shared" si="258"/>
        <v>0</v>
      </c>
      <c r="BC219" s="6004"/>
      <c r="BD219" s="429">
        <f t="shared" si="269"/>
        <v>0</v>
      </c>
      <c r="BE219" s="5991"/>
      <c r="BF219" s="718">
        <f t="shared" si="270"/>
        <v>189.33</v>
      </c>
    </row>
    <row r="220" spans="1:58" ht="15.75" customHeight="1" x14ac:dyDescent="0.3">
      <c r="A220" s="88"/>
      <c r="B220" s="3164" t="s">
        <v>829</v>
      </c>
      <c r="C220" s="3157" t="s">
        <v>1447</v>
      </c>
      <c r="D220" s="3137"/>
      <c r="E220" s="6037"/>
      <c r="F220" s="1094"/>
      <c r="G220" s="6037"/>
      <c r="H220" s="1094"/>
      <c r="I220" s="5991"/>
      <c r="J220" s="718">
        <f t="shared" si="260"/>
        <v>0</v>
      </c>
      <c r="K220" s="6037"/>
      <c r="L220" s="1094"/>
      <c r="M220" s="6019"/>
      <c r="N220" s="717">
        <f t="shared" si="271"/>
        <v>0</v>
      </c>
      <c r="O220" s="6037"/>
      <c r="P220" s="1094"/>
      <c r="Q220" s="5991"/>
      <c r="R220" s="718">
        <f t="shared" si="261"/>
        <v>0</v>
      </c>
      <c r="S220" s="6037"/>
      <c r="T220" s="1094"/>
      <c r="U220" s="5991"/>
      <c r="V220" s="718">
        <f t="shared" si="262"/>
        <v>0</v>
      </c>
      <c r="W220" s="6037"/>
      <c r="X220" s="1094"/>
      <c r="Y220" s="6019"/>
      <c r="Z220" s="6019">
        <f t="shared" si="254"/>
        <v>0</v>
      </c>
      <c r="AA220" s="6004"/>
      <c r="AB220" s="429">
        <f t="shared" si="267"/>
        <v>0</v>
      </c>
      <c r="AC220" s="6037"/>
      <c r="AD220" s="1094"/>
      <c r="AE220" s="5991"/>
      <c r="AF220" s="718">
        <f t="shared" si="263"/>
        <v>0</v>
      </c>
      <c r="AG220" s="6037"/>
      <c r="AH220" s="1094"/>
      <c r="AI220" s="5991"/>
      <c r="AJ220" s="718">
        <f t="shared" si="264"/>
        <v>0</v>
      </c>
      <c r="AK220" s="6037"/>
      <c r="AL220" s="1094"/>
      <c r="AM220" s="6019"/>
      <c r="AN220" s="717">
        <f t="shared" si="256"/>
        <v>0</v>
      </c>
      <c r="AO220" s="5991"/>
      <c r="AP220" s="718">
        <f t="shared" si="268"/>
        <v>0</v>
      </c>
      <c r="AQ220" s="6037"/>
      <c r="AR220" s="1094"/>
      <c r="AS220" s="5991"/>
      <c r="AT220" s="718">
        <f t="shared" si="265"/>
        <v>0</v>
      </c>
      <c r="AU220" s="6037"/>
      <c r="AV220" s="1094"/>
      <c r="AW220" s="5991"/>
      <c r="AX220" s="718">
        <f t="shared" si="266"/>
        <v>0</v>
      </c>
      <c r="AY220" s="6037"/>
      <c r="AZ220" s="1094"/>
      <c r="BA220" s="6019"/>
      <c r="BB220" s="717">
        <f t="shared" si="258"/>
        <v>0</v>
      </c>
      <c r="BC220" s="6004"/>
      <c r="BD220" s="429">
        <f t="shared" si="269"/>
        <v>0</v>
      </c>
      <c r="BE220" s="5991"/>
      <c r="BF220" s="718">
        <f t="shared" si="270"/>
        <v>0</v>
      </c>
    </row>
    <row r="221" spans="1:58" ht="15.75" customHeight="1" x14ac:dyDescent="0.3">
      <c r="A221" s="88"/>
      <c r="B221" s="3164" t="s">
        <v>829</v>
      </c>
      <c r="C221" s="3157" t="s">
        <v>1388</v>
      </c>
      <c r="D221" s="3137"/>
      <c r="E221" s="6037"/>
      <c r="F221" s="1094"/>
      <c r="G221" s="6037"/>
      <c r="H221" s="1094"/>
      <c r="I221" s="5991"/>
      <c r="J221" s="718">
        <f t="shared" si="260"/>
        <v>0</v>
      </c>
      <c r="K221" s="6037"/>
      <c r="L221" s="1094"/>
      <c r="M221" s="6019"/>
      <c r="N221" s="717">
        <f t="shared" si="271"/>
        <v>0</v>
      </c>
      <c r="O221" s="6037"/>
      <c r="P221" s="1094"/>
      <c r="Q221" s="5991"/>
      <c r="R221" s="718">
        <f t="shared" si="261"/>
        <v>0</v>
      </c>
      <c r="S221" s="6037"/>
      <c r="T221" s="1094"/>
      <c r="U221" s="5991"/>
      <c r="V221" s="718">
        <f t="shared" si="262"/>
        <v>0</v>
      </c>
      <c r="W221" s="6037"/>
      <c r="X221" s="1094"/>
      <c r="Y221" s="6019"/>
      <c r="Z221" s="6019">
        <f t="shared" si="254"/>
        <v>0</v>
      </c>
      <c r="AA221" s="6004"/>
      <c r="AB221" s="429">
        <f t="shared" si="267"/>
        <v>0</v>
      </c>
      <c r="AC221" s="6037"/>
      <c r="AD221" s="1094"/>
      <c r="AE221" s="5991"/>
      <c r="AF221" s="718">
        <f t="shared" si="263"/>
        <v>0</v>
      </c>
      <c r="AG221" s="6037"/>
      <c r="AH221" s="1094"/>
      <c r="AI221" s="5991"/>
      <c r="AJ221" s="718">
        <f t="shared" si="264"/>
        <v>0</v>
      </c>
      <c r="AK221" s="6037"/>
      <c r="AL221" s="1094"/>
      <c r="AM221" s="6019"/>
      <c r="AN221" s="717">
        <f t="shared" si="256"/>
        <v>0</v>
      </c>
      <c r="AO221" s="5991"/>
      <c r="AP221" s="718">
        <f t="shared" si="268"/>
        <v>0</v>
      </c>
      <c r="AQ221" s="6037"/>
      <c r="AR221" s="1094"/>
      <c r="AS221" s="5991"/>
      <c r="AT221" s="718">
        <f t="shared" si="265"/>
        <v>0</v>
      </c>
      <c r="AU221" s="6037"/>
      <c r="AV221" s="1094"/>
      <c r="AW221" s="5991"/>
      <c r="AX221" s="718">
        <f t="shared" si="266"/>
        <v>0</v>
      </c>
      <c r="AY221" s="6037"/>
      <c r="AZ221" s="1094"/>
      <c r="BA221" s="6019"/>
      <c r="BB221" s="717">
        <f t="shared" si="258"/>
        <v>0</v>
      </c>
      <c r="BC221" s="6004"/>
      <c r="BD221" s="429">
        <f t="shared" si="269"/>
        <v>0</v>
      </c>
      <c r="BE221" s="5991"/>
      <c r="BF221" s="718">
        <f t="shared" si="270"/>
        <v>0</v>
      </c>
    </row>
    <row r="222" spans="1:58" ht="15.75" customHeight="1" x14ac:dyDescent="0.3">
      <c r="A222" s="88"/>
      <c r="B222" s="3164" t="s">
        <v>829</v>
      </c>
      <c r="C222" s="3157" t="s">
        <v>1446</v>
      </c>
      <c r="D222" s="3137"/>
      <c r="E222" s="6037"/>
      <c r="F222" s="1094"/>
      <c r="G222" s="6037"/>
      <c r="H222" s="1094"/>
      <c r="I222" s="5991"/>
      <c r="J222" s="718">
        <f t="shared" si="260"/>
        <v>0</v>
      </c>
      <c r="K222" s="6037"/>
      <c r="L222" s="1094"/>
      <c r="M222" s="6019"/>
      <c r="N222" s="717">
        <f t="shared" si="271"/>
        <v>0</v>
      </c>
      <c r="O222" s="6037"/>
      <c r="P222" s="1094"/>
      <c r="Q222" s="5991"/>
      <c r="R222" s="718">
        <f t="shared" si="261"/>
        <v>0</v>
      </c>
      <c r="S222" s="6037"/>
      <c r="T222" s="1094"/>
      <c r="U222" s="5991"/>
      <c r="V222" s="718">
        <f t="shared" si="262"/>
        <v>0</v>
      </c>
      <c r="W222" s="6037"/>
      <c r="X222" s="1094"/>
      <c r="Y222" s="6019"/>
      <c r="Z222" s="6019">
        <f t="shared" si="254"/>
        <v>0</v>
      </c>
      <c r="AA222" s="6004"/>
      <c r="AB222" s="429">
        <f t="shared" si="267"/>
        <v>0</v>
      </c>
      <c r="AC222" s="6037"/>
      <c r="AD222" s="1094"/>
      <c r="AE222" s="5991"/>
      <c r="AF222" s="718">
        <f t="shared" si="263"/>
        <v>0</v>
      </c>
      <c r="AG222" s="6037"/>
      <c r="AH222" s="1094"/>
      <c r="AI222" s="5991"/>
      <c r="AJ222" s="718">
        <f t="shared" si="264"/>
        <v>0</v>
      </c>
      <c r="AK222" s="6037"/>
      <c r="AL222" s="1094"/>
      <c r="AM222" s="6019"/>
      <c r="AN222" s="717">
        <f t="shared" si="256"/>
        <v>0</v>
      </c>
      <c r="AO222" s="5991"/>
      <c r="AP222" s="718">
        <f t="shared" si="268"/>
        <v>0</v>
      </c>
      <c r="AQ222" s="6037"/>
      <c r="AR222" s="1094"/>
      <c r="AS222" s="5991"/>
      <c r="AT222" s="718">
        <f t="shared" si="265"/>
        <v>0</v>
      </c>
      <c r="AU222" s="6037"/>
      <c r="AV222" s="1094"/>
      <c r="AW222" s="5991"/>
      <c r="AX222" s="718">
        <f t="shared" si="266"/>
        <v>0</v>
      </c>
      <c r="AY222" s="6037"/>
      <c r="AZ222" s="1094"/>
      <c r="BA222" s="6019"/>
      <c r="BB222" s="717">
        <f t="shared" si="258"/>
        <v>0</v>
      </c>
      <c r="BC222" s="6004"/>
      <c r="BD222" s="429">
        <f t="shared" si="269"/>
        <v>0</v>
      </c>
      <c r="BE222" s="5991"/>
      <c r="BF222" s="718">
        <f t="shared" si="270"/>
        <v>0</v>
      </c>
    </row>
    <row r="223" spans="1:58" x14ac:dyDescent="0.3">
      <c r="A223" s="88"/>
      <c r="B223" s="3164" t="s">
        <v>829</v>
      </c>
      <c r="C223" s="3157" t="s">
        <v>1102</v>
      </c>
      <c r="D223" s="146"/>
      <c r="E223" s="6037"/>
      <c r="F223" s="1094"/>
      <c r="G223" s="6037"/>
      <c r="H223" s="1094">
        <v>209.78399999999999</v>
      </c>
      <c r="I223" s="5991"/>
      <c r="J223" s="718">
        <f t="shared" si="260"/>
        <v>209.78399999999999</v>
      </c>
      <c r="K223" s="6037"/>
      <c r="L223" s="1094"/>
      <c r="M223" s="6019"/>
      <c r="N223" s="717">
        <f t="shared" si="271"/>
        <v>209.78399999999999</v>
      </c>
      <c r="O223" s="6037"/>
      <c r="P223" s="1094"/>
      <c r="Q223" s="5991"/>
      <c r="R223" s="718">
        <f t="shared" si="261"/>
        <v>209.78399999999999</v>
      </c>
      <c r="S223" s="6037"/>
      <c r="T223" s="1094"/>
      <c r="U223" s="5991"/>
      <c r="V223" s="718">
        <f t="shared" si="262"/>
        <v>209.78399999999999</v>
      </c>
      <c r="W223" s="6037"/>
      <c r="X223" s="1094"/>
      <c r="Y223" s="6019"/>
      <c r="Z223" s="6019">
        <f t="shared" si="254"/>
        <v>0</v>
      </c>
      <c r="AA223" s="6004"/>
      <c r="AB223" s="429">
        <f t="shared" si="267"/>
        <v>209.78399999999999</v>
      </c>
      <c r="AC223" s="6037"/>
      <c r="AD223" s="1094"/>
      <c r="AE223" s="5991"/>
      <c r="AF223" s="718">
        <f t="shared" si="263"/>
        <v>209.78399999999999</v>
      </c>
      <c r="AG223" s="6037"/>
      <c r="AH223" s="1094"/>
      <c r="AI223" s="5991"/>
      <c r="AJ223" s="718">
        <f t="shared" si="264"/>
        <v>209.78399999999999</v>
      </c>
      <c r="AK223" s="6037"/>
      <c r="AL223" s="1094"/>
      <c r="AM223" s="6019"/>
      <c r="AN223" s="717">
        <f t="shared" si="256"/>
        <v>0</v>
      </c>
      <c r="AO223" s="5991"/>
      <c r="AP223" s="718">
        <f t="shared" si="268"/>
        <v>209.78399999999999</v>
      </c>
      <c r="AQ223" s="6037"/>
      <c r="AR223" s="1094"/>
      <c r="AS223" s="5991"/>
      <c r="AT223" s="718">
        <f t="shared" si="265"/>
        <v>209.78399999999999</v>
      </c>
      <c r="AU223" s="6037"/>
      <c r="AV223" s="1094"/>
      <c r="AW223" s="5991"/>
      <c r="AX223" s="718">
        <f t="shared" si="266"/>
        <v>209.78399999999999</v>
      </c>
      <c r="AY223" s="6037"/>
      <c r="AZ223" s="1094"/>
      <c r="BA223" s="6019"/>
      <c r="BB223" s="717">
        <f t="shared" si="258"/>
        <v>0</v>
      </c>
      <c r="BC223" s="6004"/>
      <c r="BD223" s="429">
        <f t="shared" si="269"/>
        <v>0</v>
      </c>
      <c r="BE223" s="5991"/>
      <c r="BF223" s="718">
        <f t="shared" si="270"/>
        <v>209.78399999999999</v>
      </c>
    </row>
    <row r="224" spans="1:58" x14ac:dyDescent="0.3">
      <c r="A224" s="88"/>
      <c r="B224" s="3164" t="s">
        <v>829</v>
      </c>
      <c r="C224" s="3157" t="s">
        <v>864</v>
      </c>
      <c r="D224" s="146"/>
      <c r="E224" s="6037"/>
      <c r="F224" s="1094">
        <v>63.22</v>
      </c>
      <c r="G224" s="6037"/>
      <c r="H224" s="1094">
        <v>3266.1610000000001</v>
      </c>
      <c r="I224" s="5991"/>
      <c r="J224" s="718">
        <f t="shared" si="260"/>
        <v>3329.3809999999999</v>
      </c>
      <c r="K224" s="6037"/>
      <c r="L224" s="1094"/>
      <c r="M224" s="6019"/>
      <c r="N224" s="717">
        <f t="shared" si="271"/>
        <v>3329.3809999999999</v>
      </c>
      <c r="O224" s="6037"/>
      <c r="P224" s="1094"/>
      <c r="Q224" s="5991"/>
      <c r="R224" s="718">
        <f t="shared" si="261"/>
        <v>3329.3809999999999</v>
      </c>
      <c r="S224" s="6037"/>
      <c r="T224" s="1094"/>
      <c r="U224" s="5991"/>
      <c r="V224" s="718">
        <f t="shared" si="262"/>
        <v>3329.3809999999999</v>
      </c>
      <c r="W224" s="6037"/>
      <c r="X224" s="1094"/>
      <c r="Y224" s="6019"/>
      <c r="Z224" s="6019">
        <f t="shared" si="254"/>
        <v>0</v>
      </c>
      <c r="AA224" s="6004"/>
      <c r="AB224" s="429">
        <f t="shared" si="267"/>
        <v>3329.3809999999999</v>
      </c>
      <c r="AC224" s="6037"/>
      <c r="AD224" s="1094"/>
      <c r="AE224" s="5991"/>
      <c r="AF224" s="718">
        <f t="shared" si="263"/>
        <v>3329.3809999999999</v>
      </c>
      <c r="AG224" s="6037"/>
      <c r="AH224" s="1094"/>
      <c r="AI224" s="5991"/>
      <c r="AJ224" s="718">
        <f t="shared" si="264"/>
        <v>3329.3809999999999</v>
      </c>
      <c r="AK224" s="6037"/>
      <c r="AL224" s="1094"/>
      <c r="AM224" s="6019"/>
      <c r="AN224" s="717">
        <f t="shared" si="256"/>
        <v>0</v>
      </c>
      <c r="AO224" s="5991"/>
      <c r="AP224" s="718">
        <f t="shared" si="268"/>
        <v>3329.3809999999999</v>
      </c>
      <c r="AQ224" s="6037"/>
      <c r="AR224" s="1094"/>
      <c r="AS224" s="5991"/>
      <c r="AT224" s="718">
        <f t="shared" si="265"/>
        <v>3329.3809999999999</v>
      </c>
      <c r="AU224" s="6037"/>
      <c r="AV224" s="1094"/>
      <c r="AW224" s="5991"/>
      <c r="AX224" s="718">
        <f t="shared" si="266"/>
        <v>3329.3809999999999</v>
      </c>
      <c r="AY224" s="6037"/>
      <c r="AZ224" s="1094"/>
      <c r="BA224" s="6019"/>
      <c r="BB224" s="717">
        <f t="shared" si="258"/>
        <v>0</v>
      </c>
      <c r="BC224" s="6004"/>
      <c r="BD224" s="429">
        <f t="shared" si="269"/>
        <v>0</v>
      </c>
      <c r="BE224" s="5991"/>
      <c r="BF224" s="718">
        <f t="shared" si="270"/>
        <v>3329.3809999999999</v>
      </c>
    </row>
    <row r="225" spans="1:58" x14ac:dyDescent="0.3">
      <c r="A225" s="88"/>
      <c r="B225" s="3164" t="s">
        <v>829</v>
      </c>
      <c r="C225" s="3157" t="s">
        <v>1833</v>
      </c>
      <c r="D225" s="146"/>
      <c r="E225" s="6037"/>
      <c r="F225" s="1094"/>
      <c r="G225" s="6037"/>
      <c r="H225" s="1094"/>
      <c r="I225" s="5991"/>
      <c r="J225" s="718">
        <f t="shared" si="260"/>
        <v>0</v>
      </c>
      <c r="K225" s="6037"/>
      <c r="L225" s="1094"/>
      <c r="M225" s="6019"/>
      <c r="N225" s="717">
        <f t="shared" si="271"/>
        <v>0</v>
      </c>
      <c r="O225" s="6037"/>
      <c r="P225" s="1094"/>
      <c r="Q225" s="5991"/>
      <c r="R225" s="718">
        <f t="shared" si="261"/>
        <v>0</v>
      </c>
      <c r="S225" s="6037"/>
      <c r="T225" s="1094"/>
      <c r="U225" s="5991"/>
      <c r="V225" s="718">
        <f t="shared" si="262"/>
        <v>0</v>
      </c>
      <c r="W225" s="6037"/>
      <c r="X225" s="1094"/>
      <c r="Y225" s="6019"/>
      <c r="Z225" s="6019">
        <f t="shared" si="254"/>
        <v>0</v>
      </c>
      <c r="AA225" s="6004"/>
      <c r="AB225" s="429">
        <f t="shared" si="267"/>
        <v>0</v>
      </c>
      <c r="AC225" s="6037"/>
      <c r="AD225" s="1094"/>
      <c r="AE225" s="5991"/>
      <c r="AF225" s="718">
        <f t="shared" si="263"/>
        <v>0</v>
      </c>
      <c r="AG225" s="6037"/>
      <c r="AH225" s="1094"/>
      <c r="AI225" s="5991"/>
      <c r="AJ225" s="718">
        <f t="shared" si="264"/>
        <v>0</v>
      </c>
      <c r="AK225" s="6037"/>
      <c r="AL225" s="1094"/>
      <c r="AM225" s="6019"/>
      <c r="AN225" s="717">
        <f t="shared" si="256"/>
        <v>0</v>
      </c>
      <c r="AO225" s="5991"/>
      <c r="AP225" s="718">
        <f t="shared" si="268"/>
        <v>0</v>
      </c>
      <c r="AQ225" s="6037"/>
      <c r="AR225" s="1094"/>
      <c r="AS225" s="5991"/>
      <c r="AT225" s="718">
        <f t="shared" si="265"/>
        <v>0</v>
      </c>
      <c r="AU225" s="6037"/>
      <c r="AV225" s="1094"/>
      <c r="AW225" s="5991"/>
      <c r="AX225" s="718">
        <f t="shared" si="266"/>
        <v>0</v>
      </c>
      <c r="AY225" s="6037"/>
      <c r="AZ225" s="1094"/>
      <c r="BA225" s="6019"/>
      <c r="BB225" s="717">
        <f t="shared" si="258"/>
        <v>0</v>
      </c>
      <c r="BC225" s="6004"/>
      <c r="BD225" s="429">
        <f t="shared" si="269"/>
        <v>0</v>
      </c>
      <c r="BE225" s="5991"/>
      <c r="BF225" s="718">
        <f t="shared" si="270"/>
        <v>0</v>
      </c>
    </row>
    <row r="226" spans="1:58" ht="15.75" customHeight="1" x14ac:dyDescent="0.3">
      <c r="A226" s="88"/>
      <c r="B226" s="3164" t="s">
        <v>829</v>
      </c>
      <c r="C226" s="3157" t="s">
        <v>1099</v>
      </c>
      <c r="D226" s="3137"/>
      <c r="E226" s="6037"/>
      <c r="F226" s="1094"/>
      <c r="G226" s="6037"/>
      <c r="H226" s="1094">
        <v>20.86</v>
      </c>
      <c r="I226" s="5991"/>
      <c r="J226" s="718">
        <f t="shared" si="260"/>
        <v>20.86</v>
      </c>
      <c r="K226" s="6037"/>
      <c r="L226" s="1094"/>
      <c r="M226" s="6019"/>
      <c r="N226" s="717">
        <f t="shared" si="271"/>
        <v>20.86</v>
      </c>
      <c r="O226" s="6037"/>
      <c r="P226" s="1094"/>
      <c r="Q226" s="5991"/>
      <c r="R226" s="718">
        <f t="shared" si="261"/>
        <v>20.86</v>
      </c>
      <c r="S226" s="6037"/>
      <c r="T226" s="1094"/>
      <c r="U226" s="5991"/>
      <c r="V226" s="718">
        <f t="shared" si="262"/>
        <v>20.86</v>
      </c>
      <c r="W226" s="6037"/>
      <c r="X226" s="1094"/>
      <c r="Y226" s="6019"/>
      <c r="Z226" s="6019">
        <f t="shared" si="254"/>
        <v>0</v>
      </c>
      <c r="AA226" s="6004"/>
      <c r="AB226" s="429">
        <f t="shared" si="267"/>
        <v>20.86</v>
      </c>
      <c r="AC226" s="6037"/>
      <c r="AD226" s="1094"/>
      <c r="AE226" s="5991"/>
      <c r="AF226" s="718">
        <f t="shared" si="263"/>
        <v>20.86</v>
      </c>
      <c r="AG226" s="6037"/>
      <c r="AH226" s="1094"/>
      <c r="AI226" s="5991"/>
      <c r="AJ226" s="718">
        <f t="shared" si="264"/>
        <v>20.86</v>
      </c>
      <c r="AK226" s="6037"/>
      <c r="AL226" s="1094"/>
      <c r="AM226" s="6019"/>
      <c r="AN226" s="717">
        <f t="shared" si="256"/>
        <v>0</v>
      </c>
      <c r="AO226" s="5991"/>
      <c r="AP226" s="718">
        <f t="shared" si="268"/>
        <v>20.86</v>
      </c>
      <c r="AQ226" s="6037"/>
      <c r="AR226" s="1094"/>
      <c r="AS226" s="5991"/>
      <c r="AT226" s="718">
        <f t="shared" si="265"/>
        <v>20.86</v>
      </c>
      <c r="AU226" s="6037"/>
      <c r="AV226" s="1094"/>
      <c r="AW226" s="5991"/>
      <c r="AX226" s="718">
        <f t="shared" si="266"/>
        <v>20.86</v>
      </c>
      <c r="AY226" s="6037"/>
      <c r="AZ226" s="1094"/>
      <c r="BA226" s="6019"/>
      <c r="BB226" s="717">
        <f t="shared" si="258"/>
        <v>0</v>
      </c>
      <c r="BC226" s="6004"/>
      <c r="BD226" s="429">
        <f t="shared" si="269"/>
        <v>0</v>
      </c>
      <c r="BE226" s="5991"/>
      <c r="BF226" s="718">
        <f t="shared" si="270"/>
        <v>20.86</v>
      </c>
    </row>
    <row r="227" spans="1:58" ht="15.75" customHeight="1" x14ac:dyDescent="0.3">
      <c r="A227" s="88"/>
      <c r="B227" s="3164" t="s">
        <v>829</v>
      </c>
      <c r="C227" s="3736" t="s">
        <v>1807</v>
      </c>
      <c r="D227" s="3737"/>
      <c r="E227" s="6037"/>
      <c r="F227" s="3738"/>
      <c r="G227" s="6037"/>
      <c r="H227" s="3738"/>
      <c r="I227" s="5991"/>
      <c r="J227" s="718">
        <f t="shared" si="260"/>
        <v>0</v>
      </c>
      <c r="K227" s="6037"/>
      <c r="L227" s="3738"/>
      <c r="M227" s="6019"/>
      <c r="N227" s="717">
        <f t="shared" si="271"/>
        <v>0</v>
      </c>
      <c r="O227" s="6037"/>
      <c r="P227" s="3738"/>
      <c r="Q227" s="5991"/>
      <c r="R227" s="718">
        <f t="shared" si="261"/>
        <v>0</v>
      </c>
      <c r="S227" s="6037"/>
      <c r="T227" s="3738"/>
      <c r="U227" s="5991"/>
      <c r="V227" s="718">
        <f t="shared" si="262"/>
        <v>0</v>
      </c>
      <c r="W227" s="6037"/>
      <c r="X227" s="3738"/>
      <c r="Y227" s="6019"/>
      <c r="Z227" s="6019">
        <f t="shared" si="254"/>
        <v>0</v>
      </c>
      <c r="AA227" s="6004"/>
      <c r="AB227" s="429">
        <f t="shared" si="267"/>
        <v>0</v>
      </c>
      <c r="AC227" s="6037"/>
      <c r="AD227" s="3738"/>
      <c r="AE227" s="5991"/>
      <c r="AF227" s="718">
        <f t="shared" si="263"/>
        <v>0</v>
      </c>
      <c r="AG227" s="6037"/>
      <c r="AH227" s="3738"/>
      <c r="AI227" s="5991"/>
      <c r="AJ227" s="718">
        <f t="shared" si="264"/>
        <v>0</v>
      </c>
      <c r="AK227" s="6037"/>
      <c r="AL227" s="3738"/>
      <c r="AM227" s="6019"/>
      <c r="AN227" s="717">
        <f t="shared" si="256"/>
        <v>0</v>
      </c>
      <c r="AO227" s="5991"/>
      <c r="AP227" s="718">
        <f t="shared" si="268"/>
        <v>0</v>
      </c>
      <c r="AQ227" s="6037"/>
      <c r="AR227" s="3738"/>
      <c r="AS227" s="5991"/>
      <c r="AT227" s="718">
        <f t="shared" si="265"/>
        <v>0</v>
      </c>
      <c r="AU227" s="6037"/>
      <c r="AV227" s="3738"/>
      <c r="AW227" s="5991"/>
      <c r="AX227" s="718">
        <f t="shared" si="266"/>
        <v>0</v>
      </c>
      <c r="AY227" s="6037"/>
      <c r="AZ227" s="3738"/>
      <c r="BA227" s="6019"/>
      <c r="BB227" s="717">
        <f t="shared" si="258"/>
        <v>0</v>
      </c>
      <c r="BC227" s="6004"/>
      <c r="BD227" s="429">
        <f t="shared" si="269"/>
        <v>0</v>
      </c>
      <c r="BE227" s="5991"/>
      <c r="BF227" s="718">
        <f t="shared" si="270"/>
        <v>0</v>
      </c>
    </row>
    <row r="228" spans="1:58" ht="15.75" customHeight="1" x14ac:dyDescent="0.3">
      <c r="A228" s="88"/>
      <c r="B228" s="3164" t="s">
        <v>829</v>
      </c>
      <c r="C228" s="3157" t="s">
        <v>1103</v>
      </c>
      <c r="D228" s="3137"/>
      <c r="E228" s="6037"/>
      <c r="F228" s="1094"/>
      <c r="G228" s="6037"/>
      <c r="H228" s="1094">
        <v>6.7439999999999998</v>
      </c>
      <c r="I228" s="5991"/>
      <c r="J228" s="718">
        <f t="shared" si="260"/>
        <v>6.7439999999999998</v>
      </c>
      <c r="K228" s="6037"/>
      <c r="L228" s="1094"/>
      <c r="M228" s="6019"/>
      <c r="N228" s="717">
        <f t="shared" si="271"/>
        <v>6.7439999999999998</v>
      </c>
      <c r="O228" s="6037"/>
      <c r="P228" s="1094"/>
      <c r="Q228" s="5991"/>
      <c r="R228" s="718">
        <f t="shared" si="261"/>
        <v>6.7439999999999998</v>
      </c>
      <c r="S228" s="6037"/>
      <c r="T228" s="1094"/>
      <c r="U228" s="5991"/>
      <c r="V228" s="718">
        <f t="shared" si="262"/>
        <v>6.7439999999999998</v>
      </c>
      <c r="W228" s="6037"/>
      <c r="X228" s="1094"/>
      <c r="Y228" s="6019"/>
      <c r="Z228" s="6019">
        <f t="shared" si="254"/>
        <v>0</v>
      </c>
      <c r="AA228" s="6004"/>
      <c r="AB228" s="429">
        <f t="shared" si="267"/>
        <v>6.7439999999999998</v>
      </c>
      <c r="AC228" s="6037"/>
      <c r="AD228" s="1094"/>
      <c r="AE228" s="5991"/>
      <c r="AF228" s="718">
        <f t="shared" si="263"/>
        <v>6.7439999999999998</v>
      </c>
      <c r="AG228" s="6037"/>
      <c r="AH228" s="1094"/>
      <c r="AI228" s="5991"/>
      <c r="AJ228" s="718">
        <f t="shared" si="264"/>
        <v>6.7439999999999998</v>
      </c>
      <c r="AK228" s="6037"/>
      <c r="AL228" s="1094"/>
      <c r="AM228" s="6019"/>
      <c r="AN228" s="717">
        <f t="shared" si="256"/>
        <v>0</v>
      </c>
      <c r="AO228" s="5991"/>
      <c r="AP228" s="718">
        <f t="shared" si="268"/>
        <v>6.7439999999999998</v>
      </c>
      <c r="AQ228" s="6037"/>
      <c r="AR228" s="1094"/>
      <c r="AS228" s="5991"/>
      <c r="AT228" s="718">
        <f t="shared" si="265"/>
        <v>6.7439999999999998</v>
      </c>
      <c r="AU228" s="6037"/>
      <c r="AV228" s="1094"/>
      <c r="AW228" s="5991"/>
      <c r="AX228" s="718">
        <f t="shared" si="266"/>
        <v>6.7439999999999998</v>
      </c>
      <c r="AY228" s="6037"/>
      <c r="AZ228" s="1094"/>
      <c r="BA228" s="6019"/>
      <c r="BB228" s="717">
        <f t="shared" si="258"/>
        <v>0</v>
      </c>
      <c r="BC228" s="6004"/>
      <c r="BD228" s="429">
        <f t="shared" si="269"/>
        <v>0</v>
      </c>
      <c r="BE228" s="5991"/>
      <c r="BF228" s="718">
        <f t="shared" si="270"/>
        <v>6.7439999999999998</v>
      </c>
    </row>
    <row r="229" spans="1:58" x14ac:dyDescent="0.3">
      <c r="A229" s="88"/>
      <c r="B229" s="3164" t="s">
        <v>829</v>
      </c>
      <c r="C229" s="3157" t="s">
        <v>842</v>
      </c>
      <c r="D229" s="3137"/>
      <c r="E229" s="6037"/>
      <c r="F229" s="1094">
        <v>480.6</v>
      </c>
      <c r="G229" s="6037"/>
      <c r="H229" s="1094">
        <v>115.762</v>
      </c>
      <c r="I229" s="5991"/>
      <c r="J229" s="718">
        <f t="shared" si="260"/>
        <v>596.36200000000008</v>
      </c>
      <c r="K229" s="6037"/>
      <c r="L229" s="1094"/>
      <c r="M229" s="6019"/>
      <c r="N229" s="717">
        <f t="shared" si="271"/>
        <v>596.36200000000008</v>
      </c>
      <c r="O229" s="6037"/>
      <c r="P229" s="1094"/>
      <c r="Q229" s="5991"/>
      <c r="R229" s="718">
        <f t="shared" si="261"/>
        <v>596.36200000000008</v>
      </c>
      <c r="S229" s="6037"/>
      <c r="T229" s="1094"/>
      <c r="U229" s="5991"/>
      <c r="V229" s="718">
        <f t="shared" si="262"/>
        <v>596.36200000000008</v>
      </c>
      <c r="W229" s="6037"/>
      <c r="X229" s="1094"/>
      <c r="Y229" s="6019"/>
      <c r="Z229" s="6019">
        <f t="shared" si="254"/>
        <v>0</v>
      </c>
      <c r="AA229" s="6004"/>
      <c r="AB229" s="429">
        <f t="shared" si="267"/>
        <v>596.36200000000008</v>
      </c>
      <c r="AC229" s="6037"/>
      <c r="AD229" s="1094"/>
      <c r="AE229" s="5991"/>
      <c r="AF229" s="718">
        <f t="shared" si="263"/>
        <v>596.36200000000008</v>
      </c>
      <c r="AG229" s="6037"/>
      <c r="AH229" s="1094"/>
      <c r="AI229" s="5991"/>
      <c r="AJ229" s="718">
        <f t="shared" si="264"/>
        <v>596.36200000000008</v>
      </c>
      <c r="AK229" s="6037"/>
      <c r="AL229" s="1094"/>
      <c r="AM229" s="6019"/>
      <c r="AN229" s="717">
        <f t="shared" si="256"/>
        <v>0</v>
      </c>
      <c r="AO229" s="5991"/>
      <c r="AP229" s="718">
        <f t="shared" si="268"/>
        <v>596.36200000000008</v>
      </c>
      <c r="AQ229" s="6037"/>
      <c r="AR229" s="1094"/>
      <c r="AS229" s="5991"/>
      <c r="AT229" s="718">
        <f t="shared" si="265"/>
        <v>596.36200000000008</v>
      </c>
      <c r="AU229" s="6037"/>
      <c r="AV229" s="1094"/>
      <c r="AW229" s="5991"/>
      <c r="AX229" s="718">
        <f t="shared" si="266"/>
        <v>596.36200000000008</v>
      </c>
      <c r="AY229" s="6037"/>
      <c r="AZ229" s="1094"/>
      <c r="BA229" s="6019"/>
      <c r="BB229" s="717">
        <f t="shared" si="258"/>
        <v>0</v>
      </c>
      <c r="BC229" s="6004"/>
      <c r="BD229" s="429">
        <f t="shared" si="269"/>
        <v>0</v>
      </c>
      <c r="BE229" s="5991"/>
      <c r="BF229" s="718">
        <f t="shared" si="270"/>
        <v>596.36200000000008</v>
      </c>
    </row>
    <row r="230" spans="1:58" x14ac:dyDescent="0.3">
      <c r="A230" s="142"/>
      <c r="B230" s="3164" t="s">
        <v>829</v>
      </c>
      <c r="C230" s="3157" t="s">
        <v>1106</v>
      </c>
      <c r="D230" s="3137"/>
      <c r="E230" s="6037"/>
      <c r="F230" s="1094">
        <v>7977.92</v>
      </c>
      <c r="G230" s="6037"/>
      <c r="H230" s="1094">
        <v>3975.16</v>
      </c>
      <c r="I230" s="5991"/>
      <c r="J230" s="718">
        <f t="shared" si="260"/>
        <v>11953.08</v>
      </c>
      <c r="K230" s="6037"/>
      <c r="L230" s="1094"/>
      <c r="M230" s="6019"/>
      <c r="N230" s="717">
        <f t="shared" si="271"/>
        <v>11953.08</v>
      </c>
      <c r="O230" s="6037"/>
      <c r="P230" s="1094"/>
      <c r="Q230" s="5991"/>
      <c r="R230" s="718">
        <f t="shared" si="261"/>
        <v>11953.08</v>
      </c>
      <c r="S230" s="6037"/>
      <c r="T230" s="1094"/>
      <c r="U230" s="5991"/>
      <c r="V230" s="718">
        <f t="shared" si="262"/>
        <v>11953.08</v>
      </c>
      <c r="W230" s="6037"/>
      <c r="X230" s="1094"/>
      <c r="Y230" s="6019"/>
      <c r="Z230" s="6019">
        <f t="shared" ref="Z230:Z260" si="272">+P230+T230+X230</f>
        <v>0</v>
      </c>
      <c r="AA230" s="6004"/>
      <c r="AB230" s="429">
        <f t="shared" ref="AB230:AB260" si="273">X230+V230</f>
        <v>11953.08</v>
      </c>
      <c r="AC230" s="6037"/>
      <c r="AD230" s="1094"/>
      <c r="AE230" s="5991"/>
      <c r="AF230" s="718">
        <f t="shared" si="263"/>
        <v>11953.08</v>
      </c>
      <c r="AG230" s="6037"/>
      <c r="AH230" s="1094"/>
      <c r="AI230" s="5991"/>
      <c r="AJ230" s="718">
        <f t="shared" si="264"/>
        <v>11953.08</v>
      </c>
      <c r="AK230" s="6037"/>
      <c r="AL230" s="1094"/>
      <c r="AM230" s="6019"/>
      <c r="AN230" s="717">
        <f t="shared" ref="AN230:AN260" si="274">+AD230+AH230+AL230</f>
        <v>0</v>
      </c>
      <c r="AO230" s="5991"/>
      <c r="AP230" s="718">
        <f t="shared" ref="AP230:AP260" si="275">AL230+AJ230</f>
        <v>11953.08</v>
      </c>
      <c r="AQ230" s="6037"/>
      <c r="AR230" s="1094"/>
      <c r="AS230" s="5991"/>
      <c r="AT230" s="718">
        <f t="shared" si="265"/>
        <v>11953.08</v>
      </c>
      <c r="AU230" s="6037"/>
      <c r="AV230" s="1094"/>
      <c r="AW230" s="5991"/>
      <c r="AX230" s="718">
        <f t="shared" si="266"/>
        <v>11953.08</v>
      </c>
      <c r="AY230" s="6037"/>
      <c r="AZ230" s="1094"/>
      <c r="BA230" s="6019"/>
      <c r="BB230" s="717">
        <f t="shared" ref="BB230:BB260" si="276">+AR230+AV230+AZ230</f>
        <v>0</v>
      </c>
      <c r="BC230" s="6004"/>
      <c r="BD230" s="429">
        <f t="shared" si="269"/>
        <v>0</v>
      </c>
      <c r="BE230" s="5991"/>
      <c r="BF230" s="718">
        <f t="shared" si="270"/>
        <v>11953.08</v>
      </c>
    </row>
    <row r="231" spans="1:58" ht="15" thickBot="1" x14ac:dyDescent="0.35">
      <c r="A231" s="142"/>
      <c r="B231" s="3165" t="s">
        <v>829</v>
      </c>
      <c r="C231" s="3160" t="s">
        <v>1232</v>
      </c>
      <c r="D231" s="3139"/>
      <c r="E231" s="6037"/>
      <c r="F231" s="103">
        <v>6318.86</v>
      </c>
      <c r="G231" s="6037"/>
      <c r="H231" s="103">
        <v>6737.6370000000024</v>
      </c>
      <c r="I231" s="5991"/>
      <c r="J231" s="718">
        <f t="shared" si="260"/>
        <v>13056.497000000003</v>
      </c>
      <c r="K231" s="6037"/>
      <c r="L231" s="103"/>
      <c r="M231" s="6019"/>
      <c r="N231" s="717">
        <f t="shared" si="271"/>
        <v>13056.497000000003</v>
      </c>
      <c r="O231" s="6037"/>
      <c r="P231" s="103"/>
      <c r="Q231" s="5991"/>
      <c r="R231" s="718">
        <f t="shared" si="261"/>
        <v>13056.497000000003</v>
      </c>
      <c r="S231" s="6037"/>
      <c r="T231" s="103"/>
      <c r="U231" s="5991"/>
      <c r="V231" s="718">
        <f t="shared" si="262"/>
        <v>13056.497000000003</v>
      </c>
      <c r="W231" s="6037"/>
      <c r="X231" s="103"/>
      <c r="Y231" s="6019"/>
      <c r="Z231" s="6019">
        <f t="shared" si="272"/>
        <v>0</v>
      </c>
      <c r="AA231" s="6004"/>
      <c r="AB231" s="429">
        <f t="shared" si="273"/>
        <v>13056.497000000003</v>
      </c>
      <c r="AC231" s="6037"/>
      <c r="AD231" s="103"/>
      <c r="AE231" s="5991"/>
      <c r="AF231" s="718">
        <f t="shared" si="263"/>
        <v>13056.497000000003</v>
      </c>
      <c r="AG231" s="6037"/>
      <c r="AH231" s="103"/>
      <c r="AI231" s="5991"/>
      <c r="AJ231" s="718">
        <f t="shared" si="264"/>
        <v>13056.497000000003</v>
      </c>
      <c r="AK231" s="6037"/>
      <c r="AL231" s="103"/>
      <c r="AM231" s="6019"/>
      <c r="AN231" s="717">
        <f t="shared" si="274"/>
        <v>0</v>
      </c>
      <c r="AO231" s="5991"/>
      <c r="AP231" s="718">
        <f t="shared" si="275"/>
        <v>13056.497000000003</v>
      </c>
      <c r="AQ231" s="6037"/>
      <c r="AR231" s="103"/>
      <c r="AS231" s="5991"/>
      <c r="AT231" s="718">
        <f t="shared" si="265"/>
        <v>13056.497000000003</v>
      </c>
      <c r="AU231" s="6037"/>
      <c r="AV231" s="103"/>
      <c r="AW231" s="5991"/>
      <c r="AX231" s="718">
        <f t="shared" si="266"/>
        <v>13056.497000000003</v>
      </c>
      <c r="AY231" s="6037"/>
      <c r="AZ231" s="103"/>
      <c r="BA231" s="6019"/>
      <c r="BB231" s="717">
        <f t="shared" si="276"/>
        <v>0</v>
      </c>
      <c r="BC231" s="6004"/>
      <c r="BD231" s="429">
        <f t="shared" si="269"/>
        <v>0</v>
      </c>
      <c r="BE231" s="5991"/>
      <c r="BF231" s="718">
        <f t="shared" si="270"/>
        <v>13056.497000000003</v>
      </c>
    </row>
    <row r="232" spans="1:58" x14ac:dyDescent="0.3">
      <c r="A232" s="142"/>
      <c r="B232" s="3161" t="s">
        <v>830</v>
      </c>
      <c r="C232" s="3156" t="s">
        <v>905</v>
      </c>
      <c r="D232" s="3135"/>
      <c r="E232" s="6037"/>
      <c r="F232" s="145"/>
      <c r="G232" s="6037"/>
      <c r="H232" s="145">
        <v>59.755000000000003</v>
      </c>
      <c r="I232" s="5991"/>
      <c r="J232" s="718">
        <f t="shared" si="260"/>
        <v>59.755000000000003</v>
      </c>
      <c r="K232" s="6037"/>
      <c r="L232" s="145"/>
      <c r="M232" s="6019"/>
      <c r="N232" s="717">
        <f t="shared" si="271"/>
        <v>59.755000000000003</v>
      </c>
      <c r="O232" s="6037"/>
      <c r="P232" s="145"/>
      <c r="Q232" s="5991"/>
      <c r="R232" s="718">
        <f t="shared" si="261"/>
        <v>59.755000000000003</v>
      </c>
      <c r="S232" s="6037"/>
      <c r="T232" s="145"/>
      <c r="U232" s="5991"/>
      <c r="V232" s="718">
        <f t="shared" si="262"/>
        <v>59.755000000000003</v>
      </c>
      <c r="W232" s="6037"/>
      <c r="X232" s="145"/>
      <c r="Y232" s="6019"/>
      <c r="Z232" s="6019">
        <f t="shared" si="272"/>
        <v>0</v>
      </c>
      <c r="AA232" s="6004"/>
      <c r="AB232" s="429">
        <f t="shared" si="273"/>
        <v>59.755000000000003</v>
      </c>
      <c r="AC232" s="6037"/>
      <c r="AD232" s="145"/>
      <c r="AE232" s="5991"/>
      <c r="AF232" s="718">
        <f t="shared" si="263"/>
        <v>59.755000000000003</v>
      </c>
      <c r="AG232" s="6037"/>
      <c r="AH232" s="145"/>
      <c r="AI232" s="5991"/>
      <c r="AJ232" s="718">
        <f t="shared" si="264"/>
        <v>59.755000000000003</v>
      </c>
      <c r="AK232" s="6037"/>
      <c r="AL232" s="145"/>
      <c r="AM232" s="6019"/>
      <c r="AN232" s="717">
        <f t="shared" si="274"/>
        <v>0</v>
      </c>
      <c r="AO232" s="5991"/>
      <c r="AP232" s="718">
        <f t="shared" si="275"/>
        <v>59.755000000000003</v>
      </c>
      <c r="AQ232" s="6037"/>
      <c r="AR232" s="145"/>
      <c r="AS232" s="5991"/>
      <c r="AT232" s="718">
        <f t="shared" si="265"/>
        <v>59.755000000000003</v>
      </c>
      <c r="AU232" s="6037"/>
      <c r="AV232" s="145"/>
      <c r="AW232" s="5991"/>
      <c r="AX232" s="718">
        <f t="shared" si="266"/>
        <v>59.755000000000003</v>
      </c>
      <c r="AY232" s="6037"/>
      <c r="AZ232" s="145"/>
      <c r="BA232" s="6019"/>
      <c r="BB232" s="717">
        <f t="shared" si="276"/>
        <v>0</v>
      </c>
      <c r="BC232" s="6004"/>
      <c r="BD232" s="429">
        <f t="shared" si="269"/>
        <v>0</v>
      </c>
      <c r="BE232" s="5991"/>
      <c r="BF232" s="718">
        <f t="shared" si="270"/>
        <v>59.755000000000003</v>
      </c>
    </row>
    <row r="233" spans="1:58" x14ac:dyDescent="0.3">
      <c r="A233" s="142"/>
      <c r="B233" s="3164" t="s">
        <v>830</v>
      </c>
      <c r="C233" s="3157" t="s">
        <v>951</v>
      </c>
      <c r="D233" s="3137"/>
      <c r="E233" s="6037"/>
      <c r="F233" s="1094"/>
      <c r="G233" s="6037"/>
      <c r="H233" s="1094">
        <v>745.02100000000007</v>
      </c>
      <c r="I233" s="5991"/>
      <c r="J233" s="718">
        <f t="shared" si="260"/>
        <v>745.02100000000007</v>
      </c>
      <c r="K233" s="6037"/>
      <c r="L233" s="1094"/>
      <c r="M233" s="6019"/>
      <c r="N233" s="717">
        <f t="shared" si="271"/>
        <v>745.02100000000007</v>
      </c>
      <c r="O233" s="6037"/>
      <c r="P233" s="1094"/>
      <c r="Q233" s="5991"/>
      <c r="R233" s="718">
        <f t="shared" si="261"/>
        <v>745.02100000000007</v>
      </c>
      <c r="S233" s="6037"/>
      <c r="T233" s="1094"/>
      <c r="U233" s="5991"/>
      <c r="V233" s="718">
        <f t="shared" si="262"/>
        <v>745.02100000000007</v>
      </c>
      <c r="W233" s="6037"/>
      <c r="X233" s="1094"/>
      <c r="Y233" s="6019"/>
      <c r="Z233" s="6019">
        <f t="shared" si="272"/>
        <v>0</v>
      </c>
      <c r="AA233" s="6004"/>
      <c r="AB233" s="429">
        <f t="shared" si="273"/>
        <v>745.02100000000007</v>
      </c>
      <c r="AC233" s="6037"/>
      <c r="AD233" s="1094"/>
      <c r="AE233" s="5991"/>
      <c r="AF233" s="718">
        <f t="shared" si="263"/>
        <v>745.02100000000007</v>
      </c>
      <c r="AG233" s="6037"/>
      <c r="AH233" s="1094"/>
      <c r="AI233" s="5991"/>
      <c r="AJ233" s="718">
        <f t="shared" si="264"/>
        <v>745.02100000000007</v>
      </c>
      <c r="AK233" s="6037"/>
      <c r="AL233" s="1094"/>
      <c r="AM233" s="6019"/>
      <c r="AN233" s="717">
        <f t="shared" si="274"/>
        <v>0</v>
      </c>
      <c r="AO233" s="5991"/>
      <c r="AP233" s="718">
        <f t="shared" si="275"/>
        <v>745.02100000000007</v>
      </c>
      <c r="AQ233" s="6037"/>
      <c r="AR233" s="1094"/>
      <c r="AS233" s="5991"/>
      <c r="AT233" s="718">
        <f t="shared" si="265"/>
        <v>745.02100000000007</v>
      </c>
      <c r="AU233" s="6037"/>
      <c r="AV233" s="1094"/>
      <c r="AW233" s="5991"/>
      <c r="AX233" s="718">
        <f t="shared" si="266"/>
        <v>745.02100000000007</v>
      </c>
      <c r="AY233" s="6037"/>
      <c r="AZ233" s="1094"/>
      <c r="BA233" s="6019"/>
      <c r="BB233" s="717">
        <f t="shared" si="276"/>
        <v>0</v>
      </c>
      <c r="BC233" s="6004"/>
      <c r="BD233" s="429">
        <f t="shared" si="269"/>
        <v>0</v>
      </c>
      <c r="BE233" s="5991"/>
      <c r="BF233" s="718">
        <f t="shared" si="270"/>
        <v>745.02100000000007</v>
      </c>
    </row>
    <row r="234" spans="1:58" ht="20.25" customHeight="1" x14ac:dyDescent="0.3">
      <c r="A234" s="142"/>
      <c r="B234" s="3164" t="s">
        <v>830</v>
      </c>
      <c r="C234" s="3157" t="s">
        <v>1539</v>
      </c>
      <c r="D234" s="3137"/>
      <c r="E234" s="6037"/>
      <c r="F234" s="1094"/>
      <c r="G234" s="6037"/>
      <c r="H234" s="1094"/>
      <c r="I234" s="5991"/>
      <c r="J234" s="718">
        <f t="shared" si="260"/>
        <v>0</v>
      </c>
      <c r="K234" s="6037"/>
      <c r="L234" s="1094"/>
      <c r="M234" s="6019"/>
      <c r="N234" s="717">
        <f t="shared" si="271"/>
        <v>0</v>
      </c>
      <c r="O234" s="6037"/>
      <c r="P234" s="1094"/>
      <c r="Q234" s="5991"/>
      <c r="R234" s="718">
        <f t="shared" si="261"/>
        <v>0</v>
      </c>
      <c r="S234" s="6037"/>
      <c r="T234" s="1094"/>
      <c r="U234" s="5991"/>
      <c r="V234" s="718">
        <f t="shared" si="262"/>
        <v>0</v>
      </c>
      <c r="W234" s="6037"/>
      <c r="X234" s="1094"/>
      <c r="Y234" s="6019"/>
      <c r="Z234" s="6019">
        <f t="shared" si="272"/>
        <v>0</v>
      </c>
      <c r="AA234" s="6004"/>
      <c r="AB234" s="429">
        <f t="shared" si="273"/>
        <v>0</v>
      </c>
      <c r="AC234" s="6037"/>
      <c r="AD234" s="1094"/>
      <c r="AE234" s="5991"/>
      <c r="AF234" s="718">
        <f t="shared" si="263"/>
        <v>0</v>
      </c>
      <c r="AG234" s="6037"/>
      <c r="AH234" s="1094"/>
      <c r="AI234" s="5991"/>
      <c r="AJ234" s="718">
        <f t="shared" si="264"/>
        <v>0</v>
      </c>
      <c r="AK234" s="6037"/>
      <c r="AL234" s="1094"/>
      <c r="AM234" s="6019"/>
      <c r="AN234" s="717">
        <f t="shared" si="274"/>
        <v>0</v>
      </c>
      <c r="AO234" s="5991"/>
      <c r="AP234" s="718">
        <f t="shared" si="275"/>
        <v>0</v>
      </c>
      <c r="AQ234" s="6037"/>
      <c r="AR234" s="1094"/>
      <c r="AS234" s="5991"/>
      <c r="AT234" s="718">
        <f t="shared" si="265"/>
        <v>0</v>
      </c>
      <c r="AU234" s="6037"/>
      <c r="AV234" s="1094"/>
      <c r="AW234" s="5991"/>
      <c r="AX234" s="718">
        <f t="shared" si="266"/>
        <v>0</v>
      </c>
      <c r="AY234" s="6037"/>
      <c r="AZ234" s="1094"/>
      <c r="BA234" s="6019"/>
      <c r="BB234" s="717">
        <f t="shared" si="276"/>
        <v>0</v>
      </c>
      <c r="BC234" s="6004"/>
      <c r="BD234" s="429">
        <f t="shared" si="269"/>
        <v>0</v>
      </c>
      <c r="BE234" s="5991"/>
      <c r="BF234" s="718">
        <f t="shared" si="270"/>
        <v>0</v>
      </c>
    </row>
    <row r="235" spans="1:58" ht="19.5" customHeight="1" x14ac:dyDescent="0.3">
      <c r="A235" s="142"/>
      <c r="B235" s="3164" t="s">
        <v>830</v>
      </c>
      <c r="C235" s="3157" t="s">
        <v>860</v>
      </c>
      <c r="D235" s="3157"/>
      <c r="E235" s="6037"/>
      <c r="F235" s="1094"/>
      <c r="G235" s="6037"/>
      <c r="H235" s="1094">
        <v>99.138000000000005</v>
      </c>
      <c r="I235" s="5991"/>
      <c r="J235" s="718">
        <f t="shared" si="260"/>
        <v>99.138000000000005</v>
      </c>
      <c r="K235" s="6037"/>
      <c r="L235" s="1094"/>
      <c r="M235" s="6019"/>
      <c r="N235" s="717">
        <f t="shared" si="271"/>
        <v>99.138000000000005</v>
      </c>
      <c r="O235" s="6037"/>
      <c r="P235" s="1094"/>
      <c r="Q235" s="5991"/>
      <c r="R235" s="718">
        <f t="shared" si="261"/>
        <v>99.138000000000005</v>
      </c>
      <c r="S235" s="6037"/>
      <c r="T235" s="1094"/>
      <c r="U235" s="5991"/>
      <c r="V235" s="718">
        <f t="shared" si="262"/>
        <v>99.138000000000005</v>
      </c>
      <c r="W235" s="6037"/>
      <c r="X235" s="1094"/>
      <c r="Y235" s="6019"/>
      <c r="Z235" s="6019">
        <f t="shared" si="272"/>
        <v>0</v>
      </c>
      <c r="AA235" s="6004"/>
      <c r="AB235" s="429">
        <f t="shared" si="273"/>
        <v>99.138000000000005</v>
      </c>
      <c r="AC235" s="6037"/>
      <c r="AD235" s="1094"/>
      <c r="AE235" s="5991"/>
      <c r="AF235" s="718">
        <f t="shared" si="263"/>
        <v>99.138000000000005</v>
      </c>
      <c r="AG235" s="6037"/>
      <c r="AH235" s="1094"/>
      <c r="AI235" s="5991"/>
      <c r="AJ235" s="718">
        <f t="shared" si="264"/>
        <v>99.138000000000005</v>
      </c>
      <c r="AK235" s="6037"/>
      <c r="AL235" s="1094"/>
      <c r="AM235" s="6019"/>
      <c r="AN235" s="717">
        <f t="shared" si="274"/>
        <v>0</v>
      </c>
      <c r="AO235" s="5991"/>
      <c r="AP235" s="718">
        <f t="shared" si="275"/>
        <v>99.138000000000005</v>
      </c>
      <c r="AQ235" s="6037"/>
      <c r="AR235" s="1094"/>
      <c r="AS235" s="5991"/>
      <c r="AT235" s="718">
        <f t="shared" si="265"/>
        <v>99.138000000000005</v>
      </c>
      <c r="AU235" s="6037"/>
      <c r="AV235" s="1094"/>
      <c r="AW235" s="5991"/>
      <c r="AX235" s="718">
        <f t="shared" si="266"/>
        <v>99.138000000000005</v>
      </c>
      <c r="AY235" s="6037"/>
      <c r="AZ235" s="1094"/>
      <c r="BA235" s="6019"/>
      <c r="BB235" s="717">
        <f t="shared" si="276"/>
        <v>0</v>
      </c>
      <c r="BC235" s="6004"/>
      <c r="BD235" s="429">
        <f t="shared" si="269"/>
        <v>0</v>
      </c>
      <c r="BE235" s="5991"/>
      <c r="BF235" s="718">
        <f t="shared" si="270"/>
        <v>99.138000000000005</v>
      </c>
    </row>
    <row r="236" spans="1:58" ht="15.75" customHeight="1" x14ac:dyDescent="0.3">
      <c r="A236" s="142"/>
      <c r="B236" s="3164" t="s">
        <v>830</v>
      </c>
      <c r="C236" s="3157" t="s">
        <v>1546</v>
      </c>
      <c r="D236" s="3137"/>
      <c r="E236" s="6037"/>
      <c r="F236" s="1094"/>
      <c r="G236" s="6037"/>
      <c r="H236" s="1094"/>
      <c r="I236" s="5991"/>
      <c r="J236" s="718">
        <f t="shared" si="260"/>
        <v>0</v>
      </c>
      <c r="K236" s="6037"/>
      <c r="L236" s="1094"/>
      <c r="M236" s="6019"/>
      <c r="N236" s="717">
        <f t="shared" si="271"/>
        <v>0</v>
      </c>
      <c r="O236" s="6037"/>
      <c r="P236" s="1094"/>
      <c r="Q236" s="5991"/>
      <c r="R236" s="718">
        <f t="shared" si="261"/>
        <v>0</v>
      </c>
      <c r="S236" s="6037"/>
      <c r="T236" s="1094"/>
      <c r="U236" s="5991"/>
      <c r="V236" s="718">
        <f t="shared" si="262"/>
        <v>0</v>
      </c>
      <c r="W236" s="6037"/>
      <c r="X236" s="1094"/>
      <c r="Y236" s="6019"/>
      <c r="Z236" s="6019">
        <f t="shared" si="272"/>
        <v>0</v>
      </c>
      <c r="AA236" s="6004"/>
      <c r="AB236" s="429">
        <f t="shared" si="273"/>
        <v>0</v>
      </c>
      <c r="AC236" s="6037"/>
      <c r="AD236" s="1094"/>
      <c r="AE236" s="5991"/>
      <c r="AF236" s="718">
        <f t="shared" si="263"/>
        <v>0</v>
      </c>
      <c r="AG236" s="6037"/>
      <c r="AH236" s="1094"/>
      <c r="AI236" s="5991"/>
      <c r="AJ236" s="718">
        <f t="shared" si="264"/>
        <v>0</v>
      </c>
      <c r="AK236" s="6037"/>
      <c r="AL236" s="1094"/>
      <c r="AM236" s="6019"/>
      <c r="AN236" s="717">
        <f t="shared" si="274"/>
        <v>0</v>
      </c>
      <c r="AO236" s="5991"/>
      <c r="AP236" s="718">
        <f t="shared" si="275"/>
        <v>0</v>
      </c>
      <c r="AQ236" s="6037"/>
      <c r="AR236" s="1094"/>
      <c r="AS236" s="5991"/>
      <c r="AT236" s="718">
        <f t="shared" si="265"/>
        <v>0</v>
      </c>
      <c r="AU236" s="6037"/>
      <c r="AV236" s="1094"/>
      <c r="AW236" s="5991"/>
      <c r="AX236" s="718">
        <f t="shared" si="266"/>
        <v>0</v>
      </c>
      <c r="AY236" s="6037"/>
      <c r="AZ236" s="1094"/>
      <c r="BA236" s="6019"/>
      <c r="BB236" s="717">
        <f t="shared" si="276"/>
        <v>0</v>
      </c>
      <c r="BC236" s="6004"/>
      <c r="BD236" s="429">
        <f t="shared" si="269"/>
        <v>0</v>
      </c>
      <c r="BE236" s="5991"/>
      <c r="BF236" s="718">
        <f t="shared" si="270"/>
        <v>0</v>
      </c>
    </row>
    <row r="237" spans="1:58" x14ac:dyDescent="0.3">
      <c r="A237" s="142"/>
      <c r="B237" s="3164" t="s">
        <v>830</v>
      </c>
      <c r="C237" s="3157" t="s">
        <v>841</v>
      </c>
      <c r="D237" s="3137"/>
      <c r="E237" s="6037"/>
      <c r="F237" s="1094"/>
      <c r="G237" s="6037"/>
      <c r="H237" s="1094">
        <v>649.87400000000002</v>
      </c>
      <c r="I237" s="5991"/>
      <c r="J237" s="718">
        <f t="shared" si="260"/>
        <v>649.87400000000002</v>
      </c>
      <c r="K237" s="6037"/>
      <c r="L237" s="1094"/>
      <c r="M237" s="6019"/>
      <c r="N237" s="717">
        <f t="shared" si="271"/>
        <v>649.87400000000002</v>
      </c>
      <c r="O237" s="6037"/>
      <c r="P237" s="1094"/>
      <c r="Q237" s="5991"/>
      <c r="R237" s="718">
        <f t="shared" si="261"/>
        <v>649.87400000000002</v>
      </c>
      <c r="S237" s="6037"/>
      <c r="T237" s="1094"/>
      <c r="U237" s="5991"/>
      <c r="V237" s="718">
        <f t="shared" si="262"/>
        <v>649.87400000000002</v>
      </c>
      <c r="W237" s="6037"/>
      <c r="X237" s="1094"/>
      <c r="Y237" s="6019"/>
      <c r="Z237" s="6019">
        <f t="shared" si="272"/>
        <v>0</v>
      </c>
      <c r="AA237" s="6004"/>
      <c r="AB237" s="429">
        <f t="shared" si="273"/>
        <v>649.87400000000002</v>
      </c>
      <c r="AC237" s="6037"/>
      <c r="AD237" s="1094"/>
      <c r="AE237" s="5991"/>
      <c r="AF237" s="718">
        <f t="shared" si="263"/>
        <v>649.87400000000002</v>
      </c>
      <c r="AG237" s="6037"/>
      <c r="AH237" s="1094"/>
      <c r="AI237" s="5991"/>
      <c r="AJ237" s="718">
        <f t="shared" si="264"/>
        <v>649.87400000000002</v>
      </c>
      <c r="AK237" s="6037"/>
      <c r="AL237" s="1094"/>
      <c r="AM237" s="6019"/>
      <c r="AN237" s="717">
        <f t="shared" si="274"/>
        <v>0</v>
      </c>
      <c r="AO237" s="5991"/>
      <c r="AP237" s="718">
        <f t="shared" si="275"/>
        <v>649.87400000000002</v>
      </c>
      <c r="AQ237" s="6037"/>
      <c r="AR237" s="1094"/>
      <c r="AS237" s="5991"/>
      <c r="AT237" s="718">
        <f t="shared" si="265"/>
        <v>649.87400000000002</v>
      </c>
      <c r="AU237" s="6037"/>
      <c r="AV237" s="1094"/>
      <c r="AW237" s="5991"/>
      <c r="AX237" s="718">
        <f t="shared" si="266"/>
        <v>649.87400000000002</v>
      </c>
      <c r="AY237" s="6037"/>
      <c r="AZ237" s="1094"/>
      <c r="BA237" s="6019"/>
      <c r="BB237" s="717">
        <f t="shared" si="276"/>
        <v>0</v>
      </c>
      <c r="BC237" s="6004"/>
      <c r="BD237" s="429">
        <f t="shared" si="269"/>
        <v>0</v>
      </c>
      <c r="BE237" s="5991"/>
      <c r="BF237" s="718">
        <f t="shared" si="270"/>
        <v>649.87400000000002</v>
      </c>
    </row>
    <row r="238" spans="1:58" x14ac:dyDescent="0.3">
      <c r="A238" s="142"/>
      <c r="B238" s="3164" t="s">
        <v>830</v>
      </c>
      <c r="C238" s="3157" t="s">
        <v>1105</v>
      </c>
      <c r="D238" s="3137"/>
      <c r="E238" s="6037"/>
      <c r="F238" s="1094">
        <v>40.06</v>
      </c>
      <c r="G238" s="6037"/>
      <c r="H238" s="1094">
        <v>383.98899999999998</v>
      </c>
      <c r="I238" s="5991"/>
      <c r="J238" s="718">
        <f t="shared" si="260"/>
        <v>424.04899999999998</v>
      </c>
      <c r="K238" s="6037"/>
      <c r="L238" s="1094"/>
      <c r="M238" s="6019"/>
      <c r="N238" s="717">
        <f t="shared" si="271"/>
        <v>424.04899999999998</v>
      </c>
      <c r="O238" s="6037"/>
      <c r="P238" s="1094"/>
      <c r="Q238" s="5991"/>
      <c r="R238" s="718">
        <f t="shared" si="261"/>
        <v>424.04899999999998</v>
      </c>
      <c r="S238" s="6037"/>
      <c r="T238" s="1094"/>
      <c r="U238" s="5991"/>
      <c r="V238" s="718">
        <f t="shared" si="262"/>
        <v>424.04899999999998</v>
      </c>
      <c r="W238" s="6037"/>
      <c r="X238" s="1094"/>
      <c r="Y238" s="6019"/>
      <c r="Z238" s="6019">
        <f t="shared" si="272"/>
        <v>0</v>
      </c>
      <c r="AA238" s="6004"/>
      <c r="AB238" s="429">
        <f t="shared" si="273"/>
        <v>424.04899999999998</v>
      </c>
      <c r="AC238" s="6037"/>
      <c r="AD238" s="1094"/>
      <c r="AE238" s="5991"/>
      <c r="AF238" s="718">
        <f t="shared" si="263"/>
        <v>424.04899999999998</v>
      </c>
      <c r="AG238" s="6037"/>
      <c r="AH238" s="1094"/>
      <c r="AI238" s="5991"/>
      <c r="AJ238" s="718">
        <f t="shared" si="264"/>
        <v>424.04899999999998</v>
      </c>
      <c r="AK238" s="6037"/>
      <c r="AL238" s="1094"/>
      <c r="AM238" s="6019"/>
      <c r="AN238" s="717">
        <f t="shared" si="274"/>
        <v>0</v>
      </c>
      <c r="AO238" s="5991"/>
      <c r="AP238" s="718">
        <f t="shared" si="275"/>
        <v>424.04899999999998</v>
      </c>
      <c r="AQ238" s="6037"/>
      <c r="AR238" s="1094"/>
      <c r="AS238" s="5991"/>
      <c r="AT238" s="718">
        <f t="shared" si="265"/>
        <v>424.04899999999998</v>
      </c>
      <c r="AU238" s="6037"/>
      <c r="AV238" s="1094"/>
      <c r="AW238" s="5991"/>
      <c r="AX238" s="718">
        <f t="shared" si="266"/>
        <v>424.04899999999998</v>
      </c>
      <c r="AY238" s="6037"/>
      <c r="AZ238" s="1094"/>
      <c r="BA238" s="6019"/>
      <c r="BB238" s="717">
        <f t="shared" si="276"/>
        <v>0</v>
      </c>
      <c r="BC238" s="6004"/>
      <c r="BD238" s="429">
        <f t="shared" si="269"/>
        <v>0</v>
      </c>
      <c r="BE238" s="5991"/>
      <c r="BF238" s="718">
        <f t="shared" si="270"/>
        <v>424.04899999999998</v>
      </c>
    </row>
    <row r="239" spans="1:58" ht="20.25" customHeight="1" x14ac:dyDescent="0.3">
      <c r="A239" s="142"/>
      <c r="B239" s="3164" t="s">
        <v>830</v>
      </c>
      <c r="C239" s="3157" t="s">
        <v>1104</v>
      </c>
      <c r="D239" s="3137"/>
      <c r="E239" s="6037"/>
      <c r="F239" s="1094"/>
      <c r="G239" s="6037"/>
      <c r="H239" s="1094">
        <v>1488.8820000000001</v>
      </c>
      <c r="I239" s="5991"/>
      <c r="J239" s="718">
        <f t="shared" ref="J239:J317" si="277">F239+H239</f>
        <v>1488.8820000000001</v>
      </c>
      <c r="K239" s="6037"/>
      <c r="L239" s="1094"/>
      <c r="M239" s="6019"/>
      <c r="N239" s="717">
        <f t="shared" si="271"/>
        <v>1488.8820000000001</v>
      </c>
      <c r="O239" s="6037"/>
      <c r="P239" s="1094"/>
      <c r="Q239" s="5991"/>
      <c r="R239" s="718">
        <f t="shared" si="261"/>
        <v>1488.8820000000001</v>
      </c>
      <c r="S239" s="6037"/>
      <c r="T239" s="1094"/>
      <c r="U239" s="5991"/>
      <c r="V239" s="718">
        <f t="shared" si="262"/>
        <v>1488.8820000000001</v>
      </c>
      <c r="W239" s="6037"/>
      <c r="X239" s="1094"/>
      <c r="Y239" s="6019"/>
      <c r="Z239" s="6019">
        <f t="shared" si="272"/>
        <v>0</v>
      </c>
      <c r="AA239" s="6004"/>
      <c r="AB239" s="429">
        <f t="shared" si="273"/>
        <v>1488.8820000000001</v>
      </c>
      <c r="AC239" s="6037"/>
      <c r="AD239" s="1094"/>
      <c r="AE239" s="5991"/>
      <c r="AF239" s="718">
        <f t="shared" si="263"/>
        <v>1488.8820000000001</v>
      </c>
      <c r="AG239" s="6037"/>
      <c r="AH239" s="1094"/>
      <c r="AI239" s="5991"/>
      <c r="AJ239" s="718">
        <f t="shared" si="264"/>
        <v>1488.8820000000001</v>
      </c>
      <c r="AK239" s="6037"/>
      <c r="AL239" s="1094"/>
      <c r="AM239" s="6019"/>
      <c r="AN239" s="717">
        <f t="shared" si="274"/>
        <v>0</v>
      </c>
      <c r="AO239" s="5991"/>
      <c r="AP239" s="718">
        <f t="shared" si="275"/>
        <v>1488.8820000000001</v>
      </c>
      <c r="AQ239" s="6037"/>
      <c r="AR239" s="1094"/>
      <c r="AS239" s="5991"/>
      <c r="AT239" s="718">
        <f t="shared" si="265"/>
        <v>1488.8820000000001</v>
      </c>
      <c r="AU239" s="6037"/>
      <c r="AV239" s="1094"/>
      <c r="AW239" s="5991"/>
      <c r="AX239" s="718">
        <f t="shared" si="266"/>
        <v>1488.8820000000001</v>
      </c>
      <c r="AY239" s="6037"/>
      <c r="AZ239" s="1094"/>
      <c r="BA239" s="6019"/>
      <c r="BB239" s="717">
        <f t="shared" si="276"/>
        <v>0</v>
      </c>
      <c r="BC239" s="6004"/>
      <c r="BD239" s="429">
        <f t="shared" si="269"/>
        <v>0</v>
      </c>
      <c r="BE239" s="5991"/>
      <c r="BF239" s="718">
        <f t="shared" si="270"/>
        <v>1488.8820000000001</v>
      </c>
    </row>
    <row r="240" spans="1:58" ht="20.25" customHeight="1" x14ac:dyDescent="0.3">
      <c r="A240" s="142"/>
      <c r="B240" s="3164" t="s">
        <v>830</v>
      </c>
      <c r="C240" s="3157" t="s">
        <v>869</v>
      </c>
      <c r="D240" s="4929"/>
      <c r="E240" s="6037"/>
      <c r="F240" s="4923"/>
      <c r="G240" s="6037"/>
      <c r="H240" s="4923">
        <v>25.933</v>
      </c>
      <c r="I240" s="5991"/>
      <c r="J240" s="718">
        <f t="shared" si="277"/>
        <v>25.933</v>
      </c>
      <c r="K240" s="6037"/>
      <c r="L240" s="4923"/>
      <c r="M240" s="6019"/>
      <c r="N240" s="717">
        <f t="shared" si="271"/>
        <v>25.933</v>
      </c>
      <c r="O240" s="6037"/>
      <c r="P240" s="4923"/>
      <c r="Q240" s="5991"/>
      <c r="R240" s="718">
        <f t="shared" ref="R240:R318" si="278">N240+P240</f>
        <v>25.933</v>
      </c>
      <c r="S240" s="6037"/>
      <c r="T240" s="4923"/>
      <c r="U240" s="5991"/>
      <c r="V240" s="718">
        <f t="shared" ref="V240:V318" si="279">R240+T240</f>
        <v>25.933</v>
      </c>
      <c r="W240" s="6037"/>
      <c r="X240" s="4923"/>
      <c r="Y240" s="6019"/>
      <c r="Z240" s="6019">
        <f t="shared" si="272"/>
        <v>0</v>
      </c>
      <c r="AA240" s="6004"/>
      <c r="AB240" s="429">
        <f t="shared" si="273"/>
        <v>25.933</v>
      </c>
      <c r="AC240" s="6037"/>
      <c r="AD240" s="4923"/>
      <c r="AE240" s="5991"/>
      <c r="AF240" s="718">
        <f t="shared" ref="AF240:AF318" si="280">AB240+AD240</f>
        <v>25.933</v>
      </c>
      <c r="AG240" s="6037"/>
      <c r="AH240" s="4923"/>
      <c r="AI240" s="5991"/>
      <c r="AJ240" s="718">
        <f t="shared" ref="AJ240:AJ318" si="281">AF240+AH240</f>
        <v>25.933</v>
      </c>
      <c r="AK240" s="6037"/>
      <c r="AL240" s="4923"/>
      <c r="AM240" s="6019"/>
      <c r="AN240" s="717">
        <f t="shared" si="274"/>
        <v>0</v>
      </c>
      <c r="AO240" s="5991"/>
      <c r="AP240" s="718">
        <f t="shared" si="275"/>
        <v>25.933</v>
      </c>
      <c r="AQ240" s="6037"/>
      <c r="AR240" s="4923"/>
      <c r="AS240" s="5991"/>
      <c r="AT240" s="718">
        <f t="shared" ref="AT240:AT318" si="282">AP240+AR240</f>
        <v>25.933</v>
      </c>
      <c r="AU240" s="6037"/>
      <c r="AV240" s="4923"/>
      <c r="AW240" s="5991"/>
      <c r="AX240" s="718">
        <f t="shared" ref="AX240:AX318" si="283">AT240+AV240</f>
        <v>25.933</v>
      </c>
      <c r="AY240" s="6037"/>
      <c r="AZ240" s="4923"/>
      <c r="BA240" s="6019"/>
      <c r="BB240" s="717">
        <f t="shared" si="276"/>
        <v>0</v>
      </c>
      <c r="BC240" s="6004"/>
      <c r="BD240" s="429">
        <f t="shared" si="269"/>
        <v>0</v>
      </c>
      <c r="BE240" s="5991"/>
      <c r="BF240" s="718">
        <f t="shared" si="270"/>
        <v>25.933</v>
      </c>
    </row>
    <row r="241" spans="1:58" ht="20.25" customHeight="1" x14ac:dyDescent="0.3">
      <c r="A241" s="142"/>
      <c r="B241" s="3164" t="s">
        <v>830</v>
      </c>
      <c r="C241" s="3157" t="s">
        <v>1100</v>
      </c>
      <c r="D241" s="4929"/>
      <c r="E241" s="6037"/>
      <c r="F241" s="4923"/>
      <c r="G241" s="6037"/>
      <c r="H241" s="4923"/>
      <c r="I241" s="5991"/>
      <c r="J241" s="718">
        <f t="shared" si="277"/>
        <v>0</v>
      </c>
      <c r="K241" s="6037"/>
      <c r="L241" s="4923"/>
      <c r="M241" s="6019"/>
      <c r="N241" s="717">
        <f t="shared" si="271"/>
        <v>0</v>
      </c>
      <c r="O241" s="6037"/>
      <c r="P241" s="4923"/>
      <c r="Q241" s="5991"/>
      <c r="R241" s="718">
        <f t="shared" si="278"/>
        <v>0</v>
      </c>
      <c r="S241" s="6037"/>
      <c r="T241" s="4923"/>
      <c r="U241" s="5991"/>
      <c r="V241" s="718">
        <f t="shared" si="279"/>
        <v>0</v>
      </c>
      <c r="W241" s="6037"/>
      <c r="X241" s="4923"/>
      <c r="Y241" s="6019"/>
      <c r="Z241" s="6019">
        <f t="shared" si="272"/>
        <v>0</v>
      </c>
      <c r="AA241" s="6004"/>
      <c r="AB241" s="429">
        <f t="shared" si="273"/>
        <v>0</v>
      </c>
      <c r="AC241" s="6037"/>
      <c r="AD241" s="4923"/>
      <c r="AE241" s="5991"/>
      <c r="AF241" s="718">
        <f t="shared" si="280"/>
        <v>0</v>
      </c>
      <c r="AG241" s="6037"/>
      <c r="AH241" s="4923"/>
      <c r="AI241" s="5991"/>
      <c r="AJ241" s="718">
        <f t="shared" si="281"/>
        <v>0</v>
      </c>
      <c r="AK241" s="6037"/>
      <c r="AL241" s="4923"/>
      <c r="AM241" s="6019"/>
      <c r="AN241" s="717">
        <f t="shared" si="274"/>
        <v>0</v>
      </c>
      <c r="AO241" s="5991"/>
      <c r="AP241" s="718">
        <f t="shared" si="275"/>
        <v>0</v>
      </c>
      <c r="AQ241" s="6037"/>
      <c r="AR241" s="4923"/>
      <c r="AS241" s="5991"/>
      <c r="AT241" s="718">
        <f t="shared" si="282"/>
        <v>0</v>
      </c>
      <c r="AU241" s="6037"/>
      <c r="AV241" s="4923"/>
      <c r="AW241" s="5991"/>
      <c r="AX241" s="718">
        <f t="shared" si="283"/>
        <v>0</v>
      </c>
      <c r="AY241" s="6037"/>
      <c r="AZ241" s="4923"/>
      <c r="BA241" s="6019"/>
      <c r="BB241" s="717">
        <f t="shared" si="276"/>
        <v>0</v>
      </c>
      <c r="BC241" s="6004"/>
      <c r="BD241" s="429">
        <f t="shared" si="269"/>
        <v>0</v>
      </c>
      <c r="BE241" s="5991"/>
      <c r="BF241" s="718">
        <f t="shared" si="270"/>
        <v>0</v>
      </c>
    </row>
    <row r="242" spans="1:58" ht="19.5" customHeight="1" x14ac:dyDescent="0.3">
      <c r="A242" s="142"/>
      <c r="B242" s="3164" t="s">
        <v>830</v>
      </c>
      <c r="C242" s="3157" t="s">
        <v>1272</v>
      </c>
      <c r="D242" s="3157"/>
      <c r="E242" s="6037"/>
      <c r="F242" s="1094"/>
      <c r="G242" s="6037"/>
      <c r="H242" s="1094">
        <v>31.593</v>
      </c>
      <c r="I242" s="5991"/>
      <c r="J242" s="718">
        <f t="shared" si="277"/>
        <v>31.593</v>
      </c>
      <c r="K242" s="6037"/>
      <c r="L242" s="1094"/>
      <c r="M242" s="6019"/>
      <c r="N242" s="717">
        <f t="shared" si="271"/>
        <v>31.593</v>
      </c>
      <c r="O242" s="6037"/>
      <c r="P242" s="1094"/>
      <c r="Q242" s="5991"/>
      <c r="R242" s="718">
        <f t="shared" si="278"/>
        <v>31.593</v>
      </c>
      <c r="S242" s="6037"/>
      <c r="T242" s="1094"/>
      <c r="U242" s="5991"/>
      <c r="V242" s="718">
        <f t="shared" si="279"/>
        <v>31.593</v>
      </c>
      <c r="W242" s="6037"/>
      <c r="X242" s="1094"/>
      <c r="Y242" s="6019"/>
      <c r="Z242" s="6019">
        <f t="shared" si="272"/>
        <v>0</v>
      </c>
      <c r="AA242" s="6004"/>
      <c r="AB242" s="429">
        <f t="shared" si="273"/>
        <v>31.593</v>
      </c>
      <c r="AC242" s="6037"/>
      <c r="AD242" s="1094"/>
      <c r="AE242" s="5991"/>
      <c r="AF242" s="718">
        <f t="shared" si="280"/>
        <v>31.593</v>
      </c>
      <c r="AG242" s="6037"/>
      <c r="AH242" s="1094"/>
      <c r="AI242" s="5991"/>
      <c r="AJ242" s="718">
        <f t="shared" si="281"/>
        <v>31.593</v>
      </c>
      <c r="AK242" s="6037"/>
      <c r="AL242" s="1094"/>
      <c r="AM242" s="6019"/>
      <c r="AN242" s="717">
        <f t="shared" si="274"/>
        <v>0</v>
      </c>
      <c r="AO242" s="5991"/>
      <c r="AP242" s="718">
        <f t="shared" si="275"/>
        <v>31.593</v>
      </c>
      <c r="AQ242" s="6037"/>
      <c r="AR242" s="1094"/>
      <c r="AS242" s="5991"/>
      <c r="AT242" s="718">
        <f t="shared" si="282"/>
        <v>31.593</v>
      </c>
      <c r="AU242" s="6037"/>
      <c r="AV242" s="1094"/>
      <c r="AW242" s="5991"/>
      <c r="AX242" s="718">
        <f t="shared" si="283"/>
        <v>31.593</v>
      </c>
      <c r="AY242" s="6037"/>
      <c r="AZ242" s="1094"/>
      <c r="BA242" s="6019"/>
      <c r="BB242" s="717">
        <f t="shared" si="276"/>
        <v>0</v>
      </c>
      <c r="BC242" s="6004"/>
      <c r="BD242" s="429">
        <f t="shared" si="269"/>
        <v>0</v>
      </c>
      <c r="BE242" s="5991"/>
      <c r="BF242" s="718">
        <f t="shared" si="270"/>
        <v>31.593</v>
      </c>
    </row>
    <row r="243" spans="1:58" x14ac:dyDescent="0.3">
      <c r="A243" s="142"/>
      <c r="B243" s="3164" t="s">
        <v>830</v>
      </c>
      <c r="C243" s="3157" t="s">
        <v>956</v>
      </c>
      <c r="D243" s="192"/>
      <c r="E243" s="6037"/>
      <c r="F243" s="1031"/>
      <c r="G243" s="6037"/>
      <c r="H243" s="1031">
        <v>1166.231</v>
      </c>
      <c r="I243" s="5991"/>
      <c r="J243" s="718">
        <f t="shared" si="277"/>
        <v>1166.231</v>
      </c>
      <c r="K243" s="6037"/>
      <c r="L243" s="1031"/>
      <c r="M243" s="6019"/>
      <c r="N243" s="717">
        <f t="shared" si="271"/>
        <v>1166.231</v>
      </c>
      <c r="O243" s="6037"/>
      <c r="P243" s="1031"/>
      <c r="Q243" s="5991"/>
      <c r="R243" s="718">
        <f t="shared" si="278"/>
        <v>1166.231</v>
      </c>
      <c r="S243" s="6037"/>
      <c r="T243" s="1031"/>
      <c r="U243" s="5991"/>
      <c r="V243" s="718">
        <f t="shared" si="279"/>
        <v>1166.231</v>
      </c>
      <c r="W243" s="6037"/>
      <c r="X243" s="1031"/>
      <c r="Y243" s="6019"/>
      <c r="Z243" s="6019">
        <f t="shared" si="272"/>
        <v>0</v>
      </c>
      <c r="AA243" s="6004"/>
      <c r="AB243" s="429">
        <f t="shared" si="273"/>
        <v>1166.231</v>
      </c>
      <c r="AC243" s="6037"/>
      <c r="AD243" s="1031"/>
      <c r="AE243" s="5991"/>
      <c r="AF243" s="718">
        <f t="shared" si="280"/>
        <v>1166.231</v>
      </c>
      <c r="AG243" s="6037"/>
      <c r="AH243" s="1031"/>
      <c r="AI243" s="5991"/>
      <c r="AJ243" s="718">
        <f t="shared" si="281"/>
        <v>1166.231</v>
      </c>
      <c r="AK243" s="6037"/>
      <c r="AL243" s="1031"/>
      <c r="AM243" s="6019"/>
      <c r="AN243" s="717">
        <f t="shared" si="274"/>
        <v>0</v>
      </c>
      <c r="AO243" s="5991"/>
      <c r="AP243" s="718">
        <f t="shared" si="275"/>
        <v>1166.231</v>
      </c>
      <c r="AQ243" s="6037"/>
      <c r="AR243" s="1031"/>
      <c r="AS243" s="5991"/>
      <c r="AT243" s="718">
        <f t="shared" si="282"/>
        <v>1166.231</v>
      </c>
      <c r="AU243" s="6037"/>
      <c r="AV243" s="1031"/>
      <c r="AW243" s="5991"/>
      <c r="AX243" s="718">
        <f t="shared" si="283"/>
        <v>1166.231</v>
      </c>
      <c r="AY243" s="6037"/>
      <c r="AZ243" s="1031"/>
      <c r="BA243" s="6019"/>
      <c r="BB243" s="717">
        <f t="shared" si="276"/>
        <v>0</v>
      </c>
      <c r="BC243" s="6004"/>
      <c r="BD243" s="429">
        <f t="shared" si="269"/>
        <v>0</v>
      </c>
      <c r="BE243" s="5991"/>
      <c r="BF243" s="718">
        <f t="shared" si="270"/>
        <v>1166.231</v>
      </c>
    </row>
    <row r="244" spans="1:58" ht="15.75" customHeight="1" x14ac:dyDescent="0.3">
      <c r="A244" s="142"/>
      <c r="B244" s="3164" t="s">
        <v>830</v>
      </c>
      <c r="C244" s="3166" t="s">
        <v>1099</v>
      </c>
      <c r="D244" s="2648"/>
      <c r="E244" s="6037"/>
      <c r="F244" s="2399"/>
      <c r="G244" s="6037"/>
      <c r="H244" s="2399"/>
      <c r="I244" s="5991"/>
      <c r="J244" s="718">
        <f t="shared" si="277"/>
        <v>0</v>
      </c>
      <c r="K244" s="6037"/>
      <c r="L244" s="2399"/>
      <c r="M244" s="6019"/>
      <c r="N244" s="717">
        <f t="shared" si="271"/>
        <v>0</v>
      </c>
      <c r="O244" s="6037"/>
      <c r="P244" s="2399"/>
      <c r="Q244" s="5991"/>
      <c r="R244" s="718">
        <f t="shared" si="278"/>
        <v>0</v>
      </c>
      <c r="S244" s="6037"/>
      <c r="T244" s="2399"/>
      <c r="U244" s="5991"/>
      <c r="V244" s="718">
        <f t="shared" si="279"/>
        <v>0</v>
      </c>
      <c r="W244" s="6037"/>
      <c r="X244" s="2399"/>
      <c r="Y244" s="6019"/>
      <c r="Z244" s="6019">
        <f t="shared" si="272"/>
        <v>0</v>
      </c>
      <c r="AA244" s="6004"/>
      <c r="AB244" s="429">
        <f t="shared" si="273"/>
        <v>0</v>
      </c>
      <c r="AC244" s="6037"/>
      <c r="AD244" s="2399"/>
      <c r="AE244" s="5991"/>
      <c r="AF244" s="718">
        <f t="shared" si="280"/>
        <v>0</v>
      </c>
      <c r="AG244" s="6037"/>
      <c r="AH244" s="2399"/>
      <c r="AI244" s="5991"/>
      <c r="AJ244" s="718">
        <f t="shared" si="281"/>
        <v>0</v>
      </c>
      <c r="AK244" s="6037"/>
      <c r="AL244" s="2399"/>
      <c r="AM244" s="6019"/>
      <c r="AN244" s="717">
        <f t="shared" si="274"/>
        <v>0</v>
      </c>
      <c r="AO244" s="5991"/>
      <c r="AP244" s="718">
        <f t="shared" si="275"/>
        <v>0</v>
      </c>
      <c r="AQ244" s="6037"/>
      <c r="AR244" s="2399"/>
      <c r="AS244" s="5991"/>
      <c r="AT244" s="718">
        <f t="shared" si="282"/>
        <v>0</v>
      </c>
      <c r="AU244" s="6037"/>
      <c r="AV244" s="2399"/>
      <c r="AW244" s="5991"/>
      <c r="AX244" s="718">
        <f t="shared" si="283"/>
        <v>0</v>
      </c>
      <c r="AY244" s="6037"/>
      <c r="AZ244" s="2399"/>
      <c r="BA244" s="6019"/>
      <c r="BB244" s="717">
        <f t="shared" si="276"/>
        <v>0</v>
      </c>
      <c r="BC244" s="6004"/>
      <c r="BD244" s="429">
        <f t="shared" si="269"/>
        <v>0</v>
      </c>
      <c r="BE244" s="5991"/>
      <c r="BF244" s="718">
        <f t="shared" si="270"/>
        <v>0</v>
      </c>
    </row>
    <row r="245" spans="1:58" ht="15.75" customHeight="1" x14ac:dyDescent="0.3">
      <c r="A245" s="142"/>
      <c r="B245" s="3164" t="s">
        <v>830</v>
      </c>
      <c r="C245" s="3157" t="s">
        <v>864</v>
      </c>
      <c r="D245" s="192"/>
      <c r="E245" s="6037"/>
      <c r="F245" s="1031">
        <v>60.02</v>
      </c>
      <c r="G245" s="6037"/>
      <c r="H245" s="1031">
        <v>21.042000000000002</v>
      </c>
      <c r="I245" s="5991"/>
      <c r="J245" s="718">
        <f t="shared" si="277"/>
        <v>81.062000000000012</v>
      </c>
      <c r="K245" s="6037"/>
      <c r="L245" s="1031"/>
      <c r="M245" s="6019"/>
      <c r="N245" s="717">
        <f t="shared" si="271"/>
        <v>81.062000000000012</v>
      </c>
      <c r="O245" s="6037"/>
      <c r="P245" s="1031"/>
      <c r="Q245" s="5991"/>
      <c r="R245" s="718">
        <f t="shared" si="278"/>
        <v>81.062000000000012</v>
      </c>
      <c r="S245" s="6037"/>
      <c r="T245" s="1031"/>
      <c r="U245" s="5991"/>
      <c r="V245" s="718">
        <f t="shared" si="279"/>
        <v>81.062000000000012</v>
      </c>
      <c r="W245" s="6037"/>
      <c r="X245" s="1031"/>
      <c r="Y245" s="6019"/>
      <c r="Z245" s="6019">
        <f t="shared" si="272"/>
        <v>0</v>
      </c>
      <c r="AA245" s="6004"/>
      <c r="AB245" s="429">
        <f t="shared" si="273"/>
        <v>81.062000000000012</v>
      </c>
      <c r="AC245" s="6037"/>
      <c r="AD245" s="1031"/>
      <c r="AE245" s="5991"/>
      <c r="AF245" s="718">
        <f t="shared" si="280"/>
        <v>81.062000000000012</v>
      </c>
      <c r="AG245" s="6037"/>
      <c r="AH245" s="1031"/>
      <c r="AI245" s="5991"/>
      <c r="AJ245" s="718">
        <f t="shared" si="281"/>
        <v>81.062000000000012</v>
      </c>
      <c r="AK245" s="6037"/>
      <c r="AL245" s="1031"/>
      <c r="AM245" s="6019"/>
      <c r="AN245" s="717">
        <f t="shared" si="274"/>
        <v>0</v>
      </c>
      <c r="AO245" s="5991"/>
      <c r="AP245" s="718">
        <f t="shared" si="275"/>
        <v>81.062000000000012</v>
      </c>
      <c r="AQ245" s="6037"/>
      <c r="AR245" s="1031"/>
      <c r="AS245" s="5991"/>
      <c r="AT245" s="718">
        <f t="shared" si="282"/>
        <v>81.062000000000012</v>
      </c>
      <c r="AU245" s="6037"/>
      <c r="AV245" s="1031"/>
      <c r="AW245" s="5991"/>
      <c r="AX245" s="718">
        <f t="shared" si="283"/>
        <v>81.062000000000012</v>
      </c>
      <c r="AY245" s="6037"/>
      <c r="AZ245" s="1031"/>
      <c r="BA245" s="6019"/>
      <c r="BB245" s="717">
        <f t="shared" si="276"/>
        <v>0</v>
      </c>
      <c r="BC245" s="6004"/>
      <c r="BD245" s="429">
        <f t="shared" si="269"/>
        <v>0</v>
      </c>
      <c r="BE245" s="5991"/>
      <c r="BF245" s="718">
        <f t="shared" si="270"/>
        <v>81.062000000000012</v>
      </c>
    </row>
    <row r="246" spans="1:58" ht="15.75" customHeight="1" x14ac:dyDescent="0.3">
      <c r="A246" s="142"/>
      <c r="B246" s="3164" t="s">
        <v>830</v>
      </c>
      <c r="C246" s="3157" t="s">
        <v>1103</v>
      </c>
      <c r="D246" s="192"/>
      <c r="E246" s="6037"/>
      <c r="F246" s="1031"/>
      <c r="G246" s="6037"/>
      <c r="H246" s="1031"/>
      <c r="I246" s="5991"/>
      <c r="J246" s="718">
        <f t="shared" si="277"/>
        <v>0</v>
      </c>
      <c r="K246" s="6037"/>
      <c r="L246" s="1031"/>
      <c r="M246" s="6019"/>
      <c r="N246" s="717">
        <f t="shared" si="271"/>
        <v>0</v>
      </c>
      <c r="O246" s="6037"/>
      <c r="P246" s="1031"/>
      <c r="Q246" s="5991"/>
      <c r="R246" s="718">
        <f t="shared" si="278"/>
        <v>0</v>
      </c>
      <c r="S246" s="6037"/>
      <c r="T246" s="1031"/>
      <c r="U246" s="5991"/>
      <c r="V246" s="718">
        <f t="shared" si="279"/>
        <v>0</v>
      </c>
      <c r="W246" s="6037"/>
      <c r="X246" s="1031"/>
      <c r="Y246" s="6019"/>
      <c r="Z246" s="6019">
        <f t="shared" si="272"/>
        <v>0</v>
      </c>
      <c r="AA246" s="6004"/>
      <c r="AB246" s="429">
        <f t="shared" si="273"/>
        <v>0</v>
      </c>
      <c r="AC246" s="6037"/>
      <c r="AD246" s="1031"/>
      <c r="AE246" s="5991"/>
      <c r="AF246" s="718">
        <f t="shared" si="280"/>
        <v>0</v>
      </c>
      <c r="AG246" s="6037"/>
      <c r="AH246" s="1031"/>
      <c r="AI246" s="5991"/>
      <c r="AJ246" s="718">
        <f t="shared" si="281"/>
        <v>0</v>
      </c>
      <c r="AK246" s="6037"/>
      <c r="AL246" s="1031"/>
      <c r="AM246" s="6019"/>
      <c r="AN246" s="717">
        <f t="shared" si="274"/>
        <v>0</v>
      </c>
      <c r="AO246" s="5991"/>
      <c r="AP246" s="718">
        <f t="shared" si="275"/>
        <v>0</v>
      </c>
      <c r="AQ246" s="6037"/>
      <c r="AR246" s="1031"/>
      <c r="AS246" s="5991"/>
      <c r="AT246" s="718">
        <f t="shared" si="282"/>
        <v>0</v>
      </c>
      <c r="AU246" s="6037"/>
      <c r="AV246" s="1031"/>
      <c r="AW246" s="5991"/>
      <c r="AX246" s="718">
        <f t="shared" si="283"/>
        <v>0</v>
      </c>
      <c r="AY246" s="6037"/>
      <c r="AZ246" s="1031"/>
      <c r="BA246" s="6019"/>
      <c r="BB246" s="717">
        <f t="shared" si="276"/>
        <v>0</v>
      </c>
      <c r="BC246" s="6004"/>
      <c r="BD246" s="429">
        <f t="shared" si="269"/>
        <v>0</v>
      </c>
      <c r="BE246" s="5991"/>
      <c r="BF246" s="718">
        <f t="shared" si="270"/>
        <v>0</v>
      </c>
    </row>
    <row r="247" spans="1:58" x14ac:dyDescent="0.3">
      <c r="A247" s="142"/>
      <c r="B247" s="3164" t="s">
        <v>830</v>
      </c>
      <c r="C247" s="3157" t="s">
        <v>1102</v>
      </c>
      <c r="D247" s="3157"/>
      <c r="E247" s="6037"/>
      <c r="F247" s="1094"/>
      <c r="G247" s="6037"/>
      <c r="H247" s="1094">
        <v>5.9109999999999996</v>
      </c>
      <c r="I247" s="5991"/>
      <c r="J247" s="718">
        <f t="shared" si="277"/>
        <v>5.9109999999999996</v>
      </c>
      <c r="K247" s="6037"/>
      <c r="L247" s="1094"/>
      <c r="M247" s="6019"/>
      <c r="N247" s="717">
        <f t="shared" si="271"/>
        <v>5.9109999999999996</v>
      </c>
      <c r="O247" s="6037"/>
      <c r="P247" s="1094"/>
      <c r="Q247" s="5991"/>
      <c r="R247" s="718">
        <f t="shared" si="278"/>
        <v>5.9109999999999996</v>
      </c>
      <c r="S247" s="6037"/>
      <c r="T247" s="1094"/>
      <c r="U247" s="5991"/>
      <c r="V247" s="718">
        <f t="shared" si="279"/>
        <v>5.9109999999999996</v>
      </c>
      <c r="W247" s="6037"/>
      <c r="X247" s="1094"/>
      <c r="Y247" s="6019"/>
      <c r="Z247" s="6019">
        <f t="shared" si="272"/>
        <v>0</v>
      </c>
      <c r="AA247" s="6004"/>
      <c r="AB247" s="429">
        <f t="shared" si="273"/>
        <v>5.9109999999999996</v>
      </c>
      <c r="AC247" s="6037"/>
      <c r="AD247" s="1094"/>
      <c r="AE247" s="5991"/>
      <c r="AF247" s="718">
        <f t="shared" si="280"/>
        <v>5.9109999999999996</v>
      </c>
      <c r="AG247" s="6037"/>
      <c r="AH247" s="1094"/>
      <c r="AI247" s="5991"/>
      <c r="AJ247" s="718">
        <f t="shared" si="281"/>
        <v>5.9109999999999996</v>
      </c>
      <c r="AK247" s="6037"/>
      <c r="AL247" s="1094"/>
      <c r="AM247" s="6019"/>
      <c r="AN247" s="717">
        <f t="shared" si="274"/>
        <v>0</v>
      </c>
      <c r="AO247" s="5991"/>
      <c r="AP247" s="718">
        <f t="shared" si="275"/>
        <v>5.9109999999999996</v>
      </c>
      <c r="AQ247" s="6037"/>
      <c r="AR247" s="1094"/>
      <c r="AS247" s="5991"/>
      <c r="AT247" s="718">
        <f t="shared" si="282"/>
        <v>5.9109999999999996</v>
      </c>
      <c r="AU247" s="6037"/>
      <c r="AV247" s="1094"/>
      <c r="AW247" s="5991"/>
      <c r="AX247" s="718">
        <f t="shared" si="283"/>
        <v>5.9109999999999996</v>
      </c>
      <c r="AY247" s="6037"/>
      <c r="AZ247" s="1094"/>
      <c r="BA247" s="6019"/>
      <c r="BB247" s="717">
        <f t="shared" si="276"/>
        <v>0</v>
      </c>
      <c r="BC247" s="6004"/>
      <c r="BD247" s="429">
        <f t="shared" si="269"/>
        <v>0</v>
      </c>
      <c r="BE247" s="5991"/>
      <c r="BF247" s="718">
        <f t="shared" si="270"/>
        <v>5.9109999999999996</v>
      </c>
    </row>
    <row r="248" spans="1:58" ht="15.75" customHeight="1" x14ac:dyDescent="0.3">
      <c r="A248" s="142"/>
      <c r="B248" s="3164" t="s">
        <v>830</v>
      </c>
      <c r="C248" s="3157" t="s">
        <v>1232</v>
      </c>
      <c r="D248" s="3157"/>
      <c r="E248" s="6037"/>
      <c r="F248" s="1094"/>
      <c r="G248" s="6037"/>
      <c r="H248" s="1094"/>
      <c r="I248" s="5991"/>
      <c r="J248" s="718">
        <f t="shared" si="277"/>
        <v>0</v>
      </c>
      <c r="K248" s="6037"/>
      <c r="L248" s="1094"/>
      <c r="M248" s="6019"/>
      <c r="N248" s="717">
        <f t="shared" si="271"/>
        <v>0</v>
      </c>
      <c r="O248" s="6037"/>
      <c r="P248" s="1094"/>
      <c r="Q248" s="5991"/>
      <c r="R248" s="718">
        <f t="shared" si="278"/>
        <v>0</v>
      </c>
      <c r="S248" s="6037"/>
      <c r="T248" s="1094"/>
      <c r="U248" s="5991"/>
      <c r="V248" s="718">
        <f t="shared" si="279"/>
        <v>0</v>
      </c>
      <c r="W248" s="6037"/>
      <c r="X248" s="1094"/>
      <c r="Y248" s="6019"/>
      <c r="Z248" s="6019">
        <f t="shared" si="272"/>
        <v>0</v>
      </c>
      <c r="AA248" s="6004"/>
      <c r="AB248" s="429">
        <f t="shared" si="273"/>
        <v>0</v>
      </c>
      <c r="AC248" s="6037"/>
      <c r="AD248" s="1094"/>
      <c r="AE248" s="5991"/>
      <c r="AF248" s="718">
        <f t="shared" si="280"/>
        <v>0</v>
      </c>
      <c r="AG248" s="6037"/>
      <c r="AH248" s="1094"/>
      <c r="AI248" s="5991"/>
      <c r="AJ248" s="718">
        <f t="shared" si="281"/>
        <v>0</v>
      </c>
      <c r="AK248" s="6037"/>
      <c r="AL248" s="1094"/>
      <c r="AM248" s="6019"/>
      <c r="AN248" s="717">
        <f t="shared" si="274"/>
        <v>0</v>
      </c>
      <c r="AO248" s="5991"/>
      <c r="AP248" s="718">
        <f t="shared" si="275"/>
        <v>0</v>
      </c>
      <c r="AQ248" s="6037"/>
      <c r="AR248" s="1094"/>
      <c r="AS248" s="5991"/>
      <c r="AT248" s="718">
        <f t="shared" si="282"/>
        <v>0</v>
      </c>
      <c r="AU248" s="6037"/>
      <c r="AV248" s="1094"/>
      <c r="AW248" s="5991"/>
      <c r="AX248" s="718">
        <f t="shared" si="283"/>
        <v>0</v>
      </c>
      <c r="AY248" s="6037"/>
      <c r="AZ248" s="1094"/>
      <c r="BA248" s="6019"/>
      <c r="BB248" s="717">
        <f t="shared" si="276"/>
        <v>0</v>
      </c>
      <c r="BC248" s="6004"/>
      <c r="BD248" s="429">
        <f t="shared" si="269"/>
        <v>0</v>
      </c>
      <c r="BE248" s="5991"/>
      <c r="BF248" s="718">
        <f t="shared" si="270"/>
        <v>0</v>
      </c>
    </row>
    <row r="249" spans="1:58" ht="15" thickBot="1" x14ac:dyDescent="0.35">
      <c r="A249" s="142"/>
      <c r="B249" s="3165" t="s">
        <v>830</v>
      </c>
      <c r="C249" s="3160" t="s">
        <v>1106</v>
      </c>
      <c r="D249" s="3160"/>
      <c r="E249" s="6037"/>
      <c r="F249" s="103"/>
      <c r="G249" s="6037"/>
      <c r="H249" s="103">
        <v>18.18</v>
      </c>
      <c r="I249" s="5991"/>
      <c r="J249" s="718">
        <f t="shared" si="277"/>
        <v>18.18</v>
      </c>
      <c r="K249" s="6037"/>
      <c r="L249" s="103"/>
      <c r="M249" s="6019"/>
      <c r="N249" s="717">
        <f t="shared" si="271"/>
        <v>18.18</v>
      </c>
      <c r="O249" s="6037"/>
      <c r="P249" s="103"/>
      <c r="Q249" s="5991"/>
      <c r="R249" s="718">
        <f t="shared" si="278"/>
        <v>18.18</v>
      </c>
      <c r="S249" s="6037"/>
      <c r="T249" s="103"/>
      <c r="U249" s="5991"/>
      <c r="V249" s="718">
        <f t="shared" si="279"/>
        <v>18.18</v>
      </c>
      <c r="W249" s="6037"/>
      <c r="X249" s="103"/>
      <c r="Y249" s="6019"/>
      <c r="Z249" s="6019">
        <f t="shared" si="272"/>
        <v>0</v>
      </c>
      <c r="AA249" s="6004"/>
      <c r="AB249" s="429">
        <f t="shared" si="273"/>
        <v>18.18</v>
      </c>
      <c r="AC249" s="6037"/>
      <c r="AD249" s="103"/>
      <c r="AE249" s="5991"/>
      <c r="AF249" s="718">
        <f t="shared" si="280"/>
        <v>18.18</v>
      </c>
      <c r="AG249" s="6037"/>
      <c r="AH249" s="103"/>
      <c r="AI249" s="5991"/>
      <c r="AJ249" s="718">
        <f t="shared" si="281"/>
        <v>18.18</v>
      </c>
      <c r="AK249" s="6037"/>
      <c r="AL249" s="103"/>
      <c r="AM249" s="6019"/>
      <c r="AN249" s="717">
        <f t="shared" si="274"/>
        <v>0</v>
      </c>
      <c r="AO249" s="5991"/>
      <c r="AP249" s="718">
        <f t="shared" si="275"/>
        <v>18.18</v>
      </c>
      <c r="AQ249" s="6037"/>
      <c r="AR249" s="103"/>
      <c r="AS249" s="5991"/>
      <c r="AT249" s="718">
        <f t="shared" si="282"/>
        <v>18.18</v>
      </c>
      <c r="AU249" s="6037"/>
      <c r="AV249" s="103"/>
      <c r="AW249" s="5991"/>
      <c r="AX249" s="718">
        <f t="shared" si="283"/>
        <v>18.18</v>
      </c>
      <c r="AY249" s="6037"/>
      <c r="AZ249" s="103"/>
      <c r="BA249" s="6019"/>
      <c r="BB249" s="717">
        <f t="shared" si="276"/>
        <v>0</v>
      </c>
      <c r="BC249" s="6004"/>
      <c r="BD249" s="429">
        <f t="shared" si="269"/>
        <v>0</v>
      </c>
      <c r="BE249" s="5991"/>
      <c r="BF249" s="718">
        <f t="shared" si="270"/>
        <v>18.18</v>
      </c>
    </row>
    <row r="250" spans="1:58" x14ac:dyDescent="0.3">
      <c r="A250" s="142"/>
      <c r="B250" s="4474" t="s">
        <v>1966</v>
      </c>
      <c r="C250" s="3185" t="s">
        <v>834</v>
      </c>
      <c r="D250" s="3185"/>
      <c r="E250" s="6037"/>
      <c r="F250" s="3152"/>
      <c r="G250" s="6037"/>
      <c r="H250" s="3152">
        <v>41.519000000000013</v>
      </c>
      <c r="I250" s="5991"/>
      <c r="J250" s="718">
        <f t="shared" si="277"/>
        <v>41.519000000000013</v>
      </c>
      <c r="K250" s="6037"/>
      <c r="L250" s="3152"/>
      <c r="M250" s="6019"/>
      <c r="N250" s="717">
        <f t="shared" si="271"/>
        <v>41.519000000000013</v>
      </c>
      <c r="O250" s="6037"/>
      <c r="P250" s="3152"/>
      <c r="Q250" s="5991"/>
      <c r="R250" s="718">
        <f t="shared" si="278"/>
        <v>41.519000000000013</v>
      </c>
      <c r="S250" s="6037"/>
      <c r="T250" s="3152"/>
      <c r="U250" s="5991"/>
      <c r="V250" s="718">
        <f t="shared" si="279"/>
        <v>41.519000000000013</v>
      </c>
      <c r="W250" s="6037"/>
      <c r="X250" s="3152"/>
      <c r="Y250" s="6019"/>
      <c r="Z250" s="6019">
        <f t="shared" si="272"/>
        <v>0</v>
      </c>
      <c r="AA250" s="6004"/>
      <c r="AB250" s="429">
        <f t="shared" si="273"/>
        <v>41.519000000000013</v>
      </c>
      <c r="AC250" s="6037"/>
      <c r="AD250" s="3152"/>
      <c r="AE250" s="5991"/>
      <c r="AF250" s="718">
        <f t="shared" si="280"/>
        <v>41.519000000000013</v>
      </c>
      <c r="AG250" s="6037"/>
      <c r="AH250" s="3152"/>
      <c r="AI250" s="5991"/>
      <c r="AJ250" s="718">
        <f t="shared" si="281"/>
        <v>41.519000000000013</v>
      </c>
      <c r="AK250" s="6037"/>
      <c r="AL250" s="3152"/>
      <c r="AM250" s="6019"/>
      <c r="AN250" s="717">
        <f t="shared" si="274"/>
        <v>0</v>
      </c>
      <c r="AO250" s="5991"/>
      <c r="AP250" s="718">
        <f t="shared" si="275"/>
        <v>41.519000000000013</v>
      </c>
      <c r="AQ250" s="6037"/>
      <c r="AR250" s="3152"/>
      <c r="AS250" s="5991"/>
      <c r="AT250" s="718">
        <f t="shared" si="282"/>
        <v>41.519000000000013</v>
      </c>
      <c r="AU250" s="6037"/>
      <c r="AV250" s="3152"/>
      <c r="AW250" s="5991"/>
      <c r="AX250" s="718">
        <f t="shared" si="283"/>
        <v>41.519000000000013</v>
      </c>
      <c r="AY250" s="6037"/>
      <c r="AZ250" s="3152"/>
      <c r="BA250" s="6019"/>
      <c r="BB250" s="717">
        <f t="shared" si="276"/>
        <v>0</v>
      </c>
      <c r="BC250" s="6004"/>
      <c r="BD250" s="429">
        <f t="shared" si="269"/>
        <v>0</v>
      </c>
      <c r="BE250" s="5991"/>
      <c r="BF250" s="718">
        <f t="shared" si="270"/>
        <v>41.519000000000013</v>
      </c>
    </row>
    <row r="251" spans="1:58" ht="15" thickBot="1" x14ac:dyDescent="0.35">
      <c r="A251" s="142"/>
      <c r="B251" s="4474" t="s">
        <v>1966</v>
      </c>
      <c r="C251" s="3160" t="s">
        <v>822</v>
      </c>
      <c r="D251" s="3185"/>
      <c r="E251" s="6037"/>
      <c r="F251" s="3152"/>
      <c r="G251" s="6037"/>
      <c r="H251" s="3152">
        <v>6.7050000000000001</v>
      </c>
      <c r="I251" s="5991"/>
      <c r="J251" s="718">
        <f t="shared" si="277"/>
        <v>6.7050000000000001</v>
      </c>
      <c r="K251" s="6037"/>
      <c r="L251" s="3152"/>
      <c r="M251" s="6019"/>
      <c r="N251" s="717">
        <f t="shared" si="271"/>
        <v>6.7050000000000001</v>
      </c>
      <c r="O251" s="6037"/>
      <c r="P251" s="3152"/>
      <c r="Q251" s="5991"/>
      <c r="R251" s="718">
        <f t="shared" si="278"/>
        <v>6.7050000000000001</v>
      </c>
      <c r="S251" s="6037"/>
      <c r="T251" s="3152"/>
      <c r="U251" s="5991"/>
      <c r="V251" s="718">
        <f t="shared" si="279"/>
        <v>6.7050000000000001</v>
      </c>
      <c r="W251" s="6037"/>
      <c r="X251" s="3152"/>
      <c r="Y251" s="6019"/>
      <c r="Z251" s="6019">
        <f t="shared" si="272"/>
        <v>0</v>
      </c>
      <c r="AA251" s="6004"/>
      <c r="AB251" s="429">
        <f t="shared" si="273"/>
        <v>6.7050000000000001</v>
      </c>
      <c r="AC251" s="6037"/>
      <c r="AD251" s="3152"/>
      <c r="AE251" s="5991"/>
      <c r="AF251" s="718">
        <f t="shared" si="280"/>
        <v>6.7050000000000001</v>
      </c>
      <c r="AG251" s="6037"/>
      <c r="AH251" s="3152"/>
      <c r="AI251" s="5991"/>
      <c r="AJ251" s="718">
        <f t="shared" si="281"/>
        <v>6.7050000000000001</v>
      </c>
      <c r="AK251" s="6037"/>
      <c r="AL251" s="3152"/>
      <c r="AM251" s="6019"/>
      <c r="AN251" s="717">
        <f t="shared" si="274"/>
        <v>0</v>
      </c>
      <c r="AO251" s="5991"/>
      <c r="AP251" s="718">
        <f t="shared" si="275"/>
        <v>6.7050000000000001</v>
      </c>
      <c r="AQ251" s="6037"/>
      <c r="AR251" s="3152"/>
      <c r="AS251" s="5991"/>
      <c r="AT251" s="718">
        <f t="shared" si="282"/>
        <v>6.7050000000000001</v>
      </c>
      <c r="AU251" s="6037"/>
      <c r="AV251" s="3152"/>
      <c r="AW251" s="5991"/>
      <c r="AX251" s="718">
        <f t="shared" si="283"/>
        <v>6.7050000000000001</v>
      </c>
      <c r="AY251" s="6037"/>
      <c r="AZ251" s="3152"/>
      <c r="BA251" s="6019"/>
      <c r="BB251" s="717">
        <f t="shared" si="276"/>
        <v>0</v>
      </c>
      <c r="BC251" s="6004"/>
      <c r="BD251" s="429">
        <f t="shared" si="269"/>
        <v>0</v>
      </c>
      <c r="BE251" s="5991"/>
      <c r="BF251" s="718">
        <f t="shared" si="270"/>
        <v>6.7050000000000001</v>
      </c>
    </row>
    <row r="252" spans="1:58" ht="15" thickBot="1" x14ac:dyDescent="0.35">
      <c r="A252" s="142"/>
      <c r="B252" s="4474" t="s">
        <v>1966</v>
      </c>
      <c r="C252" s="3185" t="s">
        <v>843</v>
      </c>
      <c r="D252" s="3185"/>
      <c r="E252" s="6037"/>
      <c r="F252" s="3152"/>
      <c r="G252" s="6037"/>
      <c r="H252" s="3152">
        <v>8.6690000000000005</v>
      </c>
      <c r="I252" s="5991"/>
      <c r="J252" s="718">
        <f t="shared" si="277"/>
        <v>8.6690000000000005</v>
      </c>
      <c r="K252" s="6037"/>
      <c r="L252" s="3152"/>
      <c r="M252" s="6019"/>
      <c r="N252" s="717">
        <f t="shared" si="271"/>
        <v>8.6690000000000005</v>
      </c>
      <c r="O252" s="6037"/>
      <c r="P252" s="3152"/>
      <c r="Q252" s="5991"/>
      <c r="R252" s="718">
        <f t="shared" si="278"/>
        <v>8.6690000000000005</v>
      </c>
      <c r="S252" s="6037"/>
      <c r="T252" s="3152"/>
      <c r="U252" s="5991"/>
      <c r="V252" s="718">
        <f t="shared" si="279"/>
        <v>8.6690000000000005</v>
      </c>
      <c r="W252" s="6037"/>
      <c r="X252" s="3152"/>
      <c r="Y252" s="6019"/>
      <c r="Z252" s="6019">
        <f t="shared" si="272"/>
        <v>0</v>
      </c>
      <c r="AA252" s="6004"/>
      <c r="AB252" s="429">
        <f t="shared" si="273"/>
        <v>8.6690000000000005</v>
      </c>
      <c r="AC252" s="6037"/>
      <c r="AD252" s="3152"/>
      <c r="AE252" s="5991"/>
      <c r="AF252" s="718">
        <f t="shared" si="280"/>
        <v>8.6690000000000005</v>
      </c>
      <c r="AG252" s="6037"/>
      <c r="AH252" s="3152"/>
      <c r="AI252" s="5991"/>
      <c r="AJ252" s="718">
        <f t="shared" si="281"/>
        <v>8.6690000000000005</v>
      </c>
      <c r="AK252" s="6037"/>
      <c r="AL252" s="3152"/>
      <c r="AM252" s="6019"/>
      <c r="AN252" s="717">
        <f t="shared" si="274"/>
        <v>0</v>
      </c>
      <c r="AO252" s="5991"/>
      <c r="AP252" s="718">
        <f t="shared" si="275"/>
        <v>8.6690000000000005</v>
      </c>
      <c r="AQ252" s="6037"/>
      <c r="AR252" s="3152"/>
      <c r="AS252" s="5991"/>
      <c r="AT252" s="718">
        <f t="shared" si="282"/>
        <v>8.6690000000000005</v>
      </c>
      <c r="AU252" s="6037"/>
      <c r="AV252" s="3152"/>
      <c r="AW252" s="5991"/>
      <c r="AX252" s="718">
        <f t="shared" si="283"/>
        <v>8.6690000000000005</v>
      </c>
      <c r="AY252" s="6037"/>
      <c r="AZ252" s="3152"/>
      <c r="BA252" s="6019"/>
      <c r="BB252" s="717">
        <f t="shared" si="276"/>
        <v>0</v>
      </c>
      <c r="BC252" s="6004"/>
      <c r="BD252" s="429">
        <f t="shared" si="269"/>
        <v>0</v>
      </c>
      <c r="BE252" s="5991"/>
      <c r="BF252" s="718">
        <f t="shared" si="270"/>
        <v>8.6690000000000005</v>
      </c>
    </row>
    <row r="253" spans="1:58" x14ac:dyDescent="0.3">
      <c r="A253" s="142"/>
      <c r="B253" s="3161" t="s">
        <v>831</v>
      </c>
      <c r="C253" s="3156" t="s">
        <v>834</v>
      </c>
      <c r="D253" s="3156"/>
      <c r="E253" s="6037"/>
      <c r="F253" s="145"/>
      <c r="G253" s="6037"/>
      <c r="H253" s="145">
        <v>14.77</v>
      </c>
      <c r="I253" s="5991"/>
      <c r="J253" s="718">
        <f t="shared" si="277"/>
        <v>14.77</v>
      </c>
      <c r="K253" s="6037"/>
      <c r="L253" s="145"/>
      <c r="M253" s="6019"/>
      <c r="N253" s="717">
        <f t="shared" si="271"/>
        <v>14.77</v>
      </c>
      <c r="O253" s="6037"/>
      <c r="P253" s="145"/>
      <c r="Q253" s="5991"/>
      <c r="R253" s="718">
        <f t="shared" si="278"/>
        <v>14.77</v>
      </c>
      <c r="S253" s="6037"/>
      <c r="T253" s="145"/>
      <c r="U253" s="5991"/>
      <c r="V253" s="718">
        <f t="shared" si="279"/>
        <v>14.77</v>
      </c>
      <c r="W253" s="6037"/>
      <c r="X253" s="145"/>
      <c r="Y253" s="6019"/>
      <c r="Z253" s="6019">
        <f t="shared" si="272"/>
        <v>0</v>
      </c>
      <c r="AA253" s="6004"/>
      <c r="AB253" s="429">
        <f t="shared" si="273"/>
        <v>14.77</v>
      </c>
      <c r="AC253" s="6037"/>
      <c r="AD253" s="145"/>
      <c r="AE253" s="5991"/>
      <c r="AF253" s="718">
        <f t="shared" si="280"/>
        <v>14.77</v>
      </c>
      <c r="AG253" s="6037"/>
      <c r="AH253" s="145"/>
      <c r="AI253" s="5991"/>
      <c r="AJ253" s="718">
        <f t="shared" si="281"/>
        <v>14.77</v>
      </c>
      <c r="AK253" s="6037"/>
      <c r="AL253" s="145"/>
      <c r="AM253" s="6019"/>
      <c r="AN253" s="717">
        <f t="shared" si="274"/>
        <v>0</v>
      </c>
      <c r="AO253" s="5991"/>
      <c r="AP253" s="718">
        <f t="shared" si="275"/>
        <v>14.77</v>
      </c>
      <c r="AQ253" s="6037"/>
      <c r="AR253" s="145"/>
      <c r="AS253" s="5991"/>
      <c r="AT253" s="718">
        <f t="shared" si="282"/>
        <v>14.77</v>
      </c>
      <c r="AU253" s="6037"/>
      <c r="AV253" s="145"/>
      <c r="AW253" s="5991"/>
      <c r="AX253" s="718">
        <f t="shared" si="283"/>
        <v>14.77</v>
      </c>
      <c r="AY253" s="6037"/>
      <c r="AZ253" s="145"/>
      <c r="BA253" s="6019"/>
      <c r="BB253" s="717">
        <f t="shared" si="276"/>
        <v>0</v>
      </c>
      <c r="BC253" s="6004"/>
      <c r="BD253" s="429">
        <f t="shared" si="269"/>
        <v>0</v>
      </c>
      <c r="BE253" s="5991"/>
      <c r="BF253" s="718">
        <f t="shared" si="270"/>
        <v>14.77</v>
      </c>
    </row>
    <row r="254" spans="1:58" x14ac:dyDescent="0.3">
      <c r="A254" s="142"/>
      <c r="B254" s="4474" t="s">
        <v>831</v>
      </c>
      <c r="C254" s="3185" t="s">
        <v>843</v>
      </c>
      <c r="D254" s="3185"/>
      <c r="E254" s="6037"/>
      <c r="F254" s="3152"/>
      <c r="G254" s="6037"/>
      <c r="H254" s="3152">
        <v>39.575000000000003</v>
      </c>
      <c r="I254" s="5991"/>
      <c r="J254" s="718">
        <f t="shared" si="277"/>
        <v>39.575000000000003</v>
      </c>
      <c r="K254" s="6037"/>
      <c r="L254" s="3152"/>
      <c r="M254" s="6019"/>
      <c r="N254" s="717">
        <f t="shared" si="271"/>
        <v>39.575000000000003</v>
      </c>
      <c r="O254" s="6037"/>
      <c r="P254" s="3152"/>
      <c r="Q254" s="5991"/>
      <c r="R254" s="718">
        <f t="shared" si="278"/>
        <v>39.575000000000003</v>
      </c>
      <c r="S254" s="6037"/>
      <c r="T254" s="3152"/>
      <c r="U254" s="5991"/>
      <c r="V254" s="718">
        <f t="shared" si="279"/>
        <v>39.575000000000003</v>
      </c>
      <c r="W254" s="6037"/>
      <c r="X254" s="3152"/>
      <c r="Y254" s="6019"/>
      <c r="Z254" s="6019">
        <f t="shared" si="272"/>
        <v>0</v>
      </c>
      <c r="AA254" s="6004"/>
      <c r="AB254" s="429">
        <f t="shared" si="273"/>
        <v>39.575000000000003</v>
      </c>
      <c r="AC254" s="6037"/>
      <c r="AD254" s="3152"/>
      <c r="AE254" s="5991"/>
      <c r="AF254" s="718">
        <f t="shared" si="280"/>
        <v>39.575000000000003</v>
      </c>
      <c r="AG254" s="6037"/>
      <c r="AH254" s="3152"/>
      <c r="AI254" s="5991"/>
      <c r="AJ254" s="718">
        <f t="shared" si="281"/>
        <v>39.575000000000003</v>
      </c>
      <c r="AK254" s="6037"/>
      <c r="AL254" s="3152"/>
      <c r="AM254" s="6019"/>
      <c r="AN254" s="717">
        <f t="shared" si="274"/>
        <v>0</v>
      </c>
      <c r="AO254" s="5991"/>
      <c r="AP254" s="718">
        <f t="shared" si="275"/>
        <v>39.575000000000003</v>
      </c>
      <c r="AQ254" s="6037"/>
      <c r="AR254" s="3152"/>
      <c r="AS254" s="5991"/>
      <c r="AT254" s="718">
        <f t="shared" si="282"/>
        <v>39.575000000000003</v>
      </c>
      <c r="AU254" s="6037"/>
      <c r="AV254" s="3152"/>
      <c r="AW254" s="5991"/>
      <c r="AX254" s="718">
        <f t="shared" si="283"/>
        <v>39.575000000000003</v>
      </c>
      <c r="AY254" s="6037"/>
      <c r="AZ254" s="3152"/>
      <c r="BA254" s="6019"/>
      <c r="BB254" s="717">
        <f t="shared" si="276"/>
        <v>0</v>
      </c>
      <c r="BC254" s="6004"/>
      <c r="BD254" s="429">
        <f t="shared" si="269"/>
        <v>0</v>
      </c>
      <c r="BE254" s="5991"/>
      <c r="BF254" s="718">
        <f t="shared" si="270"/>
        <v>39.575000000000003</v>
      </c>
    </row>
    <row r="255" spans="1:58" ht="15" thickBot="1" x14ac:dyDescent="0.35">
      <c r="A255" s="88"/>
      <c r="B255" s="3165" t="s">
        <v>831</v>
      </c>
      <c r="C255" s="3160" t="s">
        <v>822</v>
      </c>
      <c r="D255" s="3160"/>
      <c r="E255" s="6037"/>
      <c r="F255" s="103"/>
      <c r="G255" s="6037"/>
      <c r="H255" s="103">
        <v>13.311</v>
      </c>
      <c r="I255" s="5991"/>
      <c r="J255" s="718">
        <f t="shared" si="277"/>
        <v>13.311</v>
      </c>
      <c r="K255" s="6037"/>
      <c r="L255" s="103"/>
      <c r="M255" s="6019"/>
      <c r="N255" s="717">
        <f t="shared" si="271"/>
        <v>13.311</v>
      </c>
      <c r="O255" s="6037"/>
      <c r="P255" s="103"/>
      <c r="Q255" s="5991"/>
      <c r="R255" s="718">
        <f t="shared" si="278"/>
        <v>13.311</v>
      </c>
      <c r="S255" s="6037"/>
      <c r="T255" s="103"/>
      <c r="U255" s="5991"/>
      <c r="V255" s="718">
        <f t="shared" si="279"/>
        <v>13.311</v>
      </c>
      <c r="W255" s="6037"/>
      <c r="X255" s="103"/>
      <c r="Y255" s="6019"/>
      <c r="Z255" s="6019">
        <f t="shared" si="272"/>
        <v>0</v>
      </c>
      <c r="AA255" s="6004"/>
      <c r="AB255" s="429">
        <f t="shared" si="273"/>
        <v>13.311</v>
      </c>
      <c r="AC255" s="6037"/>
      <c r="AD255" s="103"/>
      <c r="AE255" s="5991"/>
      <c r="AF255" s="718">
        <f t="shared" si="280"/>
        <v>13.311</v>
      </c>
      <c r="AG255" s="6037"/>
      <c r="AH255" s="103"/>
      <c r="AI255" s="5991"/>
      <c r="AJ255" s="718">
        <f t="shared" si="281"/>
        <v>13.311</v>
      </c>
      <c r="AK255" s="6037"/>
      <c r="AL255" s="103"/>
      <c r="AM255" s="6019"/>
      <c r="AN255" s="717">
        <f t="shared" si="274"/>
        <v>0</v>
      </c>
      <c r="AO255" s="5991"/>
      <c r="AP255" s="718">
        <f t="shared" si="275"/>
        <v>13.311</v>
      </c>
      <c r="AQ255" s="6037"/>
      <c r="AR255" s="103"/>
      <c r="AS255" s="5991"/>
      <c r="AT255" s="718">
        <f t="shared" si="282"/>
        <v>13.311</v>
      </c>
      <c r="AU255" s="6037"/>
      <c r="AV255" s="103"/>
      <c r="AW255" s="5991"/>
      <c r="AX255" s="718">
        <f t="shared" si="283"/>
        <v>13.311</v>
      </c>
      <c r="AY255" s="6037"/>
      <c r="AZ255" s="103"/>
      <c r="BA255" s="6019"/>
      <c r="BB255" s="717">
        <f t="shared" si="276"/>
        <v>0</v>
      </c>
      <c r="BC255" s="6004"/>
      <c r="BD255" s="429">
        <f t="shared" si="269"/>
        <v>0</v>
      </c>
      <c r="BE255" s="5991"/>
      <c r="BF255" s="718">
        <f t="shared" si="270"/>
        <v>13.311</v>
      </c>
    </row>
    <row r="256" spans="1:58" x14ac:dyDescent="0.3">
      <c r="A256" s="88"/>
      <c r="B256" s="3170" t="s">
        <v>77</v>
      </c>
      <c r="C256" s="3163" t="s">
        <v>1727</v>
      </c>
      <c r="D256" s="3163"/>
      <c r="E256" s="6037"/>
      <c r="F256" s="1095">
        <f>F11</f>
        <v>0</v>
      </c>
      <c r="G256" s="6037"/>
      <c r="H256" s="1095"/>
      <c r="I256" s="5991"/>
      <c r="J256" s="718">
        <f t="shared" si="277"/>
        <v>0</v>
      </c>
      <c r="K256" s="6037"/>
      <c r="L256" s="1095"/>
      <c r="M256" s="6019"/>
      <c r="N256" s="717">
        <f t="shared" si="271"/>
        <v>0</v>
      </c>
      <c r="O256" s="6037"/>
      <c r="P256" s="1095"/>
      <c r="Q256" s="5991"/>
      <c r="R256" s="718">
        <f t="shared" si="278"/>
        <v>0</v>
      </c>
      <c r="S256" s="6037"/>
      <c r="T256" s="1095"/>
      <c r="U256" s="5991"/>
      <c r="V256" s="718">
        <f t="shared" si="279"/>
        <v>0</v>
      </c>
      <c r="W256" s="6037"/>
      <c r="X256" s="1095"/>
      <c r="Y256" s="6019"/>
      <c r="Z256" s="6019">
        <f t="shared" si="272"/>
        <v>0</v>
      </c>
      <c r="AA256" s="6004"/>
      <c r="AB256" s="429">
        <f t="shared" si="273"/>
        <v>0</v>
      </c>
      <c r="AC256" s="6037"/>
      <c r="AD256" s="1095"/>
      <c r="AE256" s="5991"/>
      <c r="AF256" s="718">
        <f t="shared" si="280"/>
        <v>0</v>
      </c>
      <c r="AG256" s="6037"/>
      <c r="AH256" s="1095"/>
      <c r="AI256" s="5991"/>
      <c r="AJ256" s="718">
        <f t="shared" si="281"/>
        <v>0</v>
      </c>
      <c r="AK256" s="6037"/>
      <c r="AL256" s="1095"/>
      <c r="AM256" s="6019"/>
      <c r="AN256" s="717">
        <f t="shared" si="274"/>
        <v>0</v>
      </c>
      <c r="AO256" s="5991"/>
      <c r="AP256" s="718">
        <f t="shared" si="275"/>
        <v>0</v>
      </c>
      <c r="AQ256" s="6037"/>
      <c r="AR256" s="1095"/>
      <c r="AS256" s="5991"/>
      <c r="AT256" s="718">
        <f t="shared" si="282"/>
        <v>0</v>
      </c>
      <c r="AU256" s="6037"/>
      <c r="AV256" s="1095"/>
      <c r="AW256" s="5991"/>
      <c r="AX256" s="718">
        <f t="shared" si="283"/>
        <v>0</v>
      </c>
      <c r="AY256" s="6037"/>
      <c r="AZ256" s="1095"/>
      <c r="BA256" s="6019"/>
      <c r="BB256" s="717">
        <f t="shared" si="276"/>
        <v>0</v>
      </c>
      <c r="BC256" s="6004"/>
      <c r="BD256" s="429">
        <f t="shared" si="269"/>
        <v>0</v>
      </c>
      <c r="BE256" s="5991"/>
      <c r="BF256" s="718">
        <f t="shared" si="270"/>
        <v>0</v>
      </c>
    </row>
    <row r="257" spans="1:58" x14ac:dyDescent="0.3">
      <c r="A257" s="88"/>
      <c r="B257" s="3170" t="s">
        <v>77</v>
      </c>
      <c r="C257" s="3163" t="s">
        <v>2286</v>
      </c>
      <c r="D257" s="3163"/>
      <c r="E257" s="6037"/>
      <c r="F257" s="1095"/>
      <c r="G257" s="6037"/>
      <c r="H257" s="1095">
        <v>185.7</v>
      </c>
      <c r="I257" s="5991"/>
      <c r="J257" s="718">
        <f t="shared" si="277"/>
        <v>185.7</v>
      </c>
      <c r="K257" s="6037"/>
      <c r="L257" s="1095"/>
      <c r="M257" s="6019"/>
      <c r="N257" s="717">
        <f t="shared" si="271"/>
        <v>185.7</v>
      </c>
      <c r="O257" s="6037"/>
      <c r="P257" s="1095"/>
      <c r="Q257" s="5991"/>
      <c r="R257" s="718">
        <f t="shared" si="278"/>
        <v>185.7</v>
      </c>
      <c r="S257" s="6037"/>
      <c r="T257" s="1095"/>
      <c r="U257" s="5991"/>
      <c r="V257" s="718">
        <f t="shared" si="279"/>
        <v>185.7</v>
      </c>
      <c r="W257" s="6037"/>
      <c r="X257" s="1095"/>
      <c r="Y257" s="6019"/>
      <c r="Z257" s="6019">
        <f t="shared" si="272"/>
        <v>0</v>
      </c>
      <c r="AA257" s="6004"/>
      <c r="AB257" s="429">
        <f t="shared" si="273"/>
        <v>185.7</v>
      </c>
      <c r="AC257" s="6037"/>
      <c r="AD257" s="1095"/>
      <c r="AE257" s="5991"/>
      <c r="AF257" s="718">
        <f t="shared" si="280"/>
        <v>185.7</v>
      </c>
      <c r="AG257" s="6037"/>
      <c r="AH257" s="1095"/>
      <c r="AI257" s="5991"/>
      <c r="AJ257" s="718">
        <f t="shared" si="281"/>
        <v>185.7</v>
      </c>
      <c r="AK257" s="6037"/>
      <c r="AL257" s="1095"/>
      <c r="AM257" s="6019"/>
      <c r="AN257" s="717">
        <f t="shared" si="274"/>
        <v>0</v>
      </c>
      <c r="AO257" s="5991"/>
      <c r="AP257" s="718">
        <f t="shared" si="275"/>
        <v>185.7</v>
      </c>
      <c r="AQ257" s="6037"/>
      <c r="AR257" s="1095"/>
      <c r="AS257" s="5991"/>
      <c r="AT257" s="718">
        <f t="shared" si="282"/>
        <v>185.7</v>
      </c>
      <c r="AU257" s="6037"/>
      <c r="AV257" s="1095"/>
      <c r="AW257" s="5991"/>
      <c r="AX257" s="718">
        <f t="shared" si="283"/>
        <v>185.7</v>
      </c>
      <c r="AY257" s="6037"/>
      <c r="AZ257" s="1095"/>
      <c r="BA257" s="6019"/>
      <c r="BB257" s="717">
        <f t="shared" si="276"/>
        <v>0</v>
      </c>
      <c r="BC257" s="6004"/>
      <c r="BD257" s="429">
        <f t="shared" si="269"/>
        <v>0</v>
      </c>
      <c r="BE257" s="5991"/>
      <c r="BF257" s="718">
        <f t="shared" si="270"/>
        <v>185.7</v>
      </c>
    </row>
    <row r="258" spans="1:58" x14ac:dyDescent="0.3">
      <c r="A258" s="88"/>
      <c r="B258" s="3170" t="s">
        <v>77</v>
      </c>
      <c r="C258" s="3163" t="s">
        <v>2141</v>
      </c>
      <c r="D258" s="3163"/>
      <c r="E258" s="6037"/>
      <c r="F258" s="1095"/>
      <c r="G258" s="6037"/>
      <c r="H258" s="1095">
        <v>302.52</v>
      </c>
      <c r="I258" s="5991"/>
      <c r="J258" s="718">
        <f t="shared" si="277"/>
        <v>302.52</v>
      </c>
      <c r="K258" s="6037"/>
      <c r="L258" s="1095"/>
      <c r="M258" s="6019"/>
      <c r="N258" s="717">
        <f t="shared" si="271"/>
        <v>302.52</v>
      </c>
      <c r="O258" s="6037"/>
      <c r="P258" s="1095"/>
      <c r="Q258" s="5991"/>
      <c r="R258" s="718">
        <f t="shared" si="278"/>
        <v>302.52</v>
      </c>
      <c r="S258" s="6037"/>
      <c r="T258" s="1095"/>
      <c r="U258" s="5991"/>
      <c r="V258" s="718">
        <f t="shared" si="279"/>
        <v>302.52</v>
      </c>
      <c r="W258" s="6037"/>
      <c r="X258" s="1095"/>
      <c r="Y258" s="6019"/>
      <c r="Z258" s="6019">
        <f t="shared" si="272"/>
        <v>0</v>
      </c>
      <c r="AA258" s="6004"/>
      <c r="AB258" s="429">
        <f t="shared" si="273"/>
        <v>302.52</v>
      </c>
      <c r="AC258" s="6037"/>
      <c r="AD258" s="1095"/>
      <c r="AE258" s="5991"/>
      <c r="AF258" s="718">
        <f t="shared" si="280"/>
        <v>302.52</v>
      </c>
      <c r="AG258" s="6037"/>
      <c r="AH258" s="1095"/>
      <c r="AI258" s="5991"/>
      <c r="AJ258" s="718">
        <f t="shared" si="281"/>
        <v>302.52</v>
      </c>
      <c r="AK258" s="6037"/>
      <c r="AL258" s="1095"/>
      <c r="AM258" s="6019"/>
      <c r="AN258" s="717">
        <f t="shared" si="274"/>
        <v>0</v>
      </c>
      <c r="AO258" s="5991"/>
      <c r="AP258" s="718">
        <f t="shared" si="275"/>
        <v>302.52</v>
      </c>
      <c r="AQ258" s="6037"/>
      <c r="AR258" s="1095"/>
      <c r="AS258" s="5991"/>
      <c r="AT258" s="718">
        <f t="shared" si="282"/>
        <v>302.52</v>
      </c>
      <c r="AU258" s="6037"/>
      <c r="AV258" s="1095"/>
      <c r="AW258" s="5991"/>
      <c r="AX258" s="718">
        <f t="shared" si="283"/>
        <v>302.52</v>
      </c>
      <c r="AY258" s="6037"/>
      <c r="AZ258" s="1095"/>
      <c r="BA258" s="6019"/>
      <c r="BB258" s="717">
        <f t="shared" si="276"/>
        <v>0</v>
      </c>
      <c r="BC258" s="6004"/>
      <c r="BD258" s="429">
        <f t="shared" si="269"/>
        <v>0</v>
      </c>
      <c r="BE258" s="5991"/>
      <c r="BF258" s="718">
        <f t="shared" si="270"/>
        <v>302.52</v>
      </c>
    </row>
    <row r="259" spans="1:58" x14ac:dyDescent="0.3">
      <c r="A259" s="88"/>
      <c r="B259" s="3171" t="s">
        <v>526</v>
      </c>
      <c r="C259" s="192"/>
      <c r="D259" s="192"/>
      <c r="E259" s="6038"/>
      <c r="F259" s="1031">
        <f>F12</f>
        <v>0</v>
      </c>
      <c r="G259" s="6038"/>
      <c r="H259" s="1031">
        <f>H12</f>
        <v>0</v>
      </c>
      <c r="I259" s="5992"/>
      <c r="J259" s="718">
        <f t="shared" si="277"/>
        <v>0</v>
      </c>
      <c r="K259" s="6038"/>
      <c r="L259" s="1031">
        <f>L12</f>
        <v>0</v>
      </c>
      <c r="M259" s="6020"/>
      <c r="N259" s="717">
        <f t="shared" si="271"/>
        <v>0</v>
      </c>
      <c r="O259" s="6038"/>
      <c r="P259" s="1031">
        <f>P12</f>
        <v>0</v>
      </c>
      <c r="Q259" s="5992"/>
      <c r="R259" s="718">
        <f t="shared" si="278"/>
        <v>0</v>
      </c>
      <c r="S259" s="6038"/>
      <c r="T259" s="1031">
        <f>T12</f>
        <v>0</v>
      </c>
      <c r="U259" s="5992"/>
      <c r="V259" s="718">
        <f t="shared" si="279"/>
        <v>0</v>
      </c>
      <c r="W259" s="6038"/>
      <c r="X259" s="1031">
        <f>X12</f>
        <v>0</v>
      </c>
      <c r="Y259" s="6020"/>
      <c r="Z259" s="6020">
        <f t="shared" si="272"/>
        <v>0</v>
      </c>
      <c r="AA259" s="6005"/>
      <c r="AB259" s="429">
        <f t="shared" si="273"/>
        <v>0</v>
      </c>
      <c r="AC259" s="6038"/>
      <c r="AD259" s="1031">
        <f>AD12</f>
        <v>0</v>
      </c>
      <c r="AE259" s="5992"/>
      <c r="AF259" s="718">
        <f t="shared" si="280"/>
        <v>0</v>
      </c>
      <c r="AG259" s="6038"/>
      <c r="AH259" s="1031">
        <f>AH12</f>
        <v>0</v>
      </c>
      <c r="AI259" s="5992"/>
      <c r="AJ259" s="718">
        <f t="shared" si="281"/>
        <v>0</v>
      </c>
      <c r="AK259" s="6038"/>
      <c r="AL259" s="1031">
        <f>AL12</f>
        <v>0</v>
      </c>
      <c r="AM259" s="6020"/>
      <c r="AN259" s="717">
        <f t="shared" si="274"/>
        <v>0</v>
      </c>
      <c r="AO259" s="5992"/>
      <c r="AP259" s="718">
        <f t="shared" si="275"/>
        <v>0</v>
      </c>
      <c r="AQ259" s="6038"/>
      <c r="AR259" s="1031">
        <f>AR12</f>
        <v>0</v>
      </c>
      <c r="AS259" s="5992"/>
      <c r="AT259" s="718">
        <f t="shared" si="282"/>
        <v>0</v>
      </c>
      <c r="AU259" s="6038"/>
      <c r="AV259" s="1031">
        <f>AV12</f>
        <v>0</v>
      </c>
      <c r="AW259" s="5992"/>
      <c r="AX259" s="718">
        <f t="shared" si="283"/>
        <v>0</v>
      </c>
      <c r="AY259" s="6038"/>
      <c r="AZ259" s="1031">
        <f>AZ12</f>
        <v>0</v>
      </c>
      <c r="BA259" s="6020"/>
      <c r="BB259" s="717">
        <f t="shared" si="276"/>
        <v>0</v>
      </c>
      <c r="BC259" s="6005"/>
      <c r="BD259" s="429">
        <f t="shared" si="269"/>
        <v>0</v>
      </c>
      <c r="BE259" s="5992"/>
      <c r="BF259" s="718">
        <f t="shared" si="270"/>
        <v>0</v>
      </c>
    </row>
    <row r="260" spans="1:58" x14ac:dyDescent="0.3">
      <c r="A260" s="88"/>
      <c r="B260" s="3172" t="s">
        <v>33</v>
      </c>
      <c r="C260" s="192"/>
      <c r="D260" s="4933">
        <f>+D81</f>
        <v>520000</v>
      </c>
      <c r="E260" s="4933">
        <f>+E81</f>
        <v>36500</v>
      </c>
      <c r="F260" s="421">
        <f>SUM(F102:F259)</f>
        <v>41076.229999999996</v>
      </c>
      <c r="G260" s="4933">
        <f>+G81</f>
        <v>37500</v>
      </c>
      <c r="H260" s="421">
        <f>SUM(H102:H259)</f>
        <v>29366.282000000017</v>
      </c>
      <c r="I260" s="4940">
        <f>+E260+G260</f>
        <v>74000</v>
      </c>
      <c r="J260" s="718">
        <f t="shared" si="277"/>
        <v>70442.512000000017</v>
      </c>
      <c r="K260" s="4933">
        <f>+K81</f>
        <v>42500</v>
      </c>
      <c r="L260" s="421">
        <f>SUM(L102:L259)</f>
        <v>0</v>
      </c>
      <c r="M260" s="4934">
        <f>+I260+K260</f>
        <v>116500</v>
      </c>
      <c r="N260" s="717">
        <f t="shared" si="271"/>
        <v>70442.512000000017</v>
      </c>
      <c r="O260" s="4933">
        <f>+O81</f>
        <v>44000</v>
      </c>
      <c r="P260" s="421">
        <f>SUM(P102:P259)</f>
        <v>0</v>
      </c>
      <c r="Q260" s="4940">
        <f>+M260+O260</f>
        <v>160500</v>
      </c>
      <c r="R260" s="718">
        <f t="shared" si="278"/>
        <v>70442.512000000017</v>
      </c>
      <c r="S260" s="4933">
        <f>+S81</f>
        <v>44000</v>
      </c>
      <c r="T260" s="421">
        <f>SUM(T102:T259)</f>
        <v>0</v>
      </c>
      <c r="U260" s="4940">
        <f>+Q260+S260</f>
        <v>204500</v>
      </c>
      <c r="V260" s="718">
        <f t="shared" si="279"/>
        <v>70442.512000000017</v>
      </c>
      <c r="W260" s="4933">
        <f>+W81</f>
        <v>25000</v>
      </c>
      <c r="X260" s="421">
        <f>SUM(X102:X259)</f>
        <v>0</v>
      </c>
      <c r="Y260" s="4934">
        <f t="shared" ref="Y260" si="284">O260+S260+W260</f>
        <v>113000</v>
      </c>
      <c r="Z260" s="4934">
        <f t="shared" si="272"/>
        <v>0</v>
      </c>
      <c r="AA260" s="4938">
        <f>M260+Y260</f>
        <v>229500</v>
      </c>
      <c r="AB260" s="429">
        <f t="shared" si="273"/>
        <v>70442.512000000017</v>
      </c>
      <c r="AC260" s="4933">
        <f>+AC81</f>
        <v>42500</v>
      </c>
      <c r="AD260" s="421">
        <f>SUM(AD102:AD259)</f>
        <v>0</v>
      </c>
      <c r="AE260" s="4940">
        <f>+AA260+AC260</f>
        <v>272000</v>
      </c>
      <c r="AF260" s="718">
        <f t="shared" si="280"/>
        <v>70442.512000000017</v>
      </c>
      <c r="AG260" s="4933">
        <f>+AG81</f>
        <v>42500</v>
      </c>
      <c r="AH260" s="421">
        <f>SUM(AH102:AH259)</f>
        <v>0</v>
      </c>
      <c r="AI260" s="4940">
        <f>+AE260+AG260</f>
        <v>314500</v>
      </c>
      <c r="AJ260" s="718">
        <f t="shared" si="281"/>
        <v>70442.512000000017</v>
      </c>
      <c r="AK260" s="4933">
        <f>+AK81</f>
        <v>44000</v>
      </c>
      <c r="AL260" s="421">
        <f>SUM(AL102:AL259)</f>
        <v>0</v>
      </c>
      <c r="AM260" s="4934">
        <f t="shared" ref="AM260" si="285">AC260+AG260+AK260</f>
        <v>129000</v>
      </c>
      <c r="AN260" s="717">
        <f t="shared" si="274"/>
        <v>0</v>
      </c>
      <c r="AO260" s="4940">
        <f>+AK260+AI260</f>
        <v>358500</v>
      </c>
      <c r="AP260" s="718">
        <f t="shared" si="275"/>
        <v>70442.512000000017</v>
      </c>
      <c r="AQ260" s="4933">
        <f>+AQ81</f>
        <v>44500</v>
      </c>
      <c r="AR260" s="421">
        <f>SUM(AR102:AR259)</f>
        <v>0</v>
      </c>
      <c r="AS260" s="4940">
        <f>+AO260+AQ260</f>
        <v>403000</v>
      </c>
      <c r="AT260" s="718">
        <f t="shared" si="282"/>
        <v>70442.512000000017</v>
      </c>
      <c r="AU260" s="4933">
        <f>+AU81</f>
        <v>40000</v>
      </c>
      <c r="AV260" s="421">
        <f>SUM(AV102:AV259)</f>
        <v>0</v>
      </c>
      <c r="AW260" s="4940">
        <f>+AS260+AU260</f>
        <v>443000</v>
      </c>
      <c r="AX260" s="718">
        <f t="shared" si="283"/>
        <v>70442.512000000017</v>
      </c>
      <c r="AY260" s="4933">
        <f>+AY81</f>
        <v>44500</v>
      </c>
      <c r="AZ260" s="421">
        <f>SUM(AZ102:AZ259)</f>
        <v>0</v>
      </c>
      <c r="BA260" s="4934">
        <f t="shared" ref="BA260" si="286">AQ260+AU260+AY260</f>
        <v>129000</v>
      </c>
      <c r="BB260" s="717">
        <f t="shared" si="276"/>
        <v>0</v>
      </c>
      <c r="BC260" s="4938">
        <f>AM260+BA260</f>
        <v>258000</v>
      </c>
      <c r="BD260" s="429">
        <f t="shared" si="269"/>
        <v>0</v>
      </c>
      <c r="BE260" s="4940">
        <f>+AA260+BC260</f>
        <v>487500</v>
      </c>
      <c r="BF260" s="718">
        <f t="shared" si="270"/>
        <v>70442.512000000017</v>
      </c>
    </row>
    <row r="261" spans="1:58" x14ac:dyDescent="0.3">
      <c r="A261" s="142"/>
      <c r="B261" s="3173" t="s">
        <v>600</v>
      </c>
      <c r="C261" s="3445"/>
      <c r="D261" s="1532"/>
      <c r="E261" s="600"/>
      <c r="F261" s="1532"/>
      <c r="G261" s="600"/>
      <c r="H261" s="1532"/>
      <c r="I261" s="5619"/>
      <c r="J261" s="718"/>
      <c r="K261" s="600"/>
      <c r="L261" s="1532"/>
      <c r="M261" s="5630"/>
      <c r="N261" s="717"/>
      <c r="O261" s="600"/>
      <c r="P261" s="1532"/>
      <c r="Q261" s="5619"/>
      <c r="R261" s="718"/>
      <c r="S261" s="600"/>
      <c r="T261" s="1532"/>
      <c r="U261" s="5619"/>
      <c r="V261" s="718"/>
      <c r="W261" s="600"/>
      <c r="X261" s="1532"/>
      <c r="Y261" s="5630"/>
      <c r="Z261" s="5630"/>
      <c r="AA261" s="5640"/>
      <c r="AB261" s="429"/>
      <c r="AC261" s="600"/>
      <c r="AD261" s="1532"/>
      <c r="AE261" s="5619"/>
      <c r="AF261" s="718"/>
      <c r="AG261" s="600"/>
      <c r="AH261" s="1532"/>
      <c r="AI261" s="5619"/>
      <c r="AJ261" s="718"/>
      <c r="AK261" s="600"/>
      <c r="AL261" s="1532"/>
      <c r="AM261" s="5630"/>
      <c r="AN261" s="717"/>
      <c r="AO261" s="5619"/>
      <c r="AP261" s="718"/>
      <c r="AQ261" s="600"/>
      <c r="AR261" s="1532"/>
      <c r="AS261" s="5619"/>
      <c r="AT261" s="718"/>
      <c r="AU261" s="600"/>
      <c r="AV261" s="1532"/>
      <c r="AW261" s="5619"/>
      <c r="AX261" s="718"/>
      <c r="AY261" s="600"/>
      <c r="AZ261" s="1532"/>
      <c r="BA261" s="5630"/>
      <c r="BB261" s="717"/>
      <c r="BC261" s="5640"/>
      <c r="BD261" s="429"/>
      <c r="BE261" s="5619"/>
      <c r="BF261" s="718"/>
    </row>
    <row r="262" spans="1:58" x14ac:dyDescent="0.3">
      <c r="A262" s="88"/>
      <c r="B262" s="3174" t="s">
        <v>1783</v>
      </c>
      <c r="C262" s="192"/>
      <c r="D262" s="192"/>
      <c r="E262" s="6039"/>
      <c r="F262" s="1031"/>
      <c r="G262" s="6039"/>
      <c r="H262" s="1031"/>
      <c r="I262" s="5993"/>
      <c r="J262" s="718"/>
      <c r="K262" s="6039"/>
      <c r="L262" s="1031"/>
      <c r="M262" s="6021"/>
      <c r="N262" s="717"/>
      <c r="O262" s="6039"/>
      <c r="P262" s="1031"/>
      <c r="Q262" s="5993"/>
      <c r="R262" s="718"/>
      <c r="S262" s="6039"/>
      <c r="T262" s="1031"/>
      <c r="U262" s="5993"/>
      <c r="V262" s="718"/>
      <c r="W262" s="6039"/>
      <c r="X262" s="1031"/>
      <c r="Y262" s="6021"/>
      <c r="Z262" s="6021"/>
      <c r="AA262" s="6006"/>
      <c r="AB262" s="429"/>
      <c r="AC262" s="6039"/>
      <c r="AD262" s="1031"/>
      <c r="AE262" s="5993"/>
      <c r="AF262" s="718"/>
      <c r="AG262" s="6039"/>
      <c r="AH262" s="1031"/>
      <c r="AI262" s="5993"/>
      <c r="AJ262" s="718"/>
      <c r="AK262" s="6039"/>
      <c r="AL262" s="1031"/>
      <c r="AM262" s="6021"/>
      <c r="AN262" s="717"/>
      <c r="AO262" s="5993"/>
      <c r="AP262" s="718"/>
      <c r="AQ262" s="6039"/>
      <c r="AR262" s="1031"/>
      <c r="AS262" s="5993"/>
      <c r="AT262" s="718"/>
      <c r="AU262" s="6039"/>
      <c r="AV262" s="1031"/>
      <c r="AW262" s="5993"/>
      <c r="AX262" s="718"/>
      <c r="AY262" s="6039"/>
      <c r="AZ262" s="1031"/>
      <c r="BA262" s="6021"/>
      <c r="BB262" s="717"/>
      <c r="BC262" s="6006"/>
      <c r="BD262" s="429"/>
      <c r="BE262" s="5993"/>
      <c r="BF262" s="718"/>
    </row>
    <row r="263" spans="1:58" x14ac:dyDescent="0.3">
      <c r="A263" s="88"/>
      <c r="B263" s="3175" t="s">
        <v>659</v>
      </c>
      <c r="C263" s="192" t="s">
        <v>50</v>
      </c>
      <c r="D263" s="146"/>
      <c r="E263" s="6040"/>
      <c r="F263" s="1031"/>
      <c r="G263" s="6040"/>
      <c r="H263" s="1031">
        <v>409.49</v>
      </c>
      <c r="I263" s="5994"/>
      <c r="J263" s="718">
        <f t="shared" si="277"/>
        <v>409.49</v>
      </c>
      <c r="K263" s="6040"/>
      <c r="L263" s="1031"/>
      <c r="M263" s="6022"/>
      <c r="N263" s="717">
        <f t="shared" si="271"/>
        <v>409.49</v>
      </c>
      <c r="O263" s="6040"/>
      <c r="P263" s="1031"/>
      <c r="Q263" s="5994"/>
      <c r="R263" s="718">
        <f t="shared" si="278"/>
        <v>409.49</v>
      </c>
      <c r="S263" s="6040"/>
      <c r="T263" s="1031"/>
      <c r="U263" s="5994"/>
      <c r="V263" s="718">
        <f t="shared" si="279"/>
        <v>409.49</v>
      </c>
      <c r="W263" s="6040"/>
      <c r="X263" s="1031"/>
      <c r="Y263" s="6022"/>
      <c r="Z263" s="6022">
        <f t="shared" ref="Z263" si="287">+P263+T263+X263</f>
        <v>0</v>
      </c>
      <c r="AA263" s="6007"/>
      <c r="AB263" s="429">
        <f>X263+V263</f>
        <v>409.49</v>
      </c>
      <c r="AC263" s="6040"/>
      <c r="AD263" s="1031"/>
      <c r="AE263" s="5994"/>
      <c r="AF263" s="718">
        <f t="shared" si="280"/>
        <v>409.49</v>
      </c>
      <c r="AG263" s="6040"/>
      <c r="AH263" s="1031"/>
      <c r="AI263" s="5994"/>
      <c r="AJ263" s="718">
        <f t="shared" si="281"/>
        <v>409.49</v>
      </c>
      <c r="AK263" s="6040"/>
      <c r="AL263" s="1031"/>
      <c r="AM263" s="6022"/>
      <c r="AN263" s="717">
        <f t="shared" ref="AN263" si="288">+AD263+AH263+AL263</f>
        <v>0</v>
      </c>
      <c r="AO263" s="5994"/>
      <c r="AP263" s="718">
        <f>AL263+AJ263</f>
        <v>409.49</v>
      </c>
      <c r="AQ263" s="6040"/>
      <c r="AR263" s="1031"/>
      <c r="AS263" s="5994"/>
      <c r="AT263" s="718">
        <f t="shared" si="282"/>
        <v>409.49</v>
      </c>
      <c r="AU263" s="6040"/>
      <c r="AV263" s="1031"/>
      <c r="AW263" s="5994"/>
      <c r="AX263" s="718">
        <f t="shared" si="283"/>
        <v>409.49</v>
      </c>
      <c r="AY263" s="6040"/>
      <c r="AZ263" s="1031"/>
      <c r="BA263" s="6022"/>
      <c r="BB263" s="717">
        <f t="shared" ref="BB263" si="289">+AR263+AV263+AZ263</f>
        <v>0</v>
      </c>
      <c r="BC263" s="6007"/>
      <c r="BD263" s="429">
        <f t="shared" si="269"/>
        <v>0</v>
      </c>
      <c r="BE263" s="5994"/>
      <c r="BF263" s="718">
        <f t="shared" si="270"/>
        <v>409.49</v>
      </c>
    </row>
    <row r="264" spans="1:58" x14ac:dyDescent="0.3">
      <c r="A264" s="88"/>
      <c r="B264" s="3174" t="s">
        <v>1782</v>
      </c>
      <c r="C264" s="192" t="s">
        <v>50</v>
      </c>
      <c r="D264" s="4932"/>
      <c r="E264" s="6040"/>
      <c r="F264" s="4928"/>
      <c r="G264" s="6040"/>
      <c r="H264" s="4928"/>
      <c r="I264" s="5994"/>
      <c r="J264" s="718"/>
      <c r="K264" s="6040"/>
      <c r="L264" s="4928"/>
      <c r="M264" s="6022"/>
      <c r="N264" s="717"/>
      <c r="O264" s="6040"/>
      <c r="P264" s="4928"/>
      <c r="Q264" s="5994"/>
      <c r="R264" s="718"/>
      <c r="S264" s="6040"/>
      <c r="T264" s="4928"/>
      <c r="U264" s="5994"/>
      <c r="V264" s="718"/>
      <c r="W264" s="6040"/>
      <c r="X264" s="4928"/>
      <c r="Y264" s="6022"/>
      <c r="Z264" s="6022"/>
      <c r="AA264" s="6007"/>
      <c r="AB264" s="429"/>
      <c r="AC264" s="6040"/>
      <c r="AD264" s="4928"/>
      <c r="AE264" s="5994"/>
      <c r="AF264" s="718"/>
      <c r="AG264" s="6040"/>
      <c r="AH264" s="4928"/>
      <c r="AI264" s="5994"/>
      <c r="AJ264" s="718"/>
      <c r="AK264" s="6040"/>
      <c r="AL264" s="4928"/>
      <c r="AM264" s="6022"/>
      <c r="AN264" s="717"/>
      <c r="AO264" s="5994"/>
      <c r="AP264" s="718"/>
      <c r="AQ264" s="6040"/>
      <c r="AR264" s="4928"/>
      <c r="AS264" s="5994"/>
      <c r="AT264" s="718"/>
      <c r="AU264" s="6040"/>
      <c r="AV264" s="4928"/>
      <c r="AW264" s="5994"/>
      <c r="AX264" s="718"/>
      <c r="AY264" s="6040"/>
      <c r="AZ264" s="4928"/>
      <c r="BA264" s="6022"/>
      <c r="BB264" s="717"/>
      <c r="BC264" s="6007"/>
      <c r="BD264" s="429"/>
      <c r="BE264" s="5994"/>
      <c r="BF264" s="718"/>
    </row>
    <row r="265" spans="1:58" x14ac:dyDescent="0.3">
      <c r="A265" s="88"/>
      <c r="B265" s="3175" t="s">
        <v>659</v>
      </c>
      <c r="C265" s="192" t="s">
        <v>50</v>
      </c>
      <c r="D265" s="4932"/>
      <c r="E265" s="6040"/>
      <c r="F265" s="4928"/>
      <c r="G265" s="6040"/>
      <c r="H265" s="4928">
        <v>40.11</v>
      </c>
      <c r="I265" s="5994"/>
      <c r="J265" s="718">
        <f t="shared" si="277"/>
        <v>40.11</v>
      </c>
      <c r="K265" s="6040"/>
      <c r="L265" s="4928"/>
      <c r="M265" s="6022"/>
      <c r="N265" s="717">
        <f t="shared" si="271"/>
        <v>40.11</v>
      </c>
      <c r="O265" s="6040"/>
      <c r="P265" s="4928"/>
      <c r="Q265" s="5994"/>
      <c r="R265" s="718">
        <f t="shared" si="278"/>
        <v>40.11</v>
      </c>
      <c r="S265" s="6040"/>
      <c r="T265" s="4928"/>
      <c r="U265" s="5994"/>
      <c r="V265" s="718">
        <f t="shared" si="279"/>
        <v>40.11</v>
      </c>
      <c r="W265" s="6040"/>
      <c r="X265" s="4928"/>
      <c r="Y265" s="6022"/>
      <c r="Z265" s="6022">
        <f t="shared" ref="Z265" si="290">+P265+T265+X265</f>
        <v>0</v>
      </c>
      <c r="AA265" s="6007"/>
      <c r="AB265" s="429">
        <f>X265+V265</f>
        <v>40.11</v>
      </c>
      <c r="AC265" s="6040"/>
      <c r="AD265" s="4928"/>
      <c r="AE265" s="5994"/>
      <c r="AF265" s="718">
        <f t="shared" si="280"/>
        <v>40.11</v>
      </c>
      <c r="AG265" s="6040"/>
      <c r="AH265" s="4928"/>
      <c r="AI265" s="5994"/>
      <c r="AJ265" s="718">
        <f t="shared" si="281"/>
        <v>40.11</v>
      </c>
      <c r="AK265" s="6040"/>
      <c r="AL265" s="4928"/>
      <c r="AM265" s="6022"/>
      <c r="AN265" s="717">
        <f t="shared" ref="AN265" si="291">+AD265+AH265+AL265</f>
        <v>0</v>
      </c>
      <c r="AO265" s="5994"/>
      <c r="AP265" s="718">
        <f>AL265+AJ265</f>
        <v>40.11</v>
      </c>
      <c r="AQ265" s="6040"/>
      <c r="AR265" s="4928"/>
      <c r="AS265" s="5994"/>
      <c r="AT265" s="718">
        <f t="shared" si="282"/>
        <v>40.11</v>
      </c>
      <c r="AU265" s="6040"/>
      <c r="AV265" s="4928"/>
      <c r="AW265" s="5994"/>
      <c r="AX265" s="718">
        <f t="shared" si="283"/>
        <v>40.11</v>
      </c>
      <c r="AY265" s="6040"/>
      <c r="AZ265" s="4928"/>
      <c r="BA265" s="6022"/>
      <c r="BB265" s="717">
        <f t="shared" ref="BB265" si="292">+AR265+AV265+AZ265</f>
        <v>0</v>
      </c>
      <c r="BC265" s="6007"/>
      <c r="BD265" s="429">
        <f t="shared" ref="BD265:BD327" si="293">+AN265+BB265</f>
        <v>0</v>
      </c>
      <c r="BE265" s="5994"/>
      <c r="BF265" s="718">
        <f t="shared" ref="BF265:BF327" si="294">+AB265+BD265</f>
        <v>40.11</v>
      </c>
    </row>
    <row r="266" spans="1:58" x14ac:dyDescent="0.3">
      <c r="A266" s="88"/>
      <c r="B266" s="3174" t="s">
        <v>2288</v>
      </c>
      <c r="C266" s="5076"/>
      <c r="D266" s="4932"/>
      <c r="E266" s="6040"/>
      <c r="F266" s="4928"/>
      <c r="G266" s="6040"/>
      <c r="H266" s="4928"/>
      <c r="I266" s="5994"/>
      <c r="J266" s="718"/>
      <c r="K266" s="6040"/>
      <c r="L266" s="4928"/>
      <c r="M266" s="6022"/>
      <c r="N266" s="717"/>
      <c r="O266" s="6040"/>
      <c r="P266" s="4928"/>
      <c r="Q266" s="5994"/>
      <c r="R266" s="718"/>
      <c r="S266" s="6040"/>
      <c r="T266" s="4928"/>
      <c r="U266" s="5994"/>
      <c r="V266" s="718"/>
      <c r="W266" s="6040"/>
      <c r="X266" s="4928"/>
      <c r="Y266" s="6022"/>
      <c r="Z266" s="6022"/>
      <c r="AA266" s="6007"/>
      <c r="AB266" s="429"/>
      <c r="AC266" s="6040"/>
      <c r="AD266" s="4928"/>
      <c r="AE266" s="5994"/>
      <c r="AF266" s="718"/>
      <c r="AG266" s="6040"/>
      <c r="AH266" s="4928"/>
      <c r="AI266" s="5994"/>
      <c r="AJ266" s="718"/>
      <c r="AK266" s="6040"/>
      <c r="AL266" s="4928"/>
      <c r="AM266" s="6022"/>
      <c r="AN266" s="717"/>
      <c r="AO266" s="5994"/>
      <c r="AP266" s="718"/>
      <c r="AQ266" s="6040"/>
      <c r="AR266" s="4928"/>
      <c r="AS266" s="5994"/>
      <c r="AT266" s="718"/>
      <c r="AU266" s="6040"/>
      <c r="AV266" s="4928"/>
      <c r="AW266" s="5994"/>
      <c r="AX266" s="718"/>
      <c r="AY266" s="6040"/>
      <c r="AZ266" s="4928"/>
      <c r="BA266" s="6022"/>
      <c r="BB266" s="717"/>
      <c r="BC266" s="6007"/>
      <c r="BD266" s="429"/>
      <c r="BE266" s="5994"/>
      <c r="BF266" s="718"/>
    </row>
    <row r="267" spans="1:58" ht="15.75" customHeight="1" x14ac:dyDescent="0.3">
      <c r="A267" s="88"/>
      <c r="B267" s="3175" t="s">
        <v>659</v>
      </c>
      <c r="C267" s="5076"/>
      <c r="D267" s="4932"/>
      <c r="E267" s="6040"/>
      <c r="F267" s="4928">
        <v>40.06</v>
      </c>
      <c r="G267" s="6040"/>
      <c r="H267" s="4928"/>
      <c r="I267" s="5994"/>
      <c r="J267" s="718">
        <f t="shared" si="277"/>
        <v>40.06</v>
      </c>
      <c r="K267" s="6040"/>
      <c r="L267" s="4928"/>
      <c r="M267" s="6022"/>
      <c r="N267" s="717">
        <f t="shared" si="271"/>
        <v>40.06</v>
      </c>
      <c r="O267" s="6040"/>
      <c r="P267" s="4928"/>
      <c r="Q267" s="5994"/>
      <c r="R267" s="718">
        <f t="shared" si="278"/>
        <v>40.06</v>
      </c>
      <c r="S267" s="6040"/>
      <c r="T267" s="4928"/>
      <c r="U267" s="5994"/>
      <c r="V267" s="718">
        <f t="shared" si="279"/>
        <v>40.06</v>
      </c>
      <c r="W267" s="6040"/>
      <c r="X267" s="4928"/>
      <c r="Y267" s="6022"/>
      <c r="Z267" s="6022">
        <f t="shared" ref="Z267" si="295">+P267+T267+X267</f>
        <v>0</v>
      </c>
      <c r="AA267" s="6007"/>
      <c r="AB267" s="429">
        <f>X267+V267</f>
        <v>40.06</v>
      </c>
      <c r="AC267" s="6040"/>
      <c r="AD267" s="4928"/>
      <c r="AE267" s="5994"/>
      <c r="AF267" s="718">
        <f t="shared" si="280"/>
        <v>40.06</v>
      </c>
      <c r="AG267" s="6040"/>
      <c r="AH267" s="4928"/>
      <c r="AI267" s="5994"/>
      <c r="AJ267" s="718">
        <f t="shared" si="281"/>
        <v>40.06</v>
      </c>
      <c r="AK267" s="6040"/>
      <c r="AL267" s="4928"/>
      <c r="AM267" s="6022"/>
      <c r="AN267" s="717">
        <f t="shared" ref="AN267" si="296">+AD267+AH267+AL267</f>
        <v>0</v>
      </c>
      <c r="AO267" s="5994"/>
      <c r="AP267" s="718">
        <f>AL267+AJ267</f>
        <v>40.06</v>
      </c>
      <c r="AQ267" s="6040"/>
      <c r="AR267" s="4928"/>
      <c r="AS267" s="5994"/>
      <c r="AT267" s="718">
        <f t="shared" si="282"/>
        <v>40.06</v>
      </c>
      <c r="AU267" s="6040"/>
      <c r="AV267" s="4928"/>
      <c r="AW267" s="5994"/>
      <c r="AX267" s="718">
        <f t="shared" si="283"/>
        <v>40.06</v>
      </c>
      <c r="AY267" s="6040"/>
      <c r="AZ267" s="4928"/>
      <c r="BA267" s="6022"/>
      <c r="BB267" s="717">
        <f t="shared" ref="BB267" si="297">+AR267+AV267+AZ267</f>
        <v>0</v>
      </c>
      <c r="BC267" s="6007"/>
      <c r="BD267" s="429">
        <f t="shared" si="293"/>
        <v>0</v>
      </c>
      <c r="BE267" s="5994"/>
      <c r="BF267" s="718">
        <f t="shared" si="294"/>
        <v>40.06</v>
      </c>
    </row>
    <row r="268" spans="1:58" x14ac:dyDescent="0.3">
      <c r="A268" s="88"/>
      <c r="B268" s="3174" t="s">
        <v>2167</v>
      </c>
      <c r="C268" s="192" t="s">
        <v>50</v>
      </c>
      <c r="D268" s="4932"/>
      <c r="E268" s="6040"/>
      <c r="F268" s="4928"/>
      <c r="G268" s="6040"/>
      <c r="H268" s="4928"/>
      <c r="I268" s="5994"/>
      <c r="J268" s="718"/>
      <c r="K268" s="6040"/>
      <c r="L268" s="4928"/>
      <c r="M268" s="6022"/>
      <c r="N268" s="717"/>
      <c r="O268" s="6040"/>
      <c r="P268" s="4928"/>
      <c r="Q268" s="5994"/>
      <c r="R268" s="718"/>
      <c r="S268" s="6040"/>
      <c r="T268" s="4928"/>
      <c r="U268" s="5994"/>
      <c r="V268" s="718"/>
      <c r="W268" s="6040"/>
      <c r="X268" s="4928"/>
      <c r="Y268" s="6022"/>
      <c r="Z268" s="6022"/>
      <c r="AA268" s="6007"/>
      <c r="AB268" s="429"/>
      <c r="AC268" s="6040"/>
      <c r="AD268" s="4928"/>
      <c r="AE268" s="5994"/>
      <c r="AF268" s="718"/>
      <c r="AG268" s="6040"/>
      <c r="AH268" s="4928"/>
      <c r="AI268" s="5994"/>
      <c r="AJ268" s="718"/>
      <c r="AK268" s="6040"/>
      <c r="AL268" s="4928"/>
      <c r="AM268" s="6022"/>
      <c r="AN268" s="717"/>
      <c r="AO268" s="5994"/>
      <c r="AP268" s="718"/>
      <c r="AQ268" s="6040"/>
      <c r="AR268" s="4928"/>
      <c r="AS268" s="5994"/>
      <c r="AT268" s="718"/>
      <c r="AU268" s="6040"/>
      <c r="AV268" s="4928"/>
      <c r="AW268" s="5994"/>
      <c r="AX268" s="718"/>
      <c r="AY268" s="6040"/>
      <c r="AZ268" s="4928"/>
      <c r="BA268" s="6022"/>
      <c r="BB268" s="717"/>
      <c r="BC268" s="6007"/>
      <c r="BD268" s="429"/>
      <c r="BE268" s="5994"/>
      <c r="BF268" s="718"/>
    </row>
    <row r="269" spans="1:58" x14ac:dyDescent="0.3">
      <c r="A269" s="88"/>
      <c r="B269" s="3175" t="s">
        <v>659</v>
      </c>
      <c r="C269" s="192" t="s">
        <v>50</v>
      </c>
      <c r="D269" s="4932"/>
      <c r="E269" s="6040"/>
      <c r="F269" s="4928"/>
      <c r="G269" s="6040"/>
      <c r="H269" s="4928"/>
      <c r="I269" s="5994"/>
      <c r="J269" s="718">
        <f t="shared" si="277"/>
        <v>0</v>
      </c>
      <c r="K269" s="6040"/>
      <c r="L269" s="4928"/>
      <c r="M269" s="6022"/>
      <c r="N269" s="717">
        <f t="shared" si="271"/>
        <v>0</v>
      </c>
      <c r="O269" s="6040"/>
      <c r="P269" s="4928"/>
      <c r="Q269" s="5994"/>
      <c r="R269" s="718">
        <f t="shared" si="278"/>
        <v>0</v>
      </c>
      <c r="S269" s="6040"/>
      <c r="T269" s="4928"/>
      <c r="U269" s="5994"/>
      <c r="V269" s="718">
        <f t="shared" si="279"/>
        <v>0</v>
      </c>
      <c r="W269" s="6040"/>
      <c r="X269" s="4928"/>
      <c r="Y269" s="6022"/>
      <c r="Z269" s="6022">
        <f t="shared" ref="Z269" si="298">+P269+T269+X269</f>
        <v>0</v>
      </c>
      <c r="AA269" s="6007"/>
      <c r="AB269" s="429">
        <f>X269+V269</f>
        <v>0</v>
      </c>
      <c r="AC269" s="6040"/>
      <c r="AD269" s="4928"/>
      <c r="AE269" s="5994"/>
      <c r="AF269" s="718">
        <f t="shared" si="280"/>
        <v>0</v>
      </c>
      <c r="AG269" s="6040"/>
      <c r="AH269" s="4928"/>
      <c r="AI269" s="5994"/>
      <c r="AJ269" s="718">
        <f t="shared" si="281"/>
        <v>0</v>
      </c>
      <c r="AK269" s="6040"/>
      <c r="AL269" s="4928"/>
      <c r="AM269" s="6022"/>
      <c r="AN269" s="717">
        <f t="shared" ref="AN269" si="299">+AD269+AH269+AL269</f>
        <v>0</v>
      </c>
      <c r="AO269" s="5994"/>
      <c r="AP269" s="718">
        <f>AL269+AJ269</f>
        <v>0</v>
      </c>
      <c r="AQ269" s="6040"/>
      <c r="AR269" s="4928"/>
      <c r="AS269" s="5994"/>
      <c r="AT269" s="718">
        <f t="shared" si="282"/>
        <v>0</v>
      </c>
      <c r="AU269" s="6040"/>
      <c r="AV269" s="4928"/>
      <c r="AW269" s="5994"/>
      <c r="AX269" s="718">
        <f t="shared" si="283"/>
        <v>0</v>
      </c>
      <c r="AY269" s="6040"/>
      <c r="AZ269" s="4928"/>
      <c r="BA269" s="6022"/>
      <c r="BB269" s="717">
        <f t="shared" ref="BB269" si="300">+AR269+AV269+AZ269</f>
        <v>0</v>
      </c>
      <c r="BC269" s="6007"/>
      <c r="BD269" s="429">
        <f t="shared" si="293"/>
        <v>0</v>
      </c>
      <c r="BE269" s="5994"/>
      <c r="BF269" s="718">
        <f t="shared" si="294"/>
        <v>0</v>
      </c>
    </row>
    <row r="270" spans="1:58" x14ac:dyDescent="0.3">
      <c r="A270" s="88"/>
      <c r="B270" s="3174" t="s">
        <v>2168</v>
      </c>
      <c r="C270" s="192" t="s">
        <v>50</v>
      </c>
      <c r="D270" s="4932"/>
      <c r="E270" s="6040"/>
      <c r="F270" s="4928"/>
      <c r="G270" s="6040"/>
      <c r="H270" s="4928"/>
      <c r="I270" s="5994"/>
      <c r="J270" s="718"/>
      <c r="K270" s="6040"/>
      <c r="L270" s="4928"/>
      <c r="M270" s="6022"/>
      <c r="N270" s="717"/>
      <c r="O270" s="6040"/>
      <c r="P270" s="4928"/>
      <c r="Q270" s="5994"/>
      <c r="R270" s="718"/>
      <c r="S270" s="6040"/>
      <c r="T270" s="4928"/>
      <c r="U270" s="5994"/>
      <c r="V270" s="718"/>
      <c r="W270" s="6040"/>
      <c r="X270" s="4928"/>
      <c r="Y270" s="6022"/>
      <c r="Z270" s="6022"/>
      <c r="AA270" s="6007"/>
      <c r="AB270" s="429"/>
      <c r="AC270" s="6040"/>
      <c r="AD270" s="4928"/>
      <c r="AE270" s="5994"/>
      <c r="AF270" s="718"/>
      <c r="AG270" s="6040"/>
      <c r="AH270" s="4928"/>
      <c r="AI270" s="5994"/>
      <c r="AJ270" s="718"/>
      <c r="AK270" s="6040"/>
      <c r="AL270" s="4928"/>
      <c r="AM270" s="6022"/>
      <c r="AN270" s="717"/>
      <c r="AO270" s="5994"/>
      <c r="AP270" s="718"/>
      <c r="AQ270" s="6040"/>
      <c r="AR270" s="4928"/>
      <c r="AS270" s="5994"/>
      <c r="AT270" s="718"/>
      <c r="AU270" s="6040"/>
      <c r="AV270" s="4928"/>
      <c r="AW270" s="5994"/>
      <c r="AX270" s="718"/>
      <c r="AY270" s="6040"/>
      <c r="AZ270" s="4928"/>
      <c r="BA270" s="6022"/>
      <c r="BB270" s="717"/>
      <c r="BC270" s="6007"/>
      <c r="BD270" s="429"/>
      <c r="BE270" s="5994"/>
      <c r="BF270" s="718"/>
    </row>
    <row r="271" spans="1:58" x14ac:dyDescent="0.3">
      <c r="A271" s="88"/>
      <c r="B271" s="3175" t="s">
        <v>659</v>
      </c>
      <c r="C271" s="192" t="s">
        <v>50</v>
      </c>
      <c r="D271" s="4932"/>
      <c r="E271" s="6040"/>
      <c r="F271" s="4928"/>
      <c r="G271" s="6040"/>
      <c r="H271" s="4928"/>
      <c r="I271" s="5994"/>
      <c r="J271" s="718">
        <f t="shared" si="277"/>
        <v>0</v>
      </c>
      <c r="K271" s="6040"/>
      <c r="L271" s="4928"/>
      <c r="M271" s="6022"/>
      <c r="N271" s="717">
        <f t="shared" si="271"/>
        <v>0</v>
      </c>
      <c r="O271" s="6040"/>
      <c r="P271" s="4928"/>
      <c r="Q271" s="5994"/>
      <c r="R271" s="718">
        <f t="shared" si="278"/>
        <v>0</v>
      </c>
      <c r="S271" s="6040"/>
      <c r="T271" s="4928"/>
      <c r="U271" s="5994"/>
      <c r="V271" s="718">
        <f t="shared" si="279"/>
        <v>0</v>
      </c>
      <c r="W271" s="6040"/>
      <c r="X271" s="4928"/>
      <c r="Y271" s="6022"/>
      <c r="Z271" s="6022">
        <f t="shared" ref="Z271" si="301">+P271+T271+X271</f>
        <v>0</v>
      </c>
      <c r="AA271" s="6007"/>
      <c r="AB271" s="429">
        <f>X271+V271</f>
        <v>0</v>
      </c>
      <c r="AC271" s="6040"/>
      <c r="AD271" s="4928"/>
      <c r="AE271" s="5994"/>
      <c r="AF271" s="718">
        <f t="shared" si="280"/>
        <v>0</v>
      </c>
      <c r="AG271" s="6040"/>
      <c r="AH271" s="4928"/>
      <c r="AI271" s="5994"/>
      <c r="AJ271" s="718">
        <f t="shared" si="281"/>
        <v>0</v>
      </c>
      <c r="AK271" s="6040"/>
      <c r="AL271" s="4928"/>
      <c r="AM271" s="6022"/>
      <c r="AN271" s="717">
        <f t="shared" ref="AN271" si="302">+AD271+AH271+AL271</f>
        <v>0</v>
      </c>
      <c r="AO271" s="5994"/>
      <c r="AP271" s="718">
        <f>AL271+AJ271</f>
        <v>0</v>
      </c>
      <c r="AQ271" s="6040"/>
      <c r="AR271" s="4928"/>
      <c r="AS271" s="5994"/>
      <c r="AT271" s="718">
        <f t="shared" si="282"/>
        <v>0</v>
      </c>
      <c r="AU271" s="6040"/>
      <c r="AV271" s="4928"/>
      <c r="AW271" s="5994"/>
      <c r="AX271" s="718">
        <f t="shared" si="283"/>
        <v>0</v>
      </c>
      <c r="AY271" s="6040"/>
      <c r="AZ271" s="4928"/>
      <c r="BA271" s="6022"/>
      <c r="BB271" s="717">
        <f t="shared" ref="BB271" si="303">+AR271+AV271+AZ271</f>
        <v>0</v>
      </c>
      <c r="BC271" s="6007"/>
      <c r="BD271" s="429">
        <f t="shared" si="293"/>
        <v>0</v>
      </c>
      <c r="BE271" s="5994"/>
      <c r="BF271" s="718">
        <f t="shared" si="294"/>
        <v>0</v>
      </c>
    </row>
    <row r="272" spans="1:58" x14ac:dyDescent="0.3">
      <c r="A272" s="88"/>
      <c r="B272" s="3174" t="s">
        <v>1081</v>
      </c>
      <c r="C272" s="192" t="s">
        <v>50</v>
      </c>
      <c r="D272" s="146"/>
      <c r="E272" s="6040"/>
      <c r="F272" s="1031"/>
      <c r="G272" s="6040"/>
      <c r="H272" s="1031"/>
      <c r="I272" s="5994"/>
      <c r="J272" s="718"/>
      <c r="K272" s="6040"/>
      <c r="L272" s="1031"/>
      <c r="M272" s="6022"/>
      <c r="N272" s="717"/>
      <c r="O272" s="6040"/>
      <c r="P272" s="1031"/>
      <c r="Q272" s="5994"/>
      <c r="R272" s="718"/>
      <c r="S272" s="6040"/>
      <c r="T272" s="1031"/>
      <c r="U272" s="5994"/>
      <c r="V272" s="718"/>
      <c r="W272" s="6040"/>
      <c r="X272" s="1031"/>
      <c r="Y272" s="6022"/>
      <c r="Z272" s="6022"/>
      <c r="AA272" s="6007"/>
      <c r="AB272" s="429"/>
      <c r="AC272" s="6040"/>
      <c r="AD272" s="1031"/>
      <c r="AE272" s="5994"/>
      <c r="AF272" s="718"/>
      <c r="AG272" s="6040"/>
      <c r="AH272" s="1031"/>
      <c r="AI272" s="5994"/>
      <c r="AJ272" s="718"/>
      <c r="AK272" s="6040"/>
      <c r="AL272" s="1031"/>
      <c r="AM272" s="6022"/>
      <c r="AN272" s="717"/>
      <c r="AO272" s="5994"/>
      <c r="AP272" s="718"/>
      <c r="AQ272" s="6040"/>
      <c r="AR272" s="1031"/>
      <c r="AS272" s="5994"/>
      <c r="AT272" s="718"/>
      <c r="AU272" s="6040"/>
      <c r="AV272" s="1031"/>
      <c r="AW272" s="5994"/>
      <c r="AX272" s="718"/>
      <c r="AY272" s="6040"/>
      <c r="AZ272" s="1031"/>
      <c r="BA272" s="6022"/>
      <c r="BB272" s="717"/>
      <c r="BC272" s="6007"/>
      <c r="BD272" s="429"/>
      <c r="BE272" s="5994"/>
      <c r="BF272" s="718"/>
    </row>
    <row r="273" spans="1:58" x14ac:dyDescent="0.3">
      <c r="A273" s="88"/>
      <c r="B273" s="3175" t="s">
        <v>659</v>
      </c>
      <c r="C273" s="192" t="s">
        <v>50</v>
      </c>
      <c r="D273" s="146"/>
      <c r="E273" s="6040"/>
      <c r="F273" s="1031">
        <v>81.289999999999992</v>
      </c>
      <c r="G273" s="6040"/>
      <c r="H273" s="1031">
        <v>124.22</v>
      </c>
      <c r="I273" s="5994"/>
      <c r="J273" s="718">
        <f t="shared" si="277"/>
        <v>205.51</v>
      </c>
      <c r="K273" s="6040"/>
      <c r="L273" s="1031"/>
      <c r="M273" s="6022"/>
      <c r="N273" s="717">
        <f t="shared" si="271"/>
        <v>205.51</v>
      </c>
      <c r="O273" s="6040"/>
      <c r="P273" s="1031"/>
      <c r="Q273" s="5994"/>
      <c r="R273" s="718">
        <f t="shared" si="278"/>
        <v>205.51</v>
      </c>
      <c r="S273" s="6040"/>
      <c r="T273" s="1031"/>
      <c r="U273" s="5994"/>
      <c r="V273" s="718">
        <f t="shared" si="279"/>
        <v>205.51</v>
      </c>
      <c r="W273" s="6040"/>
      <c r="X273" s="1031"/>
      <c r="Y273" s="6022"/>
      <c r="Z273" s="6022">
        <f t="shared" ref="Z273" si="304">+P273+T273+X273</f>
        <v>0</v>
      </c>
      <c r="AA273" s="6007"/>
      <c r="AB273" s="429">
        <f>X273+V273</f>
        <v>205.51</v>
      </c>
      <c r="AC273" s="6040"/>
      <c r="AD273" s="1031"/>
      <c r="AE273" s="5994"/>
      <c r="AF273" s="718">
        <f t="shared" si="280"/>
        <v>205.51</v>
      </c>
      <c r="AG273" s="6040"/>
      <c r="AH273" s="1031"/>
      <c r="AI273" s="5994"/>
      <c r="AJ273" s="718">
        <f t="shared" si="281"/>
        <v>205.51</v>
      </c>
      <c r="AK273" s="6040"/>
      <c r="AL273" s="1031"/>
      <c r="AM273" s="6022"/>
      <c r="AN273" s="717">
        <f t="shared" ref="AN273" si="305">+AD273+AH273+AL273</f>
        <v>0</v>
      </c>
      <c r="AO273" s="5994"/>
      <c r="AP273" s="718">
        <f>AL273+AJ273</f>
        <v>205.51</v>
      </c>
      <c r="AQ273" s="6040"/>
      <c r="AR273" s="1031"/>
      <c r="AS273" s="5994"/>
      <c r="AT273" s="718">
        <f t="shared" si="282"/>
        <v>205.51</v>
      </c>
      <c r="AU273" s="6040"/>
      <c r="AV273" s="1031"/>
      <c r="AW273" s="5994"/>
      <c r="AX273" s="718">
        <f t="shared" si="283"/>
        <v>205.51</v>
      </c>
      <c r="AY273" s="6040"/>
      <c r="AZ273" s="1031"/>
      <c r="BA273" s="6022"/>
      <c r="BB273" s="717">
        <f t="shared" ref="BB273" si="306">+AR273+AV273+AZ273</f>
        <v>0</v>
      </c>
      <c r="BC273" s="6007"/>
      <c r="BD273" s="429">
        <f t="shared" si="293"/>
        <v>0</v>
      </c>
      <c r="BE273" s="5994"/>
      <c r="BF273" s="718">
        <f t="shared" si="294"/>
        <v>205.51</v>
      </c>
    </row>
    <row r="274" spans="1:58" x14ac:dyDescent="0.3">
      <c r="A274" s="88"/>
      <c r="B274" s="3174" t="s">
        <v>1395</v>
      </c>
      <c r="C274" s="192" t="s">
        <v>50</v>
      </c>
      <c r="D274" s="192"/>
      <c r="E274" s="6040"/>
      <c r="F274" s="1031"/>
      <c r="G274" s="6040"/>
      <c r="H274" s="1031"/>
      <c r="I274" s="5994"/>
      <c r="J274" s="718"/>
      <c r="K274" s="6040"/>
      <c r="L274" s="1031"/>
      <c r="M274" s="6022"/>
      <c r="N274" s="717"/>
      <c r="O274" s="6040"/>
      <c r="P274" s="1031"/>
      <c r="Q274" s="5994"/>
      <c r="R274" s="718"/>
      <c r="S274" s="6040"/>
      <c r="T274" s="1031"/>
      <c r="U274" s="5994"/>
      <c r="V274" s="718"/>
      <c r="W274" s="6040"/>
      <c r="X274" s="1031"/>
      <c r="Y274" s="6022"/>
      <c r="Z274" s="6022"/>
      <c r="AA274" s="6007"/>
      <c r="AB274" s="429"/>
      <c r="AC274" s="6040"/>
      <c r="AD274" s="1031"/>
      <c r="AE274" s="5994"/>
      <c r="AF274" s="718"/>
      <c r="AG274" s="6040"/>
      <c r="AH274" s="1031"/>
      <c r="AI274" s="5994"/>
      <c r="AJ274" s="718"/>
      <c r="AK274" s="6040"/>
      <c r="AL274" s="1031"/>
      <c r="AM274" s="6022"/>
      <c r="AN274" s="717"/>
      <c r="AO274" s="5994"/>
      <c r="AP274" s="718"/>
      <c r="AQ274" s="6040"/>
      <c r="AR274" s="1031"/>
      <c r="AS274" s="5994"/>
      <c r="AT274" s="718"/>
      <c r="AU274" s="6040"/>
      <c r="AV274" s="1031"/>
      <c r="AW274" s="5994"/>
      <c r="AX274" s="718"/>
      <c r="AY274" s="6040"/>
      <c r="AZ274" s="1031"/>
      <c r="BA274" s="6022"/>
      <c r="BB274" s="717"/>
      <c r="BC274" s="6007"/>
      <c r="BD274" s="429"/>
      <c r="BE274" s="5994"/>
      <c r="BF274" s="718"/>
    </row>
    <row r="275" spans="1:58" x14ac:dyDescent="0.3">
      <c r="A275" s="88"/>
      <c r="B275" s="3175" t="s">
        <v>659</v>
      </c>
      <c r="C275" s="192" t="s">
        <v>50</v>
      </c>
      <c r="D275" s="146"/>
      <c r="E275" s="6040"/>
      <c r="F275" s="1031"/>
      <c r="G275" s="6040"/>
      <c r="H275" s="1031"/>
      <c r="I275" s="5994"/>
      <c r="J275" s="718">
        <f t="shared" si="277"/>
        <v>0</v>
      </c>
      <c r="K275" s="6040"/>
      <c r="L275" s="1031"/>
      <c r="M275" s="6022"/>
      <c r="N275" s="717">
        <f t="shared" si="271"/>
        <v>0</v>
      </c>
      <c r="O275" s="6040"/>
      <c r="P275" s="1031"/>
      <c r="Q275" s="5994"/>
      <c r="R275" s="718">
        <f t="shared" si="278"/>
        <v>0</v>
      </c>
      <c r="S275" s="6040"/>
      <c r="T275" s="1031"/>
      <c r="U275" s="5994"/>
      <c r="V275" s="718">
        <f t="shared" si="279"/>
        <v>0</v>
      </c>
      <c r="W275" s="6040"/>
      <c r="X275" s="1031"/>
      <c r="Y275" s="6022"/>
      <c r="Z275" s="6022">
        <f t="shared" ref="Z275" si="307">+P275+T275+X275</f>
        <v>0</v>
      </c>
      <c r="AA275" s="6007"/>
      <c r="AB275" s="429">
        <f>X275+V275</f>
        <v>0</v>
      </c>
      <c r="AC275" s="6040"/>
      <c r="AD275" s="1031"/>
      <c r="AE275" s="5994"/>
      <c r="AF275" s="718">
        <f t="shared" si="280"/>
        <v>0</v>
      </c>
      <c r="AG275" s="6040"/>
      <c r="AH275" s="1031"/>
      <c r="AI275" s="5994"/>
      <c r="AJ275" s="718">
        <f t="shared" si="281"/>
        <v>0</v>
      </c>
      <c r="AK275" s="6040"/>
      <c r="AL275" s="1031"/>
      <c r="AM275" s="6022"/>
      <c r="AN275" s="717">
        <f t="shared" ref="AN275" si="308">+AD275+AH275+AL275</f>
        <v>0</v>
      </c>
      <c r="AO275" s="5994"/>
      <c r="AP275" s="718">
        <f>AL275+AJ275</f>
        <v>0</v>
      </c>
      <c r="AQ275" s="6040"/>
      <c r="AR275" s="1031"/>
      <c r="AS275" s="5994"/>
      <c r="AT275" s="718">
        <f t="shared" si="282"/>
        <v>0</v>
      </c>
      <c r="AU275" s="6040"/>
      <c r="AV275" s="1031"/>
      <c r="AW275" s="5994"/>
      <c r="AX275" s="718">
        <f t="shared" si="283"/>
        <v>0</v>
      </c>
      <c r="AY275" s="6040"/>
      <c r="AZ275" s="1031"/>
      <c r="BA275" s="6022"/>
      <c r="BB275" s="717">
        <f t="shared" ref="BB275" si="309">+AR275+AV275+AZ275</f>
        <v>0</v>
      </c>
      <c r="BC275" s="6007"/>
      <c r="BD275" s="429">
        <f t="shared" si="293"/>
        <v>0</v>
      </c>
      <c r="BE275" s="5994"/>
      <c r="BF275" s="718">
        <f t="shared" si="294"/>
        <v>0</v>
      </c>
    </row>
    <row r="276" spans="1:58" x14ac:dyDescent="0.3">
      <c r="A276" s="88"/>
      <c r="B276" s="3174" t="s">
        <v>1773</v>
      </c>
      <c r="C276" s="192" t="s">
        <v>50</v>
      </c>
      <c r="D276" s="2356"/>
      <c r="E276" s="6040"/>
      <c r="F276" s="2399"/>
      <c r="G276" s="6040"/>
      <c r="H276" s="2399"/>
      <c r="I276" s="5994"/>
      <c r="J276" s="718"/>
      <c r="K276" s="6040"/>
      <c r="L276" s="2399"/>
      <c r="M276" s="6022"/>
      <c r="N276" s="717"/>
      <c r="O276" s="6040"/>
      <c r="P276" s="2399"/>
      <c r="Q276" s="5994"/>
      <c r="R276" s="718"/>
      <c r="S276" s="6040"/>
      <c r="T276" s="2399"/>
      <c r="U276" s="5994"/>
      <c r="V276" s="718"/>
      <c r="W276" s="6040"/>
      <c r="X276" s="2399"/>
      <c r="Y276" s="6022"/>
      <c r="Z276" s="6022"/>
      <c r="AA276" s="6007"/>
      <c r="AB276" s="429"/>
      <c r="AC276" s="6040"/>
      <c r="AD276" s="2399"/>
      <c r="AE276" s="5994"/>
      <c r="AF276" s="718"/>
      <c r="AG276" s="6040"/>
      <c r="AH276" s="2399"/>
      <c r="AI276" s="5994"/>
      <c r="AJ276" s="718"/>
      <c r="AK276" s="6040"/>
      <c r="AL276" s="2399"/>
      <c r="AM276" s="6022"/>
      <c r="AN276" s="717"/>
      <c r="AO276" s="5994"/>
      <c r="AP276" s="718"/>
      <c r="AQ276" s="6040"/>
      <c r="AR276" s="2399"/>
      <c r="AS276" s="5994"/>
      <c r="AT276" s="718"/>
      <c r="AU276" s="6040"/>
      <c r="AV276" s="2399"/>
      <c r="AW276" s="5994"/>
      <c r="AX276" s="718"/>
      <c r="AY276" s="6040"/>
      <c r="AZ276" s="2399"/>
      <c r="BA276" s="6022"/>
      <c r="BB276" s="717"/>
      <c r="BC276" s="6007"/>
      <c r="BD276" s="429"/>
      <c r="BE276" s="5994"/>
      <c r="BF276" s="718"/>
    </row>
    <row r="277" spans="1:58" x14ac:dyDescent="0.3">
      <c r="A277" s="88"/>
      <c r="B277" s="3529" t="s">
        <v>659</v>
      </c>
      <c r="C277" s="192" t="s">
        <v>50</v>
      </c>
      <c r="D277" s="2356"/>
      <c r="E277" s="6040"/>
      <c r="F277" s="2399"/>
      <c r="G277" s="6040"/>
      <c r="H277" s="2399"/>
      <c r="I277" s="5994"/>
      <c r="J277" s="718">
        <f t="shared" si="277"/>
        <v>0</v>
      </c>
      <c r="K277" s="6040"/>
      <c r="L277" s="2399"/>
      <c r="M277" s="6022"/>
      <c r="N277" s="717">
        <f t="shared" si="271"/>
        <v>0</v>
      </c>
      <c r="O277" s="6040"/>
      <c r="P277" s="2399"/>
      <c r="Q277" s="5994"/>
      <c r="R277" s="718">
        <f t="shared" si="278"/>
        <v>0</v>
      </c>
      <c r="S277" s="6040"/>
      <c r="T277" s="2399"/>
      <c r="U277" s="5994"/>
      <c r="V277" s="718">
        <f t="shared" si="279"/>
        <v>0</v>
      </c>
      <c r="W277" s="6040"/>
      <c r="X277" s="2399"/>
      <c r="Y277" s="6022"/>
      <c r="Z277" s="6022">
        <f t="shared" ref="Z277" si="310">+P277+T277+X277</f>
        <v>0</v>
      </c>
      <c r="AA277" s="6007"/>
      <c r="AB277" s="429">
        <f>X277+V277</f>
        <v>0</v>
      </c>
      <c r="AC277" s="6040"/>
      <c r="AD277" s="2399"/>
      <c r="AE277" s="5994"/>
      <c r="AF277" s="718">
        <f t="shared" si="280"/>
        <v>0</v>
      </c>
      <c r="AG277" s="6040"/>
      <c r="AH277" s="2399"/>
      <c r="AI277" s="5994"/>
      <c r="AJ277" s="718">
        <f t="shared" si="281"/>
        <v>0</v>
      </c>
      <c r="AK277" s="6040"/>
      <c r="AL277" s="2399"/>
      <c r="AM277" s="6022"/>
      <c r="AN277" s="717">
        <f t="shared" ref="AN277" si="311">+AD277+AH277+AL277</f>
        <v>0</v>
      </c>
      <c r="AO277" s="5994"/>
      <c r="AP277" s="718">
        <f>AL277+AJ277</f>
        <v>0</v>
      </c>
      <c r="AQ277" s="6040"/>
      <c r="AR277" s="2399"/>
      <c r="AS277" s="5994"/>
      <c r="AT277" s="718">
        <f t="shared" si="282"/>
        <v>0</v>
      </c>
      <c r="AU277" s="6040"/>
      <c r="AV277" s="2399"/>
      <c r="AW277" s="5994"/>
      <c r="AX277" s="718">
        <f t="shared" si="283"/>
        <v>0</v>
      </c>
      <c r="AY277" s="6040"/>
      <c r="AZ277" s="2399"/>
      <c r="BA277" s="6022"/>
      <c r="BB277" s="717">
        <f t="shared" ref="BB277" si="312">+AR277+AV277+AZ277</f>
        <v>0</v>
      </c>
      <c r="BC277" s="6007"/>
      <c r="BD277" s="429">
        <f t="shared" si="293"/>
        <v>0</v>
      </c>
      <c r="BE277" s="5994"/>
      <c r="BF277" s="718">
        <f t="shared" si="294"/>
        <v>0</v>
      </c>
    </row>
    <row r="278" spans="1:58" x14ac:dyDescent="0.3">
      <c r="A278" s="88"/>
      <c r="B278" s="3174" t="s">
        <v>1806</v>
      </c>
      <c r="C278" s="192" t="s">
        <v>50</v>
      </c>
      <c r="D278" s="3708"/>
      <c r="E278" s="6040"/>
      <c r="F278" s="3728"/>
      <c r="G278" s="6040"/>
      <c r="H278" s="3728"/>
      <c r="I278" s="5994"/>
      <c r="J278" s="718"/>
      <c r="K278" s="6040"/>
      <c r="L278" s="3728"/>
      <c r="M278" s="6022"/>
      <c r="N278" s="717"/>
      <c r="O278" s="6040"/>
      <c r="P278" s="3728"/>
      <c r="Q278" s="5994"/>
      <c r="R278" s="718"/>
      <c r="S278" s="6040"/>
      <c r="T278" s="3728"/>
      <c r="U278" s="5994"/>
      <c r="V278" s="718"/>
      <c r="W278" s="6040"/>
      <c r="X278" s="3728"/>
      <c r="Y278" s="6022"/>
      <c r="Z278" s="6022"/>
      <c r="AA278" s="6007"/>
      <c r="AB278" s="429"/>
      <c r="AC278" s="6040"/>
      <c r="AD278" s="3728"/>
      <c r="AE278" s="5994"/>
      <c r="AF278" s="718"/>
      <c r="AG278" s="6040"/>
      <c r="AH278" s="3728"/>
      <c r="AI278" s="5994"/>
      <c r="AJ278" s="718"/>
      <c r="AK278" s="6040"/>
      <c r="AL278" s="3728"/>
      <c r="AM278" s="6022"/>
      <c r="AN278" s="717"/>
      <c r="AO278" s="5994"/>
      <c r="AP278" s="718"/>
      <c r="AQ278" s="6040"/>
      <c r="AR278" s="3728"/>
      <c r="AS278" s="5994"/>
      <c r="AT278" s="718"/>
      <c r="AU278" s="6040"/>
      <c r="AV278" s="3728"/>
      <c r="AW278" s="5994"/>
      <c r="AX278" s="718"/>
      <c r="AY278" s="6040"/>
      <c r="AZ278" s="3728"/>
      <c r="BA278" s="6022"/>
      <c r="BB278" s="717"/>
      <c r="BC278" s="6007"/>
      <c r="BD278" s="429"/>
      <c r="BE278" s="5994"/>
      <c r="BF278" s="718"/>
    </row>
    <row r="279" spans="1:58" x14ac:dyDescent="0.3">
      <c r="A279" s="88"/>
      <c r="B279" s="3733" t="s">
        <v>659</v>
      </c>
      <c r="C279" s="192" t="s">
        <v>50</v>
      </c>
      <c r="D279" s="3708"/>
      <c r="E279" s="6040"/>
      <c r="F279" s="3728"/>
      <c r="G279" s="6040"/>
      <c r="H279" s="3728"/>
      <c r="I279" s="5994"/>
      <c r="J279" s="718">
        <f t="shared" si="277"/>
        <v>0</v>
      </c>
      <c r="K279" s="6040"/>
      <c r="L279" s="3728"/>
      <c r="M279" s="6022"/>
      <c r="N279" s="717">
        <f t="shared" si="271"/>
        <v>0</v>
      </c>
      <c r="O279" s="6040"/>
      <c r="P279" s="3728"/>
      <c r="Q279" s="5994"/>
      <c r="R279" s="718">
        <f t="shared" si="278"/>
        <v>0</v>
      </c>
      <c r="S279" s="6040"/>
      <c r="T279" s="3728"/>
      <c r="U279" s="5994"/>
      <c r="V279" s="718">
        <f t="shared" si="279"/>
        <v>0</v>
      </c>
      <c r="W279" s="6040"/>
      <c r="X279" s="3728"/>
      <c r="Y279" s="6022"/>
      <c r="Z279" s="6022">
        <f t="shared" ref="Z279" si="313">+P279+T279+X279</f>
        <v>0</v>
      </c>
      <c r="AA279" s="6007"/>
      <c r="AB279" s="429">
        <f>X279+V279</f>
        <v>0</v>
      </c>
      <c r="AC279" s="6040"/>
      <c r="AD279" s="3728"/>
      <c r="AE279" s="5994"/>
      <c r="AF279" s="718">
        <f t="shared" si="280"/>
        <v>0</v>
      </c>
      <c r="AG279" s="6040"/>
      <c r="AH279" s="3728"/>
      <c r="AI279" s="5994"/>
      <c r="AJ279" s="718">
        <f t="shared" si="281"/>
        <v>0</v>
      </c>
      <c r="AK279" s="6040"/>
      <c r="AL279" s="3728"/>
      <c r="AM279" s="6022"/>
      <c r="AN279" s="717">
        <f t="shared" ref="AN279" si="314">+AD279+AH279+AL279</f>
        <v>0</v>
      </c>
      <c r="AO279" s="5994"/>
      <c r="AP279" s="718">
        <f>AL279+AJ279</f>
        <v>0</v>
      </c>
      <c r="AQ279" s="6040"/>
      <c r="AR279" s="3728"/>
      <c r="AS279" s="5994"/>
      <c r="AT279" s="718">
        <f t="shared" si="282"/>
        <v>0</v>
      </c>
      <c r="AU279" s="6040"/>
      <c r="AV279" s="3728"/>
      <c r="AW279" s="5994"/>
      <c r="AX279" s="718">
        <f t="shared" si="283"/>
        <v>0</v>
      </c>
      <c r="AY279" s="6040"/>
      <c r="AZ279" s="3728"/>
      <c r="BA279" s="6022"/>
      <c r="BB279" s="717">
        <f t="shared" ref="BB279" si="315">+AR279+AV279+AZ279</f>
        <v>0</v>
      </c>
      <c r="BC279" s="6007"/>
      <c r="BD279" s="429">
        <f t="shared" si="293"/>
        <v>0</v>
      </c>
      <c r="BE279" s="5994"/>
      <c r="BF279" s="718">
        <f t="shared" si="294"/>
        <v>0</v>
      </c>
    </row>
    <row r="280" spans="1:58" x14ac:dyDescent="0.3">
      <c r="A280" s="88"/>
      <c r="B280" s="3174" t="s">
        <v>2008</v>
      </c>
      <c r="C280" s="192" t="s">
        <v>50</v>
      </c>
      <c r="D280" s="192"/>
      <c r="E280" s="6040"/>
      <c r="F280" s="1031"/>
      <c r="G280" s="6040"/>
      <c r="H280" s="1031"/>
      <c r="I280" s="5994"/>
      <c r="J280" s="718"/>
      <c r="K280" s="6040"/>
      <c r="L280" s="1031"/>
      <c r="M280" s="6022"/>
      <c r="N280" s="717"/>
      <c r="O280" s="6040"/>
      <c r="P280" s="1031"/>
      <c r="Q280" s="5994"/>
      <c r="R280" s="718"/>
      <c r="S280" s="6040"/>
      <c r="T280" s="1031"/>
      <c r="U280" s="5994"/>
      <c r="V280" s="718"/>
      <c r="W280" s="6040"/>
      <c r="X280" s="1031"/>
      <c r="Y280" s="6022"/>
      <c r="Z280" s="6022"/>
      <c r="AA280" s="6007"/>
      <c r="AB280" s="429"/>
      <c r="AC280" s="6040"/>
      <c r="AD280" s="1031"/>
      <c r="AE280" s="5994"/>
      <c r="AF280" s="718"/>
      <c r="AG280" s="6040"/>
      <c r="AH280" s="1031"/>
      <c r="AI280" s="5994"/>
      <c r="AJ280" s="718"/>
      <c r="AK280" s="6040"/>
      <c r="AL280" s="1031"/>
      <c r="AM280" s="6022"/>
      <c r="AN280" s="717"/>
      <c r="AO280" s="5994"/>
      <c r="AP280" s="718"/>
      <c r="AQ280" s="6040"/>
      <c r="AR280" s="1031"/>
      <c r="AS280" s="5994"/>
      <c r="AT280" s="718"/>
      <c r="AU280" s="6040"/>
      <c r="AV280" s="1031"/>
      <c r="AW280" s="5994"/>
      <c r="AX280" s="718"/>
      <c r="AY280" s="6040"/>
      <c r="AZ280" s="1031"/>
      <c r="BA280" s="6022"/>
      <c r="BB280" s="717"/>
      <c r="BC280" s="6007"/>
      <c r="BD280" s="429"/>
      <c r="BE280" s="5994"/>
      <c r="BF280" s="718"/>
    </row>
    <row r="281" spans="1:58" x14ac:dyDescent="0.3">
      <c r="A281" s="88"/>
      <c r="B281" s="3175" t="s">
        <v>659</v>
      </c>
      <c r="C281" s="192" t="s">
        <v>50</v>
      </c>
      <c r="D281" s="146"/>
      <c r="E281" s="6040"/>
      <c r="F281" s="1031"/>
      <c r="G281" s="6040"/>
      <c r="H281" s="1031"/>
      <c r="I281" s="5994"/>
      <c r="J281" s="718">
        <f t="shared" si="277"/>
        <v>0</v>
      </c>
      <c r="K281" s="6040"/>
      <c r="L281" s="1031"/>
      <c r="M281" s="6022"/>
      <c r="N281" s="717">
        <f t="shared" si="271"/>
        <v>0</v>
      </c>
      <c r="O281" s="6040"/>
      <c r="P281" s="1031"/>
      <c r="Q281" s="5994"/>
      <c r="R281" s="718">
        <f t="shared" si="278"/>
        <v>0</v>
      </c>
      <c r="S281" s="6040"/>
      <c r="T281" s="1031"/>
      <c r="U281" s="5994"/>
      <c r="V281" s="718">
        <f t="shared" si="279"/>
        <v>0</v>
      </c>
      <c r="W281" s="6040"/>
      <c r="X281" s="1031"/>
      <c r="Y281" s="6022"/>
      <c r="Z281" s="6022">
        <f t="shared" ref="Z281" si="316">+P281+T281+X281</f>
        <v>0</v>
      </c>
      <c r="AA281" s="6007"/>
      <c r="AB281" s="429">
        <f>X281+V281</f>
        <v>0</v>
      </c>
      <c r="AC281" s="6040"/>
      <c r="AD281" s="1031"/>
      <c r="AE281" s="5994"/>
      <c r="AF281" s="718">
        <f t="shared" si="280"/>
        <v>0</v>
      </c>
      <c r="AG281" s="6040"/>
      <c r="AH281" s="1031"/>
      <c r="AI281" s="5994"/>
      <c r="AJ281" s="718">
        <f t="shared" si="281"/>
        <v>0</v>
      </c>
      <c r="AK281" s="6040"/>
      <c r="AL281" s="1031"/>
      <c r="AM281" s="6022"/>
      <c r="AN281" s="717">
        <f t="shared" ref="AN281" si="317">+AD281+AH281+AL281</f>
        <v>0</v>
      </c>
      <c r="AO281" s="5994"/>
      <c r="AP281" s="718">
        <f>AL281+AJ281</f>
        <v>0</v>
      </c>
      <c r="AQ281" s="6040"/>
      <c r="AR281" s="1031"/>
      <c r="AS281" s="5994"/>
      <c r="AT281" s="718">
        <f t="shared" si="282"/>
        <v>0</v>
      </c>
      <c r="AU281" s="6040"/>
      <c r="AV281" s="1031"/>
      <c r="AW281" s="5994"/>
      <c r="AX281" s="718">
        <f t="shared" si="283"/>
        <v>0</v>
      </c>
      <c r="AY281" s="6040"/>
      <c r="AZ281" s="1031"/>
      <c r="BA281" s="6022"/>
      <c r="BB281" s="717">
        <f t="shared" ref="BB281" si="318">+AR281+AV281+AZ281</f>
        <v>0</v>
      </c>
      <c r="BC281" s="6007"/>
      <c r="BD281" s="429">
        <f t="shared" si="293"/>
        <v>0</v>
      </c>
      <c r="BE281" s="5994"/>
      <c r="BF281" s="718">
        <f t="shared" si="294"/>
        <v>0</v>
      </c>
    </row>
    <row r="282" spans="1:58" ht="21.15" customHeight="1" x14ac:dyDescent="0.3">
      <c r="A282" s="142"/>
      <c r="B282" s="3174" t="s">
        <v>1782</v>
      </c>
      <c r="C282" s="192" t="s">
        <v>50</v>
      </c>
      <c r="D282" s="146"/>
      <c r="E282" s="6040"/>
      <c r="F282" s="1031"/>
      <c r="G282" s="6040"/>
      <c r="H282" s="1031"/>
      <c r="I282" s="5994"/>
      <c r="J282" s="718"/>
      <c r="K282" s="6040"/>
      <c r="L282" s="1031"/>
      <c r="M282" s="6022"/>
      <c r="N282" s="717"/>
      <c r="O282" s="6040"/>
      <c r="P282" s="1031"/>
      <c r="Q282" s="5994"/>
      <c r="R282" s="718"/>
      <c r="S282" s="6040"/>
      <c r="T282" s="1031"/>
      <c r="U282" s="5994"/>
      <c r="V282" s="718"/>
      <c r="W282" s="6040"/>
      <c r="X282" s="1031"/>
      <c r="Y282" s="6022"/>
      <c r="Z282" s="6022"/>
      <c r="AA282" s="6007"/>
      <c r="AB282" s="429"/>
      <c r="AC282" s="6040"/>
      <c r="AD282" s="1031"/>
      <c r="AE282" s="5994"/>
      <c r="AF282" s="718"/>
      <c r="AG282" s="6040"/>
      <c r="AH282" s="1031"/>
      <c r="AI282" s="5994"/>
      <c r="AJ282" s="718"/>
      <c r="AK282" s="6040"/>
      <c r="AL282" s="1031"/>
      <c r="AM282" s="6022"/>
      <c r="AN282" s="717"/>
      <c r="AO282" s="5994"/>
      <c r="AP282" s="718"/>
      <c r="AQ282" s="6040"/>
      <c r="AR282" s="1031"/>
      <c r="AS282" s="5994"/>
      <c r="AT282" s="718"/>
      <c r="AU282" s="6040"/>
      <c r="AV282" s="1031"/>
      <c r="AW282" s="5994"/>
      <c r="AX282" s="718"/>
      <c r="AY282" s="6040"/>
      <c r="AZ282" s="1031"/>
      <c r="BA282" s="6022"/>
      <c r="BB282" s="717"/>
      <c r="BC282" s="6007"/>
      <c r="BD282" s="429"/>
      <c r="BE282" s="5994"/>
      <c r="BF282" s="718"/>
    </row>
    <row r="283" spans="1:58" x14ac:dyDescent="0.3">
      <c r="A283" s="142"/>
      <c r="B283" s="3175" t="s">
        <v>659</v>
      </c>
      <c r="C283" s="192" t="s">
        <v>50</v>
      </c>
      <c r="D283" s="146"/>
      <c r="E283" s="6041"/>
      <c r="F283" s="1031"/>
      <c r="G283" s="6041"/>
      <c r="H283" s="1031"/>
      <c r="I283" s="5995"/>
      <c r="J283" s="718">
        <f t="shared" si="277"/>
        <v>0</v>
      </c>
      <c r="K283" s="6041"/>
      <c r="L283" s="1031"/>
      <c r="M283" s="6023"/>
      <c r="N283" s="717">
        <f t="shared" si="271"/>
        <v>0</v>
      </c>
      <c r="O283" s="6041"/>
      <c r="P283" s="1031"/>
      <c r="Q283" s="5995"/>
      <c r="R283" s="718">
        <f t="shared" si="278"/>
        <v>0</v>
      </c>
      <c r="S283" s="6041"/>
      <c r="T283" s="1031"/>
      <c r="U283" s="5995"/>
      <c r="V283" s="718">
        <f t="shared" si="279"/>
        <v>0</v>
      </c>
      <c r="W283" s="6041"/>
      <c r="X283" s="1031"/>
      <c r="Y283" s="6023"/>
      <c r="Z283" s="6023">
        <f t="shared" ref="Z283:Z284" si="319">+P283+T283+X283</f>
        <v>0</v>
      </c>
      <c r="AA283" s="6008"/>
      <c r="AB283" s="429">
        <f>X283+V283</f>
        <v>0</v>
      </c>
      <c r="AC283" s="6041"/>
      <c r="AD283" s="1031"/>
      <c r="AE283" s="5995"/>
      <c r="AF283" s="718">
        <f t="shared" si="280"/>
        <v>0</v>
      </c>
      <c r="AG283" s="6041"/>
      <c r="AH283" s="1031"/>
      <c r="AI283" s="5995"/>
      <c r="AJ283" s="718">
        <f t="shared" si="281"/>
        <v>0</v>
      </c>
      <c r="AK283" s="6041"/>
      <c r="AL283" s="1031"/>
      <c r="AM283" s="6023"/>
      <c r="AN283" s="717">
        <f t="shared" ref="AN283:AN284" si="320">+AD283+AH283+AL283</f>
        <v>0</v>
      </c>
      <c r="AO283" s="5995"/>
      <c r="AP283" s="718">
        <f>AL283+AJ283</f>
        <v>0</v>
      </c>
      <c r="AQ283" s="6041"/>
      <c r="AR283" s="1031"/>
      <c r="AS283" s="5995"/>
      <c r="AT283" s="718">
        <f t="shared" si="282"/>
        <v>0</v>
      </c>
      <c r="AU283" s="6041"/>
      <c r="AV283" s="1031"/>
      <c r="AW283" s="5995"/>
      <c r="AX283" s="718">
        <f t="shared" si="283"/>
        <v>0</v>
      </c>
      <c r="AY283" s="6041"/>
      <c r="AZ283" s="1031"/>
      <c r="BA283" s="6023"/>
      <c r="BB283" s="717">
        <f t="shared" ref="BB283:BB284" si="321">+AR283+AV283+AZ283</f>
        <v>0</v>
      </c>
      <c r="BC283" s="6008"/>
      <c r="BD283" s="429">
        <f t="shared" si="293"/>
        <v>0</v>
      </c>
      <c r="BE283" s="5995"/>
      <c r="BF283" s="718">
        <f t="shared" si="294"/>
        <v>0</v>
      </c>
    </row>
    <row r="284" spans="1:58" ht="20.25" customHeight="1" x14ac:dyDescent="0.3">
      <c r="A284" s="142"/>
      <c r="B284" s="3176" t="s">
        <v>2</v>
      </c>
      <c r="C284" s="192" t="s">
        <v>50</v>
      </c>
      <c r="D284" s="1589">
        <f>+D9</f>
        <v>15000</v>
      </c>
      <c r="E284" s="1589">
        <f>+E9</f>
        <v>0</v>
      </c>
      <c r="F284" s="421">
        <f>SUM(F262:F283)</f>
        <v>121.35</v>
      </c>
      <c r="G284" s="1589">
        <f>+G9</f>
        <v>0</v>
      </c>
      <c r="H284" s="421">
        <f>SUM(H262:H283)</f>
        <v>573.82000000000005</v>
      </c>
      <c r="I284" s="344">
        <f>E284+G284</f>
        <v>0</v>
      </c>
      <c r="J284" s="718">
        <f t="shared" si="277"/>
        <v>695.17000000000007</v>
      </c>
      <c r="K284" s="1589">
        <f>+K9</f>
        <v>0</v>
      </c>
      <c r="L284" s="421">
        <f>SUM(L262:L283)</f>
        <v>0</v>
      </c>
      <c r="M284" s="346">
        <f>I284+K284</f>
        <v>0</v>
      </c>
      <c r="N284" s="717">
        <f t="shared" si="271"/>
        <v>695.17000000000007</v>
      </c>
      <c r="O284" s="1589">
        <f>+O9</f>
        <v>0</v>
      </c>
      <c r="P284" s="421">
        <f>SUM(P262:P283)</f>
        <v>0</v>
      </c>
      <c r="Q284" s="344">
        <f>M284+O284</f>
        <v>0</v>
      </c>
      <c r="R284" s="718">
        <f t="shared" si="278"/>
        <v>695.17000000000007</v>
      </c>
      <c r="S284" s="1589">
        <f>+S9</f>
        <v>0</v>
      </c>
      <c r="T284" s="421">
        <f>SUM(T262:T283)</f>
        <v>0</v>
      </c>
      <c r="U284" s="344">
        <f>Q284+S284</f>
        <v>0</v>
      </c>
      <c r="V284" s="718">
        <f t="shared" si="279"/>
        <v>695.17000000000007</v>
      </c>
      <c r="W284" s="1589">
        <f>+W9</f>
        <v>0</v>
      </c>
      <c r="X284" s="421">
        <f>SUM(X262:X283)</f>
        <v>0</v>
      </c>
      <c r="Y284" s="346">
        <f>O284+S284+W284</f>
        <v>0</v>
      </c>
      <c r="Z284" s="346">
        <f t="shared" si="319"/>
        <v>0</v>
      </c>
      <c r="AA284" s="502">
        <f>M284+Y284</f>
        <v>0</v>
      </c>
      <c r="AB284" s="429">
        <f>X284+V284</f>
        <v>695.17000000000007</v>
      </c>
      <c r="AC284" s="1589">
        <f>+AC9</f>
        <v>0</v>
      </c>
      <c r="AD284" s="421">
        <f>SUM(AD262:AD283)</f>
        <v>0</v>
      </c>
      <c r="AE284" s="344">
        <f>AA284+AC284</f>
        <v>0</v>
      </c>
      <c r="AF284" s="718">
        <f t="shared" si="280"/>
        <v>695.17000000000007</v>
      </c>
      <c r="AG284" s="1589">
        <f>+AG9</f>
        <v>0</v>
      </c>
      <c r="AH284" s="421">
        <f>SUM(AH262:AH283)</f>
        <v>0</v>
      </c>
      <c r="AI284" s="344">
        <f>AE284+AG284</f>
        <v>0</v>
      </c>
      <c r="AJ284" s="718">
        <f t="shared" si="281"/>
        <v>695.17000000000007</v>
      </c>
      <c r="AK284" s="1589">
        <f>+AK9</f>
        <v>0</v>
      </c>
      <c r="AL284" s="421">
        <f>SUM(AL262:AL283)</f>
        <v>0</v>
      </c>
      <c r="AM284" s="346">
        <f>AC284+AG284+AK284</f>
        <v>0</v>
      </c>
      <c r="AN284" s="717">
        <f t="shared" si="320"/>
        <v>0</v>
      </c>
      <c r="AO284" s="344">
        <f>AK284+AI284</f>
        <v>0</v>
      </c>
      <c r="AP284" s="718">
        <f>AL284+AJ284</f>
        <v>695.17000000000007</v>
      </c>
      <c r="AQ284" s="1589">
        <f>+AQ9</f>
        <v>0</v>
      </c>
      <c r="AR284" s="421">
        <f>SUM(AR262:AR283)</f>
        <v>0</v>
      </c>
      <c r="AS284" s="344">
        <f>AO284+AQ284</f>
        <v>0</v>
      </c>
      <c r="AT284" s="718">
        <f t="shared" si="282"/>
        <v>695.17000000000007</v>
      </c>
      <c r="AU284" s="1589">
        <f>+AU9</f>
        <v>0</v>
      </c>
      <c r="AV284" s="421">
        <f>SUM(AV262:AV283)</f>
        <v>0</v>
      </c>
      <c r="AW284" s="344">
        <f>AS284+AU284</f>
        <v>0</v>
      </c>
      <c r="AX284" s="718">
        <f t="shared" si="283"/>
        <v>695.17000000000007</v>
      </c>
      <c r="AY284" s="1589">
        <f>+AY9</f>
        <v>0</v>
      </c>
      <c r="AZ284" s="421">
        <f>SUM(AZ262:AZ283)</f>
        <v>0</v>
      </c>
      <c r="BA284" s="346">
        <f>AQ284+AU284+AY284</f>
        <v>0</v>
      </c>
      <c r="BB284" s="717">
        <f t="shared" si="321"/>
        <v>0</v>
      </c>
      <c r="BC284" s="502">
        <f>AM284+BA284</f>
        <v>0</v>
      </c>
      <c r="BD284" s="429">
        <f t="shared" si="293"/>
        <v>0</v>
      </c>
      <c r="BE284" s="344">
        <f>AA284+BC284</f>
        <v>0</v>
      </c>
      <c r="BF284" s="718">
        <f t="shared" si="294"/>
        <v>695.17000000000007</v>
      </c>
    </row>
    <row r="285" spans="1:58" ht="20.25" customHeight="1" x14ac:dyDescent="0.3">
      <c r="A285" s="142"/>
      <c r="B285" s="3177"/>
      <c r="C285" s="598"/>
      <c r="D285" s="598"/>
      <c r="E285" s="770"/>
      <c r="F285" s="1231"/>
      <c r="G285" s="770"/>
      <c r="H285" s="1231"/>
      <c r="I285" s="602"/>
      <c r="J285" s="718"/>
      <c r="K285" s="770"/>
      <c r="L285" s="1231"/>
      <c r="M285" s="601"/>
      <c r="N285" s="717"/>
      <c r="O285" s="770"/>
      <c r="P285" s="1231"/>
      <c r="Q285" s="602"/>
      <c r="R285" s="718"/>
      <c r="S285" s="770"/>
      <c r="T285" s="1231"/>
      <c r="U285" s="602"/>
      <c r="V285" s="718"/>
      <c r="W285" s="770"/>
      <c r="X285" s="1231"/>
      <c r="Y285" s="601"/>
      <c r="Z285" s="601"/>
      <c r="AA285" s="771"/>
      <c r="AB285" s="429"/>
      <c r="AC285" s="770"/>
      <c r="AD285" s="1231"/>
      <c r="AE285" s="602"/>
      <c r="AF285" s="718"/>
      <c r="AG285" s="770"/>
      <c r="AH285" s="1231"/>
      <c r="AI285" s="602"/>
      <c r="AJ285" s="718"/>
      <c r="AK285" s="770"/>
      <c r="AL285" s="1231"/>
      <c r="AM285" s="601"/>
      <c r="AN285" s="717"/>
      <c r="AO285" s="602"/>
      <c r="AP285" s="718"/>
      <c r="AQ285" s="770"/>
      <c r="AR285" s="1231"/>
      <c r="AS285" s="602"/>
      <c r="AT285" s="718"/>
      <c r="AU285" s="770"/>
      <c r="AV285" s="1231"/>
      <c r="AW285" s="602"/>
      <c r="AX285" s="718"/>
      <c r="AY285" s="770"/>
      <c r="AZ285" s="1231"/>
      <c r="BA285" s="601"/>
      <c r="BB285" s="717"/>
      <c r="BC285" s="771"/>
      <c r="BD285" s="429"/>
      <c r="BE285" s="602"/>
      <c r="BF285" s="718"/>
    </row>
    <row r="286" spans="1:58" x14ac:dyDescent="0.3">
      <c r="A286" s="142"/>
      <c r="B286" s="3178" t="s">
        <v>317</v>
      </c>
      <c r="C286" s="5075"/>
      <c r="D286" s="3122"/>
      <c r="E286" s="3125"/>
      <c r="F286" s="3122"/>
      <c r="G286" s="3125"/>
      <c r="H286" s="3122"/>
      <c r="I286" s="5066"/>
      <c r="J286" s="718"/>
      <c r="K286" s="3125"/>
      <c r="L286" s="3122"/>
      <c r="M286" s="5627"/>
      <c r="N286" s="717"/>
      <c r="O286" s="3125"/>
      <c r="P286" s="3122"/>
      <c r="Q286" s="5066"/>
      <c r="R286" s="718"/>
      <c r="S286" s="3125"/>
      <c r="T286" s="3122"/>
      <c r="U286" s="5066"/>
      <c r="V286" s="718"/>
      <c r="W286" s="3125"/>
      <c r="X286" s="3122"/>
      <c r="Y286" s="5627"/>
      <c r="Z286" s="5627"/>
      <c r="AA286" s="5637"/>
      <c r="AB286" s="429"/>
      <c r="AC286" s="3125"/>
      <c r="AD286" s="3122"/>
      <c r="AE286" s="5066"/>
      <c r="AF286" s="718"/>
      <c r="AG286" s="3125"/>
      <c r="AH286" s="3122"/>
      <c r="AI286" s="5066"/>
      <c r="AJ286" s="718"/>
      <c r="AK286" s="3125"/>
      <c r="AL286" s="3122"/>
      <c r="AM286" s="5627"/>
      <c r="AN286" s="717"/>
      <c r="AO286" s="5066"/>
      <c r="AP286" s="718"/>
      <c r="AQ286" s="3125"/>
      <c r="AR286" s="3122"/>
      <c r="AS286" s="5066"/>
      <c r="AT286" s="718"/>
      <c r="AU286" s="3125"/>
      <c r="AV286" s="3122"/>
      <c r="AW286" s="5066"/>
      <c r="AX286" s="718"/>
      <c r="AY286" s="3125"/>
      <c r="AZ286" s="3122"/>
      <c r="BA286" s="5627"/>
      <c r="BB286" s="717"/>
      <c r="BC286" s="5637"/>
      <c r="BD286" s="429"/>
      <c r="BE286" s="5066"/>
      <c r="BF286" s="718"/>
    </row>
    <row r="287" spans="1:58" ht="20.25" customHeight="1" x14ac:dyDescent="0.3">
      <c r="A287" s="142"/>
      <c r="B287" s="3181" t="s">
        <v>816</v>
      </c>
      <c r="C287" s="3157" t="s">
        <v>958</v>
      </c>
      <c r="D287" s="3157"/>
      <c r="E287" s="6042"/>
      <c r="F287" s="1031"/>
      <c r="G287" s="6042"/>
      <c r="H287" s="1031"/>
      <c r="I287" s="5996"/>
      <c r="J287" s="718">
        <f t="shared" si="277"/>
        <v>0</v>
      </c>
      <c r="K287" s="6042"/>
      <c r="L287" s="1031"/>
      <c r="M287" s="6024"/>
      <c r="N287" s="717">
        <f t="shared" si="271"/>
        <v>0</v>
      </c>
      <c r="O287" s="6042"/>
      <c r="P287" s="1031"/>
      <c r="Q287" s="5996"/>
      <c r="R287" s="718">
        <f t="shared" si="278"/>
        <v>0</v>
      </c>
      <c r="S287" s="6042"/>
      <c r="T287" s="1031"/>
      <c r="U287" s="5996"/>
      <c r="V287" s="718">
        <f t="shared" si="279"/>
        <v>0</v>
      </c>
      <c r="W287" s="6042"/>
      <c r="X287" s="1031"/>
      <c r="Y287" s="6024"/>
      <c r="Z287" s="6024">
        <f t="shared" ref="Z287:Z350" si="322">+P287+T287+X287</f>
        <v>0</v>
      </c>
      <c r="AA287" s="6009"/>
      <c r="AB287" s="429">
        <f t="shared" ref="AB287:AB333" si="323">X287+V287</f>
        <v>0</v>
      </c>
      <c r="AC287" s="6042"/>
      <c r="AD287" s="1031"/>
      <c r="AE287" s="5996"/>
      <c r="AF287" s="718">
        <f t="shared" si="280"/>
        <v>0</v>
      </c>
      <c r="AG287" s="6042"/>
      <c r="AH287" s="1031"/>
      <c r="AI287" s="5996"/>
      <c r="AJ287" s="718">
        <f t="shared" si="281"/>
        <v>0</v>
      </c>
      <c r="AK287" s="6042"/>
      <c r="AL287" s="1031"/>
      <c r="AM287" s="6024"/>
      <c r="AN287" s="717">
        <f t="shared" ref="AN287:AN350" si="324">+AD287+AH287+AL287</f>
        <v>0</v>
      </c>
      <c r="AO287" s="5996"/>
      <c r="AP287" s="718">
        <f t="shared" ref="AP287:AP333" si="325">AL287+AJ287</f>
        <v>0</v>
      </c>
      <c r="AQ287" s="6042"/>
      <c r="AR287" s="1031"/>
      <c r="AS287" s="5996"/>
      <c r="AT287" s="718">
        <f t="shared" si="282"/>
        <v>0</v>
      </c>
      <c r="AU287" s="6042"/>
      <c r="AV287" s="1031"/>
      <c r="AW287" s="5996"/>
      <c r="AX287" s="718">
        <f t="shared" si="283"/>
        <v>0</v>
      </c>
      <c r="AY287" s="6042"/>
      <c r="AZ287" s="1031"/>
      <c r="BA287" s="6024"/>
      <c r="BB287" s="717">
        <f t="shared" ref="BB287:BB350" si="326">+AR287+AV287+AZ287</f>
        <v>0</v>
      </c>
      <c r="BC287" s="6009"/>
      <c r="BD287" s="429">
        <f t="shared" si="293"/>
        <v>0</v>
      </c>
      <c r="BE287" s="5996"/>
      <c r="BF287" s="718">
        <f t="shared" si="294"/>
        <v>0</v>
      </c>
    </row>
    <row r="288" spans="1:58" x14ac:dyDescent="0.3">
      <c r="A288" s="142"/>
      <c r="B288" s="4796" t="s">
        <v>816</v>
      </c>
      <c r="C288" s="4797" t="s">
        <v>843</v>
      </c>
      <c r="D288" s="4043"/>
      <c r="E288" s="6043"/>
      <c r="F288" s="4044"/>
      <c r="G288" s="6043"/>
      <c r="H288" s="4044"/>
      <c r="I288" s="5997"/>
      <c r="J288" s="718">
        <f t="shared" si="277"/>
        <v>0</v>
      </c>
      <c r="K288" s="6043"/>
      <c r="L288" s="4044"/>
      <c r="M288" s="6025"/>
      <c r="N288" s="717">
        <f t="shared" ref="N288:N366" si="327">J288+L288</f>
        <v>0</v>
      </c>
      <c r="O288" s="6043"/>
      <c r="P288" s="4044"/>
      <c r="Q288" s="5997"/>
      <c r="R288" s="718">
        <f t="shared" si="278"/>
        <v>0</v>
      </c>
      <c r="S288" s="6043"/>
      <c r="T288" s="4044"/>
      <c r="U288" s="5997"/>
      <c r="V288" s="718">
        <f t="shared" si="279"/>
        <v>0</v>
      </c>
      <c r="W288" s="6043"/>
      <c r="X288" s="4044"/>
      <c r="Y288" s="6025"/>
      <c r="Z288" s="6025">
        <f t="shared" si="322"/>
        <v>0</v>
      </c>
      <c r="AA288" s="6010"/>
      <c r="AB288" s="429">
        <f t="shared" si="323"/>
        <v>0</v>
      </c>
      <c r="AC288" s="6043"/>
      <c r="AD288" s="4044"/>
      <c r="AE288" s="5997"/>
      <c r="AF288" s="718">
        <f t="shared" si="280"/>
        <v>0</v>
      </c>
      <c r="AG288" s="6043"/>
      <c r="AH288" s="4044"/>
      <c r="AI288" s="5997"/>
      <c r="AJ288" s="718">
        <f t="shared" si="281"/>
        <v>0</v>
      </c>
      <c r="AK288" s="6043"/>
      <c r="AL288" s="4044"/>
      <c r="AM288" s="6025"/>
      <c r="AN288" s="717">
        <f t="shared" si="324"/>
        <v>0</v>
      </c>
      <c r="AO288" s="5997"/>
      <c r="AP288" s="718">
        <f t="shared" si="325"/>
        <v>0</v>
      </c>
      <c r="AQ288" s="6043"/>
      <c r="AR288" s="4044"/>
      <c r="AS288" s="5997"/>
      <c r="AT288" s="718">
        <f t="shared" si="282"/>
        <v>0</v>
      </c>
      <c r="AU288" s="6043"/>
      <c r="AV288" s="4044"/>
      <c r="AW288" s="5997"/>
      <c r="AX288" s="718">
        <f t="shared" si="283"/>
        <v>0</v>
      </c>
      <c r="AY288" s="6043"/>
      <c r="AZ288" s="4044"/>
      <c r="BA288" s="6025"/>
      <c r="BB288" s="717">
        <f t="shared" si="326"/>
        <v>0</v>
      </c>
      <c r="BC288" s="6010"/>
      <c r="BD288" s="429">
        <f t="shared" si="293"/>
        <v>0</v>
      </c>
      <c r="BE288" s="5997"/>
      <c r="BF288" s="718">
        <f t="shared" si="294"/>
        <v>0</v>
      </c>
    </row>
    <row r="289" spans="1:58" ht="15" thickBot="1" x14ac:dyDescent="0.35">
      <c r="A289" s="142"/>
      <c r="B289" s="4479" t="s">
        <v>816</v>
      </c>
      <c r="C289" s="3185" t="s">
        <v>834</v>
      </c>
      <c r="D289" s="3185"/>
      <c r="E289" s="6043"/>
      <c r="F289" s="2091"/>
      <c r="G289" s="6043"/>
      <c r="H289" s="2091"/>
      <c r="I289" s="5997"/>
      <c r="J289" s="718">
        <f t="shared" si="277"/>
        <v>0</v>
      </c>
      <c r="K289" s="6043"/>
      <c r="L289" s="2091"/>
      <c r="M289" s="6025"/>
      <c r="N289" s="717">
        <f t="shared" si="327"/>
        <v>0</v>
      </c>
      <c r="O289" s="6043"/>
      <c r="P289" s="2091"/>
      <c r="Q289" s="5997"/>
      <c r="R289" s="718">
        <f t="shared" si="278"/>
        <v>0</v>
      </c>
      <c r="S289" s="6043"/>
      <c r="T289" s="2091"/>
      <c r="U289" s="5997"/>
      <c r="V289" s="718">
        <f t="shared" si="279"/>
        <v>0</v>
      </c>
      <c r="W289" s="6043"/>
      <c r="X289" s="2091"/>
      <c r="Y289" s="6025"/>
      <c r="Z289" s="6025">
        <f t="shared" si="322"/>
        <v>0</v>
      </c>
      <c r="AA289" s="6010"/>
      <c r="AB289" s="429">
        <f t="shared" si="323"/>
        <v>0</v>
      </c>
      <c r="AC289" s="6043"/>
      <c r="AD289" s="2091"/>
      <c r="AE289" s="5997"/>
      <c r="AF289" s="718">
        <f t="shared" si="280"/>
        <v>0</v>
      </c>
      <c r="AG289" s="6043"/>
      <c r="AH289" s="2091"/>
      <c r="AI289" s="5997"/>
      <c r="AJ289" s="718">
        <f t="shared" si="281"/>
        <v>0</v>
      </c>
      <c r="AK289" s="6043"/>
      <c r="AL289" s="2091"/>
      <c r="AM289" s="6025"/>
      <c r="AN289" s="717">
        <f t="shared" si="324"/>
        <v>0</v>
      </c>
      <c r="AO289" s="5997"/>
      <c r="AP289" s="718">
        <f t="shared" si="325"/>
        <v>0</v>
      </c>
      <c r="AQ289" s="6043"/>
      <c r="AR289" s="2091"/>
      <c r="AS289" s="5997"/>
      <c r="AT289" s="718">
        <f t="shared" si="282"/>
        <v>0</v>
      </c>
      <c r="AU289" s="6043"/>
      <c r="AV289" s="2091"/>
      <c r="AW289" s="5997"/>
      <c r="AX289" s="718">
        <f t="shared" si="283"/>
        <v>0</v>
      </c>
      <c r="AY289" s="6043"/>
      <c r="AZ289" s="2091"/>
      <c r="BA289" s="6025"/>
      <c r="BB289" s="717">
        <f t="shared" si="326"/>
        <v>0</v>
      </c>
      <c r="BC289" s="6010"/>
      <c r="BD289" s="429">
        <f t="shared" si="293"/>
        <v>0</v>
      </c>
      <c r="BE289" s="5997"/>
      <c r="BF289" s="718">
        <f t="shared" si="294"/>
        <v>0</v>
      </c>
    </row>
    <row r="290" spans="1:58" ht="15" thickBot="1" x14ac:dyDescent="0.35">
      <c r="A290" s="142"/>
      <c r="B290" s="3187" t="s">
        <v>1841</v>
      </c>
      <c r="C290" s="3188" t="s">
        <v>834</v>
      </c>
      <c r="D290" s="3188"/>
      <c r="E290" s="6043"/>
      <c r="F290" s="2698"/>
      <c r="G290" s="6043"/>
      <c r="H290" s="2698">
        <v>1104.3400000000001</v>
      </c>
      <c r="I290" s="5997"/>
      <c r="J290" s="718">
        <f t="shared" si="277"/>
        <v>1104.3400000000001</v>
      </c>
      <c r="K290" s="6043"/>
      <c r="L290" s="2698"/>
      <c r="M290" s="6025"/>
      <c r="N290" s="717">
        <f t="shared" si="327"/>
        <v>1104.3400000000001</v>
      </c>
      <c r="O290" s="6043"/>
      <c r="P290" s="2698"/>
      <c r="Q290" s="5997"/>
      <c r="R290" s="718">
        <f t="shared" si="278"/>
        <v>1104.3400000000001</v>
      </c>
      <c r="S290" s="6043"/>
      <c r="T290" s="2698"/>
      <c r="U290" s="5997"/>
      <c r="V290" s="718">
        <f t="shared" si="279"/>
        <v>1104.3400000000001</v>
      </c>
      <c r="W290" s="6043"/>
      <c r="X290" s="2698"/>
      <c r="Y290" s="6025"/>
      <c r="Z290" s="6025">
        <f t="shared" si="322"/>
        <v>0</v>
      </c>
      <c r="AA290" s="6010"/>
      <c r="AB290" s="429">
        <f t="shared" si="323"/>
        <v>1104.3400000000001</v>
      </c>
      <c r="AC290" s="6043"/>
      <c r="AD290" s="2698"/>
      <c r="AE290" s="5997"/>
      <c r="AF290" s="718">
        <f t="shared" si="280"/>
        <v>1104.3400000000001</v>
      </c>
      <c r="AG290" s="6043"/>
      <c r="AH290" s="2698"/>
      <c r="AI290" s="5997"/>
      <c r="AJ290" s="718">
        <f t="shared" si="281"/>
        <v>1104.3400000000001</v>
      </c>
      <c r="AK290" s="6043"/>
      <c r="AL290" s="2698"/>
      <c r="AM290" s="6025"/>
      <c r="AN290" s="717">
        <f t="shared" si="324"/>
        <v>0</v>
      </c>
      <c r="AO290" s="5997"/>
      <c r="AP290" s="718">
        <f t="shared" si="325"/>
        <v>1104.3400000000001</v>
      </c>
      <c r="AQ290" s="6043"/>
      <c r="AR290" s="2698"/>
      <c r="AS290" s="5997"/>
      <c r="AT290" s="718">
        <f t="shared" si="282"/>
        <v>1104.3400000000001</v>
      </c>
      <c r="AU290" s="6043"/>
      <c r="AV290" s="2698"/>
      <c r="AW290" s="5997"/>
      <c r="AX290" s="718">
        <f t="shared" si="283"/>
        <v>1104.3400000000001</v>
      </c>
      <c r="AY290" s="6043"/>
      <c r="AZ290" s="2698"/>
      <c r="BA290" s="6025"/>
      <c r="BB290" s="717">
        <f t="shared" si="326"/>
        <v>0</v>
      </c>
      <c r="BC290" s="6010"/>
      <c r="BD290" s="429">
        <f t="shared" si="293"/>
        <v>0</v>
      </c>
      <c r="BE290" s="5997"/>
      <c r="BF290" s="718">
        <f t="shared" si="294"/>
        <v>1104.3400000000001</v>
      </c>
    </row>
    <row r="291" spans="1:58" x14ac:dyDescent="0.3">
      <c r="A291" s="142"/>
      <c r="B291" s="3689" t="s">
        <v>815</v>
      </c>
      <c r="C291" s="3163" t="s">
        <v>1097</v>
      </c>
      <c r="D291" s="3163"/>
      <c r="E291" s="6043"/>
      <c r="F291" s="1197">
        <v>5096.1300000000019</v>
      </c>
      <c r="G291" s="6043"/>
      <c r="H291" s="5463">
        <v>2079.3599999999997</v>
      </c>
      <c r="I291" s="5997"/>
      <c r="J291" s="718">
        <f t="shared" si="277"/>
        <v>7175.4900000000016</v>
      </c>
      <c r="K291" s="6043"/>
      <c r="L291" s="5463"/>
      <c r="M291" s="6025"/>
      <c r="N291" s="717">
        <f t="shared" si="327"/>
        <v>7175.4900000000016</v>
      </c>
      <c r="O291" s="6043"/>
      <c r="P291" s="5463"/>
      <c r="Q291" s="5997"/>
      <c r="R291" s="718">
        <f t="shared" si="278"/>
        <v>7175.4900000000016</v>
      </c>
      <c r="S291" s="6043"/>
      <c r="T291" s="5463"/>
      <c r="U291" s="5997"/>
      <c r="V291" s="718">
        <f t="shared" si="279"/>
        <v>7175.4900000000016</v>
      </c>
      <c r="W291" s="6043"/>
      <c r="X291" s="5463"/>
      <c r="Y291" s="6025"/>
      <c r="Z291" s="6025">
        <f t="shared" si="322"/>
        <v>0</v>
      </c>
      <c r="AA291" s="6010"/>
      <c r="AB291" s="429">
        <f t="shared" si="323"/>
        <v>7175.4900000000016</v>
      </c>
      <c r="AC291" s="6043"/>
      <c r="AD291" s="5463"/>
      <c r="AE291" s="5997"/>
      <c r="AF291" s="718">
        <f t="shared" si="280"/>
        <v>7175.4900000000016</v>
      </c>
      <c r="AG291" s="6043"/>
      <c r="AH291" s="5463"/>
      <c r="AI291" s="5997"/>
      <c r="AJ291" s="718">
        <f t="shared" si="281"/>
        <v>7175.4900000000016</v>
      </c>
      <c r="AK291" s="6043"/>
      <c r="AL291" s="5463"/>
      <c r="AM291" s="6025"/>
      <c r="AN291" s="717">
        <f t="shared" si="324"/>
        <v>0</v>
      </c>
      <c r="AO291" s="5997"/>
      <c r="AP291" s="718">
        <f t="shared" si="325"/>
        <v>7175.4900000000016</v>
      </c>
      <c r="AQ291" s="6043"/>
      <c r="AR291" s="5463"/>
      <c r="AS291" s="5997"/>
      <c r="AT291" s="718">
        <f t="shared" si="282"/>
        <v>7175.4900000000016</v>
      </c>
      <c r="AU291" s="6043"/>
      <c r="AV291" s="5463"/>
      <c r="AW291" s="5997"/>
      <c r="AX291" s="718">
        <f t="shared" si="283"/>
        <v>7175.4900000000016</v>
      </c>
      <c r="AY291" s="6043"/>
      <c r="AZ291" s="5463"/>
      <c r="BA291" s="6025"/>
      <c r="BB291" s="717">
        <f t="shared" si="326"/>
        <v>0</v>
      </c>
      <c r="BC291" s="6010"/>
      <c r="BD291" s="429">
        <f t="shared" si="293"/>
        <v>0</v>
      </c>
      <c r="BE291" s="5997"/>
      <c r="BF291" s="718">
        <f t="shared" si="294"/>
        <v>7175.4900000000016</v>
      </c>
    </row>
    <row r="292" spans="1:58" x14ac:dyDescent="0.3">
      <c r="A292" s="142"/>
      <c r="B292" s="780" t="s">
        <v>815</v>
      </c>
      <c r="C292" s="4014" t="s">
        <v>834</v>
      </c>
      <c r="D292" s="4014"/>
      <c r="E292" s="6043"/>
      <c r="F292" s="4015">
        <v>31.11</v>
      </c>
      <c r="G292" s="6043"/>
      <c r="H292" s="4015">
        <v>21.97</v>
      </c>
      <c r="I292" s="5997"/>
      <c r="J292" s="718">
        <f t="shared" si="277"/>
        <v>53.08</v>
      </c>
      <c r="K292" s="6043"/>
      <c r="L292" s="4015"/>
      <c r="M292" s="6025"/>
      <c r="N292" s="717">
        <f t="shared" si="327"/>
        <v>53.08</v>
      </c>
      <c r="O292" s="6043"/>
      <c r="P292" s="4015"/>
      <c r="Q292" s="5997"/>
      <c r="R292" s="718">
        <f t="shared" si="278"/>
        <v>53.08</v>
      </c>
      <c r="S292" s="6043"/>
      <c r="T292" s="4015"/>
      <c r="U292" s="5997"/>
      <c r="V292" s="718">
        <f t="shared" si="279"/>
        <v>53.08</v>
      </c>
      <c r="W292" s="6043"/>
      <c r="X292" s="4015"/>
      <c r="Y292" s="6025"/>
      <c r="Z292" s="6025">
        <f t="shared" si="322"/>
        <v>0</v>
      </c>
      <c r="AA292" s="6010"/>
      <c r="AB292" s="429">
        <f t="shared" si="323"/>
        <v>53.08</v>
      </c>
      <c r="AC292" s="6043"/>
      <c r="AD292" s="4015"/>
      <c r="AE292" s="5997"/>
      <c r="AF292" s="718">
        <f t="shared" si="280"/>
        <v>53.08</v>
      </c>
      <c r="AG292" s="6043"/>
      <c r="AH292" s="4015"/>
      <c r="AI292" s="5997"/>
      <c r="AJ292" s="718">
        <f t="shared" si="281"/>
        <v>53.08</v>
      </c>
      <c r="AK292" s="6043"/>
      <c r="AL292" s="4015"/>
      <c r="AM292" s="6025"/>
      <c r="AN292" s="717">
        <f t="shared" si="324"/>
        <v>0</v>
      </c>
      <c r="AO292" s="5997"/>
      <c r="AP292" s="718">
        <f t="shared" si="325"/>
        <v>53.08</v>
      </c>
      <c r="AQ292" s="6043"/>
      <c r="AR292" s="4015"/>
      <c r="AS292" s="5997"/>
      <c r="AT292" s="718">
        <f t="shared" si="282"/>
        <v>53.08</v>
      </c>
      <c r="AU292" s="6043"/>
      <c r="AV292" s="4015"/>
      <c r="AW292" s="5997"/>
      <c r="AX292" s="718">
        <f t="shared" si="283"/>
        <v>53.08</v>
      </c>
      <c r="AY292" s="6043"/>
      <c r="AZ292" s="4015"/>
      <c r="BA292" s="6025"/>
      <c r="BB292" s="717">
        <f t="shared" si="326"/>
        <v>0</v>
      </c>
      <c r="BC292" s="6010"/>
      <c r="BD292" s="429">
        <f t="shared" si="293"/>
        <v>0</v>
      </c>
      <c r="BE292" s="5997"/>
      <c r="BF292" s="718">
        <f t="shared" si="294"/>
        <v>53.08</v>
      </c>
    </row>
    <row r="293" spans="1:58" x14ac:dyDescent="0.3">
      <c r="A293" s="142"/>
      <c r="B293" s="780" t="s">
        <v>815</v>
      </c>
      <c r="C293" s="4014" t="s">
        <v>843</v>
      </c>
      <c r="D293" s="4014"/>
      <c r="E293" s="6043"/>
      <c r="F293" s="4015">
        <v>10922.489999999998</v>
      </c>
      <c r="G293" s="6043"/>
      <c r="H293" s="4015">
        <v>10224.010000000002</v>
      </c>
      <c r="I293" s="5997"/>
      <c r="J293" s="718">
        <f t="shared" si="277"/>
        <v>21146.5</v>
      </c>
      <c r="K293" s="6043"/>
      <c r="L293" s="4015"/>
      <c r="M293" s="6025"/>
      <c r="N293" s="717">
        <f t="shared" si="327"/>
        <v>21146.5</v>
      </c>
      <c r="O293" s="6043"/>
      <c r="P293" s="4015"/>
      <c r="Q293" s="5997"/>
      <c r="R293" s="718">
        <f t="shared" si="278"/>
        <v>21146.5</v>
      </c>
      <c r="S293" s="6043"/>
      <c r="T293" s="4015"/>
      <c r="U293" s="5997"/>
      <c r="V293" s="718">
        <f t="shared" si="279"/>
        <v>21146.5</v>
      </c>
      <c r="W293" s="6043"/>
      <c r="X293" s="4015"/>
      <c r="Y293" s="6025"/>
      <c r="Z293" s="6025">
        <f t="shared" si="322"/>
        <v>0</v>
      </c>
      <c r="AA293" s="6010"/>
      <c r="AB293" s="429">
        <f t="shared" si="323"/>
        <v>21146.5</v>
      </c>
      <c r="AC293" s="6043"/>
      <c r="AD293" s="4015"/>
      <c r="AE293" s="5997"/>
      <c r="AF293" s="718">
        <f t="shared" si="280"/>
        <v>21146.5</v>
      </c>
      <c r="AG293" s="6043"/>
      <c r="AH293" s="4015"/>
      <c r="AI293" s="5997"/>
      <c r="AJ293" s="718">
        <f t="shared" si="281"/>
        <v>21146.5</v>
      </c>
      <c r="AK293" s="6043"/>
      <c r="AL293" s="4015"/>
      <c r="AM293" s="6025"/>
      <c r="AN293" s="717">
        <f t="shared" si="324"/>
        <v>0</v>
      </c>
      <c r="AO293" s="5997"/>
      <c r="AP293" s="718">
        <f t="shared" si="325"/>
        <v>21146.5</v>
      </c>
      <c r="AQ293" s="6043"/>
      <c r="AR293" s="4015"/>
      <c r="AS293" s="5997"/>
      <c r="AT293" s="718">
        <f t="shared" si="282"/>
        <v>21146.5</v>
      </c>
      <c r="AU293" s="6043"/>
      <c r="AV293" s="4015"/>
      <c r="AW293" s="5997"/>
      <c r="AX293" s="718">
        <f t="shared" si="283"/>
        <v>21146.5</v>
      </c>
      <c r="AY293" s="6043"/>
      <c r="AZ293" s="4015"/>
      <c r="BA293" s="6025"/>
      <c r="BB293" s="717">
        <f t="shared" si="326"/>
        <v>0</v>
      </c>
      <c r="BC293" s="6010"/>
      <c r="BD293" s="429">
        <f t="shared" si="293"/>
        <v>0</v>
      </c>
      <c r="BE293" s="5997"/>
      <c r="BF293" s="718">
        <f t="shared" si="294"/>
        <v>21146.5</v>
      </c>
    </row>
    <row r="294" spans="1:58" ht="20.25" customHeight="1" x14ac:dyDescent="0.3">
      <c r="A294" s="142"/>
      <c r="B294" s="780" t="s">
        <v>815</v>
      </c>
      <c r="C294" s="4014" t="s">
        <v>958</v>
      </c>
      <c r="D294" s="4014"/>
      <c r="E294" s="6043"/>
      <c r="F294" s="4015"/>
      <c r="G294" s="6043"/>
      <c r="H294" s="4015"/>
      <c r="I294" s="5997"/>
      <c r="J294" s="718">
        <f t="shared" si="277"/>
        <v>0</v>
      </c>
      <c r="K294" s="6043"/>
      <c r="L294" s="4015"/>
      <c r="M294" s="6025"/>
      <c r="N294" s="717">
        <f t="shared" si="327"/>
        <v>0</v>
      </c>
      <c r="O294" s="6043"/>
      <c r="P294" s="4015"/>
      <c r="Q294" s="5997"/>
      <c r="R294" s="718">
        <f t="shared" si="278"/>
        <v>0</v>
      </c>
      <c r="S294" s="6043"/>
      <c r="T294" s="4015"/>
      <c r="U294" s="5997"/>
      <c r="V294" s="718">
        <f t="shared" si="279"/>
        <v>0</v>
      </c>
      <c r="W294" s="6043"/>
      <c r="X294" s="4015"/>
      <c r="Y294" s="6025"/>
      <c r="Z294" s="6025">
        <f t="shared" si="322"/>
        <v>0</v>
      </c>
      <c r="AA294" s="6010"/>
      <c r="AB294" s="429">
        <f t="shared" si="323"/>
        <v>0</v>
      </c>
      <c r="AC294" s="6043"/>
      <c r="AD294" s="4015"/>
      <c r="AE294" s="5997"/>
      <c r="AF294" s="718">
        <f t="shared" si="280"/>
        <v>0</v>
      </c>
      <c r="AG294" s="6043"/>
      <c r="AH294" s="4015"/>
      <c r="AI294" s="5997"/>
      <c r="AJ294" s="718">
        <f t="shared" si="281"/>
        <v>0</v>
      </c>
      <c r="AK294" s="6043"/>
      <c r="AL294" s="4015"/>
      <c r="AM294" s="6025"/>
      <c r="AN294" s="717">
        <f t="shared" si="324"/>
        <v>0</v>
      </c>
      <c r="AO294" s="5997"/>
      <c r="AP294" s="718">
        <f t="shared" si="325"/>
        <v>0</v>
      </c>
      <c r="AQ294" s="6043"/>
      <c r="AR294" s="4015"/>
      <c r="AS294" s="5997"/>
      <c r="AT294" s="718">
        <f t="shared" si="282"/>
        <v>0</v>
      </c>
      <c r="AU294" s="6043"/>
      <c r="AV294" s="4015"/>
      <c r="AW294" s="5997"/>
      <c r="AX294" s="718">
        <f t="shared" si="283"/>
        <v>0</v>
      </c>
      <c r="AY294" s="6043"/>
      <c r="AZ294" s="4015"/>
      <c r="BA294" s="6025"/>
      <c r="BB294" s="717">
        <f t="shared" si="326"/>
        <v>0</v>
      </c>
      <c r="BC294" s="6010"/>
      <c r="BD294" s="429">
        <f t="shared" si="293"/>
        <v>0</v>
      </c>
      <c r="BE294" s="5997"/>
      <c r="BF294" s="718">
        <f t="shared" si="294"/>
        <v>0</v>
      </c>
    </row>
    <row r="295" spans="1:58" x14ac:dyDescent="0.3">
      <c r="A295" s="142"/>
      <c r="B295" s="780" t="s">
        <v>815</v>
      </c>
      <c r="C295" s="4014" t="s">
        <v>1321</v>
      </c>
      <c r="D295" s="4014"/>
      <c r="E295" s="6043"/>
      <c r="F295" s="4015"/>
      <c r="G295" s="6043"/>
      <c r="H295" s="4015"/>
      <c r="I295" s="5997"/>
      <c r="J295" s="718">
        <f t="shared" si="277"/>
        <v>0</v>
      </c>
      <c r="K295" s="6043"/>
      <c r="L295" s="4015"/>
      <c r="M295" s="6025"/>
      <c r="N295" s="717">
        <f t="shared" si="327"/>
        <v>0</v>
      </c>
      <c r="O295" s="6043"/>
      <c r="P295" s="4015"/>
      <c r="Q295" s="5997"/>
      <c r="R295" s="718">
        <f t="shared" si="278"/>
        <v>0</v>
      </c>
      <c r="S295" s="6043"/>
      <c r="T295" s="4015"/>
      <c r="U295" s="5997"/>
      <c r="V295" s="718">
        <f t="shared" si="279"/>
        <v>0</v>
      </c>
      <c r="W295" s="6043"/>
      <c r="X295" s="4015"/>
      <c r="Y295" s="6025"/>
      <c r="Z295" s="6025">
        <f t="shared" si="322"/>
        <v>0</v>
      </c>
      <c r="AA295" s="6010"/>
      <c r="AB295" s="429">
        <f t="shared" si="323"/>
        <v>0</v>
      </c>
      <c r="AC295" s="6043"/>
      <c r="AD295" s="4015"/>
      <c r="AE295" s="5997"/>
      <c r="AF295" s="718">
        <f t="shared" si="280"/>
        <v>0</v>
      </c>
      <c r="AG295" s="6043"/>
      <c r="AH295" s="4015"/>
      <c r="AI295" s="5997"/>
      <c r="AJ295" s="718">
        <f t="shared" si="281"/>
        <v>0</v>
      </c>
      <c r="AK295" s="6043"/>
      <c r="AL295" s="4015"/>
      <c r="AM295" s="6025"/>
      <c r="AN295" s="717">
        <f t="shared" si="324"/>
        <v>0</v>
      </c>
      <c r="AO295" s="5997"/>
      <c r="AP295" s="718">
        <f t="shared" si="325"/>
        <v>0</v>
      </c>
      <c r="AQ295" s="6043"/>
      <c r="AR295" s="4015"/>
      <c r="AS295" s="5997"/>
      <c r="AT295" s="718">
        <f t="shared" si="282"/>
        <v>0</v>
      </c>
      <c r="AU295" s="6043"/>
      <c r="AV295" s="4015"/>
      <c r="AW295" s="5997"/>
      <c r="AX295" s="718">
        <f t="shared" si="283"/>
        <v>0</v>
      </c>
      <c r="AY295" s="6043"/>
      <c r="AZ295" s="4015"/>
      <c r="BA295" s="6025"/>
      <c r="BB295" s="717">
        <f t="shared" si="326"/>
        <v>0</v>
      </c>
      <c r="BC295" s="6010"/>
      <c r="BD295" s="429">
        <f t="shared" si="293"/>
        <v>0</v>
      </c>
      <c r="BE295" s="5997"/>
      <c r="BF295" s="718">
        <f t="shared" si="294"/>
        <v>0</v>
      </c>
    </row>
    <row r="296" spans="1:58" ht="15" thickBot="1" x14ac:dyDescent="0.35">
      <c r="A296" s="142"/>
      <c r="B296" s="2566" t="s">
        <v>815</v>
      </c>
      <c r="C296" s="3160" t="s">
        <v>959</v>
      </c>
      <c r="D296" s="3160"/>
      <c r="E296" s="6043"/>
      <c r="F296" s="210">
        <v>983.4</v>
      </c>
      <c r="G296" s="6043"/>
      <c r="H296" s="210">
        <v>1716.3600000000004</v>
      </c>
      <c r="I296" s="5997"/>
      <c r="J296" s="718">
        <f t="shared" si="277"/>
        <v>2699.76</v>
      </c>
      <c r="K296" s="6043"/>
      <c r="L296" s="210"/>
      <c r="M296" s="6025"/>
      <c r="N296" s="717">
        <f t="shared" si="327"/>
        <v>2699.76</v>
      </c>
      <c r="O296" s="6043"/>
      <c r="P296" s="210"/>
      <c r="Q296" s="5997"/>
      <c r="R296" s="718">
        <f t="shared" si="278"/>
        <v>2699.76</v>
      </c>
      <c r="S296" s="6043"/>
      <c r="T296" s="210"/>
      <c r="U296" s="5997"/>
      <c r="V296" s="718">
        <f t="shared" si="279"/>
        <v>2699.76</v>
      </c>
      <c r="W296" s="6043"/>
      <c r="X296" s="210"/>
      <c r="Y296" s="6025"/>
      <c r="Z296" s="6025">
        <f t="shared" si="322"/>
        <v>0</v>
      </c>
      <c r="AA296" s="6010"/>
      <c r="AB296" s="429">
        <f t="shared" si="323"/>
        <v>2699.76</v>
      </c>
      <c r="AC296" s="6043"/>
      <c r="AD296" s="210"/>
      <c r="AE296" s="5997"/>
      <c r="AF296" s="718">
        <f t="shared" si="280"/>
        <v>2699.76</v>
      </c>
      <c r="AG296" s="6043"/>
      <c r="AH296" s="210"/>
      <c r="AI296" s="5997"/>
      <c r="AJ296" s="718">
        <f t="shared" si="281"/>
        <v>2699.76</v>
      </c>
      <c r="AK296" s="6043"/>
      <c r="AL296" s="210"/>
      <c r="AM296" s="6025"/>
      <c r="AN296" s="717">
        <f t="shared" si="324"/>
        <v>0</v>
      </c>
      <c r="AO296" s="5997"/>
      <c r="AP296" s="718">
        <f t="shared" si="325"/>
        <v>2699.76</v>
      </c>
      <c r="AQ296" s="6043"/>
      <c r="AR296" s="210"/>
      <c r="AS296" s="5997"/>
      <c r="AT296" s="718">
        <f t="shared" si="282"/>
        <v>2699.76</v>
      </c>
      <c r="AU296" s="6043"/>
      <c r="AV296" s="210"/>
      <c r="AW296" s="5997"/>
      <c r="AX296" s="718">
        <f t="shared" si="283"/>
        <v>2699.76</v>
      </c>
      <c r="AY296" s="6043"/>
      <c r="AZ296" s="210"/>
      <c r="BA296" s="6025"/>
      <c r="BB296" s="717">
        <f t="shared" si="326"/>
        <v>0</v>
      </c>
      <c r="BC296" s="6010"/>
      <c r="BD296" s="429">
        <f t="shared" si="293"/>
        <v>0</v>
      </c>
      <c r="BE296" s="5997"/>
      <c r="BF296" s="718">
        <f t="shared" si="294"/>
        <v>2699.76</v>
      </c>
    </row>
    <row r="297" spans="1:58" x14ac:dyDescent="0.3">
      <c r="A297" s="142"/>
      <c r="B297" s="4479" t="s">
        <v>906</v>
      </c>
      <c r="C297" s="3185" t="s">
        <v>834</v>
      </c>
      <c r="D297" s="3185"/>
      <c r="E297" s="6043"/>
      <c r="F297" s="2091"/>
      <c r="G297" s="6043"/>
      <c r="H297" s="2091"/>
      <c r="I297" s="5997"/>
      <c r="J297" s="718">
        <f t="shared" si="277"/>
        <v>0</v>
      </c>
      <c r="K297" s="6043"/>
      <c r="L297" s="2091"/>
      <c r="M297" s="6025"/>
      <c r="N297" s="717">
        <f t="shared" si="327"/>
        <v>0</v>
      </c>
      <c r="O297" s="6043"/>
      <c r="P297" s="2091"/>
      <c r="Q297" s="5997"/>
      <c r="R297" s="718">
        <f t="shared" si="278"/>
        <v>0</v>
      </c>
      <c r="S297" s="6043"/>
      <c r="T297" s="2091"/>
      <c r="U297" s="5997"/>
      <c r="V297" s="718">
        <f t="shared" si="279"/>
        <v>0</v>
      </c>
      <c r="W297" s="6043"/>
      <c r="X297" s="2091"/>
      <c r="Y297" s="6025"/>
      <c r="Z297" s="6025">
        <f t="shared" si="322"/>
        <v>0</v>
      </c>
      <c r="AA297" s="6010"/>
      <c r="AB297" s="429">
        <f t="shared" si="323"/>
        <v>0</v>
      </c>
      <c r="AC297" s="6043"/>
      <c r="AD297" s="2091"/>
      <c r="AE297" s="5997"/>
      <c r="AF297" s="718">
        <f t="shared" si="280"/>
        <v>0</v>
      </c>
      <c r="AG297" s="6043"/>
      <c r="AH297" s="2091"/>
      <c r="AI297" s="5997"/>
      <c r="AJ297" s="718">
        <f t="shared" si="281"/>
        <v>0</v>
      </c>
      <c r="AK297" s="6043"/>
      <c r="AL297" s="2091"/>
      <c r="AM297" s="6025"/>
      <c r="AN297" s="717">
        <f t="shared" si="324"/>
        <v>0</v>
      </c>
      <c r="AO297" s="5997"/>
      <c r="AP297" s="718">
        <f t="shared" si="325"/>
        <v>0</v>
      </c>
      <c r="AQ297" s="6043"/>
      <c r="AR297" s="2091"/>
      <c r="AS297" s="5997"/>
      <c r="AT297" s="718">
        <f t="shared" si="282"/>
        <v>0</v>
      </c>
      <c r="AU297" s="6043"/>
      <c r="AV297" s="2091"/>
      <c r="AW297" s="5997"/>
      <c r="AX297" s="718">
        <f t="shared" si="283"/>
        <v>0</v>
      </c>
      <c r="AY297" s="6043"/>
      <c r="AZ297" s="2091"/>
      <c r="BA297" s="6025"/>
      <c r="BB297" s="717">
        <f t="shared" si="326"/>
        <v>0</v>
      </c>
      <c r="BC297" s="6010"/>
      <c r="BD297" s="429">
        <f t="shared" si="293"/>
        <v>0</v>
      </c>
      <c r="BE297" s="5997"/>
      <c r="BF297" s="718">
        <f t="shared" si="294"/>
        <v>0</v>
      </c>
    </row>
    <row r="298" spans="1:58" ht="15" thickBot="1" x14ac:dyDescent="0.35">
      <c r="A298" s="142"/>
      <c r="B298" s="3184" t="s">
        <v>906</v>
      </c>
      <c r="C298" s="3185" t="s">
        <v>843</v>
      </c>
      <c r="D298" s="3185"/>
      <c r="E298" s="6043"/>
      <c r="F298" s="2091"/>
      <c r="G298" s="6043"/>
      <c r="H298" s="2091">
        <v>198.5</v>
      </c>
      <c r="I298" s="5997"/>
      <c r="J298" s="718">
        <f t="shared" si="277"/>
        <v>198.5</v>
      </c>
      <c r="K298" s="6043"/>
      <c r="L298" s="2091"/>
      <c r="M298" s="6025"/>
      <c r="N298" s="717">
        <f t="shared" si="327"/>
        <v>198.5</v>
      </c>
      <c r="O298" s="6043"/>
      <c r="P298" s="2091"/>
      <c r="Q298" s="5997"/>
      <c r="R298" s="718">
        <f t="shared" si="278"/>
        <v>198.5</v>
      </c>
      <c r="S298" s="6043"/>
      <c r="T298" s="2091"/>
      <c r="U298" s="5997"/>
      <c r="V298" s="718">
        <f t="shared" si="279"/>
        <v>198.5</v>
      </c>
      <c r="W298" s="6043"/>
      <c r="X298" s="2091"/>
      <c r="Y298" s="6025"/>
      <c r="Z298" s="6025">
        <f t="shared" si="322"/>
        <v>0</v>
      </c>
      <c r="AA298" s="6010"/>
      <c r="AB298" s="429">
        <f t="shared" si="323"/>
        <v>198.5</v>
      </c>
      <c r="AC298" s="6043"/>
      <c r="AD298" s="2091"/>
      <c r="AE298" s="5997"/>
      <c r="AF298" s="718">
        <f t="shared" si="280"/>
        <v>198.5</v>
      </c>
      <c r="AG298" s="6043"/>
      <c r="AH298" s="2091"/>
      <c r="AI298" s="5997"/>
      <c r="AJ298" s="718">
        <f t="shared" si="281"/>
        <v>198.5</v>
      </c>
      <c r="AK298" s="6043"/>
      <c r="AL298" s="2091"/>
      <c r="AM298" s="6025"/>
      <c r="AN298" s="717">
        <f t="shared" si="324"/>
        <v>0</v>
      </c>
      <c r="AO298" s="5997"/>
      <c r="AP298" s="718">
        <f t="shared" si="325"/>
        <v>198.5</v>
      </c>
      <c r="AQ298" s="6043"/>
      <c r="AR298" s="2091"/>
      <c r="AS298" s="5997"/>
      <c r="AT298" s="718">
        <f t="shared" si="282"/>
        <v>198.5</v>
      </c>
      <c r="AU298" s="6043"/>
      <c r="AV298" s="2091"/>
      <c r="AW298" s="5997"/>
      <c r="AX298" s="718">
        <f t="shared" si="283"/>
        <v>198.5</v>
      </c>
      <c r="AY298" s="6043"/>
      <c r="AZ298" s="2091"/>
      <c r="BA298" s="6025"/>
      <c r="BB298" s="717">
        <f t="shared" si="326"/>
        <v>0</v>
      </c>
      <c r="BC298" s="6010"/>
      <c r="BD298" s="429">
        <f t="shared" si="293"/>
        <v>0</v>
      </c>
      <c r="BE298" s="5997"/>
      <c r="BF298" s="718">
        <f t="shared" si="294"/>
        <v>198.5</v>
      </c>
    </row>
    <row r="299" spans="1:58" x14ac:dyDescent="0.3">
      <c r="A299" s="142"/>
      <c r="B299" s="2562" t="s">
        <v>1472</v>
      </c>
      <c r="C299" s="3156" t="s">
        <v>834</v>
      </c>
      <c r="D299" s="3156"/>
      <c r="E299" s="6043"/>
      <c r="F299" s="247"/>
      <c r="G299" s="6043"/>
      <c r="H299" s="247"/>
      <c r="I299" s="5997"/>
      <c r="J299" s="718">
        <f t="shared" si="277"/>
        <v>0</v>
      </c>
      <c r="K299" s="6043"/>
      <c r="L299" s="247"/>
      <c r="M299" s="6025"/>
      <c r="N299" s="717">
        <f t="shared" si="327"/>
        <v>0</v>
      </c>
      <c r="O299" s="6043"/>
      <c r="P299" s="247"/>
      <c r="Q299" s="5997"/>
      <c r="R299" s="718">
        <f t="shared" si="278"/>
        <v>0</v>
      </c>
      <c r="S299" s="6043"/>
      <c r="T299" s="247"/>
      <c r="U299" s="5997"/>
      <c r="V299" s="718">
        <f t="shared" si="279"/>
        <v>0</v>
      </c>
      <c r="W299" s="6043"/>
      <c r="X299" s="247"/>
      <c r="Y299" s="6025"/>
      <c r="Z299" s="6025">
        <f t="shared" si="322"/>
        <v>0</v>
      </c>
      <c r="AA299" s="6010"/>
      <c r="AB299" s="429">
        <f t="shared" si="323"/>
        <v>0</v>
      </c>
      <c r="AC299" s="6043"/>
      <c r="AD299" s="247"/>
      <c r="AE299" s="5997"/>
      <c r="AF299" s="718">
        <f t="shared" si="280"/>
        <v>0</v>
      </c>
      <c r="AG299" s="6043"/>
      <c r="AH299" s="247"/>
      <c r="AI299" s="5997"/>
      <c r="AJ299" s="718">
        <f t="shared" si="281"/>
        <v>0</v>
      </c>
      <c r="AK299" s="6043"/>
      <c r="AL299" s="247"/>
      <c r="AM299" s="6025"/>
      <c r="AN299" s="717">
        <f t="shared" si="324"/>
        <v>0</v>
      </c>
      <c r="AO299" s="5997"/>
      <c r="AP299" s="718">
        <f t="shared" si="325"/>
        <v>0</v>
      </c>
      <c r="AQ299" s="6043"/>
      <c r="AR299" s="247"/>
      <c r="AS299" s="5997"/>
      <c r="AT299" s="718">
        <f t="shared" si="282"/>
        <v>0</v>
      </c>
      <c r="AU299" s="6043"/>
      <c r="AV299" s="247"/>
      <c r="AW299" s="5997"/>
      <c r="AX299" s="718">
        <f t="shared" si="283"/>
        <v>0</v>
      </c>
      <c r="AY299" s="6043"/>
      <c r="AZ299" s="247"/>
      <c r="BA299" s="6025"/>
      <c r="BB299" s="717">
        <f t="shared" si="326"/>
        <v>0</v>
      </c>
      <c r="BC299" s="6010"/>
      <c r="BD299" s="429">
        <f t="shared" si="293"/>
        <v>0</v>
      </c>
      <c r="BE299" s="5997"/>
      <c r="BF299" s="718">
        <f t="shared" si="294"/>
        <v>0</v>
      </c>
    </row>
    <row r="300" spans="1:58" x14ac:dyDescent="0.3">
      <c r="A300" s="142"/>
      <c r="B300" s="4423" t="s">
        <v>1472</v>
      </c>
      <c r="C300" s="3185" t="s">
        <v>959</v>
      </c>
      <c r="D300" s="3185"/>
      <c r="E300" s="6043"/>
      <c r="F300" s="2091"/>
      <c r="G300" s="6043"/>
      <c r="H300" s="2091"/>
      <c r="I300" s="5997"/>
      <c r="J300" s="718">
        <f t="shared" si="277"/>
        <v>0</v>
      </c>
      <c r="K300" s="6043"/>
      <c r="L300" s="2091"/>
      <c r="M300" s="6025"/>
      <c r="N300" s="717">
        <f t="shared" si="327"/>
        <v>0</v>
      </c>
      <c r="O300" s="6043"/>
      <c r="P300" s="2091"/>
      <c r="Q300" s="5997"/>
      <c r="R300" s="718">
        <f t="shared" si="278"/>
        <v>0</v>
      </c>
      <c r="S300" s="6043"/>
      <c r="T300" s="2091"/>
      <c r="U300" s="5997"/>
      <c r="V300" s="718">
        <f t="shared" si="279"/>
        <v>0</v>
      </c>
      <c r="W300" s="6043"/>
      <c r="X300" s="2091"/>
      <c r="Y300" s="6025"/>
      <c r="Z300" s="6025">
        <f t="shared" si="322"/>
        <v>0</v>
      </c>
      <c r="AA300" s="6010"/>
      <c r="AB300" s="429">
        <f t="shared" si="323"/>
        <v>0</v>
      </c>
      <c r="AC300" s="6043"/>
      <c r="AD300" s="2091"/>
      <c r="AE300" s="5997"/>
      <c r="AF300" s="718">
        <f t="shared" si="280"/>
        <v>0</v>
      </c>
      <c r="AG300" s="6043"/>
      <c r="AH300" s="2091"/>
      <c r="AI300" s="5997"/>
      <c r="AJ300" s="718">
        <f t="shared" si="281"/>
        <v>0</v>
      </c>
      <c r="AK300" s="6043"/>
      <c r="AL300" s="2091"/>
      <c r="AM300" s="6025"/>
      <c r="AN300" s="717">
        <f t="shared" si="324"/>
        <v>0</v>
      </c>
      <c r="AO300" s="5997"/>
      <c r="AP300" s="718">
        <f t="shared" si="325"/>
        <v>0</v>
      </c>
      <c r="AQ300" s="6043"/>
      <c r="AR300" s="2091"/>
      <c r="AS300" s="5997"/>
      <c r="AT300" s="718">
        <f t="shared" si="282"/>
        <v>0</v>
      </c>
      <c r="AU300" s="6043"/>
      <c r="AV300" s="2091"/>
      <c r="AW300" s="5997"/>
      <c r="AX300" s="718">
        <f t="shared" si="283"/>
        <v>0</v>
      </c>
      <c r="AY300" s="6043"/>
      <c r="AZ300" s="2091"/>
      <c r="BA300" s="6025"/>
      <c r="BB300" s="717">
        <f t="shared" si="326"/>
        <v>0</v>
      </c>
      <c r="BC300" s="6010"/>
      <c r="BD300" s="429">
        <f t="shared" si="293"/>
        <v>0</v>
      </c>
      <c r="BE300" s="5997"/>
      <c r="BF300" s="718">
        <f t="shared" si="294"/>
        <v>0</v>
      </c>
    </row>
    <row r="301" spans="1:58" ht="15" thickBot="1" x14ac:dyDescent="0.35">
      <c r="A301" s="142"/>
      <c r="B301" s="2566" t="s">
        <v>1472</v>
      </c>
      <c r="C301" s="3160" t="s">
        <v>843</v>
      </c>
      <c r="D301" s="3160"/>
      <c r="E301" s="6043"/>
      <c r="F301" s="210"/>
      <c r="G301" s="6043"/>
      <c r="H301" s="210"/>
      <c r="I301" s="5997"/>
      <c r="J301" s="718">
        <f t="shared" si="277"/>
        <v>0</v>
      </c>
      <c r="K301" s="6043"/>
      <c r="L301" s="210"/>
      <c r="M301" s="6025"/>
      <c r="N301" s="717">
        <f t="shared" si="327"/>
        <v>0</v>
      </c>
      <c r="O301" s="6043"/>
      <c r="P301" s="210"/>
      <c r="Q301" s="5997"/>
      <c r="R301" s="718">
        <f t="shared" si="278"/>
        <v>0</v>
      </c>
      <c r="S301" s="6043"/>
      <c r="T301" s="210"/>
      <c r="U301" s="5997"/>
      <c r="V301" s="718">
        <f t="shared" si="279"/>
        <v>0</v>
      </c>
      <c r="W301" s="6043"/>
      <c r="X301" s="210"/>
      <c r="Y301" s="6025"/>
      <c r="Z301" s="6025">
        <f t="shared" si="322"/>
        <v>0</v>
      </c>
      <c r="AA301" s="6010"/>
      <c r="AB301" s="429">
        <f t="shared" si="323"/>
        <v>0</v>
      </c>
      <c r="AC301" s="6043"/>
      <c r="AD301" s="210"/>
      <c r="AE301" s="5997"/>
      <c r="AF301" s="718">
        <f t="shared" si="280"/>
        <v>0</v>
      </c>
      <c r="AG301" s="6043"/>
      <c r="AH301" s="210"/>
      <c r="AI301" s="5997"/>
      <c r="AJ301" s="718">
        <f t="shared" si="281"/>
        <v>0</v>
      </c>
      <c r="AK301" s="6043"/>
      <c r="AL301" s="210"/>
      <c r="AM301" s="6025"/>
      <c r="AN301" s="717">
        <f t="shared" si="324"/>
        <v>0</v>
      </c>
      <c r="AO301" s="5997"/>
      <c r="AP301" s="718">
        <f t="shared" si="325"/>
        <v>0</v>
      </c>
      <c r="AQ301" s="6043"/>
      <c r="AR301" s="210"/>
      <c r="AS301" s="5997"/>
      <c r="AT301" s="718">
        <f t="shared" si="282"/>
        <v>0</v>
      </c>
      <c r="AU301" s="6043"/>
      <c r="AV301" s="210"/>
      <c r="AW301" s="5997"/>
      <c r="AX301" s="718">
        <f t="shared" si="283"/>
        <v>0</v>
      </c>
      <c r="AY301" s="6043"/>
      <c r="AZ301" s="210"/>
      <c r="BA301" s="6025"/>
      <c r="BB301" s="717">
        <f t="shared" si="326"/>
        <v>0</v>
      </c>
      <c r="BC301" s="6010"/>
      <c r="BD301" s="429">
        <f t="shared" si="293"/>
        <v>0</v>
      </c>
      <c r="BE301" s="5997"/>
      <c r="BF301" s="718">
        <f t="shared" si="294"/>
        <v>0</v>
      </c>
    </row>
    <row r="302" spans="1:58" ht="15.75" customHeight="1" thickBot="1" x14ac:dyDescent="0.35">
      <c r="A302" s="142"/>
      <c r="B302" s="3184" t="s">
        <v>817</v>
      </c>
      <c r="C302" s="3185" t="s">
        <v>1321</v>
      </c>
      <c r="D302" s="3185"/>
      <c r="E302" s="6043"/>
      <c r="F302" s="2091"/>
      <c r="G302" s="6043"/>
      <c r="H302" s="2091"/>
      <c r="I302" s="5997"/>
      <c r="J302" s="718">
        <f t="shared" si="277"/>
        <v>0</v>
      </c>
      <c r="K302" s="6043"/>
      <c r="L302" s="2091"/>
      <c r="M302" s="6025"/>
      <c r="N302" s="717">
        <f t="shared" si="327"/>
        <v>0</v>
      </c>
      <c r="O302" s="6043"/>
      <c r="P302" s="2091"/>
      <c r="Q302" s="5997"/>
      <c r="R302" s="718">
        <f t="shared" si="278"/>
        <v>0</v>
      </c>
      <c r="S302" s="6043"/>
      <c r="T302" s="2091"/>
      <c r="U302" s="5997"/>
      <c r="V302" s="718">
        <f t="shared" si="279"/>
        <v>0</v>
      </c>
      <c r="W302" s="6043"/>
      <c r="X302" s="2091"/>
      <c r="Y302" s="6025"/>
      <c r="Z302" s="6025">
        <f t="shared" si="322"/>
        <v>0</v>
      </c>
      <c r="AA302" s="6010"/>
      <c r="AB302" s="429">
        <f t="shared" si="323"/>
        <v>0</v>
      </c>
      <c r="AC302" s="6043"/>
      <c r="AD302" s="2091"/>
      <c r="AE302" s="5997"/>
      <c r="AF302" s="718">
        <f t="shared" si="280"/>
        <v>0</v>
      </c>
      <c r="AG302" s="6043"/>
      <c r="AH302" s="2091"/>
      <c r="AI302" s="5997"/>
      <c r="AJ302" s="718">
        <f t="shared" si="281"/>
        <v>0</v>
      </c>
      <c r="AK302" s="6043"/>
      <c r="AL302" s="2091"/>
      <c r="AM302" s="6025"/>
      <c r="AN302" s="717">
        <f t="shared" si="324"/>
        <v>0</v>
      </c>
      <c r="AO302" s="5997"/>
      <c r="AP302" s="718">
        <f t="shared" si="325"/>
        <v>0</v>
      </c>
      <c r="AQ302" s="6043"/>
      <c r="AR302" s="2091"/>
      <c r="AS302" s="5997"/>
      <c r="AT302" s="718">
        <f t="shared" si="282"/>
        <v>0</v>
      </c>
      <c r="AU302" s="6043"/>
      <c r="AV302" s="2091"/>
      <c r="AW302" s="5997"/>
      <c r="AX302" s="718">
        <f t="shared" si="283"/>
        <v>0</v>
      </c>
      <c r="AY302" s="6043"/>
      <c r="AZ302" s="2091"/>
      <c r="BA302" s="6025"/>
      <c r="BB302" s="717">
        <f t="shared" si="326"/>
        <v>0</v>
      </c>
      <c r="BC302" s="6010"/>
      <c r="BD302" s="429">
        <f t="shared" si="293"/>
        <v>0</v>
      </c>
      <c r="BE302" s="5997"/>
      <c r="BF302" s="718">
        <f t="shared" si="294"/>
        <v>0</v>
      </c>
    </row>
    <row r="303" spans="1:58" x14ac:dyDescent="0.3">
      <c r="A303" s="142"/>
      <c r="B303" s="2562" t="s">
        <v>817</v>
      </c>
      <c r="C303" s="3156" t="s">
        <v>834</v>
      </c>
      <c r="D303" s="3156"/>
      <c r="E303" s="6043"/>
      <c r="F303" s="247">
        <v>973.34000000000015</v>
      </c>
      <c r="G303" s="6043"/>
      <c r="H303" s="247"/>
      <c r="I303" s="5997"/>
      <c r="J303" s="718">
        <f t="shared" si="277"/>
        <v>973.34000000000015</v>
      </c>
      <c r="K303" s="6043"/>
      <c r="L303" s="247"/>
      <c r="M303" s="6025"/>
      <c r="N303" s="717">
        <f t="shared" si="327"/>
        <v>973.34000000000015</v>
      </c>
      <c r="O303" s="6043"/>
      <c r="P303" s="247"/>
      <c r="Q303" s="5997"/>
      <c r="R303" s="718">
        <f t="shared" si="278"/>
        <v>973.34000000000015</v>
      </c>
      <c r="S303" s="6043"/>
      <c r="T303" s="247"/>
      <c r="U303" s="5997"/>
      <c r="V303" s="718">
        <f t="shared" si="279"/>
        <v>973.34000000000015</v>
      </c>
      <c r="W303" s="6043"/>
      <c r="X303" s="247"/>
      <c r="Y303" s="6025"/>
      <c r="Z303" s="6025">
        <f t="shared" si="322"/>
        <v>0</v>
      </c>
      <c r="AA303" s="6010"/>
      <c r="AB303" s="429">
        <f t="shared" si="323"/>
        <v>973.34000000000015</v>
      </c>
      <c r="AC303" s="6043"/>
      <c r="AD303" s="247"/>
      <c r="AE303" s="5997"/>
      <c r="AF303" s="718">
        <f t="shared" si="280"/>
        <v>973.34000000000015</v>
      </c>
      <c r="AG303" s="6043"/>
      <c r="AH303" s="247"/>
      <c r="AI303" s="5997"/>
      <c r="AJ303" s="718">
        <f t="shared" si="281"/>
        <v>973.34000000000015</v>
      </c>
      <c r="AK303" s="6043"/>
      <c r="AL303" s="247"/>
      <c r="AM303" s="6025"/>
      <c r="AN303" s="717">
        <f t="shared" si="324"/>
        <v>0</v>
      </c>
      <c r="AO303" s="5997"/>
      <c r="AP303" s="718">
        <f t="shared" si="325"/>
        <v>973.34000000000015</v>
      </c>
      <c r="AQ303" s="6043"/>
      <c r="AR303" s="247"/>
      <c r="AS303" s="5997"/>
      <c r="AT303" s="718">
        <f t="shared" si="282"/>
        <v>973.34000000000015</v>
      </c>
      <c r="AU303" s="6043"/>
      <c r="AV303" s="247"/>
      <c r="AW303" s="5997"/>
      <c r="AX303" s="718">
        <f t="shared" si="283"/>
        <v>973.34000000000015</v>
      </c>
      <c r="AY303" s="6043"/>
      <c r="AZ303" s="247"/>
      <c r="BA303" s="6025"/>
      <c r="BB303" s="717">
        <f t="shared" si="326"/>
        <v>0</v>
      </c>
      <c r="BC303" s="6010"/>
      <c r="BD303" s="429">
        <f t="shared" si="293"/>
        <v>0</v>
      </c>
      <c r="BE303" s="5997"/>
      <c r="BF303" s="718">
        <f t="shared" si="294"/>
        <v>973.34000000000015</v>
      </c>
    </row>
    <row r="304" spans="1:58" x14ac:dyDescent="0.3">
      <c r="A304" s="142"/>
      <c r="B304" s="780" t="s">
        <v>817</v>
      </c>
      <c r="C304" s="3166" t="s">
        <v>843</v>
      </c>
      <c r="D304" s="3166"/>
      <c r="E304" s="6043"/>
      <c r="F304" s="2399">
        <v>13735.17</v>
      </c>
      <c r="G304" s="6043"/>
      <c r="H304" s="2399">
        <v>1916.2809999999999</v>
      </c>
      <c r="I304" s="5997"/>
      <c r="J304" s="718">
        <f t="shared" si="277"/>
        <v>15651.451000000001</v>
      </c>
      <c r="K304" s="6043"/>
      <c r="L304" s="2399"/>
      <c r="M304" s="6025"/>
      <c r="N304" s="717">
        <f t="shared" si="327"/>
        <v>15651.451000000001</v>
      </c>
      <c r="O304" s="6043"/>
      <c r="P304" s="2399"/>
      <c r="Q304" s="5997"/>
      <c r="R304" s="718">
        <f t="shared" si="278"/>
        <v>15651.451000000001</v>
      </c>
      <c r="S304" s="6043"/>
      <c r="T304" s="2399"/>
      <c r="U304" s="5997"/>
      <c r="V304" s="718">
        <f t="shared" si="279"/>
        <v>15651.451000000001</v>
      </c>
      <c r="W304" s="6043"/>
      <c r="X304" s="2399"/>
      <c r="Y304" s="6025"/>
      <c r="Z304" s="6025">
        <f t="shared" si="322"/>
        <v>0</v>
      </c>
      <c r="AA304" s="6010"/>
      <c r="AB304" s="429">
        <f t="shared" si="323"/>
        <v>15651.451000000001</v>
      </c>
      <c r="AC304" s="6043"/>
      <c r="AD304" s="2399"/>
      <c r="AE304" s="5997"/>
      <c r="AF304" s="718">
        <f t="shared" si="280"/>
        <v>15651.451000000001</v>
      </c>
      <c r="AG304" s="6043"/>
      <c r="AH304" s="2399"/>
      <c r="AI304" s="5997"/>
      <c r="AJ304" s="718">
        <f t="shared" si="281"/>
        <v>15651.451000000001</v>
      </c>
      <c r="AK304" s="6043"/>
      <c r="AL304" s="2399"/>
      <c r="AM304" s="6025"/>
      <c r="AN304" s="717">
        <f t="shared" si="324"/>
        <v>0</v>
      </c>
      <c r="AO304" s="5997"/>
      <c r="AP304" s="718">
        <f t="shared" si="325"/>
        <v>15651.451000000001</v>
      </c>
      <c r="AQ304" s="6043"/>
      <c r="AR304" s="2399"/>
      <c r="AS304" s="5997"/>
      <c r="AT304" s="718">
        <f t="shared" si="282"/>
        <v>15651.451000000001</v>
      </c>
      <c r="AU304" s="6043"/>
      <c r="AV304" s="2399"/>
      <c r="AW304" s="5997"/>
      <c r="AX304" s="718">
        <f t="shared" si="283"/>
        <v>15651.451000000001</v>
      </c>
      <c r="AY304" s="6043"/>
      <c r="AZ304" s="2399"/>
      <c r="BA304" s="6025"/>
      <c r="BB304" s="717">
        <f t="shared" si="326"/>
        <v>0</v>
      </c>
      <c r="BC304" s="6010"/>
      <c r="BD304" s="429">
        <f t="shared" si="293"/>
        <v>0</v>
      </c>
      <c r="BE304" s="5997"/>
      <c r="BF304" s="718">
        <f t="shared" si="294"/>
        <v>15651.451000000001</v>
      </c>
    </row>
    <row r="305" spans="1:58" ht="15" customHeight="1" x14ac:dyDescent="0.3">
      <c r="A305" s="142"/>
      <c r="B305" s="780" t="s">
        <v>817</v>
      </c>
      <c r="C305" s="3166" t="s">
        <v>958</v>
      </c>
      <c r="D305" s="3166"/>
      <c r="E305" s="6043"/>
      <c r="F305" s="2399"/>
      <c r="G305" s="6043"/>
      <c r="H305" s="2399"/>
      <c r="I305" s="5997"/>
      <c r="J305" s="718">
        <f t="shared" si="277"/>
        <v>0</v>
      </c>
      <c r="K305" s="6043"/>
      <c r="L305" s="2399"/>
      <c r="M305" s="6025"/>
      <c r="N305" s="717">
        <f t="shared" si="327"/>
        <v>0</v>
      </c>
      <c r="O305" s="6043"/>
      <c r="P305" s="2399"/>
      <c r="Q305" s="5997"/>
      <c r="R305" s="718">
        <f t="shared" si="278"/>
        <v>0</v>
      </c>
      <c r="S305" s="6043"/>
      <c r="T305" s="2399"/>
      <c r="U305" s="5997"/>
      <c r="V305" s="718">
        <f t="shared" si="279"/>
        <v>0</v>
      </c>
      <c r="W305" s="6043"/>
      <c r="X305" s="2399"/>
      <c r="Y305" s="6025"/>
      <c r="Z305" s="6025">
        <f t="shared" si="322"/>
        <v>0</v>
      </c>
      <c r="AA305" s="6010"/>
      <c r="AB305" s="429">
        <f t="shared" si="323"/>
        <v>0</v>
      </c>
      <c r="AC305" s="6043"/>
      <c r="AD305" s="2399"/>
      <c r="AE305" s="5997"/>
      <c r="AF305" s="718">
        <f t="shared" si="280"/>
        <v>0</v>
      </c>
      <c r="AG305" s="6043"/>
      <c r="AH305" s="2399"/>
      <c r="AI305" s="5997"/>
      <c r="AJ305" s="718">
        <f t="shared" si="281"/>
        <v>0</v>
      </c>
      <c r="AK305" s="6043"/>
      <c r="AL305" s="2399"/>
      <c r="AM305" s="6025"/>
      <c r="AN305" s="717">
        <f t="shared" si="324"/>
        <v>0</v>
      </c>
      <c r="AO305" s="5997"/>
      <c r="AP305" s="718">
        <f t="shared" si="325"/>
        <v>0</v>
      </c>
      <c r="AQ305" s="6043"/>
      <c r="AR305" s="2399"/>
      <c r="AS305" s="5997"/>
      <c r="AT305" s="718">
        <f t="shared" si="282"/>
        <v>0</v>
      </c>
      <c r="AU305" s="6043"/>
      <c r="AV305" s="2399"/>
      <c r="AW305" s="5997"/>
      <c r="AX305" s="718">
        <f t="shared" si="283"/>
        <v>0</v>
      </c>
      <c r="AY305" s="6043"/>
      <c r="AZ305" s="2399"/>
      <c r="BA305" s="6025"/>
      <c r="BB305" s="717">
        <f t="shared" si="326"/>
        <v>0</v>
      </c>
      <c r="BC305" s="6010"/>
      <c r="BD305" s="429">
        <f t="shared" si="293"/>
        <v>0</v>
      </c>
      <c r="BE305" s="5997"/>
      <c r="BF305" s="718">
        <f t="shared" si="294"/>
        <v>0</v>
      </c>
    </row>
    <row r="306" spans="1:58" x14ac:dyDescent="0.3">
      <c r="A306" s="142"/>
      <c r="B306" s="780" t="s">
        <v>817</v>
      </c>
      <c r="C306" s="3166" t="s">
        <v>959</v>
      </c>
      <c r="D306" s="3166"/>
      <c r="E306" s="6043"/>
      <c r="F306" s="2399"/>
      <c r="G306" s="6043"/>
      <c r="H306" s="2399">
        <v>32.820999999999998</v>
      </c>
      <c r="I306" s="5997"/>
      <c r="J306" s="718">
        <f t="shared" si="277"/>
        <v>32.820999999999998</v>
      </c>
      <c r="K306" s="6043"/>
      <c r="L306" s="2399"/>
      <c r="M306" s="6025"/>
      <c r="N306" s="717">
        <f t="shared" si="327"/>
        <v>32.820999999999998</v>
      </c>
      <c r="O306" s="6043"/>
      <c r="P306" s="2399"/>
      <c r="Q306" s="5997"/>
      <c r="R306" s="718">
        <f t="shared" si="278"/>
        <v>32.820999999999998</v>
      </c>
      <c r="S306" s="6043"/>
      <c r="T306" s="2399"/>
      <c r="U306" s="5997"/>
      <c r="V306" s="718">
        <f t="shared" si="279"/>
        <v>32.820999999999998</v>
      </c>
      <c r="W306" s="6043"/>
      <c r="X306" s="2399"/>
      <c r="Y306" s="6025"/>
      <c r="Z306" s="6025">
        <f t="shared" si="322"/>
        <v>0</v>
      </c>
      <c r="AA306" s="6010"/>
      <c r="AB306" s="429">
        <f t="shared" si="323"/>
        <v>32.820999999999998</v>
      </c>
      <c r="AC306" s="6043"/>
      <c r="AD306" s="2399"/>
      <c r="AE306" s="5997"/>
      <c r="AF306" s="718">
        <f t="shared" si="280"/>
        <v>32.820999999999998</v>
      </c>
      <c r="AG306" s="6043"/>
      <c r="AH306" s="2399"/>
      <c r="AI306" s="5997"/>
      <c r="AJ306" s="718">
        <f t="shared" si="281"/>
        <v>32.820999999999998</v>
      </c>
      <c r="AK306" s="6043"/>
      <c r="AL306" s="2399"/>
      <c r="AM306" s="6025"/>
      <c r="AN306" s="717">
        <f t="shared" si="324"/>
        <v>0</v>
      </c>
      <c r="AO306" s="5997"/>
      <c r="AP306" s="718">
        <f t="shared" si="325"/>
        <v>32.820999999999998</v>
      </c>
      <c r="AQ306" s="6043"/>
      <c r="AR306" s="2399"/>
      <c r="AS306" s="5997"/>
      <c r="AT306" s="718">
        <f t="shared" si="282"/>
        <v>32.820999999999998</v>
      </c>
      <c r="AU306" s="6043"/>
      <c r="AV306" s="2399"/>
      <c r="AW306" s="5997"/>
      <c r="AX306" s="718">
        <f t="shared" si="283"/>
        <v>32.820999999999998</v>
      </c>
      <c r="AY306" s="6043"/>
      <c r="AZ306" s="2399"/>
      <c r="BA306" s="6025"/>
      <c r="BB306" s="717">
        <f t="shared" si="326"/>
        <v>0</v>
      </c>
      <c r="BC306" s="6010"/>
      <c r="BD306" s="429">
        <f t="shared" si="293"/>
        <v>0</v>
      </c>
      <c r="BE306" s="5997"/>
      <c r="BF306" s="718">
        <f t="shared" si="294"/>
        <v>32.820999999999998</v>
      </c>
    </row>
    <row r="307" spans="1:58" ht="15" thickBot="1" x14ac:dyDescent="0.35">
      <c r="A307" s="142"/>
      <c r="B307" s="2566" t="s">
        <v>817</v>
      </c>
      <c r="C307" s="3160" t="s">
        <v>1097</v>
      </c>
      <c r="D307" s="3160"/>
      <c r="E307" s="6043"/>
      <c r="F307" s="210"/>
      <c r="G307" s="6043"/>
      <c r="H307" s="210"/>
      <c r="I307" s="5997"/>
      <c r="J307" s="718">
        <f t="shared" si="277"/>
        <v>0</v>
      </c>
      <c r="K307" s="6043"/>
      <c r="L307" s="210"/>
      <c r="M307" s="6025"/>
      <c r="N307" s="717">
        <f t="shared" si="327"/>
        <v>0</v>
      </c>
      <c r="O307" s="6043"/>
      <c r="P307" s="210"/>
      <c r="Q307" s="5997"/>
      <c r="R307" s="718">
        <f t="shared" si="278"/>
        <v>0</v>
      </c>
      <c r="S307" s="6043"/>
      <c r="T307" s="210"/>
      <c r="U307" s="5997"/>
      <c r="V307" s="718">
        <f t="shared" si="279"/>
        <v>0</v>
      </c>
      <c r="W307" s="6043"/>
      <c r="X307" s="210"/>
      <c r="Y307" s="6025"/>
      <c r="Z307" s="6025">
        <f t="shared" si="322"/>
        <v>0</v>
      </c>
      <c r="AA307" s="6010"/>
      <c r="AB307" s="429">
        <f t="shared" si="323"/>
        <v>0</v>
      </c>
      <c r="AC307" s="6043"/>
      <c r="AD307" s="210"/>
      <c r="AE307" s="5997"/>
      <c r="AF307" s="718">
        <f t="shared" si="280"/>
        <v>0</v>
      </c>
      <c r="AG307" s="6043"/>
      <c r="AH307" s="210"/>
      <c r="AI307" s="5997"/>
      <c r="AJ307" s="718">
        <f t="shared" si="281"/>
        <v>0</v>
      </c>
      <c r="AK307" s="6043"/>
      <c r="AL307" s="210"/>
      <c r="AM307" s="6025"/>
      <c r="AN307" s="717">
        <f t="shared" si="324"/>
        <v>0</v>
      </c>
      <c r="AO307" s="5997"/>
      <c r="AP307" s="718">
        <f t="shared" si="325"/>
        <v>0</v>
      </c>
      <c r="AQ307" s="6043"/>
      <c r="AR307" s="210"/>
      <c r="AS307" s="5997"/>
      <c r="AT307" s="718">
        <f t="shared" si="282"/>
        <v>0</v>
      </c>
      <c r="AU307" s="6043"/>
      <c r="AV307" s="210"/>
      <c r="AW307" s="5997"/>
      <c r="AX307" s="718">
        <f t="shared" si="283"/>
        <v>0</v>
      </c>
      <c r="AY307" s="6043"/>
      <c r="AZ307" s="210"/>
      <c r="BA307" s="6025"/>
      <c r="BB307" s="717">
        <f t="shared" si="326"/>
        <v>0</v>
      </c>
      <c r="BC307" s="6010"/>
      <c r="BD307" s="429">
        <f t="shared" si="293"/>
        <v>0</v>
      </c>
      <c r="BE307" s="5997"/>
      <c r="BF307" s="718">
        <f t="shared" si="294"/>
        <v>0</v>
      </c>
    </row>
    <row r="308" spans="1:58" x14ac:dyDescent="0.3">
      <c r="A308" s="142"/>
      <c r="B308" s="3186" t="s">
        <v>818</v>
      </c>
      <c r="C308" s="3163" t="s">
        <v>834</v>
      </c>
      <c r="D308" s="3163"/>
      <c r="E308" s="6043"/>
      <c r="F308" s="1197">
        <v>258.71999999999997</v>
      </c>
      <c r="G308" s="6043"/>
      <c r="H308" s="1197">
        <v>64.8</v>
      </c>
      <c r="I308" s="5997"/>
      <c r="J308" s="718">
        <f t="shared" si="277"/>
        <v>323.52</v>
      </c>
      <c r="K308" s="6043"/>
      <c r="L308" s="1197"/>
      <c r="M308" s="6025"/>
      <c r="N308" s="717">
        <f t="shared" si="327"/>
        <v>323.52</v>
      </c>
      <c r="O308" s="6043"/>
      <c r="P308" s="1197"/>
      <c r="Q308" s="5997"/>
      <c r="R308" s="718">
        <f t="shared" si="278"/>
        <v>323.52</v>
      </c>
      <c r="S308" s="6043"/>
      <c r="T308" s="1197"/>
      <c r="U308" s="5997"/>
      <c r="V308" s="718">
        <f t="shared" si="279"/>
        <v>323.52</v>
      </c>
      <c r="W308" s="6043"/>
      <c r="X308" s="1197"/>
      <c r="Y308" s="6025"/>
      <c r="Z308" s="6025">
        <f t="shared" si="322"/>
        <v>0</v>
      </c>
      <c r="AA308" s="6010"/>
      <c r="AB308" s="429">
        <f t="shared" si="323"/>
        <v>323.52</v>
      </c>
      <c r="AC308" s="6043"/>
      <c r="AD308" s="1197"/>
      <c r="AE308" s="5997"/>
      <c r="AF308" s="718">
        <f t="shared" si="280"/>
        <v>323.52</v>
      </c>
      <c r="AG308" s="6043"/>
      <c r="AH308" s="1197"/>
      <c r="AI308" s="5997"/>
      <c r="AJ308" s="718">
        <f t="shared" si="281"/>
        <v>323.52</v>
      </c>
      <c r="AK308" s="6043"/>
      <c r="AL308" s="1197"/>
      <c r="AM308" s="6025"/>
      <c r="AN308" s="717">
        <f t="shared" si="324"/>
        <v>0</v>
      </c>
      <c r="AO308" s="5997"/>
      <c r="AP308" s="718">
        <f t="shared" si="325"/>
        <v>323.52</v>
      </c>
      <c r="AQ308" s="6043"/>
      <c r="AR308" s="1197"/>
      <c r="AS308" s="5997"/>
      <c r="AT308" s="718">
        <f t="shared" si="282"/>
        <v>323.52</v>
      </c>
      <c r="AU308" s="6043"/>
      <c r="AV308" s="1197"/>
      <c r="AW308" s="5997"/>
      <c r="AX308" s="718">
        <f t="shared" si="283"/>
        <v>323.52</v>
      </c>
      <c r="AY308" s="6043"/>
      <c r="AZ308" s="1197"/>
      <c r="BA308" s="6025"/>
      <c r="BB308" s="717">
        <f t="shared" si="326"/>
        <v>0</v>
      </c>
      <c r="BC308" s="6010"/>
      <c r="BD308" s="429">
        <f t="shared" si="293"/>
        <v>0</v>
      </c>
      <c r="BE308" s="5997"/>
      <c r="BF308" s="718">
        <f t="shared" si="294"/>
        <v>323.52</v>
      </c>
    </row>
    <row r="309" spans="1:58" x14ac:dyDescent="0.3">
      <c r="A309" s="142"/>
      <c r="B309" s="3181" t="s">
        <v>818</v>
      </c>
      <c r="C309" s="3157" t="s">
        <v>843</v>
      </c>
      <c r="D309" s="3157"/>
      <c r="E309" s="6043"/>
      <c r="F309" s="1031">
        <v>7878.1200000000026</v>
      </c>
      <c r="G309" s="6043"/>
      <c r="H309" s="1031">
        <v>3547.9100000000017</v>
      </c>
      <c r="I309" s="5997"/>
      <c r="J309" s="718">
        <f t="shared" si="277"/>
        <v>11426.030000000004</v>
      </c>
      <c r="K309" s="6043"/>
      <c r="L309" s="1031"/>
      <c r="M309" s="6025"/>
      <c r="N309" s="717">
        <f t="shared" si="327"/>
        <v>11426.030000000004</v>
      </c>
      <c r="O309" s="6043"/>
      <c r="P309" s="1031"/>
      <c r="Q309" s="5997"/>
      <c r="R309" s="718">
        <f t="shared" si="278"/>
        <v>11426.030000000004</v>
      </c>
      <c r="S309" s="6043"/>
      <c r="T309" s="1031"/>
      <c r="U309" s="5997"/>
      <c r="V309" s="718">
        <f t="shared" si="279"/>
        <v>11426.030000000004</v>
      </c>
      <c r="W309" s="6043"/>
      <c r="X309" s="1031"/>
      <c r="Y309" s="6025"/>
      <c r="Z309" s="6025">
        <f t="shared" si="322"/>
        <v>0</v>
      </c>
      <c r="AA309" s="6010"/>
      <c r="AB309" s="429">
        <f t="shared" si="323"/>
        <v>11426.030000000004</v>
      </c>
      <c r="AC309" s="6043"/>
      <c r="AD309" s="1031"/>
      <c r="AE309" s="5997"/>
      <c r="AF309" s="718">
        <f t="shared" si="280"/>
        <v>11426.030000000004</v>
      </c>
      <c r="AG309" s="6043"/>
      <c r="AH309" s="1031"/>
      <c r="AI309" s="5997"/>
      <c r="AJ309" s="718">
        <f t="shared" si="281"/>
        <v>11426.030000000004</v>
      </c>
      <c r="AK309" s="6043"/>
      <c r="AL309" s="1031"/>
      <c r="AM309" s="6025"/>
      <c r="AN309" s="717">
        <f t="shared" si="324"/>
        <v>0</v>
      </c>
      <c r="AO309" s="5997"/>
      <c r="AP309" s="718">
        <f t="shared" si="325"/>
        <v>11426.030000000004</v>
      </c>
      <c r="AQ309" s="6043"/>
      <c r="AR309" s="1031"/>
      <c r="AS309" s="5997"/>
      <c r="AT309" s="718">
        <f t="shared" si="282"/>
        <v>11426.030000000004</v>
      </c>
      <c r="AU309" s="6043"/>
      <c r="AV309" s="1031"/>
      <c r="AW309" s="5997"/>
      <c r="AX309" s="718">
        <f t="shared" si="283"/>
        <v>11426.030000000004</v>
      </c>
      <c r="AY309" s="6043"/>
      <c r="AZ309" s="1031"/>
      <c r="BA309" s="6025"/>
      <c r="BB309" s="717">
        <f t="shared" si="326"/>
        <v>0</v>
      </c>
      <c r="BC309" s="6010"/>
      <c r="BD309" s="429">
        <f t="shared" si="293"/>
        <v>0</v>
      </c>
      <c r="BE309" s="5997"/>
      <c r="BF309" s="718">
        <f t="shared" si="294"/>
        <v>11426.030000000004</v>
      </c>
    </row>
    <row r="310" spans="1:58" x14ac:dyDescent="0.3">
      <c r="A310" s="142"/>
      <c r="B310" s="3181" t="s">
        <v>818</v>
      </c>
      <c r="C310" s="3157" t="s">
        <v>1097</v>
      </c>
      <c r="D310" s="3157"/>
      <c r="E310" s="6043"/>
      <c r="F310" s="1031">
        <v>6518.2900000000027</v>
      </c>
      <c r="G310" s="6043"/>
      <c r="H310" s="1033">
        <v>4042.4900000000002</v>
      </c>
      <c r="I310" s="5997"/>
      <c r="J310" s="718">
        <f t="shared" si="277"/>
        <v>10560.780000000002</v>
      </c>
      <c r="K310" s="6043"/>
      <c r="L310" s="1033"/>
      <c r="M310" s="6025"/>
      <c r="N310" s="717">
        <f t="shared" si="327"/>
        <v>10560.780000000002</v>
      </c>
      <c r="O310" s="6043"/>
      <c r="P310" s="1033"/>
      <c r="Q310" s="5997"/>
      <c r="R310" s="718">
        <f t="shared" si="278"/>
        <v>10560.780000000002</v>
      </c>
      <c r="S310" s="6043"/>
      <c r="T310" s="1033"/>
      <c r="U310" s="5997"/>
      <c r="V310" s="718">
        <f t="shared" si="279"/>
        <v>10560.780000000002</v>
      </c>
      <c r="W310" s="6043"/>
      <c r="X310" s="1033"/>
      <c r="Y310" s="6025"/>
      <c r="Z310" s="6025">
        <f t="shared" si="322"/>
        <v>0</v>
      </c>
      <c r="AA310" s="6010"/>
      <c r="AB310" s="429">
        <f t="shared" si="323"/>
        <v>10560.780000000002</v>
      </c>
      <c r="AC310" s="6043"/>
      <c r="AD310" s="1033"/>
      <c r="AE310" s="5997"/>
      <c r="AF310" s="718">
        <f t="shared" si="280"/>
        <v>10560.780000000002</v>
      </c>
      <c r="AG310" s="6043"/>
      <c r="AH310" s="1033"/>
      <c r="AI310" s="5997"/>
      <c r="AJ310" s="718">
        <f t="shared" si="281"/>
        <v>10560.780000000002</v>
      </c>
      <c r="AK310" s="6043"/>
      <c r="AL310" s="1033"/>
      <c r="AM310" s="6025"/>
      <c r="AN310" s="717">
        <f t="shared" si="324"/>
        <v>0</v>
      </c>
      <c r="AO310" s="5997"/>
      <c r="AP310" s="718">
        <f t="shared" si="325"/>
        <v>10560.780000000002</v>
      </c>
      <c r="AQ310" s="6043"/>
      <c r="AR310" s="1033"/>
      <c r="AS310" s="5997"/>
      <c r="AT310" s="718">
        <f t="shared" si="282"/>
        <v>10560.780000000002</v>
      </c>
      <c r="AU310" s="6043"/>
      <c r="AV310" s="1033"/>
      <c r="AW310" s="5997"/>
      <c r="AX310" s="718">
        <f t="shared" si="283"/>
        <v>10560.780000000002</v>
      </c>
      <c r="AY310" s="6043"/>
      <c r="AZ310" s="1033"/>
      <c r="BA310" s="6025"/>
      <c r="BB310" s="717">
        <f t="shared" si="326"/>
        <v>0</v>
      </c>
      <c r="BC310" s="6010"/>
      <c r="BD310" s="429">
        <f t="shared" si="293"/>
        <v>0</v>
      </c>
      <c r="BE310" s="5997"/>
      <c r="BF310" s="718">
        <f t="shared" si="294"/>
        <v>10560.780000000002</v>
      </c>
    </row>
    <row r="311" spans="1:58" x14ac:dyDescent="0.3">
      <c r="A311" s="142"/>
      <c r="B311" s="3181" t="s">
        <v>818</v>
      </c>
      <c r="C311" s="3157" t="s">
        <v>958</v>
      </c>
      <c r="D311" s="3157"/>
      <c r="E311" s="6043"/>
      <c r="F311" s="1031"/>
      <c r="G311" s="6043"/>
      <c r="H311" s="1031">
        <v>38.631</v>
      </c>
      <c r="I311" s="5997"/>
      <c r="J311" s="718">
        <f t="shared" si="277"/>
        <v>38.631</v>
      </c>
      <c r="K311" s="6043"/>
      <c r="L311" s="1031"/>
      <c r="M311" s="6025"/>
      <c r="N311" s="717">
        <f t="shared" si="327"/>
        <v>38.631</v>
      </c>
      <c r="O311" s="6043"/>
      <c r="P311" s="1031"/>
      <c r="Q311" s="5997"/>
      <c r="R311" s="718">
        <f t="shared" si="278"/>
        <v>38.631</v>
      </c>
      <c r="S311" s="6043"/>
      <c r="T311" s="1031"/>
      <c r="U311" s="5997"/>
      <c r="V311" s="718">
        <f t="shared" si="279"/>
        <v>38.631</v>
      </c>
      <c r="W311" s="6043"/>
      <c r="X311" s="1031"/>
      <c r="Y311" s="6025"/>
      <c r="Z311" s="6025">
        <f t="shared" si="322"/>
        <v>0</v>
      </c>
      <c r="AA311" s="6010"/>
      <c r="AB311" s="429">
        <f t="shared" si="323"/>
        <v>38.631</v>
      </c>
      <c r="AC311" s="6043"/>
      <c r="AD311" s="1031"/>
      <c r="AE311" s="5997"/>
      <c r="AF311" s="718">
        <f t="shared" si="280"/>
        <v>38.631</v>
      </c>
      <c r="AG311" s="6043"/>
      <c r="AH311" s="1031"/>
      <c r="AI311" s="5997"/>
      <c r="AJ311" s="718">
        <f t="shared" si="281"/>
        <v>38.631</v>
      </c>
      <c r="AK311" s="6043"/>
      <c r="AL311" s="1031"/>
      <c r="AM311" s="6025"/>
      <c r="AN311" s="717">
        <f t="shared" si="324"/>
        <v>0</v>
      </c>
      <c r="AO311" s="5997"/>
      <c r="AP311" s="718">
        <f t="shared" si="325"/>
        <v>38.631</v>
      </c>
      <c r="AQ311" s="6043"/>
      <c r="AR311" s="1031"/>
      <c r="AS311" s="5997"/>
      <c r="AT311" s="718">
        <f t="shared" si="282"/>
        <v>38.631</v>
      </c>
      <c r="AU311" s="6043"/>
      <c r="AV311" s="1031"/>
      <c r="AW311" s="5997"/>
      <c r="AX311" s="718">
        <f t="shared" si="283"/>
        <v>38.631</v>
      </c>
      <c r="AY311" s="6043"/>
      <c r="AZ311" s="1031"/>
      <c r="BA311" s="6025"/>
      <c r="BB311" s="717">
        <f t="shared" si="326"/>
        <v>0</v>
      </c>
      <c r="BC311" s="6010"/>
      <c r="BD311" s="429">
        <f t="shared" si="293"/>
        <v>0</v>
      </c>
      <c r="BE311" s="5997"/>
      <c r="BF311" s="718">
        <f t="shared" si="294"/>
        <v>38.631</v>
      </c>
    </row>
    <row r="312" spans="1:58" x14ac:dyDescent="0.3">
      <c r="A312" s="142"/>
      <c r="B312" s="3181" t="s">
        <v>818</v>
      </c>
      <c r="C312" s="3157" t="s">
        <v>959</v>
      </c>
      <c r="D312" s="3157"/>
      <c r="E312" s="6043"/>
      <c r="F312" s="1031"/>
      <c r="G312" s="6043"/>
      <c r="H312" s="1031">
        <v>30.477</v>
      </c>
      <c r="I312" s="5997"/>
      <c r="J312" s="718">
        <f t="shared" si="277"/>
        <v>30.477</v>
      </c>
      <c r="K312" s="6043"/>
      <c r="L312" s="1031"/>
      <c r="M312" s="6025"/>
      <c r="N312" s="717">
        <f t="shared" si="327"/>
        <v>30.477</v>
      </c>
      <c r="O312" s="6043"/>
      <c r="P312" s="1031"/>
      <c r="Q312" s="5997"/>
      <c r="R312" s="718">
        <f t="shared" si="278"/>
        <v>30.477</v>
      </c>
      <c r="S312" s="6043"/>
      <c r="T312" s="1031"/>
      <c r="U312" s="5997"/>
      <c r="V312" s="718">
        <f t="shared" si="279"/>
        <v>30.477</v>
      </c>
      <c r="W312" s="6043"/>
      <c r="X312" s="1031"/>
      <c r="Y312" s="6025"/>
      <c r="Z312" s="6025">
        <f t="shared" si="322"/>
        <v>0</v>
      </c>
      <c r="AA312" s="6010"/>
      <c r="AB312" s="429">
        <f t="shared" si="323"/>
        <v>30.477</v>
      </c>
      <c r="AC312" s="6043"/>
      <c r="AD312" s="1031"/>
      <c r="AE312" s="5997"/>
      <c r="AF312" s="718">
        <f t="shared" si="280"/>
        <v>30.477</v>
      </c>
      <c r="AG312" s="6043"/>
      <c r="AH312" s="1031"/>
      <c r="AI312" s="5997"/>
      <c r="AJ312" s="718">
        <f t="shared" si="281"/>
        <v>30.477</v>
      </c>
      <c r="AK312" s="6043"/>
      <c r="AL312" s="1031"/>
      <c r="AM312" s="6025"/>
      <c r="AN312" s="717">
        <f t="shared" si="324"/>
        <v>0</v>
      </c>
      <c r="AO312" s="5997"/>
      <c r="AP312" s="718">
        <f t="shared" si="325"/>
        <v>30.477</v>
      </c>
      <c r="AQ312" s="6043"/>
      <c r="AR312" s="1031"/>
      <c r="AS312" s="5997"/>
      <c r="AT312" s="718">
        <f t="shared" si="282"/>
        <v>30.477</v>
      </c>
      <c r="AU312" s="6043"/>
      <c r="AV312" s="1031"/>
      <c r="AW312" s="5997"/>
      <c r="AX312" s="718">
        <f t="shared" si="283"/>
        <v>30.477</v>
      </c>
      <c r="AY312" s="6043"/>
      <c r="AZ312" s="1031"/>
      <c r="BA312" s="6025"/>
      <c r="BB312" s="717">
        <f t="shared" si="326"/>
        <v>0</v>
      </c>
      <c r="BC312" s="6010"/>
      <c r="BD312" s="429">
        <f t="shared" si="293"/>
        <v>0</v>
      </c>
      <c r="BE312" s="5997"/>
      <c r="BF312" s="718">
        <f t="shared" si="294"/>
        <v>30.477</v>
      </c>
    </row>
    <row r="313" spans="1:58" ht="15" thickBot="1" x14ac:dyDescent="0.35">
      <c r="A313" s="142"/>
      <c r="B313" s="3182" t="s">
        <v>818</v>
      </c>
      <c r="C313" s="3183" t="s">
        <v>1321</v>
      </c>
      <c r="D313" s="3183"/>
      <c r="E313" s="6043"/>
      <c r="F313" s="2626"/>
      <c r="G313" s="6043"/>
      <c r="H313" s="2626"/>
      <c r="I313" s="5997"/>
      <c r="J313" s="718">
        <f t="shared" si="277"/>
        <v>0</v>
      </c>
      <c r="K313" s="6043"/>
      <c r="L313" s="2626"/>
      <c r="M313" s="6025"/>
      <c r="N313" s="717">
        <f t="shared" si="327"/>
        <v>0</v>
      </c>
      <c r="O313" s="6043"/>
      <c r="P313" s="2626"/>
      <c r="Q313" s="5997"/>
      <c r="R313" s="718">
        <f t="shared" si="278"/>
        <v>0</v>
      </c>
      <c r="S313" s="6043"/>
      <c r="T313" s="2626"/>
      <c r="U313" s="5997"/>
      <c r="V313" s="718">
        <f t="shared" si="279"/>
        <v>0</v>
      </c>
      <c r="W313" s="6043"/>
      <c r="X313" s="2626"/>
      <c r="Y313" s="6025"/>
      <c r="Z313" s="6025">
        <f t="shared" si="322"/>
        <v>0</v>
      </c>
      <c r="AA313" s="6010"/>
      <c r="AB313" s="429">
        <f t="shared" si="323"/>
        <v>0</v>
      </c>
      <c r="AC313" s="6043"/>
      <c r="AD313" s="2626"/>
      <c r="AE313" s="5997"/>
      <c r="AF313" s="718">
        <f t="shared" si="280"/>
        <v>0</v>
      </c>
      <c r="AG313" s="6043"/>
      <c r="AH313" s="2626"/>
      <c r="AI313" s="5997"/>
      <c r="AJ313" s="718">
        <f t="shared" si="281"/>
        <v>0</v>
      </c>
      <c r="AK313" s="6043"/>
      <c r="AL313" s="2626"/>
      <c r="AM313" s="6025"/>
      <c r="AN313" s="717">
        <f t="shared" si="324"/>
        <v>0</v>
      </c>
      <c r="AO313" s="5997"/>
      <c r="AP313" s="718">
        <f t="shared" si="325"/>
        <v>0</v>
      </c>
      <c r="AQ313" s="6043"/>
      <c r="AR313" s="2626"/>
      <c r="AS313" s="5997"/>
      <c r="AT313" s="718">
        <f t="shared" si="282"/>
        <v>0</v>
      </c>
      <c r="AU313" s="6043"/>
      <c r="AV313" s="2626"/>
      <c r="AW313" s="5997"/>
      <c r="AX313" s="718">
        <f t="shared" si="283"/>
        <v>0</v>
      </c>
      <c r="AY313" s="6043"/>
      <c r="AZ313" s="2626"/>
      <c r="BA313" s="6025"/>
      <c r="BB313" s="717">
        <f t="shared" si="326"/>
        <v>0</v>
      </c>
      <c r="BC313" s="6010"/>
      <c r="BD313" s="429">
        <f t="shared" si="293"/>
        <v>0</v>
      </c>
      <c r="BE313" s="5997"/>
      <c r="BF313" s="718">
        <f t="shared" si="294"/>
        <v>0</v>
      </c>
    </row>
    <row r="314" spans="1:58" x14ac:dyDescent="0.3">
      <c r="A314" s="142"/>
      <c r="B314" s="2562" t="s">
        <v>819</v>
      </c>
      <c r="C314" s="3156" t="s">
        <v>834</v>
      </c>
      <c r="D314" s="3156"/>
      <c r="E314" s="6043"/>
      <c r="F314" s="247">
        <v>125.75999999999999</v>
      </c>
      <c r="G314" s="6043"/>
      <c r="H314" s="247">
        <v>40.620000000000005</v>
      </c>
      <c r="I314" s="5997"/>
      <c r="J314" s="718">
        <f t="shared" si="277"/>
        <v>166.38</v>
      </c>
      <c r="K314" s="6043"/>
      <c r="L314" s="247"/>
      <c r="M314" s="6025"/>
      <c r="N314" s="717">
        <f t="shared" si="327"/>
        <v>166.38</v>
      </c>
      <c r="O314" s="6043"/>
      <c r="P314" s="247"/>
      <c r="Q314" s="5997"/>
      <c r="R314" s="718">
        <f t="shared" si="278"/>
        <v>166.38</v>
      </c>
      <c r="S314" s="6043"/>
      <c r="T314" s="247"/>
      <c r="U314" s="5997"/>
      <c r="V314" s="718">
        <f t="shared" si="279"/>
        <v>166.38</v>
      </c>
      <c r="W314" s="6043"/>
      <c r="X314" s="247"/>
      <c r="Y314" s="6025"/>
      <c r="Z314" s="6025">
        <f t="shared" si="322"/>
        <v>0</v>
      </c>
      <c r="AA314" s="6010"/>
      <c r="AB314" s="429">
        <f t="shared" si="323"/>
        <v>166.38</v>
      </c>
      <c r="AC314" s="6043"/>
      <c r="AD314" s="247"/>
      <c r="AE314" s="5997"/>
      <c r="AF314" s="718">
        <f t="shared" si="280"/>
        <v>166.38</v>
      </c>
      <c r="AG314" s="6043"/>
      <c r="AH314" s="247"/>
      <c r="AI314" s="5997"/>
      <c r="AJ314" s="718">
        <f t="shared" si="281"/>
        <v>166.38</v>
      </c>
      <c r="AK314" s="6043"/>
      <c r="AL314" s="247"/>
      <c r="AM314" s="6025"/>
      <c r="AN314" s="717">
        <f t="shared" si="324"/>
        <v>0</v>
      </c>
      <c r="AO314" s="5997"/>
      <c r="AP314" s="718">
        <f t="shared" si="325"/>
        <v>166.38</v>
      </c>
      <c r="AQ314" s="6043"/>
      <c r="AR314" s="247"/>
      <c r="AS314" s="5997"/>
      <c r="AT314" s="718">
        <f t="shared" si="282"/>
        <v>166.38</v>
      </c>
      <c r="AU314" s="6043"/>
      <c r="AV314" s="247"/>
      <c r="AW314" s="5997"/>
      <c r="AX314" s="718">
        <f t="shared" si="283"/>
        <v>166.38</v>
      </c>
      <c r="AY314" s="6043"/>
      <c r="AZ314" s="247"/>
      <c r="BA314" s="6025"/>
      <c r="BB314" s="717">
        <f t="shared" si="326"/>
        <v>0</v>
      </c>
      <c r="BC314" s="6010"/>
      <c r="BD314" s="429">
        <f t="shared" si="293"/>
        <v>0</v>
      </c>
      <c r="BE314" s="5997"/>
      <c r="BF314" s="718">
        <f t="shared" si="294"/>
        <v>166.38</v>
      </c>
    </row>
    <row r="315" spans="1:58" x14ac:dyDescent="0.3">
      <c r="A315" s="88"/>
      <c r="B315" s="780" t="s">
        <v>819</v>
      </c>
      <c r="C315" s="3166" t="s">
        <v>843</v>
      </c>
      <c r="D315" s="3166"/>
      <c r="E315" s="6043"/>
      <c r="F315" s="2399">
        <v>11535.380000000005</v>
      </c>
      <c r="G315" s="6043"/>
      <c r="H315" s="2399">
        <v>61.512999999999998</v>
      </c>
      <c r="I315" s="5997"/>
      <c r="J315" s="718">
        <f t="shared" si="277"/>
        <v>11596.893000000005</v>
      </c>
      <c r="K315" s="6043"/>
      <c r="L315" s="2399"/>
      <c r="M315" s="6025"/>
      <c r="N315" s="717">
        <f t="shared" si="327"/>
        <v>11596.893000000005</v>
      </c>
      <c r="O315" s="6043"/>
      <c r="P315" s="2399"/>
      <c r="Q315" s="5997"/>
      <c r="R315" s="718">
        <f t="shared" si="278"/>
        <v>11596.893000000005</v>
      </c>
      <c r="S315" s="6043"/>
      <c r="T315" s="2399"/>
      <c r="U315" s="5997"/>
      <c r="V315" s="718">
        <f t="shared" si="279"/>
        <v>11596.893000000005</v>
      </c>
      <c r="W315" s="6043"/>
      <c r="X315" s="2399"/>
      <c r="Y315" s="6025"/>
      <c r="Z315" s="6025">
        <f t="shared" si="322"/>
        <v>0</v>
      </c>
      <c r="AA315" s="6010"/>
      <c r="AB315" s="429">
        <f t="shared" si="323"/>
        <v>11596.893000000005</v>
      </c>
      <c r="AC315" s="6043"/>
      <c r="AD315" s="2399"/>
      <c r="AE315" s="5997"/>
      <c r="AF315" s="718">
        <f t="shared" si="280"/>
        <v>11596.893000000005</v>
      </c>
      <c r="AG315" s="6043"/>
      <c r="AH315" s="2399"/>
      <c r="AI315" s="5997"/>
      <c r="AJ315" s="718">
        <f t="shared" si="281"/>
        <v>11596.893000000005</v>
      </c>
      <c r="AK315" s="6043"/>
      <c r="AL315" s="2399"/>
      <c r="AM315" s="6025"/>
      <c r="AN315" s="717">
        <f t="shared" si="324"/>
        <v>0</v>
      </c>
      <c r="AO315" s="5997"/>
      <c r="AP315" s="718">
        <f t="shared" si="325"/>
        <v>11596.893000000005</v>
      </c>
      <c r="AQ315" s="6043"/>
      <c r="AR315" s="2399"/>
      <c r="AS315" s="5997"/>
      <c r="AT315" s="718">
        <f t="shared" si="282"/>
        <v>11596.893000000005</v>
      </c>
      <c r="AU315" s="6043"/>
      <c r="AV315" s="2399"/>
      <c r="AW315" s="5997"/>
      <c r="AX315" s="718">
        <f t="shared" si="283"/>
        <v>11596.893000000005</v>
      </c>
      <c r="AY315" s="6043"/>
      <c r="AZ315" s="2399"/>
      <c r="BA315" s="6025"/>
      <c r="BB315" s="717">
        <f t="shared" si="326"/>
        <v>0</v>
      </c>
      <c r="BC315" s="6010"/>
      <c r="BD315" s="429">
        <f t="shared" si="293"/>
        <v>0</v>
      </c>
      <c r="BE315" s="5997"/>
      <c r="BF315" s="718">
        <f t="shared" si="294"/>
        <v>11596.893000000005</v>
      </c>
    </row>
    <row r="316" spans="1:58" x14ac:dyDescent="0.3">
      <c r="A316" s="142"/>
      <c r="B316" s="780" t="s">
        <v>819</v>
      </c>
      <c r="C316" s="3166" t="s">
        <v>1097</v>
      </c>
      <c r="D316" s="3166"/>
      <c r="E316" s="6043"/>
      <c r="F316" s="2399">
        <v>8493.3499999999985</v>
      </c>
      <c r="G316" s="6043"/>
      <c r="H316" s="2412">
        <v>1520.2869999999998</v>
      </c>
      <c r="I316" s="5997"/>
      <c r="J316" s="718">
        <f t="shared" si="277"/>
        <v>10013.636999999999</v>
      </c>
      <c r="K316" s="6043"/>
      <c r="L316" s="2412"/>
      <c r="M316" s="6025"/>
      <c r="N316" s="717">
        <f t="shared" si="327"/>
        <v>10013.636999999999</v>
      </c>
      <c r="O316" s="6043"/>
      <c r="P316" s="2412"/>
      <c r="Q316" s="5997"/>
      <c r="R316" s="718">
        <f t="shared" si="278"/>
        <v>10013.636999999999</v>
      </c>
      <c r="S316" s="6043"/>
      <c r="T316" s="2412"/>
      <c r="U316" s="5997"/>
      <c r="V316" s="718">
        <f t="shared" si="279"/>
        <v>10013.636999999999</v>
      </c>
      <c r="W316" s="6043"/>
      <c r="X316" s="2412"/>
      <c r="Y316" s="6025"/>
      <c r="Z316" s="6025">
        <f t="shared" si="322"/>
        <v>0</v>
      </c>
      <c r="AA316" s="6010"/>
      <c r="AB316" s="429">
        <f t="shared" si="323"/>
        <v>10013.636999999999</v>
      </c>
      <c r="AC316" s="6043"/>
      <c r="AD316" s="2412"/>
      <c r="AE316" s="5997"/>
      <c r="AF316" s="718">
        <f t="shared" si="280"/>
        <v>10013.636999999999</v>
      </c>
      <c r="AG316" s="6043"/>
      <c r="AH316" s="2412"/>
      <c r="AI316" s="5997"/>
      <c r="AJ316" s="718">
        <f t="shared" si="281"/>
        <v>10013.636999999999</v>
      </c>
      <c r="AK316" s="6043"/>
      <c r="AL316" s="2412"/>
      <c r="AM316" s="6025"/>
      <c r="AN316" s="717">
        <f t="shared" si="324"/>
        <v>0</v>
      </c>
      <c r="AO316" s="5997"/>
      <c r="AP316" s="718">
        <f t="shared" si="325"/>
        <v>10013.636999999999</v>
      </c>
      <c r="AQ316" s="6043"/>
      <c r="AR316" s="2412"/>
      <c r="AS316" s="5997"/>
      <c r="AT316" s="718">
        <f t="shared" si="282"/>
        <v>10013.636999999999</v>
      </c>
      <c r="AU316" s="6043"/>
      <c r="AV316" s="2412"/>
      <c r="AW316" s="5997"/>
      <c r="AX316" s="718">
        <f t="shared" si="283"/>
        <v>10013.636999999999</v>
      </c>
      <c r="AY316" s="6043"/>
      <c r="AZ316" s="2412"/>
      <c r="BA316" s="6025"/>
      <c r="BB316" s="717">
        <f t="shared" si="326"/>
        <v>0</v>
      </c>
      <c r="BC316" s="6010"/>
      <c r="BD316" s="429">
        <f t="shared" si="293"/>
        <v>0</v>
      </c>
      <c r="BE316" s="5997"/>
      <c r="BF316" s="718">
        <f t="shared" si="294"/>
        <v>10013.636999999999</v>
      </c>
    </row>
    <row r="317" spans="1:58" x14ac:dyDescent="0.3">
      <c r="A317" s="142"/>
      <c r="B317" s="780" t="s">
        <v>819</v>
      </c>
      <c r="C317" s="3166" t="s">
        <v>958</v>
      </c>
      <c r="D317" s="3166"/>
      <c r="E317" s="6043"/>
      <c r="F317" s="2399"/>
      <c r="G317" s="6043"/>
      <c r="H317" s="2399"/>
      <c r="I317" s="5997"/>
      <c r="J317" s="718">
        <f t="shared" si="277"/>
        <v>0</v>
      </c>
      <c r="K317" s="6043"/>
      <c r="L317" s="2399"/>
      <c r="M317" s="6025"/>
      <c r="N317" s="717">
        <f t="shared" si="327"/>
        <v>0</v>
      </c>
      <c r="O317" s="6043"/>
      <c r="P317" s="2399"/>
      <c r="Q317" s="5997"/>
      <c r="R317" s="718">
        <f t="shared" si="278"/>
        <v>0</v>
      </c>
      <c r="S317" s="6043"/>
      <c r="T317" s="2399"/>
      <c r="U317" s="5997"/>
      <c r="V317" s="718">
        <f t="shared" si="279"/>
        <v>0</v>
      </c>
      <c r="W317" s="6043"/>
      <c r="X317" s="2399"/>
      <c r="Y317" s="6025"/>
      <c r="Z317" s="6025">
        <f t="shared" si="322"/>
        <v>0</v>
      </c>
      <c r="AA317" s="6010"/>
      <c r="AB317" s="429">
        <f t="shared" si="323"/>
        <v>0</v>
      </c>
      <c r="AC317" s="6043"/>
      <c r="AD317" s="2399"/>
      <c r="AE317" s="5997"/>
      <c r="AF317" s="718">
        <f t="shared" si="280"/>
        <v>0</v>
      </c>
      <c r="AG317" s="6043"/>
      <c r="AH317" s="2399"/>
      <c r="AI317" s="5997"/>
      <c r="AJ317" s="718">
        <f t="shared" si="281"/>
        <v>0</v>
      </c>
      <c r="AK317" s="6043"/>
      <c r="AL317" s="2399"/>
      <c r="AM317" s="6025"/>
      <c r="AN317" s="717">
        <f t="shared" si="324"/>
        <v>0</v>
      </c>
      <c r="AO317" s="5997"/>
      <c r="AP317" s="718">
        <f t="shared" si="325"/>
        <v>0</v>
      </c>
      <c r="AQ317" s="6043"/>
      <c r="AR317" s="2399"/>
      <c r="AS317" s="5997"/>
      <c r="AT317" s="718">
        <f t="shared" si="282"/>
        <v>0</v>
      </c>
      <c r="AU317" s="6043"/>
      <c r="AV317" s="2399"/>
      <c r="AW317" s="5997"/>
      <c r="AX317" s="718">
        <f t="shared" si="283"/>
        <v>0</v>
      </c>
      <c r="AY317" s="6043"/>
      <c r="AZ317" s="2399"/>
      <c r="BA317" s="6025"/>
      <c r="BB317" s="717">
        <f t="shared" si="326"/>
        <v>0</v>
      </c>
      <c r="BC317" s="6010"/>
      <c r="BD317" s="429">
        <f t="shared" si="293"/>
        <v>0</v>
      </c>
      <c r="BE317" s="5997"/>
      <c r="BF317" s="718">
        <f t="shared" si="294"/>
        <v>0</v>
      </c>
    </row>
    <row r="318" spans="1:58" ht="15" thickBot="1" x14ac:dyDescent="0.35">
      <c r="A318" s="88"/>
      <c r="B318" s="3503" t="s">
        <v>819</v>
      </c>
      <c r="C318" s="4043" t="s">
        <v>959</v>
      </c>
      <c r="D318" s="4043"/>
      <c r="E318" s="6043"/>
      <c r="F318" s="4044">
        <v>1644.2</v>
      </c>
      <c r="G318" s="6043"/>
      <c r="H318" s="4044">
        <v>309.83999999999997</v>
      </c>
      <c r="I318" s="5997"/>
      <c r="J318" s="4045">
        <f t="shared" ref="J318:J388" si="328">F318+H318</f>
        <v>1954.04</v>
      </c>
      <c r="K318" s="6043"/>
      <c r="L318" s="4044"/>
      <c r="M318" s="6025"/>
      <c r="N318" s="4808">
        <f t="shared" si="327"/>
        <v>1954.04</v>
      </c>
      <c r="O318" s="6043"/>
      <c r="P318" s="4044"/>
      <c r="Q318" s="5997"/>
      <c r="R318" s="4045">
        <f t="shared" si="278"/>
        <v>1954.04</v>
      </c>
      <c r="S318" s="6043"/>
      <c r="T318" s="4044"/>
      <c r="U318" s="5997"/>
      <c r="V318" s="4045">
        <f t="shared" si="279"/>
        <v>1954.04</v>
      </c>
      <c r="W318" s="6043"/>
      <c r="X318" s="4044"/>
      <c r="Y318" s="6025"/>
      <c r="Z318" s="6025">
        <f t="shared" si="322"/>
        <v>0</v>
      </c>
      <c r="AA318" s="6010"/>
      <c r="AB318" s="5071">
        <f t="shared" si="323"/>
        <v>1954.04</v>
      </c>
      <c r="AC318" s="6043"/>
      <c r="AD318" s="4044"/>
      <c r="AE318" s="5997"/>
      <c r="AF318" s="4045">
        <f t="shared" si="280"/>
        <v>1954.04</v>
      </c>
      <c r="AG318" s="6043"/>
      <c r="AH318" s="4044"/>
      <c r="AI318" s="5997"/>
      <c r="AJ318" s="4045">
        <f t="shared" si="281"/>
        <v>1954.04</v>
      </c>
      <c r="AK318" s="6043"/>
      <c r="AL318" s="4044"/>
      <c r="AM318" s="6025"/>
      <c r="AN318" s="717">
        <f t="shared" si="324"/>
        <v>0</v>
      </c>
      <c r="AO318" s="5997"/>
      <c r="AP318" s="4045">
        <f t="shared" si="325"/>
        <v>1954.04</v>
      </c>
      <c r="AQ318" s="6043"/>
      <c r="AR318" s="4044"/>
      <c r="AS318" s="5997"/>
      <c r="AT318" s="4045">
        <f t="shared" si="282"/>
        <v>1954.04</v>
      </c>
      <c r="AU318" s="6043"/>
      <c r="AV318" s="4044"/>
      <c r="AW318" s="5997"/>
      <c r="AX318" s="4045">
        <f t="shared" si="283"/>
        <v>1954.04</v>
      </c>
      <c r="AY318" s="6043"/>
      <c r="AZ318" s="4044"/>
      <c r="BA318" s="6025"/>
      <c r="BB318" s="717">
        <f t="shared" si="326"/>
        <v>0</v>
      </c>
      <c r="BC318" s="6010"/>
      <c r="BD318" s="429">
        <f t="shared" si="293"/>
        <v>0</v>
      </c>
      <c r="BE318" s="5997"/>
      <c r="BF318" s="718">
        <f t="shared" si="294"/>
        <v>1954.04</v>
      </c>
    </row>
    <row r="319" spans="1:58" x14ac:dyDescent="0.3">
      <c r="A319" s="88"/>
      <c r="B319" s="2562" t="s">
        <v>820</v>
      </c>
      <c r="C319" s="3156" t="s">
        <v>834</v>
      </c>
      <c r="D319" s="3156"/>
      <c r="E319" s="6043"/>
      <c r="F319" s="247"/>
      <c r="G319" s="6043"/>
      <c r="H319" s="247"/>
      <c r="I319" s="5997"/>
      <c r="J319" s="341">
        <f t="shared" si="328"/>
        <v>0</v>
      </c>
      <c r="K319" s="6043"/>
      <c r="L319" s="247"/>
      <c r="M319" s="6025"/>
      <c r="N319" s="574">
        <f t="shared" si="327"/>
        <v>0</v>
      </c>
      <c r="O319" s="6043"/>
      <c r="P319" s="247"/>
      <c r="Q319" s="5997"/>
      <c r="R319" s="341">
        <f t="shared" ref="R319:R389" si="329">N319+P319</f>
        <v>0</v>
      </c>
      <c r="S319" s="6043"/>
      <c r="T319" s="247"/>
      <c r="U319" s="5997"/>
      <c r="V319" s="341">
        <f t="shared" ref="V319:V389" si="330">R319+T319</f>
        <v>0</v>
      </c>
      <c r="W319" s="6043"/>
      <c r="X319" s="247"/>
      <c r="Y319" s="6025"/>
      <c r="Z319" s="6025">
        <f t="shared" si="322"/>
        <v>0</v>
      </c>
      <c r="AA319" s="6010"/>
      <c r="AB319" s="955">
        <f t="shared" si="323"/>
        <v>0</v>
      </c>
      <c r="AC319" s="6043"/>
      <c r="AD319" s="247"/>
      <c r="AE319" s="5997"/>
      <c r="AF319" s="341">
        <f t="shared" ref="AF319:AF389" si="331">AB319+AD319</f>
        <v>0</v>
      </c>
      <c r="AG319" s="6043"/>
      <c r="AH319" s="247"/>
      <c r="AI319" s="5997"/>
      <c r="AJ319" s="341">
        <f t="shared" ref="AJ319:AJ389" si="332">AF319+AH319</f>
        <v>0</v>
      </c>
      <c r="AK319" s="6043"/>
      <c r="AL319" s="247"/>
      <c r="AM319" s="6025"/>
      <c r="AN319" s="717">
        <f t="shared" si="324"/>
        <v>0</v>
      </c>
      <c r="AO319" s="5997"/>
      <c r="AP319" s="341">
        <f t="shared" si="325"/>
        <v>0</v>
      </c>
      <c r="AQ319" s="6043"/>
      <c r="AR319" s="247"/>
      <c r="AS319" s="5997"/>
      <c r="AT319" s="341">
        <f t="shared" ref="AT319:AT389" si="333">AP319+AR319</f>
        <v>0</v>
      </c>
      <c r="AU319" s="6043"/>
      <c r="AV319" s="247"/>
      <c r="AW319" s="5997"/>
      <c r="AX319" s="341">
        <f t="shared" ref="AX319:AX389" si="334">AT319+AV319</f>
        <v>0</v>
      </c>
      <c r="AY319" s="6043"/>
      <c r="AZ319" s="247"/>
      <c r="BA319" s="6025"/>
      <c r="BB319" s="717">
        <f t="shared" si="326"/>
        <v>0</v>
      </c>
      <c r="BC319" s="6010"/>
      <c r="BD319" s="429">
        <f t="shared" si="293"/>
        <v>0</v>
      </c>
      <c r="BE319" s="5997"/>
      <c r="BF319" s="718">
        <f t="shared" si="294"/>
        <v>0</v>
      </c>
    </row>
    <row r="320" spans="1:58" x14ac:dyDescent="0.3">
      <c r="A320" s="88"/>
      <c r="B320" s="4121" t="s">
        <v>820</v>
      </c>
      <c r="C320" s="4797" t="s">
        <v>843</v>
      </c>
      <c r="D320" s="4797"/>
      <c r="E320" s="6043"/>
      <c r="F320" s="4809">
        <v>40.409999999999997</v>
      </c>
      <c r="G320" s="6043"/>
      <c r="H320" s="4809"/>
      <c r="I320" s="5997"/>
      <c r="J320" s="4658">
        <f t="shared" si="328"/>
        <v>40.409999999999997</v>
      </c>
      <c r="K320" s="6043"/>
      <c r="L320" s="4809"/>
      <c r="M320" s="6025"/>
      <c r="N320" s="4659">
        <f t="shared" si="327"/>
        <v>40.409999999999997</v>
      </c>
      <c r="O320" s="6043"/>
      <c r="P320" s="4809"/>
      <c r="Q320" s="5997"/>
      <c r="R320" s="4658">
        <f t="shared" si="329"/>
        <v>40.409999999999997</v>
      </c>
      <c r="S320" s="6043"/>
      <c r="T320" s="4809"/>
      <c r="U320" s="5997"/>
      <c r="V320" s="4658">
        <f t="shared" si="330"/>
        <v>40.409999999999997</v>
      </c>
      <c r="W320" s="6043"/>
      <c r="X320" s="4809"/>
      <c r="Y320" s="6025"/>
      <c r="Z320" s="6025">
        <f t="shared" si="322"/>
        <v>0</v>
      </c>
      <c r="AA320" s="6010"/>
      <c r="AB320" s="4889">
        <f t="shared" si="323"/>
        <v>40.409999999999997</v>
      </c>
      <c r="AC320" s="6043"/>
      <c r="AD320" s="4809"/>
      <c r="AE320" s="5997"/>
      <c r="AF320" s="4658">
        <f t="shared" si="331"/>
        <v>40.409999999999997</v>
      </c>
      <c r="AG320" s="6043"/>
      <c r="AH320" s="4809"/>
      <c r="AI320" s="5997"/>
      <c r="AJ320" s="4658">
        <f t="shared" si="332"/>
        <v>40.409999999999997</v>
      </c>
      <c r="AK320" s="6043"/>
      <c r="AL320" s="4809"/>
      <c r="AM320" s="6025"/>
      <c r="AN320" s="717">
        <f t="shared" si="324"/>
        <v>0</v>
      </c>
      <c r="AO320" s="5997"/>
      <c r="AP320" s="4658">
        <f t="shared" si="325"/>
        <v>40.409999999999997</v>
      </c>
      <c r="AQ320" s="6043"/>
      <c r="AR320" s="4809"/>
      <c r="AS320" s="5997"/>
      <c r="AT320" s="4658">
        <f t="shared" si="333"/>
        <v>40.409999999999997</v>
      </c>
      <c r="AU320" s="6043"/>
      <c r="AV320" s="4809"/>
      <c r="AW320" s="5997"/>
      <c r="AX320" s="4658">
        <f t="shared" si="334"/>
        <v>40.409999999999997</v>
      </c>
      <c r="AY320" s="6043"/>
      <c r="AZ320" s="4809"/>
      <c r="BA320" s="6025"/>
      <c r="BB320" s="717">
        <f t="shared" si="326"/>
        <v>0</v>
      </c>
      <c r="BC320" s="6010"/>
      <c r="BD320" s="429">
        <f t="shared" si="293"/>
        <v>0</v>
      </c>
      <c r="BE320" s="5997"/>
      <c r="BF320" s="718">
        <f t="shared" si="294"/>
        <v>40.409999999999997</v>
      </c>
    </row>
    <row r="321" spans="1:58" x14ac:dyDescent="0.3">
      <c r="A321" s="142"/>
      <c r="B321" s="4121" t="s">
        <v>820</v>
      </c>
      <c r="C321" s="4797" t="s">
        <v>1097</v>
      </c>
      <c r="D321" s="4797"/>
      <c r="E321" s="6043"/>
      <c r="F321" s="4809">
        <v>10462.859999999995</v>
      </c>
      <c r="G321" s="6043"/>
      <c r="H321" s="5464">
        <v>8437.4600000000028</v>
      </c>
      <c r="I321" s="5997"/>
      <c r="J321" s="4658">
        <f t="shared" si="328"/>
        <v>18900.32</v>
      </c>
      <c r="K321" s="6043"/>
      <c r="L321" s="5464"/>
      <c r="M321" s="6025"/>
      <c r="N321" s="4659">
        <f t="shared" si="327"/>
        <v>18900.32</v>
      </c>
      <c r="O321" s="6043"/>
      <c r="P321" s="5464"/>
      <c r="Q321" s="5997"/>
      <c r="R321" s="4658">
        <f t="shared" si="329"/>
        <v>18900.32</v>
      </c>
      <c r="S321" s="6043"/>
      <c r="T321" s="5464"/>
      <c r="U321" s="5997"/>
      <c r="V321" s="4658">
        <f t="shared" si="330"/>
        <v>18900.32</v>
      </c>
      <c r="W321" s="6043"/>
      <c r="X321" s="5464"/>
      <c r="Y321" s="6025"/>
      <c r="Z321" s="6025">
        <f t="shared" si="322"/>
        <v>0</v>
      </c>
      <c r="AA321" s="6010"/>
      <c r="AB321" s="4889">
        <f t="shared" si="323"/>
        <v>18900.32</v>
      </c>
      <c r="AC321" s="6043"/>
      <c r="AD321" s="5464"/>
      <c r="AE321" s="5997"/>
      <c r="AF321" s="4658">
        <f t="shared" si="331"/>
        <v>18900.32</v>
      </c>
      <c r="AG321" s="6043"/>
      <c r="AH321" s="5464"/>
      <c r="AI321" s="5997"/>
      <c r="AJ321" s="4658">
        <f t="shared" si="332"/>
        <v>18900.32</v>
      </c>
      <c r="AK321" s="6043"/>
      <c r="AL321" s="5464"/>
      <c r="AM321" s="6025"/>
      <c r="AN321" s="717">
        <f t="shared" si="324"/>
        <v>0</v>
      </c>
      <c r="AO321" s="5997"/>
      <c r="AP321" s="4658">
        <f t="shared" si="325"/>
        <v>18900.32</v>
      </c>
      <c r="AQ321" s="6043"/>
      <c r="AR321" s="5464"/>
      <c r="AS321" s="5997"/>
      <c r="AT321" s="4658">
        <f t="shared" si="333"/>
        <v>18900.32</v>
      </c>
      <c r="AU321" s="6043"/>
      <c r="AV321" s="5464"/>
      <c r="AW321" s="5997"/>
      <c r="AX321" s="4658">
        <f t="shared" si="334"/>
        <v>18900.32</v>
      </c>
      <c r="AY321" s="6043"/>
      <c r="AZ321" s="5464"/>
      <c r="BA321" s="6025"/>
      <c r="BB321" s="717">
        <f t="shared" si="326"/>
        <v>0</v>
      </c>
      <c r="BC321" s="6010"/>
      <c r="BD321" s="429">
        <f t="shared" si="293"/>
        <v>0</v>
      </c>
      <c r="BE321" s="5997"/>
      <c r="BF321" s="718">
        <f t="shared" si="294"/>
        <v>18900.32</v>
      </c>
    </row>
    <row r="322" spans="1:58" ht="15" thickBot="1" x14ac:dyDescent="0.35">
      <c r="A322" s="142"/>
      <c r="B322" s="3503" t="s">
        <v>820</v>
      </c>
      <c r="C322" s="4043" t="s">
        <v>959</v>
      </c>
      <c r="D322" s="4043"/>
      <c r="E322" s="6043"/>
      <c r="F322" s="4044"/>
      <c r="G322" s="6043"/>
      <c r="H322" s="4044"/>
      <c r="I322" s="5997"/>
      <c r="J322" s="4045">
        <f t="shared" si="328"/>
        <v>0</v>
      </c>
      <c r="K322" s="6043"/>
      <c r="L322" s="4044"/>
      <c r="M322" s="6025"/>
      <c r="N322" s="4808">
        <f t="shared" si="327"/>
        <v>0</v>
      </c>
      <c r="O322" s="6043"/>
      <c r="P322" s="4044"/>
      <c r="Q322" s="5997"/>
      <c r="R322" s="4045">
        <f t="shared" si="329"/>
        <v>0</v>
      </c>
      <c r="S322" s="6043"/>
      <c r="T322" s="4044"/>
      <c r="U322" s="5997"/>
      <c r="V322" s="4045">
        <f t="shared" si="330"/>
        <v>0</v>
      </c>
      <c r="W322" s="6043"/>
      <c r="X322" s="4044"/>
      <c r="Y322" s="6025"/>
      <c r="Z322" s="6025">
        <f t="shared" si="322"/>
        <v>0</v>
      </c>
      <c r="AA322" s="6010"/>
      <c r="AB322" s="5071">
        <f t="shared" si="323"/>
        <v>0</v>
      </c>
      <c r="AC322" s="6043"/>
      <c r="AD322" s="4044"/>
      <c r="AE322" s="5997"/>
      <c r="AF322" s="4045">
        <f t="shared" si="331"/>
        <v>0</v>
      </c>
      <c r="AG322" s="6043"/>
      <c r="AH322" s="4044"/>
      <c r="AI322" s="5997"/>
      <c r="AJ322" s="4045">
        <f t="shared" si="332"/>
        <v>0</v>
      </c>
      <c r="AK322" s="6043"/>
      <c r="AL322" s="4044"/>
      <c r="AM322" s="6025"/>
      <c r="AN322" s="717">
        <f t="shared" si="324"/>
        <v>0</v>
      </c>
      <c r="AO322" s="5997"/>
      <c r="AP322" s="4045">
        <f t="shared" si="325"/>
        <v>0</v>
      </c>
      <c r="AQ322" s="6043"/>
      <c r="AR322" s="4044"/>
      <c r="AS322" s="5997"/>
      <c r="AT322" s="4045">
        <f t="shared" si="333"/>
        <v>0</v>
      </c>
      <c r="AU322" s="6043"/>
      <c r="AV322" s="4044"/>
      <c r="AW322" s="5997"/>
      <c r="AX322" s="4045">
        <f t="shared" si="334"/>
        <v>0</v>
      </c>
      <c r="AY322" s="6043"/>
      <c r="AZ322" s="4044"/>
      <c r="BA322" s="6025"/>
      <c r="BB322" s="717">
        <f t="shared" si="326"/>
        <v>0</v>
      </c>
      <c r="BC322" s="6010"/>
      <c r="BD322" s="429">
        <f t="shared" si="293"/>
        <v>0</v>
      </c>
      <c r="BE322" s="5997"/>
      <c r="BF322" s="718">
        <f t="shared" si="294"/>
        <v>0</v>
      </c>
    </row>
    <row r="323" spans="1:58" x14ac:dyDescent="0.3">
      <c r="A323" s="142"/>
      <c r="B323" s="2562" t="s">
        <v>821</v>
      </c>
      <c r="C323" s="3156" t="s">
        <v>834</v>
      </c>
      <c r="D323" s="3156"/>
      <c r="E323" s="6043"/>
      <c r="F323" s="247"/>
      <c r="G323" s="6043"/>
      <c r="H323" s="247"/>
      <c r="I323" s="5997"/>
      <c r="J323" s="4045">
        <f t="shared" si="328"/>
        <v>0</v>
      </c>
      <c r="K323" s="6043"/>
      <c r="L323" s="247"/>
      <c r="M323" s="6025"/>
      <c r="N323" s="4808">
        <f t="shared" si="327"/>
        <v>0</v>
      </c>
      <c r="O323" s="6043"/>
      <c r="P323" s="247"/>
      <c r="Q323" s="5997"/>
      <c r="R323" s="4045">
        <f t="shared" si="329"/>
        <v>0</v>
      </c>
      <c r="S323" s="6043"/>
      <c r="T323" s="247"/>
      <c r="U323" s="5997"/>
      <c r="V323" s="4045">
        <f t="shared" si="330"/>
        <v>0</v>
      </c>
      <c r="W323" s="6043"/>
      <c r="X323" s="247"/>
      <c r="Y323" s="6025"/>
      <c r="Z323" s="6025">
        <f t="shared" si="322"/>
        <v>0</v>
      </c>
      <c r="AA323" s="6010"/>
      <c r="AB323" s="5071">
        <f t="shared" si="323"/>
        <v>0</v>
      </c>
      <c r="AC323" s="6043"/>
      <c r="AD323" s="247"/>
      <c r="AE323" s="5997"/>
      <c r="AF323" s="4045">
        <f t="shared" si="331"/>
        <v>0</v>
      </c>
      <c r="AG323" s="6043"/>
      <c r="AH323" s="247"/>
      <c r="AI323" s="5997"/>
      <c r="AJ323" s="4045">
        <f t="shared" si="332"/>
        <v>0</v>
      </c>
      <c r="AK323" s="6043"/>
      <c r="AL323" s="247"/>
      <c r="AM323" s="6025"/>
      <c r="AN323" s="717">
        <f t="shared" si="324"/>
        <v>0</v>
      </c>
      <c r="AO323" s="5997"/>
      <c r="AP323" s="4045">
        <f t="shared" si="325"/>
        <v>0</v>
      </c>
      <c r="AQ323" s="6043"/>
      <c r="AR323" s="247"/>
      <c r="AS323" s="5997"/>
      <c r="AT323" s="4045">
        <f t="shared" si="333"/>
        <v>0</v>
      </c>
      <c r="AU323" s="6043"/>
      <c r="AV323" s="247"/>
      <c r="AW323" s="5997"/>
      <c r="AX323" s="4045">
        <f t="shared" si="334"/>
        <v>0</v>
      </c>
      <c r="AY323" s="6043"/>
      <c r="AZ323" s="247"/>
      <c r="BA323" s="6025"/>
      <c r="BB323" s="717">
        <f t="shared" si="326"/>
        <v>0</v>
      </c>
      <c r="BC323" s="6010"/>
      <c r="BD323" s="429">
        <f t="shared" si="293"/>
        <v>0</v>
      </c>
      <c r="BE323" s="5997"/>
      <c r="BF323" s="718">
        <f t="shared" si="294"/>
        <v>0</v>
      </c>
    </row>
    <row r="324" spans="1:58" ht="15" thickBot="1" x14ac:dyDescent="0.35">
      <c r="A324" s="88"/>
      <c r="B324" s="4129" t="s">
        <v>821</v>
      </c>
      <c r="C324" s="4810" t="s">
        <v>843</v>
      </c>
      <c r="D324" s="4810"/>
      <c r="E324" s="6043"/>
      <c r="F324" s="4074"/>
      <c r="G324" s="6043"/>
      <c r="H324" s="4074"/>
      <c r="I324" s="5997"/>
      <c r="J324" s="4133">
        <f t="shared" si="328"/>
        <v>0</v>
      </c>
      <c r="K324" s="6043"/>
      <c r="L324" s="4074"/>
      <c r="M324" s="6025"/>
      <c r="N324" s="4135">
        <f t="shared" si="327"/>
        <v>0</v>
      </c>
      <c r="O324" s="6043"/>
      <c r="P324" s="4074"/>
      <c r="Q324" s="5997"/>
      <c r="R324" s="4133">
        <f t="shared" si="329"/>
        <v>0</v>
      </c>
      <c r="S324" s="6043"/>
      <c r="T324" s="4074"/>
      <c r="U324" s="5997"/>
      <c r="V324" s="4133">
        <f t="shared" si="330"/>
        <v>0</v>
      </c>
      <c r="W324" s="6043"/>
      <c r="X324" s="4074"/>
      <c r="Y324" s="6025"/>
      <c r="Z324" s="6025">
        <f t="shared" si="322"/>
        <v>0</v>
      </c>
      <c r="AA324" s="6010"/>
      <c r="AB324" s="4228">
        <f t="shared" si="323"/>
        <v>0</v>
      </c>
      <c r="AC324" s="6043"/>
      <c r="AD324" s="4074"/>
      <c r="AE324" s="5997"/>
      <c r="AF324" s="4133">
        <f t="shared" si="331"/>
        <v>0</v>
      </c>
      <c r="AG324" s="6043"/>
      <c r="AH324" s="4074"/>
      <c r="AI324" s="5997"/>
      <c r="AJ324" s="4133">
        <f t="shared" si="332"/>
        <v>0</v>
      </c>
      <c r="AK324" s="6043"/>
      <c r="AL324" s="4074"/>
      <c r="AM324" s="6025"/>
      <c r="AN324" s="717">
        <f t="shared" si="324"/>
        <v>0</v>
      </c>
      <c r="AO324" s="5997"/>
      <c r="AP324" s="4133">
        <f t="shared" si="325"/>
        <v>0</v>
      </c>
      <c r="AQ324" s="6043"/>
      <c r="AR324" s="4074"/>
      <c r="AS324" s="5997"/>
      <c r="AT324" s="4133">
        <f t="shared" si="333"/>
        <v>0</v>
      </c>
      <c r="AU324" s="6043"/>
      <c r="AV324" s="4074"/>
      <c r="AW324" s="5997"/>
      <c r="AX324" s="4133">
        <f t="shared" si="334"/>
        <v>0</v>
      </c>
      <c r="AY324" s="6043"/>
      <c r="AZ324" s="4074"/>
      <c r="BA324" s="6025"/>
      <c r="BB324" s="717">
        <f t="shared" si="326"/>
        <v>0</v>
      </c>
      <c r="BC324" s="6010"/>
      <c r="BD324" s="429">
        <f t="shared" si="293"/>
        <v>0</v>
      </c>
      <c r="BE324" s="5997"/>
      <c r="BF324" s="718">
        <f t="shared" si="294"/>
        <v>0</v>
      </c>
    </row>
    <row r="325" spans="1:58" x14ac:dyDescent="0.3">
      <c r="A325" s="88"/>
      <c r="B325" s="3186" t="s">
        <v>77</v>
      </c>
      <c r="C325" s="3163"/>
      <c r="D325" s="3163"/>
      <c r="E325" s="6043"/>
      <c r="F325" s="1095">
        <f>F19</f>
        <v>0</v>
      </c>
      <c r="G325" s="6043"/>
      <c r="H325" s="1095">
        <f>H19</f>
        <v>0</v>
      </c>
      <c r="I325" s="5997">
        <f>E325+G325</f>
        <v>0</v>
      </c>
      <c r="J325" s="2045">
        <f t="shared" si="328"/>
        <v>0</v>
      </c>
      <c r="K325" s="6043"/>
      <c r="L325" s="1095">
        <f>L19</f>
        <v>0</v>
      </c>
      <c r="M325" s="6025">
        <f>I325+K325</f>
        <v>0</v>
      </c>
      <c r="N325" s="451">
        <f t="shared" si="327"/>
        <v>0</v>
      </c>
      <c r="O325" s="6043"/>
      <c r="P325" s="1095">
        <f>P19</f>
        <v>0</v>
      </c>
      <c r="Q325" s="5997">
        <f>M325+O325</f>
        <v>0</v>
      </c>
      <c r="R325" s="2045">
        <f t="shared" si="329"/>
        <v>0</v>
      </c>
      <c r="S325" s="6043"/>
      <c r="T325" s="1095">
        <f>T19</f>
        <v>0</v>
      </c>
      <c r="U325" s="5997">
        <f>Q325+S325</f>
        <v>0</v>
      </c>
      <c r="V325" s="2045">
        <f t="shared" si="330"/>
        <v>0</v>
      </c>
      <c r="W325" s="6043"/>
      <c r="X325" s="1095">
        <f>X19</f>
        <v>0</v>
      </c>
      <c r="Y325" s="6025">
        <f>O325+S325+W325</f>
        <v>0</v>
      </c>
      <c r="Z325" s="6025">
        <f t="shared" si="322"/>
        <v>0</v>
      </c>
      <c r="AA325" s="6010">
        <f>M325+Y325</f>
        <v>0</v>
      </c>
      <c r="AB325" s="1471">
        <f t="shared" si="323"/>
        <v>0</v>
      </c>
      <c r="AC325" s="6043"/>
      <c r="AD325" s="1095">
        <f>AD19</f>
        <v>0</v>
      </c>
      <c r="AE325" s="5997">
        <f>AA325+AC325</f>
        <v>0</v>
      </c>
      <c r="AF325" s="2045">
        <f t="shared" si="331"/>
        <v>0</v>
      </c>
      <c r="AG325" s="6043"/>
      <c r="AH325" s="1095">
        <f>AH19</f>
        <v>0</v>
      </c>
      <c r="AI325" s="5997">
        <f>AE325+AG325</f>
        <v>0</v>
      </c>
      <c r="AJ325" s="2045">
        <f t="shared" si="332"/>
        <v>0</v>
      </c>
      <c r="AK325" s="6043"/>
      <c r="AL325" s="1095">
        <f>AL19</f>
        <v>0</v>
      </c>
      <c r="AM325" s="6025">
        <f>AC325+AG325+AK325</f>
        <v>0</v>
      </c>
      <c r="AN325" s="717">
        <f t="shared" si="324"/>
        <v>0</v>
      </c>
      <c r="AO325" s="5997">
        <f>AK325+AM325</f>
        <v>0</v>
      </c>
      <c r="AP325" s="2045">
        <f t="shared" si="325"/>
        <v>0</v>
      </c>
      <c r="AQ325" s="6043"/>
      <c r="AR325" s="1095">
        <f>AR19</f>
        <v>0</v>
      </c>
      <c r="AS325" s="5997">
        <f>AO325+AQ325</f>
        <v>0</v>
      </c>
      <c r="AT325" s="2045">
        <f t="shared" si="333"/>
        <v>0</v>
      </c>
      <c r="AU325" s="6043"/>
      <c r="AV325" s="1095">
        <f>AV19</f>
        <v>0</v>
      </c>
      <c r="AW325" s="5997">
        <f>AS325+AU325</f>
        <v>0</v>
      </c>
      <c r="AX325" s="2045">
        <f t="shared" si="334"/>
        <v>0</v>
      </c>
      <c r="AY325" s="6043"/>
      <c r="AZ325" s="1095">
        <f>AZ19</f>
        <v>0</v>
      </c>
      <c r="BA325" s="6025">
        <f>AQ325+AU325+AY325</f>
        <v>0</v>
      </c>
      <c r="BB325" s="717">
        <f t="shared" si="326"/>
        <v>0</v>
      </c>
      <c r="BC325" s="6010">
        <f>AO325+BA325</f>
        <v>0</v>
      </c>
      <c r="BD325" s="429">
        <f t="shared" si="293"/>
        <v>0</v>
      </c>
      <c r="BE325" s="5997">
        <f>BA325+BC325</f>
        <v>0</v>
      </c>
      <c r="BF325" s="718">
        <f t="shared" si="294"/>
        <v>0</v>
      </c>
    </row>
    <row r="326" spans="1:58" x14ac:dyDescent="0.3">
      <c r="A326" s="88"/>
      <c r="B326" s="3181" t="s">
        <v>1125</v>
      </c>
      <c r="C326" s="146"/>
      <c r="D326" s="146"/>
      <c r="E326" s="6044"/>
      <c r="F326" s="335">
        <f>F20</f>
        <v>0</v>
      </c>
      <c r="G326" s="6044"/>
      <c r="H326" s="335">
        <f>H20</f>
        <v>0</v>
      </c>
      <c r="I326" s="5998">
        <f t="shared" ref="I326:I327" si="335">E326+G326</f>
        <v>0</v>
      </c>
      <c r="J326" s="718">
        <f t="shared" si="328"/>
        <v>0</v>
      </c>
      <c r="K326" s="6044"/>
      <c r="L326" s="335">
        <f>L20</f>
        <v>0</v>
      </c>
      <c r="M326" s="6026">
        <f t="shared" ref="M326:M327" si="336">I326+K326</f>
        <v>0</v>
      </c>
      <c r="N326" s="717">
        <f t="shared" si="327"/>
        <v>0</v>
      </c>
      <c r="O326" s="6044"/>
      <c r="P326" s="335">
        <f>P20</f>
        <v>0</v>
      </c>
      <c r="Q326" s="5998">
        <f t="shared" ref="Q326:Q327" si="337">M326+O326</f>
        <v>0</v>
      </c>
      <c r="R326" s="718">
        <f t="shared" si="329"/>
        <v>0</v>
      </c>
      <c r="S326" s="6044"/>
      <c r="T326" s="335">
        <f>T20</f>
        <v>0</v>
      </c>
      <c r="U326" s="5998">
        <f t="shared" ref="U326:U327" si="338">Q326+S326</f>
        <v>0</v>
      </c>
      <c r="V326" s="718">
        <f t="shared" si="330"/>
        <v>0</v>
      </c>
      <c r="W326" s="6044"/>
      <c r="X326" s="335">
        <f>X20</f>
        <v>0</v>
      </c>
      <c r="Y326" s="6026">
        <f>O326+S326+W326</f>
        <v>0</v>
      </c>
      <c r="Z326" s="6026">
        <f t="shared" si="322"/>
        <v>0</v>
      </c>
      <c r="AA326" s="6011">
        <f>M326+Y326</f>
        <v>0</v>
      </c>
      <c r="AB326" s="429">
        <f t="shared" si="323"/>
        <v>0</v>
      </c>
      <c r="AC326" s="6044"/>
      <c r="AD326" s="335">
        <f>AD20</f>
        <v>0</v>
      </c>
      <c r="AE326" s="5998">
        <f t="shared" ref="AE326:AE327" si="339">AA326+AC326</f>
        <v>0</v>
      </c>
      <c r="AF326" s="718">
        <f t="shared" si="331"/>
        <v>0</v>
      </c>
      <c r="AG326" s="6044"/>
      <c r="AH326" s="335">
        <f>AH20</f>
        <v>0</v>
      </c>
      <c r="AI326" s="5998">
        <f t="shared" ref="AI326:AI327" si="340">AE326+AG326</f>
        <v>0</v>
      </c>
      <c r="AJ326" s="718">
        <f t="shared" si="332"/>
        <v>0</v>
      </c>
      <c r="AK326" s="6044"/>
      <c r="AL326" s="335">
        <f>AL20</f>
        <v>0</v>
      </c>
      <c r="AM326" s="6026">
        <f>AC326+AG326+AK326</f>
        <v>0</v>
      </c>
      <c r="AN326" s="717">
        <f t="shared" si="324"/>
        <v>0</v>
      </c>
      <c r="AO326" s="5998">
        <f t="shared" ref="AO326" si="341">AK326+AM326</f>
        <v>0</v>
      </c>
      <c r="AP326" s="718">
        <f t="shared" si="325"/>
        <v>0</v>
      </c>
      <c r="AQ326" s="6044"/>
      <c r="AR326" s="335">
        <f>AR20</f>
        <v>0</v>
      </c>
      <c r="AS326" s="5998">
        <f t="shared" ref="AS326:AS327" si="342">AO326+AQ326</f>
        <v>0</v>
      </c>
      <c r="AT326" s="718">
        <f t="shared" si="333"/>
        <v>0</v>
      </c>
      <c r="AU326" s="6044"/>
      <c r="AV326" s="335">
        <f>AV20</f>
        <v>0</v>
      </c>
      <c r="AW326" s="5998">
        <f t="shared" ref="AW326:AW327" si="343">AS326+AU326</f>
        <v>0</v>
      </c>
      <c r="AX326" s="718">
        <f t="shared" si="334"/>
        <v>0</v>
      </c>
      <c r="AY326" s="6044"/>
      <c r="AZ326" s="335">
        <f>AZ20</f>
        <v>0</v>
      </c>
      <c r="BA326" s="6026">
        <f>AQ326+AU326+AY326</f>
        <v>0</v>
      </c>
      <c r="BB326" s="717">
        <f t="shared" si="326"/>
        <v>0</v>
      </c>
      <c r="BC326" s="6011">
        <f>AO326+BA326</f>
        <v>0</v>
      </c>
      <c r="BD326" s="429">
        <f t="shared" si="293"/>
        <v>0</v>
      </c>
      <c r="BE326" s="5998">
        <f t="shared" ref="BE326" si="344">BA326+BC326</f>
        <v>0</v>
      </c>
      <c r="BF326" s="718">
        <f t="shared" si="294"/>
        <v>0</v>
      </c>
    </row>
    <row r="327" spans="1:58" x14ac:dyDescent="0.3">
      <c r="A327" s="88"/>
      <c r="B327" s="414" t="s">
        <v>92</v>
      </c>
      <c r="C327" s="192" t="s">
        <v>50</v>
      </c>
      <c r="D327" s="421">
        <f>+D85</f>
        <v>990000</v>
      </c>
      <c r="E327" s="421">
        <f>+E85</f>
        <v>68500</v>
      </c>
      <c r="F327" s="421">
        <f>SUM(F287:F326)</f>
        <v>78698.73000000001</v>
      </c>
      <c r="G327" s="421">
        <f>+G85</f>
        <v>71000</v>
      </c>
      <c r="H327" s="421">
        <f>SUM(H287:H326)</f>
        <v>35387.670000000013</v>
      </c>
      <c r="I327" s="344">
        <f t="shared" si="335"/>
        <v>139500</v>
      </c>
      <c r="J327" s="718">
        <f t="shared" si="328"/>
        <v>114086.40000000002</v>
      </c>
      <c r="K327" s="421">
        <f>+K85</f>
        <v>76000</v>
      </c>
      <c r="L327" s="421">
        <f>SUM(L287:L326)</f>
        <v>0</v>
      </c>
      <c r="M327" s="346">
        <f t="shared" si="336"/>
        <v>215500</v>
      </c>
      <c r="N327" s="717">
        <f t="shared" si="327"/>
        <v>114086.40000000002</v>
      </c>
      <c r="O327" s="421">
        <f>+O85</f>
        <v>79000</v>
      </c>
      <c r="P327" s="421">
        <f>SUM(P287:P326)</f>
        <v>0</v>
      </c>
      <c r="Q327" s="344">
        <f t="shared" si="337"/>
        <v>294500</v>
      </c>
      <c r="R327" s="718">
        <f t="shared" si="329"/>
        <v>114086.40000000002</v>
      </c>
      <c r="S327" s="421">
        <f>+S85</f>
        <v>79000</v>
      </c>
      <c r="T327" s="421">
        <f>SUM(T287:T326)</f>
        <v>0</v>
      </c>
      <c r="U327" s="344">
        <f t="shared" si="338"/>
        <v>373500</v>
      </c>
      <c r="V327" s="718">
        <f t="shared" si="330"/>
        <v>114086.40000000002</v>
      </c>
      <c r="W327" s="421">
        <f>+W85</f>
        <v>47500</v>
      </c>
      <c r="X327" s="421">
        <f>SUM(X287:X326)</f>
        <v>0</v>
      </c>
      <c r="Y327" s="346">
        <f t="shared" ref="Y327" si="345">O327+S327+W327</f>
        <v>205500</v>
      </c>
      <c r="Z327" s="346">
        <f t="shared" si="322"/>
        <v>0</v>
      </c>
      <c r="AA327" s="502">
        <f>M327+Y327</f>
        <v>421000</v>
      </c>
      <c r="AB327" s="429">
        <f t="shared" si="323"/>
        <v>114086.40000000002</v>
      </c>
      <c r="AC327" s="421">
        <f>+AC85</f>
        <v>78000</v>
      </c>
      <c r="AD327" s="421">
        <f>SUM(AD287:AD326)</f>
        <v>0</v>
      </c>
      <c r="AE327" s="344">
        <f t="shared" si="339"/>
        <v>499000</v>
      </c>
      <c r="AF327" s="718">
        <f t="shared" si="331"/>
        <v>114086.40000000002</v>
      </c>
      <c r="AG327" s="421">
        <f>+AG85</f>
        <v>76000</v>
      </c>
      <c r="AH327" s="421">
        <f>SUM(AH287:AH326)</f>
        <v>0</v>
      </c>
      <c r="AI327" s="344">
        <f t="shared" si="340"/>
        <v>575000</v>
      </c>
      <c r="AJ327" s="718">
        <f t="shared" si="332"/>
        <v>114086.40000000002</v>
      </c>
      <c r="AK327" s="421">
        <f>+AK85</f>
        <v>79000</v>
      </c>
      <c r="AL327" s="421">
        <f>SUM(AL287:AL326)</f>
        <v>0</v>
      </c>
      <c r="AM327" s="346">
        <f t="shared" ref="AM327" si="346">AC327+AG327+AK327</f>
        <v>233000</v>
      </c>
      <c r="AN327" s="717">
        <f t="shared" si="324"/>
        <v>0</v>
      </c>
      <c r="AO327" s="344">
        <f>AK327+AI327</f>
        <v>654000</v>
      </c>
      <c r="AP327" s="718">
        <f t="shared" si="325"/>
        <v>114086.40000000002</v>
      </c>
      <c r="AQ327" s="421">
        <f>+AQ85</f>
        <v>79000</v>
      </c>
      <c r="AR327" s="421">
        <f>SUM(AR287:AR326)</f>
        <v>0</v>
      </c>
      <c r="AS327" s="344">
        <f t="shared" si="342"/>
        <v>733000</v>
      </c>
      <c r="AT327" s="718">
        <f t="shared" si="333"/>
        <v>114086.40000000002</v>
      </c>
      <c r="AU327" s="421">
        <f>+AU85</f>
        <v>71500</v>
      </c>
      <c r="AV327" s="421">
        <f>SUM(AV287:AV326)</f>
        <v>0</v>
      </c>
      <c r="AW327" s="344">
        <f t="shared" si="343"/>
        <v>804500</v>
      </c>
      <c r="AX327" s="718">
        <f t="shared" si="334"/>
        <v>114086.40000000002</v>
      </c>
      <c r="AY327" s="421">
        <f>+AY85</f>
        <v>80000</v>
      </c>
      <c r="AZ327" s="421">
        <f>SUM(AZ287:AZ326)</f>
        <v>0</v>
      </c>
      <c r="BA327" s="346">
        <f t="shared" ref="BA327" si="347">AQ327+AU327+AY327</f>
        <v>230500</v>
      </c>
      <c r="BB327" s="717">
        <f t="shared" si="326"/>
        <v>0</v>
      </c>
      <c r="BC327" s="502">
        <f>AM327+BA327</f>
        <v>463500</v>
      </c>
      <c r="BD327" s="429">
        <f t="shared" si="293"/>
        <v>0</v>
      </c>
      <c r="BE327" s="344">
        <f>AA327+BC327</f>
        <v>884500</v>
      </c>
      <c r="BF327" s="718">
        <f t="shared" si="294"/>
        <v>114086.40000000002</v>
      </c>
    </row>
    <row r="328" spans="1:58" ht="20.25" customHeight="1" x14ac:dyDescent="0.3">
      <c r="A328" s="88"/>
      <c r="B328" s="414" t="s">
        <v>601</v>
      </c>
      <c r="C328" s="598"/>
      <c r="D328" s="598"/>
      <c r="E328" s="421"/>
      <c r="F328" s="598"/>
      <c r="G328" s="421"/>
      <c r="H328" s="598"/>
      <c r="I328" s="344"/>
      <c r="J328" s="718">
        <f t="shared" si="328"/>
        <v>0</v>
      </c>
      <c r="K328" s="421"/>
      <c r="L328" s="598"/>
      <c r="M328" s="346"/>
      <c r="N328" s="717">
        <f t="shared" si="327"/>
        <v>0</v>
      </c>
      <c r="O328" s="421"/>
      <c r="P328" s="598"/>
      <c r="Q328" s="344"/>
      <c r="R328" s="718">
        <f t="shared" si="329"/>
        <v>0</v>
      </c>
      <c r="S328" s="421"/>
      <c r="T328" s="598"/>
      <c r="U328" s="344"/>
      <c r="V328" s="718">
        <f t="shared" si="330"/>
        <v>0</v>
      </c>
      <c r="W328" s="421"/>
      <c r="X328" s="598"/>
      <c r="Y328" s="346"/>
      <c r="Z328" s="346">
        <f t="shared" si="322"/>
        <v>0</v>
      </c>
      <c r="AA328" s="502"/>
      <c r="AB328" s="429">
        <f t="shared" si="323"/>
        <v>0</v>
      </c>
      <c r="AC328" s="421"/>
      <c r="AD328" s="598"/>
      <c r="AE328" s="344"/>
      <c r="AF328" s="718">
        <f t="shared" si="331"/>
        <v>0</v>
      </c>
      <c r="AG328" s="421"/>
      <c r="AH328" s="598"/>
      <c r="AI328" s="344"/>
      <c r="AJ328" s="718">
        <f t="shared" si="332"/>
        <v>0</v>
      </c>
      <c r="AK328" s="421"/>
      <c r="AL328" s="598"/>
      <c r="AM328" s="346"/>
      <c r="AN328" s="717">
        <f t="shared" si="324"/>
        <v>0</v>
      </c>
      <c r="AO328" s="344"/>
      <c r="AP328" s="718">
        <f t="shared" si="325"/>
        <v>0</v>
      </c>
      <c r="AQ328" s="421"/>
      <c r="AR328" s="598"/>
      <c r="AS328" s="344"/>
      <c r="AT328" s="718">
        <f t="shared" si="333"/>
        <v>0</v>
      </c>
      <c r="AU328" s="421"/>
      <c r="AV328" s="598"/>
      <c r="AW328" s="344"/>
      <c r="AX328" s="718">
        <f t="shared" si="334"/>
        <v>0</v>
      </c>
      <c r="AY328" s="421"/>
      <c r="AZ328" s="598"/>
      <c r="BA328" s="346"/>
      <c r="BB328" s="717">
        <f t="shared" si="326"/>
        <v>0</v>
      </c>
      <c r="BC328" s="502"/>
      <c r="BD328" s="429">
        <f t="shared" ref="BD328:BD391" si="348">+AN328+BB328</f>
        <v>0</v>
      </c>
      <c r="BE328" s="344"/>
      <c r="BF328" s="718">
        <f t="shared" ref="BF328:BF391" si="349">+AB328+BD328</f>
        <v>0</v>
      </c>
    </row>
    <row r="329" spans="1:58" ht="20.25" customHeight="1" x14ac:dyDescent="0.3">
      <c r="A329" s="88"/>
      <c r="B329" s="3189" t="s">
        <v>1827</v>
      </c>
      <c r="C329" s="146" t="s">
        <v>50</v>
      </c>
      <c r="D329" s="146"/>
      <c r="E329" s="6045"/>
      <c r="F329" s="1094"/>
      <c r="G329" s="6045"/>
      <c r="H329" s="1094"/>
      <c r="I329" s="5999"/>
      <c r="J329" s="718">
        <f t="shared" si="328"/>
        <v>0</v>
      </c>
      <c r="K329" s="6045"/>
      <c r="L329" s="1094"/>
      <c r="M329" s="6027"/>
      <c r="N329" s="717">
        <f t="shared" si="327"/>
        <v>0</v>
      </c>
      <c r="O329" s="6045"/>
      <c r="P329" s="1094"/>
      <c r="Q329" s="5999"/>
      <c r="R329" s="718">
        <f t="shared" si="329"/>
        <v>0</v>
      </c>
      <c r="S329" s="6045"/>
      <c r="T329" s="1094"/>
      <c r="U329" s="5999"/>
      <c r="V329" s="718">
        <f t="shared" si="330"/>
        <v>0</v>
      </c>
      <c r="W329" s="6045"/>
      <c r="X329" s="1094"/>
      <c r="Y329" s="6027"/>
      <c r="Z329" s="6027">
        <f t="shared" si="322"/>
        <v>0</v>
      </c>
      <c r="AA329" s="6012"/>
      <c r="AB329" s="429">
        <f t="shared" si="323"/>
        <v>0</v>
      </c>
      <c r="AC329" s="6045"/>
      <c r="AD329" s="1094"/>
      <c r="AE329" s="5999"/>
      <c r="AF329" s="718">
        <f t="shared" si="331"/>
        <v>0</v>
      </c>
      <c r="AG329" s="6045"/>
      <c r="AH329" s="1094"/>
      <c r="AI329" s="5999"/>
      <c r="AJ329" s="718">
        <f t="shared" si="332"/>
        <v>0</v>
      </c>
      <c r="AK329" s="6045"/>
      <c r="AL329" s="1094"/>
      <c r="AM329" s="6027"/>
      <c r="AN329" s="717">
        <f t="shared" si="324"/>
        <v>0</v>
      </c>
      <c r="AO329" s="5999"/>
      <c r="AP329" s="718">
        <f t="shared" si="325"/>
        <v>0</v>
      </c>
      <c r="AQ329" s="6045"/>
      <c r="AR329" s="1094"/>
      <c r="AS329" s="5999"/>
      <c r="AT329" s="718">
        <f t="shared" si="333"/>
        <v>0</v>
      </c>
      <c r="AU329" s="6045"/>
      <c r="AV329" s="1094"/>
      <c r="AW329" s="5999"/>
      <c r="AX329" s="718">
        <f t="shared" si="334"/>
        <v>0</v>
      </c>
      <c r="AY329" s="6045"/>
      <c r="AZ329" s="1094"/>
      <c r="BA329" s="6027"/>
      <c r="BB329" s="717">
        <f t="shared" si="326"/>
        <v>0</v>
      </c>
      <c r="BC329" s="6012"/>
      <c r="BD329" s="429">
        <f t="shared" si="348"/>
        <v>0</v>
      </c>
      <c r="BE329" s="5999"/>
      <c r="BF329" s="718">
        <f t="shared" si="349"/>
        <v>0</v>
      </c>
    </row>
    <row r="330" spans="1:58" ht="20.25" customHeight="1" x14ac:dyDescent="0.3">
      <c r="A330" s="186"/>
      <c r="B330" s="3189" t="s">
        <v>1293</v>
      </c>
      <c r="C330" s="146" t="s">
        <v>50</v>
      </c>
      <c r="D330" s="146"/>
      <c r="E330" s="6046"/>
      <c r="F330" s="1094"/>
      <c r="G330" s="6046"/>
      <c r="H330" s="1094"/>
      <c r="I330" s="6000"/>
      <c r="J330" s="718">
        <f t="shared" si="328"/>
        <v>0</v>
      </c>
      <c r="K330" s="6046"/>
      <c r="L330" s="1094"/>
      <c r="M330" s="6028"/>
      <c r="N330" s="717">
        <f t="shared" si="327"/>
        <v>0</v>
      </c>
      <c r="O330" s="6046"/>
      <c r="P330" s="1094"/>
      <c r="Q330" s="6000"/>
      <c r="R330" s="718">
        <f t="shared" si="329"/>
        <v>0</v>
      </c>
      <c r="S330" s="6046"/>
      <c r="T330" s="1094"/>
      <c r="U330" s="6000"/>
      <c r="V330" s="718">
        <f t="shared" si="330"/>
        <v>0</v>
      </c>
      <c r="W330" s="6046"/>
      <c r="X330" s="1094"/>
      <c r="Y330" s="6028"/>
      <c r="Z330" s="6028">
        <f t="shared" si="322"/>
        <v>0</v>
      </c>
      <c r="AA330" s="6013"/>
      <c r="AB330" s="429">
        <f t="shared" si="323"/>
        <v>0</v>
      </c>
      <c r="AC330" s="6046"/>
      <c r="AD330" s="1094"/>
      <c r="AE330" s="6000"/>
      <c r="AF330" s="718">
        <f t="shared" si="331"/>
        <v>0</v>
      </c>
      <c r="AG330" s="6046"/>
      <c r="AH330" s="1094"/>
      <c r="AI330" s="6000"/>
      <c r="AJ330" s="718">
        <f t="shared" si="332"/>
        <v>0</v>
      </c>
      <c r="AK330" s="6046"/>
      <c r="AL330" s="1094"/>
      <c r="AM330" s="6028"/>
      <c r="AN330" s="717">
        <f t="shared" si="324"/>
        <v>0</v>
      </c>
      <c r="AO330" s="6000"/>
      <c r="AP330" s="718">
        <f t="shared" si="325"/>
        <v>0</v>
      </c>
      <c r="AQ330" s="6046"/>
      <c r="AR330" s="1094"/>
      <c r="AS330" s="6000"/>
      <c r="AT330" s="718">
        <f t="shared" si="333"/>
        <v>0</v>
      </c>
      <c r="AU330" s="6046"/>
      <c r="AV330" s="1094"/>
      <c r="AW330" s="6000"/>
      <c r="AX330" s="718">
        <f t="shared" si="334"/>
        <v>0</v>
      </c>
      <c r="AY330" s="6046"/>
      <c r="AZ330" s="1094"/>
      <c r="BA330" s="6028"/>
      <c r="BB330" s="717">
        <f t="shared" si="326"/>
        <v>0</v>
      </c>
      <c r="BC330" s="6013"/>
      <c r="BD330" s="429">
        <f t="shared" si="348"/>
        <v>0</v>
      </c>
      <c r="BE330" s="6000"/>
      <c r="BF330" s="718">
        <f t="shared" si="349"/>
        <v>0</v>
      </c>
    </row>
    <row r="331" spans="1:58" ht="20.25" customHeight="1" x14ac:dyDescent="0.3">
      <c r="A331" s="186"/>
      <c r="B331" s="3189" t="s">
        <v>1067</v>
      </c>
      <c r="C331" s="146" t="s">
        <v>50</v>
      </c>
      <c r="D331" s="146"/>
      <c r="E331" s="6046"/>
      <c r="F331" s="1094"/>
      <c r="G331" s="6046"/>
      <c r="H331" s="1094"/>
      <c r="I331" s="6000"/>
      <c r="J331" s="718">
        <f t="shared" si="328"/>
        <v>0</v>
      </c>
      <c r="K331" s="6046"/>
      <c r="L331" s="1094"/>
      <c r="M331" s="6028"/>
      <c r="N331" s="717">
        <f t="shared" si="327"/>
        <v>0</v>
      </c>
      <c r="O331" s="6046"/>
      <c r="P331" s="1094"/>
      <c r="Q331" s="6000"/>
      <c r="R331" s="718">
        <f t="shared" si="329"/>
        <v>0</v>
      </c>
      <c r="S331" s="6046"/>
      <c r="T331" s="1094"/>
      <c r="U331" s="6000"/>
      <c r="V331" s="718">
        <f t="shared" si="330"/>
        <v>0</v>
      </c>
      <c r="W331" s="6046"/>
      <c r="X331" s="1094"/>
      <c r="Y331" s="6028"/>
      <c r="Z331" s="6028">
        <f t="shared" si="322"/>
        <v>0</v>
      </c>
      <c r="AA331" s="6013"/>
      <c r="AB331" s="429">
        <f t="shared" si="323"/>
        <v>0</v>
      </c>
      <c r="AC331" s="6046"/>
      <c r="AD331" s="1094"/>
      <c r="AE331" s="6000"/>
      <c r="AF331" s="718">
        <f t="shared" si="331"/>
        <v>0</v>
      </c>
      <c r="AG331" s="6046"/>
      <c r="AH331" s="1094"/>
      <c r="AI331" s="6000"/>
      <c r="AJ331" s="718">
        <f t="shared" si="332"/>
        <v>0</v>
      </c>
      <c r="AK331" s="6046"/>
      <c r="AL331" s="1094"/>
      <c r="AM331" s="6028"/>
      <c r="AN331" s="717">
        <f t="shared" si="324"/>
        <v>0</v>
      </c>
      <c r="AO331" s="6000"/>
      <c r="AP331" s="718">
        <f t="shared" si="325"/>
        <v>0</v>
      </c>
      <c r="AQ331" s="6046"/>
      <c r="AR331" s="1094"/>
      <c r="AS331" s="6000"/>
      <c r="AT331" s="718">
        <f t="shared" si="333"/>
        <v>0</v>
      </c>
      <c r="AU331" s="6046"/>
      <c r="AV331" s="1094"/>
      <c r="AW331" s="6000"/>
      <c r="AX331" s="718">
        <f t="shared" si="334"/>
        <v>0</v>
      </c>
      <c r="AY331" s="6046"/>
      <c r="AZ331" s="1094"/>
      <c r="BA331" s="6028"/>
      <c r="BB331" s="717">
        <f t="shared" si="326"/>
        <v>0</v>
      </c>
      <c r="BC331" s="6013"/>
      <c r="BD331" s="429">
        <f t="shared" si="348"/>
        <v>0</v>
      </c>
      <c r="BE331" s="6000"/>
      <c r="BF331" s="718">
        <f t="shared" si="349"/>
        <v>0</v>
      </c>
    </row>
    <row r="332" spans="1:58" ht="20.25" customHeight="1" x14ac:dyDescent="0.3">
      <c r="A332" s="186"/>
      <c r="B332" s="3189" t="s">
        <v>2285</v>
      </c>
      <c r="C332" s="4932"/>
      <c r="D332" s="4932"/>
      <c r="E332" s="6047"/>
      <c r="F332" s="4923"/>
      <c r="G332" s="6047"/>
      <c r="H332" s="4923">
        <v>327.86</v>
      </c>
      <c r="I332" s="6001"/>
      <c r="J332" s="718">
        <f t="shared" si="328"/>
        <v>327.86</v>
      </c>
      <c r="K332" s="6047"/>
      <c r="L332" s="4923"/>
      <c r="M332" s="6029"/>
      <c r="N332" s="717">
        <f t="shared" si="327"/>
        <v>327.86</v>
      </c>
      <c r="O332" s="6047"/>
      <c r="P332" s="4923"/>
      <c r="Q332" s="6001"/>
      <c r="R332" s="718">
        <f t="shared" si="329"/>
        <v>327.86</v>
      </c>
      <c r="S332" s="6047"/>
      <c r="T332" s="4923"/>
      <c r="U332" s="6001"/>
      <c r="V332" s="718">
        <f t="shared" si="330"/>
        <v>327.86</v>
      </c>
      <c r="W332" s="6047"/>
      <c r="X332" s="4923"/>
      <c r="Y332" s="6029"/>
      <c r="Z332" s="6029">
        <f t="shared" si="322"/>
        <v>0</v>
      </c>
      <c r="AA332" s="6014"/>
      <c r="AB332" s="429">
        <f t="shared" si="323"/>
        <v>327.86</v>
      </c>
      <c r="AC332" s="6047"/>
      <c r="AD332" s="4923"/>
      <c r="AE332" s="6001"/>
      <c r="AF332" s="718">
        <f t="shared" si="331"/>
        <v>327.86</v>
      </c>
      <c r="AG332" s="6047"/>
      <c r="AH332" s="4923"/>
      <c r="AI332" s="6001"/>
      <c r="AJ332" s="718">
        <f t="shared" si="332"/>
        <v>327.86</v>
      </c>
      <c r="AK332" s="6047"/>
      <c r="AL332" s="4923"/>
      <c r="AM332" s="6029"/>
      <c r="AN332" s="717">
        <f t="shared" si="324"/>
        <v>0</v>
      </c>
      <c r="AO332" s="6001"/>
      <c r="AP332" s="718">
        <f t="shared" si="325"/>
        <v>327.86</v>
      </c>
      <c r="AQ332" s="6047"/>
      <c r="AR332" s="4923"/>
      <c r="AS332" s="6001"/>
      <c r="AT332" s="718">
        <f t="shared" si="333"/>
        <v>327.86</v>
      </c>
      <c r="AU332" s="6047"/>
      <c r="AV332" s="4923"/>
      <c r="AW332" s="6001"/>
      <c r="AX332" s="718">
        <f t="shared" si="334"/>
        <v>327.86</v>
      </c>
      <c r="AY332" s="6047"/>
      <c r="AZ332" s="4923"/>
      <c r="BA332" s="6029"/>
      <c r="BB332" s="717">
        <f t="shared" si="326"/>
        <v>0</v>
      </c>
      <c r="BC332" s="6014"/>
      <c r="BD332" s="429">
        <f t="shared" si="348"/>
        <v>0</v>
      </c>
      <c r="BE332" s="6001"/>
      <c r="BF332" s="718">
        <f t="shared" si="349"/>
        <v>327.86</v>
      </c>
    </row>
    <row r="333" spans="1:58" x14ac:dyDescent="0.3">
      <c r="A333" s="186"/>
      <c r="B333" s="3174" t="s">
        <v>2</v>
      </c>
      <c r="C333" s="192" t="s">
        <v>50</v>
      </c>
      <c r="D333" s="421">
        <f>+D17</f>
        <v>0</v>
      </c>
      <c r="E333" s="421">
        <f>+E17</f>
        <v>0</v>
      </c>
      <c r="F333" s="3190">
        <f>SUM(F329:F331)</f>
        <v>0</v>
      </c>
      <c r="G333" s="421">
        <f>+G17</f>
        <v>0</v>
      </c>
      <c r="H333" s="3190">
        <f>SUM(H329:H332)</f>
        <v>327.86</v>
      </c>
      <c r="I333" s="344">
        <f>+E333+G333</f>
        <v>0</v>
      </c>
      <c r="J333" s="718">
        <f t="shared" si="328"/>
        <v>327.86</v>
      </c>
      <c r="K333" s="421">
        <f>+K17</f>
        <v>0</v>
      </c>
      <c r="L333" s="3190">
        <f>SUM(L329:L332)</f>
        <v>0</v>
      </c>
      <c r="M333" s="346">
        <f>+I333+K333</f>
        <v>0</v>
      </c>
      <c r="N333" s="717">
        <f t="shared" si="327"/>
        <v>327.86</v>
      </c>
      <c r="O333" s="421">
        <f>+O17</f>
        <v>0</v>
      </c>
      <c r="P333" s="3190">
        <f>SUM(P329:P332)</f>
        <v>0</v>
      </c>
      <c r="Q333" s="344">
        <f>+M333+O333</f>
        <v>0</v>
      </c>
      <c r="R333" s="718">
        <f t="shared" si="329"/>
        <v>327.86</v>
      </c>
      <c r="S333" s="421">
        <f>+S17</f>
        <v>0</v>
      </c>
      <c r="T333" s="3190">
        <f>SUM(T329:T332)</f>
        <v>0</v>
      </c>
      <c r="U333" s="344">
        <f>+Q333+S333</f>
        <v>0</v>
      </c>
      <c r="V333" s="718">
        <f t="shared" si="330"/>
        <v>327.86</v>
      </c>
      <c r="W333" s="421">
        <f>+W17</f>
        <v>0</v>
      </c>
      <c r="X333" s="3190">
        <f>SUM(X329:X332)</f>
        <v>0</v>
      </c>
      <c r="Y333" s="346">
        <f>+W333+S333+O333</f>
        <v>0</v>
      </c>
      <c r="Z333" s="346">
        <f t="shared" si="322"/>
        <v>0</v>
      </c>
      <c r="AA333" s="502">
        <f>+Y333+M333</f>
        <v>0</v>
      </c>
      <c r="AB333" s="429">
        <f t="shared" si="323"/>
        <v>327.86</v>
      </c>
      <c r="AC333" s="421">
        <f>+AC17</f>
        <v>0</v>
      </c>
      <c r="AD333" s="3190">
        <f>SUM(AD329:AD332)</f>
        <v>0</v>
      </c>
      <c r="AE333" s="344">
        <f>+AA333+AC333</f>
        <v>0</v>
      </c>
      <c r="AF333" s="718">
        <f t="shared" si="331"/>
        <v>327.86</v>
      </c>
      <c r="AG333" s="421">
        <f>+AG17</f>
        <v>0</v>
      </c>
      <c r="AH333" s="3190">
        <f>SUM(AH329:AH332)</f>
        <v>0</v>
      </c>
      <c r="AI333" s="344">
        <f>+AE333+AG333</f>
        <v>0</v>
      </c>
      <c r="AJ333" s="718">
        <f t="shared" si="332"/>
        <v>327.86</v>
      </c>
      <c r="AK333" s="421">
        <f>+AK17</f>
        <v>0</v>
      </c>
      <c r="AL333" s="3190">
        <f>SUM(AL329:AL332)</f>
        <v>0</v>
      </c>
      <c r="AM333" s="346">
        <f>+AK333+AG333+AC333</f>
        <v>0</v>
      </c>
      <c r="AN333" s="717">
        <f t="shared" si="324"/>
        <v>0</v>
      </c>
      <c r="AO333" s="344">
        <f>+AK333+AI333</f>
        <v>0</v>
      </c>
      <c r="AP333" s="718">
        <f t="shared" si="325"/>
        <v>327.86</v>
      </c>
      <c r="AQ333" s="421">
        <f>+AQ17</f>
        <v>0</v>
      </c>
      <c r="AR333" s="3190">
        <f>SUM(AR329:AR332)</f>
        <v>0</v>
      </c>
      <c r="AS333" s="344">
        <f>+AO333+AQ333</f>
        <v>0</v>
      </c>
      <c r="AT333" s="718">
        <f t="shared" si="333"/>
        <v>327.86</v>
      </c>
      <c r="AU333" s="421">
        <f>+AU17</f>
        <v>0</v>
      </c>
      <c r="AV333" s="3190">
        <f>SUM(AV329:AV332)</f>
        <v>0</v>
      </c>
      <c r="AW333" s="344">
        <f>+AS333+AU333</f>
        <v>0</v>
      </c>
      <c r="AX333" s="718">
        <f t="shared" si="334"/>
        <v>327.86</v>
      </c>
      <c r="AY333" s="421">
        <f>+AY17</f>
        <v>0</v>
      </c>
      <c r="AZ333" s="3190">
        <f>SUM(AZ329:AZ332)</f>
        <v>0</v>
      </c>
      <c r="BA333" s="346">
        <f>+AY333+AU333+AQ333</f>
        <v>0</v>
      </c>
      <c r="BB333" s="717">
        <f t="shared" si="326"/>
        <v>0</v>
      </c>
      <c r="BC333" s="502">
        <f>+BA333+AM333</f>
        <v>0</v>
      </c>
      <c r="BD333" s="429">
        <f t="shared" si="348"/>
        <v>0</v>
      </c>
      <c r="BE333" s="344">
        <f>+AA333+BC333</f>
        <v>0</v>
      </c>
      <c r="BF333" s="718">
        <f t="shared" si="349"/>
        <v>327.86</v>
      </c>
    </row>
    <row r="334" spans="1:58" ht="21" customHeight="1" x14ac:dyDescent="0.3">
      <c r="A334" s="186"/>
      <c r="B334" s="3177"/>
      <c r="C334" s="598"/>
      <c r="D334" s="598"/>
      <c r="E334" s="421"/>
      <c r="F334" s="1231"/>
      <c r="G334" s="421"/>
      <c r="H334" s="1231"/>
      <c r="I334" s="344"/>
      <c r="J334" s="718"/>
      <c r="K334" s="421"/>
      <c r="L334" s="1231"/>
      <c r="M334" s="346"/>
      <c r="N334" s="717"/>
      <c r="O334" s="421"/>
      <c r="P334" s="1231"/>
      <c r="Q334" s="344"/>
      <c r="R334" s="718"/>
      <c r="S334" s="421"/>
      <c r="T334" s="1231"/>
      <c r="U334" s="344"/>
      <c r="V334" s="718"/>
      <c r="W334" s="421"/>
      <c r="X334" s="1231"/>
      <c r="Y334" s="346"/>
      <c r="Z334" s="346"/>
      <c r="AA334" s="502"/>
      <c r="AB334" s="429"/>
      <c r="AC334" s="421"/>
      <c r="AD334" s="1231"/>
      <c r="AE334" s="344"/>
      <c r="AF334" s="718"/>
      <c r="AG334" s="421"/>
      <c r="AH334" s="1231"/>
      <c r="AI334" s="344"/>
      <c r="AJ334" s="718"/>
      <c r="AK334" s="421"/>
      <c r="AL334" s="1231"/>
      <c r="AM334" s="346"/>
      <c r="AN334" s="717"/>
      <c r="AO334" s="344"/>
      <c r="AP334" s="718"/>
      <c r="AQ334" s="421"/>
      <c r="AR334" s="1231"/>
      <c r="AS334" s="344"/>
      <c r="AT334" s="718"/>
      <c r="AU334" s="421"/>
      <c r="AV334" s="1231"/>
      <c r="AW334" s="344"/>
      <c r="AX334" s="718"/>
      <c r="AY334" s="421"/>
      <c r="AZ334" s="1231"/>
      <c r="BA334" s="346"/>
      <c r="BB334" s="717"/>
      <c r="BC334" s="502"/>
      <c r="BD334" s="429"/>
      <c r="BE334" s="344"/>
      <c r="BF334" s="718"/>
    </row>
    <row r="335" spans="1:58" ht="15" customHeight="1" x14ac:dyDescent="0.3">
      <c r="A335" s="186"/>
      <c r="B335" s="3178" t="s">
        <v>318</v>
      </c>
      <c r="C335" s="5075"/>
      <c r="D335" s="3122"/>
      <c r="E335" s="3125"/>
      <c r="F335" s="3122"/>
      <c r="G335" s="3125"/>
      <c r="H335" s="3122"/>
      <c r="I335" s="5066"/>
      <c r="J335" s="718"/>
      <c r="K335" s="3125"/>
      <c r="L335" s="3122"/>
      <c r="M335" s="5627"/>
      <c r="N335" s="717"/>
      <c r="O335" s="3125"/>
      <c r="P335" s="3122"/>
      <c r="Q335" s="5066"/>
      <c r="R335" s="718"/>
      <c r="S335" s="3125"/>
      <c r="T335" s="3122"/>
      <c r="U335" s="5066"/>
      <c r="V335" s="718"/>
      <c r="W335" s="3125"/>
      <c r="X335" s="3122"/>
      <c r="Y335" s="5627"/>
      <c r="Z335" s="5627"/>
      <c r="AA335" s="5637"/>
      <c r="AB335" s="429"/>
      <c r="AC335" s="3125"/>
      <c r="AD335" s="3122"/>
      <c r="AE335" s="5066"/>
      <c r="AF335" s="718"/>
      <c r="AG335" s="3125"/>
      <c r="AH335" s="3122"/>
      <c r="AI335" s="5066"/>
      <c r="AJ335" s="718"/>
      <c r="AK335" s="3125"/>
      <c r="AL335" s="3122"/>
      <c r="AM335" s="5627"/>
      <c r="AN335" s="717"/>
      <c r="AO335" s="5066"/>
      <c r="AP335" s="718"/>
      <c r="AQ335" s="3125"/>
      <c r="AR335" s="3122"/>
      <c r="AS335" s="5066"/>
      <c r="AT335" s="718"/>
      <c r="AU335" s="3125"/>
      <c r="AV335" s="3122"/>
      <c r="AW335" s="5066"/>
      <c r="AX335" s="718"/>
      <c r="AY335" s="3125"/>
      <c r="AZ335" s="3122"/>
      <c r="BA335" s="5627"/>
      <c r="BB335" s="717"/>
      <c r="BC335" s="5637"/>
      <c r="BD335" s="429"/>
      <c r="BE335" s="5066"/>
      <c r="BF335" s="718"/>
    </row>
    <row r="336" spans="1:58" x14ac:dyDescent="0.3">
      <c r="A336" s="186"/>
      <c r="B336" s="3137" t="s">
        <v>902</v>
      </c>
      <c r="C336" s="3137" t="s">
        <v>859</v>
      </c>
      <c r="D336" s="3137"/>
      <c r="E336" s="6057"/>
      <c r="F336" s="1094"/>
      <c r="G336" s="6057"/>
      <c r="H336" s="1094">
        <v>358.95</v>
      </c>
      <c r="I336" s="6054"/>
      <c r="J336" s="718">
        <f t="shared" si="328"/>
        <v>358.95</v>
      </c>
      <c r="K336" s="6057"/>
      <c r="L336" s="1094"/>
      <c r="M336" s="6030"/>
      <c r="N336" s="717">
        <f t="shared" si="327"/>
        <v>358.95</v>
      </c>
      <c r="O336" s="6057"/>
      <c r="P336" s="1094"/>
      <c r="Q336" s="6054"/>
      <c r="R336" s="718">
        <f t="shared" si="329"/>
        <v>358.95</v>
      </c>
      <c r="S336" s="6057"/>
      <c r="T336" s="1094"/>
      <c r="U336" s="6054"/>
      <c r="V336" s="718">
        <f t="shared" si="330"/>
        <v>358.95</v>
      </c>
      <c r="W336" s="6057"/>
      <c r="X336" s="1094"/>
      <c r="Y336" s="6030"/>
      <c r="Z336" s="6030">
        <f t="shared" si="322"/>
        <v>0</v>
      </c>
      <c r="AA336" s="6051"/>
      <c r="AB336" s="429">
        <f t="shared" ref="AB336:AB367" si="350">X336+V336</f>
        <v>358.95</v>
      </c>
      <c r="AC336" s="6057"/>
      <c r="AD336" s="1094"/>
      <c r="AE336" s="6054"/>
      <c r="AF336" s="718">
        <f t="shared" si="331"/>
        <v>358.95</v>
      </c>
      <c r="AG336" s="6057"/>
      <c r="AH336" s="1094"/>
      <c r="AI336" s="6054"/>
      <c r="AJ336" s="718">
        <f t="shared" si="332"/>
        <v>358.95</v>
      </c>
      <c r="AK336" s="6057"/>
      <c r="AL336" s="1094"/>
      <c r="AM336" s="6030"/>
      <c r="AN336" s="717">
        <f t="shared" si="324"/>
        <v>0</v>
      </c>
      <c r="AO336" s="6054"/>
      <c r="AP336" s="718">
        <f t="shared" ref="AP336:AP367" si="351">AL336+AJ336</f>
        <v>358.95</v>
      </c>
      <c r="AQ336" s="6057"/>
      <c r="AR336" s="1094"/>
      <c r="AS336" s="6054"/>
      <c r="AT336" s="718">
        <f t="shared" si="333"/>
        <v>358.95</v>
      </c>
      <c r="AU336" s="6057"/>
      <c r="AV336" s="1094"/>
      <c r="AW336" s="6054"/>
      <c r="AX336" s="718">
        <f t="shared" si="334"/>
        <v>358.95</v>
      </c>
      <c r="AY336" s="6057"/>
      <c r="AZ336" s="1094"/>
      <c r="BA336" s="6030"/>
      <c r="BB336" s="717">
        <f t="shared" si="326"/>
        <v>0</v>
      </c>
      <c r="BC336" s="6051"/>
      <c r="BD336" s="429">
        <f t="shared" si="348"/>
        <v>0</v>
      </c>
      <c r="BE336" s="6054"/>
      <c r="BF336" s="718">
        <f t="shared" si="349"/>
        <v>358.95</v>
      </c>
    </row>
    <row r="337" spans="1:58" x14ac:dyDescent="0.3">
      <c r="A337" s="186"/>
      <c r="B337" s="3137" t="s">
        <v>902</v>
      </c>
      <c r="C337" s="3137" t="s">
        <v>858</v>
      </c>
      <c r="D337" s="3137"/>
      <c r="E337" s="6058"/>
      <c r="F337" s="1094">
        <v>672.95100000000002</v>
      </c>
      <c r="G337" s="6058"/>
      <c r="H337" s="1094"/>
      <c r="I337" s="6055"/>
      <c r="J337" s="718">
        <f t="shared" si="328"/>
        <v>672.95100000000002</v>
      </c>
      <c r="K337" s="6058"/>
      <c r="L337" s="1094"/>
      <c r="M337" s="6031"/>
      <c r="N337" s="717">
        <f t="shared" si="327"/>
        <v>672.95100000000002</v>
      </c>
      <c r="O337" s="6058"/>
      <c r="P337" s="1094"/>
      <c r="Q337" s="6055"/>
      <c r="R337" s="718">
        <f t="shared" si="329"/>
        <v>672.95100000000002</v>
      </c>
      <c r="S337" s="6058"/>
      <c r="T337" s="1094"/>
      <c r="U337" s="6055"/>
      <c r="V337" s="718">
        <f t="shared" si="330"/>
        <v>672.95100000000002</v>
      </c>
      <c r="W337" s="6058"/>
      <c r="X337" s="1094"/>
      <c r="Y337" s="6031"/>
      <c r="Z337" s="6031">
        <f t="shared" si="322"/>
        <v>0</v>
      </c>
      <c r="AA337" s="6052"/>
      <c r="AB337" s="429">
        <f t="shared" si="350"/>
        <v>672.95100000000002</v>
      </c>
      <c r="AC337" s="6058"/>
      <c r="AD337" s="1094"/>
      <c r="AE337" s="6055"/>
      <c r="AF337" s="718">
        <f t="shared" si="331"/>
        <v>672.95100000000002</v>
      </c>
      <c r="AG337" s="6058"/>
      <c r="AH337" s="1094"/>
      <c r="AI337" s="6055"/>
      <c r="AJ337" s="718">
        <f t="shared" si="332"/>
        <v>672.95100000000002</v>
      </c>
      <c r="AK337" s="6058"/>
      <c r="AL337" s="1094"/>
      <c r="AM337" s="6031"/>
      <c r="AN337" s="717">
        <f t="shared" si="324"/>
        <v>0</v>
      </c>
      <c r="AO337" s="6055"/>
      <c r="AP337" s="718">
        <f t="shared" si="351"/>
        <v>672.95100000000002</v>
      </c>
      <c r="AQ337" s="6058"/>
      <c r="AR337" s="1094"/>
      <c r="AS337" s="6055"/>
      <c r="AT337" s="718">
        <f t="shared" si="333"/>
        <v>672.95100000000002</v>
      </c>
      <c r="AU337" s="6058"/>
      <c r="AV337" s="1094"/>
      <c r="AW337" s="6055"/>
      <c r="AX337" s="718">
        <f t="shared" si="334"/>
        <v>672.95100000000002</v>
      </c>
      <c r="AY337" s="6058"/>
      <c r="AZ337" s="1094"/>
      <c r="BA337" s="6031"/>
      <c r="BB337" s="717">
        <f t="shared" si="326"/>
        <v>0</v>
      </c>
      <c r="BC337" s="6052"/>
      <c r="BD337" s="429">
        <f t="shared" si="348"/>
        <v>0</v>
      </c>
      <c r="BE337" s="6055"/>
      <c r="BF337" s="718">
        <f t="shared" si="349"/>
        <v>672.95100000000002</v>
      </c>
    </row>
    <row r="338" spans="1:58" x14ac:dyDescent="0.3">
      <c r="A338" s="186"/>
      <c r="B338" s="3137" t="s">
        <v>1555</v>
      </c>
      <c r="C338" s="3137" t="s">
        <v>859</v>
      </c>
      <c r="D338" s="4929"/>
      <c r="E338" s="6058"/>
      <c r="F338" s="4923">
        <v>58.48</v>
      </c>
      <c r="G338" s="6058"/>
      <c r="H338" s="4923"/>
      <c r="I338" s="6055"/>
      <c r="J338" s="718">
        <f t="shared" si="328"/>
        <v>58.48</v>
      </c>
      <c r="K338" s="6058"/>
      <c r="L338" s="4923"/>
      <c r="M338" s="6031"/>
      <c r="N338" s="717">
        <f t="shared" si="327"/>
        <v>58.48</v>
      </c>
      <c r="O338" s="6058"/>
      <c r="P338" s="4923"/>
      <c r="Q338" s="6055"/>
      <c r="R338" s="718">
        <f t="shared" si="329"/>
        <v>58.48</v>
      </c>
      <c r="S338" s="6058"/>
      <c r="T338" s="4923"/>
      <c r="U338" s="6055"/>
      <c r="V338" s="718">
        <f t="shared" si="330"/>
        <v>58.48</v>
      </c>
      <c r="W338" s="6058"/>
      <c r="X338" s="4923"/>
      <c r="Y338" s="6031"/>
      <c r="Z338" s="6031">
        <f t="shared" si="322"/>
        <v>0</v>
      </c>
      <c r="AA338" s="6052"/>
      <c r="AB338" s="429">
        <f t="shared" si="350"/>
        <v>58.48</v>
      </c>
      <c r="AC338" s="6058"/>
      <c r="AD338" s="4923"/>
      <c r="AE338" s="6055"/>
      <c r="AF338" s="718">
        <f t="shared" si="331"/>
        <v>58.48</v>
      </c>
      <c r="AG338" s="6058"/>
      <c r="AH338" s="4923"/>
      <c r="AI338" s="6055"/>
      <c r="AJ338" s="718">
        <f t="shared" si="332"/>
        <v>58.48</v>
      </c>
      <c r="AK338" s="6058"/>
      <c r="AL338" s="4923"/>
      <c r="AM338" s="6031"/>
      <c r="AN338" s="717">
        <f t="shared" si="324"/>
        <v>0</v>
      </c>
      <c r="AO338" s="6055"/>
      <c r="AP338" s="718">
        <f t="shared" si="351"/>
        <v>58.48</v>
      </c>
      <c r="AQ338" s="6058"/>
      <c r="AR338" s="4923"/>
      <c r="AS338" s="6055"/>
      <c r="AT338" s="718">
        <f t="shared" si="333"/>
        <v>58.48</v>
      </c>
      <c r="AU338" s="6058"/>
      <c r="AV338" s="4923"/>
      <c r="AW338" s="6055"/>
      <c r="AX338" s="718">
        <f t="shared" si="334"/>
        <v>58.48</v>
      </c>
      <c r="AY338" s="6058"/>
      <c r="AZ338" s="4923"/>
      <c r="BA338" s="6031"/>
      <c r="BB338" s="717">
        <f t="shared" si="326"/>
        <v>0</v>
      </c>
      <c r="BC338" s="6052"/>
      <c r="BD338" s="429">
        <f t="shared" si="348"/>
        <v>0</v>
      </c>
      <c r="BE338" s="6055"/>
      <c r="BF338" s="718">
        <f t="shared" si="349"/>
        <v>58.48</v>
      </c>
    </row>
    <row r="339" spans="1:58" x14ac:dyDescent="0.3">
      <c r="A339" s="186"/>
      <c r="B339" s="3137" t="s">
        <v>1555</v>
      </c>
      <c r="C339" s="3137" t="s">
        <v>858</v>
      </c>
      <c r="D339" s="3137"/>
      <c r="E339" s="6058"/>
      <c r="F339" s="1094">
        <v>595.80100000000004</v>
      </c>
      <c r="G339" s="6058"/>
      <c r="H339" s="1094">
        <v>1245.604</v>
      </c>
      <c r="I339" s="6055"/>
      <c r="J339" s="718">
        <f t="shared" si="328"/>
        <v>1841.4050000000002</v>
      </c>
      <c r="K339" s="6058"/>
      <c r="L339" s="1094"/>
      <c r="M339" s="6031"/>
      <c r="N339" s="717">
        <f t="shared" si="327"/>
        <v>1841.4050000000002</v>
      </c>
      <c r="O339" s="6058"/>
      <c r="P339" s="1094"/>
      <c r="Q339" s="6055"/>
      <c r="R339" s="718">
        <f t="shared" si="329"/>
        <v>1841.4050000000002</v>
      </c>
      <c r="S339" s="6058"/>
      <c r="T339" s="1094"/>
      <c r="U339" s="6055"/>
      <c r="V339" s="718">
        <f t="shared" si="330"/>
        <v>1841.4050000000002</v>
      </c>
      <c r="W339" s="6058"/>
      <c r="X339" s="1094"/>
      <c r="Y339" s="6031"/>
      <c r="Z339" s="6031">
        <f t="shared" si="322"/>
        <v>0</v>
      </c>
      <c r="AA339" s="6052"/>
      <c r="AB339" s="429">
        <f t="shared" si="350"/>
        <v>1841.4050000000002</v>
      </c>
      <c r="AC339" s="6058"/>
      <c r="AD339" s="1094"/>
      <c r="AE339" s="6055"/>
      <c r="AF339" s="718">
        <f t="shared" si="331"/>
        <v>1841.4050000000002</v>
      </c>
      <c r="AG339" s="6058"/>
      <c r="AH339" s="1094"/>
      <c r="AI339" s="6055"/>
      <c r="AJ339" s="718">
        <f t="shared" si="332"/>
        <v>1841.4050000000002</v>
      </c>
      <c r="AK339" s="6058"/>
      <c r="AL339" s="1094"/>
      <c r="AM339" s="6031"/>
      <c r="AN339" s="717">
        <f t="shared" si="324"/>
        <v>0</v>
      </c>
      <c r="AO339" s="6055"/>
      <c r="AP339" s="718">
        <f t="shared" si="351"/>
        <v>1841.4050000000002</v>
      </c>
      <c r="AQ339" s="6058"/>
      <c r="AR339" s="1094"/>
      <c r="AS339" s="6055"/>
      <c r="AT339" s="718">
        <f t="shared" si="333"/>
        <v>1841.4050000000002</v>
      </c>
      <c r="AU339" s="6058"/>
      <c r="AV339" s="1094"/>
      <c r="AW339" s="6055"/>
      <c r="AX339" s="718">
        <f t="shared" si="334"/>
        <v>1841.4050000000002</v>
      </c>
      <c r="AY339" s="6058"/>
      <c r="AZ339" s="1094"/>
      <c r="BA339" s="6031"/>
      <c r="BB339" s="717">
        <f t="shared" si="326"/>
        <v>0</v>
      </c>
      <c r="BC339" s="6052"/>
      <c r="BD339" s="429">
        <f t="shared" si="348"/>
        <v>0</v>
      </c>
      <c r="BE339" s="6055"/>
      <c r="BF339" s="718">
        <f t="shared" si="349"/>
        <v>1841.4050000000002</v>
      </c>
    </row>
    <row r="340" spans="1:58" x14ac:dyDescent="0.3">
      <c r="A340" s="186"/>
      <c r="B340" s="3989" t="s">
        <v>2092</v>
      </c>
      <c r="C340" s="3989" t="s">
        <v>858</v>
      </c>
      <c r="D340" s="3989"/>
      <c r="E340" s="6058"/>
      <c r="F340" s="3969"/>
      <c r="G340" s="6058"/>
      <c r="H340" s="3969"/>
      <c r="I340" s="6055"/>
      <c r="J340" s="718">
        <f t="shared" si="328"/>
        <v>0</v>
      </c>
      <c r="K340" s="6058"/>
      <c r="L340" s="3969"/>
      <c r="M340" s="6031"/>
      <c r="N340" s="717">
        <f t="shared" si="327"/>
        <v>0</v>
      </c>
      <c r="O340" s="6058"/>
      <c r="P340" s="3969"/>
      <c r="Q340" s="6055"/>
      <c r="R340" s="718">
        <f t="shared" si="329"/>
        <v>0</v>
      </c>
      <c r="S340" s="6058"/>
      <c r="T340" s="3969"/>
      <c r="U340" s="6055"/>
      <c r="V340" s="718">
        <f t="shared" si="330"/>
        <v>0</v>
      </c>
      <c r="W340" s="6058"/>
      <c r="X340" s="3969"/>
      <c r="Y340" s="6031"/>
      <c r="Z340" s="6031">
        <f t="shared" si="322"/>
        <v>0</v>
      </c>
      <c r="AA340" s="6052"/>
      <c r="AB340" s="429">
        <f t="shared" si="350"/>
        <v>0</v>
      </c>
      <c r="AC340" s="6058"/>
      <c r="AD340" s="3969"/>
      <c r="AE340" s="6055"/>
      <c r="AF340" s="718">
        <f t="shared" si="331"/>
        <v>0</v>
      </c>
      <c r="AG340" s="6058"/>
      <c r="AH340" s="3969"/>
      <c r="AI340" s="6055"/>
      <c r="AJ340" s="718">
        <f t="shared" si="332"/>
        <v>0</v>
      </c>
      <c r="AK340" s="6058"/>
      <c r="AL340" s="3969"/>
      <c r="AM340" s="6031"/>
      <c r="AN340" s="717">
        <f t="shared" si="324"/>
        <v>0</v>
      </c>
      <c r="AO340" s="6055"/>
      <c r="AP340" s="718">
        <f t="shared" si="351"/>
        <v>0</v>
      </c>
      <c r="AQ340" s="6058"/>
      <c r="AR340" s="3969"/>
      <c r="AS340" s="6055"/>
      <c r="AT340" s="718">
        <f t="shared" si="333"/>
        <v>0</v>
      </c>
      <c r="AU340" s="6058"/>
      <c r="AV340" s="3969"/>
      <c r="AW340" s="6055"/>
      <c r="AX340" s="718">
        <f t="shared" si="334"/>
        <v>0</v>
      </c>
      <c r="AY340" s="6058"/>
      <c r="AZ340" s="3969"/>
      <c r="BA340" s="6031"/>
      <c r="BB340" s="717">
        <f t="shared" si="326"/>
        <v>0</v>
      </c>
      <c r="BC340" s="6052"/>
      <c r="BD340" s="429">
        <f t="shared" si="348"/>
        <v>0</v>
      </c>
      <c r="BE340" s="6055"/>
      <c r="BF340" s="718">
        <f t="shared" si="349"/>
        <v>0</v>
      </c>
    </row>
    <row r="341" spans="1:58" x14ac:dyDescent="0.3">
      <c r="A341" s="186"/>
      <c r="B341" s="3137" t="s">
        <v>1251</v>
      </c>
      <c r="C341" s="3137" t="s">
        <v>859</v>
      </c>
      <c r="D341" s="3137"/>
      <c r="E341" s="6058"/>
      <c r="F341" s="1094">
        <v>44.189</v>
      </c>
      <c r="G341" s="6058"/>
      <c r="H341" s="1094">
        <v>5.4109999999999996</v>
      </c>
      <c r="I341" s="6055"/>
      <c r="J341" s="718">
        <f t="shared" si="328"/>
        <v>49.6</v>
      </c>
      <c r="K341" s="6058"/>
      <c r="L341" s="1094"/>
      <c r="M341" s="6031"/>
      <c r="N341" s="717">
        <f t="shared" si="327"/>
        <v>49.6</v>
      </c>
      <c r="O341" s="6058"/>
      <c r="P341" s="1094"/>
      <c r="Q341" s="6055"/>
      <c r="R341" s="718">
        <f t="shared" si="329"/>
        <v>49.6</v>
      </c>
      <c r="S341" s="6058"/>
      <c r="T341" s="1094"/>
      <c r="U341" s="6055"/>
      <c r="V341" s="718">
        <f t="shared" si="330"/>
        <v>49.6</v>
      </c>
      <c r="W341" s="6058"/>
      <c r="X341" s="1094"/>
      <c r="Y341" s="6031"/>
      <c r="Z341" s="6031">
        <f t="shared" si="322"/>
        <v>0</v>
      </c>
      <c r="AA341" s="6052"/>
      <c r="AB341" s="429">
        <f t="shared" si="350"/>
        <v>49.6</v>
      </c>
      <c r="AC341" s="6058"/>
      <c r="AD341" s="1094"/>
      <c r="AE341" s="6055"/>
      <c r="AF341" s="718">
        <f t="shared" si="331"/>
        <v>49.6</v>
      </c>
      <c r="AG341" s="6058"/>
      <c r="AH341" s="1094"/>
      <c r="AI341" s="6055"/>
      <c r="AJ341" s="718">
        <f t="shared" si="332"/>
        <v>49.6</v>
      </c>
      <c r="AK341" s="6058"/>
      <c r="AL341" s="1094"/>
      <c r="AM341" s="6031"/>
      <c r="AN341" s="717">
        <f t="shared" si="324"/>
        <v>0</v>
      </c>
      <c r="AO341" s="6055"/>
      <c r="AP341" s="718">
        <f t="shared" si="351"/>
        <v>49.6</v>
      </c>
      <c r="AQ341" s="6058"/>
      <c r="AR341" s="1094"/>
      <c r="AS341" s="6055"/>
      <c r="AT341" s="718">
        <f t="shared" si="333"/>
        <v>49.6</v>
      </c>
      <c r="AU341" s="6058"/>
      <c r="AV341" s="1094"/>
      <c r="AW341" s="6055"/>
      <c r="AX341" s="718">
        <f t="shared" si="334"/>
        <v>49.6</v>
      </c>
      <c r="AY341" s="6058"/>
      <c r="AZ341" s="1094"/>
      <c r="BA341" s="6031"/>
      <c r="BB341" s="717">
        <f t="shared" si="326"/>
        <v>0</v>
      </c>
      <c r="BC341" s="6052"/>
      <c r="BD341" s="429">
        <f t="shared" si="348"/>
        <v>0</v>
      </c>
      <c r="BE341" s="6055"/>
      <c r="BF341" s="718">
        <f t="shared" si="349"/>
        <v>49.6</v>
      </c>
    </row>
    <row r="342" spans="1:58" x14ac:dyDescent="0.3">
      <c r="A342" s="186"/>
      <c r="B342" s="3137" t="s">
        <v>1251</v>
      </c>
      <c r="C342" s="3137" t="s">
        <v>858</v>
      </c>
      <c r="D342" s="3137"/>
      <c r="E342" s="6058"/>
      <c r="F342" s="1094">
        <v>6.6189999999999998</v>
      </c>
      <c r="G342" s="6058"/>
      <c r="H342" s="1094"/>
      <c r="I342" s="6055"/>
      <c r="J342" s="718">
        <f t="shared" si="328"/>
        <v>6.6189999999999998</v>
      </c>
      <c r="K342" s="6058"/>
      <c r="L342" s="1094"/>
      <c r="M342" s="6031"/>
      <c r="N342" s="717">
        <f t="shared" si="327"/>
        <v>6.6189999999999998</v>
      </c>
      <c r="O342" s="6058"/>
      <c r="P342" s="1094"/>
      <c r="Q342" s="6055"/>
      <c r="R342" s="718">
        <f t="shared" si="329"/>
        <v>6.6189999999999998</v>
      </c>
      <c r="S342" s="6058"/>
      <c r="T342" s="1094"/>
      <c r="U342" s="6055"/>
      <c r="V342" s="718">
        <f t="shared" si="330"/>
        <v>6.6189999999999998</v>
      </c>
      <c r="W342" s="6058"/>
      <c r="X342" s="1094"/>
      <c r="Y342" s="6031"/>
      <c r="Z342" s="6031">
        <f t="shared" si="322"/>
        <v>0</v>
      </c>
      <c r="AA342" s="6052"/>
      <c r="AB342" s="429">
        <f t="shared" si="350"/>
        <v>6.6189999999999998</v>
      </c>
      <c r="AC342" s="6058"/>
      <c r="AD342" s="1094"/>
      <c r="AE342" s="6055"/>
      <c r="AF342" s="718">
        <f t="shared" si="331"/>
        <v>6.6189999999999998</v>
      </c>
      <c r="AG342" s="6058"/>
      <c r="AH342" s="1094"/>
      <c r="AI342" s="6055"/>
      <c r="AJ342" s="718">
        <f t="shared" si="332"/>
        <v>6.6189999999999998</v>
      </c>
      <c r="AK342" s="6058"/>
      <c r="AL342" s="1094"/>
      <c r="AM342" s="6031"/>
      <c r="AN342" s="717">
        <f t="shared" si="324"/>
        <v>0</v>
      </c>
      <c r="AO342" s="6055"/>
      <c r="AP342" s="718">
        <f t="shared" si="351"/>
        <v>6.6189999999999998</v>
      </c>
      <c r="AQ342" s="6058"/>
      <c r="AR342" s="1094"/>
      <c r="AS342" s="6055"/>
      <c r="AT342" s="718">
        <f t="shared" si="333"/>
        <v>6.6189999999999998</v>
      </c>
      <c r="AU342" s="6058"/>
      <c r="AV342" s="1094"/>
      <c r="AW342" s="6055"/>
      <c r="AX342" s="718">
        <f t="shared" si="334"/>
        <v>6.6189999999999998</v>
      </c>
      <c r="AY342" s="6058"/>
      <c r="AZ342" s="1094"/>
      <c r="BA342" s="6031"/>
      <c r="BB342" s="717">
        <f t="shared" si="326"/>
        <v>0</v>
      </c>
      <c r="BC342" s="6052"/>
      <c r="BD342" s="429">
        <f t="shared" si="348"/>
        <v>0</v>
      </c>
      <c r="BE342" s="6055"/>
      <c r="BF342" s="718">
        <f t="shared" si="349"/>
        <v>6.6189999999999998</v>
      </c>
    </row>
    <row r="343" spans="1:58" x14ac:dyDescent="0.3">
      <c r="A343" s="186"/>
      <c r="B343" s="3137" t="s">
        <v>1082</v>
      </c>
      <c r="C343" s="3137" t="s">
        <v>1294</v>
      </c>
      <c r="D343" s="3137"/>
      <c r="E343" s="6058"/>
      <c r="F343" s="1094">
        <v>2711.6490000000003</v>
      </c>
      <c r="G343" s="6058"/>
      <c r="H343" s="1094">
        <v>1647.94</v>
      </c>
      <c r="I343" s="6055"/>
      <c r="J343" s="718">
        <f t="shared" si="328"/>
        <v>4359.5889999999999</v>
      </c>
      <c r="K343" s="6058"/>
      <c r="L343" s="1094"/>
      <c r="M343" s="6031"/>
      <c r="N343" s="717">
        <f t="shared" si="327"/>
        <v>4359.5889999999999</v>
      </c>
      <c r="O343" s="6058"/>
      <c r="P343" s="1094"/>
      <c r="Q343" s="6055"/>
      <c r="R343" s="718">
        <f t="shared" si="329"/>
        <v>4359.5889999999999</v>
      </c>
      <c r="S343" s="6058"/>
      <c r="T343" s="1094"/>
      <c r="U343" s="6055"/>
      <c r="V343" s="718">
        <f t="shared" si="330"/>
        <v>4359.5889999999999</v>
      </c>
      <c r="W343" s="6058"/>
      <c r="X343" s="1094"/>
      <c r="Y343" s="6031"/>
      <c r="Z343" s="6031">
        <f t="shared" si="322"/>
        <v>0</v>
      </c>
      <c r="AA343" s="6052"/>
      <c r="AB343" s="429">
        <f t="shared" si="350"/>
        <v>4359.5889999999999</v>
      </c>
      <c r="AC343" s="6058"/>
      <c r="AD343" s="1094"/>
      <c r="AE343" s="6055"/>
      <c r="AF343" s="718">
        <f t="shared" si="331"/>
        <v>4359.5889999999999</v>
      </c>
      <c r="AG343" s="6058"/>
      <c r="AH343" s="1094"/>
      <c r="AI343" s="6055"/>
      <c r="AJ343" s="718">
        <f t="shared" si="332"/>
        <v>4359.5889999999999</v>
      </c>
      <c r="AK343" s="6058"/>
      <c r="AL343" s="1094"/>
      <c r="AM343" s="6031"/>
      <c r="AN343" s="717">
        <f t="shared" si="324"/>
        <v>0</v>
      </c>
      <c r="AO343" s="6055"/>
      <c r="AP343" s="718">
        <f t="shared" si="351"/>
        <v>4359.5889999999999</v>
      </c>
      <c r="AQ343" s="6058"/>
      <c r="AR343" s="1094"/>
      <c r="AS343" s="6055"/>
      <c r="AT343" s="718">
        <f t="shared" si="333"/>
        <v>4359.5889999999999</v>
      </c>
      <c r="AU343" s="6058"/>
      <c r="AV343" s="1094"/>
      <c r="AW343" s="6055"/>
      <c r="AX343" s="718">
        <f t="shared" si="334"/>
        <v>4359.5889999999999</v>
      </c>
      <c r="AY343" s="6058"/>
      <c r="AZ343" s="1094"/>
      <c r="BA343" s="6031"/>
      <c r="BB343" s="717">
        <f t="shared" si="326"/>
        <v>0</v>
      </c>
      <c r="BC343" s="6052"/>
      <c r="BD343" s="429">
        <f t="shared" si="348"/>
        <v>0</v>
      </c>
      <c r="BE343" s="6055"/>
      <c r="BF343" s="718">
        <f t="shared" si="349"/>
        <v>4359.5889999999999</v>
      </c>
    </row>
    <row r="344" spans="1:58" x14ac:dyDescent="0.3">
      <c r="A344" s="186"/>
      <c r="B344" s="3167" t="s">
        <v>1082</v>
      </c>
      <c r="C344" s="3167" t="s">
        <v>859</v>
      </c>
      <c r="D344" s="3167"/>
      <c r="E344" s="6058"/>
      <c r="F344" s="2348">
        <v>140.56199999999998</v>
      </c>
      <c r="G344" s="6058"/>
      <c r="H344" s="2348"/>
      <c r="I344" s="6055"/>
      <c r="J344" s="718">
        <f t="shared" si="328"/>
        <v>140.56199999999998</v>
      </c>
      <c r="K344" s="6058"/>
      <c r="L344" s="2348"/>
      <c r="M344" s="6031"/>
      <c r="N344" s="717">
        <f t="shared" si="327"/>
        <v>140.56199999999998</v>
      </c>
      <c r="O344" s="6058"/>
      <c r="P344" s="2348"/>
      <c r="Q344" s="6055"/>
      <c r="R344" s="718">
        <f t="shared" si="329"/>
        <v>140.56199999999998</v>
      </c>
      <c r="S344" s="6058"/>
      <c r="T344" s="2348"/>
      <c r="U344" s="6055"/>
      <c r="V344" s="718">
        <f t="shared" si="330"/>
        <v>140.56199999999998</v>
      </c>
      <c r="W344" s="6058"/>
      <c r="X344" s="2348"/>
      <c r="Y344" s="6031"/>
      <c r="Z344" s="6031">
        <f t="shared" si="322"/>
        <v>0</v>
      </c>
      <c r="AA344" s="6052"/>
      <c r="AB344" s="429">
        <f t="shared" si="350"/>
        <v>140.56199999999998</v>
      </c>
      <c r="AC344" s="6058"/>
      <c r="AD344" s="2348"/>
      <c r="AE344" s="6055"/>
      <c r="AF344" s="718">
        <f t="shared" si="331"/>
        <v>140.56199999999998</v>
      </c>
      <c r="AG344" s="6058"/>
      <c r="AH344" s="2348"/>
      <c r="AI344" s="6055"/>
      <c r="AJ344" s="718">
        <f t="shared" si="332"/>
        <v>140.56199999999998</v>
      </c>
      <c r="AK344" s="6058"/>
      <c r="AL344" s="2348"/>
      <c r="AM344" s="6031"/>
      <c r="AN344" s="717">
        <f t="shared" si="324"/>
        <v>0</v>
      </c>
      <c r="AO344" s="6055"/>
      <c r="AP344" s="718">
        <f t="shared" si="351"/>
        <v>140.56199999999998</v>
      </c>
      <c r="AQ344" s="6058"/>
      <c r="AR344" s="2348"/>
      <c r="AS344" s="6055"/>
      <c r="AT344" s="718">
        <f t="shared" si="333"/>
        <v>140.56199999999998</v>
      </c>
      <c r="AU344" s="6058"/>
      <c r="AV344" s="2348"/>
      <c r="AW344" s="6055"/>
      <c r="AX344" s="718">
        <f t="shared" si="334"/>
        <v>140.56199999999998</v>
      </c>
      <c r="AY344" s="6058"/>
      <c r="AZ344" s="2348"/>
      <c r="BA344" s="6031"/>
      <c r="BB344" s="717">
        <f t="shared" si="326"/>
        <v>0</v>
      </c>
      <c r="BC344" s="6052"/>
      <c r="BD344" s="429">
        <f t="shared" si="348"/>
        <v>0</v>
      </c>
      <c r="BE344" s="6055"/>
      <c r="BF344" s="718">
        <f t="shared" si="349"/>
        <v>140.56199999999998</v>
      </c>
    </row>
    <row r="345" spans="1:58" x14ac:dyDescent="0.3">
      <c r="A345" s="186"/>
      <c r="B345" s="4477" t="s">
        <v>1607</v>
      </c>
      <c r="C345" s="4477" t="s">
        <v>859</v>
      </c>
      <c r="D345" s="4477"/>
      <c r="E345" s="6058"/>
      <c r="F345" s="4478">
        <v>89.337000000000003</v>
      </c>
      <c r="G345" s="6058"/>
      <c r="H345" s="4478">
        <v>4.5629999999999997</v>
      </c>
      <c r="I345" s="6055"/>
      <c r="J345" s="718">
        <f t="shared" si="328"/>
        <v>93.9</v>
      </c>
      <c r="K345" s="6058"/>
      <c r="L345" s="4478"/>
      <c r="M345" s="6031"/>
      <c r="N345" s="717">
        <f t="shared" si="327"/>
        <v>93.9</v>
      </c>
      <c r="O345" s="6058"/>
      <c r="P345" s="4478"/>
      <c r="Q345" s="6055"/>
      <c r="R345" s="718">
        <f t="shared" si="329"/>
        <v>93.9</v>
      </c>
      <c r="S345" s="6058"/>
      <c r="T345" s="4478"/>
      <c r="U345" s="6055"/>
      <c r="V345" s="718">
        <f t="shared" si="330"/>
        <v>93.9</v>
      </c>
      <c r="W345" s="6058"/>
      <c r="X345" s="4478"/>
      <c r="Y345" s="6031"/>
      <c r="Z345" s="6031">
        <f t="shared" si="322"/>
        <v>0</v>
      </c>
      <c r="AA345" s="6052"/>
      <c r="AB345" s="429">
        <f t="shared" si="350"/>
        <v>93.9</v>
      </c>
      <c r="AC345" s="6058"/>
      <c r="AD345" s="4478"/>
      <c r="AE345" s="6055"/>
      <c r="AF345" s="718">
        <f t="shared" si="331"/>
        <v>93.9</v>
      </c>
      <c r="AG345" s="6058"/>
      <c r="AH345" s="4478"/>
      <c r="AI345" s="6055"/>
      <c r="AJ345" s="718">
        <f t="shared" si="332"/>
        <v>93.9</v>
      </c>
      <c r="AK345" s="6058"/>
      <c r="AL345" s="4478"/>
      <c r="AM345" s="6031"/>
      <c r="AN345" s="717">
        <f t="shared" si="324"/>
        <v>0</v>
      </c>
      <c r="AO345" s="6055"/>
      <c r="AP345" s="718">
        <f t="shared" si="351"/>
        <v>93.9</v>
      </c>
      <c r="AQ345" s="6058"/>
      <c r="AR345" s="4478"/>
      <c r="AS345" s="6055"/>
      <c r="AT345" s="718">
        <f t="shared" si="333"/>
        <v>93.9</v>
      </c>
      <c r="AU345" s="6058"/>
      <c r="AV345" s="4478"/>
      <c r="AW345" s="6055"/>
      <c r="AX345" s="718">
        <f t="shared" si="334"/>
        <v>93.9</v>
      </c>
      <c r="AY345" s="6058"/>
      <c r="AZ345" s="4478"/>
      <c r="BA345" s="6031"/>
      <c r="BB345" s="717">
        <f t="shared" si="326"/>
        <v>0</v>
      </c>
      <c r="BC345" s="6052"/>
      <c r="BD345" s="429">
        <f t="shared" si="348"/>
        <v>0</v>
      </c>
      <c r="BE345" s="6055"/>
      <c r="BF345" s="718">
        <f t="shared" si="349"/>
        <v>93.9</v>
      </c>
    </row>
    <row r="346" spans="1:58" x14ac:dyDescent="0.3">
      <c r="A346" s="186"/>
      <c r="B346" s="3169" t="s">
        <v>1607</v>
      </c>
      <c r="C346" s="3169" t="s">
        <v>858</v>
      </c>
      <c r="D346" s="3169"/>
      <c r="E346" s="6058"/>
      <c r="F346" s="2244">
        <v>19.149000000000001</v>
      </c>
      <c r="G346" s="6058"/>
      <c r="H346" s="2244"/>
      <c r="I346" s="6055"/>
      <c r="J346" s="718">
        <f t="shared" si="328"/>
        <v>19.149000000000001</v>
      </c>
      <c r="K346" s="6058"/>
      <c r="L346" s="2244"/>
      <c r="M346" s="6031"/>
      <c r="N346" s="717">
        <f t="shared" si="327"/>
        <v>19.149000000000001</v>
      </c>
      <c r="O346" s="6058"/>
      <c r="P346" s="2244"/>
      <c r="Q346" s="6055"/>
      <c r="R346" s="718">
        <f t="shared" si="329"/>
        <v>19.149000000000001</v>
      </c>
      <c r="S346" s="6058"/>
      <c r="T346" s="2244"/>
      <c r="U346" s="6055"/>
      <c r="V346" s="718">
        <f t="shared" si="330"/>
        <v>19.149000000000001</v>
      </c>
      <c r="W346" s="6058"/>
      <c r="X346" s="2244"/>
      <c r="Y346" s="6031"/>
      <c r="Z346" s="6031">
        <f t="shared" si="322"/>
        <v>0</v>
      </c>
      <c r="AA346" s="6052"/>
      <c r="AB346" s="429">
        <f t="shared" si="350"/>
        <v>19.149000000000001</v>
      </c>
      <c r="AC346" s="6058"/>
      <c r="AD346" s="2244"/>
      <c r="AE346" s="6055"/>
      <c r="AF346" s="718">
        <f t="shared" si="331"/>
        <v>19.149000000000001</v>
      </c>
      <c r="AG346" s="6058"/>
      <c r="AH346" s="2244"/>
      <c r="AI346" s="6055"/>
      <c r="AJ346" s="718">
        <f t="shared" si="332"/>
        <v>19.149000000000001</v>
      </c>
      <c r="AK346" s="6058"/>
      <c r="AL346" s="2244"/>
      <c r="AM346" s="6031"/>
      <c r="AN346" s="717">
        <f t="shared" si="324"/>
        <v>0</v>
      </c>
      <c r="AO346" s="6055"/>
      <c r="AP346" s="718">
        <f t="shared" si="351"/>
        <v>19.149000000000001</v>
      </c>
      <c r="AQ346" s="6058"/>
      <c r="AR346" s="2244"/>
      <c r="AS346" s="6055"/>
      <c r="AT346" s="718">
        <f t="shared" si="333"/>
        <v>19.149000000000001</v>
      </c>
      <c r="AU346" s="6058"/>
      <c r="AV346" s="2244"/>
      <c r="AW346" s="6055"/>
      <c r="AX346" s="718">
        <f t="shared" si="334"/>
        <v>19.149000000000001</v>
      </c>
      <c r="AY346" s="6058"/>
      <c r="AZ346" s="2244"/>
      <c r="BA346" s="6031"/>
      <c r="BB346" s="717">
        <f t="shared" si="326"/>
        <v>0</v>
      </c>
      <c r="BC346" s="6052"/>
      <c r="BD346" s="429">
        <f t="shared" si="348"/>
        <v>0</v>
      </c>
      <c r="BE346" s="6055"/>
      <c r="BF346" s="718">
        <f t="shared" si="349"/>
        <v>19.149000000000001</v>
      </c>
    </row>
    <row r="347" spans="1:58" x14ac:dyDescent="0.3">
      <c r="A347" s="186"/>
      <c r="B347" s="3181" t="s">
        <v>1144</v>
      </c>
      <c r="C347" s="3137" t="s">
        <v>858</v>
      </c>
      <c r="D347" s="3137"/>
      <c r="E347" s="6058"/>
      <c r="F347" s="1094">
        <v>630.66499999999996</v>
      </c>
      <c r="G347" s="6058"/>
      <c r="H347" s="1094">
        <v>1526.33</v>
      </c>
      <c r="I347" s="6055"/>
      <c r="J347" s="718">
        <f t="shared" si="328"/>
        <v>2156.9949999999999</v>
      </c>
      <c r="K347" s="6058"/>
      <c r="L347" s="1094"/>
      <c r="M347" s="6031"/>
      <c r="N347" s="717">
        <f t="shared" si="327"/>
        <v>2156.9949999999999</v>
      </c>
      <c r="O347" s="6058"/>
      <c r="P347" s="1094"/>
      <c r="Q347" s="6055"/>
      <c r="R347" s="718">
        <f t="shared" si="329"/>
        <v>2156.9949999999999</v>
      </c>
      <c r="S347" s="6058"/>
      <c r="T347" s="1094"/>
      <c r="U347" s="6055"/>
      <c r="V347" s="718">
        <f t="shared" si="330"/>
        <v>2156.9949999999999</v>
      </c>
      <c r="W347" s="6058"/>
      <c r="X347" s="1094"/>
      <c r="Y347" s="6031"/>
      <c r="Z347" s="6031">
        <f t="shared" si="322"/>
        <v>0</v>
      </c>
      <c r="AA347" s="6052"/>
      <c r="AB347" s="429">
        <f t="shared" si="350"/>
        <v>2156.9949999999999</v>
      </c>
      <c r="AC347" s="6058"/>
      <c r="AD347" s="1094"/>
      <c r="AE347" s="6055"/>
      <c r="AF347" s="718">
        <f t="shared" si="331"/>
        <v>2156.9949999999999</v>
      </c>
      <c r="AG347" s="6058"/>
      <c r="AH347" s="1094"/>
      <c r="AI347" s="6055"/>
      <c r="AJ347" s="718">
        <f t="shared" si="332"/>
        <v>2156.9949999999999</v>
      </c>
      <c r="AK347" s="6058"/>
      <c r="AL347" s="1094"/>
      <c r="AM347" s="6031"/>
      <c r="AN347" s="717">
        <f t="shared" si="324"/>
        <v>0</v>
      </c>
      <c r="AO347" s="6055"/>
      <c r="AP347" s="718">
        <f t="shared" si="351"/>
        <v>2156.9949999999999</v>
      </c>
      <c r="AQ347" s="6058"/>
      <c r="AR347" s="1094"/>
      <c r="AS347" s="6055"/>
      <c r="AT347" s="718">
        <f t="shared" si="333"/>
        <v>2156.9949999999999</v>
      </c>
      <c r="AU347" s="6058"/>
      <c r="AV347" s="1094"/>
      <c r="AW347" s="6055"/>
      <c r="AX347" s="718">
        <f t="shared" si="334"/>
        <v>2156.9949999999999</v>
      </c>
      <c r="AY347" s="6058"/>
      <c r="AZ347" s="1094"/>
      <c r="BA347" s="6031"/>
      <c r="BB347" s="717">
        <f t="shared" si="326"/>
        <v>0</v>
      </c>
      <c r="BC347" s="6052"/>
      <c r="BD347" s="429">
        <f t="shared" si="348"/>
        <v>0</v>
      </c>
      <c r="BE347" s="6055"/>
      <c r="BF347" s="718">
        <f t="shared" si="349"/>
        <v>2156.9949999999999</v>
      </c>
    </row>
    <row r="348" spans="1:58" x14ac:dyDescent="0.3">
      <c r="A348" s="186"/>
      <c r="B348" s="4475" t="s">
        <v>1144</v>
      </c>
      <c r="C348" s="4477" t="s">
        <v>1971</v>
      </c>
      <c r="D348" s="4477"/>
      <c r="E348" s="6058"/>
      <c r="F348" s="4478"/>
      <c r="G348" s="6058"/>
      <c r="H348" s="4478"/>
      <c r="I348" s="6055"/>
      <c r="J348" s="718">
        <f t="shared" si="328"/>
        <v>0</v>
      </c>
      <c r="K348" s="6058"/>
      <c r="L348" s="4478"/>
      <c r="M348" s="6031"/>
      <c r="N348" s="717">
        <f t="shared" si="327"/>
        <v>0</v>
      </c>
      <c r="O348" s="6058"/>
      <c r="P348" s="4478"/>
      <c r="Q348" s="6055"/>
      <c r="R348" s="718">
        <f t="shared" si="329"/>
        <v>0</v>
      </c>
      <c r="S348" s="6058"/>
      <c r="T348" s="4478"/>
      <c r="U348" s="6055"/>
      <c r="V348" s="718">
        <f t="shared" si="330"/>
        <v>0</v>
      </c>
      <c r="W348" s="6058"/>
      <c r="X348" s="4478"/>
      <c r="Y348" s="6031"/>
      <c r="Z348" s="6031">
        <f t="shared" si="322"/>
        <v>0</v>
      </c>
      <c r="AA348" s="6052"/>
      <c r="AB348" s="429">
        <f t="shared" si="350"/>
        <v>0</v>
      </c>
      <c r="AC348" s="6058"/>
      <c r="AD348" s="4478"/>
      <c r="AE348" s="6055"/>
      <c r="AF348" s="718">
        <f t="shared" si="331"/>
        <v>0</v>
      </c>
      <c r="AG348" s="6058"/>
      <c r="AH348" s="4478"/>
      <c r="AI348" s="6055"/>
      <c r="AJ348" s="718">
        <f t="shared" si="332"/>
        <v>0</v>
      </c>
      <c r="AK348" s="6058"/>
      <c r="AL348" s="4478"/>
      <c r="AM348" s="6031"/>
      <c r="AN348" s="717">
        <f t="shared" si="324"/>
        <v>0</v>
      </c>
      <c r="AO348" s="6055"/>
      <c r="AP348" s="718">
        <f t="shared" si="351"/>
        <v>0</v>
      </c>
      <c r="AQ348" s="6058"/>
      <c r="AR348" s="4478"/>
      <c r="AS348" s="6055"/>
      <c r="AT348" s="718">
        <f t="shared" si="333"/>
        <v>0</v>
      </c>
      <c r="AU348" s="6058"/>
      <c r="AV348" s="4478"/>
      <c r="AW348" s="6055"/>
      <c r="AX348" s="718">
        <f t="shared" si="334"/>
        <v>0</v>
      </c>
      <c r="AY348" s="6058"/>
      <c r="AZ348" s="4478"/>
      <c r="BA348" s="6031"/>
      <c r="BB348" s="717">
        <f t="shared" si="326"/>
        <v>0</v>
      </c>
      <c r="BC348" s="6052"/>
      <c r="BD348" s="429">
        <f t="shared" si="348"/>
        <v>0</v>
      </c>
      <c r="BE348" s="6055"/>
      <c r="BF348" s="718">
        <f t="shared" si="349"/>
        <v>0</v>
      </c>
    </row>
    <row r="349" spans="1:58" x14ac:dyDescent="0.3">
      <c r="A349" s="186"/>
      <c r="B349" s="3181" t="s">
        <v>1253</v>
      </c>
      <c r="C349" s="3137" t="s">
        <v>1252</v>
      </c>
      <c r="D349" s="3137"/>
      <c r="E349" s="6058"/>
      <c r="F349" s="1094">
        <v>280.52099999999996</v>
      </c>
      <c r="G349" s="6058"/>
      <c r="H349" s="1094"/>
      <c r="I349" s="6055"/>
      <c r="J349" s="718">
        <f t="shared" si="328"/>
        <v>280.52099999999996</v>
      </c>
      <c r="K349" s="6058"/>
      <c r="L349" s="1094"/>
      <c r="M349" s="6031"/>
      <c r="N349" s="717">
        <f t="shared" si="327"/>
        <v>280.52099999999996</v>
      </c>
      <c r="O349" s="6058"/>
      <c r="P349" s="1094"/>
      <c r="Q349" s="6055"/>
      <c r="R349" s="718">
        <f t="shared" si="329"/>
        <v>280.52099999999996</v>
      </c>
      <c r="S349" s="6058"/>
      <c r="T349" s="1094"/>
      <c r="U349" s="6055"/>
      <c r="V349" s="718">
        <f t="shared" si="330"/>
        <v>280.52099999999996</v>
      </c>
      <c r="W349" s="6058"/>
      <c r="X349" s="1094"/>
      <c r="Y349" s="6031"/>
      <c r="Z349" s="6031">
        <f t="shared" si="322"/>
        <v>0</v>
      </c>
      <c r="AA349" s="6052"/>
      <c r="AB349" s="429">
        <f t="shared" si="350"/>
        <v>280.52099999999996</v>
      </c>
      <c r="AC349" s="6058"/>
      <c r="AD349" s="1094"/>
      <c r="AE349" s="6055"/>
      <c r="AF349" s="718">
        <f t="shared" si="331"/>
        <v>280.52099999999996</v>
      </c>
      <c r="AG349" s="6058"/>
      <c r="AH349" s="1094"/>
      <c r="AI349" s="6055"/>
      <c r="AJ349" s="718">
        <f t="shared" si="332"/>
        <v>280.52099999999996</v>
      </c>
      <c r="AK349" s="6058"/>
      <c r="AL349" s="1094"/>
      <c r="AM349" s="6031"/>
      <c r="AN349" s="717">
        <f t="shared" si="324"/>
        <v>0</v>
      </c>
      <c r="AO349" s="6055"/>
      <c r="AP349" s="718">
        <f t="shared" si="351"/>
        <v>280.52099999999996</v>
      </c>
      <c r="AQ349" s="6058"/>
      <c r="AR349" s="1094"/>
      <c r="AS349" s="6055"/>
      <c r="AT349" s="718">
        <f t="shared" si="333"/>
        <v>280.52099999999996</v>
      </c>
      <c r="AU349" s="6058"/>
      <c r="AV349" s="1094"/>
      <c r="AW349" s="6055"/>
      <c r="AX349" s="718">
        <f t="shared" si="334"/>
        <v>280.52099999999996</v>
      </c>
      <c r="AY349" s="6058"/>
      <c r="AZ349" s="1094"/>
      <c r="BA349" s="6031"/>
      <c r="BB349" s="717">
        <f t="shared" si="326"/>
        <v>0</v>
      </c>
      <c r="BC349" s="6052"/>
      <c r="BD349" s="429">
        <f t="shared" si="348"/>
        <v>0</v>
      </c>
      <c r="BE349" s="6055"/>
      <c r="BF349" s="718">
        <f t="shared" si="349"/>
        <v>280.52099999999996</v>
      </c>
    </row>
    <row r="350" spans="1:58" x14ac:dyDescent="0.3">
      <c r="A350" s="186"/>
      <c r="B350" s="4475" t="s">
        <v>1253</v>
      </c>
      <c r="C350" s="4477" t="s">
        <v>1971</v>
      </c>
      <c r="D350" s="4477"/>
      <c r="E350" s="6058"/>
      <c r="F350" s="4478">
        <v>797.95299999999997</v>
      </c>
      <c r="G350" s="6058"/>
      <c r="H350" s="4478">
        <v>287.41199999999998</v>
      </c>
      <c r="I350" s="6055"/>
      <c r="J350" s="718">
        <f t="shared" si="328"/>
        <v>1085.365</v>
      </c>
      <c r="K350" s="6058"/>
      <c r="L350" s="4478"/>
      <c r="M350" s="6031"/>
      <c r="N350" s="717">
        <f t="shared" si="327"/>
        <v>1085.365</v>
      </c>
      <c r="O350" s="6058"/>
      <c r="P350" s="4478"/>
      <c r="Q350" s="6055"/>
      <c r="R350" s="718">
        <f t="shared" si="329"/>
        <v>1085.365</v>
      </c>
      <c r="S350" s="6058"/>
      <c r="T350" s="4478"/>
      <c r="U350" s="6055"/>
      <c r="V350" s="718">
        <f t="shared" si="330"/>
        <v>1085.365</v>
      </c>
      <c r="W350" s="6058"/>
      <c r="X350" s="4478"/>
      <c r="Y350" s="6031"/>
      <c r="Z350" s="6031">
        <f t="shared" si="322"/>
        <v>0</v>
      </c>
      <c r="AA350" s="6052"/>
      <c r="AB350" s="429">
        <f t="shared" si="350"/>
        <v>1085.365</v>
      </c>
      <c r="AC350" s="6058"/>
      <c r="AD350" s="4478"/>
      <c r="AE350" s="6055"/>
      <c r="AF350" s="718">
        <f t="shared" si="331"/>
        <v>1085.365</v>
      </c>
      <c r="AG350" s="6058"/>
      <c r="AH350" s="4478"/>
      <c r="AI350" s="6055"/>
      <c r="AJ350" s="718">
        <f t="shared" si="332"/>
        <v>1085.365</v>
      </c>
      <c r="AK350" s="6058"/>
      <c r="AL350" s="4478"/>
      <c r="AM350" s="6031"/>
      <c r="AN350" s="717">
        <f t="shared" si="324"/>
        <v>0</v>
      </c>
      <c r="AO350" s="6055"/>
      <c r="AP350" s="718">
        <f t="shared" si="351"/>
        <v>1085.365</v>
      </c>
      <c r="AQ350" s="6058"/>
      <c r="AR350" s="4478"/>
      <c r="AS350" s="6055"/>
      <c r="AT350" s="718">
        <f t="shared" si="333"/>
        <v>1085.365</v>
      </c>
      <c r="AU350" s="6058"/>
      <c r="AV350" s="4478"/>
      <c r="AW350" s="6055"/>
      <c r="AX350" s="718">
        <f t="shared" si="334"/>
        <v>1085.365</v>
      </c>
      <c r="AY350" s="6058"/>
      <c r="AZ350" s="4478"/>
      <c r="BA350" s="6031"/>
      <c r="BB350" s="717">
        <f t="shared" si="326"/>
        <v>0</v>
      </c>
      <c r="BC350" s="6052"/>
      <c r="BD350" s="429">
        <f t="shared" si="348"/>
        <v>0</v>
      </c>
      <c r="BE350" s="6055"/>
      <c r="BF350" s="718">
        <f t="shared" si="349"/>
        <v>1085.365</v>
      </c>
    </row>
    <row r="351" spans="1:58" x14ac:dyDescent="0.3">
      <c r="A351" s="186"/>
      <c r="B351" s="3181" t="s">
        <v>1543</v>
      </c>
      <c r="C351" s="3137" t="s">
        <v>1252</v>
      </c>
      <c r="D351" s="3137"/>
      <c r="E351" s="6058"/>
      <c r="F351" s="1094"/>
      <c r="G351" s="6058"/>
      <c r="H351" s="1094"/>
      <c r="I351" s="6055"/>
      <c r="J351" s="718">
        <f t="shared" si="328"/>
        <v>0</v>
      </c>
      <c r="K351" s="6058"/>
      <c r="L351" s="1094"/>
      <c r="M351" s="6031"/>
      <c r="N351" s="717">
        <f t="shared" si="327"/>
        <v>0</v>
      </c>
      <c r="O351" s="6058"/>
      <c r="P351" s="1094"/>
      <c r="Q351" s="6055"/>
      <c r="R351" s="718">
        <f t="shared" si="329"/>
        <v>0</v>
      </c>
      <c r="S351" s="6058"/>
      <c r="T351" s="1094"/>
      <c r="U351" s="6055"/>
      <c r="V351" s="718">
        <f t="shared" si="330"/>
        <v>0</v>
      </c>
      <c r="W351" s="6058"/>
      <c r="X351" s="1094"/>
      <c r="Y351" s="6031"/>
      <c r="Z351" s="6031">
        <f t="shared" ref="Z351:Z414" si="352">+P351+T351+X351</f>
        <v>0</v>
      </c>
      <c r="AA351" s="6052"/>
      <c r="AB351" s="429">
        <f t="shared" si="350"/>
        <v>0</v>
      </c>
      <c r="AC351" s="6058"/>
      <c r="AD351" s="1094"/>
      <c r="AE351" s="6055"/>
      <c r="AF351" s="718">
        <f t="shared" si="331"/>
        <v>0</v>
      </c>
      <c r="AG351" s="6058"/>
      <c r="AH351" s="1094"/>
      <c r="AI351" s="6055"/>
      <c r="AJ351" s="718">
        <f t="shared" si="332"/>
        <v>0</v>
      </c>
      <c r="AK351" s="6058"/>
      <c r="AL351" s="1094"/>
      <c r="AM351" s="6031"/>
      <c r="AN351" s="717">
        <f t="shared" ref="AN351:AN414" si="353">+AD351+AH351+AL351</f>
        <v>0</v>
      </c>
      <c r="AO351" s="6055"/>
      <c r="AP351" s="718">
        <f t="shared" si="351"/>
        <v>0</v>
      </c>
      <c r="AQ351" s="6058"/>
      <c r="AR351" s="1094"/>
      <c r="AS351" s="6055"/>
      <c r="AT351" s="718">
        <f t="shared" si="333"/>
        <v>0</v>
      </c>
      <c r="AU351" s="6058"/>
      <c r="AV351" s="1094"/>
      <c r="AW351" s="6055"/>
      <c r="AX351" s="718">
        <f t="shared" si="334"/>
        <v>0</v>
      </c>
      <c r="AY351" s="6058"/>
      <c r="AZ351" s="1094"/>
      <c r="BA351" s="6031"/>
      <c r="BB351" s="717">
        <f t="shared" ref="BB351:BB414" si="354">+AR351+AV351+AZ351</f>
        <v>0</v>
      </c>
      <c r="BC351" s="6052"/>
      <c r="BD351" s="429">
        <f t="shared" si="348"/>
        <v>0</v>
      </c>
      <c r="BE351" s="6055"/>
      <c r="BF351" s="718">
        <f t="shared" si="349"/>
        <v>0</v>
      </c>
    </row>
    <row r="352" spans="1:58" x14ac:dyDescent="0.3">
      <c r="A352" s="186"/>
      <c r="B352" s="3181" t="s">
        <v>844</v>
      </c>
      <c r="C352" s="3137" t="s">
        <v>1738</v>
      </c>
      <c r="D352" s="3137"/>
      <c r="E352" s="6058"/>
      <c r="F352" s="1094">
        <v>106.069</v>
      </c>
      <c r="G352" s="6058"/>
      <c r="H352" s="1094">
        <v>65.680000000000007</v>
      </c>
      <c r="I352" s="6055"/>
      <c r="J352" s="718">
        <f t="shared" si="328"/>
        <v>171.74900000000002</v>
      </c>
      <c r="K352" s="6058"/>
      <c r="L352" s="1094"/>
      <c r="M352" s="6031"/>
      <c r="N352" s="717">
        <f t="shared" si="327"/>
        <v>171.74900000000002</v>
      </c>
      <c r="O352" s="6058"/>
      <c r="P352" s="1094"/>
      <c r="Q352" s="6055"/>
      <c r="R352" s="718">
        <f t="shared" si="329"/>
        <v>171.74900000000002</v>
      </c>
      <c r="S352" s="6058"/>
      <c r="T352" s="1094"/>
      <c r="U352" s="6055"/>
      <c r="V352" s="718">
        <f t="shared" si="330"/>
        <v>171.74900000000002</v>
      </c>
      <c r="W352" s="6058"/>
      <c r="X352" s="1094"/>
      <c r="Y352" s="6031"/>
      <c r="Z352" s="6031">
        <f t="shared" si="352"/>
        <v>0</v>
      </c>
      <c r="AA352" s="6052"/>
      <c r="AB352" s="429">
        <f t="shared" si="350"/>
        <v>171.74900000000002</v>
      </c>
      <c r="AC352" s="6058"/>
      <c r="AD352" s="1094"/>
      <c r="AE352" s="6055"/>
      <c r="AF352" s="718">
        <f t="shared" si="331"/>
        <v>171.74900000000002</v>
      </c>
      <c r="AG352" s="6058"/>
      <c r="AH352" s="1094"/>
      <c r="AI352" s="6055"/>
      <c r="AJ352" s="718">
        <f t="shared" si="332"/>
        <v>171.74900000000002</v>
      </c>
      <c r="AK352" s="6058"/>
      <c r="AL352" s="1094"/>
      <c r="AM352" s="6031"/>
      <c r="AN352" s="717">
        <f t="shared" si="353"/>
        <v>0</v>
      </c>
      <c r="AO352" s="6055"/>
      <c r="AP352" s="718">
        <f t="shared" si="351"/>
        <v>171.74900000000002</v>
      </c>
      <c r="AQ352" s="6058"/>
      <c r="AR352" s="1094"/>
      <c r="AS352" s="6055"/>
      <c r="AT352" s="718">
        <f t="shared" si="333"/>
        <v>171.74900000000002</v>
      </c>
      <c r="AU352" s="6058"/>
      <c r="AV352" s="1094"/>
      <c r="AW352" s="6055"/>
      <c r="AX352" s="718">
        <f t="shared" si="334"/>
        <v>171.74900000000002</v>
      </c>
      <c r="AY352" s="6058"/>
      <c r="AZ352" s="1094"/>
      <c r="BA352" s="6031"/>
      <c r="BB352" s="717">
        <f t="shared" si="354"/>
        <v>0</v>
      </c>
      <c r="BC352" s="6052"/>
      <c r="BD352" s="429">
        <f t="shared" si="348"/>
        <v>0</v>
      </c>
      <c r="BE352" s="6055"/>
      <c r="BF352" s="718">
        <f t="shared" si="349"/>
        <v>171.74900000000002</v>
      </c>
    </row>
    <row r="353" spans="1:58" x14ac:dyDescent="0.3">
      <c r="A353" s="186"/>
      <c r="B353" s="3181" t="s">
        <v>844</v>
      </c>
      <c r="C353" s="3137" t="s">
        <v>1811</v>
      </c>
      <c r="D353" s="3137"/>
      <c r="E353" s="6058"/>
      <c r="F353" s="1094">
        <v>108.994</v>
      </c>
      <c r="G353" s="6058"/>
      <c r="H353" s="1094">
        <v>69.076999999999998</v>
      </c>
      <c r="I353" s="6055"/>
      <c r="J353" s="718">
        <f t="shared" si="328"/>
        <v>178.071</v>
      </c>
      <c r="K353" s="6058"/>
      <c r="L353" s="1094"/>
      <c r="M353" s="6031"/>
      <c r="N353" s="717">
        <f t="shared" si="327"/>
        <v>178.071</v>
      </c>
      <c r="O353" s="6058"/>
      <c r="P353" s="1094"/>
      <c r="Q353" s="6055"/>
      <c r="R353" s="718">
        <f t="shared" si="329"/>
        <v>178.071</v>
      </c>
      <c r="S353" s="6058"/>
      <c r="T353" s="1094"/>
      <c r="U353" s="6055"/>
      <c r="V353" s="718">
        <f t="shared" si="330"/>
        <v>178.071</v>
      </c>
      <c r="W353" s="6058"/>
      <c r="X353" s="1094"/>
      <c r="Y353" s="6031"/>
      <c r="Z353" s="6031">
        <f t="shared" si="352"/>
        <v>0</v>
      </c>
      <c r="AA353" s="6052"/>
      <c r="AB353" s="429">
        <f t="shared" si="350"/>
        <v>178.071</v>
      </c>
      <c r="AC353" s="6058"/>
      <c r="AD353" s="1094"/>
      <c r="AE353" s="6055"/>
      <c r="AF353" s="718">
        <f t="shared" si="331"/>
        <v>178.071</v>
      </c>
      <c r="AG353" s="6058"/>
      <c r="AH353" s="1094"/>
      <c r="AI353" s="6055"/>
      <c r="AJ353" s="718">
        <f t="shared" si="332"/>
        <v>178.071</v>
      </c>
      <c r="AK353" s="6058"/>
      <c r="AL353" s="1094"/>
      <c r="AM353" s="6031"/>
      <c r="AN353" s="717">
        <f t="shared" si="353"/>
        <v>0</v>
      </c>
      <c r="AO353" s="6055"/>
      <c r="AP353" s="718">
        <f t="shared" si="351"/>
        <v>178.071</v>
      </c>
      <c r="AQ353" s="6058"/>
      <c r="AR353" s="1094"/>
      <c r="AS353" s="6055"/>
      <c r="AT353" s="718">
        <f t="shared" si="333"/>
        <v>178.071</v>
      </c>
      <c r="AU353" s="6058"/>
      <c r="AV353" s="1094"/>
      <c r="AW353" s="6055"/>
      <c r="AX353" s="718">
        <f t="shared" si="334"/>
        <v>178.071</v>
      </c>
      <c r="AY353" s="6058"/>
      <c r="AZ353" s="1094"/>
      <c r="BA353" s="6031"/>
      <c r="BB353" s="717">
        <f t="shared" si="354"/>
        <v>0</v>
      </c>
      <c r="BC353" s="6052"/>
      <c r="BD353" s="429">
        <f t="shared" si="348"/>
        <v>0</v>
      </c>
      <c r="BE353" s="6055"/>
      <c r="BF353" s="718">
        <f t="shared" si="349"/>
        <v>178.071</v>
      </c>
    </row>
    <row r="354" spans="1:58" x14ac:dyDescent="0.3">
      <c r="A354" s="186"/>
      <c r="B354" s="3181" t="s">
        <v>844</v>
      </c>
      <c r="C354" s="3137" t="s">
        <v>852</v>
      </c>
      <c r="D354" s="3137"/>
      <c r="E354" s="6058"/>
      <c r="F354" s="1094">
        <v>4669.0860000000002</v>
      </c>
      <c r="G354" s="6058"/>
      <c r="H354" s="1094">
        <v>263.97199999999998</v>
      </c>
      <c r="I354" s="6055"/>
      <c r="J354" s="718">
        <f t="shared" si="328"/>
        <v>4933.058</v>
      </c>
      <c r="K354" s="6058"/>
      <c r="L354" s="1094"/>
      <c r="M354" s="6031"/>
      <c r="N354" s="717">
        <f t="shared" si="327"/>
        <v>4933.058</v>
      </c>
      <c r="O354" s="6058"/>
      <c r="P354" s="1094"/>
      <c r="Q354" s="6055"/>
      <c r="R354" s="718">
        <f t="shared" si="329"/>
        <v>4933.058</v>
      </c>
      <c r="S354" s="6058"/>
      <c r="T354" s="1094"/>
      <c r="U354" s="6055"/>
      <c r="V354" s="718">
        <f t="shared" si="330"/>
        <v>4933.058</v>
      </c>
      <c r="W354" s="6058"/>
      <c r="X354" s="1094"/>
      <c r="Y354" s="6031"/>
      <c r="Z354" s="6031">
        <f t="shared" si="352"/>
        <v>0</v>
      </c>
      <c r="AA354" s="6052"/>
      <c r="AB354" s="429">
        <f t="shared" si="350"/>
        <v>4933.058</v>
      </c>
      <c r="AC354" s="6058"/>
      <c r="AD354" s="1094"/>
      <c r="AE354" s="6055"/>
      <c r="AF354" s="718">
        <f t="shared" si="331"/>
        <v>4933.058</v>
      </c>
      <c r="AG354" s="6058"/>
      <c r="AH354" s="1094"/>
      <c r="AI354" s="6055"/>
      <c r="AJ354" s="718">
        <f t="shared" si="332"/>
        <v>4933.058</v>
      </c>
      <c r="AK354" s="6058"/>
      <c r="AL354" s="1094"/>
      <c r="AM354" s="6031"/>
      <c r="AN354" s="717">
        <f t="shared" si="353"/>
        <v>0</v>
      </c>
      <c r="AO354" s="6055"/>
      <c r="AP354" s="718">
        <f t="shared" si="351"/>
        <v>4933.058</v>
      </c>
      <c r="AQ354" s="6058"/>
      <c r="AR354" s="1094"/>
      <c r="AS354" s="6055"/>
      <c r="AT354" s="718">
        <f t="shared" si="333"/>
        <v>4933.058</v>
      </c>
      <c r="AU354" s="6058"/>
      <c r="AV354" s="1094"/>
      <c r="AW354" s="6055"/>
      <c r="AX354" s="718">
        <f t="shared" si="334"/>
        <v>4933.058</v>
      </c>
      <c r="AY354" s="6058"/>
      <c r="AZ354" s="1094"/>
      <c r="BA354" s="6031"/>
      <c r="BB354" s="717">
        <f t="shared" si="354"/>
        <v>0</v>
      </c>
      <c r="BC354" s="6052"/>
      <c r="BD354" s="429">
        <f t="shared" si="348"/>
        <v>0</v>
      </c>
      <c r="BE354" s="6055"/>
      <c r="BF354" s="718">
        <f t="shared" si="349"/>
        <v>4933.058</v>
      </c>
    </row>
    <row r="355" spans="1:58" x14ac:dyDescent="0.3">
      <c r="A355" s="186"/>
      <c r="B355" s="3181" t="s">
        <v>844</v>
      </c>
      <c r="C355" s="3137" t="s">
        <v>851</v>
      </c>
      <c r="D355" s="3137"/>
      <c r="E355" s="6058"/>
      <c r="F355" s="1094">
        <v>431.96899999999999</v>
      </c>
      <c r="G355" s="6058"/>
      <c r="H355" s="1094">
        <v>312.60700000000003</v>
      </c>
      <c r="I355" s="6055"/>
      <c r="J355" s="718">
        <f t="shared" si="328"/>
        <v>744.57600000000002</v>
      </c>
      <c r="K355" s="6058"/>
      <c r="L355" s="1094"/>
      <c r="M355" s="6031"/>
      <c r="N355" s="717">
        <f t="shared" si="327"/>
        <v>744.57600000000002</v>
      </c>
      <c r="O355" s="6058"/>
      <c r="P355" s="1094"/>
      <c r="Q355" s="6055"/>
      <c r="R355" s="718">
        <f t="shared" si="329"/>
        <v>744.57600000000002</v>
      </c>
      <c r="S355" s="6058"/>
      <c r="T355" s="1094"/>
      <c r="U355" s="6055"/>
      <c r="V355" s="718">
        <f t="shared" si="330"/>
        <v>744.57600000000002</v>
      </c>
      <c r="W355" s="6058"/>
      <c r="X355" s="1094"/>
      <c r="Y355" s="6031"/>
      <c r="Z355" s="6031">
        <f t="shared" si="352"/>
        <v>0</v>
      </c>
      <c r="AA355" s="6052"/>
      <c r="AB355" s="429">
        <f t="shared" si="350"/>
        <v>744.57600000000002</v>
      </c>
      <c r="AC355" s="6058"/>
      <c r="AD355" s="1094"/>
      <c r="AE355" s="6055"/>
      <c r="AF355" s="718">
        <f t="shared" si="331"/>
        <v>744.57600000000002</v>
      </c>
      <c r="AG355" s="6058"/>
      <c r="AH355" s="1094"/>
      <c r="AI355" s="6055"/>
      <c r="AJ355" s="718">
        <f t="shared" si="332"/>
        <v>744.57600000000002</v>
      </c>
      <c r="AK355" s="6058"/>
      <c r="AL355" s="1094"/>
      <c r="AM355" s="6031"/>
      <c r="AN355" s="717">
        <f t="shared" si="353"/>
        <v>0</v>
      </c>
      <c r="AO355" s="6055"/>
      <c r="AP355" s="718">
        <f t="shared" si="351"/>
        <v>744.57600000000002</v>
      </c>
      <c r="AQ355" s="6058"/>
      <c r="AR355" s="1094"/>
      <c r="AS355" s="6055"/>
      <c r="AT355" s="718">
        <f t="shared" si="333"/>
        <v>744.57600000000002</v>
      </c>
      <c r="AU355" s="6058"/>
      <c r="AV355" s="1094"/>
      <c r="AW355" s="6055"/>
      <c r="AX355" s="718">
        <f t="shared" si="334"/>
        <v>744.57600000000002</v>
      </c>
      <c r="AY355" s="6058"/>
      <c r="AZ355" s="1094"/>
      <c r="BA355" s="6031"/>
      <c r="BB355" s="717">
        <f t="shared" si="354"/>
        <v>0</v>
      </c>
      <c r="BC355" s="6052"/>
      <c r="BD355" s="429">
        <f t="shared" si="348"/>
        <v>0</v>
      </c>
      <c r="BE355" s="6055"/>
      <c r="BF355" s="718">
        <f t="shared" si="349"/>
        <v>744.57600000000002</v>
      </c>
    </row>
    <row r="356" spans="1:58" x14ac:dyDescent="0.3">
      <c r="A356" s="186"/>
      <c r="B356" s="3181" t="s">
        <v>844</v>
      </c>
      <c r="C356" s="3137" t="s">
        <v>1728</v>
      </c>
      <c r="D356" s="3137"/>
      <c r="E356" s="6058"/>
      <c r="F356" s="1094">
        <v>27.984999999999999</v>
      </c>
      <c r="G356" s="6058"/>
      <c r="H356" s="1094">
        <v>97.02</v>
      </c>
      <c r="I356" s="6055"/>
      <c r="J356" s="718">
        <f t="shared" si="328"/>
        <v>125.005</v>
      </c>
      <c r="K356" s="6058"/>
      <c r="L356" s="1094"/>
      <c r="M356" s="6031"/>
      <c r="N356" s="717">
        <f t="shared" si="327"/>
        <v>125.005</v>
      </c>
      <c r="O356" s="6058"/>
      <c r="P356" s="1094"/>
      <c r="Q356" s="6055"/>
      <c r="R356" s="718">
        <f t="shared" si="329"/>
        <v>125.005</v>
      </c>
      <c r="S356" s="6058"/>
      <c r="T356" s="1094"/>
      <c r="U356" s="6055"/>
      <c r="V356" s="718">
        <f t="shared" si="330"/>
        <v>125.005</v>
      </c>
      <c r="W356" s="6058"/>
      <c r="X356" s="1094"/>
      <c r="Y356" s="6031"/>
      <c r="Z356" s="6031">
        <f t="shared" si="352"/>
        <v>0</v>
      </c>
      <c r="AA356" s="6052"/>
      <c r="AB356" s="429">
        <f t="shared" si="350"/>
        <v>125.005</v>
      </c>
      <c r="AC356" s="6058"/>
      <c r="AD356" s="1094"/>
      <c r="AE356" s="6055"/>
      <c r="AF356" s="718">
        <f t="shared" si="331"/>
        <v>125.005</v>
      </c>
      <c r="AG356" s="6058"/>
      <c r="AH356" s="1094"/>
      <c r="AI356" s="6055"/>
      <c r="AJ356" s="718">
        <f t="shared" si="332"/>
        <v>125.005</v>
      </c>
      <c r="AK356" s="6058"/>
      <c r="AL356" s="1094"/>
      <c r="AM356" s="6031"/>
      <c r="AN356" s="717">
        <f t="shared" si="353"/>
        <v>0</v>
      </c>
      <c r="AO356" s="6055"/>
      <c r="AP356" s="718">
        <f t="shared" si="351"/>
        <v>125.005</v>
      </c>
      <c r="AQ356" s="6058"/>
      <c r="AR356" s="1094"/>
      <c r="AS356" s="6055"/>
      <c r="AT356" s="718">
        <f t="shared" si="333"/>
        <v>125.005</v>
      </c>
      <c r="AU356" s="6058"/>
      <c r="AV356" s="1094"/>
      <c r="AW356" s="6055"/>
      <c r="AX356" s="718">
        <f t="shared" si="334"/>
        <v>125.005</v>
      </c>
      <c r="AY356" s="6058"/>
      <c r="AZ356" s="1094"/>
      <c r="BA356" s="6031"/>
      <c r="BB356" s="717">
        <f t="shared" si="354"/>
        <v>0</v>
      </c>
      <c r="BC356" s="6052"/>
      <c r="BD356" s="429">
        <f t="shared" si="348"/>
        <v>0</v>
      </c>
      <c r="BE356" s="6055"/>
      <c r="BF356" s="718">
        <f t="shared" si="349"/>
        <v>125.005</v>
      </c>
    </row>
    <row r="357" spans="1:58" x14ac:dyDescent="0.3">
      <c r="A357" s="186"/>
      <c r="B357" s="3182" t="s">
        <v>844</v>
      </c>
      <c r="C357" s="3191" t="s">
        <v>1729</v>
      </c>
      <c r="D357" s="3191"/>
      <c r="E357" s="6058"/>
      <c r="F357" s="1094">
        <v>1327.6579999999999</v>
      </c>
      <c r="G357" s="6058"/>
      <c r="H357" s="1094">
        <v>18.186</v>
      </c>
      <c r="I357" s="6055"/>
      <c r="J357" s="718">
        <f t="shared" si="328"/>
        <v>1345.8439999999998</v>
      </c>
      <c r="K357" s="6058"/>
      <c r="L357" s="1094"/>
      <c r="M357" s="6031"/>
      <c r="N357" s="717">
        <f t="shared" si="327"/>
        <v>1345.8439999999998</v>
      </c>
      <c r="O357" s="6058"/>
      <c r="P357" s="1094"/>
      <c r="Q357" s="6055"/>
      <c r="R357" s="718">
        <f t="shared" si="329"/>
        <v>1345.8439999999998</v>
      </c>
      <c r="S357" s="6058"/>
      <c r="T357" s="1094"/>
      <c r="U357" s="6055"/>
      <c r="V357" s="718">
        <f t="shared" si="330"/>
        <v>1345.8439999999998</v>
      </c>
      <c r="W357" s="6058"/>
      <c r="X357" s="1094"/>
      <c r="Y357" s="6031"/>
      <c r="Z357" s="6031">
        <f t="shared" si="352"/>
        <v>0</v>
      </c>
      <c r="AA357" s="6052"/>
      <c r="AB357" s="429">
        <f t="shared" si="350"/>
        <v>1345.8439999999998</v>
      </c>
      <c r="AC357" s="6058"/>
      <c r="AD357" s="1094"/>
      <c r="AE357" s="6055"/>
      <c r="AF357" s="718">
        <f t="shared" si="331"/>
        <v>1345.8439999999998</v>
      </c>
      <c r="AG357" s="6058"/>
      <c r="AH357" s="1094"/>
      <c r="AI357" s="6055"/>
      <c r="AJ357" s="718">
        <f t="shared" si="332"/>
        <v>1345.8439999999998</v>
      </c>
      <c r="AK357" s="6058"/>
      <c r="AL357" s="1094"/>
      <c r="AM357" s="6031"/>
      <c r="AN357" s="717">
        <f t="shared" si="353"/>
        <v>0</v>
      </c>
      <c r="AO357" s="6055"/>
      <c r="AP357" s="718">
        <f t="shared" si="351"/>
        <v>1345.8439999999998</v>
      </c>
      <c r="AQ357" s="6058"/>
      <c r="AR357" s="1094"/>
      <c r="AS357" s="6055"/>
      <c r="AT357" s="718">
        <f t="shared" si="333"/>
        <v>1345.8439999999998</v>
      </c>
      <c r="AU357" s="6058"/>
      <c r="AV357" s="1094"/>
      <c r="AW357" s="6055"/>
      <c r="AX357" s="718">
        <f t="shared" si="334"/>
        <v>1345.8439999999998</v>
      </c>
      <c r="AY357" s="6058"/>
      <c r="AZ357" s="1094"/>
      <c r="BA357" s="6031"/>
      <c r="BB357" s="717">
        <f t="shared" si="354"/>
        <v>0</v>
      </c>
      <c r="BC357" s="6052"/>
      <c r="BD357" s="429">
        <f t="shared" si="348"/>
        <v>0</v>
      </c>
      <c r="BE357" s="6055"/>
      <c r="BF357" s="718">
        <f t="shared" si="349"/>
        <v>1345.8439999999998</v>
      </c>
    </row>
    <row r="358" spans="1:58" x14ac:dyDescent="0.3">
      <c r="A358" s="186"/>
      <c r="B358" s="3182" t="s">
        <v>1762</v>
      </c>
      <c r="C358" s="3150" t="s">
        <v>1761</v>
      </c>
      <c r="D358" s="3519"/>
      <c r="E358" s="6058"/>
      <c r="F358" s="2348">
        <v>191.92099999999999</v>
      </c>
      <c r="G358" s="6058"/>
      <c r="H358" s="2348">
        <v>668.94600000000003</v>
      </c>
      <c r="I358" s="6055"/>
      <c r="J358" s="718">
        <f t="shared" si="328"/>
        <v>860.86699999999996</v>
      </c>
      <c r="K358" s="6058"/>
      <c r="L358" s="2348"/>
      <c r="M358" s="6031"/>
      <c r="N358" s="717">
        <f t="shared" si="327"/>
        <v>860.86699999999996</v>
      </c>
      <c r="O358" s="6058"/>
      <c r="P358" s="2348"/>
      <c r="Q358" s="6055"/>
      <c r="R358" s="718">
        <f t="shared" si="329"/>
        <v>860.86699999999996</v>
      </c>
      <c r="S358" s="6058"/>
      <c r="T358" s="2348"/>
      <c r="U358" s="6055"/>
      <c r="V358" s="718">
        <f t="shared" si="330"/>
        <v>860.86699999999996</v>
      </c>
      <c r="W358" s="6058"/>
      <c r="X358" s="2348"/>
      <c r="Y358" s="6031"/>
      <c r="Z358" s="6031">
        <f t="shared" si="352"/>
        <v>0</v>
      </c>
      <c r="AA358" s="6052"/>
      <c r="AB358" s="429">
        <f t="shared" si="350"/>
        <v>860.86699999999996</v>
      </c>
      <c r="AC358" s="6058"/>
      <c r="AD358" s="2348"/>
      <c r="AE358" s="6055"/>
      <c r="AF358" s="718">
        <f t="shared" si="331"/>
        <v>860.86699999999996</v>
      </c>
      <c r="AG358" s="6058"/>
      <c r="AH358" s="2348"/>
      <c r="AI358" s="6055"/>
      <c r="AJ358" s="718">
        <f t="shared" si="332"/>
        <v>860.86699999999996</v>
      </c>
      <c r="AK358" s="6058"/>
      <c r="AL358" s="2348"/>
      <c r="AM358" s="6031"/>
      <c r="AN358" s="717">
        <f t="shared" si="353"/>
        <v>0</v>
      </c>
      <c r="AO358" s="6055"/>
      <c r="AP358" s="718">
        <f t="shared" si="351"/>
        <v>860.86699999999996</v>
      </c>
      <c r="AQ358" s="6058"/>
      <c r="AR358" s="2348"/>
      <c r="AS358" s="6055"/>
      <c r="AT358" s="718">
        <f t="shared" si="333"/>
        <v>860.86699999999996</v>
      </c>
      <c r="AU358" s="6058"/>
      <c r="AV358" s="2348"/>
      <c r="AW358" s="6055"/>
      <c r="AX358" s="718">
        <f t="shared" si="334"/>
        <v>860.86699999999996</v>
      </c>
      <c r="AY358" s="6058"/>
      <c r="AZ358" s="2348"/>
      <c r="BA358" s="6031"/>
      <c r="BB358" s="717">
        <f t="shared" si="354"/>
        <v>0</v>
      </c>
      <c r="BC358" s="6052"/>
      <c r="BD358" s="429">
        <f t="shared" si="348"/>
        <v>0</v>
      </c>
      <c r="BE358" s="6055"/>
      <c r="BF358" s="718">
        <f t="shared" si="349"/>
        <v>860.86699999999996</v>
      </c>
    </row>
    <row r="359" spans="1:58" x14ac:dyDescent="0.3">
      <c r="A359" s="186"/>
      <c r="B359" s="3182" t="s">
        <v>1762</v>
      </c>
      <c r="C359" s="3150" t="s">
        <v>1763</v>
      </c>
      <c r="D359" s="3519"/>
      <c r="E359" s="6058"/>
      <c r="F359" s="2348">
        <v>4237.183</v>
      </c>
      <c r="G359" s="6058"/>
      <c r="H359" s="2348"/>
      <c r="I359" s="6055"/>
      <c r="J359" s="718">
        <f t="shared" si="328"/>
        <v>4237.183</v>
      </c>
      <c r="K359" s="6058"/>
      <c r="L359" s="2348"/>
      <c r="M359" s="6031"/>
      <c r="N359" s="717">
        <f t="shared" si="327"/>
        <v>4237.183</v>
      </c>
      <c r="O359" s="6058"/>
      <c r="P359" s="2348"/>
      <c r="Q359" s="6055"/>
      <c r="R359" s="718">
        <f t="shared" si="329"/>
        <v>4237.183</v>
      </c>
      <c r="S359" s="6058"/>
      <c r="T359" s="2348"/>
      <c r="U359" s="6055"/>
      <c r="V359" s="718">
        <f t="shared" si="330"/>
        <v>4237.183</v>
      </c>
      <c r="W359" s="6058"/>
      <c r="X359" s="2348"/>
      <c r="Y359" s="6031"/>
      <c r="Z359" s="6031">
        <f t="shared" si="352"/>
        <v>0</v>
      </c>
      <c r="AA359" s="6052"/>
      <c r="AB359" s="429">
        <f t="shared" si="350"/>
        <v>4237.183</v>
      </c>
      <c r="AC359" s="6058"/>
      <c r="AD359" s="2348"/>
      <c r="AE359" s="6055"/>
      <c r="AF359" s="718">
        <f t="shared" si="331"/>
        <v>4237.183</v>
      </c>
      <c r="AG359" s="6058"/>
      <c r="AH359" s="2348"/>
      <c r="AI359" s="6055"/>
      <c r="AJ359" s="718">
        <f t="shared" si="332"/>
        <v>4237.183</v>
      </c>
      <c r="AK359" s="6058"/>
      <c r="AL359" s="2348"/>
      <c r="AM359" s="6031"/>
      <c r="AN359" s="717">
        <f t="shared" si="353"/>
        <v>0</v>
      </c>
      <c r="AO359" s="6055"/>
      <c r="AP359" s="718">
        <f t="shared" si="351"/>
        <v>4237.183</v>
      </c>
      <c r="AQ359" s="6058"/>
      <c r="AR359" s="2348"/>
      <c r="AS359" s="6055"/>
      <c r="AT359" s="718">
        <f t="shared" si="333"/>
        <v>4237.183</v>
      </c>
      <c r="AU359" s="6058"/>
      <c r="AV359" s="2348"/>
      <c r="AW359" s="6055"/>
      <c r="AX359" s="718">
        <f t="shared" si="334"/>
        <v>4237.183</v>
      </c>
      <c r="AY359" s="6058"/>
      <c r="AZ359" s="2348"/>
      <c r="BA359" s="6031"/>
      <c r="BB359" s="717">
        <f t="shared" si="354"/>
        <v>0</v>
      </c>
      <c r="BC359" s="6052"/>
      <c r="BD359" s="429">
        <f t="shared" si="348"/>
        <v>0</v>
      </c>
      <c r="BE359" s="6055"/>
      <c r="BF359" s="718">
        <f t="shared" si="349"/>
        <v>4237.183</v>
      </c>
    </row>
    <row r="360" spans="1:58" x14ac:dyDescent="0.3">
      <c r="A360" s="186"/>
      <c r="B360" s="3182" t="s">
        <v>1762</v>
      </c>
      <c r="C360" s="3150" t="s">
        <v>1789</v>
      </c>
      <c r="D360" s="3519"/>
      <c r="E360" s="6058"/>
      <c r="F360" s="3672">
        <v>5.6210000000000004</v>
      </c>
      <c r="G360" s="6058"/>
      <c r="H360" s="3672">
        <v>264.18299999999999</v>
      </c>
      <c r="I360" s="6055"/>
      <c r="J360" s="718">
        <f t="shared" si="328"/>
        <v>269.80399999999997</v>
      </c>
      <c r="K360" s="6058"/>
      <c r="L360" s="3672"/>
      <c r="M360" s="6031"/>
      <c r="N360" s="717">
        <f t="shared" si="327"/>
        <v>269.80399999999997</v>
      </c>
      <c r="O360" s="6058"/>
      <c r="P360" s="3672"/>
      <c r="Q360" s="6055"/>
      <c r="R360" s="718">
        <f t="shared" si="329"/>
        <v>269.80399999999997</v>
      </c>
      <c r="S360" s="6058"/>
      <c r="T360" s="3672"/>
      <c r="U360" s="6055"/>
      <c r="V360" s="718">
        <f t="shared" si="330"/>
        <v>269.80399999999997</v>
      </c>
      <c r="W360" s="6058"/>
      <c r="X360" s="3672"/>
      <c r="Y360" s="6031"/>
      <c r="Z360" s="6031">
        <f t="shared" si="352"/>
        <v>0</v>
      </c>
      <c r="AA360" s="6052"/>
      <c r="AB360" s="429">
        <f t="shared" si="350"/>
        <v>269.80399999999997</v>
      </c>
      <c r="AC360" s="6058"/>
      <c r="AD360" s="3672"/>
      <c r="AE360" s="6055"/>
      <c r="AF360" s="718">
        <f t="shared" si="331"/>
        <v>269.80399999999997</v>
      </c>
      <c r="AG360" s="6058"/>
      <c r="AH360" s="3672"/>
      <c r="AI360" s="6055"/>
      <c r="AJ360" s="718">
        <f t="shared" si="332"/>
        <v>269.80399999999997</v>
      </c>
      <c r="AK360" s="6058"/>
      <c r="AL360" s="3672"/>
      <c r="AM360" s="6031"/>
      <c r="AN360" s="717">
        <f t="shared" si="353"/>
        <v>0</v>
      </c>
      <c r="AO360" s="6055"/>
      <c r="AP360" s="718">
        <f t="shared" si="351"/>
        <v>269.80399999999997</v>
      </c>
      <c r="AQ360" s="6058"/>
      <c r="AR360" s="3672"/>
      <c r="AS360" s="6055"/>
      <c r="AT360" s="718">
        <f t="shared" si="333"/>
        <v>269.80399999999997</v>
      </c>
      <c r="AU360" s="6058"/>
      <c r="AV360" s="3672"/>
      <c r="AW360" s="6055"/>
      <c r="AX360" s="718">
        <f t="shared" si="334"/>
        <v>269.80399999999997</v>
      </c>
      <c r="AY360" s="6058"/>
      <c r="AZ360" s="3672"/>
      <c r="BA360" s="6031"/>
      <c r="BB360" s="717">
        <f t="shared" si="354"/>
        <v>0</v>
      </c>
      <c r="BC360" s="6052"/>
      <c r="BD360" s="429">
        <f t="shared" si="348"/>
        <v>0</v>
      </c>
      <c r="BE360" s="6055"/>
      <c r="BF360" s="718">
        <f t="shared" si="349"/>
        <v>269.80399999999997</v>
      </c>
    </row>
    <row r="361" spans="1:58" ht="15" thickBot="1" x14ac:dyDescent="0.35">
      <c r="A361" s="186"/>
      <c r="B361" s="3182" t="s">
        <v>1762</v>
      </c>
      <c r="C361" s="3150" t="s">
        <v>1764</v>
      </c>
      <c r="D361" s="3519"/>
      <c r="E361" s="6058"/>
      <c r="F361" s="2348">
        <v>730.24300000000005</v>
      </c>
      <c r="G361" s="6058"/>
      <c r="H361" s="2348"/>
      <c r="I361" s="6055"/>
      <c r="J361" s="718">
        <f t="shared" si="328"/>
        <v>730.24300000000005</v>
      </c>
      <c r="K361" s="6058"/>
      <c r="L361" s="2348"/>
      <c r="M361" s="6031"/>
      <c r="N361" s="717">
        <f t="shared" si="327"/>
        <v>730.24300000000005</v>
      </c>
      <c r="O361" s="6058"/>
      <c r="P361" s="2348"/>
      <c r="Q361" s="6055"/>
      <c r="R361" s="718">
        <f t="shared" si="329"/>
        <v>730.24300000000005</v>
      </c>
      <c r="S361" s="6058"/>
      <c r="T361" s="2348"/>
      <c r="U361" s="6055"/>
      <c r="V361" s="718">
        <f t="shared" si="330"/>
        <v>730.24300000000005</v>
      </c>
      <c r="W361" s="6058"/>
      <c r="X361" s="2348"/>
      <c r="Y361" s="6031"/>
      <c r="Z361" s="6031">
        <f t="shared" si="352"/>
        <v>0</v>
      </c>
      <c r="AA361" s="6052"/>
      <c r="AB361" s="429">
        <f t="shared" si="350"/>
        <v>730.24300000000005</v>
      </c>
      <c r="AC361" s="6058"/>
      <c r="AD361" s="2348"/>
      <c r="AE361" s="6055"/>
      <c r="AF361" s="718">
        <f t="shared" si="331"/>
        <v>730.24300000000005</v>
      </c>
      <c r="AG361" s="6058"/>
      <c r="AH361" s="2348"/>
      <c r="AI361" s="6055"/>
      <c r="AJ361" s="718">
        <f t="shared" si="332"/>
        <v>730.24300000000005</v>
      </c>
      <c r="AK361" s="6058"/>
      <c r="AL361" s="2348"/>
      <c r="AM361" s="6031"/>
      <c r="AN361" s="717">
        <f t="shared" si="353"/>
        <v>0</v>
      </c>
      <c r="AO361" s="6055"/>
      <c r="AP361" s="718">
        <f t="shared" si="351"/>
        <v>730.24300000000005</v>
      </c>
      <c r="AQ361" s="6058"/>
      <c r="AR361" s="2348"/>
      <c r="AS361" s="6055"/>
      <c r="AT361" s="718">
        <f t="shared" si="333"/>
        <v>730.24300000000005</v>
      </c>
      <c r="AU361" s="6058"/>
      <c r="AV361" s="2348"/>
      <c r="AW361" s="6055"/>
      <c r="AX361" s="718">
        <f t="shared" si="334"/>
        <v>730.24300000000005</v>
      </c>
      <c r="AY361" s="6058"/>
      <c r="AZ361" s="2348"/>
      <c r="BA361" s="6031"/>
      <c r="BB361" s="717">
        <f t="shared" si="354"/>
        <v>0</v>
      </c>
      <c r="BC361" s="6052"/>
      <c r="BD361" s="429">
        <f t="shared" si="348"/>
        <v>0</v>
      </c>
      <c r="BE361" s="6055"/>
      <c r="BF361" s="718">
        <f t="shared" si="349"/>
        <v>730.24300000000005</v>
      </c>
    </row>
    <row r="362" spans="1:58" x14ac:dyDescent="0.3">
      <c r="A362" s="186"/>
      <c r="B362" s="5186" t="s">
        <v>845</v>
      </c>
      <c r="C362" s="5187" t="s">
        <v>853</v>
      </c>
      <c r="D362" s="5188"/>
      <c r="E362" s="6058"/>
      <c r="F362" s="1094">
        <v>3443.136</v>
      </c>
      <c r="G362" s="6058"/>
      <c r="H362" s="1094">
        <v>71.180000000000007</v>
      </c>
      <c r="I362" s="6055"/>
      <c r="J362" s="718">
        <f t="shared" si="328"/>
        <v>3514.3159999999998</v>
      </c>
      <c r="K362" s="6058"/>
      <c r="L362" s="1094"/>
      <c r="M362" s="6031"/>
      <c r="N362" s="717">
        <f t="shared" si="327"/>
        <v>3514.3159999999998</v>
      </c>
      <c r="O362" s="6058"/>
      <c r="P362" s="1094"/>
      <c r="Q362" s="6055"/>
      <c r="R362" s="718">
        <f t="shared" si="329"/>
        <v>3514.3159999999998</v>
      </c>
      <c r="S362" s="6058"/>
      <c r="T362" s="1094"/>
      <c r="U362" s="6055"/>
      <c r="V362" s="718">
        <f t="shared" si="330"/>
        <v>3514.3159999999998</v>
      </c>
      <c r="W362" s="6058"/>
      <c r="X362" s="1094"/>
      <c r="Y362" s="6031"/>
      <c r="Z362" s="6031">
        <f t="shared" si="352"/>
        <v>0</v>
      </c>
      <c r="AA362" s="6052"/>
      <c r="AB362" s="429">
        <f t="shared" si="350"/>
        <v>3514.3159999999998</v>
      </c>
      <c r="AC362" s="6058"/>
      <c r="AD362" s="1094"/>
      <c r="AE362" s="6055"/>
      <c r="AF362" s="718">
        <f t="shared" si="331"/>
        <v>3514.3159999999998</v>
      </c>
      <c r="AG362" s="6058"/>
      <c r="AH362" s="1094"/>
      <c r="AI362" s="6055"/>
      <c r="AJ362" s="718">
        <f t="shared" si="332"/>
        <v>3514.3159999999998</v>
      </c>
      <c r="AK362" s="6058"/>
      <c r="AL362" s="1094"/>
      <c r="AM362" s="6031"/>
      <c r="AN362" s="717">
        <f t="shared" si="353"/>
        <v>0</v>
      </c>
      <c r="AO362" s="6055"/>
      <c r="AP362" s="718">
        <f t="shared" si="351"/>
        <v>3514.3159999999998</v>
      </c>
      <c r="AQ362" s="6058"/>
      <c r="AR362" s="1094"/>
      <c r="AS362" s="6055"/>
      <c r="AT362" s="718">
        <f t="shared" si="333"/>
        <v>3514.3159999999998</v>
      </c>
      <c r="AU362" s="6058"/>
      <c r="AV362" s="1094"/>
      <c r="AW362" s="6055"/>
      <c r="AX362" s="718">
        <f t="shared" si="334"/>
        <v>3514.3159999999998</v>
      </c>
      <c r="AY362" s="6058"/>
      <c r="AZ362" s="1094"/>
      <c r="BA362" s="6031"/>
      <c r="BB362" s="717">
        <f t="shared" si="354"/>
        <v>0</v>
      </c>
      <c r="BC362" s="6052"/>
      <c r="BD362" s="429">
        <f t="shared" si="348"/>
        <v>0</v>
      </c>
      <c r="BE362" s="6055"/>
      <c r="BF362" s="718">
        <f t="shared" si="349"/>
        <v>3514.3159999999998</v>
      </c>
    </row>
    <row r="363" spans="1:58" x14ac:dyDescent="0.3">
      <c r="A363" s="186"/>
      <c r="B363" s="5189" t="s">
        <v>845</v>
      </c>
      <c r="C363" s="4929" t="s">
        <v>2230</v>
      </c>
      <c r="D363" s="4929"/>
      <c r="E363" s="6058"/>
      <c r="F363" s="4923">
        <v>163.56</v>
      </c>
      <c r="G363" s="6058"/>
      <c r="H363" s="4923"/>
      <c r="I363" s="6055"/>
      <c r="J363" s="718">
        <f t="shared" si="328"/>
        <v>163.56</v>
      </c>
      <c r="K363" s="6058"/>
      <c r="L363" s="4923"/>
      <c r="M363" s="6031"/>
      <c r="N363" s="717">
        <f t="shared" si="327"/>
        <v>163.56</v>
      </c>
      <c r="O363" s="6058"/>
      <c r="P363" s="4923"/>
      <c r="Q363" s="6055"/>
      <c r="R363" s="718">
        <f t="shared" si="329"/>
        <v>163.56</v>
      </c>
      <c r="S363" s="6058"/>
      <c r="T363" s="4923"/>
      <c r="U363" s="6055"/>
      <c r="V363" s="718">
        <f t="shared" si="330"/>
        <v>163.56</v>
      </c>
      <c r="W363" s="6058"/>
      <c r="X363" s="4923"/>
      <c r="Y363" s="6031"/>
      <c r="Z363" s="6031">
        <f t="shared" si="352"/>
        <v>0</v>
      </c>
      <c r="AA363" s="6052"/>
      <c r="AB363" s="429">
        <f t="shared" si="350"/>
        <v>163.56</v>
      </c>
      <c r="AC363" s="6058"/>
      <c r="AD363" s="4923"/>
      <c r="AE363" s="6055"/>
      <c r="AF363" s="718">
        <f t="shared" si="331"/>
        <v>163.56</v>
      </c>
      <c r="AG363" s="6058"/>
      <c r="AH363" s="4923"/>
      <c r="AI363" s="6055"/>
      <c r="AJ363" s="718">
        <f t="shared" si="332"/>
        <v>163.56</v>
      </c>
      <c r="AK363" s="6058"/>
      <c r="AL363" s="4923"/>
      <c r="AM363" s="6031"/>
      <c r="AN363" s="717">
        <f t="shared" si="353"/>
        <v>0</v>
      </c>
      <c r="AO363" s="6055"/>
      <c r="AP363" s="718">
        <f t="shared" si="351"/>
        <v>163.56</v>
      </c>
      <c r="AQ363" s="6058"/>
      <c r="AR363" s="4923"/>
      <c r="AS363" s="6055"/>
      <c r="AT363" s="718">
        <f t="shared" si="333"/>
        <v>163.56</v>
      </c>
      <c r="AU363" s="6058"/>
      <c r="AV363" s="4923"/>
      <c r="AW363" s="6055"/>
      <c r="AX363" s="718">
        <f t="shared" si="334"/>
        <v>163.56</v>
      </c>
      <c r="AY363" s="6058"/>
      <c r="AZ363" s="4923"/>
      <c r="BA363" s="6031"/>
      <c r="BB363" s="717">
        <f t="shared" si="354"/>
        <v>0</v>
      </c>
      <c r="BC363" s="6052"/>
      <c r="BD363" s="429">
        <f t="shared" si="348"/>
        <v>0</v>
      </c>
      <c r="BE363" s="6055"/>
      <c r="BF363" s="718">
        <f t="shared" si="349"/>
        <v>163.56</v>
      </c>
    </row>
    <row r="364" spans="1:58" x14ac:dyDescent="0.3">
      <c r="A364" s="186"/>
      <c r="B364" s="780" t="s">
        <v>845</v>
      </c>
      <c r="C364" s="3167" t="s">
        <v>952</v>
      </c>
      <c r="D364" s="3193"/>
      <c r="E364" s="6058"/>
      <c r="F364" s="1094">
        <v>2486.576</v>
      </c>
      <c r="G364" s="6058"/>
      <c r="H364" s="1094">
        <v>2202.7310000000002</v>
      </c>
      <c r="I364" s="6055"/>
      <c r="J364" s="718">
        <f t="shared" si="328"/>
        <v>4689.3070000000007</v>
      </c>
      <c r="K364" s="6058"/>
      <c r="L364" s="1094"/>
      <c r="M364" s="6031"/>
      <c r="N364" s="717">
        <f t="shared" si="327"/>
        <v>4689.3070000000007</v>
      </c>
      <c r="O364" s="6058"/>
      <c r="P364" s="1094"/>
      <c r="Q364" s="6055"/>
      <c r="R364" s="718">
        <f t="shared" si="329"/>
        <v>4689.3070000000007</v>
      </c>
      <c r="S364" s="6058"/>
      <c r="T364" s="1094"/>
      <c r="U364" s="6055"/>
      <c r="V364" s="718">
        <f t="shared" si="330"/>
        <v>4689.3070000000007</v>
      </c>
      <c r="W364" s="6058"/>
      <c r="X364" s="1094"/>
      <c r="Y364" s="6031"/>
      <c r="Z364" s="6031">
        <f t="shared" si="352"/>
        <v>0</v>
      </c>
      <c r="AA364" s="6052"/>
      <c r="AB364" s="429">
        <f t="shared" si="350"/>
        <v>4689.3070000000007</v>
      </c>
      <c r="AC364" s="6058"/>
      <c r="AD364" s="1094"/>
      <c r="AE364" s="6055"/>
      <c r="AF364" s="718">
        <f t="shared" si="331"/>
        <v>4689.3070000000007</v>
      </c>
      <c r="AG364" s="6058"/>
      <c r="AH364" s="1094"/>
      <c r="AI364" s="6055"/>
      <c r="AJ364" s="718">
        <f t="shared" si="332"/>
        <v>4689.3070000000007</v>
      </c>
      <c r="AK364" s="6058"/>
      <c r="AL364" s="1094"/>
      <c r="AM364" s="6031"/>
      <c r="AN364" s="717">
        <f t="shared" si="353"/>
        <v>0</v>
      </c>
      <c r="AO364" s="6055"/>
      <c r="AP364" s="718">
        <f t="shared" si="351"/>
        <v>4689.3070000000007</v>
      </c>
      <c r="AQ364" s="6058"/>
      <c r="AR364" s="1094"/>
      <c r="AS364" s="6055"/>
      <c r="AT364" s="718">
        <f t="shared" si="333"/>
        <v>4689.3070000000007</v>
      </c>
      <c r="AU364" s="6058"/>
      <c r="AV364" s="1094"/>
      <c r="AW364" s="6055"/>
      <c r="AX364" s="718">
        <f t="shared" si="334"/>
        <v>4689.3070000000007</v>
      </c>
      <c r="AY364" s="6058"/>
      <c r="AZ364" s="1094"/>
      <c r="BA364" s="6031"/>
      <c r="BB364" s="717">
        <f t="shared" si="354"/>
        <v>0</v>
      </c>
      <c r="BC364" s="6052"/>
      <c r="BD364" s="429">
        <f t="shared" si="348"/>
        <v>0</v>
      </c>
      <c r="BE364" s="6055"/>
      <c r="BF364" s="718">
        <f t="shared" si="349"/>
        <v>4689.3070000000007</v>
      </c>
    </row>
    <row r="365" spans="1:58" x14ac:dyDescent="0.3">
      <c r="A365" s="186"/>
      <c r="B365" s="780" t="s">
        <v>845</v>
      </c>
      <c r="C365" s="3167" t="s">
        <v>2051</v>
      </c>
      <c r="D365" s="3193"/>
      <c r="E365" s="6058"/>
      <c r="F365" s="1094"/>
      <c r="G365" s="6058"/>
      <c r="H365" s="1094"/>
      <c r="I365" s="6055"/>
      <c r="J365" s="718">
        <f t="shared" si="328"/>
        <v>0</v>
      </c>
      <c r="K365" s="6058"/>
      <c r="L365" s="1094"/>
      <c r="M365" s="6031"/>
      <c r="N365" s="717">
        <f t="shared" si="327"/>
        <v>0</v>
      </c>
      <c r="O365" s="6058"/>
      <c r="P365" s="1094"/>
      <c r="Q365" s="6055"/>
      <c r="R365" s="718">
        <f t="shared" si="329"/>
        <v>0</v>
      </c>
      <c r="S365" s="6058"/>
      <c r="T365" s="1094"/>
      <c r="U365" s="6055"/>
      <c r="V365" s="718">
        <f t="shared" si="330"/>
        <v>0</v>
      </c>
      <c r="W365" s="6058"/>
      <c r="X365" s="1094"/>
      <c r="Y365" s="6031"/>
      <c r="Z365" s="6031">
        <f t="shared" si="352"/>
        <v>0</v>
      </c>
      <c r="AA365" s="6052"/>
      <c r="AB365" s="429">
        <f t="shared" si="350"/>
        <v>0</v>
      </c>
      <c r="AC365" s="6058"/>
      <c r="AD365" s="1094"/>
      <c r="AE365" s="6055"/>
      <c r="AF365" s="718">
        <f t="shared" si="331"/>
        <v>0</v>
      </c>
      <c r="AG365" s="6058"/>
      <c r="AH365" s="1094"/>
      <c r="AI365" s="6055"/>
      <c r="AJ365" s="718">
        <f t="shared" si="332"/>
        <v>0</v>
      </c>
      <c r="AK365" s="6058"/>
      <c r="AL365" s="1094"/>
      <c r="AM365" s="6031"/>
      <c r="AN365" s="717">
        <f t="shared" si="353"/>
        <v>0</v>
      </c>
      <c r="AO365" s="6055"/>
      <c r="AP365" s="718">
        <f t="shared" si="351"/>
        <v>0</v>
      </c>
      <c r="AQ365" s="6058"/>
      <c r="AR365" s="1094"/>
      <c r="AS365" s="6055"/>
      <c r="AT365" s="718">
        <f t="shared" si="333"/>
        <v>0</v>
      </c>
      <c r="AU365" s="6058"/>
      <c r="AV365" s="1094"/>
      <c r="AW365" s="6055"/>
      <c r="AX365" s="718">
        <f t="shared" si="334"/>
        <v>0</v>
      </c>
      <c r="AY365" s="6058"/>
      <c r="AZ365" s="1094"/>
      <c r="BA365" s="6031"/>
      <c r="BB365" s="717">
        <f t="shared" si="354"/>
        <v>0</v>
      </c>
      <c r="BC365" s="6052"/>
      <c r="BD365" s="429">
        <f t="shared" si="348"/>
        <v>0</v>
      </c>
      <c r="BE365" s="6055"/>
      <c r="BF365" s="718">
        <f t="shared" si="349"/>
        <v>0</v>
      </c>
    </row>
    <row r="366" spans="1:58" x14ac:dyDescent="0.3">
      <c r="A366" s="186"/>
      <c r="B366" s="780" t="s">
        <v>845</v>
      </c>
      <c r="C366" s="3167" t="s">
        <v>1710</v>
      </c>
      <c r="D366" s="3193"/>
      <c r="E366" s="6058"/>
      <c r="F366" s="2348">
        <v>6526.4790000000003</v>
      </c>
      <c r="G366" s="6058"/>
      <c r="H366" s="2348">
        <v>2192.6579999999999</v>
      </c>
      <c r="I366" s="6055"/>
      <c r="J366" s="718">
        <f t="shared" si="328"/>
        <v>8719.1370000000006</v>
      </c>
      <c r="K366" s="6058"/>
      <c r="L366" s="2348"/>
      <c r="M366" s="6031"/>
      <c r="N366" s="717">
        <f t="shared" si="327"/>
        <v>8719.1370000000006</v>
      </c>
      <c r="O366" s="6058"/>
      <c r="P366" s="2348"/>
      <c r="Q366" s="6055"/>
      <c r="R366" s="718">
        <f t="shared" si="329"/>
        <v>8719.1370000000006</v>
      </c>
      <c r="S366" s="6058"/>
      <c r="T366" s="2348"/>
      <c r="U366" s="6055"/>
      <c r="V366" s="718">
        <f t="shared" si="330"/>
        <v>8719.1370000000006</v>
      </c>
      <c r="W366" s="6058"/>
      <c r="X366" s="2348"/>
      <c r="Y366" s="6031"/>
      <c r="Z366" s="6031">
        <f t="shared" si="352"/>
        <v>0</v>
      </c>
      <c r="AA366" s="6052"/>
      <c r="AB366" s="429">
        <f t="shared" si="350"/>
        <v>8719.1370000000006</v>
      </c>
      <c r="AC366" s="6058"/>
      <c r="AD366" s="2348"/>
      <c r="AE366" s="6055"/>
      <c r="AF366" s="718">
        <f t="shared" si="331"/>
        <v>8719.1370000000006</v>
      </c>
      <c r="AG366" s="6058"/>
      <c r="AH366" s="2348"/>
      <c r="AI366" s="6055"/>
      <c r="AJ366" s="718">
        <f t="shared" si="332"/>
        <v>8719.1370000000006</v>
      </c>
      <c r="AK366" s="6058"/>
      <c r="AL366" s="2348"/>
      <c r="AM366" s="6031"/>
      <c r="AN366" s="717">
        <f t="shared" si="353"/>
        <v>0</v>
      </c>
      <c r="AO366" s="6055"/>
      <c r="AP366" s="718">
        <f t="shared" si="351"/>
        <v>8719.1370000000006</v>
      </c>
      <c r="AQ366" s="6058"/>
      <c r="AR366" s="2348"/>
      <c r="AS366" s="6055"/>
      <c r="AT366" s="718">
        <f t="shared" si="333"/>
        <v>8719.1370000000006</v>
      </c>
      <c r="AU366" s="6058"/>
      <c r="AV366" s="2348"/>
      <c r="AW366" s="6055"/>
      <c r="AX366" s="718">
        <f t="shared" si="334"/>
        <v>8719.1370000000006</v>
      </c>
      <c r="AY366" s="6058"/>
      <c r="AZ366" s="2348"/>
      <c r="BA366" s="6031"/>
      <c r="BB366" s="717">
        <f t="shared" si="354"/>
        <v>0</v>
      </c>
      <c r="BC366" s="6052"/>
      <c r="BD366" s="429">
        <f t="shared" si="348"/>
        <v>0</v>
      </c>
      <c r="BE366" s="6055"/>
      <c r="BF366" s="718">
        <f t="shared" si="349"/>
        <v>8719.1370000000006</v>
      </c>
    </row>
    <row r="367" spans="1:58" x14ac:dyDescent="0.3">
      <c r="A367" s="186"/>
      <c r="B367" s="780" t="s">
        <v>845</v>
      </c>
      <c r="C367" s="3167" t="s">
        <v>1713</v>
      </c>
      <c r="D367" s="3193"/>
      <c r="E367" s="6058"/>
      <c r="F367" s="2348">
        <v>246.066</v>
      </c>
      <c r="G367" s="6058"/>
      <c r="H367" s="2348">
        <v>48.417999999999999</v>
      </c>
      <c r="I367" s="6055"/>
      <c r="J367" s="718">
        <f t="shared" si="328"/>
        <v>294.48399999999998</v>
      </c>
      <c r="K367" s="6058"/>
      <c r="L367" s="2348"/>
      <c r="M367" s="6031"/>
      <c r="N367" s="717">
        <f t="shared" ref="N367:N437" si="355">J367+L367</f>
        <v>294.48399999999998</v>
      </c>
      <c r="O367" s="6058"/>
      <c r="P367" s="2348"/>
      <c r="Q367" s="6055"/>
      <c r="R367" s="718">
        <f t="shared" si="329"/>
        <v>294.48399999999998</v>
      </c>
      <c r="S367" s="6058"/>
      <c r="T367" s="2348"/>
      <c r="U367" s="6055"/>
      <c r="V367" s="718">
        <f t="shared" si="330"/>
        <v>294.48399999999998</v>
      </c>
      <c r="W367" s="6058"/>
      <c r="X367" s="2348"/>
      <c r="Y367" s="6031"/>
      <c r="Z367" s="6031">
        <f t="shared" si="352"/>
        <v>0</v>
      </c>
      <c r="AA367" s="6052"/>
      <c r="AB367" s="429">
        <f t="shared" si="350"/>
        <v>294.48399999999998</v>
      </c>
      <c r="AC367" s="6058"/>
      <c r="AD367" s="2348"/>
      <c r="AE367" s="6055"/>
      <c r="AF367" s="718">
        <f t="shared" si="331"/>
        <v>294.48399999999998</v>
      </c>
      <c r="AG367" s="6058"/>
      <c r="AH367" s="2348"/>
      <c r="AI367" s="6055"/>
      <c r="AJ367" s="718">
        <f t="shared" si="332"/>
        <v>294.48399999999998</v>
      </c>
      <c r="AK367" s="6058"/>
      <c r="AL367" s="2348"/>
      <c r="AM367" s="6031"/>
      <c r="AN367" s="717">
        <f t="shared" si="353"/>
        <v>0</v>
      </c>
      <c r="AO367" s="6055"/>
      <c r="AP367" s="718">
        <f t="shared" si="351"/>
        <v>294.48399999999998</v>
      </c>
      <c r="AQ367" s="6058"/>
      <c r="AR367" s="2348"/>
      <c r="AS367" s="6055"/>
      <c r="AT367" s="718">
        <f t="shared" si="333"/>
        <v>294.48399999999998</v>
      </c>
      <c r="AU367" s="6058"/>
      <c r="AV367" s="2348"/>
      <c r="AW367" s="6055"/>
      <c r="AX367" s="718">
        <f t="shared" si="334"/>
        <v>294.48399999999998</v>
      </c>
      <c r="AY367" s="6058"/>
      <c r="AZ367" s="2348"/>
      <c r="BA367" s="6031"/>
      <c r="BB367" s="717">
        <f t="shared" si="354"/>
        <v>0</v>
      </c>
      <c r="BC367" s="6052"/>
      <c r="BD367" s="429">
        <f t="shared" si="348"/>
        <v>0</v>
      </c>
      <c r="BE367" s="6055"/>
      <c r="BF367" s="718">
        <f t="shared" si="349"/>
        <v>294.48399999999998</v>
      </c>
    </row>
    <row r="368" spans="1:58" x14ac:dyDescent="0.3">
      <c r="A368" s="186"/>
      <c r="B368" s="780" t="s">
        <v>845</v>
      </c>
      <c r="C368" s="4797" t="s">
        <v>2100</v>
      </c>
      <c r="D368" s="4807"/>
      <c r="E368" s="6058"/>
      <c r="F368" s="4657"/>
      <c r="G368" s="6058"/>
      <c r="H368" s="4657"/>
      <c r="I368" s="6055"/>
      <c r="J368" s="718">
        <f t="shared" si="328"/>
        <v>0</v>
      </c>
      <c r="K368" s="6058"/>
      <c r="L368" s="4657"/>
      <c r="M368" s="6031"/>
      <c r="N368" s="717">
        <f t="shared" si="355"/>
        <v>0</v>
      </c>
      <c r="O368" s="6058"/>
      <c r="P368" s="4657"/>
      <c r="Q368" s="6055"/>
      <c r="R368" s="718">
        <f t="shared" si="329"/>
        <v>0</v>
      </c>
      <c r="S368" s="6058"/>
      <c r="T368" s="4657"/>
      <c r="U368" s="6055"/>
      <c r="V368" s="718">
        <f t="shared" si="330"/>
        <v>0</v>
      </c>
      <c r="W368" s="6058"/>
      <c r="X368" s="4657"/>
      <c r="Y368" s="6031"/>
      <c r="Z368" s="6031">
        <f t="shared" si="352"/>
        <v>0</v>
      </c>
      <c r="AA368" s="6052"/>
      <c r="AB368" s="429">
        <f t="shared" ref="AB368:AB399" si="356">X368+V368</f>
        <v>0</v>
      </c>
      <c r="AC368" s="6058"/>
      <c r="AD368" s="4657"/>
      <c r="AE368" s="6055"/>
      <c r="AF368" s="718">
        <f t="shared" si="331"/>
        <v>0</v>
      </c>
      <c r="AG368" s="6058"/>
      <c r="AH368" s="4657"/>
      <c r="AI368" s="6055"/>
      <c r="AJ368" s="718">
        <f t="shared" si="332"/>
        <v>0</v>
      </c>
      <c r="AK368" s="6058"/>
      <c r="AL368" s="4657"/>
      <c r="AM368" s="6031"/>
      <c r="AN368" s="717">
        <f t="shared" si="353"/>
        <v>0</v>
      </c>
      <c r="AO368" s="6055"/>
      <c r="AP368" s="718">
        <f t="shared" ref="AP368:AP399" si="357">AL368+AJ368</f>
        <v>0</v>
      </c>
      <c r="AQ368" s="6058"/>
      <c r="AR368" s="4657"/>
      <c r="AS368" s="6055"/>
      <c r="AT368" s="718">
        <f t="shared" si="333"/>
        <v>0</v>
      </c>
      <c r="AU368" s="6058"/>
      <c r="AV368" s="4657"/>
      <c r="AW368" s="6055"/>
      <c r="AX368" s="718">
        <f t="shared" si="334"/>
        <v>0</v>
      </c>
      <c r="AY368" s="6058"/>
      <c r="AZ368" s="4657"/>
      <c r="BA368" s="6031"/>
      <c r="BB368" s="717">
        <f t="shared" si="354"/>
        <v>0</v>
      </c>
      <c r="BC368" s="6052"/>
      <c r="BD368" s="429">
        <f t="shared" si="348"/>
        <v>0</v>
      </c>
      <c r="BE368" s="6055"/>
      <c r="BF368" s="718">
        <f t="shared" si="349"/>
        <v>0</v>
      </c>
    </row>
    <row r="369" spans="1:58" x14ac:dyDescent="0.3">
      <c r="A369" s="186"/>
      <c r="B369" s="780" t="s">
        <v>845</v>
      </c>
      <c r="C369" s="3167" t="s">
        <v>2072</v>
      </c>
      <c r="D369" s="3193"/>
      <c r="E369" s="6058"/>
      <c r="F369" s="1094"/>
      <c r="G369" s="6058"/>
      <c r="H369" s="1094"/>
      <c r="I369" s="6055"/>
      <c r="J369" s="718">
        <f t="shared" si="328"/>
        <v>0</v>
      </c>
      <c r="K369" s="6058"/>
      <c r="L369" s="1094"/>
      <c r="M369" s="6031"/>
      <c r="N369" s="717">
        <f t="shared" si="355"/>
        <v>0</v>
      </c>
      <c r="O369" s="6058"/>
      <c r="P369" s="1094"/>
      <c r="Q369" s="6055"/>
      <c r="R369" s="718">
        <f t="shared" si="329"/>
        <v>0</v>
      </c>
      <c r="S369" s="6058"/>
      <c r="T369" s="1094"/>
      <c r="U369" s="6055"/>
      <c r="V369" s="718">
        <f t="shared" si="330"/>
        <v>0</v>
      </c>
      <c r="W369" s="6058"/>
      <c r="X369" s="1094"/>
      <c r="Y369" s="6031"/>
      <c r="Z369" s="6031">
        <f t="shared" si="352"/>
        <v>0</v>
      </c>
      <c r="AA369" s="6052"/>
      <c r="AB369" s="429">
        <f t="shared" si="356"/>
        <v>0</v>
      </c>
      <c r="AC369" s="6058"/>
      <c r="AD369" s="1094"/>
      <c r="AE369" s="6055"/>
      <c r="AF369" s="718">
        <f t="shared" si="331"/>
        <v>0</v>
      </c>
      <c r="AG369" s="6058"/>
      <c r="AH369" s="1094"/>
      <c r="AI369" s="6055"/>
      <c r="AJ369" s="718">
        <f t="shared" si="332"/>
        <v>0</v>
      </c>
      <c r="AK369" s="6058"/>
      <c r="AL369" s="1094"/>
      <c r="AM369" s="6031"/>
      <c r="AN369" s="717">
        <f t="shared" si="353"/>
        <v>0</v>
      </c>
      <c r="AO369" s="6055"/>
      <c r="AP369" s="718">
        <f t="shared" si="357"/>
        <v>0</v>
      </c>
      <c r="AQ369" s="6058"/>
      <c r="AR369" s="1094"/>
      <c r="AS369" s="6055"/>
      <c r="AT369" s="718">
        <f t="shared" si="333"/>
        <v>0</v>
      </c>
      <c r="AU369" s="6058"/>
      <c r="AV369" s="1094"/>
      <c r="AW369" s="6055"/>
      <c r="AX369" s="718">
        <f t="shared" si="334"/>
        <v>0</v>
      </c>
      <c r="AY369" s="6058"/>
      <c r="AZ369" s="1094"/>
      <c r="BA369" s="6031"/>
      <c r="BB369" s="717">
        <f t="shared" si="354"/>
        <v>0</v>
      </c>
      <c r="BC369" s="6052"/>
      <c r="BD369" s="429">
        <f t="shared" si="348"/>
        <v>0</v>
      </c>
      <c r="BE369" s="6055"/>
      <c r="BF369" s="718">
        <f t="shared" si="349"/>
        <v>0</v>
      </c>
    </row>
    <row r="370" spans="1:58" ht="15" thickBot="1" x14ac:dyDescent="0.35">
      <c r="A370" s="186"/>
      <c r="B370" s="2566" t="s">
        <v>845</v>
      </c>
      <c r="C370" s="3139" t="s">
        <v>1923</v>
      </c>
      <c r="D370" s="3194"/>
      <c r="E370" s="6058"/>
      <c r="F370" s="1094"/>
      <c r="G370" s="6058"/>
      <c r="H370" s="1094"/>
      <c r="I370" s="6055"/>
      <c r="J370" s="718">
        <f t="shared" si="328"/>
        <v>0</v>
      </c>
      <c r="K370" s="6058"/>
      <c r="L370" s="1094"/>
      <c r="M370" s="6031"/>
      <c r="N370" s="717">
        <f t="shared" si="355"/>
        <v>0</v>
      </c>
      <c r="O370" s="6058"/>
      <c r="P370" s="1094"/>
      <c r="Q370" s="6055"/>
      <c r="R370" s="718">
        <f t="shared" si="329"/>
        <v>0</v>
      </c>
      <c r="S370" s="6058"/>
      <c r="T370" s="1094"/>
      <c r="U370" s="6055"/>
      <c r="V370" s="718">
        <f t="shared" si="330"/>
        <v>0</v>
      </c>
      <c r="W370" s="6058"/>
      <c r="X370" s="1094"/>
      <c r="Y370" s="6031"/>
      <c r="Z370" s="6031">
        <f t="shared" si="352"/>
        <v>0</v>
      </c>
      <c r="AA370" s="6052"/>
      <c r="AB370" s="429">
        <f t="shared" si="356"/>
        <v>0</v>
      </c>
      <c r="AC370" s="6058"/>
      <c r="AD370" s="1094"/>
      <c r="AE370" s="6055"/>
      <c r="AF370" s="718">
        <f t="shared" si="331"/>
        <v>0</v>
      </c>
      <c r="AG370" s="6058"/>
      <c r="AH370" s="1094"/>
      <c r="AI370" s="6055"/>
      <c r="AJ370" s="718">
        <f t="shared" si="332"/>
        <v>0</v>
      </c>
      <c r="AK370" s="6058"/>
      <c r="AL370" s="1094"/>
      <c r="AM370" s="6031"/>
      <c r="AN370" s="717">
        <f t="shared" si="353"/>
        <v>0</v>
      </c>
      <c r="AO370" s="6055"/>
      <c r="AP370" s="718">
        <f t="shared" si="357"/>
        <v>0</v>
      </c>
      <c r="AQ370" s="6058"/>
      <c r="AR370" s="1094"/>
      <c r="AS370" s="6055"/>
      <c r="AT370" s="718">
        <f t="shared" si="333"/>
        <v>0</v>
      </c>
      <c r="AU370" s="6058"/>
      <c r="AV370" s="1094"/>
      <c r="AW370" s="6055"/>
      <c r="AX370" s="718">
        <f t="shared" si="334"/>
        <v>0</v>
      </c>
      <c r="AY370" s="6058"/>
      <c r="AZ370" s="1094"/>
      <c r="BA370" s="6031"/>
      <c r="BB370" s="717">
        <f t="shared" si="354"/>
        <v>0</v>
      </c>
      <c r="BC370" s="6052"/>
      <c r="BD370" s="429">
        <f t="shared" si="348"/>
        <v>0</v>
      </c>
      <c r="BE370" s="6055"/>
      <c r="BF370" s="718">
        <f t="shared" si="349"/>
        <v>0</v>
      </c>
    </row>
    <row r="371" spans="1:58" x14ac:dyDescent="0.3">
      <c r="A371" s="186"/>
      <c r="B371" s="4479" t="s">
        <v>845</v>
      </c>
      <c r="C371" s="3150" t="s">
        <v>2052</v>
      </c>
      <c r="D371" s="3519"/>
      <c r="E371" s="6058"/>
      <c r="F371" s="4513"/>
      <c r="G371" s="6058"/>
      <c r="H371" s="4513"/>
      <c r="I371" s="6055"/>
      <c r="J371" s="718">
        <f t="shared" si="328"/>
        <v>0</v>
      </c>
      <c r="K371" s="6058"/>
      <c r="L371" s="4513"/>
      <c r="M371" s="6031"/>
      <c r="N371" s="717">
        <f t="shared" si="355"/>
        <v>0</v>
      </c>
      <c r="O371" s="6058"/>
      <c r="P371" s="4513"/>
      <c r="Q371" s="6055"/>
      <c r="R371" s="718">
        <f t="shared" si="329"/>
        <v>0</v>
      </c>
      <c r="S371" s="6058"/>
      <c r="T371" s="4513"/>
      <c r="U371" s="6055"/>
      <c r="V371" s="718">
        <f t="shared" si="330"/>
        <v>0</v>
      </c>
      <c r="W371" s="6058"/>
      <c r="X371" s="4513"/>
      <c r="Y371" s="6031"/>
      <c r="Z371" s="6031">
        <f t="shared" si="352"/>
        <v>0</v>
      </c>
      <c r="AA371" s="6052"/>
      <c r="AB371" s="429">
        <f t="shared" si="356"/>
        <v>0</v>
      </c>
      <c r="AC371" s="6058"/>
      <c r="AD371" s="4513"/>
      <c r="AE371" s="6055"/>
      <c r="AF371" s="718">
        <f t="shared" si="331"/>
        <v>0</v>
      </c>
      <c r="AG371" s="6058"/>
      <c r="AH371" s="4513"/>
      <c r="AI371" s="6055"/>
      <c r="AJ371" s="718">
        <f t="shared" si="332"/>
        <v>0</v>
      </c>
      <c r="AK371" s="6058"/>
      <c r="AL371" s="4513"/>
      <c r="AM371" s="6031"/>
      <c r="AN371" s="717">
        <f t="shared" si="353"/>
        <v>0</v>
      </c>
      <c r="AO371" s="6055"/>
      <c r="AP371" s="718">
        <f t="shared" si="357"/>
        <v>0</v>
      </c>
      <c r="AQ371" s="6058"/>
      <c r="AR371" s="4513"/>
      <c r="AS371" s="6055"/>
      <c r="AT371" s="718">
        <f t="shared" si="333"/>
        <v>0</v>
      </c>
      <c r="AU371" s="6058"/>
      <c r="AV371" s="4513"/>
      <c r="AW371" s="6055"/>
      <c r="AX371" s="718">
        <f t="shared" si="334"/>
        <v>0</v>
      </c>
      <c r="AY371" s="6058"/>
      <c r="AZ371" s="4513"/>
      <c r="BA371" s="6031"/>
      <c r="BB371" s="717">
        <f t="shared" si="354"/>
        <v>0</v>
      </c>
      <c r="BC371" s="6052"/>
      <c r="BD371" s="429">
        <f t="shared" si="348"/>
        <v>0</v>
      </c>
      <c r="BE371" s="6055"/>
      <c r="BF371" s="718">
        <f t="shared" si="349"/>
        <v>0</v>
      </c>
    </row>
    <row r="372" spans="1:58" x14ac:dyDescent="0.3">
      <c r="A372" s="186"/>
      <c r="B372" s="3186" t="s">
        <v>847</v>
      </c>
      <c r="C372" s="3163" t="s">
        <v>870</v>
      </c>
      <c r="D372" s="3145"/>
      <c r="E372" s="6058"/>
      <c r="F372" s="1094"/>
      <c r="G372" s="6058"/>
      <c r="H372" s="1094"/>
      <c r="I372" s="6055"/>
      <c r="J372" s="718">
        <f t="shared" si="328"/>
        <v>0</v>
      </c>
      <c r="K372" s="6058"/>
      <c r="L372" s="1094"/>
      <c r="M372" s="6031"/>
      <c r="N372" s="717">
        <f t="shared" si="355"/>
        <v>0</v>
      </c>
      <c r="O372" s="6058"/>
      <c r="P372" s="1094"/>
      <c r="Q372" s="6055"/>
      <c r="R372" s="718">
        <f t="shared" si="329"/>
        <v>0</v>
      </c>
      <c r="S372" s="6058"/>
      <c r="T372" s="1094"/>
      <c r="U372" s="6055"/>
      <c r="V372" s="718">
        <f t="shared" si="330"/>
        <v>0</v>
      </c>
      <c r="W372" s="6058"/>
      <c r="X372" s="1094"/>
      <c r="Y372" s="6031"/>
      <c r="Z372" s="6031">
        <f t="shared" si="352"/>
        <v>0</v>
      </c>
      <c r="AA372" s="6052"/>
      <c r="AB372" s="429">
        <f t="shared" si="356"/>
        <v>0</v>
      </c>
      <c r="AC372" s="6058"/>
      <c r="AD372" s="1094"/>
      <c r="AE372" s="6055"/>
      <c r="AF372" s="718">
        <f t="shared" si="331"/>
        <v>0</v>
      </c>
      <c r="AG372" s="6058"/>
      <c r="AH372" s="1094"/>
      <c r="AI372" s="6055"/>
      <c r="AJ372" s="718">
        <f t="shared" si="332"/>
        <v>0</v>
      </c>
      <c r="AK372" s="6058"/>
      <c r="AL372" s="1094"/>
      <c r="AM372" s="6031"/>
      <c r="AN372" s="717">
        <f t="shared" si="353"/>
        <v>0</v>
      </c>
      <c r="AO372" s="6055"/>
      <c r="AP372" s="718">
        <f t="shared" si="357"/>
        <v>0</v>
      </c>
      <c r="AQ372" s="6058"/>
      <c r="AR372" s="1094"/>
      <c r="AS372" s="6055"/>
      <c r="AT372" s="718">
        <f t="shared" si="333"/>
        <v>0</v>
      </c>
      <c r="AU372" s="6058"/>
      <c r="AV372" s="1094"/>
      <c r="AW372" s="6055"/>
      <c r="AX372" s="718">
        <f t="shared" si="334"/>
        <v>0</v>
      </c>
      <c r="AY372" s="6058"/>
      <c r="AZ372" s="1094"/>
      <c r="BA372" s="6031"/>
      <c r="BB372" s="717">
        <f t="shared" si="354"/>
        <v>0</v>
      </c>
      <c r="BC372" s="6052"/>
      <c r="BD372" s="429">
        <f t="shared" si="348"/>
        <v>0</v>
      </c>
      <c r="BE372" s="6055"/>
      <c r="BF372" s="718">
        <f t="shared" si="349"/>
        <v>0</v>
      </c>
    </row>
    <row r="373" spans="1:58" x14ac:dyDescent="0.3">
      <c r="A373" s="186"/>
      <c r="B373" s="3195" t="s">
        <v>847</v>
      </c>
      <c r="C373" s="3166" t="s">
        <v>1711</v>
      </c>
      <c r="D373" s="3167"/>
      <c r="E373" s="6058"/>
      <c r="F373" s="2348">
        <v>439.91</v>
      </c>
      <c r="G373" s="6058"/>
      <c r="H373" s="2348">
        <v>15.17</v>
      </c>
      <c r="I373" s="6055"/>
      <c r="J373" s="718">
        <f t="shared" si="328"/>
        <v>455.08000000000004</v>
      </c>
      <c r="K373" s="6058"/>
      <c r="L373" s="2348"/>
      <c r="M373" s="6031"/>
      <c r="N373" s="717">
        <f t="shared" si="355"/>
        <v>455.08000000000004</v>
      </c>
      <c r="O373" s="6058"/>
      <c r="P373" s="2348"/>
      <c r="Q373" s="6055"/>
      <c r="R373" s="718">
        <f t="shared" si="329"/>
        <v>455.08000000000004</v>
      </c>
      <c r="S373" s="6058"/>
      <c r="T373" s="2348"/>
      <c r="U373" s="6055"/>
      <c r="V373" s="718">
        <f t="shared" si="330"/>
        <v>455.08000000000004</v>
      </c>
      <c r="W373" s="6058"/>
      <c r="X373" s="2348"/>
      <c r="Y373" s="6031"/>
      <c r="Z373" s="6031">
        <f t="shared" si="352"/>
        <v>0</v>
      </c>
      <c r="AA373" s="6052"/>
      <c r="AB373" s="429">
        <f t="shared" si="356"/>
        <v>455.08000000000004</v>
      </c>
      <c r="AC373" s="6058"/>
      <c r="AD373" s="2348"/>
      <c r="AE373" s="6055"/>
      <c r="AF373" s="718">
        <f t="shared" si="331"/>
        <v>455.08000000000004</v>
      </c>
      <c r="AG373" s="6058"/>
      <c r="AH373" s="2348"/>
      <c r="AI373" s="6055"/>
      <c r="AJ373" s="718">
        <f t="shared" si="332"/>
        <v>455.08000000000004</v>
      </c>
      <c r="AK373" s="6058"/>
      <c r="AL373" s="2348"/>
      <c r="AM373" s="6031"/>
      <c r="AN373" s="717">
        <f t="shared" si="353"/>
        <v>0</v>
      </c>
      <c r="AO373" s="6055"/>
      <c r="AP373" s="718">
        <f t="shared" si="357"/>
        <v>455.08000000000004</v>
      </c>
      <c r="AQ373" s="6058"/>
      <c r="AR373" s="2348"/>
      <c r="AS373" s="6055"/>
      <c r="AT373" s="718">
        <f t="shared" si="333"/>
        <v>455.08000000000004</v>
      </c>
      <c r="AU373" s="6058"/>
      <c r="AV373" s="2348"/>
      <c r="AW373" s="6055"/>
      <c r="AX373" s="718">
        <f t="shared" si="334"/>
        <v>455.08000000000004</v>
      </c>
      <c r="AY373" s="6058"/>
      <c r="AZ373" s="2348"/>
      <c r="BA373" s="6031"/>
      <c r="BB373" s="717">
        <f t="shared" si="354"/>
        <v>0</v>
      </c>
      <c r="BC373" s="6052"/>
      <c r="BD373" s="429">
        <f t="shared" si="348"/>
        <v>0</v>
      </c>
      <c r="BE373" s="6055"/>
      <c r="BF373" s="718">
        <f t="shared" si="349"/>
        <v>455.08000000000004</v>
      </c>
    </row>
    <row r="374" spans="1:58" s="88" customFormat="1" x14ac:dyDescent="0.3">
      <c r="A374" s="186"/>
      <c r="B374" s="3195" t="s">
        <v>847</v>
      </c>
      <c r="C374" s="3166" t="s">
        <v>1714</v>
      </c>
      <c r="D374" s="3167"/>
      <c r="E374" s="6058"/>
      <c r="F374" s="2348">
        <v>181.50200000000001</v>
      </c>
      <c r="G374" s="6058"/>
      <c r="H374" s="2348"/>
      <c r="I374" s="6055"/>
      <c r="J374" s="718">
        <f t="shared" si="328"/>
        <v>181.50200000000001</v>
      </c>
      <c r="K374" s="6058"/>
      <c r="L374" s="2348"/>
      <c r="M374" s="6031"/>
      <c r="N374" s="717">
        <f t="shared" si="355"/>
        <v>181.50200000000001</v>
      </c>
      <c r="O374" s="6058"/>
      <c r="P374" s="2348"/>
      <c r="Q374" s="6055"/>
      <c r="R374" s="718">
        <f t="shared" si="329"/>
        <v>181.50200000000001</v>
      </c>
      <c r="S374" s="6058"/>
      <c r="T374" s="2348"/>
      <c r="U374" s="6055"/>
      <c r="V374" s="718">
        <f t="shared" si="330"/>
        <v>181.50200000000001</v>
      </c>
      <c r="W374" s="6058"/>
      <c r="X374" s="2348"/>
      <c r="Y374" s="6031"/>
      <c r="Z374" s="6031">
        <f t="shared" si="352"/>
        <v>0</v>
      </c>
      <c r="AA374" s="6052"/>
      <c r="AB374" s="429">
        <f t="shared" si="356"/>
        <v>181.50200000000001</v>
      </c>
      <c r="AC374" s="6058"/>
      <c r="AD374" s="2348"/>
      <c r="AE374" s="6055"/>
      <c r="AF374" s="718">
        <f t="shared" si="331"/>
        <v>181.50200000000001</v>
      </c>
      <c r="AG374" s="6058"/>
      <c r="AH374" s="2348"/>
      <c r="AI374" s="6055"/>
      <c r="AJ374" s="718">
        <f t="shared" si="332"/>
        <v>181.50200000000001</v>
      </c>
      <c r="AK374" s="6058"/>
      <c r="AL374" s="2348"/>
      <c r="AM374" s="6031"/>
      <c r="AN374" s="717">
        <f t="shared" si="353"/>
        <v>0</v>
      </c>
      <c r="AO374" s="6055"/>
      <c r="AP374" s="718">
        <f t="shared" si="357"/>
        <v>181.50200000000001</v>
      </c>
      <c r="AQ374" s="6058"/>
      <c r="AR374" s="2348"/>
      <c r="AS374" s="6055"/>
      <c r="AT374" s="718">
        <f t="shared" si="333"/>
        <v>181.50200000000001</v>
      </c>
      <c r="AU374" s="6058"/>
      <c r="AV374" s="2348"/>
      <c r="AW374" s="6055"/>
      <c r="AX374" s="718">
        <f t="shared" si="334"/>
        <v>181.50200000000001</v>
      </c>
      <c r="AY374" s="6058"/>
      <c r="AZ374" s="2348"/>
      <c r="BA374" s="6031"/>
      <c r="BB374" s="717">
        <f t="shared" si="354"/>
        <v>0</v>
      </c>
      <c r="BC374" s="6052"/>
      <c r="BD374" s="429">
        <f t="shared" si="348"/>
        <v>0</v>
      </c>
      <c r="BE374" s="6055"/>
      <c r="BF374" s="718">
        <f t="shared" si="349"/>
        <v>181.50200000000001</v>
      </c>
    </row>
    <row r="375" spans="1:58" x14ac:dyDescent="0.3">
      <c r="A375" s="186"/>
      <c r="B375" s="3181" t="s">
        <v>847</v>
      </c>
      <c r="C375" s="3157" t="s">
        <v>2071</v>
      </c>
      <c r="D375" s="3137"/>
      <c r="E375" s="6058"/>
      <c r="F375" s="1094">
        <v>10.879</v>
      </c>
      <c r="G375" s="6058"/>
      <c r="H375" s="1094"/>
      <c r="I375" s="6055"/>
      <c r="J375" s="718">
        <f t="shared" si="328"/>
        <v>10.879</v>
      </c>
      <c r="K375" s="6058"/>
      <c r="L375" s="1094"/>
      <c r="M375" s="6031"/>
      <c r="N375" s="717">
        <f t="shared" si="355"/>
        <v>10.879</v>
      </c>
      <c r="O375" s="6058"/>
      <c r="P375" s="1094"/>
      <c r="Q375" s="6055"/>
      <c r="R375" s="718">
        <f t="shared" si="329"/>
        <v>10.879</v>
      </c>
      <c r="S375" s="6058"/>
      <c r="T375" s="1094"/>
      <c r="U375" s="6055"/>
      <c r="V375" s="718">
        <f t="shared" si="330"/>
        <v>10.879</v>
      </c>
      <c r="W375" s="6058"/>
      <c r="X375" s="1094"/>
      <c r="Y375" s="6031"/>
      <c r="Z375" s="6031">
        <f t="shared" si="352"/>
        <v>0</v>
      </c>
      <c r="AA375" s="6052"/>
      <c r="AB375" s="429">
        <f t="shared" si="356"/>
        <v>10.879</v>
      </c>
      <c r="AC375" s="6058"/>
      <c r="AD375" s="1094"/>
      <c r="AE375" s="6055"/>
      <c r="AF375" s="718">
        <f t="shared" si="331"/>
        <v>10.879</v>
      </c>
      <c r="AG375" s="6058"/>
      <c r="AH375" s="1094"/>
      <c r="AI375" s="6055"/>
      <c r="AJ375" s="718">
        <f t="shared" si="332"/>
        <v>10.879</v>
      </c>
      <c r="AK375" s="6058"/>
      <c r="AL375" s="1094"/>
      <c r="AM375" s="6031"/>
      <c r="AN375" s="717">
        <f t="shared" si="353"/>
        <v>0</v>
      </c>
      <c r="AO375" s="6055"/>
      <c r="AP375" s="718">
        <f t="shared" si="357"/>
        <v>10.879</v>
      </c>
      <c r="AQ375" s="6058"/>
      <c r="AR375" s="1094"/>
      <c r="AS375" s="6055"/>
      <c r="AT375" s="718">
        <f t="shared" si="333"/>
        <v>10.879</v>
      </c>
      <c r="AU375" s="6058"/>
      <c r="AV375" s="1094"/>
      <c r="AW375" s="6055"/>
      <c r="AX375" s="718">
        <f t="shared" si="334"/>
        <v>10.879</v>
      </c>
      <c r="AY375" s="6058"/>
      <c r="AZ375" s="1094"/>
      <c r="BA375" s="6031"/>
      <c r="BB375" s="717">
        <f t="shared" si="354"/>
        <v>0</v>
      </c>
      <c r="BC375" s="6052"/>
      <c r="BD375" s="429">
        <f t="shared" si="348"/>
        <v>0</v>
      </c>
      <c r="BE375" s="6055"/>
      <c r="BF375" s="718">
        <f t="shared" si="349"/>
        <v>10.879</v>
      </c>
    </row>
    <row r="376" spans="1:58" x14ac:dyDescent="0.3">
      <c r="A376" s="186"/>
      <c r="B376" s="3181" t="s">
        <v>846</v>
      </c>
      <c r="C376" s="3157" t="s">
        <v>1973</v>
      </c>
      <c r="D376" s="3137"/>
      <c r="E376" s="6058"/>
      <c r="F376" s="1094"/>
      <c r="G376" s="6058"/>
      <c r="H376" s="1094"/>
      <c r="I376" s="6055"/>
      <c r="J376" s="718">
        <f t="shared" si="328"/>
        <v>0</v>
      </c>
      <c r="K376" s="6058"/>
      <c r="L376" s="1094"/>
      <c r="M376" s="6031"/>
      <c r="N376" s="717">
        <f t="shared" si="355"/>
        <v>0</v>
      </c>
      <c r="O376" s="6058"/>
      <c r="P376" s="1094"/>
      <c r="Q376" s="6055"/>
      <c r="R376" s="718">
        <f t="shared" si="329"/>
        <v>0</v>
      </c>
      <c r="S376" s="6058"/>
      <c r="T376" s="1094"/>
      <c r="U376" s="6055"/>
      <c r="V376" s="718">
        <f t="shared" si="330"/>
        <v>0</v>
      </c>
      <c r="W376" s="6058"/>
      <c r="X376" s="1094"/>
      <c r="Y376" s="6031"/>
      <c r="Z376" s="6031">
        <f t="shared" si="352"/>
        <v>0</v>
      </c>
      <c r="AA376" s="6052"/>
      <c r="AB376" s="429">
        <f t="shared" si="356"/>
        <v>0</v>
      </c>
      <c r="AC376" s="6058"/>
      <c r="AD376" s="1094"/>
      <c r="AE376" s="6055"/>
      <c r="AF376" s="718">
        <f t="shared" si="331"/>
        <v>0</v>
      </c>
      <c r="AG376" s="6058"/>
      <c r="AH376" s="1094"/>
      <c r="AI376" s="6055"/>
      <c r="AJ376" s="718">
        <f t="shared" si="332"/>
        <v>0</v>
      </c>
      <c r="AK376" s="6058"/>
      <c r="AL376" s="1094"/>
      <c r="AM376" s="6031"/>
      <c r="AN376" s="717">
        <f t="shared" si="353"/>
        <v>0</v>
      </c>
      <c r="AO376" s="6055"/>
      <c r="AP376" s="718">
        <f t="shared" si="357"/>
        <v>0</v>
      </c>
      <c r="AQ376" s="6058"/>
      <c r="AR376" s="1094"/>
      <c r="AS376" s="6055"/>
      <c r="AT376" s="718">
        <f t="shared" si="333"/>
        <v>0</v>
      </c>
      <c r="AU376" s="6058"/>
      <c r="AV376" s="1094"/>
      <c r="AW376" s="6055"/>
      <c r="AX376" s="718">
        <f t="shared" si="334"/>
        <v>0</v>
      </c>
      <c r="AY376" s="6058"/>
      <c r="AZ376" s="1094"/>
      <c r="BA376" s="6031"/>
      <c r="BB376" s="717">
        <f t="shared" si="354"/>
        <v>0</v>
      </c>
      <c r="BC376" s="6052"/>
      <c r="BD376" s="429">
        <f t="shared" si="348"/>
        <v>0</v>
      </c>
      <c r="BE376" s="6055"/>
      <c r="BF376" s="718">
        <f t="shared" si="349"/>
        <v>0</v>
      </c>
    </row>
    <row r="377" spans="1:58" x14ac:dyDescent="0.3">
      <c r="A377" s="186"/>
      <c r="B377" s="3181" t="s">
        <v>846</v>
      </c>
      <c r="C377" s="3157" t="s">
        <v>1623</v>
      </c>
      <c r="D377" s="3137"/>
      <c r="E377" s="6058"/>
      <c r="F377" s="1094">
        <v>547.18600000000004</v>
      </c>
      <c r="G377" s="6058"/>
      <c r="H377" s="1094">
        <v>62.165999999999997</v>
      </c>
      <c r="I377" s="6055"/>
      <c r="J377" s="718">
        <f t="shared" si="328"/>
        <v>609.35200000000009</v>
      </c>
      <c r="K377" s="6058"/>
      <c r="L377" s="1094"/>
      <c r="M377" s="6031"/>
      <c r="N377" s="717">
        <f t="shared" si="355"/>
        <v>609.35200000000009</v>
      </c>
      <c r="O377" s="6058"/>
      <c r="P377" s="1094"/>
      <c r="Q377" s="6055"/>
      <c r="R377" s="718">
        <f t="shared" si="329"/>
        <v>609.35200000000009</v>
      </c>
      <c r="S377" s="6058"/>
      <c r="T377" s="1094"/>
      <c r="U377" s="6055"/>
      <c r="V377" s="718">
        <f t="shared" si="330"/>
        <v>609.35200000000009</v>
      </c>
      <c r="W377" s="6058"/>
      <c r="X377" s="1094"/>
      <c r="Y377" s="6031"/>
      <c r="Z377" s="6031">
        <f t="shared" si="352"/>
        <v>0</v>
      </c>
      <c r="AA377" s="6052"/>
      <c r="AB377" s="429">
        <f t="shared" si="356"/>
        <v>609.35200000000009</v>
      </c>
      <c r="AC377" s="6058"/>
      <c r="AD377" s="1094"/>
      <c r="AE377" s="6055"/>
      <c r="AF377" s="718">
        <f t="shared" si="331"/>
        <v>609.35200000000009</v>
      </c>
      <c r="AG377" s="6058"/>
      <c r="AH377" s="1094"/>
      <c r="AI377" s="6055"/>
      <c r="AJ377" s="718">
        <f t="shared" si="332"/>
        <v>609.35200000000009</v>
      </c>
      <c r="AK377" s="6058"/>
      <c r="AL377" s="1094"/>
      <c r="AM377" s="6031"/>
      <c r="AN377" s="717">
        <f t="shared" si="353"/>
        <v>0</v>
      </c>
      <c r="AO377" s="6055"/>
      <c r="AP377" s="718">
        <f t="shared" si="357"/>
        <v>609.35200000000009</v>
      </c>
      <c r="AQ377" s="6058"/>
      <c r="AR377" s="1094"/>
      <c r="AS377" s="6055"/>
      <c r="AT377" s="718">
        <f t="shared" si="333"/>
        <v>609.35200000000009</v>
      </c>
      <c r="AU377" s="6058"/>
      <c r="AV377" s="1094"/>
      <c r="AW377" s="6055"/>
      <c r="AX377" s="718">
        <f t="shared" si="334"/>
        <v>609.35200000000009</v>
      </c>
      <c r="AY377" s="6058"/>
      <c r="AZ377" s="1094"/>
      <c r="BA377" s="6031"/>
      <c r="BB377" s="717">
        <f t="shared" si="354"/>
        <v>0</v>
      </c>
      <c r="BC377" s="6052"/>
      <c r="BD377" s="429">
        <f t="shared" si="348"/>
        <v>0</v>
      </c>
      <c r="BE377" s="6055"/>
      <c r="BF377" s="718">
        <f t="shared" si="349"/>
        <v>609.35200000000009</v>
      </c>
    </row>
    <row r="378" spans="1:58" x14ac:dyDescent="0.3">
      <c r="A378" s="186"/>
      <c r="B378" s="3195" t="s">
        <v>846</v>
      </c>
      <c r="C378" s="3166" t="s">
        <v>1715</v>
      </c>
      <c r="D378" s="3167"/>
      <c r="E378" s="6058"/>
      <c r="F378" s="2348">
        <v>128.85900000000001</v>
      </c>
      <c r="G378" s="6058"/>
      <c r="H378" s="2348"/>
      <c r="I378" s="6055"/>
      <c r="J378" s="718">
        <f t="shared" si="328"/>
        <v>128.85900000000001</v>
      </c>
      <c r="K378" s="6058"/>
      <c r="L378" s="2348"/>
      <c r="M378" s="6031"/>
      <c r="N378" s="717">
        <f t="shared" si="355"/>
        <v>128.85900000000001</v>
      </c>
      <c r="O378" s="6058"/>
      <c r="P378" s="2348"/>
      <c r="Q378" s="6055"/>
      <c r="R378" s="718">
        <f t="shared" si="329"/>
        <v>128.85900000000001</v>
      </c>
      <c r="S378" s="6058"/>
      <c r="T378" s="2348"/>
      <c r="U378" s="6055"/>
      <c r="V378" s="718">
        <f t="shared" si="330"/>
        <v>128.85900000000001</v>
      </c>
      <c r="W378" s="6058"/>
      <c r="X378" s="2348"/>
      <c r="Y378" s="6031"/>
      <c r="Z378" s="6031">
        <f t="shared" si="352"/>
        <v>0</v>
      </c>
      <c r="AA378" s="6052"/>
      <c r="AB378" s="429">
        <f t="shared" si="356"/>
        <v>128.85900000000001</v>
      </c>
      <c r="AC378" s="6058"/>
      <c r="AD378" s="2348"/>
      <c r="AE378" s="6055"/>
      <c r="AF378" s="718">
        <f t="shared" si="331"/>
        <v>128.85900000000001</v>
      </c>
      <c r="AG378" s="6058"/>
      <c r="AH378" s="2348"/>
      <c r="AI378" s="6055"/>
      <c r="AJ378" s="718">
        <f t="shared" si="332"/>
        <v>128.85900000000001</v>
      </c>
      <c r="AK378" s="6058"/>
      <c r="AL378" s="2348"/>
      <c r="AM378" s="6031"/>
      <c r="AN378" s="717">
        <f t="shared" si="353"/>
        <v>0</v>
      </c>
      <c r="AO378" s="6055"/>
      <c r="AP378" s="718">
        <f t="shared" si="357"/>
        <v>128.85900000000001</v>
      </c>
      <c r="AQ378" s="6058"/>
      <c r="AR378" s="2348"/>
      <c r="AS378" s="6055"/>
      <c r="AT378" s="718">
        <f t="shared" si="333"/>
        <v>128.85900000000001</v>
      </c>
      <c r="AU378" s="6058"/>
      <c r="AV378" s="2348"/>
      <c r="AW378" s="6055"/>
      <c r="AX378" s="718">
        <f t="shared" si="334"/>
        <v>128.85900000000001</v>
      </c>
      <c r="AY378" s="6058"/>
      <c r="AZ378" s="2348"/>
      <c r="BA378" s="6031"/>
      <c r="BB378" s="717">
        <f t="shared" si="354"/>
        <v>0</v>
      </c>
      <c r="BC378" s="6052"/>
      <c r="BD378" s="429">
        <f t="shared" si="348"/>
        <v>0</v>
      </c>
      <c r="BE378" s="6055"/>
      <c r="BF378" s="718">
        <f t="shared" si="349"/>
        <v>128.85900000000001</v>
      </c>
    </row>
    <row r="379" spans="1:58" x14ac:dyDescent="0.3">
      <c r="A379" s="186"/>
      <c r="B379" s="3181" t="s">
        <v>847</v>
      </c>
      <c r="C379" s="3157" t="s">
        <v>854</v>
      </c>
      <c r="D379" s="3137"/>
      <c r="E379" s="6058"/>
      <c r="F379" s="1094"/>
      <c r="G379" s="6058"/>
      <c r="H379" s="1094"/>
      <c r="I379" s="6055"/>
      <c r="J379" s="718">
        <f t="shared" si="328"/>
        <v>0</v>
      </c>
      <c r="K379" s="6058"/>
      <c r="L379" s="1094"/>
      <c r="M379" s="6031"/>
      <c r="N379" s="717">
        <f t="shared" si="355"/>
        <v>0</v>
      </c>
      <c r="O379" s="6058"/>
      <c r="P379" s="1094"/>
      <c r="Q379" s="6055"/>
      <c r="R379" s="718">
        <f t="shared" si="329"/>
        <v>0</v>
      </c>
      <c r="S379" s="6058"/>
      <c r="T379" s="1094"/>
      <c r="U379" s="6055"/>
      <c r="V379" s="718">
        <f t="shared" si="330"/>
        <v>0</v>
      </c>
      <c r="W379" s="6058"/>
      <c r="X379" s="1094"/>
      <c r="Y379" s="6031"/>
      <c r="Z379" s="6031">
        <f t="shared" si="352"/>
        <v>0</v>
      </c>
      <c r="AA379" s="6052"/>
      <c r="AB379" s="429">
        <f t="shared" si="356"/>
        <v>0</v>
      </c>
      <c r="AC379" s="6058"/>
      <c r="AD379" s="1094"/>
      <c r="AE379" s="6055"/>
      <c r="AF379" s="718">
        <f t="shared" si="331"/>
        <v>0</v>
      </c>
      <c r="AG379" s="6058"/>
      <c r="AH379" s="1094"/>
      <c r="AI379" s="6055"/>
      <c r="AJ379" s="718">
        <f t="shared" si="332"/>
        <v>0</v>
      </c>
      <c r="AK379" s="6058"/>
      <c r="AL379" s="1094"/>
      <c r="AM379" s="6031"/>
      <c r="AN379" s="717">
        <f t="shared" si="353"/>
        <v>0</v>
      </c>
      <c r="AO379" s="6055"/>
      <c r="AP379" s="718">
        <f t="shared" si="357"/>
        <v>0</v>
      </c>
      <c r="AQ379" s="6058"/>
      <c r="AR379" s="1094"/>
      <c r="AS379" s="6055"/>
      <c r="AT379" s="718">
        <f t="shared" si="333"/>
        <v>0</v>
      </c>
      <c r="AU379" s="6058"/>
      <c r="AV379" s="1094"/>
      <c r="AW379" s="6055"/>
      <c r="AX379" s="718">
        <f t="shared" si="334"/>
        <v>0</v>
      </c>
      <c r="AY379" s="6058"/>
      <c r="AZ379" s="1094"/>
      <c r="BA379" s="6031"/>
      <c r="BB379" s="717">
        <f t="shared" si="354"/>
        <v>0</v>
      </c>
      <c r="BC379" s="6052"/>
      <c r="BD379" s="429">
        <f t="shared" si="348"/>
        <v>0</v>
      </c>
      <c r="BE379" s="6055"/>
      <c r="BF379" s="718">
        <f t="shared" si="349"/>
        <v>0</v>
      </c>
    </row>
    <row r="380" spans="1:58" x14ac:dyDescent="0.3">
      <c r="A380" s="186"/>
      <c r="B380" s="3181" t="s">
        <v>846</v>
      </c>
      <c r="C380" s="3157" t="s">
        <v>2164</v>
      </c>
      <c r="D380" s="4929"/>
      <c r="E380" s="6058"/>
      <c r="F380" s="4923"/>
      <c r="G380" s="6058"/>
      <c r="H380" s="4923"/>
      <c r="I380" s="6055"/>
      <c r="J380" s="718">
        <f t="shared" si="328"/>
        <v>0</v>
      </c>
      <c r="K380" s="6058"/>
      <c r="L380" s="4923"/>
      <c r="M380" s="6031"/>
      <c r="N380" s="717">
        <f t="shared" si="355"/>
        <v>0</v>
      </c>
      <c r="O380" s="6058"/>
      <c r="P380" s="4923"/>
      <c r="Q380" s="6055"/>
      <c r="R380" s="718">
        <f t="shared" si="329"/>
        <v>0</v>
      </c>
      <c r="S380" s="6058"/>
      <c r="T380" s="4923"/>
      <c r="U380" s="6055"/>
      <c r="V380" s="718">
        <f t="shared" si="330"/>
        <v>0</v>
      </c>
      <c r="W380" s="6058"/>
      <c r="X380" s="4923"/>
      <c r="Y380" s="6031"/>
      <c r="Z380" s="6031">
        <f t="shared" si="352"/>
        <v>0</v>
      </c>
      <c r="AA380" s="6052"/>
      <c r="AB380" s="429">
        <f t="shared" si="356"/>
        <v>0</v>
      </c>
      <c r="AC380" s="6058"/>
      <c r="AD380" s="4923"/>
      <c r="AE380" s="6055"/>
      <c r="AF380" s="718">
        <f t="shared" si="331"/>
        <v>0</v>
      </c>
      <c r="AG380" s="6058"/>
      <c r="AH380" s="4923"/>
      <c r="AI380" s="6055"/>
      <c r="AJ380" s="718">
        <f t="shared" si="332"/>
        <v>0</v>
      </c>
      <c r="AK380" s="6058"/>
      <c r="AL380" s="4923"/>
      <c r="AM380" s="6031"/>
      <c r="AN380" s="717">
        <f t="shared" si="353"/>
        <v>0</v>
      </c>
      <c r="AO380" s="6055"/>
      <c r="AP380" s="718">
        <f t="shared" si="357"/>
        <v>0</v>
      </c>
      <c r="AQ380" s="6058"/>
      <c r="AR380" s="4923"/>
      <c r="AS380" s="6055"/>
      <c r="AT380" s="718">
        <f t="shared" si="333"/>
        <v>0</v>
      </c>
      <c r="AU380" s="6058"/>
      <c r="AV380" s="4923"/>
      <c r="AW380" s="6055"/>
      <c r="AX380" s="718">
        <f t="shared" si="334"/>
        <v>0</v>
      </c>
      <c r="AY380" s="6058"/>
      <c r="AZ380" s="4923"/>
      <c r="BA380" s="6031"/>
      <c r="BB380" s="717">
        <f t="shared" si="354"/>
        <v>0</v>
      </c>
      <c r="BC380" s="6052"/>
      <c r="BD380" s="429">
        <f t="shared" si="348"/>
        <v>0</v>
      </c>
      <c r="BE380" s="6055"/>
      <c r="BF380" s="718">
        <f t="shared" si="349"/>
        <v>0</v>
      </c>
    </row>
    <row r="381" spans="1:58" x14ac:dyDescent="0.3">
      <c r="A381" s="186"/>
      <c r="B381" s="3181" t="s">
        <v>846</v>
      </c>
      <c r="C381" s="3157" t="s">
        <v>1396</v>
      </c>
      <c r="D381" s="3137"/>
      <c r="E381" s="6058"/>
      <c r="F381" s="1094"/>
      <c r="G381" s="6058"/>
      <c r="H381" s="1094"/>
      <c r="I381" s="6055"/>
      <c r="J381" s="718">
        <f t="shared" si="328"/>
        <v>0</v>
      </c>
      <c r="K381" s="6058"/>
      <c r="L381" s="1094"/>
      <c r="M381" s="6031"/>
      <c r="N381" s="717">
        <f t="shared" si="355"/>
        <v>0</v>
      </c>
      <c r="O381" s="6058"/>
      <c r="P381" s="1094"/>
      <c r="Q381" s="6055"/>
      <c r="R381" s="718">
        <f t="shared" si="329"/>
        <v>0</v>
      </c>
      <c r="S381" s="6058"/>
      <c r="T381" s="1094"/>
      <c r="U381" s="6055"/>
      <c r="V381" s="718">
        <f t="shared" si="330"/>
        <v>0</v>
      </c>
      <c r="W381" s="6058"/>
      <c r="X381" s="1094"/>
      <c r="Y381" s="6031"/>
      <c r="Z381" s="6031">
        <f t="shared" si="352"/>
        <v>0</v>
      </c>
      <c r="AA381" s="6052"/>
      <c r="AB381" s="429">
        <f t="shared" si="356"/>
        <v>0</v>
      </c>
      <c r="AC381" s="6058"/>
      <c r="AD381" s="1094"/>
      <c r="AE381" s="6055"/>
      <c r="AF381" s="718">
        <f t="shared" si="331"/>
        <v>0</v>
      </c>
      <c r="AG381" s="6058"/>
      <c r="AH381" s="1094"/>
      <c r="AI381" s="6055"/>
      <c r="AJ381" s="718">
        <f t="shared" si="332"/>
        <v>0</v>
      </c>
      <c r="AK381" s="6058"/>
      <c r="AL381" s="1094"/>
      <c r="AM381" s="6031"/>
      <c r="AN381" s="717">
        <f t="shared" si="353"/>
        <v>0</v>
      </c>
      <c r="AO381" s="6055"/>
      <c r="AP381" s="718">
        <f t="shared" si="357"/>
        <v>0</v>
      </c>
      <c r="AQ381" s="6058"/>
      <c r="AR381" s="1094"/>
      <c r="AS381" s="6055"/>
      <c r="AT381" s="718">
        <f t="shared" si="333"/>
        <v>0</v>
      </c>
      <c r="AU381" s="6058"/>
      <c r="AV381" s="1094"/>
      <c r="AW381" s="6055"/>
      <c r="AX381" s="718">
        <f t="shared" si="334"/>
        <v>0</v>
      </c>
      <c r="AY381" s="6058"/>
      <c r="AZ381" s="1094"/>
      <c r="BA381" s="6031"/>
      <c r="BB381" s="717">
        <f t="shared" si="354"/>
        <v>0</v>
      </c>
      <c r="BC381" s="6052"/>
      <c r="BD381" s="429">
        <f t="shared" si="348"/>
        <v>0</v>
      </c>
      <c r="BE381" s="6055"/>
      <c r="BF381" s="718">
        <f t="shared" si="349"/>
        <v>0</v>
      </c>
    </row>
    <row r="382" spans="1:58" x14ac:dyDescent="0.3">
      <c r="A382" s="186"/>
      <c r="B382" s="3195" t="s">
        <v>846</v>
      </c>
      <c r="C382" s="3166" t="s">
        <v>1704</v>
      </c>
      <c r="D382" s="3167"/>
      <c r="E382" s="6058"/>
      <c r="F382" s="2348">
        <v>44.832999999999998</v>
      </c>
      <c r="G382" s="6058"/>
      <c r="H382" s="2348">
        <v>14.785</v>
      </c>
      <c r="I382" s="6055"/>
      <c r="J382" s="718">
        <f t="shared" si="328"/>
        <v>59.617999999999995</v>
      </c>
      <c r="K382" s="6058"/>
      <c r="L382" s="2348"/>
      <c r="M382" s="6031"/>
      <c r="N382" s="717">
        <f t="shared" si="355"/>
        <v>59.617999999999995</v>
      </c>
      <c r="O382" s="6058"/>
      <c r="P382" s="2348"/>
      <c r="Q382" s="6055"/>
      <c r="R382" s="718">
        <f t="shared" si="329"/>
        <v>59.617999999999995</v>
      </c>
      <c r="S382" s="6058"/>
      <c r="T382" s="2348"/>
      <c r="U382" s="6055"/>
      <c r="V382" s="718">
        <f t="shared" si="330"/>
        <v>59.617999999999995</v>
      </c>
      <c r="W382" s="6058"/>
      <c r="X382" s="2348"/>
      <c r="Y382" s="6031"/>
      <c r="Z382" s="6031">
        <f t="shared" si="352"/>
        <v>0</v>
      </c>
      <c r="AA382" s="6052"/>
      <c r="AB382" s="429">
        <f t="shared" si="356"/>
        <v>59.617999999999995</v>
      </c>
      <c r="AC382" s="6058"/>
      <c r="AD382" s="2348"/>
      <c r="AE382" s="6055"/>
      <c r="AF382" s="718">
        <f t="shared" si="331"/>
        <v>59.617999999999995</v>
      </c>
      <c r="AG382" s="6058"/>
      <c r="AH382" s="2348"/>
      <c r="AI382" s="6055"/>
      <c r="AJ382" s="718">
        <f t="shared" si="332"/>
        <v>59.617999999999995</v>
      </c>
      <c r="AK382" s="6058"/>
      <c r="AL382" s="2348"/>
      <c r="AM382" s="6031"/>
      <c r="AN382" s="717">
        <f t="shared" si="353"/>
        <v>0</v>
      </c>
      <c r="AO382" s="6055"/>
      <c r="AP382" s="718">
        <f t="shared" si="357"/>
        <v>59.617999999999995</v>
      </c>
      <c r="AQ382" s="6058"/>
      <c r="AR382" s="2348"/>
      <c r="AS382" s="6055"/>
      <c r="AT382" s="718">
        <f t="shared" si="333"/>
        <v>59.617999999999995</v>
      </c>
      <c r="AU382" s="6058"/>
      <c r="AV382" s="2348"/>
      <c r="AW382" s="6055"/>
      <c r="AX382" s="718">
        <f t="shared" si="334"/>
        <v>59.617999999999995</v>
      </c>
      <c r="AY382" s="6058"/>
      <c r="AZ382" s="2348"/>
      <c r="BA382" s="6031"/>
      <c r="BB382" s="717">
        <f t="shared" si="354"/>
        <v>0</v>
      </c>
      <c r="BC382" s="6052"/>
      <c r="BD382" s="429">
        <f t="shared" si="348"/>
        <v>0</v>
      </c>
      <c r="BE382" s="6055"/>
      <c r="BF382" s="718">
        <f t="shared" si="349"/>
        <v>59.617999999999995</v>
      </c>
    </row>
    <row r="383" spans="1:58" ht="15" thickBot="1" x14ac:dyDescent="0.35">
      <c r="A383" s="186"/>
      <c r="B383" s="3182" t="s">
        <v>846</v>
      </c>
      <c r="C383" s="3183" t="s">
        <v>1716</v>
      </c>
      <c r="D383" s="3191"/>
      <c r="E383" s="6058"/>
      <c r="F383" s="2348"/>
      <c r="G383" s="6058"/>
      <c r="H383" s="2348"/>
      <c r="I383" s="6055"/>
      <c r="J383" s="718">
        <f t="shared" si="328"/>
        <v>0</v>
      </c>
      <c r="K383" s="6058"/>
      <c r="L383" s="2348"/>
      <c r="M383" s="6031"/>
      <c r="N383" s="717">
        <f t="shared" si="355"/>
        <v>0</v>
      </c>
      <c r="O383" s="6058"/>
      <c r="P383" s="2348"/>
      <c r="Q383" s="6055"/>
      <c r="R383" s="718">
        <f t="shared" si="329"/>
        <v>0</v>
      </c>
      <c r="S383" s="6058"/>
      <c r="T383" s="2348"/>
      <c r="U383" s="6055"/>
      <c r="V383" s="718">
        <f t="shared" si="330"/>
        <v>0</v>
      </c>
      <c r="W383" s="6058"/>
      <c r="X383" s="2348"/>
      <c r="Y383" s="6031"/>
      <c r="Z383" s="6031">
        <f t="shared" si="352"/>
        <v>0</v>
      </c>
      <c r="AA383" s="6052"/>
      <c r="AB383" s="429">
        <f t="shared" si="356"/>
        <v>0</v>
      </c>
      <c r="AC383" s="6058"/>
      <c r="AD383" s="2348"/>
      <c r="AE383" s="6055"/>
      <c r="AF383" s="718">
        <f t="shared" si="331"/>
        <v>0</v>
      </c>
      <c r="AG383" s="6058"/>
      <c r="AH383" s="2348"/>
      <c r="AI383" s="6055"/>
      <c r="AJ383" s="718">
        <f t="shared" si="332"/>
        <v>0</v>
      </c>
      <c r="AK383" s="6058"/>
      <c r="AL383" s="2348"/>
      <c r="AM383" s="6031"/>
      <c r="AN383" s="717">
        <f t="shared" si="353"/>
        <v>0</v>
      </c>
      <c r="AO383" s="6055"/>
      <c r="AP383" s="718">
        <f t="shared" si="357"/>
        <v>0</v>
      </c>
      <c r="AQ383" s="6058"/>
      <c r="AR383" s="2348"/>
      <c r="AS383" s="6055"/>
      <c r="AT383" s="718">
        <f t="shared" si="333"/>
        <v>0</v>
      </c>
      <c r="AU383" s="6058"/>
      <c r="AV383" s="2348"/>
      <c r="AW383" s="6055"/>
      <c r="AX383" s="718">
        <f t="shared" si="334"/>
        <v>0</v>
      </c>
      <c r="AY383" s="6058"/>
      <c r="AZ383" s="2348"/>
      <c r="BA383" s="6031"/>
      <c r="BB383" s="717">
        <f t="shared" si="354"/>
        <v>0</v>
      </c>
      <c r="BC383" s="6052"/>
      <c r="BD383" s="429">
        <f t="shared" si="348"/>
        <v>0</v>
      </c>
      <c r="BE383" s="6055"/>
      <c r="BF383" s="718">
        <f t="shared" si="349"/>
        <v>0</v>
      </c>
    </row>
    <row r="384" spans="1:58" x14ac:dyDescent="0.3">
      <c r="A384" s="186"/>
      <c r="B384" s="2562" t="s">
        <v>857</v>
      </c>
      <c r="C384" s="3135" t="s">
        <v>1774</v>
      </c>
      <c r="D384" s="3192"/>
      <c r="E384" s="6058"/>
      <c r="F384" s="1094">
        <v>215.357</v>
      </c>
      <c r="G384" s="6058"/>
      <c r="H384" s="1094">
        <v>77.094999999999999</v>
      </c>
      <c r="I384" s="6055"/>
      <c r="J384" s="718">
        <f t="shared" si="328"/>
        <v>292.452</v>
      </c>
      <c r="K384" s="6058"/>
      <c r="L384" s="1094"/>
      <c r="M384" s="6031"/>
      <c r="N384" s="717">
        <f t="shared" si="355"/>
        <v>292.452</v>
      </c>
      <c r="O384" s="6058"/>
      <c r="P384" s="1094"/>
      <c r="Q384" s="6055"/>
      <c r="R384" s="718">
        <f t="shared" si="329"/>
        <v>292.452</v>
      </c>
      <c r="S384" s="6058"/>
      <c r="T384" s="1094"/>
      <c r="U384" s="6055"/>
      <c r="V384" s="718">
        <f t="shared" si="330"/>
        <v>292.452</v>
      </c>
      <c r="W384" s="6058"/>
      <c r="X384" s="1094"/>
      <c r="Y384" s="6031"/>
      <c r="Z384" s="6031">
        <f t="shared" si="352"/>
        <v>0</v>
      </c>
      <c r="AA384" s="6052"/>
      <c r="AB384" s="429">
        <f t="shared" si="356"/>
        <v>292.452</v>
      </c>
      <c r="AC384" s="6058"/>
      <c r="AD384" s="1094"/>
      <c r="AE384" s="6055"/>
      <c r="AF384" s="718">
        <f t="shared" si="331"/>
        <v>292.452</v>
      </c>
      <c r="AG384" s="6058"/>
      <c r="AH384" s="1094"/>
      <c r="AI384" s="6055"/>
      <c r="AJ384" s="718">
        <f t="shared" si="332"/>
        <v>292.452</v>
      </c>
      <c r="AK384" s="6058"/>
      <c r="AL384" s="1094"/>
      <c r="AM384" s="6031"/>
      <c r="AN384" s="717">
        <f t="shared" si="353"/>
        <v>0</v>
      </c>
      <c r="AO384" s="6055"/>
      <c r="AP384" s="718">
        <f t="shared" si="357"/>
        <v>292.452</v>
      </c>
      <c r="AQ384" s="6058"/>
      <c r="AR384" s="1094"/>
      <c r="AS384" s="6055"/>
      <c r="AT384" s="718">
        <f t="shared" si="333"/>
        <v>292.452</v>
      </c>
      <c r="AU384" s="6058"/>
      <c r="AV384" s="1094"/>
      <c r="AW384" s="6055"/>
      <c r="AX384" s="718">
        <f t="shared" si="334"/>
        <v>292.452</v>
      </c>
      <c r="AY384" s="6058"/>
      <c r="AZ384" s="1094"/>
      <c r="BA384" s="6031"/>
      <c r="BB384" s="717">
        <f t="shared" si="354"/>
        <v>0</v>
      </c>
      <c r="BC384" s="6052"/>
      <c r="BD384" s="429">
        <f t="shared" si="348"/>
        <v>0</v>
      </c>
      <c r="BE384" s="6055"/>
      <c r="BF384" s="718">
        <f t="shared" si="349"/>
        <v>292.452</v>
      </c>
    </row>
    <row r="385" spans="1:58" x14ac:dyDescent="0.3">
      <c r="A385" s="186"/>
      <c r="B385" s="780" t="s">
        <v>857</v>
      </c>
      <c r="C385" s="3167" t="s">
        <v>1336</v>
      </c>
      <c r="D385" s="3193"/>
      <c r="E385" s="6058"/>
      <c r="F385" s="1094"/>
      <c r="G385" s="6058"/>
      <c r="H385" s="1094"/>
      <c r="I385" s="6055"/>
      <c r="J385" s="718">
        <f t="shared" si="328"/>
        <v>0</v>
      </c>
      <c r="K385" s="6058"/>
      <c r="L385" s="1094"/>
      <c r="M385" s="6031"/>
      <c r="N385" s="717">
        <f t="shared" si="355"/>
        <v>0</v>
      </c>
      <c r="O385" s="6058"/>
      <c r="P385" s="1094"/>
      <c r="Q385" s="6055"/>
      <c r="R385" s="718">
        <f t="shared" si="329"/>
        <v>0</v>
      </c>
      <c r="S385" s="6058"/>
      <c r="T385" s="1094"/>
      <c r="U385" s="6055"/>
      <c r="V385" s="718">
        <f t="shared" si="330"/>
        <v>0</v>
      </c>
      <c r="W385" s="6058"/>
      <c r="X385" s="1094"/>
      <c r="Y385" s="6031"/>
      <c r="Z385" s="6031">
        <f t="shared" si="352"/>
        <v>0</v>
      </c>
      <c r="AA385" s="6052"/>
      <c r="AB385" s="429">
        <f t="shared" si="356"/>
        <v>0</v>
      </c>
      <c r="AC385" s="6058"/>
      <c r="AD385" s="1094"/>
      <c r="AE385" s="6055"/>
      <c r="AF385" s="718">
        <f t="shared" si="331"/>
        <v>0</v>
      </c>
      <c r="AG385" s="6058"/>
      <c r="AH385" s="1094"/>
      <c r="AI385" s="6055"/>
      <c r="AJ385" s="718">
        <f t="shared" si="332"/>
        <v>0</v>
      </c>
      <c r="AK385" s="6058"/>
      <c r="AL385" s="1094"/>
      <c r="AM385" s="6031"/>
      <c r="AN385" s="717">
        <f t="shared" si="353"/>
        <v>0</v>
      </c>
      <c r="AO385" s="6055"/>
      <c r="AP385" s="718">
        <f t="shared" si="357"/>
        <v>0</v>
      </c>
      <c r="AQ385" s="6058"/>
      <c r="AR385" s="1094"/>
      <c r="AS385" s="6055"/>
      <c r="AT385" s="718">
        <f t="shared" si="333"/>
        <v>0</v>
      </c>
      <c r="AU385" s="6058"/>
      <c r="AV385" s="1094"/>
      <c r="AW385" s="6055"/>
      <c r="AX385" s="718">
        <f t="shared" si="334"/>
        <v>0</v>
      </c>
      <c r="AY385" s="6058"/>
      <c r="AZ385" s="1094"/>
      <c r="BA385" s="6031"/>
      <c r="BB385" s="717">
        <f t="shared" si="354"/>
        <v>0</v>
      </c>
      <c r="BC385" s="6052"/>
      <c r="BD385" s="429">
        <f t="shared" si="348"/>
        <v>0</v>
      </c>
      <c r="BE385" s="6055"/>
      <c r="BF385" s="718">
        <f t="shared" si="349"/>
        <v>0</v>
      </c>
    </row>
    <row r="386" spans="1:58" x14ac:dyDescent="0.3">
      <c r="A386" s="186"/>
      <c r="B386" s="780" t="s">
        <v>848</v>
      </c>
      <c r="C386" s="3167" t="s">
        <v>1528</v>
      </c>
      <c r="D386" s="3193"/>
      <c r="E386" s="6058"/>
      <c r="F386" s="1094"/>
      <c r="G386" s="6058"/>
      <c r="H386" s="1094"/>
      <c r="I386" s="6055"/>
      <c r="J386" s="718">
        <f t="shared" si="328"/>
        <v>0</v>
      </c>
      <c r="K386" s="6058"/>
      <c r="L386" s="1094"/>
      <c r="M386" s="6031"/>
      <c r="N386" s="717">
        <f t="shared" si="355"/>
        <v>0</v>
      </c>
      <c r="O386" s="6058"/>
      <c r="P386" s="1094"/>
      <c r="Q386" s="6055"/>
      <c r="R386" s="718">
        <f t="shared" si="329"/>
        <v>0</v>
      </c>
      <c r="S386" s="6058"/>
      <c r="T386" s="1094"/>
      <c r="U386" s="6055"/>
      <c r="V386" s="718">
        <f t="shared" si="330"/>
        <v>0</v>
      </c>
      <c r="W386" s="6058"/>
      <c r="X386" s="1094"/>
      <c r="Y386" s="6031"/>
      <c r="Z386" s="6031">
        <f t="shared" si="352"/>
        <v>0</v>
      </c>
      <c r="AA386" s="6052"/>
      <c r="AB386" s="429">
        <f t="shared" si="356"/>
        <v>0</v>
      </c>
      <c r="AC386" s="6058"/>
      <c r="AD386" s="1094"/>
      <c r="AE386" s="6055"/>
      <c r="AF386" s="718">
        <f t="shared" si="331"/>
        <v>0</v>
      </c>
      <c r="AG386" s="6058"/>
      <c r="AH386" s="1094"/>
      <c r="AI386" s="6055"/>
      <c r="AJ386" s="718">
        <f t="shared" si="332"/>
        <v>0</v>
      </c>
      <c r="AK386" s="6058"/>
      <c r="AL386" s="1094"/>
      <c r="AM386" s="6031"/>
      <c r="AN386" s="717">
        <f t="shared" si="353"/>
        <v>0</v>
      </c>
      <c r="AO386" s="6055"/>
      <c r="AP386" s="718">
        <f t="shared" si="357"/>
        <v>0</v>
      </c>
      <c r="AQ386" s="6058"/>
      <c r="AR386" s="1094"/>
      <c r="AS386" s="6055"/>
      <c r="AT386" s="718">
        <f t="shared" si="333"/>
        <v>0</v>
      </c>
      <c r="AU386" s="6058"/>
      <c r="AV386" s="1094"/>
      <c r="AW386" s="6055"/>
      <c r="AX386" s="718">
        <f t="shared" si="334"/>
        <v>0</v>
      </c>
      <c r="AY386" s="6058"/>
      <c r="AZ386" s="1094"/>
      <c r="BA386" s="6031"/>
      <c r="BB386" s="717">
        <f t="shared" si="354"/>
        <v>0</v>
      </c>
      <c r="BC386" s="6052"/>
      <c r="BD386" s="429">
        <f t="shared" si="348"/>
        <v>0</v>
      </c>
      <c r="BE386" s="6055"/>
      <c r="BF386" s="718">
        <f t="shared" si="349"/>
        <v>0</v>
      </c>
    </row>
    <row r="387" spans="1:58" x14ac:dyDescent="0.3">
      <c r="A387" s="186"/>
      <c r="B387" s="3196" t="s">
        <v>848</v>
      </c>
      <c r="C387" s="3167" t="s">
        <v>855</v>
      </c>
      <c r="D387" s="3193"/>
      <c r="E387" s="6058"/>
      <c r="F387" s="1094"/>
      <c r="G387" s="6058"/>
      <c r="H387" s="1094"/>
      <c r="I387" s="6055"/>
      <c r="J387" s="718">
        <f t="shared" si="328"/>
        <v>0</v>
      </c>
      <c r="K387" s="6058"/>
      <c r="L387" s="1094"/>
      <c r="M387" s="6031"/>
      <c r="N387" s="717">
        <f t="shared" si="355"/>
        <v>0</v>
      </c>
      <c r="O387" s="6058"/>
      <c r="P387" s="1094"/>
      <c r="Q387" s="6055"/>
      <c r="R387" s="718">
        <f t="shared" si="329"/>
        <v>0</v>
      </c>
      <c r="S387" s="6058"/>
      <c r="T387" s="1094"/>
      <c r="U387" s="6055"/>
      <c r="V387" s="718">
        <f t="shared" si="330"/>
        <v>0</v>
      </c>
      <c r="W387" s="6058"/>
      <c r="X387" s="1094"/>
      <c r="Y387" s="6031"/>
      <c r="Z387" s="6031">
        <f t="shared" si="352"/>
        <v>0</v>
      </c>
      <c r="AA387" s="6052"/>
      <c r="AB387" s="429">
        <f t="shared" si="356"/>
        <v>0</v>
      </c>
      <c r="AC387" s="6058"/>
      <c r="AD387" s="1094"/>
      <c r="AE387" s="6055"/>
      <c r="AF387" s="718">
        <f t="shared" si="331"/>
        <v>0</v>
      </c>
      <c r="AG387" s="6058"/>
      <c r="AH387" s="1094"/>
      <c r="AI387" s="6055"/>
      <c r="AJ387" s="718">
        <f t="shared" si="332"/>
        <v>0</v>
      </c>
      <c r="AK387" s="6058"/>
      <c r="AL387" s="1094"/>
      <c r="AM387" s="6031"/>
      <c r="AN387" s="717">
        <f t="shared" si="353"/>
        <v>0</v>
      </c>
      <c r="AO387" s="6055"/>
      <c r="AP387" s="718">
        <f t="shared" si="357"/>
        <v>0</v>
      </c>
      <c r="AQ387" s="6058"/>
      <c r="AR387" s="1094"/>
      <c r="AS387" s="6055"/>
      <c r="AT387" s="718">
        <f t="shared" si="333"/>
        <v>0</v>
      </c>
      <c r="AU387" s="6058"/>
      <c r="AV387" s="1094"/>
      <c r="AW387" s="6055"/>
      <c r="AX387" s="718">
        <f t="shared" si="334"/>
        <v>0</v>
      </c>
      <c r="AY387" s="6058"/>
      <c r="AZ387" s="1094"/>
      <c r="BA387" s="6031"/>
      <c r="BB387" s="717">
        <f t="shared" si="354"/>
        <v>0</v>
      </c>
      <c r="BC387" s="6052"/>
      <c r="BD387" s="429">
        <f t="shared" si="348"/>
        <v>0</v>
      </c>
      <c r="BE387" s="6055"/>
      <c r="BF387" s="718">
        <f t="shared" si="349"/>
        <v>0</v>
      </c>
    </row>
    <row r="388" spans="1:58" x14ac:dyDescent="0.3">
      <c r="A388" s="186"/>
      <c r="B388" s="3196" t="s">
        <v>848</v>
      </c>
      <c r="C388" s="3167" t="s">
        <v>1836</v>
      </c>
      <c r="D388" s="3193"/>
      <c r="E388" s="6058"/>
      <c r="F388" s="1094"/>
      <c r="G388" s="6058"/>
      <c r="H388" s="1094"/>
      <c r="I388" s="6055"/>
      <c r="J388" s="718">
        <f t="shared" si="328"/>
        <v>0</v>
      </c>
      <c r="K388" s="6058"/>
      <c r="L388" s="1094"/>
      <c r="M388" s="6031"/>
      <c r="N388" s="717">
        <f t="shared" si="355"/>
        <v>0</v>
      </c>
      <c r="O388" s="6058"/>
      <c r="P388" s="1094"/>
      <c r="Q388" s="6055"/>
      <c r="R388" s="718">
        <f t="shared" si="329"/>
        <v>0</v>
      </c>
      <c r="S388" s="6058"/>
      <c r="T388" s="1094"/>
      <c r="U388" s="6055"/>
      <c r="V388" s="718">
        <f t="shared" si="330"/>
        <v>0</v>
      </c>
      <c r="W388" s="6058"/>
      <c r="X388" s="1094"/>
      <c r="Y388" s="6031"/>
      <c r="Z388" s="6031">
        <f t="shared" si="352"/>
        <v>0</v>
      </c>
      <c r="AA388" s="6052"/>
      <c r="AB388" s="429">
        <f t="shared" si="356"/>
        <v>0</v>
      </c>
      <c r="AC388" s="6058"/>
      <c r="AD388" s="1094"/>
      <c r="AE388" s="6055"/>
      <c r="AF388" s="718">
        <f t="shared" si="331"/>
        <v>0</v>
      </c>
      <c r="AG388" s="6058"/>
      <c r="AH388" s="1094"/>
      <c r="AI388" s="6055"/>
      <c r="AJ388" s="718">
        <f t="shared" si="332"/>
        <v>0</v>
      </c>
      <c r="AK388" s="6058"/>
      <c r="AL388" s="1094"/>
      <c r="AM388" s="6031"/>
      <c r="AN388" s="717">
        <f t="shared" si="353"/>
        <v>0</v>
      </c>
      <c r="AO388" s="6055"/>
      <c r="AP388" s="718">
        <f t="shared" si="357"/>
        <v>0</v>
      </c>
      <c r="AQ388" s="6058"/>
      <c r="AR388" s="1094"/>
      <c r="AS388" s="6055"/>
      <c r="AT388" s="718">
        <f t="shared" si="333"/>
        <v>0</v>
      </c>
      <c r="AU388" s="6058"/>
      <c r="AV388" s="1094"/>
      <c r="AW388" s="6055"/>
      <c r="AX388" s="718">
        <f t="shared" si="334"/>
        <v>0</v>
      </c>
      <c r="AY388" s="6058"/>
      <c r="AZ388" s="1094"/>
      <c r="BA388" s="6031"/>
      <c r="BB388" s="717">
        <f t="shared" si="354"/>
        <v>0</v>
      </c>
      <c r="BC388" s="6052"/>
      <c r="BD388" s="429">
        <f t="shared" si="348"/>
        <v>0</v>
      </c>
      <c r="BE388" s="6055"/>
      <c r="BF388" s="718">
        <f t="shared" si="349"/>
        <v>0</v>
      </c>
    </row>
    <row r="389" spans="1:58" x14ac:dyDescent="0.3">
      <c r="A389" s="186"/>
      <c r="B389" s="3196" t="s">
        <v>848</v>
      </c>
      <c r="C389" s="3167" t="s">
        <v>875</v>
      </c>
      <c r="D389" s="3193"/>
      <c r="E389" s="6058"/>
      <c r="F389" s="1094">
        <v>118.98</v>
      </c>
      <c r="G389" s="6058"/>
      <c r="H389" s="1094"/>
      <c r="I389" s="6055"/>
      <c r="J389" s="718">
        <f t="shared" ref="J389:J444" si="358">F389+H389</f>
        <v>118.98</v>
      </c>
      <c r="K389" s="6058"/>
      <c r="L389" s="1094"/>
      <c r="M389" s="6031"/>
      <c r="N389" s="717">
        <f t="shared" si="355"/>
        <v>118.98</v>
      </c>
      <c r="O389" s="6058"/>
      <c r="P389" s="1094"/>
      <c r="Q389" s="6055"/>
      <c r="R389" s="718">
        <f t="shared" si="329"/>
        <v>118.98</v>
      </c>
      <c r="S389" s="6058"/>
      <c r="T389" s="1094"/>
      <c r="U389" s="6055"/>
      <c r="V389" s="718">
        <f t="shared" si="330"/>
        <v>118.98</v>
      </c>
      <c r="W389" s="6058"/>
      <c r="X389" s="1094"/>
      <c r="Y389" s="6031"/>
      <c r="Z389" s="6031">
        <f t="shared" si="352"/>
        <v>0</v>
      </c>
      <c r="AA389" s="6052"/>
      <c r="AB389" s="429">
        <f t="shared" si="356"/>
        <v>118.98</v>
      </c>
      <c r="AC389" s="6058"/>
      <c r="AD389" s="1094"/>
      <c r="AE389" s="6055"/>
      <c r="AF389" s="718">
        <f t="shared" si="331"/>
        <v>118.98</v>
      </c>
      <c r="AG389" s="6058"/>
      <c r="AH389" s="1094"/>
      <c r="AI389" s="6055"/>
      <c r="AJ389" s="718">
        <f t="shared" si="332"/>
        <v>118.98</v>
      </c>
      <c r="AK389" s="6058"/>
      <c r="AL389" s="1094"/>
      <c r="AM389" s="6031"/>
      <c r="AN389" s="717">
        <f t="shared" si="353"/>
        <v>0</v>
      </c>
      <c r="AO389" s="6055"/>
      <c r="AP389" s="718">
        <f t="shared" si="357"/>
        <v>118.98</v>
      </c>
      <c r="AQ389" s="6058"/>
      <c r="AR389" s="1094"/>
      <c r="AS389" s="6055"/>
      <c r="AT389" s="718">
        <f t="shared" si="333"/>
        <v>118.98</v>
      </c>
      <c r="AU389" s="6058"/>
      <c r="AV389" s="1094"/>
      <c r="AW389" s="6055"/>
      <c r="AX389" s="718">
        <f t="shared" si="334"/>
        <v>118.98</v>
      </c>
      <c r="AY389" s="6058"/>
      <c r="AZ389" s="1094"/>
      <c r="BA389" s="6031"/>
      <c r="BB389" s="717">
        <f t="shared" si="354"/>
        <v>0</v>
      </c>
      <c r="BC389" s="6052"/>
      <c r="BD389" s="429">
        <f t="shared" si="348"/>
        <v>0</v>
      </c>
      <c r="BE389" s="6055"/>
      <c r="BF389" s="718">
        <f t="shared" si="349"/>
        <v>118.98</v>
      </c>
    </row>
    <row r="390" spans="1:58" x14ac:dyDescent="0.3">
      <c r="A390" s="186"/>
      <c r="B390" s="3196" t="s">
        <v>848</v>
      </c>
      <c r="C390" s="3167" t="s">
        <v>1712</v>
      </c>
      <c r="D390" s="3193"/>
      <c r="E390" s="6058"/>
      <c r="F390" s="2348">
        <v>3168.0070000000001</v>
      </c>
      <c r="G390" s="6058"/>
      <c r="H390" s="2348">
        <v>3442.0140000000001</v>
      </c>
      <c r="I390" s="6055"/>
      <c r="J390" s="718">
        <f t="shared" si="358"/>
        <v>6610.0210000000006</v>
      </c>
      <c r="K390" s="6058"/>
      <c r="L390" s="2348"/>
      <c r="M390" s="6031"/>
      <c r="N390" s="717">
        <f t="shared" si="355"/>
        <v>6610.0210000000006</v>
      </c>
      <c r="O390" s="6058"/>
      <c r="P390" s="2348"/>
      <c r="Q390" s="6055"/>
      <c r="R390" s="718">
        <f t="shared" ref="R390:R453" si="359">N390+P390</f>
        <v>6610.0210000000006</v>
      </c>
      <c r="S390" s="6058"/>
      <c r="T390" s="2348"/>
      <c r="U390" s="6055"/>
      <c r="V390" s="718">
        <f t="shared" ref="V390:V453" si="360">R390+T390</f>
        <v>6610.0210000000006</v>
      </c>
      <c r="W390" s="6058"/>
      <c r="X390" s="2348"/>
      <c r="Y390" s="6031"/>
      <c r="Z390" s="6031">
        <f t="shared" si="352"/>
        <v>0</v>
      </c>
      <c r="AA390" s="6052"/>
      <c r="AB390" s="429">
        <f t="shared" si="356"/>
        <v>6610.0210000000006</v>
      </c>
      <c r="AC390" s="6058"/>
      <c r="AD390" s="2348"/>
      <c r="AE390" s="6055"/>
      <c r="AF390" s="718">
        <f t="shared" ref="AF390:AF453" si="361">AB390+AD390</f>
        <v>6610.0210000000006</v>
      </c>
      <c r="AG390" s="6058"/>
      <c r="AH390" s="2348"/>
      <c r="AI390" s="6055"/>
      <c r="AJ390" s="718">
        <f t="shared" ref="AJ390:AJ453" si="362">AF390+AH390</f>
        <v>6610.0210000000006</v>
      </c>
      <c r="AK390" s="6058"/>
      <c r="AL390" s="2348"/>
      <c r="AM390" s="6031"/>
      <c r="AN390" s="717">
        <f t="shared" si="353"/>
        <v>0</v>
      </c>
      <c r="AO390" s="6055"/>
      <c r="AP390" s="718">
        <f t="shared" si="357"/>
        <v>6610.0210000000006</v>
      </c>
      <c r="AQ390" s="6058"/>
      <c r="AR390" s="2348"/>
      <c r="AS390" s="6055"/>
      <c r="AT390" s="718">
        <f t="shared" ref="AT390:AT453" si="363">AP390+AR390</f>
        <v>6610.0210000000006</v>
      </c>
      <c r="AU390" s="6058"/>
      <c r="AV390" s="2348"/>
      <c r="AW390" s="6055"/>
      <c r="AX390" s="718">
        <f t="shared" ref="AX390:AX453" si="364">AT390+AV390</f>
        <v>6610.0210000000006</v>
      </c>
      <c r="AY390" s="6058"/>
      <c r="AZ390" s="2348"/>
      <c r="BA390" s="6031"/>
      <c r="BB390" s="717">
        <f t="shared" si="354"/>
        <v>0</v>
      </c>
      <c r="BC390" s="6052"/>
      <c r="BD390" s="429">
        <f t="shared" si="348"/>
        <v>0</v>
      </c>
      <c r="BE390" s="6055"/>
      <c r="BF390" s="718">
        <f t="shared" si="349"/>
        <v>6610.0210000000006</v>
      </c>
    </row>
    <row r="391" spans="1:58" x14ac:dyDescent="0.3">
      <c r="A391" s="186"/>
      <c r="B391" s="3196" t="s">
        <v>848</v>
      </c>
      <c r="C391" s="3167" t="s">
        <v>1706</v>
      </c>
      <c r="D391" s="3193"/>
      <c r="E391" s="6058"/>
      <c r="F391" s="2348">
        <v>678.55600000000004</v>
      </c>
      <c r="G391" s="6058"/>
      <c r="H391" s="2348">
        <v>333.04</v>
      </c>
      <c r="I391" s="6055"/>
      <c r="J391" s="718">
        <f t="shared" si="358"/>
        <v>1011.596</v>
      </c>
      <c r="K391" s="6058"/>
      <c r="L391" s="2348"/>
      <c r="M391" s="6031"/>
      <c r="N391" s="717">
        <f t="shared" si="355"/>
        <v>1011.596</v>
      </c>
      <c r="O391" s="6058"/>
      <c r="P391" s="2348"/>
      <c r="Q391" s="6055"/>
      <c r="R391" s="718">
        <f t="shared" si="359"/>
        <v>1011.596</v>
      </c>
      <c r="S391" s="6058"/>
      <c r="T391" s="2348"/>
      <c r="U391" s="6055"/>
      <c r="V391" s="718">
        <f t="shared" si="360"/>
        <v>1011.596</v>
      </c>
      <c r="W391" s="6058"/>
      <c r="X391" s="2348"/>
      <c r="Y391" s="6031"/>
      <c r="Z391" s="6031">
        <f t="shared" si="352"/>
        <v>0</v>
      </c>
      <c r="AA391" s="6052"/>
      <c r="AB391" s="429">
        <f t="shared" si="356"/>
        <v>1011.596</v>
      </c>
      <c r="AC391" s="6058"/>
      <c r="AD391" s="2348"/>
      <c r="AE391" s="6055"/>
      <c r="AF391" s="718">
        <f t="shared" si="361"/>
        <v>1011.596</v>
      </c>
      <c r="AG391" s="6058"/>
      <c r="AH391" s="2348"/>
      <c r="AI391" s="6055"/>
      <c r="AJ391" s="718">
        <f t="shared" si="362"/>
        <v>1011.596</v>
      </c>
      <c r="AK391" s="6058"/>
      <c r="AL391" s="2348"/>
      <c r="AM391" s="6031"/>
      <c r="AN391" s="717">
        <f t="shared" si="353"/>
        <v>0</v>
      </c>
      <c r="AO391" s="6055"/>
      <c r="AP391" s="718">
        <f t="shared" si="357"/>
        <v>1011.596</v>
      </c>
      <c r="AQ391" s="6058"/>
      <c r="AR391" s="2348"/>
      <c r="AS391" s="6055"/>
      <c r="AT391" s="718">
        <f t="shared" si="363"/>
        <v>1011.596</v>
      </c>
      <c r="AU391" s="6058"/>
      <c r="AV391" s="2348"/>
      <c r="AW391" s="6055"/>
      <c r="AX391" s="718">
        <f t="shared" si="364"/>
        <v>1011.596</v>
      </c>
      <c r="AY391" s="6058"/>
      <c r="AZ391" s="2348"/>
      <c r="BA391" s="6031"/>
      <c r="BB391" s="717">
        <f t="shared" si="354"/>
        <v>0</v>
      </c>
      <c r="BC391" s="6052"/>
      <c r="BD391" s="429">
        <f t="shared" si="348"/>
        <v>0</v>
      </c>
      <c r="BE391" s="6055"/>
      <c r="BF391" s="718">
        <f t="shared" si="349"/>
        <v>1011.596</v>
      </c>
    </row>
    <row r="392" spans="1:58" x14ac:dyDescent="0.3">
      <c r="A392" s="186"/>
      <c r="B392" s="780" t="s">
        <v>848</v>
      </c>
      <c r="C392" s="3167" t="s">
        <v>1527</v>
      </c>
      <c r="D392" s="3193"/>
      <c r="E392" s="6058"/>
      <c r="F392" s="1094"/>
      <c r="G392" s="6058"/>
      <c r="H392" s="1094"/>
      <c r="I392" s="6055"/>
      <c r="J392" s="718">
        <f t="shared" si="358"/>
        <v>0</v>
      </c>
      <c r="K392" s="6058"/>
      <c r="L392" s="1094"/>
      <c r="M392" s="6031"/>
      <c r="N392" s="717">
        <f t="shared" si="355"/>
        <v>0</v>
      </c>
      <c r="O392" s="6058"/>
      <c r="P392" s="1094"/>
      <c r="Q392" s="6055"/>
      <c r="R392" s="718">
        <f t="shared" si="359"/>
        <v>0</v>
      </c>
      <c r="S392" s="6058"/>
      <c r="T392" s="1094"/>
      <c r="U392" s="6055"/>
      <c r="V392" s="718">
        <f t="shared" si="360"/>
        <v>0</v>
      </c>
      <c r="W392" s="6058"/>
      <c r="X392" s="1094"/>
      <c r="Y392" s="6031"/>
      <c r="Z392" s="6031">
        <f t="shared" si="352"/>
        <v>0</v>
      </c>
      <c r="AA392" s="6052"/>
      <c r="AB392" s="429">
        <f t="shared" si="356"/>
        <v>0</v>
      </c>
      <c r="AC392" s="6058"/>
      <c r="AD392" s="1094"/>
      <c r="AE392" s="6055"/>
      <c r="AF392" s="718">
        <f t="shared" si="361"/>
        <v>0</v>
      </c>
      <c r="AG392" s="6058"/>
      <c r="AH392" s="1094"/>
      <c r="AI392" s="6055"/>
      <c r="AJ392" s="718">
        <f t="shared" si="362"/>
        <v>0</v>
      </c>
      <c r="AK392" s="6058"/>
      <c r="AL392" s="1094"/>
      <c r="AM392" s="6031"/>
      <c r="AN392" s="717">
        <f t="shared" si="353"/>
        <v>0</v>
      </c>
      <c r="AO392" s="6055"/>
      <c r="AP392" s="718">
        <f t="shared" si="357"/>
        <v>0</v>
      </c>
      <c r="AQ392" s="6058"/>
      <c r="AR392" s="1094"/>
      <c r="AS392" s="6055"/>
      <c r="AT392" s="718">
        <f t="shared" si="363"/>
        <v>0</v>
      </c>
      <c r="AU392" s="6058"/>
      <c r="AV392" s="1094"/>
      <c r="AW392" s="6055"/>
      <c r="AX392" s="718">
        <f t="shared" si="364"/>
        <v>0</v>
      </c>
      <c r="AY392" s="6058"/>
      <c r="AZ392" s="1094"/>
      <c r="BA392" s="6031"/>
      <c r="BB392" s="717">
        <f t="shared" si="354"/>
        <v>0</v>
      </c>
      <c r="BC392" s="6052"/>
      <c r="BD392" s="429">
        <f t="shared" ref="BD392:BD455" si="365">+AN392+BB392</f>
        <v>0</v>
      </c>
      <c r="BE392" s="6055"/>
      <c r="BF392" s="718">
        <f t="shared" ref="BF392:BF455" si="366">+AB392+BD392</f>
        <v>0</v>
      </c>
    </row>
    <row r="393" spans="1:58" x14ac:dyDescent="0.3">
      <c r="A393" s="186"/>
      <c r="B393" s="780" t="s">
        <v>848</v>
      </c>
      <c r="C393" s="3167" t="s">
        <v>1705</v>
      </c>
      <c r="D393" s="3193"/>
      <c r="E393" s="6058"/>
      <c r="F393" s="2348">
        <v>116.81399999999999</v>
      </c>
      <c r="G393" s="6058"/>
      <c r="H393" s="2348"/>
      <c r="I393" s="6055"/>
      <c r="J393" s="718">
        <f t="shared" si="358"/>
        <v>116.81399999999999</v>
      </c>
      <c r="K393" s="6058"/>
      <c r="L393" s="2348"/>
      <c r="M393" s="6031"/>
      <c r="N393" s="717">
        <f t="shared" si="355"/>
        <v>116.81399999999999</v>
      </c>
      <c r="O393" s="6058"/>
      <c r="P393" s="2348"/>
      <c r="Q393" s="6055"/>
      <c r="R393" s="718">
        <f t="shared" si="359"/>
        <v>116.81399999999999</v>
      </c>
      <c r="S393" s="6058"/>
      <c r="T393" s="2348"/>
      <c r="U393" s="6055"/>
      <c r="V393" s="718">
        <f t="shared" si="360"/>
        <v>116.81399999999999</v>
      </c>
      <c r="W393" s="6058"/>
      <c r="X393" s="2348"/>
      <c r="Y393" s="6031"/>
      <c r="Z393" s="6031">
        <f t="shared" si="352"/>
        <v>0</v>
      </c>
      <c r="AA393" s="6052"/>
      <c r="AB393" s="429">
        <f t="shared" si="356"/>
        <v>116.81399999999999</v>
      </c>
      <c r="AC393" s="6058"/>
      <c r="AD393" s="2348"/>
      <c r="AE393" s="6055"/>
      <c r="AF393" s="718">
        <f t="shared" si="361"/>
        <v>116.81399999999999</v>
      </c>
      <c r="AG393" s="6058"/>
      <c r="AH393" s="2348"/>
      <c r="AI393" s="6055"/>
      <c r="AJ393" s="718">
        <f t="shared" si="362"/>
        <v>116.81399999999999</v>
      </c>
      <c r="AK393" s="6058"/>
      <c r="AL393" s="2348"/>
      <c r="AM393" s="6031"/>
      <c r="AN393" s="717">
        <f t="shared" si="353"/>
        <v>0</v>
      </c>
      <c r="AO393" s="6055"/>
      <c r="AP393" s="718">
        <f t="shared" si="357"/>
        <v>116.81399999999999</v>
      </c>
      <c r="AQ393" s="6058"/>
      <c r="AR393" s="2348"/>
      <c r="AS393" s="6055"/>
      <c r="AT393" s="718">
        <f t="shared" si="363"/>
        <v>116.81399999999999</v>
      </c>
      <c r="AU393" s="6058"/>
      <c r="AV393" s="2348"/>
      <c r="AW393" s="6055"/>
      <c r="AX393" s="718">
        <f t="shared" si="364"/>
        <v>116.81399999999999</v>
      </c>
      <c r="AY393" s="6058"/>
      <c r="AZ393" s="2348"/>
      <c r="BA393" s="6031"/>
      <c r="BB393" s="717">
        <f t="shared" si="354"/>
        <v>0</v>
      </c>
      <c r="BC393" s="6052"/>
      <c r="BD393" s="429">
        <f t="shared" si="365"/>
        <v>0</v>
      </c>
      <c r="BE393" s="6055"/>
      <c r="BF393" s="718">
        <f t="shared" si="366"/>
        <v>116.81399999999999</v>
      </c>
    </row>
    <row r="394" spans="1:58" ht="15" thickBot="1" x14ac:dyDescent="0.35">
      <c r="A394" s="186"/>
      <c r="B394" s="2566" t="s">
        <v>848</v>
      </c>
      <c r="C394" s="3139" t="s">
        <v>1717</v>
      </c>
      <c r="D394" s="3194"/>
      <c r="E394" s="6058"/>
      <c r="F394" s="2348"/>
      <c r="G394" s="6058"/>
      <c r="H394" s="2348"/>
      <c r="I394" s="6055"/>
      <c r="J394" s="718">
        <f t="shared" si="358"/>
        <v>0</v>
      </c>
      <c r="K394" s="6058"/>
      <c r="L394" s="2348"/>
      <c r="M394" s="6031"/>
      <c r="N394" s="717">
        <f t="shared" si="355"/>
        <v>0</v>
      </c>
      <c r="O394" s="6058"/>
      <c r="P394" s="2348"/>
      <c r="Q394" s="6055"/>
      <c r="R394" s="718">
        <f t="shared" si="359"/>
        <v>0</v>
      </c>
      <c r="S394" s="6058"/>
      <c r="T394" s="2348"/>
      <c r="U394" s="6055"/>
      <c r="V394" s="718">
        <f t="shared" si="360"/>
        <v>0</v>
      </c>
      <c r="W394" s="6058"/>
      <c r="X394" s="2348"/>
      <c r="Y394" s="6031"/>
      <c r="Z394" s="6031">
        <f t="shared" si="352"/>
        <v>0</v>
      </c>
      <c r="AA394" s="6052"/>
      <c r="AB394" s="429">
        <f t="shared" si="356"/>
        <v>0</v>
      </c>
      <c r="AC394" s="6058"/>
      <c r="AD394" s="2348"/>
      <c r="AE394" s="6055"/>
      <c r="AF394" s="718">
        <f t="shared" si="361"/>
        <v>0</v>
      </c>
      <c r="AG394" s="6058"/>
      <c r="AH394" s="2348"/>
      <c r="AI394" s="6055"/>
      <c r="AJ394" s="718">
        <f t="shared" si="362"/>
        <v>0</v>
      </c>
      <c r="AK394" s="6058"/>
      <c r="AL394" s="2348"/>
      <c r="AM394" s="6031"/>
      <c r="AN394" s="717">
        <f t="shared" si="353"/>
        <v>0</v>
      </c>
      <c r="AO394" s="6055"/>
      <c r="AP394" s="718">
        <f t="shared" si="357"/>
        <v>0</v>
      </c>
      <c r="AQ394" s="6058"/>
      <c r="AR394" s="2348"/>
      <c r="AS394" s="6055"/>
      <c r="AT394" s="718">
        <f t="shared" si="363"/>
        <v>0</v>
      </c>
      <c r="AU394" s="6058"/>
      <c r="AV394" s="2348"/>
      <c r="AW394" s="6055"/>
      <c r="AX394" s="718">
        <f t="shared" si="364"/>
        <v>0</v>
      </c>
      <c r="AY394" s="6058"/>
      <c r="AZ394" s="2348"/>
      <c r="BA394" s="6031"/>
      <c r="BB394" s="717">
        <f t="shared" si="354"/>
        <v>0</v>
      </c>
      <c r="BC394" s="6052"/>
      <c r="BD394" s="429">
        <f t="shared" si="365"/>
        <v>0</v>
      </c>
      <c r="BE394" s="6055"/>
      <c r="BF394" s="718">
        <f t="shared" si="366"/>
        <v>0</v>
      </c>
    </row>
    <row r="395" spans="1:58" x14ac:dyDescent="0.3">
      <c r="A395" s="186"/>
      <c r="B395" s="3186" t="s">
        <v>1476</v>
      </c>
      <c r="C395" s="3145" t="s">
        <v>1475</v>
      </c>
      <c r="D395" s="3145"/>
      <c r="E395" s="6058"/>
      <c r="F395" s="1094"/>
      <c r="G395" s="6058"/>
      <c r="H395" s="1094"/>
      <c r="I395" s="6055"/>
      <c r="J395" s="718">
        <f t="shared" si="358"/>
        <v>0</v>
      </c>
      <c r="K395" s="6058"/>
      <c r="L395" s="1094"/>
      <c r="M395" s="6031"/>
      <c r="N395" s="717">
        <f t="shared" si="355"/>
        <v>0</v>
      </c>
      <c r="O395" s="6058"/>
      <c r="P395" s="1094"/>
      <c r="Q395" s="6055"/>
      <c r="R395" s="718">
        <f t="shared" si="359"/>
        <v>0</v>
      </c>
      <c r="S395" s="6058"/>
      <c r="T395" s="1094"/>
      <c r="U395" s="6055"/>
      <c r="V395" s="718">
        <f t="shared" si="360"/>
        <v>0</v>
      </c>
      <c r="W395" s="6058"/>
      <c r="X395" s="1094"/>
      <c r="Y395" s="6031"/>
      <c r="Z395" s="6031">
        <f t="shared" si="352"/>
        <v>0</v>
      </c>
      <c r="AA395" s="6052"/>
      <c r="AB395" s="429">
        <f t="shared" si="356"/>
        <v>0</v>
      </c>
      <c r="AC395" s="6058"/>
      <c r="AD395" s="1094"/>
      <c r="AE395" s="6055"/>
      <c r="AF395" s="718">
        <f t="shared" si="361"/>
        <v>0</v>
      </c>
      <c r="AG395" s="6058"/>
      <c r="AH395" s="1094"/>
      <c r="AI395" s="6055"/>
      <c r="AJ395" s="718">
        <f t="shared" si="362"/>
        <v>0</v>
      </c>
      <c r="AK395" s="6058"/>
      <c r="AL395" s="1094"/>
      <c r="AM395" s="6031"/>
      <c r="AN395" s="717">
        <f t="shared" si="353"/>
        <v>0</v>
      </c>
      <c r="AO395" s="6055"/>
      <c r="AP395" s="718">
        <f t="shared" si="357"/>
        <v>0</v>
      </c>
      <c r="AQ395" s="6058"/>
      <c r="AR395" s="1094"/>
      <c r="AS395" s="6055"/>
      <c r="AT395" s="718">
        <f t="shared" si="363"/>
        <v>0</v>
      </c>
      <c r="AU395" s="6058"/>
      <c r="AV395" s="1094"/>
      <c r="AW395" s="6055"/>
      <c r="AX395" s="718">
        <f t="shared" si="364"/>
        <v>0</v>
      </c>
      <c r="AY395" s="6058"/>
      <c r="AZ395" s="1094"/>
      <c r="BA395" s="6031"/>
      <c r="BB395" s="717">
        <f t="shared" si="354"/>
        <v>0</v>
      </c>
      <c r="BC395" s="6052"/>
      <c r="BD395" s="429">
        <f t="shared" si="365"/>
        <v>0</v>
      </c>
      <c r="BE395" s="6055"/>
      <c r="BF395" s="718">
        <f t="shared" si="366"/>
        <v>0</v>
      </c>
    </row>
    <row r="396" spans="1:58" x14ac:dyDescent="0.3">
      <c r="A396" s="186"/>
      <c r="B396" s="3197" t="s">
        <v>1476</v>
      </c>
      <c r="C396" s="3169" t="s">
        <v>1596</v>
      </c>
      <c r="D396" s="3169"/>
      <c r="E396" s="6058"/>
      <c r="F396" s="2244"/>
      <c r="G396" s="6058"/>
      <c r="H396" s="2244"/>
      <c r="I396" s="6055"/>
      <c r="J396" s="718">
        <f t="shared" si="358"/>
        <v>0</v>
      </c>
      <c r="K396" s="6058"/>
      <c r="L396" s="2244"/>
      <c r="M396" s="6031"/>
      <c r="N396" s="717">
        <f t="shared" si="355"/>
        <v>0</v>
      </c>
      <c r="O396" s="6058"/>
      <c r="P396" s="2244"/>
      <c r="Q396" s="6055"/>
      <c r="R396" s="718">
        <f t="shared" si="359"/>
        <v>0</v>
      </c>
      <c r="S396" s="6058"/>
      <c r="T396" s="2244"/>
      <c r="U396" s="6055"/>
      <c r="V396" s="718">
        <f t="shared" si="360"/>
        <v>0</v>
      </c>
      <c r="W396" s="6058"/>
      <c r="X396" s="2244"/>
      <c r="Y396" s="6031"/>
      <c r="Z396" s="6031">
        <f t="shared" si="352"/>
        <v>0</v>
      </c>
      <c r="AA396" s="6052"/>
      <c r="AB396" s="429">
        <f t="shared" si="356"/>
        <v>0</v>
      </c>
      <c r="AC396" s="6058"/>
      <c r="AD396" s="2244"/>
      <c r="AE396" s="6055"/>
      <c r="AF396" s="718">
        <f t="shared" si="361"/>
        <v>0</v>
      </c>
      <c r="AG396" s="6058"/>
      <c r="AH396" s="2244"/>
      <c r="AI396" s="6055"/>
      <c r="AJ396" s="718">
        <f t="shared" si="362"/>
        <v>0</v>
      </c>
      <c r="AK396" s="6058"/>
      <c r="AL396" s="2244"/>
      <c r="AM396" s="6031"/>
      <c r="AN396" s="717">
        <f t="shared" si="353"/>
        <v>0</v>
      </c>
      <c r="AO396" s="6055"/>
      <c r="AP396" s="718">
        <f t="shared" si="357"/>
        <v>0</v>
      </c>
      <c r="AQ396" s="6058"/>
      <c r="AR396" s="2244"/>
      <c r="AS396" s="6055"/>
      <c r="AT396" s="718">
        <f t="shared" si="363"/>
        <v>0</v>
      </c>
      <c r="AU396" s="6058"/>
      <c r="AV396" s="2244"/>
      <c r="AW396" s="6055"/>
      <c r="AX396" s="718">
        <f t="shared" si="364"/>
        <v>0</v>
      </c>
      <c r="AY396" s="6058"/>
      <c r="AZ396" s="2244"/>
      <c r="BA396" s="6031"/>
      <c r="BB396" s="717">
        <f t="shared" si="354"/>
        <v>0</v>
      </c>
      <c r="BC396" s="6052"/>
      <c r="BD396" s="429">
        <f t="shared" si="365"/>
        <v>0</v>
      </c>
      <c r="BE396" s="6055"/>
      <c r="BF396" s="718">
        <f t="shared" si="366"/>
        <v>0</v>
      </c>
    </row>
    <row r="397" spans="1:58" x14ac:dyDescent="0.3">
      <c r="A397" s="186"/>
      <c r="B397" s="3195" t="s">
        <v>1476</v>
      </c>
      <c r="C397" s="3167" t="s">
        <v>1707</v>
      </c>
      <c r="D397" s="3167"/>
      <c r="E397" s="6058"/>
      <c r="F397" s="2348">
        <v>68.905000000000001</v>
      </c>
      <c r="G397" s="6058"/>
      <c r="H397" s="2348">
        <v>11.86</v>
      </c>
      <c r="I397" s="6055"/>
      <c r="J397" s="718">
        <f t="shared" si="358"/>
        <v>80.765000000000001</v>
      </c>
      <c r="K397" s="6058"/>
      <c r="L397" s="2348"/>
      <c r="M397" s="6031"/>
      <c r="N397" s="717">
        <f t="shared" si="355"/>
        <v>80.765000000000001</v>
      </c>
      <c r="O397" s="6058"/>
      <c r="P397" s="2348"/>
      <c r="Q397" s="6055"/>
      <c r="R397" s="718">
        <f t="shared" si="359"/>
        <v>80.765000000000001</v>
      </c>
      <c r="S397" s="6058"/>
      <c r="T397" s="2348"/>
      <c r="U397" s="6055"/>
      <c r="V397" s="718">
        <f t="shared" si="360"/>
        <v>80.765000000000001</v>
      </c>
      <c r="W397" s="6058"/>
      <c r="X397" s="2348"/>
      <c r="Y397" s="6031"/>
      <c r="Z397" s="6031">
        <f t="shared" si="352"/>
        <v>0</v>
      </c>
      <c r="AA397" s="6052"/>
      <c r="AB397" s="429">
        <f t="shared" si="356"/>
        <v>80.765000000000001</v>
      </c>
      <c r="AC397" s="6058"/>
      <c r="AD397" s="2348"/>
      <c r="AE397" s="6055"/>
      <c r="AF397" s="718">
        <f t="shared" si="361"/>
        <v>80.765000000000001</v>
      </c>
      <c r="AG397" s="6058"/>
      <c r="AH397" s="2348"/>
      <c r="AI397" s="6055"/>
      <c r="AJ397" s="718">
        <f t="shared" si="362"/>
        <v>80.765000000000001</v>
      </c>
      <c r="AK397" s="6058"/>
      <c r="AL397" s="2348"/>
      <c r="AM397" s="6031"/>
      <c r="AN397" s="717">
        <f t="shared" si="353"/>
        <v>0</v>
      </c>
      <c r="AO397" s="6055"/>
      <c r="AP397" s="718">
        <f t="shared" si="357"/>
        <v>80.765000000000001</v>
      </c>
      <c r="AQ397" s="6058"/>
      <c r="AR397" s="2348"/>
      <c r="AS397" s="6055"/>
      <c r="AT397" s="718">
        <f t="shared" si="363"/>
        <v>80.765000000000001</v>
      </c>
      <c r="AU397" s="6058"/>
      <c r="AV397" s="2348"/>
      <c r="AW397" s="6055"/>
      <c r="AX397" s="718">
        <f t="shared" si="364"/>
        <v>80.765000000000001</v>
      </c>
      <c r="AY397" s="6058"/>
      <c r="AZ397" s="2348"/>
      <c r="BA397" s="6031"/>
      <c r="BB397" s="717">
        <f t="shared" si="354"/>
        <v>0</v>
      </c>
      <c r="BC397" s="6052"/>
      <c r="BD397" s="429">
        <f t="shared" si="365"/>
        <v>0</v>
      </c>
      <c r="BE397" s="6055"/>
      <c r="BF397" s="718">
        <f t="shared" si="366"/>
        <v>80.765000000000001</v>
      </c>
    </row>
    <row r="398" spans="1:58" x14ac:dyDescent="0.3">
      <c r="A398" s="186"/>
      <c r="B398" s="3195" t="s">
        <v>1476</v>
      </c>
      <c r="C398" s="3167" t="s">
        <v>1737</v>
      </c>
      <c r="D398" s="3167"/>
      <c r="E398" s="6058"/>
      <c r="F398" s="2348"/>
      <c r="G398" s="6058"/>
      <c r="H398" s="2348"/>
      <c r="I398" s="6055"/>
      <c r="J398" s="718">
        <f t="shared" si="358"/>
        <v>0</v>
      </c>
      <c r="K398" s="6058"/>
      <c r="L398" s="2348"/>
      <c r="M398" s="6031"/>
      <c r="N398" s="717">
        <f t="shared" si="355"/>
        <v>0</v>
      </c>
      <c r="O398" s="6058"/>
      <c r="P398" s="2348"/>
      <c r="Q398" s="6055"/>
      <c r="R398" s="718">
        <f t="shared" si="359"/>
        <v>0</v>
      </c>
      <c r="S398" s="6058"/>
      <c r="T398" s="2348"/>
      <c r="U398" s="6055"/>
      <c r="V398" s="718">
        <f t="shared" si="360"/>
        <v>0</v>
      </c>
      <c r="W398" s="6058"/>
      <c r="X398" s="2348"/>
      <c r="Y398" s="6031"/>
      <c r="Z398" s="6031">
        <f t="shared" si="352"/>
        <v>0</v>
      </c>
      <c r="AA398" s="6052"/>
      <c r="AB398" s="429">
        <f t="shared" si="356"/>
        <v>0</v>
      </c>
      <c r="AC398" s="6058"/>
      <c r="AD398" s="2348"/>
      <c r="AE398" s="6055"/>
      <c r="AF398" s="718">
        <f t="shared" si="361"/>
        <v>0</v>
      </c>
      <c r="AG398" s="6058"/>
      <c r="AH398" s="2348"/>
      <c r="AI398" s="6055"/>
      <c r="AJ398" s="718">
        <f t="shared" si="362"/>
        <v>0</v>
      </c>
      <c r="AK398" s="6058"/>
      <c r="AL398" s="2348"/>
      <c r="AM398" s="6031"/>
      <c r="AN398" s="717">
        <f t="shared" si="353"/>
        <v>0</v>
      </c>
      <c r="AO398" s="6055"/>
      <c r="AP398" s="718">
        <f t="shared" si="357"/>
        <v>0</v>
      </c>
      <c r="AQ398" s="6058"/>
      <c r="AR398" s="2348"/>
      <c r="AS398" s="6055"/>
      <c r="AT398" s="718">
        <f t="shared" si="363"/>
        <v>0</v>
      </c>
      <c r="AU398" s="6058"/>
      <c r="AV398" s="2348"/>
      <c r="AW398" s="6055"/>
      <c r="AX398" s="718">
        <f t="shared" si="364"/>
        <v>0</v>
      </c>
      <c r="AY398" s="6058"/>
      <c r="AZ398" s="2348"/>
      <c r="BA398" s="6031"/>
      <c r="BB398" s="717">
        <f t="shared" si="354"/>
        <v>0</v>
      </c>
      <c r="BC398" s="6052"/>
      <c r="BD398" s="429">
        <f t="shared" si="365"/>
        <v>0</v>
      </c>
      <c r="BE398" s="6055"/>
      <c r="BF398" s="718">
        <f t="shared" si="366"/>
        <v>0</v>
      </c>
    </row>
    <row r="399" spans="1:58" x14ac:dyDescent="0.3">
      <c r="A399" s="186"/>
      <c r="B399" s="3195" t="s">
        <v>1476</v>
      </c>
      <c r="C399" s="3167" t="s">
        <v>1718</v>
      </c>
      <c r="D399" s="3167"/>
      <c r="E399" s="6058"/>
      <c r="F399" s="2348">
        <v>118.03400000000001</v>
      </c>
      <c r="G399" s="6058"/>
      <c r="H399" s="2348"/>
      <c r="I399" s="6055"/>
      <c r="J399" s="718">
        <f t="shared" si="358"/>
        <v>118.03400000000001</v>
      </c>
      <c r="K399" s="6058"/>
      <c r="L399" s="2348"/>
      <c r="M399" s="6031"/>
      <c r="N399" s="717">
        <f t="shared" si="355"/>
        <v>118.03400000000001</v>
      </c>
      <c r="O399" s="6058"/>
      <c r="P399" s="2348"/>
      <c r="Q399" s="6055"/>
      <c r="R399" s="718">
        <f t="shared" si="359"/>
        <v>118.03400000000001</v>
      </c>
      <c r="S399" s="6058"/>
      <c r="T399" s="2348"/>
      <c r="U399" s="6055"/>
      <c r="V399" s="718">
        <f t="shared" si="360"/>
        <v>118.03400000000001</v>
      </c>
      <c r="W399" s="6058"/>
      <c r="X399" s="2348"/>
      <c r="Y399" s="6031"/>
      <c r="Z399" s="6031">
        <f t="shared" si="352"/>
        <v>0</v>
      </c>
      <c r="AA399" s="6052"/>
      <c r="AB399" s="429">
        <f t="shared" si="356"/>
        <v>118.03400000000001</v>
      </c>
      <c r="AC399" s="6058"/>
      <c r="AD399" s="2348"/>
      <c r="AE399" s="6055"/>
      <c r="AF399" s="718">
        <f t="shared" si="361"/>
        <v>118.03400000000001</v>
      </c>
      <c r="AG399" s="6058"/>
      <c r="AH399" s="2348"/>
      <c r="AI399" s="6055"/>
      <c r="AJ399" s="718">
        <f t="shared" si="362"/>
        <v>118.03400000000001</v>
      </c>
      <c r="AK399" s="6058"/>
      <c r="AL399" s="2348"/>
      <c r="AM399" s="6031"/>
      <c r="AN399" s="717">
        <f t="shared" si="353"/>
        <v>0</v>
      </c>
      <c r="AO399" s="6055"/>
      <c r="AP399" s="718">
        <f t="shared" si="357"/>
        <v>118.03400000000001</v>
      </c>
      <c r="AQ399" s="6058"/>
      <c r="AR399" s="2348"/>
      <c r="AS399" s="6055"/>
      <c r="AT399" s="718">
        <f t="shared" si="363"/>
        <v>118.03400000000001</v>
      </c>
      <c r="AU399" s="6058"/>
      <c r="AV399" s="2348"/>
      <c r="AW399" s="6055"/>
      <c r="AX399" s="718">
        <f t="shared" si="364"/>
        <v>118.03400000000001</v>
      </c>
      <c r="AY399" s="6058"/>
      <c r="AZ399" s="2348"/>
      <c r="BA399" s="6031"/>
      <c r="BB399" s="717">
        <f t="shared" si="354"/>
        <v>0</v>
      </c>
      <c r="BC399" s="6052"/>
      <c r="BD399" s="429">
        <f t="shared" si="365"/>
        <v>0</v>
      </c>
      <c r="BE399" s="6055"/>
      <c r="BF399" s="718">
        <f t="shared" si="366"/>
        <v>118.03400000000001</v>
      </c>
    </row>
    <row r="400" spans="1:58" x14ac:dyDescent="0.3">
      <c r="A400" s="186"/>
      <c r="B400" s="3198" t="s">
        <v>849</v>
      </c>
      <c r="C400" s="3167" t="s">
        <v>856</v>
      </c>
      <c r="D400" s="3167"/>
      <c r="E400" s="6058"/>
      <c r="F400" s="1094">
        <v>420.31999999999994</v>
      </c>
      <c r="G400" s="6058"/>
      <c r="H400" s="1094">
        <v>488.90300000000002</v>
      </c>
      <c r="I400" s="6055"/>
      <c r="J400" s="718">
        <f t="shared" si="358"/>
        <v>909.22299999999996</v>
      </c>
      <c r="K400" s="6058"/>
      <c r="L400" s="1094"/>
      <c r="M400" s="6031"/>
      <c r="N400" s="717">
        <f t="shared" si="355"/>
        <v>909.22299999999996</v>
      </c>
      <c r="O400" s="6058"/>
      <c r="P400" s="1094"/>
      <c r="Q400" s="6055"/>
      <c r="R400" s="718">
        <f t="shared" si="359"/>
        <v>909.22299999999996</v>
      </c>
      <c r="S400" s="6058"/>
      <c r="T400" s="1094"/>
      <c r="U400" s="6055"/>
      <c r="V400" s="718">
        <f t="shared" si="360"/>
        <v>909.22299999999996</v>
      </c>
      <c r="W400" s="6058"/>
      <c r="X400" s="1094"/>
      <c r="Y400" s="6031"/>
      <c r="Z400" s="6031">
        <f t="shared" si="352"/>
        <v>0</v>
      </c>
      <c r="AA400" s="6052"/>
      <c r="AB400" s="429">
        <f t="shared" ref="AB400:AB431" si="367">X400+V400</f>
        <v>909.22299999999996</v>
      </c>
      <c r="AC400" s="6058"/>
      <c r="AD400" s="1094"/>
      <c r="AE400" s="6055"/>
      <c r="AF400" s="718">
        <f t="shared" si="361"/>
        <v>909.22299999999996</v>
      </c>
      <c r="AG400" s="6058"/>
      <c r="AH400" s="1094"/>
      <c r="AI400" s="6055"/>
      <c r="AJ400" s="718">
        <f t="shared" si="362"/>
        <v>909.22299999999996</v>
      </c>
      <c r="AK400" s="6058"/>
      <c r="AL400" s="1094"/>
      <c r="AM400" s="6031"/>
      <c r="AN400" s="717">
        <f t="shared" si="353"/>
        <v>0</v>
      </c>
      <c r="AO400" s="6055"/>
      <c r="AP400" s="718">
        <f t="shared" ref="AP400:AP431" si="368">AL400+AJ400</f>
        <v>909.22299999999996</v>
      </c>
      <c r="AQ400" s="6058"/>
      <c r="AR400" s="1094"/>
      <c r="AS400" s="6055"/>
      <c r="AT400" s="718">
        <f t="shared" si="363"/>
        <v>909.22299999999996</v>
      </c>
      <c r="AU400" s="6058"/>
      <c r="AV400" s="1094"/>
      <c r="AW400" s="6055"/>
      <c r="AX400" s="718">
        <f t="shared" si="364"/>
        <v>909.22299999999996</v>
      </c>
      <c r="AY400" s="6058"/>
      <c r="AZ400" s="1094"/>
      <c r="BA400" s="6031"/>
      <c r="BB400" s="717">
        <f t="shared" si="354"/>
        <v>0</v>
      </c>
      <c r="BC400" s="6052"/>
      <c r="BD400" s="429">
        <f t="shared" si="365"/>
        <v>0</v>
      </c>
      <c r="BE400" s="6055"/>
      <c r="BF400" s="718">
        <f t="shared" si="366"/>
        <v>909.22299999999996</v>
      </c>
    </row>
    <row r="401" spans="1:58" x14ac:dyDescent="0.3">
      <c r="A401" s="186"/>
      <c r="B401" s="3198" t="s">
        <v>849</v>
      </c>
      <c r="C401" s="3167" t="s">
        <v>871</v>
      </c>
      <c r="D401" s="3167"/>
      <c r="E401" s="6058"/>
      <c r="F401" s="1094">
        <v>6127.1459999999997</v>
      </c>
      <c r="G401" s="6058"/>
      <c r="H401" s="1094">
        <v>6900.89</v>
      </c>
      <c r="I401" s="6055"/>
      <c r="J401" s="718">
        <f t="shared" si="358"/>
        <v>13028.036</v>
      </c>
      <c r="K401" s="6058"/>
      <c r="L401" s="1094"/>
      <c r="M401" s="6031"/>
      <c r="N401" s="717">
        <f t="shared" si="355"/>
        <v>13028.036</v>
      </c>
      <c r="O401" s="6058"/>
      <c r="P401" s="1094"/>
      <c r="Q401" s="6055"/>
      <c r="R401" s="718">
        <f t="shared" si="359"/>
        <v>13028.036</v>
      </c>
      <c r="S401" s="6058"/>
      <c r="T401" s="1094"/>
      <c r="U401" s="6055"/>
      <c r="V401" s="718">
        <f t="shared" si="360"/>
        <v>13028.036</v>
      </c>
      <c r="W401" s="6058"/>
      <c r="X401" s="1094"/>
      <c r="Y401" s="6031"/>
      <c r="Z401" s="6031">
        <f t="shared" si="352"/>
        <v>0</v>
      </c>
      <c r="AA401" s="6052"/>
      <c r="AB401" s="429">
        <f t="shared" si="367"/>
        <v>13028.036</v>
      </c>
      <c r="AC401" s="6058"/>
      <c r="AD401" s="1094"/>
      <c r="AE401" s="6055"/>
      <c r="AF401" s="718">
        <f t="shared" si="361"/>
        <v>13028.036</v>
      </c>
      <c r="AG401" s="6058"/>
      <c r="AH401" s="1094"/>
      <c r="AI401" s="6055"/>
      <c r="AJ401" s="718">
        <f t="shared" si="362"/>
        <v>13028.036</v>
      </c>
      <c r="AK401" s="6058"/>
      <c r="AL401" s="1094"/>
      <c r="AM401" s="6031"/>
      <c r="AN401" s="717">
        <f t="shared" si="353"/>
        <v>0</v>
      </c>
      <c r="AO401" s="6055"/>
      <c r="AP401" s="718">
        <f t="shared" si="368"/>
        <v>13028.036</v>
      </c>
      <c r="AQ401" s="6058"/>
      <c r="AR401" s="1094"/>
      <c r="AS401" s="6055"/>
      <c r="AT401" s="718">
        <f t="shared" si="363"/>
        <v>13028.036</v>
      </c>
      <c r="AU401" s="6058"/>
      <c r="AV401" s="1094"/>
      <c r="AW401" s="6055"/>
      <c r="AX401" s="718">
        <f t="shared" si="364"/>
        <v>13028.036</v>
      </c>
      <c r="AY401" s="6058"/>
      <c r="AZ401" s="1094"/>
      <c r="BA401" s="6031"/>
      <c r="BB401" s="717">
        <f t="shared" si="354"/>
        <v>0</v>
      </c>
      <c r="BC401" s="6052"/>
      <c r="BD401" s="429">
        <f t="shared" si="365"/>
        <v>0</v>
      </c>
      <c r="BE401" s="6055"/>
      <c r="BF401" s="718">
        <f t="shared" si="366"/>
        <v>13028.036</v>
      </c>
    </row>
    <row r="402" spans="1:58" x14ac:dyDescent="0.3">
      <c r="A402" s="186"/>
      <c r="B402" s="3198" t="s">
        <v>849</v>
      </c>
      <c r="C402" s="3167" t="s">
        <v>1542</v>
      </c>
      <c r="D402" s="3167"/>
      <c r="E402" s="6058"/>
      <c r="F402" s="1094"/>
      <c r="G402" s="6058"/>
      <c r="H402" s="1094"/>
      <c r="I402" s="6055"/>
      <c r="J402" s="718">
        <f t="shared" si="358"/>
        <v>0</v>
      </c>
      <c r="K402" s="6058"/>
      <c r="L402" s="1094"/>
      <c r="M402" s="6031"/>
      <c r="N402" s="717">
        <f t="shared" si="355"/>
        <v>0</v>
      </c>
      <c r="O402" s="6058"/>
      <c r="P402" s="1094"/>
      <c r="Q402" s="6055"/>
      <c r="R402" s="718">
        <f t="shared" si="359"/>
        <v>0</v>
      </c>
      <c r="S402" s="6058"/>
      <c r="T402" s="1094"/>
      <c r="U402" s="6055"/>
      <c r="V402" s="718">
        <f t="shared" si="360"/>
        <v>0</v>
      </c>
      <c r="W402" s="6058"/>
      <c r="X402" s="1094"/>
      <c r="Y402" s="6031"/>
      <c r="Z402" s="6031">
        <f t="shared" si="352"/>
        <v>0</v>
      </c>
      <c r="AA402" s="6052"/>
      <c r="AB402" s="429">
        <f t="shared" si="367"/>
        <v>0</v>
      </c>
      <c r="AC402" s="6058"/>
      <c r="AD402" s="1094"/>
      <c r="AE402" s="6055"/>
      <c r="AF402" s="718">
        <f t="shared" si="361"/>
        <v>0</v>
      </c>
      <c r="AG402" s="6058"/>
      <c r="AH402" s="1094"/>
      <c r="AI402" s="6055"/>
      <c r="AJ402" s="718">
        <f t="shared" si="362"/>
        <v>0</v>
      </c>
      <c r="AK402" s="6058"/>
      <c r="AL402" s="1094"/>
      <c r="AM402" s="6031"/>
      <c r="AN402" s="717">
        <f t="shared" si="353"/>
        <v>0</v>
      </c>
      <c r="AO402" s="6055"/>
      <c r="AP402" s="718">
        <f t="shared" si="368"/>
        <v>0</v>
      </c>
      <c r="AQ402" s="6058"/>
      <c r="AR402" s="1094"/>
      <c r="AS402" s="6055"/>
      <c r="AT402" s="718">
        <f t="shared" si="363"/>
        <v>0</v>
      </c>
      <c r="AU402" s="6058"/>
      <c r="AV402" s="1094"/>
      <c r="AW402" s="6055"/>
      <c r="AX402" s="718">
        <f t="shared" si="364"/>
        <v>0</v>
      </c>
      <c r="AY402" s="6058"/>
      <c r="AZ402" s="1094"/>
      <c r="BA402" s="6031"/>
      <c r="BB402" s="717">
        <f t="shared" si="354"/>
        <v>0</v>
      </c>
      <c r="BC402" s="6052"/>
      <c r="BD402" s="429">
        <f t="shared" si="365"/>
        <v>0</v>
      </c>
      <c r="BE402" s="6055"/>
      <c r="BF402" s="718">
        <f t="shared" si="366"/>
        <v>0</v>
      </c>
    </row>
    <row r="403" spans="1:58" x14ac:dyDescent="0.3">
      <c r="A403" s="186"/>
      <c r="B403" s="3198" t="s">
        <v>849</v>
      </c>
      <c r="C403" s="3167" t="s">
        <v>1709</v>
      </c>
      <c r="D403" s="3167"/>
      <c r="E403" s="6058"/>
      <c r="F403" s="1094"/>
      <c r="G403" s="6058"/>
      <c r="H403" s="1094"/>
      <c r="I403" s="6055"/>
      <c r="J403" s="718">
        <f t="shared" si="358"/>
        <v>0</v>
      </c>
      <c r="K403" s="6058"/>
      <c r="L403" s="1094"/>
      <c r="M403" s="6031"/>
      <c r="N403" s="717">
        <f t="shared" si="355"/>
        <v>0</v>
      </c>
      <c r="O403" s="6058"/>
      <c r="P403" s="1094"/>
      <c r="Q403" s="6055"/>
      <c r="R403" s="718">
        <f t="shared" si="359"/>
        <v>0</v>
      </c>
      <c r="S403" s="6058"/>
      <c r="T403" s="1094"/>
      <c r="U403" s="6055"/>
      <c r="V403" s="718">
        <f t="shared" si="360"/>
        <v>0</v>
      </c>
      <c r="W403" s="6058"/>
      <c r="X403" s="1094"/>
      <c r="Y403" s="6031"/>
      <c r="Z403" s="6031">
        <f t="shared" si="352"/>
        <v>0</v>
      </c>
      <c r="AA403" s="6052"/>
      <c r="AB403" s="429">
        <f t="shared" si="367"/>
        <v>0</v>
      </c>
      <c r="AC403" s="6058"/>
      <c r="AD403" s="1094"/>
      <c r="AE403" s="6055"/>
      <c r="AF403" s="718">
        <f t="shared" si="361"/>
        <v>0</v>
      </c>
      <c r="AG403" s="6058"/>
      <c r="AH403" s="1094"/>
      <c r="AI403" s="6055"/>
      <c r="AJ403" s="718">
        <f t="shared" si="362"/>
        <v>0</v>
      </c>
      <c r="AK403" s="6058"/>
      <c r="AL403" s="1094"/>
      <c r="AM403" s="6031"/>
      <c r="AN403" s="717">
        <f t="shared" si="353"/>
        <v>0</v>
      </c>
      <c r="AO403" s="6055"/>
      <c r="AP403" s="718">
        <f t="shared" si="368"/>
        <v>0</v>
      </c>
      <c r="AQ403" s="6058"/>
      <c r="AR403" s="1094"/>
      <c r="AS403" s="6055"/>
      <c r="AT403" s="718">
        <f t="shared" si="363"/>
        <v>0</v>
      </c>
      <c r="AU403" s="6058"/>
      <c r="AV403" s="1094"/>
      <c r="AW403" s="6055"/>
      <c r="AX403" s="718">
        <f t="shared" si="364"/>
        <v>0</v>
      </c>
      <c r="AY403" s="6058"/>
      <c r="AZ403" s="1094"/>
      <c r="BA403" s="6031"/>
      <c r="BB403" s="717">
        <f t="shared" si="354"/>
        <v>0</v>
      </c>
      <c r="BC403" s="6052"/>
      <c r="BD403" s="429">
        <f t="shared" si="365"/>
        <v>0</v>
      </c>
      <c r="BE403" s="6055"/>
      <c r="BF403" s="718">
        <f t="shared" si="366"/>
        <v>0</v>
      </c>
    </row>
    <row r="404" spans="1:58" x14ac:dyDescent="0.3">
      <c r="A404" s="186"/>
      <c r="B404" s="3198" t="s">
        <v>849</v>
      </c>
      <c r="C404" s="3167" t="s">
        <v>1250</v>
      </c>
      <c r="D404" s="3167"/>
      <c r="E404" s="6058"/>
      <c r="F404" s="2348">
        <v>33.792000000000002</v>
      </c>
      <c r="G404" s="6058"/>
      <c r="H404" s="2348"/>
      <c r="I404" s="6055"/>
      <c r="J404" s="718">
        <f t="shared" si="358"/>
        <v>33.792000000000002</v>
      </c>
      <c r="K404" s="6058"/>
      <c r="L404" s="2348"/>
      <c r="M404" s="6031"/>
      <c r="N404" s="717">
        <f t="shared" si="355"/>
        <v>33.792000000000002</v>
      </c>
      <c r="O404" s="6058"/>
      <c r="P404" s="2348"/>
      <c r="Q404" s="6055"/>
      <c r="R404" s="718">
        <f t="shared" si="359"/>
        <v>33.792000000000002</v>
      </c>
      <c r="S404" s="6058"/>
      <c r="T404" s="2348"/>
      <c r="U404" s="6055"/>
      <c r="V404" s="718">
        <f t="shared" si="360"/>
        <v>33.792000000000002</v>
      </c>
      <c r="W404" s="6058"/>
      <c r="X404" s="2348"/>
      <c r="Y404" s="6031"/>
      <c r="Z404" s="6031">
        <f t="shared" si="352"/>
        <v>0</v>
      </c>
      <c r="AA404" s="6052"/>
      <c r="AB404" s="429">
        <f t="shared" si="367"/>
        <v>33.792000000000002</v>
      </c>
      <c r="AC404" s="6058"/>
      <c r="AD404" s="2348"/>
      <c r="AE404" s="6055"/>
      <c r="AF404" s="718">
        <f t="shared" si="361"/>
        <v>33.792000000000002</v>
      </c>
      <c r="AG404" s="6058"/>
      <c r="AH404" s="2348"/>
      <c r="AI404" s="6055"/>
      <c r="AJ404" s="718">
        <f t="shared" si="362"/>
        <v>33.792000000000002</v>
      </c>
      <c r="AK404" s="6058"/>
      <c r="AL404" s="2348"/>
      <c r="AM404" s="6031"/>
      <c r="AN404" s="717">
        <f t="shared" si="353"/>
        <v>0</v>
      </c>
      <c r="AO404" s="6055"/>
      <c r="AP404" s="718">
        <f t="shared" si="368"/>
        <v>33.792000000000002</v>
      </c>
      <c r="AQ404" s="6058"/>
      <c r="AR404" s="2348"/>
      <c r="AS404" s="6055"/>
      <c r="AT404" s="718">
        <f t="shared" si="363"/>
        <v>33.792000000000002</v>
      </c>
      <c r="AU404" s="6058"/>
      <c r="AV404" s="2348"/>
      <c r="AW404" s="6055"/>
      <c r="AX404" s="718">
        <f t="shared" si="364"/>
        <v>33.792000000000002</v>
      </c>
      <c r="AY404" s="6058"/>
      <c r="AZ404" s="2348"/>
      <c r="BA404" s="6031"/>
      <c r="BB404" s="717">
        <f t="shared" si="354"/>
        <v>0</v>
      </c>
      <c r="BC404" s="6052"/>
      <c r="BD404" s="429">
        <f t="shared" si="365"/>
        <v>0</v>
      </c>
      <c r="BE404" s="6055"/>
      <c r="BF404" s="718">
        <f t="shared" si="366"/>
        <v>33.792000000000002</v>
      </c>
    </row>
    <row r="405" spans="1:58" x14ac:dyDescent="0.3">
      <c r="A405" s="186"/>
      <c r="B405" s="3181" t="s">
        <v>849</v>
      </c>
      <c r="C405" s="3167" t="s">
        <v>1198</v>
      </c>
      <c r="D405" s="3167"/>
      <c r="E405" s="6058"/>
      <c r="F405" s="1094"/>
      <c r="G405" s="6058"/>
      <c r="H405" s="1094"/>
      <c r="I405" s="6055"/>
      <c r="J405" s="718">
        <f t="shared" si="358"/>
        <v>0</v>
      </c>
      <c r="K405" s="6058"/>
      <c r="L405" s="1094"/>
      <c r="M405" s="6031"/>
      <c r="N405" s="717">
        <f t="shared" si="355"/>
        <v>0</v>
      </c>
      <c r="O405" s="6058"/>
      <c r="P405" s="1094"/>
      <c r="Q405" s="6055"/>
      <c r="R405" s="718">
        <f t="shared" si="359"/>
        <v>0</v>
      </c>
      <c r="S405" s="6058"/>
      <c r="T405" s="1094"/>
      <c r="U405" s="6055"/>
      <c r="V405" s="718">
        <f t="shared" si="360"/>
        <v>0</v>
      </c>
      <c r="W405" s="6058"/>
      <c r="X405" s="1094"/>
      <c r="Y405" s="6031"/>
      <c r="Z405" s="6031">
        <f t="shared" si="352"/>
        <v>0</v>
      </c>
      <c r="AA405" s="6052"/>
      <c r="AB405" s="429">
        <f t="shared" si="367"/>
        <v>0</v>
      </c>
      <c r="AC405" s="6058"/>
      <c r="AD405" s="1094"/>
      <c r="AE405" s="6055"/>
      <c r="AF405" s="718">
        <f t="shared" si="361"/>
        <v>0</v>
      </c>
      <c r="AG405" s="6058"/>
      <c r="AH405" s="1094"/>
      <c r="AI405" s="6055"/>
      <c r="AJ405" s="718">
        <f t="shared" si="362"/>
        <v>0</v>
      </c>
      <c r="AK405" s="6058"/>
      <c r="AL405" s="1094"/>
      <c r="AM405" s="6031"/>
      <c r="AN405" s="717">
        <f t="shared" si="353"/>
        <v>0</v>
      </c>
      <c r="AO405" s="6055"/>
      <c r="AP405" s="718">
        <f t="shared" si="368"/>
        <v>0</v>
      </c>
      <c r="AQ405" s="6058"/>
      <c r="AR405" s="1094"/>
      <c r="AS405" s="6055"/>
      <c r="AT405" s="718">
        <f t="shared" si="363"/>
        <v>0</v>
      </c>
      <c r="AU405" s="6058"/>
      <c r="AV405" s="1094"/>
      <c r="AW405" s="6055"/>
      <c r="AX405" s="718">
        <f t="shared" si="364"/>
        <v>0</v>
      </c>
      <c r="AY405" s="6058"/>
      <c r="AZ405" s="1094"/>
      <c r="BA405" s="6031"/>
      <c r="BB405" s="717">
        <f t="shared" si="354"/>
        <v>0</v>
      </c>
      <c r="BC405" s="6052"/>
      <c r="BD405" s="429">
        <f t="shared" si="365"/>
        <v>0</v>
      </c>
      <c r="BE405" s="6055"/>
      <c r="BF405" s="718">
        <f t="shared" si="366"/>
        <v>0</v>
      </c>
    </row>
    <row r="406" spans="1:58" x14ac:dyDescent="0.3">
      <c r="A406" s="186"/>
      <c r="B406" s="3181" t="s">
        <v>849</v>
      </c>
      <c r="C406" s="3137" t="s">
        <v>1283</v>
      </c>
      <c r="D406" s="3137"/>
      <c r="E406" s="6058"/>
      <c r="F406" s="1094"/>
      <c r="G406" s="6058"/>
      <c r="H406" s="1094"/>
      <c r="I406" s="6055"/>
      <c r="J406" s="718">
        <f t="shared" si="358"/>
        <v>0</v>
      </c>
      <c r="K406" s="6058"/>
      <c r="L406" s="1094"/>
      <c r="M406" s="6031"/>
      <c r="N406" s="717">
        <f t="shared" si="355"/>
        <v>0</v>
      </c>
      <c r="O406" s="6058"/>
      <c r="P406" s="1094"/>
      <c r="Q406" s="6055"/>
      <c r="R406" s="718">
        <f t="shared" si="359"/>
        <v>0</v>
      </c>
      <c r="S406" s="6058"/>
      <c r="T406" s="1094"/>
      <c r="U406" s="6055"/>
      <c r="V406" s="718">
        <f t="shared" si="360"/>
        <v>0</v>
      </c>
      <c r="W406" s="6058"/>
      <c r="X406" s="1094"/>
      <c r="Y406" s="6031"/>
      <c r="Z406" s="6031">
        <f t="shared" si="352"/>
        <v>0</v>
      </c>
      <c r="AA406" s="6052"/>
      <c r="AB406" s="429">
        <f t="shared" si="367"/>
        <v>0</v>
      </c>
      <c r="AC406" s="6058"/>
      <c r="AD406" s="1094"/>
      <c r="AE406" s="6055"/>
      <c r="AF406" s="718">
        <f t="shared" si="361"/>
        <v>0</v>
      </c>
      <c r="AG406" s="6058"/>
      <c r="AH406" s="1094"/>
      <c r="AI406" s="6055"/>
      <c r="AJ406" s="718">
        <f t="shared" si="362"/>
        <v>0</v>
      </c>
      <c r="AK406" s="6058"/>
      <c r="AL406" s="1094"/>
      <c r="AM406" s="6031"/>
      <c r="AN406" s="717">
        <f t="shared" si="353"/>
        <v>0</v>
      </c>
      <c r="AO406" s="6055"/>
      <c r="AP406" s="718">
        <f t="shared" si="368"/>
        <v>0</v>
      </c>
      <c r="AQ406" s="6058"/>
      <c r="AR406" s="1094"/>
      <c r="AS406" s="6055"/>
      <c r="AT406" s="718">
        <f t="shared" si="363"/>
        <v>0</v>
      </c>
      <c r="AU406" s="6058"/>
      <c r="AV406" s="1094"/>
      <c r="AW406" s="6055"/>
      <c r="AX406" s="718">
        <f t="shared" si="364"/>
        <v>0</v>
      </c>
      <c r="AY406" s="6058"/>
      <c r="AZ406" s="1094"/>
      <c r="BA406" s="6031"/>
      <c r="BB406" s="717">
        <f t="shared" si="354"/>
        <v>0</v>
      </c>
      <c r="BC406" s="6052"/>
      <c r="BD406" s="429">
        <f t="shared" si="365"/>
        <v>0</v>
      </c>
      <c r="BE406" s="6055"/>
      <c r="BF406" s="718">
        <f t="shared" si="366"/>
        <v>0</v>
      </c>
    </row>
    <row r="407" spans="1:58" x14ac:dyDescent="0.3">
      <c r="A407" s="186"/>
      <c r="B407" s="3195" t="s">
        <v>849</v>
      </c>
      <c r="C407" s="3167" t="s">
        <v>1708</v>
      </c>
      <c r="D407" s="3167"/>
      <c r="E407" s="6058"/>
      <c r="F407" s="2348">
        <v>566.56500000000005</v>
      </c>
      <c r="G407" s="6058"/>
      <c r="H407" s="2348">
        <v>447.07299999999998</v>
      </c>
      <c r="I407" s="6055"/>
      <c r="J407" s="718">
        <f t="shared" si="358"/>
        <v>1013.638</v>
      </c>
      <c r="K407" s="6058"/>
      <c r="L407" s="2348"/>
      <c r="M407" s="6031"/>
      <c r="N407" s="717">
        <f t="shared" si="355"/>
        <v>1013.638</v>
      </c>
      <c r="O407" s="6058"/>
      <c r="P407" s="2348"/>
      <c r="Q407" s="6055"/>
      <c r="R407" s="718">
        <f t="shared" si="359"/>
        <v>1013.638</v>
      </c>
      <c r="S407" s="6058"/>
      <c r="T407" s="2348"/>
      <c r="U407" s="6055"/>
      <c r="V407" s="718">
        <f t="shared" si="360"/>
        <v>1013.638</v>
      </c>
      <c r="W407" s="6058"/>
      <c r="X407" s="2348"/>
      <c r="Y407" s="6031"/>
      <c r="Z407" s="6031">
        <f t="shared" si="352"/>
        <v>0</v>
      </c>
      <c r="AA407" s="6052"/>
      <c r="AB407" s="429">
        <f t="shared" si="367"/>
        <v>1013.638</v>
      </c>
      <c r="AC407" s="6058"/>
      <c r="AD407" s="2348"/>
      <c r="AE407" s="6055"/>
      <c r="AF407" s="718">
        <f t="shared" si="361"/>
        <v>1013.638</v>
      </c>
      <c r="AG407" s="6058"/>
      <c r="AH407" s="2348"/>
      <c r="AI407" s="6055"/>
      <c r="AJ407" s="718">
        <f t="shared" si="362"/>
        <v>1013.638</v>
      </c>
      <c r="AK407" s="6058"/>
      <c r="AL407" s="2348"/>
      <c r="AM407" s="6031"/>
      <c r="AN407" s="717">
        <f t="shared" si="353"/>
        <v>0</v>
      </c>
      <c r="AO407" s="6055"/>
      <c r="AP407" s="718">
        <f t="shared" si="368"/>
        <v>1013.638</v>
      </c>
      <c r="AQ407" s="6058"/>
      <c r="AR407" s="2348"/>
      <c r="AS407" s="6055"/>
      <c r="AT407" s="718">
        <f t="shared" si="363"/>
        <v>1013.638</v>
      </c>
      <c r="AU407" s="6058"/>
      <c r="AV407" s="2348"/>
      <c r="AW407" s="6055"/>
      <c r="AX407" s="718">
        <f t="shared" si="364"/>
        <v>1013.638</v>
      </c>
      <c r="AY407" s="6058"/>
      <c r="AZ407" s="2348"/>
      <c r="BA407" s="6031"/>
      <c r="BB407" s="717">
        <f t="shared" si="354"/>
        <v>0</v>
      </c>
      <c r="BC407" s="6052"/>
      <c r="BD407" s="429">
        <f t="shared" si="365"/>
        <v>0</v>
      </c>
      <c r="BE407" s="6055"/>
      <c r="BF407" s="718">
        <f t="shared" si="366"/>
        <v>1013.638</v>
      </c>
    </row>
    <row r="408" spans="1:58" ht="15" thickBot="1" x14ac:dyDescent="0.35">
      <c r="A408" s="186"/>
      <c r="B408" s="3182" t="s">
        <v>849</v>
      </c>
      <c r="C408" s="3191" t="s">
        <v>1719</v>
      </c>
      <c r="D408" s="3191"/>
      <c r="E408" s="6058"/>
      <c r="F408" s="2348">
        <v>124.4</v>
      </c>
      <c r="G408" s="6058"/>
      <c r="H408" s="2348">
        <v>311.31</v>
      </c>
      <c r="I408" s="6055"/>
      <c r="J408" s="718">
        <f t="shared" si="358"/>
        <v>435.71000000000004</v>
      </c>
      <c r="K408" s="6058"/>
      <c r="L408" s="2348"/>
      <c r="M408" s="6031"/>
      <c r="N408" s="717">
        <f t="shared" si="355"/>
        <v>435.71000000000004</v>
      </c>
      <c r="O408" s="6058"/>
      <c r="P408" s="2348"/>
      <c r="Q408" s="6055"/>
      <c r="R408" s="718">
        <f t="shared" si="359"/>
        <v>435.71000000000004</v>
      </c>
      <c r="S408" s="6058"/>
      <c r="T408" s="2348"/>
      <c r="U408" s="6055"/>
      <c r="V408" s="718">
        <f t="shared" si="360"/>
        <v>435.71000000000004</v>
      </c>
      <c r="W408" s="6058"/>
      <c r="X408" s="2348"/>
      <c r="Y408" s="6031"/>
      <c r="Z408" s="6031">
        <f t="shared" si="352"/>
        <v>0</v>
      </c>
      <c r="AA408" s="6052"/>
      <c r="AB408" s="429">
        <f t="shared" si="367"/>
        <v>435.71000000000004</v>
      </c>
      <c r="AC408" s="6058"/>
      <c r="AD408" s="2348"/>
      <c r="AE408" s="6055"/>
      <c r="AF408" s="718">
        <f t="shared" si="361"/>
        <v>435.71000000000004</v>
      </c>
      <c r="AG408" s="6058"/>
      <c r="AH408" s="2348"/>
      <c r="AI408" s="6055"/>
      <c r="AJ408" s="718">
        <f t="shared" si="362"/>
        <v>435.71000000000004</v>
      </c>
      <c r="AK408" s="6058"/>
      <c r="AL408" s="2348"/>
      <c r="AM408" s="6031"/>
      <c r="AN408" s="717">
        <f t="shared" si="353"/>
        <v>0</v>
      </c>
      <c r="AO408" s="6055"/>
      <c r="AP408" s="718">
        <f t="shared" si="368"/>
        <v>435.71000000000004</v>
      </c>
      <c r="AQ408" s="6058"/>
      <c r="AR408" s="2348"/>
      <c r="AS408" s="6055"/>
      <c r="AT408" s="718">
        <f t="shared" si="363"/>
        <v>435.71000000000004</v>
      </c>
      <c r="AU408" s="6058"/>
      <c r="AV408" s="2348"/>
      <c r="AW408" s="6055"/>
      <c r="AX408" s="718">
        <f t="shared" si="364"/>
        <v>435.71000000000004</v>
      </c>
      <c r="AY408" s="6058"/>
      <c r="AZ408" s="2348"/>
      <c r="BA408" s="6031"/>
      <c r="BB408" s="717">
        <f t="shared" si="354"/>
        <v>0</v>
      </c>
      <c r="BC408" s="6052"/>
      <c r="BD408" s="429">
        <f t="shared" si="365"/>
        <v>0</v>
      </c>
      <c r="BE408" s="6055"/>
      <c r="BF408" s="718">
        <f t="shared" si="366"/>
        <v>435.71000000000004</v>
      </c>
    </row>
    <row r="409" spans="1:58" x14ac:dyDescent="0.3">
      <c r="A409" s="186"/>
      <c r="B409" s="2562" t="s">
        <v>1540</v>
      </c>
      <c r="C409" s="3135" t="s">
        <v>1541</v>
      </c>
      <c r="D409" s="3192"/>
      <c r="E409" s="6058"/>
      <c r="F409" s="1094"/>
      <c r="G409" s="6058"/>
      <c r="H409" s="1094"/>
      <c r="I409" s="6055"/>
      <c r="J409" s="718">
        <f t="shared" si="358"/>
        <v>0</v>
      </c>
      <c r="K409" s="6058"/>
      <c r="L409" s="1094"/>
      <c r="M409" s="6031"/>
      <c r="N409" s="717">
        <f t="shared" si="355"/>
        <v>0</v>
      </c>
      <c r="O409" s="6058"/>
      <c r="P409" s="1094"/>
      <c r="Q409" s="6055"/>
      <c r="R409" s="718">
        <f t="shared" si="359"/>
        <v>0</v>
      </c>
      <c r="S409" s="6058"/>
      <c r="T409" s="1094"/>
      <c r="U409" s="6055"/>
      <c r="V409" s="718">
        <f t="shared" si="360"/>
        <v>0</v>
      </c>
      <c r="W409" s="6058"/>
      <c r="X409" s="1094"/>
      <c r="Y409" s="6031"/>
      <c r="Z409" s="6031">
        <f t="shared" si="352"/>
        <v>0</v>
      </c>
      <c r="AA409" s="6052"/>
      <c r="AB409" s="429">
        <f t="shared" si="367"/>
        <v>0</v>
      </c>
      <c r="AC409" s="6058"/>
      <c r="AD409" s="1094"/>
      <c r="AE409" s="6055"/>
      <c r="AF409" s="718">
        <f t="shared" si="361"/>
        <v>0</v>
      </c>
      <c r="AG409" s="6058"/>
      <c r="AH409" s="1094"/>
      <c r="AI409" s="6055"/>
      <c r="AJ409" s="718">
        <f t="shared" si="362"/>
        <v>0</v>
      </c>
      <c r="AK409" s="6058"/>
      <c r="AL409" s="1094"/>
      <c r="AM409" s="6031"/>
      <c r="AN409" s="717">
        <f t="shared" si="353"/>
        <v>0</v>
      </c>
      <c r="AO409" s="6055"/>
      <c r="AP409" s="718">
        <f t="shared" si="368"/>
        <v>0</v>
      </c>
      <c r="AQ409" s="6058"/>
      <c r="AR409" s="1094"/>
      <c r="AS409" s="6055"/>
      <c r="AT409" s="718">
        <f t="shared" si="363"/>
        <v>0</v>
      </c>
      <c r="AU409" s="6058"/>
      <c r="AV409" s="1094"/>
      <c r="AW409" s="6055"/>
      <c r="AX409" s="718">
        <f t="shared" si="364"/>
        <v>0</v>
      </c>
      <c r="AY409" s="6058"/>
      <c r="AZ409" s="1094"/>
      <c r="BA409" s="6031"/>
      <c r="BB409" s="717">
        <f t="shared" si="354"/>
        <v>0</v>
      </c>
      <c r="BC409" s="6052"/>
      <c r="BD409" s="429">
        <f t="shared" si="365"/>
        <v>0</v>
      </c>
      <c r="BE409" s="6055"/>
      <c r="BF409" s="718">
        <f t="shared" si="366"/>
        <v>0</v>
      </c>
    </row>
    <row r="410" spans="1:58" x14ac:dyDescent="0.3">
      <c r="A410" s="186"/>
      <c r="B410" s="780" t="s">
        <v>1540</v>
      </c>
      <c r="C410" s="3167" t="s">
        <v>1720</v>
      </c>
      <c r="D410" s="3193"/>
      <c r="E410" s="6058"/>
      <c r="F410" s="2348"/>
      <c r="G410" s="6058"/>
      <c r="H410" s="2348"/>
      <c r="I410" s="6055"/>
      <c r="J410" s="718">
        <f t="shared" si="358"/>
        <v>0</v>
      </c>
      <c r="K410" s="6058"/>
      <c r="L410" s="2348"/>
      <c r="M410" s="6031"/>
      <c r="N410" s="717">
        <f t="shared" si="355"/>
        <v>0</v>
      </c>
      <c r="O410" s="6058"/>
      <c r="P410" s="2348"/>
      <c r="Q410" s="6055"/>
      <c r="R410" s="718">
        <f t="shared" si="359"/>
        <v>0</v>
      </c>
      <c r="S410" s="6058"/>
      <c r="T410" s="2348"/>
      <c r="U410" s="6055"/>
      <c r="V410" s="718">
        <f t="shared" si="360"/>
        <v>0</v>
      </c>
      <c r="W410" s="6058"/>
      <c r="X410" s="2348"/>
      <c r="Y410" s="6031"/>
      <c r="Z410" s="6031">
        <f t="shared" si="352"/>
        <v>0</v>
      </c>
      <c r="AA410" s="6052"/>
      <c r="AB410" s="429">
        <f t="shared" si="367"/>
        <v>0</v>
      </c>
      <c r="AC410" s="6058"/>
      <c r="AD410" s="2348"/>
      <c r="AE410" s="6055"/>
      <c r="AF410" s="718">
        <f t="shared" si="361"/>
        <v>0</v>
      </c>
      <c r="AG410" s="6058"/>
      <c r="AH410" s="2348"/>
      <c r="AI410" s="6055"/>
      <c r="AJ410" s="718">
        <f t="shared" si="362"/>
        <v>0</v>
      </c>
      <c r="AK410" s="6058"/>
      <c r="AL410" s="2348"/>
      <c r="AM410" s="6031"/>
      <c r="AN410" s="717">
        <f t="shared" si="353"/>
        <v>0</v>
      </c>
      <c r="AO410" s="6055"/>
      <c r="AP410" s="718">
        <f t="shared" si="368"/>
        <v>0</v>
      </c>
      <c r="AQ410" s="6058"/>
      <c r="AR410" s="2348"/>
      <c r="AS410" s="6055"/>
      <c r="AT410" s="718">
        <f t="shared" si="363"/>
        <v>0</v>
      </c>
      <c r="AU410" s="6058"/>
      <c r="AV410" s="2348"/>
      <c r="AW410" s="6055"/>
      <c r="AX410" s="718">
        <f t="shared" si="364"/>
        <v>0</v>
      </c>
      <c r="AY410" s="6058"/>
      <c r="AZ410" s="2348"/>
      <c r="BA410" s="6031"/>
      <c r="BB410" s="717">
        <f t="shared" si="354"/>
        <v>0</v>
      </c>
      <c r="BC410" s="6052"/>
      <c r="BD410" s="429">
        <f t="shared" si="365"/>
        <v>0</v>
      </c>
      <c r="BE410" s="6055"/>
      <c r="BF410" s="718">
        <f t="shared" si="366"/>
        <v>0</v>
      </c>
    </row>
    <row r="411" spans="1:58" x14ac:dyDescent="0.3">
      <c r="A411" s="186"/>
      <c r="B411" s="780" t="s">
        <v>1540</v>
      </c>
      <c r="C411" s="3167" t="s">
        <v>1573</v>
      </c>
      <c r="D411" s="3193"/>
      <c r="E411" s="6058"/>
      <c r="F411" s="1094">
        <v>42.271000000000001</v>
      </c>
      <c r="G411" s="6058"/>
      <c r="H411" s="1094"/>
      <c r="I411" s="6055"/>
      <c r="J411" s="718">
        <f t="shared" si="358"/>
        <v>42.271000000000001</v>
      </c>
      <c r="K411" s="6058"/>
      <c r="L411" s="1094"/>
      <c r="M411" s="6031"/>
      <c r="N411" s="717">
        <f t="shared" si="355"/>
        <v>42.271000000000001</v>
      </c>
      <c r="O411" s="6058"/>
      <c r="P411" s="1094"/>
      <c r="Q411" s="6055"/>
      <c r="R411" s="718">
        <f t="shared" si="359"/>
        <v>42.271000000000001</v>
      </c>
      <c r="S411" s="6058"/>
      <c r="T411" s="1094"/>
      <c r="U411" s="6055"/>
      <c r="V411" s="718">
        <f t="shared" si="360"/>
        <v>42.271000000000001</v>
      </c>
      <c r="W411" s="6058"/>
      <c r="X411" s="1094"/>
      <c r="Y411" s="6031"/>
      <c r="Z411" s="6031">
        <f t="shared" si="352"/>
        <v>0</v>
      </c>
      <c r="AA411" s="6052"/>
      <c r="AB411" s="429">
        <f t="shared" si="367"/>
        <v>42.271000000000001</v>
      </c>
      <c r="AC411" s="6058"/>
      <c r="AD411" s="1094"/>
      <c r="AE411" s="6055"/>
      <c r="AF411" s="718">
        <f t="shared" si="361"/>
        <v>42.271000000000001</v>
      </c>
      <c r="AG411" s="6058"/>
      <c r="AH411" s="1094"/>
      <c r="AI411" s="6055"/>
      <c r="AJ411" s="718">
        <f t="shared" si="362"/>
        <v>42.271000000000001</v>
      </c>
      <c r="AK411" s="6058"/>
      <c r="AL411" s="1094"/>
      <c r="AM411" s="6031"/>
      <c r="AN411" s="717">
        <f t="shared" si="353"/>
        <v>0</v>
      </c>
      <c r="AO411" s="6055"/>
      <c r="AP411" s="718">
        <f t="shared" si="368"/>
        <v>42.271000000000001</v>
      </c>
      <c r="AQ411" s="6058"/>
      <c r="AR411" s="1094"/>
      <c r="AS411" s="6055"/>
      <c r="AT411" s="718">
        <f t="shared" si="363"/>
        <v>42.271000000000001</v>
      </c>
      <c r="AU411" s="6058"/>
      <c r="AV411" s="1094"/>
      <c r="AW411" s="6055"/>
      <c r="AX411" s="718">
        <f t="shared" si="364"/>
        <v>42.271000000000001</v>
      </c>
      <c r="AY411" s="6058"/>
      <c r="AZ411" s="1094"/>
      <c r="BA411" s="6031"/>
      <c r="BB411" s="717">
        <f t="shared" si="354"/>
        <v>0</v>
      </c>
      <c r="BC411" s="6052"/>
      <c r="BD411" s="429">
        <f t="shared" si="365"/>
        <v>0</v>
      </c>
      <c r="BE411" s="6055"/>
      <c r="BF411" s="718">
        <f t="shared" si="366"/>
        <v>42.271000000000001</v>
      </c>
    </row>
    <row r="412" spans="1:58" x14ac:dyDescent="0.3">
      <c r="A412" s="186"/>
      <c r="B412" s="4573" t="s">
        <v>1540</v>
      </c>
      <c r="C412" s="4574" t="s">
        <v>1572</v>
      </c>
      <c r="D412" s="4575"/>
      <c r="E412" s="6058"/>
      <c r="F412" s="1094"/>
      <c r="G412" s="6058"/>
      <c r="H412" s="1094"/>
      <c r="I412" s="6055"/>
      <c r="J412" s="718">
        <f t="shared" si="358"/>
        <v>0</v>
      </c>
      <c r="K412" s="6058"/>
      <c r="L412" s="1094"/>
      <c r="M412" s="6031"/>
      <c r="N412" s="717">
        <f t="shared" si="355"/>
        <v>0</v>
      </c>
      <c r="O412" s="6058"/>
      <c r="P412" s="1094"/>
      <c r="Q412" s="6055"/>
      <c r="R412" s="718">
        <f t="shared" si="359"/>
        <v>0</v>
      </c>
      <c r="S412" s="6058"/>
      <c r="T412" s="1094"/>
      <c r="U412" s="6055"/>
      <c r="V412" s="718">
        <f t="shared" si="360"/>
        <v>0</v>
      </c>
      <c r="W412" s="6058"/>
      <c r="X412" s="1094"/>
      <c r="Y412" s="6031"/>
      <c r="Z412" s="6031">
        <f t="shared" si="352"/>
        <v>0</v>
      </c>
      <c r="AA412" s="6052"/>
      <c r="AB412" s="429">
        <f t="shared" si="367"/>
        <v>0</v>
      </c>
      <c r="AC412" s="6058"/>
      <c r="AD412" s="1094"/>
      <c r="AE412" s="6055"/>
      <c r="AF412" s="718">
        <f t="shared" si="361"/>
        <v>0</v>
      </c>
      <c r="AG412" s="6058"/>
      <c r="AH412" s="1094"/>
      <c r="AI412" s="6055"/>
      <c r="AJ412" s="718">
        <f t="shared" si="362"/>
        <v>0</v>
      </c>
      <c r="AK412" s="6058"/>
      <c r="AL412" s="1094"/>
      <c r="AM412" s="6031"/>
      <c r="AN412" s="717">
        <f t="shared" si="353"/>
        <v>0</v>
      </c>
      <c r="AO412" s="6055"/>
      <c r="AP412" s="718">
        <f t="shared" si="368"/>
        <v>0</v>
      </c>
      <c r="AQ412" s="6058"/>
      <c r="AR412" s="1094"/>
      <c r="AS412" s="6055"/>
      <c r="AT412" s="718">
        <f t="shared" si="363"/>
        <v>0</v>
      </c>
      <c r="AU412" s="6058"/>
      <c r="AV412" s="1094"/>
      <c r="AW412" s="6055"/>
      <c r="AX412" s="718">
        <f t="shared" si="364"/>
        <v>0</v>
      </c>
      <c r="AY412" s="6058"/>
      <c r="AZ412" s="1094"/>
      <c r="BA412" s="6031"/>
      <c r="BB412" s="717">
        <f t="shared" si="354"/>
        <v>0</v>
      </c>
      <c r="BC412" s="6052"/>
      <c r="BD412" s="429">
        <f t="shared" si="365"/>
        <v>0</v>
      </c>
      <c r="BE412" s="6055"/>
      <c r="BF412" s="718">
        <f t="shared" si="366"/>
        <v>0</v>
      </c>
    </row>
    <row r="413" spans="1:58" x14ac:dyDescent="0.3">
      <c r="A413" s="186"/>
      <c r="B413" s="4654" t="s">
        <v>2073</v>
      </c>
      <c r="C413" s="4655" t="s">
        <v>859</v>
      </c>
      <c r="D413" s="4656"/>
      <c r="E413" s="6058"/>
      <c r="F413" s="4657">
        <v>32.305</v>
      </c>
      <c r="G413" s="6058"/>
      <c r="H413" s="4657"/>
      <c r="I413" s="6055"/>
      <c r="J413" s="718">
        <f t="shared" si="358"/>
        <v>32.305</v>
      </c>
      <c r="K413" s="6058"/>
      <c r="L413" s="4657"/>
      <c r="M413" s="6031"/>
      <c r="N413" s="717">
        <f t="shared" si="355"/>
        <v>32.305</v>
      </c>
      <c r="O413" s="6058"/>
      <c r="P413" s="4657"/>
      <c r="Q413" s="6055"/>
      <c r="R413" s="718">
        <f t="shared" si="359"/>
        <v>32.305</v>
      </c>
      <c r="S413" s="6058"/>
      <c r="T413" s="4657"/>
      <c r="U413" s="6055"/>
      <c r="V413" s="718">
        <f t="shared" si="360"/>
        <v>32.305</v>
      </c>
      <c r="W413" s="6058"/>
      <c r="X413" s="4657"/>
      <c r="Y413" s="6031"/>
      <c r="Z413" s="6031">
        <f t="shared" si="352"/>
        <v>0</v>
      </c>
      <c r="AA413" s="6052"/>
      <c r="AB413" s="429">
        <f t="shared" si="367"/>
        <v>32.305</v>
      </c>
      <c r="AC413" s="6058"/>
      <c r="AD413" s="4657"/>
      <c r="AE413" s="6055"/>
      <c r="AF413" s="718">
        <f t="shared" si="361"/>
        <v>32.305</v>
      </c>
      <c r="AG413" s="6058"/>
      <c r="AH413" s="4657"/>
      <c r="AI413" s="6055"/>
      <c r="AJ413" s="718">
        <f t="shared" si="362"/>
        <v>32.305</v>
      </c>
      <c r="AK413" s="6058"/>
      <c r="AL413" s="4657"/>
      <c r="AM413" s="6031"/>
      <c r="AN413" s="717">
        <f t="shared" si="353"/>
        <v>0</v>
      </c>
      <c r="AO413" s="6055"/>
      <c r="AP413" s="718">
        <f t="shared" si="368"/>
        <v>32.305</v>
      </c>
      <c r="AQ413" s="6058"/>
      <c r="AR413" s="4657"/>
      <c r="AS413" s="6055"/>
      <c r="AT413" s="718">
        <f t="shared" si="363"/>
        <v>32.305</v>
      </c>
      <c r="AU413" s="6058"/>
      <c r="AV413" s="4657"/>
      <c r="AW413" s="6055"/>
      <c r="AX413" s="718">
        <f t="shared" si="364"/>
        <v>32.305</v>
      </c>
      <c r="AY413" s="6058"/>
      <c r="AZ413" s="4657"/>
      <c r="BA413" s="6031"/>
      <c r="BB413" s="717">
        <f t="shared" si="354"/>
        <v>0</v>
      </c>
      <c r="BC413" s="6052"/>
      <c r="BD413" s="429">
        <f t="shared" si="365"/>
        <v>0</v>
      </c>
      <c r="BE413" s="6055"/>
      <c r="BF413" s="718">
        <f t="shared" si="366"/>
        <v>32.305</v>
      </c>
    </row>
    <row r="414" spans="1:58" x14ac:dyDescent="0.3">
      <c r="A414" s="186"/>
      <c r="B414" s="4654" t="s">
        <v>2069</v>
      </c>
      <c r="C414" s="4655" t="s">
        <v>859</v>
      </c>
      <c r="D414" s="4656"/>
      <c r="E414" s="6058"/>
      <c r="F414" s="4657">
        <v>8.1389999999999993</v>
      </c>
      <c r="G414" s="6058"/>
      <c r="H414" s="4657"/>
      <c r="I414" s="6055"/>
      <c r="J414" s="718">
        <f t="shared" si="358"/>
        <v>8.1389999999999993</v>
      </c>
      <c r="K414" s="6058"/>
      <c r="L414" s="4657"/>
      <c r="M414" s="6031"/>
      <c r="N414" s="717">
        <f t="shared" si="355"/>
        <v>8.1389999999999993</v>
      </c>
      <c r="O414" s="6058"/>
      <c r="P414" s="4657"/>
      <c r="Q414" s="6055"/>
      <c r="R414" s="718">
        <f t="shared" si="359"/>
        <v>8.1389999999999993</v>
      </c>
      <c r="S414" s="6058"/>
      <c r="T414" s="4657"/>
      <c r="U414" s="6055"/>
      <c r="V414" s="718">
        <f t="shared" si="360"/>
        <v>8.1389999999999993</v>
      </c>
      <c r="W414" s="6058"/>
      <c r="X414" s="4657"/>
      <c r="Y414" s="6031"/>
      <c r="Z414" s="6031">
        <f t="shared" si="352"/>
        <v>0</v>
      </c>
      <c r="AA414" s="6052"/>
      <c r="AB414" s="429">
        <f t="shared" si="367"/>
        <v>8.1389999999999993</v>
      </c>
      <c r="AC414" s="6058"/>
      <c r="AD414" s="4657"/>
      <c r="AE414" s="6055"/>
      <c r="AF414" s="718">
        <f t="shared" si="361"/>
        <v>8.1389999999999993</v>
      </c>
      <c r="AG414" s="6058"/>
      <c r="AH414" s="4657"/>
      <c r="AI414" s="6055"/>
      <c r="AJ414" s="718">
        <f t="shared" si="362"/>
        <v>8.1389999999999993</v>
      </c>
      <c r="AK414" s="6058"/>
      <c r="AL414" s="4657"/>
      <c r="AM414" s="6031"/>
      <c r="AN414" s="717">
        <f t="shared" si="353"/>
        <v>0</v>
      </c>
      <c r="AO414" s="6055"/>
      <c r="AP414" s="718">
        <f t="shared" si="368"/>
        <v>8.1389999999999993</v>
      </c>
      <c r="AQ414" s="6058"/>
      <c r="AR414" s="4657"/>
      <c r="AS414" s="6055"/>
      <c r="AT414" s="718">
        <f t="shared" si="363"/>
        <v>8.1389999999999993</v>
      </c>
      <c r="AU414" s="6058"/>
      <c r="AV414" s="4657"/>
      <c r="AW414" s="6055"/>
      <c r="AX414" s="718">
        <f t="shared" si="364"/>
        <v>8.1389999999999993</v>
      </c>
      <c r="AY414" s="6058"/>
      <c r="AZ414" s="4657"/>
      <c r="BA414" s="6031"/>
      <c r="BB414" s="717">
        <f t="shared" si="354"/>
        <v>0</v>
      </c>
      <c r="BC414" s="6052"/>
      <c r="BD414" s="429">
        <f t="shared" si="365"/>
        <v>0</v>
      </c>
      <c r="BE414" s="6055"/>
      <c r="BF414" s="718">
        <f t="shared" si="366"/>
        <v>8.1389999999999993</v>
      </c>
    </row>
    <row r="415" spans="1:58" x14ac:dyDescent="0.3">
      <c r="A415" s="186"/>
      <c r="B415" s="4799" t="s">
        <v>2069</v>
      </c>
      <c r="C415" s="4794" t="s">
        <v>858</v>
      </c>
      <c r="D415" s="4800"/>
      <c r="E415" s="6058"/>
      <c r="F415" s="4023">
        <v>95.281999999999996</v>
      </c>
      <c r="G415" s="6058"/>
      <c r="H415" s="4023">
        <v>32.049999999999997</v>
      </c>
      <c r="I415" s="6055"/>
      <c r="J415" s="718">
        <f t="shared" si="358"/>
        <v>127.33199999999999</v>
      </c>
      <c r="K415" s="6058"/>
      <c r="L415" s="4023"/>
      <c r="M415" s="6031"/>
      <c r="N415" s="717">
        <f t="shared" si="355"/>
        <v>127.33199999999999</v>
      </c>
      <c r="O415" s="6058"/>
      <c r="P415" s="4023"/>
      <c r="Q415" s="6055"/>
      <c r="R415" s="718">
        <f t="shared" si="359"/>
        <v>127.33199999999999</v>
      </c>
      <c r="S415" s="6058"/>
      <c r="T415" s="4023"/>
      <c r="U415" s="6055"/>
      <c r="V415" s="718">
        <f t="shared" si="360"/>
        <v>127.33199999999999</v>
      </c>
      <c r="W415" s="6058"/>
      <c r="X415" s="4023"/>
      <c r="Y415" s="6031"/>
      <c r="Z415" s="6031">
        <f t="shared" ref="Z415:Z460" si="369">+P415+T415+X415</f>
        <v>0</v>
      </c>
      <c r="AA415" s="6052"/>
      <c r="AB415" s="429">
        <f t="shared" si="367"/>
        <v>127.33199999999999</v>
      </c>
      <c r="AC415" s="6058"/>
      <c r="AD415" s="4023"/>
      <c r="AE415" s="6055"/>
      <c r="AF415" s="718">
        <f t="shared" si="361"/>
        <v>127.33199999999999</v>
      </c>
      <c r="AG415" s="6058"/>
      <c r="AH415" s="4023"/>
      <c r="AI415" s="6055"/>
      <c r="AJ415" s="718">
        <f t="shared" si="362"/>
        <v>127.33199999999999</v>
      </c>
      <c r="AK415" s="6058"/>
      <c r="AL415" s="4023"/>
      <c r="AM415" s="6031"/>
      <c r="AN415" s="717">
        <f t="shared" ref="AN415:AN460" si="370">+AD415+AH415+AL415</f>
        <v>0</v>
      </c>
      <c r="AO415" s="6055"/>
      <c r="AP415" s="718">
        <f t="shared" si="368"/>
        <v>127.33199999999999</v>
      </c>
      <c r="AQ415" s="6058"/>
      <c r="AR415" s="4023"/>
      <c r="AS415" s="6055"/>
      <c r="AT415" s="718">
        <f t="shared" si="363"/>
        <v>127.33199999999999</v>
      </c>
      <c r="AU415" s="6058"/>
      <c r="AV415" s="4023"/>
      <c r="AW415" s="6055"/>
      <c r="AX415" s="718">
        <f t="shared" si="364"/>
        <v>127.33199999999999</v>
      </c>
      <c r="AY415" s="6058"/>
      <c r="AZ415" s="4023"/>
      <c r="BA415" s="6031"/>
      <c r="BB415" s="717">
        <f t="shared" ref="BB415:BB460" si="371">+AR415+AV415+AZ415</f>
        <v>0</v>
      </c>
      <c r="BC415" s="6052"/>
      <c r="BD415" s="429">
        <f t="shared" si="365"/>
        <v>0</v>
      </c>
      <c r="BE415" s="6055"/>
      <c r="BF415" s="718">
        <f t="shared" si="366"/>
        <v>127.33199999999999</v>
      </c>
    </row>
    <row r="416" spans="1:58" x14ac:dyDescent="0.3">
      <c r="A416" s="186"/>
      <c r="B416" s="4576" t="s">
        <v>2029</v>
      </c>
      <c r="C416" s="4577" t="s">
        <v>858</v>
      </c>
      <c r="D416" s="4577"/>
      <c r="E416" s="6058"/>
      <c r="F416" s="4513"/>
      <c r="G416" s="6058"/>
      <c r="H416" s="4513">
        <v>602.70000000000005</v>
      </c>
      <c r="I416" s="6055"/>
      <c r="J416" s="718">
        <f t="shared" si="358"/>
        <v>602.70000000000005</v>
      </c>
      <c r="K416" s="6058"/>
      <c r="L416" s="4513"/>
      <c r="M416" s="6031"/>
      <c r="N416" s="717">
        <f t="shared" si="355"/>
        <v>602.70000000000005</v>
      </c>
      <c r="O416" s="6058"/>
      <c r="P416" s="4513"/>
      <c r="Q416" s="6055"/>
      <c r="R416" s="718">
        <f t="shared" si="359"/>
        <v>602.70000000000005</v>
      </c>
      <c r="S416" s="6058"/>
      <c r="T416" s="4513"/>
      <c r="U416" s="6055"/>
      <c r="V416" s="718">
        <f t="shared" si="360"/>
        <v>602.70000000000005</v>
      </c>
      <c r="W416" s="6058"/>
      <c r="X416" s="4513"/>
      <c r="Y416" s="6031"/>
      <c r="Z416" s="6031">
        <f t="shared" si="369"/>
        <v>0</v>
      </c>
      <c r="AA416" s="6052"/>
      <c r="AB416" s="429">
        <f t="shared" si="367"/>
        <v>602.70000000000005</v>
      </c>
      <c r="AC416" s="6058"/>
      <c r="AD416" s="4513"/>
      <c r="AE416" s="6055"/>
      <c r="AF416" s="718">
        <f t="shared" si="361"/>
        <v>602.70000000000005</v>
      </c>
      <c r="AG416" s="6058"/>
      <c r="AH416" s="4513"/>
      <c r="AI416" s="6055"/>
      <c r="AJ416" s="718">
        <f t="shared" si="362"/>
        <v>602.70000000000005</v>
      </c>
      <c r="AK416" s="6058"/>
      <c r="AL416" s="4513"/>
      <c r="AM416" s="6031"/>
      <c r="AN416" s="717">
        <f t="shared" si="370"/>
        <v>0</v>
      </c>
      <c r="AO416" s="6055"/>
      <c r="AP416" s="718">
        <f t="shared" si="368"/>
        <v>602.70000000000005</v>
      </c>
      <c r="AQ416" s="6058"/>
      <c r="AR416" s="4513"/>
      <c r="AS416" s="6055"/>
      <c r="AT416" s="718">
        <f t="shared" si="363"/>
        <v>602.70000000000005</v>
      </c>
      <c r="AU416" s="6058"/>
      <c r="AV416" s="4513"/>
      <c r="AW416" s="6055"/>
      <c r="AX416" s="718">
        <f t="shared" si="364"/>
        <v>602.70000000000005</v>
      </c>
      <c r="AY416" s="6058"/>
      <c r="AZ416" s="4513"/>
      <c r="BA416" s="6031"/>
      <c r="BB416" s="717">
        <f t="shared" si="371"/>
        <v>0</v>
      </c>
      <c r="BC416" s="6052"/>
      <c r="BD416" s="429">
        <f t="shared" si="365"/>
        <v>0</v>
      </c>
      <c r="BE416" s="6055"/>
      <c r="BF416" s="718">
        <f t="shared" si="366"/>
        <v>602.70000000000005</v>
      </c>
    </row>
    <row r="417" spans="1:58" x14ac:dyDescent="0.3">
      <c r="A417" s="186"/>
      <c r="B417" s="4576" t="s">
        <v>2025</v>
      </c>
      <c r="C417" s="4577" t="s">
        <v>858</v>
      </c>
      <c r="D417" s="4577"/>
      <c r="E417" s="6058"/>
      <c r="F417" s="4513">
        <v>314.61400000000003</v>
      </c>
      <c r="G417" s="6058"/>
      <c r="H417" s="4513">
        <v>816.04</v>
      </c>
      <c r="I417" s="6055"/>
      <c r="J417" s="718">
        <f t="shared" si="358"/>
        <v>1130.654</v>
      </c>
      <c r="K417" s="6058"/>
      <c r="L417" s="4513"/>
      <c r="M417" s="6031"/>
      <c r="N417" s="717">
        <f t="shared" si="355"/>
        <v>1130.654</v>
      </c>
      <c r="O417" s="6058"/>
      <c r="P417" s="4513"/>
      <c r="Q417" s="6055"/>
      <c r="R417" s="718">
        <f t="shared" si="359"/>
        <v>1130.654</v>
      </c>
      <c r="S417" s="6058"/>
      <c r="T417" s="4513"/>
      <c r="U417" s="6055"/>
      <c r="V417" s="718">
        <f t="shared" si="360"/>
        <v>1130.654</v>
      </c>
      <c r="W417" s="6058"/>
      <c r="X417" s="4513"/>
      <c r="Y417" s="6031"/>
      <c r="Z417" s="6031">
        <f t="shared" si="369"/>
        <v>0</v>
      </c>
      <c r="AA417" s="6052"/>
      <c r="AB417" s="429">
        <f t="shared" si="367"/>
        <v>1130.654</v>
      </c>
      <c r="AC417" s="6058"/>
      <c r="AD417" s="4513"/>
      <c r="AE417" s="6055"/>
      <c r="AF417" s="718">
        <f t="shared" si="361"/>
        <v>1130.654</v>
      </c>
      <c r="AG417" s="6058"/>
      <c r="AH417" s="4513"/>
      <c r="AI417" s="6055"/>
      <c r="AJ417" s="718">
        <f t="shared" si="362"/>
        <v>1130.654</v>
      </c>
      <c r="AK417" s="6058"/>
      <c r="AL417" s="4513"/>
      <c r="AM417" s="6031"/>
      <c r="AN417" s="717">
        <f t="shared" si="370"/>
        <v>0</v>
      </c>
      <c r="AO417" s="6055"/>
      <c r="AP417" s="718">
        <f t="shared" si="368"/>
        <v>1130.654</v>
      </c>
      <c r="AQ417" s="6058"/>
      <c r="AR417" s="4513"/>
      <c r="AS417" s="6055"/>
      <c r="AT417" s="718">
        <f t="shared" si="363"/>
        <v>1130.654</v>
      </c>
      <c r="AU417" s="6058"/>
      <c r="AV417" s="4513"/>
      <c r="AW417" s="6055"/>
      <c r="AX417" s="718">
        <f t="shared" si="364"/>
        <v>1130.654</v>
      </c>
      <c r="AY417" s="6058"/>
      <c r="AZ417" s="4513"/>
      <c r="BA417" s="6031"/>
      <c r="BB417" s="717">
        <f t="shared" si="371"/>
        <v>0</v>
      </c>
      <c r="BC417" s="6052"/>
      <c r="BD417" s="429">
        <f t="shared" si="365"/>
        <v>0</v>
      </c>
      <c r="BE417" s="6055"/>
      <c r="BF417" s="718">
        <f t="shared" si="366"/>
        <v>1130.654</v>
      </c>
    </row>
    <row r="418" spans="1:58" x14ac:dyDescent="0.3">
      <c r="A418" s="186"/>
      <c r="B418" s="4576" t="s">
        <v>2053</v>
      </c>
      <c r="C418" s="4577" t="s">
        <v>858</v>
      </c>
      <c r="D418" s="4577"/>
      <c r="E418" s="6058"/>
      <c r="F418" s="4513">
        <v>226.09199999999998</v>
      </c>
      <c r="G418" s="6058"/>
      <c r="H418" s="4513">
        <v>16.948</v>
      </c>
      <c r="I418" s="6055"/>
      <c r="J418" s="718">
        <f t="shared" si="358"/>
        <v>243.04</v>
      </c>
      <c r="K418" s="6058"/>
      <c r="L418" s="4513"/>
      <c r="M418" s="6031"/>
      <c r="N418" s="717">
        <f t="shared" si="355"/>
        <v>243.04</v>
      </c>
      <c r="O418" s="6058"/>
      <c r="P418" s="4513"/>
      <c r="Q418" s="6055"/>
      <c r="R418" s="718">
        <f t="shared" si="359"/>
        <v>243.04</v>
      </c>
      <c r="S418" s="6058"/>
      <c r="T418" s="4513"/>
      <c r="U418" s="6055"/>
      <c r="V418" s="718">
        <f t="shared" si="360"/>
        <v>243.04</v>
      </c>
      <c r="W418" s="6058"/>
      <c r="X418" s="4513"/>
      <c r="Y418" s="6031"/>
      <c r="Z418" s="6031">
        <f t="shared" si="369"/>
        <v>0</v>
      </c>
      <c r="AA418" s="6052"/>
      <c r="AB418" s="429">
        <f t="shared" si="367"/>
        <v>243.04</v>
      </c>
      <c r="AC418" s="6058"/>
      <c r="AD418" s="4513"/>
      <c r="AE418" s="6055"/>
      <c r="AF418" s="718">
        <f t="shared" si="361"/>
        <v>243.04</v>
      </c>
      <c r="AG418" s="6058"/>
      <c r="AH418" s="4513"/>
      <c r="AI418" s="6055"/>
      <c r="AJ418" s="718">
        <f t="shared" si="362"/>
        <v>243.04</v>
      </c>
      <c r="AK418" s="6058"/>
      <c r="AL418" s="4513"/>
      <c r="AM418" s="6031"/>
      <c r="AN418" s="717">
        <f t="shared" si="370"/>
        <v>0</v>
      </c>
      <c r="AO418" s="6055"/>
      <c r="AP418" s="718">
        <f t="shared" si="368"/>
        <v>243.04</v>
      </c>
      <c r="AQ418" s="6058"/>
      <c r="AR418" s="4513"/>
      <c r="AS418" s="6055"/>
      <c r="AT418" s="718">
        <f t="shared" si="363"/>
        <v>243.04</v>
      </c>
      <c r="AU418" s="6058"/>
      <c r="AV418" s="4513"/>
      <c r="AW418" s="6055"/>
      <c r="AX418" s="718">
        <f t="shared" si="364"/>
        <v>243.04</v>
      </c>
      <c r="AY418" s="6058"/>
      <c r="AZ418" s="4513"/>
      <c r="BA418" s="6031"/>
      <c r="BB418" s="717">
        <f t="shared" si="371"/>
        <v>0</v>
      </c>
      <c r="BC418" s="6052"/>
      <c r="BD418" s="429">
        <f t="shared" si="365"/>
        <v>0</v>
      </c>
      <c r="BE418" s="6055"/>
      <c r="BF418" s="718">
        <f t="shared" si="366"/>
        <v>243.04</v>
      </c>
    </row>
    <row r="419" spans="1:58" x14ac:dyDescent="0.3">
      <c r="A419" s="186"/>
      <c r="B419" s="4576" t="s">
        <v>2094</v>
      </c>
      <c r="C419" s="4577" t="s">
        <v>858</v>
      </c>
      <c r="D419" s="4806"/>
      <c r="E419" s="6058"/>
      <c r="F419" s="4657">
        <v>197.738</v>
      </c>
      <c r="G419" s="6058"/>
      <c r="H419" s="4657"/>
      <c r="I419" s="6055"/>
      <c r="J419" s="718">
        <f t="shared" si="358"/>
        <v>197.738</v>
      </c>
      <c r="K419" s="6058"/>
      <c r="L419" s="4657"/>
      <c r="M419" s="6031"/>
      <c r="N419" s="717">
        <f t="shared" si="355"/>
        <v>197.738</v>
      </c>
      <c r="O419" s="6058"/>
      <c r="P419" s="4657"/>
      <c r="Q419" s="6055"/>
      <c r="R419" s="718">
        <f t="shared" si="359"/>
        <v>197.738</v>
      </c>
      <c r="S419" s="6058"/>
      <c r="T419" s="4657"/>
      <c r="U419" s="6055"/>
      <c r="V419" s="718">
        <f t="shared" si="360"/>
        <v>197.738</v>
      </c>
      <c r="W419" s="6058"/>
      <c r="X419" s="4657"/>
      <c r="Y419" s="6031"/>
      <c r="Z419" s="6031">
        <f t="shared" si="369"/>
        <v>0</v>
      </c>
      <c r="AA419" s="6052"/>
      <c r="AB419" s="429">
        <f t="shared" si="367"/>
        <v>197.738</v>
      </c>
      <c r="AC419" s="6058"/>
      <c r="AD419" s="4657"/>
      <c r="AE419" s="6055"/>
      <c r="AF419" s="718">
        <f t="shared" si="361"/>
        <v>197.738</v>
      </c>
      <c r="AG419" s="6058"/>
      <c r="AH419" s="4657"/>
      <c r="AI419" s="6055"/>
      <c r="AJ419" s="718">
        <f t="shared" si="362"/>
        <v>197.738</v>
      </c>
      <c r="AK419" s="6058"/>
      <c r="AL419" s="4657"/>
      <c r="AM419" s="6031"/>
      <c r="AN419" s="717">
        <f t="shared" si="370"/>
        <v>0</v>
      </c>
      <c r="AO419" s="6055"/>
      <c r="AP419" s="718">
        <f t="shared" si="368"/>
        <v>197.738</v>
      </c>
      <c r="AQ419" s="6058"/>
      <c r="AR419" s="4657"/>
      <c r="AS419" s="6055"/>
      <c r="AT419" s="718">
        <f t="shared" si="363"/>
        <v>197.738</v>
      </c>
      <c r="AU419" s="6058"/>
      <c r="AV419" s="4657"/>
      <c r="AW419" s="6055"/>
      <c r="AX419" s="718">
        <f t="shared" si="364"/>
        <v>197.738</v>
      </c>
      <c r="AY419" s="6058"/>
      <c r="AZ419" s="4657"/>
      <c r="BA419" s="6031"/>
      <c r="BB419" s="717">
        <f t="shared" si="371"/>
        <v>0</v>
      </c>
      <c r="BC419" s="6052"/>
      <c r="BD419" s="429">
        <f t="shared" si="365"/>
        <v>0</v>
      </c>
      <c r="BE419" s="6055"/>
      <c r="BF419" s="718">
        <f t="shared" si="366"/>
        <v>197.738</v>
      </c>
    </row>
    <row r="420" spans="1:58" x14ac:dyDescent="0.3">
      <c r="A420" s="186"/>
      <c r="B420" s="4576" t="s">
        <v>2045</v>
      </c>
      <c r="C420" s="4577" t="s">
        <v>858</v>
      </c>
      <c r="D420" s="4577"/>
      <c r="E420" s="6058"/>
      <c r="F420" s="4513">
        <v>106.36500000000001</v>
      </c>
      <c r="G420" s="6058"/>
      <c r="H420" s="4513">
        <v>76.501999999999995</v>
      </c>
      <c r="I420" s="6055"/>
      <c r="J420" s="718">
        <f t="shared" si="358"/>
        <v>182.86700000000002</v>
      </c>
      <c r="K420" s="6058"/>
      <c r="L420" s="4513"/>
      <c r="M420" s="6031"/>
      <c r="N420" s="717">
        <f t="shared" si="355"/>
        <v>182.86700000000002</v>
      </c>
      <c r="O420" s="6058"/>
      <c r="P420" s="4513"/>
      <c r="Q420" s="6055"/>
      <c r="R420" s="718">
        <f t="shared" si="359"/>
        <v>182.86700000000002</v>
      </c>
      <c r="S420" s="6058"/>
      <c r="T420" s="4513"/>
      <c r="U420" s="6055"/>
      <c r="V420" s="718">
        <f t="shared" si="360"/>
        <v>182.86700000000002</v>
      </c>
      <c r="W420" s="6058"/>
      <c r="X420" s="4513"/>
      <c r="Y420" s="6031"/>
      <c r="Z420" s="6031">
        <f t="shared" si="369"/>
        <v>0</v>
      </c>
      <c r="AA420" s="6052"/>
      <c r="AB420" s="429">
        <f t="shared" si="367"/>
        <v>182.86700000000002</v>
      </c>
      <c r="AC420" s="6058"/>
      <c r="AD420" s="4513"/>
      <c r="AE420" s="6055"/>
      <c r="AF420" s="718">
        <f t="shared" si="361"/>
        <v>182.86700000000002</v>
      </c>
      <c r="AG420" s="6058"/>
      <c r="AH420" s="4513"/>
      <c r="AI420" s="6055"/>
      <c r="AJ420" s="718">
        <f t="shared" si="362"/>
        <v>182.86700000000002</v>
      </c>
      <c r="AK420" s="6058"/>
      <c r="AL420" s="4513"/>
      <c r="AM420" s="6031"/>
      <c r="AN420" s="717">
        <f t="shared" si="370"/>
        <v>0</v>
      </c>
      <c r="AO420" s="6055"/>
      <c r="AP420" s="718">
        <f t="shared" si="368"/>
        <v>182.86700000000002</v>
      </c>
      <c r="AQ420" s="6058"/>
      <c r="AR420" s="4513"/>
      <c r="AS420" s="6055"/>
      <c r="AT420" s="718">
        <f t="shared" si="363"/>
        <v>182.86700000000002</v>
      </c>
      <c r="AU420" s="6058"/>
      <c r="AV420" s="4513"/>
      <c r="AW420" s="6055"/>
      <c r="AX420" s="718">
        <f t="shared" si="364"/>
        <v>182.86700000000002</v>
      </c>
      <c r="AY420" s="6058"/>
      <c r="AZ420" s="4513"/>
      <c r="BA420" s="6031"/>
      <c r="BB420" s="717">
        <f t="shared" si="371"/>
        <v>0</v>
      </c>
      <c r="BC420" s="6052"/>
      <c r="BD420" s="429">
        <f t="shared" si="365"/>
        <v>0</v>
      </c>
      <c r="BE420" s="6055"/>
      <c r="BF420" s="718">
        <f t="shared" si="366"/>
        <v>182.86700000000002</v>
      </c>
    </row>
    <row r="421" spans="1:58" x14ac:dyDescent="0.3">
      <c r="A421" s="186"/>
      <c r="B421" s="4576" t="s">
        <v>2025</v>
      </c>
      <c r="C421" s="4577" t="s">
        <v>859</v>
      </c>
      <c r="D421" s="4577"/>
      <c r="E421" s="6058"/>
      <c r="F421" s="4513">
        <v>26.808999999999997</v>
      </c>
      <c r="G421" s="6058"/>
      <c r="H421" s="4513"/>
      <c r="I421" s="6055"/>
      <c r="J421" s="718">
        <f t="shared" si="358"/>
        <v>26.808999999999997</v>
      </c>
      <c r="K421" s="6058"/>
      <c r="L421" s="4513"/>
      <c r="M421" s="6031"/>
      <c r="N421" s="717">
        <f t="shared" si="355"/>
        <v>26.808999999999997</v>
      </c>
      <c r="O421" s="6058"/>
      <c r="P421" s="4513"/>
      <c r="Q421" s="6055"/>
      <c r="R421" s="718">
        <f t="shared" si="359"/>
        <v>26.808999999999997</v>
      </c>
      <c r="S421" s="6058"/>
      <c r="T421" s="4513"/>
      <c r="U421" s="6055"/>
      <c r="V421" s="718">
        <f t="shared" si="360"/>
        <v>26.808999999999997</v>
      </c>
      <c r="W421" s="6058"/>
      <c r="X421" s="4513"/>
      <c r="Y421" s="6031"/>
      <c r="Z421" s="6031">
        <f t="shared" si="369"/>
        <v>0</v>
      </c>
      <c r="AA421" s="6052"/>
      <c r="AB421" s="429">
        <f t="shared" si="367"/>
        <v>26.808999999999997</v>
      </c>
      <c r="AC421" s="6058"/>
      <c r="AD421" s="4513"/>
      <c r="AE421" s="6055"/>
      <c r="AF421" s="718">
        <f t="shared" si="361"/>
        <v>26.808999999999997</v>
      </c>
      <c r="AG421" s="6058"/>
      <c r="AH421" s="4513"/>
      <c r="AI421" s="6055"/>
      <c r="AJ421" s="718">
        <f t="shared" si="362"/>
        <v>26.808999999999997</v>
      </c>
      <c r="AK421" s="6058"/>
      <c r="AL421" s="4513"/>
      <c r="AM421" s="6031"/>
      <c r="AN421" s="717">
        <f t="shared" si="370"/>
        <v>0</v>
      </c>
      <c r="AO421" s="6055"/>
      <c r="AP421" s="718">
        <f t="shared" si="368"/>
        <v>26.808999999999997</v>
      </c>
      <c r="AQ421" s="6058"/>
      <c r="AR421" s="4513"/>
      <c r="AS421" s="6055"/>
      <c r="AT421" s="718">
        <f t="shared" si="363"/>
        <v>26.808999999999997</v>
      </c>
      <c r="AU421" s="6058"/>
      <c r="AV421" s="4513"/>
      <c r="AW421" s="6055"/>
      <c r="AX421" s="718">
        <f t="shared" si="364"/>
        <v>26.808999999999997</v>
      </c>
      <c r="AY421" s="6058"/>
      <c r="AZ421" s="4513"/>
      <c r="BA421" s="6031"/>
      <c r="BB421" s="717">
        <f t="shared" si="371"/>
        <v>0</v>
      </c>
      <c r="BC421" s="6052"/>
      <c r="BD421" s="429">
        <f t="shared" si="365"/>
        <v>0</v>
      </c>
      <c r="BE421" s="6055"/>
      <c r="BF421" s="718">
        <f t="shared" si="366"/>
        <v>26.808999999999997</v>
      </c>
    </row>
    <row r="422" spans="1:58" x14ac:dyDescent="0.3">
      <c r="A422" s="186"/>
      <c r="B422" s="4576" t="s">
        <v>2030</v>
      </c>
      <c r="C422" s="4577" t="s">
        <v>858</v>
      </c>
      <c r="D422" s="4577"/>
      <c r="E422" s="6058"/>
      <c r="F422" s="4478">
        <v>14.654</v>
      </c>
      <c r="G422" s="6058"/>
      <c r="H422" s="4478"/>
      <c r="I422" s="6055"/>
      <c r="J422" s="718">
        <f t="shared" si="358"/>
        <v>14.654</v>
      </c>
      <c r="K422" s="6058"/>
      <c r="L422" s="4478"/>
      <c r="M422" s="6031"/>
      <c r="N422" s="717">
        <f t="shared" si="355"/>
        <v>14.654</v>
      </c>
      <c r="O422" s="6058"/>
      <c r="P422" s="4478"/>
      <c r="Q422" s="6055"/>
      <c r="R422" s="718">
        <f t="shared" si="359"/>
        <v>14.654</v>
      </c>
      <c r="S422" s="6058"/>
      <c r="T422" s="4478"/>
      <c r="U422" s="6055"/>
      <c r="V422" s="718">
        <f t="shared" si="360"/>
        <v>14.654</v>
      </c>
      <c r="W422" s="6058"/>
      <c r="X422" s="4478"/>
      <c r="Y422" s="6031"/>
      <c r="Z422" s="6031">
        <f t="shared" si="369"/>
        <v>0</v>
      </c>
      <c r="AA422" s="6052"/>
      <c r="AB422" s="429">
        <f t="shared" si="367"/>
        <v>14.654</v>
      </c>
      <c r="AC422" s="6058"/>
      <c r="AD422" s="4478"/>
      <c r="AE422" s="6055"/>
      <c r="AF422" s="718">
        <f t="shared" si="361"/>
        <v>14.654</v>
      </c>
      <c r="AG422" s="6058"/>
      <c r="AH422" s="4478"/>
      <c r="AI422" s="6055"/>
      <c r="AJ422" s="718">
        <f t="shared" si="362"/>
        <v>14.654</v>
      </c>
      <c r="AK422" s="6058"/>
      <c r="AL422" s="4478"/>
      <c r="AM422" s="6031"/>
      <c r="AN422" s="717">
        <f t="shared" si="370"/>
        <v>0</v>
      </c>
      <c r="AO422" s="6055"/>
      <c r="AP422" s="718">
        <f t="shared" si="368"/>
        <v>14.654</v>
      </c>
      <c r="AQ422" s="6058"/>
      <c r="AR422" s="4478"/>
      <c r="AS422" s="6055"/>
      <c r="AT422" s="718">
        <f t="shared" si="363"/>
        <v>14.654</v>
      </c>
      <c r="AU422" s="6058"/>
      <c r="AV422" s="4478"/>
      <c r="AW422" s="6055"/>
      <c r="AX422" s="718">
        <f t="shared" si="364"/>
        <v>14.654</v>
      </c>
      <c r="AY422" s="6058"/>
      <c r="AZ422" s="4478"/>
      <c r="BA422" s="6031"/>
      <c r="BB422" s="717">
        <f t="shared" si="371"/>
        <v>0</v>
      </c>
      <c r="BC422" s="6052"/>
      <c r="BD422" s="429">
        <f t="shared" si="365"/>
        <v>0</v>
      </c>
      <c r="BE422" s="6055"/>
      <c r="BF422" s="718">
        <f t="shared" si="366"/>
        <v>14.654</v>
      </c>
    </row>
    <row r="423" spans="1:58" x14ac:dyDescent="0.3">
      <c r="A423" s="186"/>
      <c r="B423" s="4576" t="s">
        <v>2030</v>
      </c>
      <c r="C423" s="4577" t="s">
        <v>859</v>
      </c>
      <c r="D423" s="4577"/>
      <c r="E423" s="6058"/>
      <c r="F423" s="4513">
        <v>3.2039999999999997</v>
      </c>
      <c r="G423" s="6058"/>
      <c r="H423" s="4513"/>
      <c r="I423" s="6055"/>
      <c r="J423" s="718">
        <f t="shared" si="358"/>
        <v>3.2039999999999997</v>
      </c>
      <c r="K423" s="6058"/>
      <c r="L423" s="4513"/>
      <c r="M423" s="6031"/>
      <c r="N423" s="717">
        <f t="shared" si="355"/>
        <v>3.2039999999999997</v>
      </c>
      <c r="O423" s="6058"/>
      <c r="P423" s="4513"/>
      <c r="Q423" s="6055"/>
      <c r="R423" s="718">
        <f t="shared" si="359"/>
        <v>3.2039999999999997</v>
      </c>
      <c r="S423" s="6058"/>
      <c r="T423" s="4513"/>
      <c r="U423" s="6055"/>
      <c r="V423" s="718">
        <f t="shared" si="360"/>
        <v>3.2039999999999997</v>
      </c>
      <c r="W423" s="6058"/>
      <c r="X423" s="4513"/>
      <c r="Y423" s="6031"/>
      <c r="Z423" s="6031">
        <f t="shared" si="369"/>
        <v>0</v>
      </c>
      <c r="AA423" s="6052"/>
      <c r="AB423" s="429">
        <f t="shared" si="367"/>
        <v>3.2039999999999997</v>
      </c>
      <c r="AC423" s="6058"/>
      <c r="AD423" s="4513"/>
      <c r="AE423" s="6055"/>
      <c r="AF423" s="718">
        <f t="shared" si="361"/>
        <v>3.2039999999999997</v>
      </c>
      <c r="AG423" s="6058"/>
      <c r="AH423" s="4513"/>
      <c r="AI423" s="6055"/>
      <c r="AJ423" s="718">
        <f t="shared" si="362"/>
        <v>3.2039999999999997</v>
      </c>
      <c r="AK423" s="6058"/>
      <c r="AL423" s="4513"/>
      <c r="AM423" s="6031"/>
      <c r="AN423" s="717">
        <f t="shared" si="370"/>
        <v>0</v>
      </c>
      <c r="AO423" s="6055"/>
      <c r="AP423" s="718">
        <f t="shared" si="368"/>
        <v>3.2039999999999997</v>
      </c>
      <c r="AQ423" s="6058"/>
      <c r="AR423" s="4513"/>
      <c r="AS423" s="6055"/>
      <c r="AT423" s="718">
        <f t="shared" si="363"/>
        <v>3.2039999999999997</v>
      </c>
      <c r="AU423" s="6058"/>
      <c r="AV423" s="4513"/>
      <c r="AW423" s="6055"/>
      <c r="AX423" s="718">
        <f t="shared" si="364"/>
        <v>3.2039999999999997</v>
      </c>
      <c r="AY423" s="6058"/>
      <c r="AZ423" s="4513"/>
      <c r="BA423" s="6031"/>
      <c r="BB423" s="717">
        <f t="shared" si="371"/>
        <v>0</v>
      </c>
      <c r="BC423" s="6052"/>
      <c r="BD423" s="429">
        <f t="shared" si="365"/>
        <v>0</v>
      </c>
      <c r="BE423" s="6055"/>
      <c r="BF423" s="718">
        <f t="shared" si="366"/>
        <v>3.2039999999999997</v>
      </c>
    </row>
    <row r="424" spans="1:58" x14ac:dyDescent="0.3">
      <c r="A424" s="186"/>
      <c r="B424" s="4576" t="s">
        <v>2031</v>
      </c>
      <c r="C424" s="4577" t="s">
        <v>858</v>
      </c>
      <c r="D424" s="4577"/>
      <c r="E424" s="6058"/>
      <c r="F424" s="4478">
        <f>138.508+25.84</f>
        <v>164.34800000000001</v>
      </c>
      <c r="G424" s="6058"/>
      <c r="H424" s="4478"/>
      <c r="I424" s="6055"/>
      <c r="J424" s="718">
        <f t="shared" si="358"/>
        <v>164.34800000000001</v>
      </c>
      <c r="K424" s="6058"/>
      <c r="L424" s="4478"/>
      <c r="M424" s="6031"/>
      <c r="N424" s="717">
        <f t="shared" si="355"/>
        <v>164.34800000000001</v>
      </c>
      <c r="O424" s="6058"/>
      <c r="P424" s="4478"/>
      <c r="Q424" s="6055"/>
      <c r="R424" s="718">
        <f t="shared" si="359"/>
        <v>164.34800000000001</v>
      </c>
      <c r="S424" s="6058"/>
      <c r="T424" s="4478"/>
      <c r="U424" s="6055"/>
      <c r="V424" s="718">
        <f t="shared" si="360"/>
        <v>164.34800000000001</v>
      </c>
      <c r="W424" s="6058"/>
      <c r="X424" s="4478"/>
      <c r="Y424" s="6031"/>
      <c r="Z424" s="6031">
        <f t="shared" si="369"/>
        <v>0</v>
      </c>
      <c r="AA424" s="6052"/>
      <c r="AB424" s="429">
        <f t="shared" si="367"/>
        <v>164.34800000000001</v>
      </c>
      <c r="AC424" s="6058"/>
      <c r="AD424" s="4478"/>
      <c r="AE424" s="6055"/>
      <c r="AF424" s="718">
        <f t="shared" si="361"/>
        <v>164.34800000000001</v>
      </c>
      <c r="AG424" s="6058"/>
      <c r="AH424" s="4478"/>
      <c r="AI424" s="6055"/>
      <c r="AJ424" s="718">
        <f t="shared" si="362"/>
        <v>164.34800000000001</v>
      </c>
      <c r="AK424" s="6058"/>
      <c r="AL424" s="4478"/>
      <c r="AM424" s="6031"/>
      <c r="AN424" s="717">
        <f t="shared" si="370"/>
        <v>0</v>
      </c>
      <c r="AO424" s="6055"/>
      <c r="AP424" s="718">
        <f t="shared" si="368"/>
        <v>164.34800000000001</v>
      </c>
      <c r="AQ424" s="6058"/>
      <c r="AR424" s="4478"/>
      <c r="AS424" s="6055"/>
      <c r="AT424" s="718">
        <f t="shared" si="363"/>
        <v>164.34800000000001</v>
      </c>
      <c r="AU424" s="6058"/>
      <c r="AV424" s="4478"/>
      <c r="AW424" s="6055"/>
      <c r="AX424" s="718">
        <f t="shared" si="364"/>
        <v>164.34800000000001</v>
      </c>
      <c r="AY424" s="6058"/>
      <c r="AZ424" s="4478"/>
      <c r="BA424" s="6031"/>
      <c r="BB424" s="717">
        <f t="shared" si="371"/>
        <v>0</v>
      </c>
      <c r="BC424" s="6052"/>
      <c r="BD424" s="429">
        <f t="shared" si="365"/>
        <v>0</v>
      </c>
      <c r="BE424" s="6055"/>
      <c r="BF424" s="718">
        <f t="shared" si="366"/>
        <v>164.34800000000001</v>
      </c>
    </row>
    <row r="425" spans="1:58" x14ac:dyDescent="0.3">
      <c r="A425" s="186"/>
      <c r="B425" s="4576" t="s">
        <v>2032</v>
      </c>
      <c r="C425" s="4577" t="s">
        <v>858</v>
      </c>
      <c r="D425" s="4577"/>
      <c r="E425" s="6058"/>
      <c r="F425" s="4478">
        <v>742.39499999999998</v>
      </c>
      <c r="G425" s="6058"/>
      <c r="H425" s="4478">
        <v>8.5950000000000006</v>
      </c>
      <c r="I425" s="6055"/>
      <c r="J425" s="718">
        <f t="shared" si="358"/>
        <v>750.99</v>
      </c>
      <c r="K425" s="6058"/>
      <c r="L425" s="4478"/>
      <c r="M425" s="6031"/>
      <c r="N425" s="717">
        <f t="shared" si="355"/>
        <v>750.99</v>
      </c>
      <c r="O425" s="6058"/>
      <c r="P425" s="4478"/>
      <c r="Q425" s="6055"/>
      <c r="R425" s="718">
        <f t="shared" si="359"/>
        <v>750.99</v>
      </c>
      <c r="S425" s="6058"/>
      <c r="T425" s="4478"/>
      <c r="U425" s="6055"/>
      <c r="V425" s="718">
        <f t="shared" si="360"/>
        <v>750.99</v>
      </c>
      <c r="W425" s="6058"/>
      <c r="X425" s="4478"/>
      <c r="Y425" s="6031"/>
      <c r="Z425" s="6031">
        <f t="shared" si="369"/>
        <v>0</v>
      </c>
      <c r="AA425" s="6052"/>
      <c r="AB425" s="429">
        <f t="shared" si="367"/>
        <v>750.99</v>
      </c>
      <c r="AC425" s="6058"/>
      <c r="AD425" s="4478"/>
      <c r="AE425" s="6055"/>
      <c r="AF425" s="718">
        <f t="shared" si="361"/>
        <v>750.99</v>
      </c>
      <c r="AG425" s="6058"/>
      <c r="AH425" s="4478"/>
      <c r="AI425" s="6055"/>
      <c r="AJ425" s="718">
        <f t="shared" si="362"/>
        <v>750.99</v>
      </c>
      <c r="AK425" s="6058"/>
      <c r="AL425" s="4478"/>
      <c r="AM425" s="6031"/>
      <c r="AN425" s="717">
        <f t="shared" si="370"/>
        <v>0</v>
      </c>
      <c r="AO425" s="6055"/>
      <c r="AP425" s="718">
        <f t="shared" si="368"/>
        <v>750.99</v>
      </c>
      <c r="AQ425" s="6058"/>
      <c r="AR425" s="4478"/>
      <c r="AS425" s="6055"/>
      <c r="AT425" s="718">
        <f t="shared" si="363"/>
        <v>750.99</v>
      </c>
      <c r="AU425" s="6058"/>
      <c r="AV425" s="4478"/>
      <c r="AW425" s="6055"/>
      <c r="AX425" s="718">
        <f t="shared" si="364"/>
        <v>750.99</v>
      </c>
      <c r="AY425" s="6058"/>
      <c r="AZ425" s="4478"/>
      <c r="BA425" s="6031"/>
      <c r="BB425" s="717">
        <f t="shared" si="371"/>
        <v>0</v>
      </c>
      <c r="BC425" s="6052"/>
      <c r="BD425" s="429">
        <f t="shared" si="365"/>
        <v>0</v>
      </c>
      <c r="BE425" s="6055"/>
      <c r="BF425" s="718">
        <f t="shared" si="366"/>
        <v>750.99</v>
      </c>
    </row>
    <row r="426" spans="1:58" x14ac:dyDescent="0.3">
      <c r="A426" s="1328"/>
      <c r="B426" s="3186" t="s">
        <v>1322</v>
      </c>
      <c r="C426" s="3163" t="s">
        <v>859</v>
      </c>
      <c r="D426" s="3145"/>
      <c r="E426" s="6058"/>
      <c r="F426" s="1094">
        <v>690.4799999999999</v>
      </c>
      <c r="G426" s="6058"/>
      <c r="H426" s="1094">
        <v>2029.6790000000001</v>
      </c>
      <c r="I426" s="6055"/>
      <c r="J426" s="718">
        <f t="shared" si="358"/>
        <v>2720.1590000000001</v>
      </c>
      <c r="K426" s="6058"/>
      <c r="L426" s="1094"/>
      <c r="M426" s="6031"/>
      <c r="N426" s="717">
        <f t="shared" si="355"/>
        <v>2720.1590000000001</v>
      </c>
      <c r="O426" s="6058"/>
      <c r="P426" s="1094"/>
      <c r="Q426" s="6055"/>
      <c r="R426" s="718">
        <f t="shared" si="359"/>
        <v>2720.1590000000001</v>
      </c>
      <c r="S426" s="6058"/>
      <c r="T426" s="1094"/>
      <c r="U426" s="6055"/>
      <c r="V426" s="718">
        <f t="shared" si="360"/>
        <v>2720.1590000000001</v>
      </c>
      <c r="W426" s="6058"/>
      <c r="X426" s="1094"/>
      <c r="Y426" s="6031"/>
      <c r="Z426" s="6031">
        <f t="shared" si="369"/>
        <v>0</v>
      </c>
      <c r="AA426" s="6052"/>
      <c r="AB426" s="429">
        <f t="shared" si="367"/>
        <v>2720.1590000000001</v>
      </c>
      <c r="AC426" s="6058"/>
      <c r="AD426" s="1094"/>
      <c r="AE426" s="6055"/>
      <c r="AF426" s="718">
        <f t="shared" si="361"/>
        <v>2720.1590000000001</v>
      </c>
      <c r="AG426" s="6058"/>
      <c r="AH426" s="1094"/>
      <c r="AI426" s="6055"/>
      <c r="AJ426" s="718">
        <f t="shared" si="362"/>
        <v>2720.1590000000001</v>
      </c>
      <c r="AK426" s="6058"/>
      <c r="AL426" s="1094"/>
      <c r="AM426" s="6031"/>
      <c r="AN426" s="717">
        <f t="shared" si="370"/>
        <v>0</v>
      </c>
      <c r="AO426" s="6055"/>
      <c r="AP426" s="718">
        <f t="shared" si="368"/>
        <v>2720.1590000000001</v>
      </c>
      <c r="AQ426" s="6058"/>
      <c r="AR426" s="1094"/>
      <c r="AS426" s="6055"/>
      <c r="AT426" s="718">
        <f t="shared" si="363"/>
        <v>2720.1590000000001</v>
      </c>
      <c r="AU426" s="6058"/>
      <c r="AV426" s="1094"/>
      <c r="AW426" s="6055"/>
      <c r="AX426" s="718">
        <f t="shared" si="364"/>
        <v>2720.1590000000001</v>
      </c>
      <c r="AY426" s="6058"/>
      <c r="AZ426" s="1094"/>
      <c r="BA426" s="6031"/>
      <c r="BB426" s="717">
        <f t="shared" si="371"/>
        <v>0</v>
      </c>
      <c r="BC426" s="6052"/>
      <c r="BD426" s="429">
        <f t="shared" si="365"/>
        <v>0</v>
      </c>
      <c r="BE426" s="6055"/>
      <c r="BF426" s="718">
        <f t="shared" si="366"/>
        <v>2720.1590000000001</v>
      </c>
    </row>
    <row r="427" spans="1:58" x14ac:dyDescent="0.3">
      <c r="A427" s="1328"/>
      <c r="B427" s="3186" t="s">
        <v>1322</v>
      </c>
      <c r="C427" s="3163" t="s">
        <v>858</v>
      </c>
      <c r="D427" s="3145"/>
      <c r="E427" s="6058"/>
      <c r="F427" s="4513"/>
      <c r="G427" s="6058"/>
      <c r="H427" s="4513"/>
      <c r="I427" s="6055"/>
      <c r="J427" s="718">
        <f t="shared" si="358"/>
        <v>0</v>
      </c>
      <c r="K427" s="6058"/>
      <c r="L427" s="4513"/>
      <c r="M427" s="6031"/>
      <c r="N427" s="717">
        <f t="shared" si="355"/>
        <v>0</v>
      </c>
      <c r="O427" s="6058"/>
      <c r="P427" s="4513"/>
      <c r="Q427" s="6055"/>
      <c r="R427" s="718">
        <f t="shared" si="359"/>
        <v>0</v>
      </c>
      <c r="S427" s="6058"/>
      <c r="T427" s="4513"/>
      <c r="U427" s="6055"/>
      <c r="V427" s="718">
        <f t="shared" si="360"/>
        <v>0</v>
      </c>
      <c r="W427" s="6058"/>
      <c r="X427" s="4513"/>
      <c r="Y427" s="6031"/>
      <c r="Z427" s="6031">
        <f t="shared" si="369"/>
        <v>0</v>
      </c>
      <c r="AA427" s="6052"/>
      <c r="AB427" s="429">
        <f t="shared" si="367"/>
        <v>0</v>
      </c>
      <c r="AC427" s="6058"/>
      <c r="AD427" s="4513"/>
      <c r="AE427" s="6055"/>
      <c r="AF427" s="718">
        <f t="shared" si="361"/>
        <v>0</v>
      </c>
      <c r="AG427" s="6058"/>
      <c r="AH427" s="4513"/>
      <c r="AI427" s="6055"/>
      <c r="AJ427" s="718">
        <f t="shared" si="362"/>
        <v>0</v>
      </c>
      <c r="AK427" s="6058"/>
      <c r="AL427" s="4513"/>
      <c r="AM427" s="6031"/>
      <c r="AN427" s="717">
        <f t="shared" si="370"/>
        <v>0</v>
      </c>
      <c r="AO427" s="6055"/>
      <c r="AP427" s="718">
        <f t="shared" si="368"/>
        <v>0</v>
      </c>
      <c r="AQ427" s="6058"/>
      <c r="AR427" s="4513"/>
      <c r="AS427" s="6055"/>
      <c r="AT427" s="718">
        <f t="shared" si="363"/>
        <v>0</v>
      </c>
      <c r="AU427" s="6058"/>
      <c r="AV427" s="4513"/>
      <c r="AW427" s="6055"/>
      <c r="AX427" s="718">
        <f t="shared" si="364"/>
        <v>0</v>
      </c>
      <c r="AY427" s="6058"/>
      <c r="AZ427" s="4513"/>
      <c r="BA427" s="6031"/>
      <c r="BB427" s="717">
        <f t="shared" si="371"/>
        <v>0</v>
      </c>
      <c r="BC427" s="6052"/>
      <c r="BD427" s="429">
        <f t="shared" si="365"/>
        <v>0</v>
      </c>
      <c r="BE427" s="6055"/>
      <c r="BF427" s="718">
        <f t="shared" si="366"/>
        <v>0</v>
      </c>
    </row>
    <row r="428" spans="1:58" x14ac:dyDescent="0.3">
      <c r="A428" s="1328"/>
      <c r="B428" s="3186" t="s">
        <v>1322</v>
      </c>
      <c r="C428" s="3163" t="s">
        <v>2028</v>
      </c>
      <c r="D428" s="3145"/>
      <c r="E428" s="6058"/>
      <c r="F428" s="4513"/>
      <c r="G428" s="6058"/>
      <c r="H428" s="4513">
        <v>113.16</v>
      </c>
      <c r="I428" s="6055"/>
      <c r="J428" s="718">
        <f t="shared" si="358"/>
        <v>113.16</v>
      </c>
      <c r="K428" s="6058"/>
      <c r="L428" s="4513"/>
      <c r="M428" s="6031"/>
      <c r="N428" s="717">
        <f t="shared" si="355"/>
        <v>113.16</v>
      </c>
      <c r="O428" s="6058"/>
      <c r="P428" s="4513"/>
      <c r="Q428" s="6055"/>
      <c r="R428" s="718">
        <f t="shared" si="359"/>
        <v>113.16</v>
      </c>
      <c r="S428" s="6058"/>
      <c r="T428" s="4513"/>
      <c r="U428" s="6055"/>
      <c r="V428" s="718">
        <f t="shared" si="360"/>
        <v>113.16</v>
      </c>
      <c r="W428" s="6058"/>
      <c r="X428" s="4513"/>
      <c r="Y428" s="6031"/>
      <c r="Z428" s="6031">
        <f t="shared" si="369"/>
        <v>0</v>
      </c>
      <c r="AA428" s="6052"/>
      <c r="AB428" s="429">
        <f t="shared" si="367"/>
        <v>113.16</v>
      </c>
      <c r="AC428" s="6058"/>
      <c r="AD428" s="4513"/>
      <c r="AE428" s="6055"/>
      <c r="AF428" s="718">
        <f t="shared" si="361"/>
        <v>113.16</v>
      </c>
      <c r="AG428" s="6058"/>
      <c r="AH428" s="4513"/>
      <c r="AI428" s="6055"/>
      <c r="AJ428" s="718">
        <f t="shared" si="362"/>
        <v>113.16</v>
      </c>
      <c r="AK428" s="6058"/>
      <c r="AL428" s="4513"/>
      <c r="AM428" s="6031"/>
      <c r="AN428" s="717">
        <f t="shared" si="370"/>
        <v>0</v>
      </c>
      <c r="AO428" s="6055"/>
      <c r="AP428" s="718">
        <f t="shared" si="368"/>
        <v>113.16</v>
      </c>
      <c r="AQ428" s="6058"/>
      <c r="AR428" s="4513"/>
      <c r="AS428" s="6055"/>
      <c r="AT428" s="718">
        <f t="shared" si="363"/>
        <v>113.16</v>
      </c>
      <c r="AU428" s="6058"/>
      <c r="AV428" s="4513"/>
      <c r="AW428" s="6055"/>
      <c r="AX428" s="718">
        <f t="shared" si="364"/>
        <v>113.16</v>
      </c>
      <c r="AY428" s="6058"/>
      <c r="AZ428" s="4513"/>
      <c r="BA428" s="6031"/>
      <c r="BB428" s="717">
        <f t="shared" si="371"/>
        <v>0</v>
      </c>
      <c r="BC428" s="6052"/>
      <c r="BD428" s="429">
        <f t="shared" si="365"/>
        <v>0</v>
      </c>
      <c r="BE428" s="6055"/>
      <c r="BF428" s="718">
        <f t="shared" si="366"/>
        <v>113.16</v>
      </c>
    </row>
    <row r="429" spans="1:58" x14ac:dyDescent="0.3">
      <c r="A429" s="1328"/>
      <c r="B429" s="3186" t="s">
        <v>1322</v>
      </c>
      <c r="C429" s="3163" t="s">
        <v>1971</v>
      </c>
      <c r="D429" s="3145"/>
      <c r="E429" s="6058"/>
      <c r="F429" s="2348"/>
      <c r="G429" s="6058"/>
      <c r="H429" s="2348"/>
      <c r="I429" s="6055"/>
      <c r="J429" s="718">
        <f t="shared" si="358"/>
        <v>0</v>
      </c>
      <c r="K429" s="6058"/>
      <c r="L429" s="2348"/>
      <c r="M429" s="6031"/>
      <c r="N429" s="717">
        <f t="shared" si="355"/>
        <v>0</v>
      </c>
      <c r="O429" s="6058"/>
      <c r="P429" s="2348"/>
      <c r="Q429" s="6055"/>
      <c r="R429" s="718">
        <f t="shared" si="359"/>
        <v>0</v>
      </c>
      <c r="S429" s="6058"/>
      <c r="T429" s="2348"/>
      <c r="U429" s="6055"/>
      <c r="V429" s="718">
        <f t="shared" si="360"/>
        <v>0</v>
      </c>
      <c r="W429" s="6058"/>
      <c r="X429" s="2348"/>
      <c r="Y429" s="6031"/>
      <c r="Z429" s="6031">
        <f t="shared" si="369"/>
        <v>0</v>
      </c>
      <c r="AA429" s="6052"/>
      <c r="AB429" s="429">
        <f t="shared" si="367"/>
        <v>0</v>
      </c>
      <c r="AC429" s="6058"/>
      <c r="AD429" s="2348"/>
      <c r="AE429" s="6055"/>
      <c r="AF429" s="718">
        <f t="shared" si="361"/>
        <v>0</v>
      </c>
      <c r="AG429" s="6058"/>
      <c r="AH429" s="2348"/>
      <c r="AI429" s="6055"/>
      <c r="AJ429" s="718">
        <f t="shared" si="362"/>
        <v>0</v>
      </c>
      <c r="AK429" s="6058"/>
      <c r="AL429" s="2348"/>
      <c r="AM429" s="6031"/>
      <c r="AN429" s="717">
        <f t="shared" si="370"/>
        <v>0</v>
      </c>
      <c r="AO429" s="6055"/>
      <c r="AP429" s="718">
        <f t="shared" si="368"/>
        <v>0</v>
      </c>
      <c r="AQ429" s="6058"/>
      <c r="AR429" s="2348"/>
      <c r="AS429" s="6055"/>
      <c r="AT429" s="718">
        <f t="shared" si="363"/>
        <v>0</v>
      </c>
      <c r="AU429" s="6058"/>
      <c r="AV429" s="2348"/>
      <c r="AW429" s="6055"/>
      <c r="AX429" s="718">
        <f t="shared" si="364"/>
        <v>0</v>
      </c>
      <c r="AY429" s="6058"/>
      <c r="AZ429" s="2348"/>
      <c r="BA429" s="6031"/>
      <c r="BB429" s="717">
        <f t="shared" si="371"/>
        <v>0</v>
      </c>
      <c r="BC429" s="6052"/>
      <c r="BD429" s="429">
        <f t="shared" si="365"/>
        <v>0</v>
      </c>
      <c r="BE429" s="6055"/>
      <c r="BF429" s="718">
        <f t="shared" si="366"/>
        <v>0</v>
      </c>
    </row>
    <row r="430" spans="1:58" x14ac:dyDescent="0.3">
      <c r="A430" s="1328"/>
      <c r="B430" s="3197" t="s">
        <v>1990</v>
      </c>
      <c r="C430" s="3168" t="s">
        <v>1971</v>
      </c>
      <c r="D430" s="3169"/>
      <c r="E430" s="6058"/>
      <c r="F430" s="2244"/>
      <c r="G430" s="6058"/>
      <c r="H430" s="2244"/>
      <c r="I430" s="6055"/>
      <c r="J430" s="718">
        <f t="shared" si="358"/>
        <v>0</v>
      </c>
      <c r="K430" s="6058"/>
      <c r="L430" s="2244"/>
      <c r="M430" s="6031"/>
      <c r="N430" s="717">
        <f t="shared" si="355"/>
        <v>0</v>
      </c>
      <c r="O430" s="6058"/>
      <c r="P430" s="2244"/>
      <c r="Q430" s="6055"/>
      <c r="R430" s="718">
        <f t="shared" si="359"/>
        <v>0</v>
      </c>
      <c r="S430" s="6058"/>
      <c r="T430" s="2244"/>
      <c r="U430" s="6055"/>
      <c r="V430" s="718">
        <f t="shared" si="360"/>
        <v>0</v>
      </c>
      <c r="W430" s="6058"/>
      <c r="X430" s="2244"/>
      <c r="Y430" s="6031"/>
      <c r="Z430" s="6031">
        <f t="shared" si="369"/>
        <v>0</v>
      </c>
      <c r="AA430" s="6052"/>
      <c r="AB430" s="429">
        <f t="shared" si="367"/>
        <v>0</v>
      </c>
      <c r="AC430" s="6058"/>
      <c r="AD430" s="2244"/>
      <c r="AE430" s="6055"/>
      <c r="AF430" s="718">
        <f t="shared" si="361"/>
        <v>0</v>
      </c>
      <c r="AG430" s="6058"/>
      <c r="AH430" s="2244"/>
      <c r="AI430" s="6055"/>
      <c r="AJ430" s="718">
        <f t="shared" si="362"/>
        <v>0</v>
      </c>
      <c r="AK430" s="6058"/>
      <c r="AL430" s="2244"/>
      <c r="AM430" s="6031"/>
      <c r="AN430" s="717">
        <f t="shared" si="370"/>
        <v>0</v>
      </c>
      <c r="AO430" s="6055"/>
      <c r="AP430" s="718">
        <f t="shared" si="368"/>
        <v>0</v>
      </c>
      <c r="AQ430" s="6058"/>
      <c r="AR430" s="2244"/>
      <c r="AS430" s="6055"/>
      <c r="AT430" s="718">
        <f t="shared" si="363"/>
        <v>0</v>
      </c>
      <c r="AU430" s="6058"/>
      <c r="AV430" s="2244"/>
      <c r="AW430" s="6055"/>
      <c r="AX430" s="718">
        <f t="shared" si="364"/>
        <v>0</v>
      </c>
      <c r="AY430" s="6058"/>
      <c r="AZ430" s="2244"/>
      <c r="BA430" s="6031"/>
      <c r="BB430" s="717">
        <f t="shared" si="371"/>
        <v>0</v>
      </c>
      <c r="BC430" s="6052"/>
      <c r="BD430" s="429">
        <f t="shared" si="365"/>
        <v>0</v>
      </c>
      <c r="BE430" s="6055"/>
      <c r="BF430" s="718">
        <f t="shared" si="366"/>
        <v>0</v>
      </c>
    </row>
    <row r="431" spans="1:58" x14ac:dyDescent="0.3">
      <c r="A431" s="1328"/>
      <c r="B431" s="4475" t="s">
        <v>1990</v>
      </c>
      <c r="C431" s="4476" t="s">
        <v>858</v>
      </c>
      <c r="D431" s="4477"/>
      <c r="E431" s="6058"/>
      <c r="F431" s="4478"/>
      <c r="G431" s="6058"/>
      <c r="H431" s="4478"/>
      <c r="I431" s="6055"/>
      <c r="J431" s="718">
        <f t="shared" si="358"/>
        <v>0</v>
      </c>
      <c r="K431" s="6058"/>
      <c r="L431" s="4478"/>
      <c r="M431" s="6031"/>
      <c r="N431" s="717">
        <f t="shared" si="355"/>
        <v>0</v>
      </c>
      <c r="O431" s="6058"/>
      <c r="P431" s="4478"/>
      <c r="Q431" s="6055"/>
      <c r="R431" s="718">
        <f t="shared" si="359"/>
        <v>0</v>
      </c>
      <c r="S431" s="6058"/>
      <c r="T431" s="4478"/>
      <c r="U431" s="6055"/>
      <c r="V431" s="718">
        <f t="shared" si="360"/>
        <v>0</v>
      </c>
      <c r="W431" s="6058"/>
      <c r="X431" s="4478"/>
      <c r="Y431" s="6031"/>
      <c r="Z431" s="6031">
        <f t="shared" si="369"/>
        <v>0</v>
      </c>
      <c r="AA431" s="6052"/>
      <c r="AB431" s="429">
        <f t="shared" si="367"/>
        <v>0</v>
      </c>
      <c r="AC431" s="6058"/>
      <c r="AD431" s="4478"/>
      <c r="AE431" s="6055"/>
      <c r="AF431" s="718">
        <f t="shared" si="361"/>
        <v>0</v>
      </c>
      <c r="AG431" s="6058"/>
      <c r="AH431" s="4478"/>
      <c r="AI431" s="6055"/>
      <c r="AJ431" s="718">
        <f t="shared" si="362"/>
        <v>0</v>
      </c>
      <c r="AK431" s="6058"/>
      <c r="AL431" s="4478"/>
      <c r="AM431" s="6031"/>
      <c r="AN431" s="717">
        <f t="shared" si="370"/>
        <v>0</v>
      </c>
      <c r="AO431" s="6055"/>
      <c r="AP431" s="718">
        <f t="shared" si="368"/>
        <v>0</v>
      </c>
      <c r="AQ431" s="6058"/>
      <c r="AR431" s="4478"/>
      <c r="AS431" s="6055"/>
      <c r="AT431" s="718">
        <f t="shared" si="363"/>
        <v>0</v>
      </c>
      <c r="AU431" s="6058"/>
      <c r="AV431" s="4478"/>
      <c r="AW431" s="6055"/>
      <c r="AX431" s="718">
        <f t="shared" si="364"/>
        <v>0</v>
      </c>
      <c r="AY431" s="6058"/>
      <c r="AZ431" s="4478"/>
      <c r="BA431" s="6031"/>
      <c r="BB431" s="717">
        <f t="shared" si="371"/>
        <v>0</v>
      </c>
      <c r="BC431" s="6052"/>
      <c r="BD431" s="429">
        <f t="shared" si="365"/>
        <v>0</v>
      </c>
      <c r="BE431" s="6055"/>
      <c r="BF431" s="718">
        <f t="shared" si="366"/>
        <v>0</v>
      </c>
    </row>
    <row r="432" spans="1:58" x14ac:dyDescent="0.3">
      <c r="A432" s="1328"/>
      <c r="B432" s="4475" t="s">
        <v>1990</v>
      </c>
      <c r="C432" s="4476" t="s">
        <v>859</v>
      </c>
      <c r="D432" s="4477"/>
      <c r="E432" s="6058"/>
      <c r="F432" s="4478">
        <v>524.23</v>
      </c>
      <c r="G432" s="6058"/>
      <c r="H432" s="4478">
        <v>1245.8800000000001</v>
      </c>
      <c r="I432" s="6055"/>
      <c r="J432" s="718">
        <f t="shared" si="358"/>
        <v>1770.1100000000001</v>
      </c>
      <c r="K432" s="6058"/>
      <c r="L432" s="4478"/>
      <c r="M432" s="6031"/>
      <c r="N432" s="717">
        <f t="shared" si="355"/>
        <v>1770.1100000000001</v>
      </c>
      <c r="O432" s="6058"/>
      <c r="P432" s="4478"/>
      <c r="Q432" s="6055"/>
      <c r="R432" s="718">
        <f t="shared" si="359"/>
        <v>1770.1100000000001</v>
      </c>
      <c r="S432" s="6058"/>
      <c r="T432" s="4478"/>
      <c r="U432" s="6055"/>
      <c r="V432" s="718">
        <f t="shared" si="360"/>
        <v>1770.1100000000001</v>
      </c>
      <c r="W432" s="6058"/>
      <c r="X432" s="4478"/>
      <c r="Y432" s="6031"/>
      <c r="Z432" s="6031">
        <f t="shared" si="369"/>
        <v>0</v>
      </c>
      <c r="AA432" s="6052"/>
      <c r="AB432" s="429">
        <f t="shared" ref="AB432:AB445" si="372">X432+V432</f>
        <v>1770.1100000000001</v>
      </c>
      <c r="AC432" s="6058"/>
      <c r="AD432" s="4478"/>
      <c r="AE432" s="6055"/>
      <c r="AF432" s="718">
        <f t="shared" si="361"/>
        <v>1770.1100000000001</v>
      </c>
      <c r="AG432" s="6058"/>
      <c r="AH432" s="4478"/>
      <c r="AI432" s="6055"/>
      <c r="AJ432" s="718">
        <f t="shared" si="362"/>
        <v>1770.1100000000001</v>
      </c>
      <c r="AK432" s="6058"/>
      <c r="AL432" s="4478"/>
      <c r="AM432" s="6031"/>
      <c r="AN432" s="717">
        <f t="shared" si="370"/>
        <v>0</v>
      </c>
      <c r="AO432" s="6055"/>
      <c r="AP432" s="718">
        <f t="shared" ref="AP432:AP445" si="373">AL432+AJ432</f>
        <v>1770.1100000000001</v>
      </c>
      <c r="AQ432" s="6058"/>
      <c r="AR432" s="4478"/>
      <c r="AS432" s="6055"/>
      <c r="AT432" s="718">
        <f t="shared" si="363"/>
        <v>1770.1100000000001</v>
      </c>
      <c r="AU432" s="6058"/>
      <c r="AV432" s="4478"/>
      <c r="AW432" s="6055"/>
      <c r="AX432" s="718">
        <f t="shared" si="364"/>
        <v>1770.1100000000001</v>
      </c>
      <c r="AY432" s="6058"/>
      <c r="AZ432" s="4478"/>
      <c r="BA432" s="6031"/>
      <c r="BB432" s="717">
        <f t="shared" si="371"/>
        <v>0</v>
      </c>
      <c r="BC432" s="6052"/>
      <c r="BD432" s="429">
        <f t="shared" si="365"/>
        <v>0</v>
      </c>
      <c r="BE432" s="6055"/>
      <c r="BF432" s="718">
        <f t="shared" si="366"/>
        <v>1770.1100000000001</v>
      </c>
    </row>
    <row r="433" spans="1:58" x14ac:dyDescent="0.3">
      <c r="A433" s="1328"/>
      <c r="B433" s="4475" t="s">
        <v>2009</v>
      </c>
      <c r="C433" s="4476" t="s">
        <v>859</v>
      </c>
      <c r="D433" s="4477"/>
      <c r="E433" s="6058"/>
      <c r="F433" s="4478"/>
      <c r="G433" s="6058"/>
      <c r="H433" s="4478"/>
      <c r="I433" s="6055"/>
      <c r="J433" s="718">
        <f t="shared" si="358"/>
        <v>0</v>
      </c>
      <c r="K433" s="6058"/>
      <c r="L433" s="4478"/>
      <c r="M433" s="6031"/>
      <c r="N433" s="717">
        <f t="shared" si="355"/>
        <v>0</v>
      </c>
      <c r="O433" s="6058"/>
      <c r="P433" s="4478"/>
      <c r="Q433" s="6055"/>
      <c r="R433" s="718">
        <f t="shared" si="359"/>
        <v>0</v>
      </c>
      <c r="S433" s="6058"/>
      <c r="T433" s="4478"/>
      <c r="U433" s="6055"/>
      <c r="V433" s="718">
        <f t="shared" si="360"/>
        <v>0</v>
      </c>
      <c r="W433" s="6058"/>
      <c r="X433" s="4478"/>
      <c r="Y433" s="6031"/>
      <c r="Z433" s="6031">
        <f t="shared" si="369"/>
        <v>0</v>
      </c>
      <c r="AA433" s="6052"/>
      <c r="AB433" s="429">
        <f t="shared" si="372"/>
        <v>0</v>
      </c>
      <c r="AC433" s="6058"/>
      <c r="AD433" s="4478"/>
      <c r="AE433" s="6055"/>
      <c r="AF433" s="718">
        <f t="shared" si="361"/>
        <v>0</v>
      </c>
      <c r="AG433" s="6058"/>
      <c r="AH433" s="4478"/>
      <c r="AI433" s="6055"/>
      <c r="AJ433" s="718">
        <f t="shared" si="362"/>
        <v>0</v>
      </c>
      <c r="AK433" s="6058"/>
      <c r="AL433" s="4478"/>
      <c r="AM433" s="6031"/>
      <c r="AN433" s="717">
        <f t="shared" si="370"/>
        <v>0</v>
      </c>
      <c r="AO433" s="6055"/>
      <c r="AP433" s="718">
        <f t="shared" si="373"/>
        <v>0</v>
      </c>
      <c r="AQ433" s="6058"/>
      <c r="AR433" s="4478"/>
      <c r="AS433" s="6055"/>
      <c r="AT433" s="718">
        <f t="shared" si="363"/>
        <v>0</v>
      </c>
      <c r="AU433" s="6058"/>
      <c r="AV433" s="4478"/>
      <c r="AW433" s="6055"/>
      <c r="AX433" s="718">
        <f t="shared" si="364"/>
        <v>0</v>
      </c>
      <c r="AY433" s="6058"/>
      <c r="AZ433" s="4478"/>
      <c r="BA433" s="6031"/>
      <c r="BB433" s="717">
        <f t="shared" si="371"/>
        <v>0</v>
      </c>
      <c r="BC433" s="6052"/>
      <c r="BD433" s="429">
        <f t="shared" si="365"/>
        <v>0</v>
      </c>
      <c r="BE433" s="6055"/>
      <c r="BF433" s="718">
        <f t="shared" si="366"/>
        <v>0</v>
      </c>
    </row>
    <row r="434" spans="1:58" x14ac:dyDescent="0.3">
      <c r="A434" s="142"/>
      <c r="B434" s="3181" t="s">
        <v>896</v>
      </c>
      <c r="C434" s="3157" t="s">
        <v>859</v>
      </c>
      <c r="D434" s="3137"/>
      <c r="E434" s="6058"/>
      <c r="F434" s="1094"/>
      <c r="G434" s="6058"/>
      <c r="H434" s="1094"/>
      <c r="I434" s="6055"/>
      <c r="J434" s="718">
        <f t="shared" si="358"/>
        <v>0</v>
      </c>
      <c r="K434" s="6058"/>
      <c r="L434" s="1094"/>
      <c r="M434" s="6031"/>
      <c r="N434" s="717">
        <f t="shared" si="355"/>
        <v>0</v>
      </c>
      <c r="O434" s="6058"/>
      <c r="P434" s="1094"/>
      <c r="Q434" s="6055"/>
      <c r="R434" s="718">
        <f t="shared" si="359"/>
        <v>0</v>
      </c>
      <c r="S434" s="6058"/>
      <c r="T434" s="1094"/>
      <c r="U434" s="6055"/>
      <c r="V434" s="718">
        <f t="shared" si="360"/>
        <v>0</v>
      </c>
      <c r="W434" s="6058"/>
      <c r="X434" s="1094"/>
      <c r="Y434" s="6031"/>
      <c r="Z434" s="6031">
        <f t="shared" si="369"/>
        <v>0</v>
      </c>
      <c r="AA434" s="6052"/>
      <c r="AB434" s="429">
        <f t="shared" si="372"/>
        <v>0</v>
      </c>
      <c r="AC434" s="6058"/>
      <c r="AD434" s="1094"/>
      <c r="AE434" s="6055"/>
      <c r="AF434" s="718">
        <f t="shared" si="361"/>
        <v>0</v>
      </c>
      <c r="AG434" s="6058"/>
      <c r="AH434" s="1094"/>
      <c r="AI434" s="6055"/>
      <c r="AJ434" s="718">
        <f t="shared" si="362"/>
        <v>0</v>
      </c>
      <c r="AK434" s="6058"/>
      <c r="AL434" s="1094"/>
      <c r="AM434" s="6031"/>
      <c r="AN434" s="717">
        <f t="shared" si="370"/>
        <v>0</v>
      </c>
      <c r="AO434" s="6055"/>
      <c r="AP434" s="718">
        <f t="shared" si="373"/>
        <v>0</v>
      </c>
      <c r="AQ434" s="6058"/>
      <c r="AR434" s="1094"/>
      <c r="AS434" s="6055"/>
      <c r="AT434" s="718">
        <f t="shared" si="363"/>
        <v>0</v>
      </c>
      <c r="AU434" s="6058"/>
      <c r="AV434" s="1094"/>
      <c r="AW434" s="6055"/>
      <c r="AX434" s="718">
        <f t="shared" si="364"/>
        <v>0</v>
      </c>
      <c r="AY434" s="6058"/>
      <c r="AZ434" s="1094"/>
      <c r="BA434" s="6031"/>
      <c r="BB434" s="717">
        <f t="shared" si="371"/>
        <v>0</v>
      </c>
      <c r="BC434" s="6052"/>
      <c r="BD434" s="429">
        <f t="shared" si="365"/>
        <v>0</v>
      </c>
      <c r="BE434" s="6055"/>
      <c r="BF434" s="718">
        <f t="shared" si="366"/>
        <v>0</v>
      </c>
    </row>
    <row r="435" spans="1:58" x14ac:dyDescent="0.3">
      <c r="A435" s="142"/>
      <c r="B435" s="4796" t="s">
        <v>2009</v>
      </c>
      <c r="C435" s="3157" t="s">
        <v>2140</v>
      </c>
      <c r="D435" s="4806"/>
      <c r="E435" s="6058"/>
      <c r="F435" s="4657"/>
      <c r="G435" s="6058"/>
      <c r="H435" s="4657"/>
      <c r="I435" s="6055"/>
      <c r="J435" s="718">
        <f t="shared" si="358"/>
        <v>0</v>
      </c>
      <c r="K435" s="6058"/>
      <c r="L435" s="4657"/>
      <c r="M435" s="6031"/>
      <c r="N435" s="717">
        <f t="shared" si="355"/>
        <v>0</v>
      </c>
      <c r="O435" s="6058"/>
      <c r="P435" s="4657"/>
      <c r="Q435" s="6055"/>
      <c r="R435" s="718">
        <f t="shared" si="359"/>
        <v>0</v>
      </c>
      <c r="S435" s="6058"/>
      <c r="T435" s="4657"/>
      <c r="U435" s="6055"/>
      <c r="V435" s="718">
        <f t="shared" si="360"/>
        <v>0</v>
      </c>
      <c r="W435" s="6058"/>
      <c r="X435" s="4657"/>
      <c r="Y435" s="6031"/>
      <c r="Z435" s="6031">
        <f t="shared" si="369"/>
        <v>0</v>
      </c>
      <c r="AA435" s="6052"/>
      <c r="AB435" s="429">
        <f t="shared" si="372"/>
        <v>0</v>
      </c>
      <c r="AC435" s="6058"/>
      <c r="AD435" s="4657"/>
      <c r="AE435" s="6055"/>
      <c r="AF435" s="718">
        <f t="shared" si="361"/>
        <v>0</v>
      </c>
      <c r="AG435" s="6058"/>
      <c r="AH435" s="4657"/>
      <c r="AI435" s="6055"/>
      <c r="AJ435" s="718">
        <f t="shared" si="362"/>
        <v>0</v>
      </c>
      <c r="AK435" s="6058"/>
      <c r="AL435" s="4657"/>
      <c r="AM435" s="6031"/>
      <c r="AN435" s="717">
        <f t="shared" si="370"/>
        <v>0</v>
      </c>
      <c r="AO435" s="6055"/>
      <c r="AP435" s="718">
        <f t="shared" si="373"/>
        <v>0</v>
      </c>
      <c r="AQ435" s="6058"/>
      <c r="AR435" s="4657"/>
      <c r="AS435" s="6055"/>
      <c r="AT435" s="718">
        <f t="shared" si="363"/>
        <v>0</v>
      </c>
      <c r="AU435" s="6058"/>
      <c r="AV435" s="4657"/>
      <c r="AW435" s="6055"/>
      <c r="AX435" s="718">
        <f t="shared" si="364"/>
        <v>0</v>
      </c>
      <c r="AY435" s="6058"/>
      <c r="AZ435" s="4657"/>
      <c r="BA435" s="6031"/>
      <c r="BB435" s="717">
        <f t="shared" si="371"/>
        <v>0</v>
      </c>
      <c r="BC435" s="6052"/>
      <c r="BD435" s="429">
        <f t="shared" si="365"/>
        <v>0</v>
      </c>
      <c r="BE435" s="6055"/>
      <c r="BF435" s="718">
        <f t="shared" si="366"/>
        <v>0</v>
      </c>
    </row>
    <row r="436" spans="1:58" x14ac:dyDescent="0.3">
      <c r="A436" s="142"/>
      <c r="B436" s="3181" t="s">
        <v>1972</v>
      </c>
      <c r="C436" s="3157" t="s">
        <v>858</v>
      </c>
      <c r="D436" s="3137"/>
      <c r="E436" s="6058"/>
      <c r="F436" s="1094"/>
      <c r="G436" s="6058"/>
      <c r="H436" s="1094"/>
      <c r="I436" s="6055"/>
      <c r="J436" s="718">
        <f t="shared" si="358"/>
        <v>0</v>
      </c>
      <c r="K436" s="6058"/>
      <c r="L436" s="1094"/>
      <c r="M436" s="6031"/>
      <c r="N436" s="717">
        <f t="shared" si="355"/>
        <v>0</v>
      </c>
      <c r="O436" s="6058"/>
      <c r="P436" s="1094"/>
      <c r="Q436" s="6055"/>
      <c r="R436" s="718">
        <f t="shared" si="359"/>
        <v>0</v>
      </c>
      <c r="S436" s="6058"/>
      <c r="T436" s="1094"/>
      <c r="U436" s="6055"/>
      <c r="V436" s="718">
        <f t="shared" si="360"/>
        <v>0</v>
      </c>
      <c r="W436" s="6058"/>
      <c r="X436" s="1094"/>
      <c r="Y436" s="6031"/>
      <c r="Z436" s="6031">
        <f t="shared" si="369"/>
        <v>0</v>
      </c>
      <c r="AA436" s="6052"/>
      <c r="AB436" s="429">
        <f t="shared" si="372"/>
        <v>0</v>
      </c>
      <c r="AC436" s="6058"/>
      <c r="AD436" s="1094"/>
      <c r="AE436" s="6055"/>
      <c r="AF436" s="718">
        <f t="shared" si="361"/>
        <v>0</v>
      </c>
      <c r="AG436" s="6058"/>
      <c r="AH436" s="1094"/>
      <c r="AI436" s="6055"/>
      <c r="AJ436" s="718">
        <f t="shared" si="362"/>
        <v>0</v>
      </c>
      <c r="AK436" s="6058"/>
      <c r="AL436" s="1094"/>
      <c r="AM436" s="6031"/>
      <c r="AN436" s="717">
        <f t="shared" si="370"/>
        <v>0</v>
      </c>
      <c r="AO436" s="6055"/>
      <c r="AP436" s="718">
        <f t="shared" si="373"/>
        <v>0</v>
      </c>
      <c r="AQ436" s="6058"/>
      <c r="AR436" s="1094"/>
      <c r="AS436" s="6055"/>
      <c r="AT436" s="718">
        <f t="shared" si="363"/>
        <v>0</v>
      </c>
      <c r="AU436" s="6058"/>
      <c r="AV436" s="1094"/>
      <c r="AW436" s="6055"/>
      <c r="AX436" s="718">
        <f t="shared" si="364"/>
        <v>0</v>
      </c>
      <c r="AY436" s="6058"/>
      <c r="AZ436" s="1094"/>
      <c r="BA436" s="6031"/>
      <c r="BB436" s="717">
        <f t="shared" si="371"/>
        <v>0</v>
      </c>
      <c r="BC436" s="6052"/>
      <c r="BD436" s="429">
        <f t="shared" si="365"/>
        <v>0</v>
      </c>
      <c r="BE436" s="6055"/>
      <c r="BF436" s="718">
        <f t="shared" si="366"/>
        <v>0</v>
      </c>
    </row>
    <row r="437" spans="1:58" x14ac:dyDescent="0.3">
      <c r="A437" s="142"/>
      <c r="B437" s="4475" t="s">
        <v>1972</v>
      </c>
      <c r="C437" s="4476" t="s">
        <v>859</v>
      </c>
      <c r="D437" s="4477"/>
      <c r="E437" s="6058"/>
      <c r="F437" s="4478">
        <v>788.52999999999986</v>
      </c>
      <c r="G437" s="6058"/>
      <c r="H437" s="4478"/>
      <c r="I437" s="6055"/>
      <c r="J437" s="718">
        <f t="shared" si="358"/>
        <v>788.52999999999986</v>
      </c>
      <c r="K437" s="6058"/>
      <c r="L437" s="4478"/>
      <c r="M437" s="6031"/>
      <c r="N437" s="717">
        <f t="shared" si="355"/>
        <v>788.52999999999986</v>
      </c>
      <c r="O437" s="6058"/>
      <c r="P437" s="4478"/>
      <c r="Q437" s="6055"/>
      <c r="R437" s="718">
        <f t="shared" si="359"/>
        <v>788.52999999999986</v>
      </c>
      <c r="S437" s="6058"/>
      <c r="T437" s="4478"/>
      <c r="U437" s="6055"/>
      <c r="V437" s="718">
        <f t="shared" si="360"/>
        <v>788.52999999999986</v>
      </c>
      <c r="W437" s="6058"/>
      <c r="X437" s="4478"/>
      <c r="Y437" s="6031"/>
      <c r="Z437" s="6031">
        <f t="shared" si="369"/>
        <v>0</v>
      </c>
      <c r="AA437" s="6052"/>
      <c r="AB437" s="429">
        <f t="shared" si="372"/>
        <v>788.52999999999986</v>
      </c>
      <c r="AC437" s="6058"/>
      <c r="AD437" s="4478"/>
      <c r="AE437" s="6055"/>
      <c r="AF437" s="718">
        <f t="shared" si="361"/>
        <v>788.52999999999986</v>
      </c>
      <c r="AG437" s="6058"/>
      <c r="AH437" s="4478"/>
      <c r="AI437" s="6055"/>
      <c r="AJ437" s="718">
        <f t="shared" si="362"/>
        <v>788.52999999999986</v>
      </c>
      <c r="AK437" s="6058"/>
      <c r="AL437" s="4478"/>
      <c r="AM437" s="6031"/>
      <c r="AN437" s="717">
        <f t="shared" si="370"/>
        <v>0</v>
      </c>
      <c r="AO437" s="6055"/>
      <c r="AP437" s="718">
        <f t="shared" si="373"/>
        <v>788.52999999999986</v>
      </c>
      <c r="AQ437" s="6058"/>
      <c r="AR437" s="4478"/>
      <c r="AS437" s="6055"/>
      <c r="AT437" s="718">
        <f t="shared" si="363"/>
        <v>788.52999999999986</v>
      </c>
      <c r="AU437" s="6058"/>
      <c r="AV437" s="4478"/>
      <c r="AW437" s="6055"/>
      <c r="AX437" s="718">
        <f t="shared" si="364"/>
        <v>788.52999999999986</v>
      </c>
      <c r="AY437" s="6058"/>
      <c r="AZ437" s="4478"/>
      <c r="BA437" s="6031"/>
      <c r="BB437" s="717">
        <f t="shared" si="371"/>
        <v>0</v>
      </c>
      <c r="BC437" s="6052"/>
      <c r="BD437" s="429">
        <f t="shared" si="365"/>
        <v>0</v>
      </c>
      <c r="BE437" s="6055"/>
      <c r="BF437" s="718">
        <f t="shared" si="366"/>
        <v>788.52999999999986</v>
      </c>
    </row>
    <row r="438" spans="1:58" x14ac:dyDescent="0.3">
      <c r="A438" s="142"/>
      <c r="B438" s="3181" t="s">
        <v>1030</v>
      </c>
      <c r="C438" s="3157" t="s">
        <v>858</v>
      </c>
      <c r="D438" s="3137"/>
      <c r="E438" s="6058"/>
      <c r="F438" s="1094"/>
      <c r="G438" s="6058"/>
      <c r="H438" s="1094"/>
      <c r="I438" s="6055"/>
      <c r="J438" s="718">
        <f t="shared" si="358"/>
        <v>0</v>
      </c>
      <c r="K438" s="6058"/>
      <c r="L438" s="1094"/>
      <c r="M438" s="6031"/>
      <c r="N438" s="717">
        <f t="shared" ref="N438:N460" si="374">J438+L438</f>
        <v>0</v>
      </c>
      <c r="O438" s="6058"/>
      <c r="P438" s="1094"/>
      <c r="Q438" s="6055"/>
      <c r="R438" s="718">
        <f t="shared" si="359"/>
        <v>0</v>
      </c>
      <c r="S438" s="6058"/>
      <c r="T438" s="1094"/>
      <c r="U438" s="6055"/>
      <c r="V438" s="718">
        <f t="shared" si="360"/>
        <v>0</v>
      </c>
      <c r="W438" s="6058"/>
      <c r="X438" s="1094"/>
      <c r="Y438" s="6031"/>
      <c r="Z438" s="6031">
        <f t="shared" si="369"/>
        <v>0</v>
      </c>
      <c r="AA438" s="6052"/>
      <c r="AB438" s="429">
        <f t="shared" si="372"/>
        <v>0</v>
      </c>
      <c r="AC438" s="6058"/>
      <c r="AD438" s="1094"/>
      <c r="AE438" s="6055"/>
      <c r="AF438" s="718">
        <f t="shared" si="361"/>
        <v>0</v>
      </c>
      <c r="AG438" s="6058"/>
      <c r="AH438" s="1094"/>
      <c r="AI438" s="6055"/>
      <c r="AJ438" s="718">
        <f t="shared" si="362"/>
        <v>0</v>
      </c>
      <c r="AK438" s="6058"/>
      <c r="AL438" s="1094"/>
      <c r="AM438" s="6031"/>
      <c r="AN438" s="717">
        <f t="shared" si="370"/>
        <v>0</v>
      </c>
      <c r="AO438" s="6055"/>
      <c r="AP438" s="718">
        <f t="shared" si="373"/>
        <v>0</v>
      </c>
      <c r="AQ438" s="6058"/>
      <c r="AR438" s="1094"/>
      <c r="AS438" s="6055"/>
      <c r="AT438" s="718">
        <f t="shared" si="363"/>
        <v>0</v>
      </c>
      <c r="AU438" s="6058"/>
      <c r="AV438" s="1094"/>
      <c r="AW438" s="6055"/>
      <c r="AX438" s="718">
        <f t="shared" si="364"/>
        <v>0</v>
      </c>
      <c r="AY438" s="6058"/>
      <c r="AZ438" s="1094"/>
      <c r="BA438" s="6031"/>
      <c r="BB438" s="717">
        <f t="shared" si="371"/>
        <v>0</v>
      </c>
      <c r="BC438" s="6052"/>
      <c r="BD438" s="429">
        <f t="shared" si="365"/>
        <v>0</v>
      </c>
      <c r="BE438" s="6055"/>
      <c r="BF438" s="718">
        <f t="shared" si="366"/>
        <v>0</v>
      </c>
    </row>
    <row r="439" spans="1:58" x14ac:dyDescent="0.3">
      <c r="A439" s="1329"/>
      <c r="B439" s="3181" t="s">
        <v>1030</v>
      </c>
      <c r="C439" s="3157" t="s">
        <v>859</v>
      </c>
      <c r="D439" s="3137"/>
      <c r="E439" s="6058"/>
      <c r="F439" s="1094">
        <v>1675.24</v>
      </c>
      <c r="G439" s="6058"/>
      <c r="H439" s="1094">
        <v>185.38</v>
      </c>
      <c r="I439" s="6055"/>
      <c r="J439" s="718">
        <f t="shared" si="358"/>
        <v>1860.62</v>
      </c>
      <c r="K439" s="6058"/>
      <c r="L439" s="1094"/>
      <c r="M439" s="6031"/>
      <c r="N439" s="717">
        <f t="shared" si="374"/>
        <v>1860.62</v>
      </c>
      <c r="O439" s="6058"/>
      <c r="P439" s="1094"/>
      <c r="Q439" s="6055"/>
      <c r="R439" s="718">
        <f t="shared" si="359"/>
        <v>1860.62</v>
      </c>
      <c r="S439" s="6058"/>
      <c r="T439" s="1094"/>
      <c r="U439" s="6055"/>
      <c r="V439" s="718">
        <f t="shared" si="360"/>
        <v>1860.62</v>
      </c>
      <c r="W439" s="6058"/>
      <c r="X439" s="1094"/>
      <c r="Y439" s="6031"/>
      <c r="Z439" s="6031">
        <f t="shared" si="369"/>
        <v>0</v>
      </c>
      <c r="AA439" s="6052"/>
      <c r="AB439" s="429">
        <f t="shared" si="372"/>
        <v>1860.62</v>
      </c>
      <c r="AC439" s="6058"/>
      <c r="AD439" s="1094"/>
      <c r="AE439" s="6055"/>
      <c r="AF439" s="718">
        <f t="shared" si="361"/>
        <v>1860.62</v>
      </c>
      <c r="AG439" s="6058"/>
      <c r="AH439" s="1094"/>
      <c r="AI439" s="6055"/>
      <c r="AJ439" s="718">
        <f t="shared" si="362"/>
        <v>1860.62</v>
      </c>
      <c r="AK439" s="6058"/>
      <c r="AL439" s="1094"/>
      <c r="AM439" s="6031"/>
      <c r="AN439" s="717">
        <f t="shared" si="370"/>
        <v>0</v>
      </c>
      <c r="AO439" s="6055"/>
      <c r="AP439" s="718">
        <f t="shared" si="373"/>
        <v>1860.62</v>
      </c>
      <c r="AQ439" s="6058"/>
      <c r="AR439" s="1094"/>
      <c r="AS439" s="6055"/>
      <c r="AT439" s="718">
        <f t="shared" si="363"/>
        <v>1860.62</v>
      </c>
      <c r="AU439" s="6058"/>
      <c r="AV439" s="1094"/>
      <c r="AW439" s="6055"/>
      <c r="AX439" s="718">
        <f t="shared" si="364"/>
        <v>1860.62</v>
      </c>
      <c r="AY439" s="6058"/>
      <c r="AZ439" s="1094"/>
      <c r="BA439" s="6031"/>
      <c r="BB439" s="717">
        <f t="shared" si="371"/>
        <v>0</v>
      </c>
      <c r="BC439" s="6052"/>
      <c r="BD439" s="429">
        <f t="shared" si="365"/>
        <v>0</v>
      </c>
      <c r="BE439" s="6055"/>
      <c r="BF439" s="718">
        <f t="shared" si="366"/>
        <v>1860.62</v>
      </c>
    </row>
    <row r="440" spans="1:58" ht="15" thickBot="1" x14ac:dyDescent="0.35">
      <c r="A440" s="1329"/>
      <c r="B440" s="3182" t="s">
        <v>1030</v>
      </c>
      <c r="C440" s="3183" t="s">
        <v>1526</v>
      </c>
      <c r="D440" s="3191"/>
      <c r="E440" s="6058"/>
      <c r="F440" s="1094"/>
      <c r="G440" s="6058"/>
      <c r="H440" s="1094">
        <v>32.061</v>
      </c>
      <c r="I440" s="6055"/>
      <c r="J440" s="718">
        <f t="shared" si="358"/>
        <v>32.061</v>
      </c>
      <c r="K440" s="6058"/>
      <c r="L440" s="1094"/>
      <c r="M440" s="6031"/>
      <c r="N440" s="717">
        <f t="shared" si="374"/>
        <v>32.061</v>
      </c>
      <c r="O440" s="6058"/>
      <c r="P440" s="1094"/>
      <c r="Q440" s="6055"/>
      <c r="R440" s="718">
        <f t="shared" si="359"/>
        <v>32.061</v>
      </c>
      <c r="S440" s="6058"/>
      <c r="T440" s="1094"/>
      <c r="U440" s="6055"/>
      <c r="V440" s="718">
        <f t="shared" si="360"/>
        <v>32.061</v>
      </c>
      <c r="W440" s="6058"/>
      <c r="X440" s="1094"/>
      <c r="Y440" s="6031"/>
      <c r="Z440" s="6031">
        <f t="shared" si="369"/>
        <v>0</v>
      </c>
      <c r="AA440" s="6052"/>
      <c r="AB440" s="429">
        <f t="shared" si="372"/>
        <v>32.061</v>
      </c>
      <c r="AC440" s="6058"/>
      <c r="AD440" s="1094"/>
      <c r="AE440" s="6055"/>
      <c r="AF440" s="718">
        <f t="shared" si="361"/>
        <v>32.061</v>
      </c>
      <c r="AG440" s="6058"/>
      <c r="AH440" s="1094"/>
      <c r="AI440" s="6055"/>
      <c r="AJ440" s="718">
        <f t="shared" si="362"/>
        <v>32.061</v>
      </c>
      <c r="AK440" s="6058"/>
      <c r="AL440" s="1094"/>
      <c r="AM440" s="6031"/>
      <c r="AN440" s="717">
        <f t="shared" si="370"/>
        <v>0</v>
      </c>
      <c r="AO440" s="6055"/>
      <c r="AP440" s="718">
        <f t="shared" si="373"/>
        <v>32.061</v>
      </c>
      <c r="AQ440" s="6058"/>
      <c r="AR440" s="1094"/>
      <c r="AS440" s="6055"/>
      <c r="AT440" s="718">
        <f t="shared" si="363"/>
        <v>32.061</v>
      </c>
      <c r="AU440" s="6058"/>
      <c r="AV440" s="1094"/>
      <c r="AW440" s="6055"/>
      <c r="AX440" s="718">
        <f t="shared" si="364"/>
        <v>32.061</v>
      </c>
      <c r="AY440" s="6058"/>
      <c r="AZ440" s="1094"/>
      <c r="BA440" s="6031"/>
      <c r="BB440" s="717">
        <f t="shared" si="371"/>
        <v>0</v>
      </c>
      <c r="BC440" s="6052"/>
      <c r="BD440" s="429">
        <f t="shared" si="365"/>
        <v>0</v>
      </c>
      <c r="BE440" s="6055"/>
      <c r="BF440" s="718">
        <f t="shared" si="366"/>
        <v>32.061</v>
      </c>
    </row>
    <row r="441" spans="1:58" x14ac:dyDescent="0.3">
      <c r="A441" s="142"/>
      <c r="B441" s="2562" t="s">
        <v>850</v>
      </c>
      <c r="C441" s="3135" t="s">
        <v>859</v>
      </c>
      <c r="D441" s="3192"/>
      <c r="E441" s="6058"/>
      <c r="F441" s="1094"/>
      <c r="G441" s="6058"/>
      <c r="H441" s="1094"/>
      <c r="I441" s="6055"/>
      <c r="J441" s="718">
        <f t="shared" si="358"/>
        <v>0</v>
      </c>
      <c r="K441" s="6058"/>
      <c r="L441" s="1094"/>
      <c r="M441" s="6031"/>
      <c r="N441" s="717">
        <f t="shared" si="374"/>
        <v>0</v>
      </c>
      <c r="O441" s="6058"/>
      <c r="P441" s="1094"/>
      <c r="Q441" s="6055"/>
      <c r="R441" s="718">
        <f t="shared" si="359"/>
        <v>0</v>
      </c>
      <c r="S441" s="6058"/>
      <c r="T441" s="1094"/>
      <c r="U441" s="6055"/>
      <c r="V441" s="718">
        <f t="shared" si="360"/>
        <v>0</v>
      </c>
      <c r="W441" s="6058"/>
      <c r="X441" s="1094"/>
      <c r="Y441" s="6031"/>
      <c r="Z441" s="6031">
        <f t="shared" si="369"/>
        <v>0</v>
      </c>
      <c r="AA441" s="6052"/>
      <c r="AB441" s="429">
        <f t="shared" si="372"/>
        <v>0</v>
      </c>
      <c r="AC441" s="6058"/>
      <c r="AD441" s="1094"/>
      <c r="AE441" s="6055"/>
      <c r="AF441" s="718">
        <f t="shared" si="361"/>
        <v>0</v>
      </c>
      <c r="AG441" s="6058"/>
      <c r="AH441" s="1094"/>
      <c r="AI441" s="6055"/>
      <c r="AJ441" s="718">
        <f t="shared" si="362"/>
        <v>0</v>
      </c>
      <c r="AK441" s="6058"/>
      <c r="AL441" s="1094"/>
      <c r="AM441" s="6031"/>
      <c r="AN441" s="717">
        <f t="shared" si="370"/>
        <v>0</v>
      </c>
      <c r="AO441" s="6055"/>
      <c r="AP441" s="718">
        <f t="shared" si="373"/>
        <v>0</v>
      </c>
      <c r="AQ441" s="6058"/>
      <c r="AR441" s="1094"/>
      <c r="AS441" s="6055"/>
      <c r="AT441" s="718">
        <f t="shared" si="363"/>
        <v>0</v>
      </c>
      <c r="AU441" s="6058"/>
      <c r="AV441" s="1094"/>
      <c r="AW441" s="6055"/>
      <c r="AX441" s="718">
        <f t="shared" si="364"/>
        <v>0</v>
      </c>
      <c r="AY441" s="6058"/>
      <c r="AZ441" s="1094"/>
      <c r="BA441" s="6031"/>
      <c r="BB441" s="717">
        <f t="shared" si="371"/>
        <v>0</v>
      </c>
      <c r="BC441" s="6052"/>
      <c r="BD441" s="429">
        <f t="shared" si="365"/>
        <v>0</v>
      </c>
      <c r="BE441" s="6055"/>
      <c r="BF441" s="718">
        <f t="shared" si="366"/>
        <v>0</v>
      </c>
    </row>
    <row r="442" spans="1:58" x14ac:dyDescent="0.3">
      <c r="A442" s="142"/>
      <c r="B442" s="780" t="s">
        <v>1477</v>
      </c>
      <c r="C442" s="3167" t="s">
        <v>859</v>
      </c>
      <c r="D442" s="3193"/>
      <c r="E442" s="6058"/>
      <c r="F442" s="1094">
        <f>755.4+272.36</f>
        <v>1027.76</v>
      </c>
      <c r="G442" s="6058"/>
      <c r="H442" s="1094">
        <v>181.28</v>
      </c>
      <c r="I442" s="6055"/>
      <c r="J442" s="718">
        <f t="shared" si="358"/>
        <v>1209.04</v>
      </c>
      <c r="K442" s="6058"/>
      <c r="L442" s="1094"/>
      <c r="M442" s="6031"/>
      <c r="N442" s="717">
        <f t="shared" si="374"/>
        <v>1209.04</v>
      </c>
      <c r="O442" s="6058"/>
      <c r="P442" s="1094"/>
      <c r="Q442" s="6055"/>
      <c r="R442" s="718">
        <f t="shared" si="359"/>
        <v>1209.04</v>
      </c>
      <c r="S442" s="6058"/>
      <c r="T442" s="1094"/>
      <c r="U442" s="6055"/>
      <c r="V442" s="718">
        <f t="shared" si="360"/>
        <v>1209.04</v>
      </c>
      <c r="W442" s="6058"/>
      <c r="X442" s="1094"/>
      <c r="Y442" s="6031"/>
      <c r="Z442" s="6031">
        <f t="shared" si="369"/>
        <v>0</v>
      </c>
      <c r="AA442" s="6052"/>
      <c r="AB442" s="429">
        <f t="shared" si="372"/>
        <v>1209.04</v>
      </c>
      <c r="AC442" s="6058"/>
      <c r="AD442" s="1094"/>
      <c r="AE442" s="6055"/>
      <c r="AF442" s="718">
        <f t="shared" si="361"/>
        <v>1209.04</v>
      </c>
      <c r="AG442" s="6058"/>
      <c r="AH442" s="1094"/>
      <c r="AI442" s="6055"/>
      <c r="AJ442" s="718">
        <f t="shared" si="362"/>
        <v>1209.04</v>
      </c>
      <c r="AK442" s="6058"/>
      <c r="AL442" s="1094"/>
      <c r="AM442" s="6031"/>
      <c r="AN442" s="717">
        <f t="shared" si="370"/>
        <v>0</v>
      </c>
      <c r="AO442" s="6055"/>
      <c r="AP442" s="718">
        <f t="shared" si="373"/>
        <v>1209.04</v>
      </c>
      <c r="AQ442" s="6058"/>
      <c r="AR442" s="1094"/>
      <c r="AS442" s="6055"/>
      <c r="AT442" s="718">
        <f t="shared" si="363"/>
        <v>1209.04</v>
      </c>
      <c r="AU442" s="6058"/>
      <c r="AV442" s="1094"/>
      <c r="AW442" s="6055"/>
      <c r="AX442" s="718">
        <f t="shared" si="364"/>
        <v>1209.04</v>
      </c>
      <c r="AY442" s="6058"/>
      <c r="AZ442" s="1094"/>
      <c r="BA442" s="6031"/>
      <c r="BB442" s="717">
        <f t="shared" si="371"/>
        <v>0</v>
      </c>
      <c r="BC442" s="6052"/>
      <c r="BD442" s="429">
        <f t="shared" si="365"/>
        <v>0</v>
      </c>
      <c r="BE442" s="6055"/>
      <c r="BF442" s="718">
        <f t="shared" si="366"/>
        <v>1209.04</v>
      </c>
    </row>
    <row r="443" spans="1:58" ht="15" thickBot="1" x14ac:dyDescent="0.35">
      <c r="A443" s="142"/>
      <c r="B443" s="2566" t="s">
        <v>1478</v>
      </c>
      <c r="C443" s="3139" t="s">
        <v>858</v>
      </c>
      <c r="D443" s="3194"/>
      <c r="E443" s="6058"/>
      <c r="F443" s="1094"/>
      <c r="G443" s="6058"/>
      <c r="H443" s="1094"/>
      <c r="I443" s="6055"/>
      <c r="J443" s="718">
        <f t="shared" si="358"/>
        <v>0</v>
      </c>
      <c r="K443" s="6058"/>
      <c r="L443" s="1094"/>
      <c r="M443" s="6031"/>
      <c r="N443" s="717">
        <f t="shared" si="374"/>
        <v>0</v>
      </c>
      <c r="O443" s="6058"/>
      <c r="P443" s="1094"/>
      <c r="Q443" s="6055"/>
      <c r="R443" s="718">
        <f t="shared" si="359"/>
        <v>0</v>
      </c>
      <c r="S443" s="6058"/>
      <c r="T443" s="1094"/>
      <c r="U443" s="6055"/>
      <c r="V443" s="718">
        <f t="shared" si="360"/>
        <v>0</v>
      </c>
      <c r="W443" s="6058"/>
      <c r="X443" s="1094"/>
      <c r="Y443" s="6031"/>
      <c r="Z443" s="6031">
        <f t="shared" si="369"/>
        <v>0</v>
      </c>
      <c r="AA443" s="6052"/>
      <c r="AB443" s="429">
        <f t="shared" si="372"/>
        <v>0</v>
      </c>
      <c r="AC443" s="6058"/>
      <c r="AD443" s="1094"/>
      <c r="AE443" s="6055"/>
      <c r="AF443" s="718">
        <f t="shared" si="361"/>
        <v>0</v>
      </c>
      <c r="AG443" s="6058"/>
      <c r="AH443" s="1094"/>
      <c r="AI443" s="6055"/>
      <c r="AJ443" s="718">
        <f t="shared" si="362"/>
        <v>0</v>
      </c>
      <c r="AK443" s="6058"/>
      <c r="AL443" s="1094"/>
      <c r="AM443" s="6031"/>
      <c r="AN443" s="717">
        <f t="shared" si="370"/>
        <v>0</v>
      </c>
      <c r="AO443" s="6055"/>
      <c r="AP443" s="718">
        <f t="shared" si="373"/>
        <v>0</v>
      </c>
      <c r="AQ443" s="6058"/>
      <c r="AR443" s="1094"/>
      <c r="AS443" s="6055"/>
      <c r="AT443" s="718">
        <f t="shared" si="363"/>
        <v>0</v>
      </c>
      <c r="AU443" s="6058"/>
      <c r="AV443" s="1094"/>
      <c r="AW443" s="6055"/>
      <c r="AX443" s="718">
        <f t="shared" si="364"/>
        <v>0</v>
      </c>
      <c r="AY443" s="6058"/>
      <c r="AZ443" s="1094"/>
      <c r="BA443" s="6031"/>
      <c r="BB443" s="717">
        <f t="shared" si="371"/>
        <v>0</v>
      </c>
      <c r="BC443" s="6052"/>
      <c r="BD443" s="429">
        <f t="shared" si="365"/>
        <v>0</v>
      </c>
      <c r="BE443" s="6055"/>
      <c r="BF443" s="718">
        <f t="shared" si="366"/>
        <v>0</v>
      </c>
    </row>
    <row r="444" spans="1:58" ht="20.25" customHeight="1" x14ac:dyDescent="0.3">
      <c r="A444" s="142"/>
      <c r="B444" s="3186" t="s">
        <v>1125</v>
      </c>
      <c r="C444" s="211"/>
      <c r="D444" s="211"/>
      <c r="E444" s="6059"/>
      <c r="F444" s="3199">
        <f>F28</f>
        <v>0</v>
      </c>
      <c r="G444" s="6059"/>
      <c r="H444" s="3199">
        <f>H28</f>
        <v>0</v>
      </c>
      <c r="I444" s="6056"/>
      <c r="J444" s="718">
        <f t="shared" si="358"/>
        <v>0</v>
      </c>
      <c r="K444" s="6059"/>
      <c r="L444" s="3199">
        <f>L28</f>
        <v>0</v>
      </c>
      <c r="M444" s="6032"/>
      <c r="N444" s="717">
        <f t="shared" si="374"/>
        <v>0</v>
      </c>
      <c r="O444" s="6059"/>
      <c r="P444" s="3199">
        <f>P28</f>
        <v>0</v>
      </c>
      <c r="Q444" s="6056"/>
      <c r="R444" s="718">
        <f t="shared" si="359"/>
        <v>0</v>
      </c>
      <c r="S444" s="6059"/>
      <c r="T444" s="3199">
        <f>T28</f>
        <v>0</v>
      </c>
      <c r="U444" s="6056"/>
      <c r="V444" s="718">
        <f t="shared" si="360"/>
        <v>0</v>
      </c>
      <c r="W444" s="6059"/>
      <c r="X444" s="3199">
        <f>X28</f>
        <v>0</v>
      </c>
      <c r="Y444" s="6032"/>
      <c r="Z444" s="6032">
        <f t="shared" si="369"/>
        <v>0</v>
      </c>
      <c r="AA444" s="6053"/>
      <c r="AB444" s="429">
        <f t="shared" si="372"/>
        <v>0</v>
      </c>
      <c r="AC444" s="6059"/>
      <c r="AD444" s="3199">
        <f>AD28</f>
        <v>0</v>
      </c>
      <c r="AE444" s="6056"/>
      <c r="AF444" s="718">
        <f t="shared" si="361"/>
        <v>0</v>
      </c>
      <c r="AG444" s="6059"/>
      <c r="AH444" s="3199">
        <f>AH28</f>
        <v>0</v>
      </c>
      <c r="AI444" s="6056"/>
      <c r="AJ444" s="718">
        <f t="shared" si="362"/>
        <v>0</v>
      </c>
      <c r="AK444" s="6059"/>
      <c r="AL444" s="3199">
        <f>AL28</f>
        <v>0</v>
      </c>
      <c r="AM444" s="6032"/>
      <c r="AN444" s="717">
        <f t="shared" si="370"/>
        <v>0</v>
      </c>
      <c r="AO444" s="6056"/>
      <c r="AP444" s="718">
        <f t="shared" si="373"/>
        <v>0</v>
      </c>
      <c r="AQ444" s="6059"/>
      <c r="AR444" s="3199">
        <f>AR28</f>
        <v>0</v>
      </c>
      <c r="AS444" s="6056"/>
      <c r="AT444" s="718">
        <f t="shared" si="363"/>
        <v>0</v>
      </c>
      <c r="AU444" s="6059"/>
      <c r="AV444" s="3199">
        <f>AV28</f>
        <v>0</v>
      </c>
      <c r="AW444" s="6056"/>
      <c r="AX444" s="718">
        <f t="shared" si="364"/>
        <v>0</v>
      </c>
      <c r="AY444" s="6059"/>
      <c r="AZ444" s="3199">
        <f>AZ28</f>
        <v>0</v>
      </c>
      <c r="BA444" s="6032"/>
      <c r="BB444" s="717">
        <f t="shared" si="371"/>
        <v>0</v>
      </c>
      <c r="BC444" s="6053"/>
      <c r="BD444" s="429">
        <f t="shared" si="365"/>
        <v>0</v>
      </c>
      <c r="BE444" s="6056"/>
      <c r="BF444" s="718">
        <f t="shared" si="366"/>
        <v>0</v>
      </c>
    </row>
    <row r="445" spans="1:58" ht="20.25" customHeight="1" x14ac:dyDescent="0.3">
      <c r="A445" s="142"/>
      <c r="B445" s="3126" t="s">
        <v>120</v>
      </c>
      <c r="C445" s="192" t="s">
        <v>50</v>
      </c>
      <c r="D445" s="421">
        <f>+D89</f>
        <v>850000</v>
      </c>
      <c r="E445" s="421">
        <f>+E89</f>
        <v>56000</v>
      </c>
      <c r="F445" s="421">
        <f>SUM(F336:F444)</f>
        <v>50540.922999999995</v>
      </c>
      <c r="G445" s="421">
        <f>+G89</f>
        <v>59500</v>
      </c>
      <c r="H445" s="421">
        <f>SUM(H336:H444)</f>
        <v>28795.449000000008</v>
      </c>
      <c r="I445" s="344">
        <f>E445+G445</f>
        <v>115500</v>
      </c>
      <c r="J445" s="718">
        <f t="shared" ref="J445:J460" si="375">F445+H445</f>
        <v>79336.372000000003</v>
      </c>
      <c r="K445" s="421">
        <f>+K89</f>
        <v>62500</v>
      </c>
      <c r="L445" s="421">
        <f>SUM(L336:L444)</f>
        <v>0</v>
      </c>
      <c r="M445" s="346">
        <f>I445+K445</f>
        <v>178000</v>
      </c>
      <c r="N445" s="717">
        <f t="shared" si="374"/>
        <v>79336.372000000003</v>
      </c>
      <c r="O445" s="421">
        <f>+O89</f>
        <v>65000</v>
      </c>
      <c r="P445" s="421">
        <f>SUM(P336:P444)</f>
        <v>0</v>
      </c>
      <c r="Q445" s="344">
        <f>M445+O445</f>
        <v>243000</v>
      </c>
      <c r="R445" s="718">
        <f t="shared" si="359"/>
        <v>79336.372000000003</v>
      </c>
      <c r="S445" s="421">
        <f>+S89</f>
        <v>65000</v>
      </c>
      <c r="T445" s="421">
        <f>SUM(T336:T444)</f>
        <v>0</v>
      </c>
      <c r="U445" s="344">
        <f>Q445+S445</f>
        <v>308000</v>
      </c>
      <c r="V445" s="718">
        <f t="shared" si="360"/>
        <v>79336.372000000003</v>
      </c>
      <c r="W445" s="421">
        <f>+W89</f>
        <v>33500</v>
      </c>
      <c r="X445" s="421">
        <f>SUM(X336:X444)</f>
        <v>0</v>
      </c>
      <c r="Y445" s="346">
        <f t="shared" ref="Y445" si="376">O445+S445+W445</f>
        <v>163500</v>
      </c>
      <c r="Z445" s="346">
        <f t="shared" si="369"/>
        <v>0</v>
      </c>
      <c r="AA445" s="502">
        <f>M445+Y445</f>
        <v>341500</v>
      </c>
      <c r="AB445" s="429">
        <f t="shared" si="372"/>
        <v>79336.372000000003</v>
      </c>
      <c r="AC445" s="421">
        <f>+AC89</f>
        <v>67000</v>
      </c>
      <c r="AD445" s="421">
        <f>SUM(AD336:AD444)</f>
        <v>0</v>
      </c>
      <c r="AE445" s="344">
        <f>AA445+AC445</f>
        <v>408500</v>
      </c>
      <c r="AF445" s="718">
        <f t="shared" si="361"/>
        <v>79336.372000000003</v>
      </c>
      <c r="AG445" s="421">
        <f>+AG89</f>
        <v>65000</v>
      </c>
      <c r="AH445" s="421">
        <f>SUM(AH336:AH444)</f>
        <v>0</v>
      </c>
      <c r="AI445" s="344">
        <f>AE445+AG445</f>
        <v>473500</v>
      </c>
      <c r="AJ445" s="718">
        <f t="shared" si="362"/>
        <v>79336.372000000003</v>
      </c>
      <c r="AK445" s="421">
        <f>+AK89</f>
        <v>67500</v>
      </c>
      <c r="AL445" s="421">
        <f>SUM(AL336:AL444)</f>
        <v>0</v>
      </c>
      <c r="AM445" s="346">
        <f t="shared" ref="AM445" si="377">AC445+AG445+AK445</f>
        <v>199500</v>
      </c>
      <c r="AN445" s="717">
        <f t="shared" si="370"/>
        <v>0</v>
      </c>
      <c r="AO445" s="344">
        <f>AK445+AI445</f>
        <v>541000</v>
      </c>
      <c r="AP445" s="718">
        <f t="shared" si="373"/>
        <v>79336.372000000003</v>
      </c>
      <c r="AQ445" s="421">
        <f>+AQ89</f>
        <v>68000</v>
      </c>
      <c r="AR445" s="421">
        <f>SUM(AR336:AR444)</f>
        <v>0</v>
      </c>
      <c r="AS445" s="344">
        <f>AO445+AQ445</f>
        <v>609000</v>
      </c>
      <c r="AT445" s="718">
        <f t="shared" si="363"/>
        <v>79336.372000000003</v>
      </c>
      <c r="AU445" s="421">
        <f>+AU89</f>
        <v>61000</v>
      </c>
      <c r="AV445" s="421">
        <f>SUM(AV336:AV444)</f>
        <v>0</v>
      </c>
      <c r="AW445" s="344">
        <f>AS445+AU445</f>
        <v>670000</v>
      </c>
      <c r="AX445" s="718">
        <f t="shared" si="364"/>
        <v>79336.372000000003</v>
      </c>
      <c r="AY445" s="421">
        <f>+AY89</f>
        <v>68500</v>
      </c>
      <c r="AZ445" s="421">
        <f>SUM(AZ336:AZ444)</f>
        <v>0</v>
      </c>
      <c r="BA445" s="346">
        <f t="shared" ref="BA445" si="378">AQ445+AU445+AY445</f>
        <v>197500</v>
      </c>
      <c r="BB445" s="717">
        <f t="shared" si="371"/>
        <v>0</v>
      </c>
      <c r="BC445" s="502">
        <f>AM445+BA445</f>
        <v>397000</v>
      </c>
      <c r="BD445" s="429">
        <f t="shared" si="365"/>
        <v>0</v>
      </c>
      <c r="BE445" s="344">
        <f>AA445+BC445</f>
        <v>738500</v>
      </c>
      <c r="BF445" s="718">
        <f t="shared" si="366"/>
        <v>79336.372000000003</v>
      </c>
    </row>
    <row r="446" spans="1:58" ht="20.25" customHeight="1" x14ac:dyDescent="0.3">
      <c r="A446" s="142"/>
      <c r="B446" s="414" t="s">
        <v>633</v>
      </c>
      <c r="C446" s="598"/>
      <c r="D446" s="598"/>
      <c r="E446" s="421"/>
      <c r="F446" s="1231"/>
      <c r="G446" s="421"/>
      <c r="H446" s="1231"/>
      <c r="I446" s="344"/>
      <c r="J446" s="718"/>
      <c r="K446" s="421"/>
      <c r="L446" s="1231"/>
      <c r="M446" s="346"/>
      <c r="N446" s="717"/>
      <c r="O446" s="421"/>
      <c r="P446" s="1231"/>
      <c r="Q446" s="344"/>
      <c r="R446" s="718"/>
      <c r="S446" s="421"/>
      <c r="T446" s="1231"/>
      <c r="U446" s="344"/>
      <c r="V446" s="718"/>
      <c r="W446" s="421"/>
      <c r="X446" s="1231"/>
      <c r="Y446" s="346"/>
      <c r="Z446" s="346"/>
      <c r="AA446" s="502"/>
      <c r="AB446" s="429"/>
      <c r="AC446" s="421"/>
      <c r="AD446" s="1231"/>
      <c r="AE446" s="344"/>
      <c r="AF446" s="718"/>
      <c r="AG446" s="421"/>
      <c r="AH446" s="1231"/>
      <c r="AI446" s="344"/>
      <c r="AJ446" s="718"/>
      <c r="AK446" s="421"/>
      <c r="AL446" s="1231"/>
      <c r="AM446" s="346"/>
      <c r="AN446" s="717"/>
      <c r="AO446" s="344"/>
      <c r="AP446" s="718"/>
      <c r="AQ446" s="421"/>
      <c r="AR446" s="1231"/>
      <c r="AS446" s="344"/>
      <c r="AT446" s="718"/>
      <c r="AU446" s="421"/>
      <c r="AV446" s="1231"/>
      <c r="AW446" s="344"/>
      <c r="AX446" s="718"/>
      <c r="AY446" s="421"/>
      <c r="AZ446" s="1231"/>
      <c r="BA446" s="346"/>
      <c r="BB446" s="717"/>
      <c r="BC446" s="502"/>
      <c r="BD446" s="429"/>
      <c r="BE446" s="344"/>
      <c r="BF446" s="718"/>
    </row>
    <row r="447" spans="1:58" ht="20.25" customHeight="1" x14ac:dyDescent="0.3">
      <c r="A447" s="88"/>
      <c r="B447" s="3189" t="s">
        <v>1449</v>
      </c>
      <c r="C447" s="146" t="s">
        <v>50</v>
      </c>
      <c r="D447" s="146"/>
      <c r="E447" s="6036"/>
      <c r="F447" s="1094"/>
      <c r="G447" s="6036"/>
      <c r="H447" s="1094"/>
      <c r="I447" s="5990"/>
      <c r="J447" s="718">
        <f t="shared" si="375"/>
        <v>0</v>
      </c>
      <c r="K447" s="6036"/>
      <c r="L447" s="1094"/>
      <c r="M447" s="6018"/>
      <c r="N447" s="717">
        <f t="shared" si="374"/>
        <v>0</v>
      </c>
      <c r="O447" s="6036"/>
      <c r="P447" s="1094"/>
      <c r="Q447" s="5990"/>
      <c r="R447" s="718">
        <f t="shared" si="359"/>
        <v>0</v>
      </c>
      <c r="S447" s="6036"/>
      <c r="T447" s="1094"/>
      <c r="U447" s="5990"/>
      <c r="V447" s="718">
        <f t="shared" si="360"/>
        <v>0</v>
      </c>
      <c r="W447" s="6036"/>
      <c r="X447" s="1094"/>
      <c r="Y447" s="6018"/>
      <c r="Z447" s="6018">
        <f t="shared" si="369"/>
        <v>0</v>
      </c>
      <c r="AA447" s="6003"/>
      <c r="AB447" s="429">
        <f t="shared" ref="AB447:AB460" si="379">X447+V447</f>
        <v>0</v>
      </c>
      <c r="AC447" s="6036"/>
      <c r="AD447" s="1094"/>
      <c r="AE447" s="5990"/>
      <c r="AF447" s="718">
        <f t="shared" si="361"/>
        <v>0</v>
      </c>
      <c r="AG447" s="6036"/>
      <c r="AH447" s="1094"/>
      <c r="AI447" s="5990"/>
      <c r="AJ447" s="718">
        <f t="shared" si="362"/>
        <v>0</v>
      </c>
      <c r="AK447" s="6036"/>
      <c r="AL447" s="1094"/>
      <c r="AM447" s="6018"/>
      <c r="AN447" s="717">
        <f t="shared" si="370"/>
        <v>0</v>
      </c>
      <c r="AO447" s="5990"/>
      <c r="AP447" s="718">
        <f t="shared" ref="AP447:AP460" si="380">AL447+AJ447</f>
        <v>0</v>
      </c>
      <c r="AQ447" s="6036"/>
      <c r="AR447" s="1094"/>
      <c r="AS447" s="5990"/>
      <c r="AT447" s="718">
        <f t="shared" si="363"/>
        <v>0</v>
      </c>
      <c r="AU447" s="6036"/>
      <c r="AV447" s="1094"/>
      <c r="AW447" s="5990"/>
      <c r="AX447" s="718">
        <f t="shared" si="364"/>
        <v>0</v>
      </c>
      <c r="AY447" s="6036"/>
      <c r="AZ447" s="1094"/>
      <c r="BA447" s="6018"/>
      <c r="BB447" s="717">
        <f t="shared" si="371"/>
        <v>0</v>
      </c>
      <c r="BC447" s="6003"/>
      <c r="BD447" s="429">
        <f t="shared" si="365"/>
        <v>0</v>
      </c>
      <c r="BE447" s="5990"/>
      <c r="BF447" s="718">
        <f t="shared" si="366"/>
        <v>0</v>
      </c>
    </row>
    <row r="448" spans="1:58" ht="20.25" customHeight="1" x14ac:dyDescent="0.3">
      <c r="A448" s="88"/>
      <c r="B448" s="3181" t="s">
        <v>1784</v>
      </c>
      <c r="C448" s="146" t="s">
        <v>50</v>
      </c>
      <c r="D448" s="146"/>
      <c r="E448" s="6037"/>
      <c r="F448" s="1094"/>
      <c r="G448" s="6037"/>
      <c r="H448" s="1094"/>
      <c r="I448" s="5991"/>
      <c r="J448" s="718">
        <f t="shared" si="375"/>
        <v>0</v>
      </c>
      <c r="K448" s="6037"/>
      <c r="L448" s="1094"/>
      <c r="M448" s="6019"/>
      <c r="N448" s="717">
        <f t="shared" si="374"/>
        <v>0</v>
      </c>
      <c r="O448" s="6037"/>
      <c r="P448" s="1094"/>
      <c r="Q448" s="5991"/>
      <c r="R448" s="718">
        <f t="shared" si="359"/>
        <v>0</v>
      </c>
      <c r="S448" s="6037"/>
      <c r="T448" s="1094"/>
      <c r="U448" s="5991"/>
      <c r="V448" s="718">
        <f t="shared" si="360"/>
        <v>0</v>
      </c>
      <c r="W448" s="6037"/>
      <c r="X448" s="1094"/>
      <c r="Y448" s="6019"/>
      <c r="Z448" s="6019">
        <f t="shared" si="369"/>
        <v>0</v>
      </c>
      <c r="AA448" s="6004"/>
      <c r="AB448" s="429">
        <f t="shared" si="379"/>
        <v>0</v>
      </c>
      <c r="AC448" s="6037"/>
      <c r="AD448" s="1094"/>
      <c r="AE448" s="5991"/>
      <c r="AF448" s="718">
        <f t="shared" si="361"/>
        <v>0</v>
      </c>
      <c r="AG448" s="6037"/>
      <c r="AH448" s="1094"/>
      <c r="AI448" s="5991"/>
      <c r="AJ448" s="718">
        <f t="shared" si="362"/>
        <v>0</v>
      </c>
      <c r="AK448" s="6037"/>
      <c r="AL448" s="1094"/>
      <c r="AM448" s="6019"/>
      <c r="AN448" s="717">
        <f t="shared" si="370"/>
        <v>0</v>
      </c>
      <c r="AO448" s="5991"/>
      <c r="AP448" s="718">
        <f t="shared" si="380"/>
        <v>0</v>
      </c>
      <c r="AQ448" s="6037"/>
      <c r="AR448" s="1094"/>
      <c r="AS448" s="5991"/>
      <c r="AT448" s="718">
        <f t="shared" si="363"/>
        <v>0</v>
      </c>
      <c r="AU448" s="6037"/>
      <c r="AV448" s="1094"/>
      <c r="AW448" s="5991"/>
      <c r="AX448" s="718">
        <f t="shared" si="364"/>
        <v>0</v>
      </c>
      <c r="AY448" s="6037"/>
      <c r="AZ448" s="1094"/>
      <c r="BA448" s="6019"/>
      <c r="BB448" s="717">
        <f t="shared" si="371"/>
        <v>0</v>
      </c>
      <c r="BC448" s="6004"/>
      <c r="BD448" s="429">
        <f t="shared" si="365"/>
        <v>0</v>
      </c>
      <c r="BE448" s="5991"/>
      <c r="BF448" s="718">
        <f t="shared" si="366"/>
        <v>0</v>
      </c>
    </row>
    <row r="449" spans="1:58" ht="20.25" customHeight="1" x14ac:dyDescent="0.3">
      <c r="A449" s="88"/>
      <c r="B449" s="3967" t="s">
        <v>1828</v>
      </c>
      <c r="C449" s="3968" t="s">
        <v>50</v>
      </c>
      <c r="D449" s="3968"/>
      <c r="E449" s="6037"/>
      <c r="F449" s="3969"/>
      <c r="G449" s="6037"/>
      <c r="H449" s="3969"/>
      <c r="I449" s="5991"/>
      <c r="J449" s="718">
        <f t="shared" si="375"/>
        <v>0</v>
      </c>
      <c r="K449" s="6037"/>
      <c r="L449" s="3969"/>
      <c r="M449" s="6019"/>
      <c r="N449" s="717">
        <f t="shared" si="374"/>
        <v>0</v>
      </c>
      <c r="O449" s="6037"/>
      <c r="P449" s="3969"/>
      <c r="Q449" s="5991"/>
      <c r="R449" s="718">
        <f t="shared" si="359"/>
        <v>0</v>
      </c>
      <c r="S449" s="6037"/>
      <c r="T449" s="3969"/>
      <c r="U449" s="5991"/>
      <c r="V449" s="718">
        <f t="shared" si="360"/>
        <v>0</v>
      </c>
      <c r="W449" s="6037"/>
      <c r="X449" s="3969"/>
      <c r="Y449" s="6019"/>
      <c r="Z449" s="6019">
        <f t="shared" si="369"/>
        <v>0</v>
      </c>
      <c r="AA449" s="6004"/>
      <c r="AB449" s="429">
        <f t="shared" si="379"/>
        <v>0</v>
      </c>
      <c r="AC449" s="6037"/>
      <c r="AD449" s="3969"/>
      <c r="AE449" s="5991"/>
      <c r="AF449" s="718">
        <f t="shared" si="361"/>
        <v>0</v>
      </c>
      <c r="AG449" s="6037"/>
      <c r="AH449" s="3969"/>
      <c r="AI449" s="5991"/>
      <c r="AJ449" s="718">
        <f t="shared" si="362"/>
        <v>0</v>
      </c>
      <c r="AK449" s="6037"/>
      <c r="AL449" s="3969"/>
      <c r="AM449" s="6019"/>
      <c r="AN449" s="717">
        <f t="shared" si="370"/>
        <v>0</v>
      </c>
      <c r="AO449" s="5991"/>
      <c r="AP449" s="718">
        <f t="shared" si="380"/>
        <v>0</v>
      </c>
      <c r="AQ449" s="6037"/>
      <c r="AR449" s="3969"/>
      <c r="AS449" s="5991"/>
      <c r="AT449" s="718">
        <f t="shared" si="363"/>
        <v>0</v>
      </c>
      <c r="AU449" s="6037"/>
      <c r="AV449" s="3969"/>
      <c r="AW449" s="5991"/>
      <c r="AX449" s="718">
        <f t="shared" si="364"/>
        <v>0</v>
      </c>
      <c r="AY449" s="6037"/>
      <c r="AZ449" s="3969"/>
      <c r="BA449" s="6019"/>
      <c r="BB449" s="717">
        <f t="shared" si="371"/>
        <v>0</v>
      </c>
      <c r="BC449" s="6004"/>
      <c r="BD449" s="429">
        <f t="shared" si="365"/>
        <v>0</v>
      </c>
      <c r="BE449" s="5991"/>
      <c r="BF449" s="718">
        <f t="shared" si="366"/>
        <v>0</v>
      </c>
    </row>
    <row r="450" spans="1:58" ht="20.25" customHeight="1" x14ac:dyDescent="0.3">
      <c r="A450" s="88"/>
      <c r="B450" s="3181" t="s">
        <v>1721</v>
      </c>
      <c r="C450" s="146" t="s">
        <v>50</v>
      </c>
      <c r="D450" s="146"/>
      <c r="E450" s="6037"/>
      <c r="F450" s="1094">
        <v>83.12</v>
      </c>
      <c r="G450" s="6037"/>
      <c r="H450" s="1094"/>
      <c r="I450" s="5991"/>
      <c r="J450" s="718">
        <f t="shared" si="375"/>
        <v>83.12</v>
      </c>
      <c r="K450" s="6037"/>
      <c r="L450" s="1094"/>
      <c r="M450" s="6019"/>
      <c r="N450" s="717">
        <f t="shared" si="374"/>
        <v>83.12</v>
      </c>
      <c r="O450" s="6037"/>
      <c r="P450" s="1094"/>
      <c r="Q450" s="5991"/>
      <c r="R450" s="718">
        <f t="shared" si="359"/>
        <v>83.12</v>
      </c>
      <c r="S450" s="6037"/>
      <c r="T450" s="1094"/>
      <c r="U450" s="5991"/>
      <c r="V450" s="718">
        <f t="shared" si="360"/>
        <v>83.12</v>
      </c>
      <c r="W450" s="6037"/>
      <c r="X450" s="1094"/>
      <c r="Y450" s="6019"/>
      <c r="Z450" s="6019">
        <f t="shared" si="369"/>
        <v>0</v>
      </c>
      <c r="AA450" s="6004"/>
      <c r="AB450" s="429">
        <f t="shared" si="379"/>
        <v>83.12</v>
      </c>
      <c r="AC450" s="6037"/>
      <c r="AD450" s="1094"/>
      <c r="AE450" s="5991"/>
      <c r="AF450" s="718">
        <f t="shared" si="361"/>
        <v>83.12</v>
      </c>
      <c r="AG450" s="6037"/>
      <c r="AH450" s="1094"/>
      <c r="AI450" s="5991"/>
      <c r="AJ450" s="718">
        <f t="shared" si="362"/>
        <v>83.12</v>
      </c>
      <c r="AK450" s="6037"/>
      <c r="AL450" s="1094"/>
      <c r="AM450" s="6019"/>
      <c r="AN450" s="717">
        <f t="shared" si="370"/>
        <v>0</v>
      </c>
      <c r="AO450" s="5991"/>
      <c r="AP450" s="718">
        <f t="shared" si="380"/>
        <v>83.12</v>
      </c>
      <c r="AQ450" s="6037"/>
      <c r="AR450" s="1094"/>
      <c r="AS450" s="5991"/>
      <c r="AT450" s="718">
        <f t="shared" si="363"/>
        <v>83.12</v>
      </c>
      <c r="AU450" s="6037"/>
      <c r="AV450" s="1094"/>
      <c r="AW450" s="5991"/>
      <c r="AX450" s="718">
        <f t="shared" si="364"/>
        <v>83.12</v>
      </c>
      <c r="AY450" s="6037"/>
      <c r="AZ450" s="1094"/>
      <c r="BA450" s="6019"/>
      <c r="BB450" s="717">
        <f t="shared" si="371"/>
        <v>0</v>
      </c>
      <c r="BC450" s="6004"/>
      <c r="BD450" s="429">
        <f t="shared" si="365"/>
        <v>0</v>
      </c>
      <c r="BE450" s="5991"/>
      <c r="BF450" s="718">
        <f t="shared" si="366"/>
        <v>83.12</v>
      </c>
    </row>
    <row r="451" spans="1:58" ht="20.25" customHeight="1" x14ac:dyDescent="0.3">
      <c r="A451" s="88"/>
      <c r="B451" s="3195" t="s">
        <v>1775</v>
      </c>
      <c r="C451" s="146" t="s">
        <v>50</v>
      </c>
      <c r="D451" s="2356"/>
      <c r="E451" s="6037"/>
      <c r="F451" s="2348"/>
      <c r="G451" s="6037"/>
      <c r="H451" s="2348"/>
      <c r="I451" s="5991"/>
      <c r="J451" s="718">
        <f t="shared" si="375"/>
        <v>0</v>
      </c>
      <c r="K451" s="6037"/>
      <c r="L451" s="2348"/>
      <c r="M451" s="6019"/>
      <c r="N451" s="717">
        <f t="shared" si="374"/>
        <v>0</v>
      </c>
      <c r="O451" s="6037"/>
      <c r="P451" s="2348"/>
      <c r="Q451" s="5991"/>
      <c r="R451" s="718">
        <f t="shared" si="359"/>
        <v>0</v>
      </c>
      <c r="S451" s="6037"/>
      <c r="T451" s="2348"/>
      <c r="U451" s="5991"/>
      <c r="V451" s="718">
        <f t="shared" si="360"/>
        <v>0</v>
      </c>
      <c r="W451" s="6037"/>
      <c r="X451" s="2348"/>
      <c r="Y451" s="6019"/>
      <c r="Z451" s="6019">
        <f t="shared" si="369"/>
        <v>0</v>
      </c>
      <c r="AA451" s="6004"/>
      <c r="AB451" s="429">
        <f t="shared" si="379"/>
        <v>0</v>
      </c>
      <c r="AC451" s="6037"/>
      <c r="AD451" s="2348"/>
      <c r="AE451" s="5991"/>
      <c r="AF451" s="718">
        <f t="shared" si="361"/>
        <v>0</v>
      </c>
      <c r="AG451" s="6037"/>
      <c r="AH451" s="2348"/>
      <c r="AI451" s="5991"/>
      <c r="AJ451" s="718">
        <f t="shared" si="362"/>
        <v>0</v>
      </c>
      <c r="AK451" s="6037"/>
      <c r="AL451" s="2348"/>
      <c r="AM451" s="6019"/>
      <c r="AN451" s="717">
        <f t="shared" si="370"/>
        <v>0</v>
      </c>
      <c r="AO451" s="5991"/>
      <c r="AP451" s="718">
        <f t="shared" si="380"/>
        <v>0</v>
      </c>
      <c r="AQ451" s="6037"/>
      <c r="AR451" s="2348"/>
      <c r="AS451" s="5991"/>
      <c r="AT451" s="718">
        <f t="shared" si="363"/>
        <v>0</v>
      </c>
      <c r="AU451" s="6037"/>
      <c r="AV451" s="2348"/>
      <c r="AW451" s="5991"/>
      <c r="AX451" s="718">
        <f t="shared" si="364"/>
        <v>0</v>
      </c>
      <c r="AY451" s="6037"/>
      <c r="AZ451" s="2348"/>
      <c r="BA451" s="6019"/>
      <c r="BB451" s="717">
        <f t="shared" si="371"/>
        <v>0</v>
      </c>
      <c r="BC451" s="6004"/>
      <c r="BD451" s="429">
        <f t="shared" si="365"/>
        <v>0</v>
      </c>
      <c r="BE451" s="5991"/>
      <c r="BF451" s="718">
        <f t="shared" si="366"/>
        <v>0</v>
      </c>
    </row>
    <row r="452" spans="1:58" ht="20.25" customHeight="1" x14ac:dyDescent="0.3">
      <c r="A452" s="88"/>
      <c r="B452" s="3181" t="s">
        <v>1785</v>
      </c>
      <c r="C452" s="146" t="s">
        <v>50</v>
      </c>
      <c r="D452" s="146"/>
      <c r="E452" s="6037"/>
      <c r="F452" s="1094"/>
      <c r="G452" s="6037"/>
      <c r="H452" s="1094"/>
      <c r="I452" s="5991"/>
      <c r="J452" s="718">
        <f t="shared" si="375"/>
        <v>0</v>
      </c>
      <c r="K452" s="6037"/>
      <c r="L452" s="1094"/>
      <c r="M452" s="6019"/>
      <c r="N452" s="717">
        <f t="shared" si="374"/>
        <v>0</v>
      </c>
      <c r="O452" s="6037"/>
      <c r="P452" s="1094"/>
      <c r="Q452" s="5991"/>
      <c r="R452" s="718">
        <f t="shared" si="359"/>
        <v>0</v>
      </c>
      <c r="S452" s="6037"/>
      <c r="T452" s="1094"/>
      <c r="U452" s="5991"/>
      <c r="V452" s="718">
        <f t="shared" si="360"/>
        <v>0</v>
      </c>
      <c r="W452" s="6037"/>
      <c r="X452" s="1094"/>
      <c r="Y452" s="6019"/>
      <c r="Z452" s="6019">
        <f t="shared" si="369"/>
        <v>0</v>
      </c>
      <c r="AA452" s="6004"/>
      <c r="AB452" s="429">
        <f t="shared" si="379"/>
        <v>0</v>
      </c>
      <c r="AC452" s="6037"/>
      <c r="AD452" s="1094"/>
      <c r="AE452" s="5991"/>
      <c r="AF452" s="718">
        <f t="shared" si="361"/>
        <v>0</v>
      </c>
      <c r="AG452" s="6037"/>
      <c r="AH452" s="1094"/>
      <c r="AI452" s="5991"/>
      <c r="AJ452" s="718">
        <f t="shared" si="362"/>
        <v>0</v>
      </c>
      <c r="AK452" s="6037"/>
      <c r="AL452" s="1094"/>
      <c r="AM452" s="6019"/>
      <c r="AN452" s="717">
        <f t="shared" si="370"/>
        <v>0</v>
      </c>
      <c r="AO452" s="5991"/>
      <c r="AP452" s="718">
        <f t="shared" si="380"/>
        <v>0</v>
      </c>
      <c r="AQ452" s="6037"/>
      <c r="AR452" s="1094"/>
      <c r="AS452" s="5991"/>
      <c r="AT452" s="718">
        <f t="shared" si="363"/>
        <v>0</v>
      </c>
      <c r="AU452" s="6037"/>
      <c r="AV452" s="1094"/>
      <c r="AW452" s="5991"/>
      <c r="AX452" s="718">
        <f t="shared" si="364"/>
        <v>0</v>
      </c>
      <c r="AY452" s="6037"/>
      <c r="AZ452" s="1094"/>
      <c r="BA452" s="6019"/>
      <c r="BB452" s="717">
        <f t="shared" si="371"/>
        <v>0</v>
      </c>
      <c r="BC452" s="6004"/>
      <c r="BD452" s="429">
        <f t="shared" si="365"/>
        <v>0</v>
      </c>
      <c r="BE452" s="5991"/>
      <c r="BF452" s="718">
        <f t="shared" si="366"/>
        <v>0</v>
      </c>
    </row>
    <row r="453" spans="1:58" ht="20.25" customHeight="1" x14ac:dyDescent="0.3">
      <c r="A453" s="88"/>
      <c r="B453" s="3967" t="s">
        <v>1812</v>
      </c>
      <c r="C453" s="3968" t="s">
        <v>50</v>
      </c>
      <c r="D453" s="3968"/>
      <c r="E453" s="6037"/>
      <c r="F453" s="3969"/>
      <c r="G453" s="6037"/>
      <c r="H453" s="3969">
        <v>40.659999999999997</v>
      </c>
      <c r="I453" s="5991"/>
      <c r="J453" s="718">
        <f t="shared" si="375"/>
        <v>40.659999999999997</v>
      </c>
      <c r="K453" s="6037"/>
      <c r="L453" s="3969"/>
      <c r="M453" s="6019"/>
      <c r="N453" s="717">
        <f t="shared" si="374"/>
        <v>40.659999999999997</v>
      </c>
      <c r="O453" s="6037"/>
      <c r="P453" s="3969"/>
      <c r="Q453" s="5991"/>
      <c r="R453" s="718">
        <f t="shared" si="359"/>
        <v>40.659999999999997</v>
      </c>
      <c r="S453" s="6037"/>
      <c r="T453" s="3969"/>
      <c r="U453" s="5991"/>
      <c r="V453" s="718">
        <f t="shared" si="360"/>
        <v>40.659999999999997</v>
      </c>
      <c r="W453" s="6037"/>
      <c r="X453" s="3969"/>
      <c r="Y453" s="6019"/>
      <c r="Z453" s="6019">
        <f t="shared" si="369"/>
        <v>0</v>
      </c>
      <c r="AA453" s="6004"/>
      <c r="AB453" s="429">
        <f t="shared" si="379"/>
        <v>40.659999999999997</v>
      </c>
      <c r="AC453" s="6037"/>
      <c r="AD453" s="3969"/>
      <c r="AE453" s="5991"/>
      <c r="AF453" s="718">
        <f t="shared" si="361"/>
        <v>40.659999999999997</v>
      </c>
      <c r="AG453" s="6037"/>
      <c r="AH453" s="3969"/>
      <c r="AI453" s="5991"/>
      <c r="AJ453" s="718">
        <f t="shared" si="362"/>
        <v>40.659999999999997</v>
      </c>
      <c r="AK453" s="6037"/>
      <c r="AL453" s="3969"/>
      <c r="AM453" s="6019"/>
      <c r="AN453" s="717">
        <f t="shared" si="370"/>
        <v>0</v>
      </c>
      <c r="AO453" s="5991"/>
      <c r="AP453" s="718">
        <f t="shared" si="380"/>
        <v>40.659999999999997</v>
      </c>
      <c r="AQ453" s="6037"/>
      <c r="AR453" s="3969"/>
      <c r="AS453" s="5991"/>
      <c r="AT453" s="718">
        <f t="shared" si="363"/>
        <v>40.659999999999997</v>
      </c>
      <c r="AU453" s="6037"/>
      <c r="AV453" s="3969"/>
      <c r="AW453" s="5991"/>
      <c r="AX453" s="718">
        <f t="shared" si="364"/>
        <v>40.659999999999997</v>
      </c>
      <c r="AY453" s="6037"/>
      <c r="AZ453" s="3969"/>
      <c r="BA453" s="6019"/>
      <c r="BB453" s="717">
        <f t="shared" si="371"/>
        <v>0</v>
      </c>
      <c r="BC453" s="6004"/>
      <c r="BD453" s="429">
        <f t="shared" si="365"/>
        <v>0</v>
      </c>
      <c r="BE453" s="5991"/>
      <c r="BF453" s="718">
        <f t="shared" si="366"/>
        <v>40.659999999999997</v>
      </c>
    </row>
    <row r="454" spans="1:58" ht="20.25" customHeight="1" x14ac:dyDescent="0.3">
      <c r="A454" s="88"/>
      <c r="B454" s="3967" t="s">
        <v>1829</v>
      </c>
      <c r="C454" s="3968" t="s">
        <v>50</v>
      </c>
      <c r="D454" s="3968"/>
      <c r="E454" s="6037"/>
      <c r="F454" s="3969"/>
      <c r="G454" s="6037"/>
      <c r="H454" s="3969"/>
      <c r="I454" s="5991"/>
      <c r="J454" s="718">
        <f t="shared" si="375"/>
        <v>0</v>
      </c>
      <c r="K454" s="6037"/>
      <c r="L454" s="3969"/>
      <c r="M454" s="6019"/>
      <c r="N454" s="717">
        <f t="shared" si="374"/>
        <v>0</v>
      </c>
      <c r="O454" s="6037"/>
      <c r="P454" s="3969"/>
      <c r="Q454" s="5991"/>
      <c r="R454" s="718">
        <f t="shared" ref="R454:R460" si="381">N454+P454</f>
        <v>0</v>
      </c>
      <c r="S454" s="6037"/>
      <c r="T454" s="3969"/>
      <c r="U454" s="5991"/>
      <c r="V454" s="718">
        <f t="shared" ref="V454:V460" si="382">R454+T454</f>
        <v>0</v>
      </c>
      <c r="W454" s="6037"/>
      <c r="X454" s="3969"/>
      <c r="Y454" s="6019"/>
      <c r="Z454" s="6019">
        <f t="shared" si="369"/>
        <v>0</v>
      </c>
      <c r="AA454" s="6004"/>
      <c r="AB454" s="429">
        <f t="shared" si="379"/>
        <v>0</v>
      </c>
      <c r="AC454" s="6037"/>
      <c r="AD454" s="3969"/>
      <c r="AE454" s="5991"/>
      <c r="AF454" s="718">
        <f t="shared" ref="AF454:AF460" si="383">AB454+AD454</f>
        <v>0</v>
      </c>
      <c r="AG454" s="6037"/>
      <c r="AH454" s="3969"/>
      <c r="AI454" s="5991"/>
      <c r="AJ454" s="718">
        <f t="shared" ref="AJ454:AJ460" si="384">AF454+AH454</f>
        <v>0</v>
      </c>
      <c r="AK454" s="6037"/>
      <c r="AL454" s="3969"/>
      <c r="AM454" s="6019"/>
      <c r="AN454" s="717">
        <f t="shared" si="370"/>
        <v>0</v>
      </c>
      <c r="AO454" s="5991"/>
      <c r="AP454" s="718">
        <f t="shared" si="380"/>
        <v>0</v>
      </c>
      <c r="AQ454" s="6037"/>
      <c r="AR454" s="3969"/>
      <c r="AS454" s="5991"/>
      <c r="AT454" s="718">
        <f t="shared" ref="AT454:AT460" si="385">AP454+AR454</f>
        <v>0</v>
      </c>
      <c r="AU454" s="6037"/>
      <c r="AV454" s="3969"/>
      <c r="AW454" s="5991"/>
      <c r="AX454" s="718">
        <f t="shared" ref="AX454:AX460" si="386">AT454+AV454</f>
        <v>0</v>
      </c>
      <c r="AY454" s="6037"/>
      <c r="AZ454" s="3969"/>
      <c r="BA454" s="6019"/>
      <c r="BB454" s="717">
        <f t="shared" si="371"/>
        <v>0</v>
      </c>
      <c r="BC454" s="6004"/>
      <c r="BD454" s="429">
        <f t="shared" si="365"/>
        <v>0</v>
      </c>
      <c r="BE454" s="5991"/>
      <c r="BF454" s="718">
        <f t="shared" si="366"/>
        <v>0</v>
      </c>
    </row>
    <row r="455" spans="1:58" ht="20.25" customHeight="1" x14ac:dyDescent="0.3">
      <c r="A455" s="88"/>
      <c r="B455" s="3181" t="s">
        <v>1765</v>
      </c>
      <c r="C455" s="146" t="s">
        <v>50</v>
      </c>
      <c r="D455" s="146"/>
      <c r="E455" s="6037"/>
      <c r="F455" s="1094">
        <v>81.34</v>
      </c>
      <c r="G455" s="6037"/>
      <c r="H455" s="1094"/>
      <c r="I455" s="5991"/>
      <c r="J455" s="718">
        <f t="shared" si="375"/>
        <v>81.34</v>
      </c>
      <c r="K455" s="6037"/>
      <c r="L455" s="1094"/>
      <c r="M455" s="6019"/>
      <c r="N455" s="717">
        <f t="shared" si="374"/>
        <v>81.34</v>
      </c>
      <c r="O455" s="6037"/>
      <c r="P455" s="1094"/>
      <c r="Q455" s="5991"/>
      <c r="R455" s="718">
        <f t="shared" si="381"/>
        <v>81.34</v>
      </c>
      <c r="S455" s="6037"/>
      <c r="T455" s="1094"/>
      <c r="U455" s="5991"/>
      <c r="V455" s="718">
        <f t="shared" si="382"/>
        <v>81.34</v>
      </c>
      <c r="W455" s="6037"/>
      <c r="X455" s="1094"/>
      <c r="Y455" s="6019"/>
      <c r="Z455" s="6019">
        <f t="shared" si="369"/>
        <v>0</v>
      </c>
      <c r="AA455" s="6004"/>
      <c r="AB455" s="429">
        <f t="shared" si="379"/>
        <v>81.34</v>
      </c>
      <c r="AC455" s="6037"/>
      <c r="AD455" s="1094"/>
      <c r="AE455" s="5991"/>
      <c r="AF455" s="718">
        <f t="shared" si="383"/>
        <v>81.34</v>
      </c>
      <c r="AG455" s="6037"/>
      <c r="AH455" s="1094"/>
      <c r="AI455" s="5991"/>
      <c r="AJ455" s="718">
        <f t="shared" si="384"/>
        <v>81.34</v>
      </c>
      <c r="AK455" s="6037"/>
      <c r="AL455" s="1094"/>
      <c r="AM455" s="6019"/>
      <c r="AN455" s="717">
        <f t="shared" si="370"/>
        <v>0</v>
      </c>
      <c r="AO455" s="5991"/>
      <c r="AP455" s="718">
        <f t="shared" si="380"/>
        <v>81.34</v>
      </c>
      <c r="AQ455" s="6037"/>
      <c r="AR455" s="1094"/>
      <c r="AS455" s="5991"/>
      <c r="AT455" s="718">
        <f t="shared" si="385"/>
        <v>81.34</v>
      </c>
      <c r="AU455" s="6037"/>
      <c r="AV455" s="1094"/>
      <c r="AW455" s="5991"/>
      <c r="AX455" s="718">
        <f t="shared" si="386"/>
        <v>81.34</v>
      </c>
      <c r="AY455" s="6037"/>
      <c r="AZ455" s="1094"/>
      <c r="BA455" s="6019"/>
      <c r="BB455" s="717">
        <f t="shared" si="371"/>
        <v>0</v>
      </c>
      <c r="BC455" s="6004"/>
      <c r="BD455" s="429">
        <f t="shared" si="365"/>
        <v>0</v>
      </c>
      <c r="BE455" s="5991"/>
      <c r="BF455" s="718">
        <f t="shared" si="366"/>
        <v>81.34</v>
      </c>
    </row>
    <row r="456" spans="1:58" ht="20.25" customHeight="1" x14ac:dyDescent="0.3">
      <c r="A456" s="88"/>
      <c r="B456" s="3967" t="s">
        <v>1814</v>
      </c>
      <c r="C456" s="3968" t="s">
        <v>50</v>
      </c>
      <c r="D456" s="3968"/>
      <c r="E456" s="6037"/>
      <c r="F456" s="3969"/>
      <c r="G456" s="6037"/>
      <c r="H456" s="3969"/>
      <c r="I456" s="5991"/>
      <c r="J456" s="718">
        <f t="shared" si="375"/>
        <v>0</v>
      </c>
      <c r="K456" s="6037"/>
      <c r="L456" s="3969"/>
      <c r="M456" s="6019"/>
      <c r="N456" s="717">
        <f t="shared" si="374"/>
        <v>0</v>
      </c>
      <c r="O456" s="6037"/>
      <c r="P456" s="3969"/>
      <c r="Q456" s="5991"/>
      <c r="R456" s="718">
        <f t="shared" si="381"/>
        <v>0</v>
      </c>
      <c r="S456" s="6037"/>
      <c r="T456" s="3969"/>
      <c r="U456" s="5991"/>
      <c r="V456" s="718">
        <f t="shared" si="382"/>
        <v>0</v>
      </c>
      <c r="W456" s="6037"/>
      <c r="X456" s="3969"/>
      <c r="Y456" s="6019"/>
      <c r="Z456" s="6019">
        <f t="shared" si="369"/>
        <v>0</v>
      </c>
      <c r="AA456" s="6004"/>
      <c r="AB456" s="429">
        <f t="shared" si="379"/>
        <v>0</v>
      </c>
      <c r="AC456" s="6037"/>
      <c r="AD456" s="3969"/>
      <c r="AE456" s="5991"/>
      <c r="AF456" s="718">
        <f t="shared" si="383"/>
        <v>0</v>
      </c>
      <c r="AG456" s="6037"/>
      <c r="AH456" s="3969"/>
      <c r="AI456" s="5991"/>
      <c r="AJ456" s="718">
        <f t="shared" si="384"/>
        <v>0</v>
      </c>
      <c r="AK456" s="6037"/>
      <c r="AL456" s="3969"/>
      <c r="AM456" s="6019"/>
      <c r="AN456" s="717">
        <f t="shared" si="370"/>
        <v>0</v>
      </c>
      <c r="AO456" s="5991"/>
      <c r="AP456" s="718">
        <f t="shared" si="380"/>
        <v>0</v>
      </c>
      <c r="AQ456" s="6037"/>
      <c r="AR456" s="3969"/>
      <c r="AS456" s="5991"/>
      <c r="AT456" s="718">
        <f t="shared" si="385"/>
        <v>0</v>
      </c>
      <c r="AU456" s="6037"/>
      <c r="AV456" s="3969"/>
      <c r="AW456" s="5991"/>
      <c r="AX456" s="718">
        <f t="shared" si="386"/>
        <v>0</v>
      </c>
      <c r="AY456" s="6037"/>
      <c r="AZ456" s="3969"/>
      <c r="BA456" s="6019"/>
      <c r="BB456" s="717">
        <f t="shared" si="371"/>
        <v>0</v>
      </c>
      <c r="BC456" s="6004"/>
      <c r="BD456" s="429">
        <f t="shared" ref="BD456:BD519" si="387">+AN456+BB456</f>
        <v>0</v>
      </c>
      <c r="BE456" s="5991"/>
      <c r="BF456" s="718">
        <f t="shared" ref="BF456:BF519" si="388">+AB456+BD456</f>
        <v>0</v>
      </c>
    </row>
    <row r="457" spans="1:58" ht="20.25" customHeight="1" x14ac:dyDescent="0.3">
      <c r="A457" s="88"/>
      <c r="B457" s="3181" t="s">
        <v>1813</v>
      </c>
      <c r="C457" s="146" t="s">
        <v>50</v>
      </c>
      <c r="D457" s="146"/>
      <c r="E457" s="6037"/>
      <c r="F457" s="1094"/>
      <c r="G457" s="6037"/>
      <c r="H457" s="1094"/>
      <c r="I457" s="5991"/>
      <c r="J457" s="718">
        <f t="shared" si="375"/>
        <v>0</v>
      </c>
      <c r="K457" s="6037"/>
      <c r="L457" s="1094"/>
      <c r="M457" s="6019"/>
      <c r="N457" s="717">
        <f t="shared" si="374"/>
        <v>0</v>
      </c>
      <c r="O457" s="6037"/>
      <c r="P457" s="1094"/>
      <c r="Q457" s="5991"/>
      <c r="R457" s="718">
        <f t="shared" si="381"/>
        <v>0</v>
      </c>
      <c r="S457" s="6037"/>
      <c r="T457" s="1094"/>
      <c r="U457" s="5991"/>
      <c r="V457" s="718">
        <f t="shared" si="382"/>
        <v>0</v>
      </c>
      <c r="W457" s="6037"/>
      <c r="X457" s="1094"/>
      <c r="Y457" s="6019"/>
      <c r="Z457" s="6019">
        <f t="shared" si="369"/>
        <v>0</v>
      </c>
      <c r="AA457" s="6004"/>
      <c r="AB457" s="429">
        <f t="shared" si="379"/>
        <v>0</v>
      </c>
      <c r="AC457" s="6037"/>
      <c r="AD457" s="1094"/>
      <c r="AE457" s="5991"/>
      <c r="AF457" s="718">
        <f t="shared" si="383"/>
        <v>0</v>
      </c>
      <c r="AG457" s="6037"/>
      <c r="AH457" s="1094"/>
      <c r="AI457" s="5991"/>
      <c r="AJ457" s="718">
        <f t="shared" si="384"/>
        <v>0</v>
      </c>
      <c r="AK457" s="6037"/>
      <c r="AL457" s="1094"/>
      <c r="AM457" s="6019"/>
      <c r="AN457" s="717">
        <f t="shared" si="370"/>
        <v>0</v>
      </c>
      <c r="AO457" s="5991"/>
      <c r="AP457" s="718">
        <f t="shared" si="380"/>
        <v>0</v>
      </c>
      <c r="AQ457" s="6037"/>
      <c r="AR457" s="1094"/>
      <c r="AS457" s="5991"/>
      <c r="AT457" s="718">
        <f t="shared" si="385"/>
        <v>0</v>
      </c>
      <c r="AU457" s="6037"/>
      <c r="AV457" s="1094"/>
      <c r="AW457" s="5991"/>
      <c r="AX457" s="718">
        <f t="shared" si="386"/>
        <v>0</v>
      </c>
      <c r="AY457" s="6037"/>
      <c r="AZ457" s="1094"/>
      <c r="BA457" s="6019"/>
      <c r="BB457" s="717">
        <f t="shared" si="371"/>
        <v>0</v>
      </c>
      <c r="BC457" s="6004"/>
      <c r="BD457" s="429">
        <f t="shared" si="387"/>
        <v>0</v>
      </c>
      <c r="BE457" s="5991"/>
      <c r="BF457" s="718">
        <f t="shared" si="388"/>
        <v>0</v>
      </c>
    </row>
    <row r="458" spans="1:58" ht="20.25" customHeight="1" x14ac:dyDescent="0.3">
      <c r="A458" s="88"/>
      <c r="B458" s="3189" t="s">
        <v>1766</v>
      </c>
      <c r="C458" s="146" t="s">
        <v>50</v>
      </c>
      <c r="D458" s="146"/>
      <c r="E458" s="6037"/>
      <c r="F458" s="1094"/>
      <c r="G458" s="6037"/>
      <c r="H458" s="1094"/>
      <c r="I458" s="5991"/>
      <c r="J458" s="718">
        <f t="shared" si="375"/>
        <v>0</v>
      </c>
      <c r="K458" s="6037"/>
      <c r="L458" s="1094"/>
      <c r="M458" s="6019"/>
      <c r="N458" s="717">
        <f t="shared" si="374"/>
        <v>0</v>
      </c>
      <c r="O458" s="6037"/>
      <c r="P458" s="1094"/>
      <c r="Q458" s="5991"/>
      <c r="R458" s="718">
        <f t="shared" si="381"/>
        <v>0</v>
      </c>
      <c r="S458" s="6037"/>
      <c r="T458" s="1094"/>
      <c r="U458" s="5991"/>
      <c r="V458" s="718">
        <f t="shared" si="382"/>
        <v>0</v>
      </c>
      <c r="W458" s="6037"/>
      <c r="X458" s="1094"/>
      <c r="Y458" s="6019"/>
      <c r="Z458" s="6019">
        <f t="shared" si="369"/>
        <v>0</v>
      </c>
      <c r="AA458" s="6004"/>
      <c r="AB458" s="429">
        <f t="shared" si="379"/>
        <v>0</v>
      </c>
      <c r="AC458" s="6037"/>
      <c r="AD458" s="1094"/>
      <c r="AE458" s="5991"/>
      <c r="AF458" s="718">
        <f t="shared" si="383"/>
        <v>0</v>
      </c>
      <c r="AG458" s="6037"/>
      <c r="AH458" s="1094"/>
      <c r="AI458" s="5991"/>
      <c r="AJ458" s="718">
        <f t="shared" si="384"/>
        <v>0</v>
      </c>
      <c r="AK458" s="6037"/>
      <c r="AL458" s="1094"/>
      <c r="AM458" s="6019"/>
      <c r="AN458" s="717">
        <f t="shared" si="370"/>
        <v>0</v>
      </c>
      <c r="AO458" s="5991"/>
      <c r="AP458" s="718">
        <f t="shared" si="380"/>
        <v>0</v>
      </c>
      <c r="AQ458" s="6037"/>
      <c r="AR458" s="1094"/>
      <c r="AS458" s="5991"/>
      <c r="AT458" s="718">
        <f t="shared" si="385"/>
        <v>0</v>
      </c>
      <c r="AU458" s="6037"/>
      <c r="AV458" s="1094"/>
      <c r="AW458" s="5991"/>
      <c r="AX458" s="718">
        <f t="shared" si="386"/>
        <v>0</v>
      </c>
      <c r="AY458" s="6037"/>
      <c r="AZ458" s="1094"/>
      <c r="BA458" s="6019"/>
      <c r="BB458" s="717">
        <f t="shared" si="371"/>
        <v>0</v>
      </c>
      <c r="BC458" s="6004"/>
      <c r="BD458" s="429">
        <f t="shared" si="387"/>
        <v>0</v>
      </c>
      <c r="BE458" s="5991"/>
      <c r="BF458" s="718">
        <f t="shared" si="388"/>
        <v>0</v>
      </c>
    </row>
    <row r="459" spans="1:58" ht="20.25" customHeight="1" x14ac:dyDescent="0.3">
      <c r="A459" s="88"/>
      <c r="B459" s="3189" t="s">
        <v>1797</v>
      </c>
      <c r="C459" s="146" t="s">
        <v>50</v>
      </c>
      <c r="D459" s="146"/>
      <c r="E459" s="6038"/>
      <c r="F459" s="1094"/>
      <c r="G459" s="6038"/>
      <c r="H459" s="1094"/>
      <c r="I459" s="5992"/>
      <c r="J459" s="718">
        <f t="shared" si="375"/>
        <v>0</v>
      </c>
      <c r="K459" s="6038"/>
      <c r="L459" s="1094"/>
      <c r="M459" s="6020"/>
      <c r="N459" s="717">
        <f t="shared" si="374"/>
        <v>0</v>
      </c>
      <c r="O459" s="6038"/>
      <c r="P459" s="1094"/>
      <c r="Q459" s="5992"/>
      <c r="R459" s="718">
        <f t="shared" si="381"/>
        <v>0</v>
      </c>
      <c r="S459" s="6038"/>
      <c r="T459" s="1094"/>
      <c r="U459" s="5992"/>
      <c r="V459" s="718">
        <f t="shared" si="382"/>
        <v>0</v>
      </c>
      <c r="W459" s="6038"/>
      <c r="X459" s="1094"/>
      <c r="Y459" s="6020"/>
      <c r="Z459" s="6020">
        <f t="shared" si="369"/>
        <v>0</v>
      </c>
      <c r="AA459" s="6005"/>
      <c r="AB459" s="429">
        <f t="shared" si="379"/>
        <v>0</v>
      </c>
      <c r="AC459" s="6038"/>
      <c r="AD459" s="1094"/>
      <c r="AE459" s="5992"/>
      <c r="AF459" s="718">
        <f t="shared" si="383"/>
        <v>0</v>
      </c>
      <c r="AG459" s="6038"/>
      <c r="AH459" s="1094"/>
      <c r="AI459" s="5992"/>
      <c r="AJ459" s="718">
        <f t="shared" si="384"/>
        <v>0</v>
      </c>
      <c r="AK459" s="6038"/>
      <c r="AL459" s="1094"/>
      <c r="AM459" s="6020"/>
      <c r="AN459" s="717">
        <f t="shared" si="370"/>
        <v>0</v>
      </c>
      <c r="AO459" s="5992"/>
      <c r="AP459" s="718">
        <f t="shared" si="380"/>
        <v>0</v>
      </c>
      <c r="AQ459" s="6038"/>
      <c r="AR459" s="1094"/>
      <c r="AS459" s="5992"/>
      <c r="AT459" s="718">
        <f t="shared" si="385"/>
        <v>0</v>
      </c>
      <c r="AU459" s="6038"/>
      <c r="AV459" s="1094"/>
      <c r="AW459" s="5992"/>
      <c r="AX459" s="718">
        <f t="shared" si="386"/>
        <v>0</v>
      </c>
      <c r="AY459" s="6038"/>
      <c r="AZ459" s="1094"/>
      <c r="BA459" s="6020"/>
      <c r="BB459" s="717">
        <f t="shared" si="371"/>
        <v>0</v>
      </c>
      <c r="BC459" s="6005"/>
      <c r="BD459" s="429">
        <f t="shared" si="387"/>
        <v>0</v>
      </c>
      <c r="BE459" s="5992"/>
      <c r="BF459" s="718">
        <f t="shared" si="388"/>
        <v>0</v>
      </c>
    </row>
    <row r="460" spans="1:58" ht="20.25" customHeight="1" x14ac:dyDescent="0.3">
      <c r="A460" s="88"/>
      <c r="B460" s="3174" t="s">
        <v>2</v>
      </c>
      <c r="C460" s="192" t="s">
        <v>50</v>
      </c>
      <c r="D460" s="421">
        <f>+D25</f>
        <v>3000</v>
      </c>
      <c r="E460" s="421">
        <f>+E25</f>
        <v>0</v>
      </c>
      <c r="F460" s="3190">
        <f>SUM(F447:F458)</f>
        <v>164.46</v>
      </c>
      <c r="G460" s="421">
        <f>+G25</f>
        <v>0</v>
      </c>
      <c r="H460" s="3190">
        <f>SUM(H447:H458)</f>
        <v>40.659999999999997</v>
      </c>
      <c r="I460" s="344">
        <f>+E460+G460</f>
        <v>0</v>
      </c>
      <c r="J460" s="718">
        <f t="shared" si="375"/>
        <v>205.12</v>
      </c>
      <c r="K460" s="421">
        <f>+K25</f>
        <v>0</v>
      </c>
      <c r="L460" s="3190">
        <f>SUM(L447:L458)</f>
        <v>0</v>
      </c>
      <c r="M460" s="346">
        <f>+I460+K460</f>
        <v>0</v>
      </c>
      <c r="N460" s="717">
        <f t="shared" si="374"/>
        <v>205.12</v>
      </c>
      <c r="O460" s="421">
        <f>+O25</f>
        <v>0</v>
      </c>
      <c r="P460" s="3190">
        <f>SUM(P447:P458)</f>
        <v>0</v>
      </c>
      <c r="Q460" s="344">
        <f>+M460+O460</f>
        <v>0</v>
      </c>
      <c r="R460" s="718">
        <f t="shared" si="381"/>
        <v>205.12</v>
      </c>
      <c r="S460" s="421">
        <f>+S25</f>
        <v>0</v>
      </c>
      <c r="T460" s="3190">
        <f>SUM(T447:T458)</f>
        <v>0</v>
      </c>
      <c r="U460" s="344">
        <f>+Q460+S460</f>
        <v>0</v>
      </c>
      <c r="V460" s="718">
        <f t="shared" si="382"/>
        <v>205.12</v>
      </c>
      <c r="W460" s="421">
        <f>+W25</f>
        <v>0</v>
      </c>
      <c r="X460" s="3190">
        <f>SUM(X447:X458)</f>
        <v>0</v>
      </c>
      <c r="Y460" s="346">
        <f>O460+S460+W460</f>
        <v>0</v>
      </c>
      <c r="Z460" s="346">
        <f t="shared" si="369"/>
        <v>0</v>
      </c>
      <c r="AA460" s="502">
        <f>+Y460+M460</f>
        <v>0</v>
      </c>
      <c r="AB460" s="429">
        <f t="shared" si="379"/>
        <v>205.12</v>
      </c>
      <c r="AC460" s="421">
        <f>+AC25</f>
        <v>0</v>
      </c>
      <c r="AD460" s="3190">
        <f>SUM(AD447:AD458)</f>
        <v>0</v>
      </c>
      <c r="AE460" s="344">
        <f>+AA460+AC460</f>
        <v>0</v>
      </c>
      <c r="AF460" s="718">
        <f t="shared" si="383"/>
        <v>205.12</v>
      </c>
      <c r="AG460" s="421">
        <f>+AG25</f>
        <v>0</v>
      </c>
      <c r="AH460" s="3190">
        <f>SUM(AH447:AH458)</f>
        <v>0</v>
      </c>
      <c r="AI460" s="344">
        <f>+AE460+AG460</f>
        <v>0</v>
      </c>
      <c r="AJ460" s="718">
        <f t="shared" si="384"/>
        <v>205.12</v>
      </c>
      <c r="AK460" s="421">
        <f>+AK25</f>
        <v>0</v>
      </c>
      <c r="AL460" s="3190">
        <f>SUM(AL447:AL458)</f>
        <v>0</v>
      </c>
      <c r="AM460" s="346">
        <f>AC460+AG460+AK460</f>
        <v>0</v>
      </c>
      <c r="AN460" s="717">
        <f t="shared" si="370"/>
        <v>0</v>
      </c>
      <c r="AO460" s="344">
        <f>+AK460+AI460</f>
        <v>0</v>
      </c>
      <c r="AP460" s="718">
        <f t="shared" si="380"/>
        <v>205.12</v>
      </c>
      <c r="AQ460" s="421">
        <f>+AQ25</f>
        <v>0</v>
      </c>
      <c r="AR460" s="3190">
        <f>SUM(AR447:AR458)</f>
        <v>0</v>
      </c>
      <c r="AS460" s="344">
        <f>+AO460+AQ460</f>
        <v>0</v>
      </c>
      <c r="AT460" s="718">
        <f t="shared" si="385"/>
        <v>205.12</v>
      </c>
      <c r="AU460" s="421">
        <f>+AU25</f>
        <v>0</v>
      </c>
      <c r="AV460" s="3190">
        <f>SUM(AV447:AV458)</f>
        <v>0</v>
      </c>
      <c r="AW460" s="344">
        <f>+AS460+AU460</f>
        <v>0</v>
      </c>
      <c r="AX460" s="718">
        <f t="shared" si="386"/>
        <v>205.12</v>
      </c>
      <c r="AY460" s="421">
        <f>+AY25</f>
        <v>0</v>
      </c>
      <c r="AZ460" s="3190">
        <f>SUM(AZ447:AZ458)</f>
        <v>0</v>
      </c>
      <c r="BA460" s="346">
        <f>AQ460+AU460+AY460</f>
        <v>0</v>
      </c>
      <c r="BB460" s="717">
        <f t="shared" si="371"/>
        <v>0</v>
      </c>
      <c r="BC460" s="502">
        <f>+BA460+AM460</f>
        <v>0</v>
      </c>
      <c r="BD460" s="429">
        <f t="shared" si="387"/>
        <v>0</v>
      </c>
      <c r="BE460" s="344">
        <f>+AA460+BC460</f>
        <v>0</v>
      </c>
      <c r="BF460" s="718">
        <f t="shared" si="388"/>
        <v>205.12</v>
      </c>
    </row>
    <row r="461" spans="1:58" ht="20.25" customHeight="1" x14ac:dyDescent="0.3">
      <c r="A461" s="142"/>
      <c r="B461" s="5547"/>
      <c r="C461" s="5547"/>
      <c r="D461" s="5547"/>
      <c r="E461" s="5559"/>
      <c r="F461" s="5547"/>
      <c r="G461" s="5559"/>
      <c r="H461" s="5547"/>
      <c r="I461" s="5620"/>
      <c r="J461" s="4045"/>
      <c r="K461" s="5559"/>
      <c r="L461" s="5547"/>
      <c r="M461" s="5631"/>
      <c r="N461" s="4808"/>
      <c r="O461" s="5559"/>
      <c r="P461" s="5547"/>
      <c r="Q461" s="5620"/>
      <c r="R461" s="4045"/>
      <c r="S461" s="5559"/>
      <c r="T461" s="5547"/>
      <c r="U461" s="5620"/>
      <c r="V461" s="4045"/>
      <c r="W461" s="5559"/>
      <c r="X461" s="5547"/>
      <c r="Y461" s="5631"/>
      <c r="Z461" s="5631"/>
      <c r="AA461" s="5641"/>
      <c r="AB461" s="5071"/>
      <c r="AC461" s="5559"/>
      <c r="AD461" s="5547"/>
      <c r="AE461" s="5620"/>
      <c r="AF461" s="4045"/>
      <c r="AG461" s="5559"/>
      <c r="AH461" s="5547"/>
      <c r="AI461" s="5620"/>
      <c r="AJ461" s="4045"/>
      <c r="AK461" s="5559"/>
      <c r="AL461" s="5547"/>
      <c r="AM461" s="5631"/>
      <c r="AN461" s="4808"/>
      <c r="AO461" s="5620"/>
      <c r="AP461" s="4045"/>
      <c r="AQ461" s="5559"/>
      <c r="AR461" s="5547"/>
      <c r="AS461" s="5620"/>
      <c r="AT461" s="4045"/>
      <c r="AU461" s="5559"/>
      <c r="AV461" s="5547"/>
      <c r="AW461" s="5620"/>
      <c r="AX461" s="4045"/>
      <c r="AY461" s="5559"/>
      <c r="AZ461" s="5547"/>
      <c r="BA461" s="5631"/>
      <c r="BB461" s="4808"/>
      <c r="BC461" s="5641"/>
      <c r="BD461" s="429"/>
      <c r="BE461" s="5620"/>
      <c r="BF461" s="718"/>
    </row>
    <row r="462" spans="1:58" ht="20.25" customHeight="1" x14ac:dyDescent="0.3">
      <c r="A462" s="142"/>
      <c r="B462" s="5391" t="s">
        <v>513</v>
      </c>
      <c r="C462" s="4936"/>
      <c r="D462" s="4936"/>
      <c r="E462" s="5560"/>
      <c r="F462" s="4936"/>
      <c r="G462" s="5560"/>
      <c r="H462" s="4936"/>
      <c r="I462" s="5621"/>
      <c r="J462" s="4930"/>
      <c r="K462" s="5560"/>
      <c r="L462" s="4936"/>
      <c r="M462" s="5632"/>
      <c r="N462" s="4931"/>
      <c r="O462" s="5560"/>
      <c r="P462" s="4936"/>
      <c r="Q462" s="5621"/>
      <c r="R462" s="4930"/>
      <c r="S462" s="5560"/>
      <c r="T462" s="4936"/>
      <c r="U462" s="5621"/>
      <c r="V462" s="4930"/>
      <c r="W462" s="5560"/>
      <c r="X462" s="4936"/>
      <c r="Y462" s="5632"/>
      <c r="Z462" s="5632"/>
      <c r="AA462" s="5642"/>
      <c r="AB462" s="5069"/>
      <c r="AC462" s="5560"/>
      <c r="AD462" s="4936"/>
      <c r="AE462" s="5621"/>
      <c r="AF462" s="4930"/>
      <c r="AG462" s="5560"/>
      <c r="AH462" s="4936"/>
      <c r="AI462" s="5621"/>
      <c r="AJ462" s="4930"/>
      <c r="AK462" s="5560"/>
      <c r="AL462" s="4936"/>
      <c r="AM462" s="5632"/>
      <c r="AN462" s="4931"/>
      <c r="AO462" s="5621"/>
      <c r="AP462" s="4930"/>
      <c r="AQ462" s="5560"/>
      <c r="AR462" s="4936"/>
      <c r="AS462" s="5621"/>
      <c r="AT462" s="4930"/>
      <c r="AU462" s="5560"/>
      <c r="AV462" s="4936"/>
      <c r="AW462" s="5621"/>
      <c r="AX462" s="4930"/>
      <c r="AY462" s="5560"/>
      <c r="AZ462" s="4936"/>
      <c r="BA462" s="5632"/>
      <c r="BB462" s="4931"/>
      <c r="BC462" s="5642"/>
      <c r="BD462" s="429"/>
      <c r="BE462" s="5621"/>
      <c r="BF462" s="718"/>
    </row>
    <row r="463" spans="1:58" ht="20.25" customHeight="1" x14ac:dyDescent="0.3">
      <c r="E463"/>
      <c r="I463"/>
      <c r="J463"/>
      <c r="N463"/>
      <c r="Q463"/>
      <c r="R463"/>
      <c r="U463"/>
      <c r="V463"/>
      <c r="AB463"/>
      <c r="AE463"/>
      <c r="AF463"/>
      <c r="AI463"/>
      <c r="AJ463"/>
      <c r="AN463"/>
      <c r="AO463"/>
      <c r="AP463"/>
      <c r="AS463"/>
      <c r="AT463"/>
      <c r="AW463"/>
      <c r="AX463"/>
      <c r="BB463"/>
      <c r="BD463"/>
      <c r="BE463"/>
      <c r="BF463"/>
    </row>
    <row r="464" spans="1:58" ht="20.25" customHeight="1" x14ac:dyDescent="0.3">
      <c r="A464" s="142"/>
      <c r="B464" s="5485" t="s">
        <v>2165</v>
      </c>
      <c r="C464" s="4936"/>
      <c r="D464" s="4936"/>
      <c r="E464" s="5560"/>
      <c r="F464" s="4936"/>
      <c r="G464" s="5560"/>
      <c r="H464" s="4936"/>
      <c r="I464" s="5621"/>
      <c r="J464" s="4930"/>
      <c r="K464" s="5560"/>
      <c r="L464" s="4936"/>
      <c r="M464" s="5632"/>
      <c r="N464" s="4931"/>
      <c r="O464" s="5560"/>
      <c r="P464" s="4936"/>
      <c r="Q464" s="5621"/>
      <c r="R464" s="4930"/>
      <c r="S464" s="5560"/>
      <c r="T464" s="4936"/>
      <c r="U464" s="5621"/>
      <c r="V464" s="4930"/>
      <c r="W464" s="5560"/>
      <c r="X464" s="4936"/>
      <c r="Y464" s="5632"/>
      <c r="Z464" s="5632"/>
      <c r="AA464" s="5642"/>
      <c r="AB464" s="5069"/>
      <c r="AC464" s="5560"/>
      <c r="AD464" s="4936"/>
      <c r="AE464" s="5621"/>
      <c r="AF464" s="4930"/>
      <c r="AG464" s="5560"/>
      <c r="AH464" s="4936"/>
      <c r="AI464" s="5621"/>
      <c r="AJ464" s="4930"/>
      <c r="AK464" s="5560"/>
      <c r="AL464" s="4936"/>
      <c r="AM464" s="5632"/>
      <c r="AN464" s="4931"/>
      <c r="AO464" s="5621"/>
      <c r="AP464" s="4930"/>
      <c r="AQ464" s="5560"/>
      <c r="AR464" s="4936"/>
      <c r="AS464" s="5621"/>
      <c r="AT464" s="4930"/>
      <c r="AU464" s="5560"/>
      <c r="AV464" s="4936"/>
      <c r="AW464" s="5621"/>
      <c r="AX464" s="4930"/>
      <c r="AY464" s="5560"/>
      <c r="AZ464" s="4936"/>
      <c r="BA464" s="5632"/>
      <c r="BB464" s="4931"/>
      <c r="BC464" s="5642"/>
      <c r="BD464" s="429"/>
      <c r="BE464" s="5621"/>
      <c r="BF464" s="718"/>
    </row>
    <row r="465" spans="1:58" ht="20.25" customHeight="1" x14ac:dyDescent="0.3">
      <c r="A465" s="142"/>
      <c r="B465" s="4937" t="s">
        <v>2187</v>
      </c>
      <c r="C465" s="4932" t="s">
        <v>50</v>
      </c>
      <c r="D465" s="5229">
        <f>+D39</f>
        <v>0</v>
      </c>
      <c r="E465" s="5229">
        <f>+E39</f>
        <v>0</v>
      </c>
      <c r="F465" s="421">
        <f>F39</f>
        <v>516.76</v>
      </c>
      <c r="G465" s="5229">
        <f>+G39</f>
        <v>0</v>
      </c>
      <c r="H465" s="421">
        <f>H39</f>
        <v>0</v>
      </c>
      <c r="I465" s="5385">
        <f>+E465+G465</f>
        <v>0</v>
      </c>
      <c r="J465" s="4930">
        <f>F465+H465</f>
        <v>516.76</v>
      </c>
      <c r="K465" s="5229">
        <f>+K39</f>
        <v>0</v>
      </c>
      <c r="L465" s="421">
        <f>L39</f>
        <v>0</v>
      </c>
      <c r="M465" s="5633">
        <f>+I465+K465</f>
        <v>0</v>
      </c>
      <c r="N465" s="4931">
        <f>J465+L465</f>
        <v>516.76</v>
      </c>
      <c r="O465" s="5229">
        <f>+O39</f>
        <v>0</v>
      </c>
      <c r="P465" s="421">
        <f>P39</f>
        <v>0</v>
      </c>
      <c r="Q465" s="5385">
        <f>+M465+O465</f>
        <v>0</v>
      </c>
      <c r="R465" s="4930">
        <f>N465+P465</f>
        <v>516.76</v>
      </c>
      <c r="S465" s="5229">
        <f>+S39</f>
        <v>0</v>
      </c>
      <c r="T465" s="421">
        <f>T39</f>
        <v>0</v>
      </c>
      <c r="U465" s="5385">
        <f>+Q465+S465</f>
        <v>0</v>
      </c>
      <c r="V465" s="4930">
        <f>R465+T465</f>
        <v>516.76</v>
      </c>
      <c r="W465" s="5229">
        <f>+W39</f>
        <v>0</v>
      </c>
      <c r="X465" s="421">
        <f>X39</f>
        <v>0</v>
      </c>
      <c r="Y465" s="346">
        <f t="shared" ref="Y465:Y466" si="389">O465+S465+W465</f>
        <v>0</v>
      </c>
      <c r="Z465" s="5633">
        <f t="shared" ref="Z465:Z528" si="390">+P465+T465+X465</f>
        <v>0</v>
      </c>
      <c r="AA465" s="502">
        <f t="shared" ref="AA465:AA466" si="391">+Y465+M465</f>
        <v>0</v>
      </c>
      <c r="AB465" s="5069">
        <f>X465+V465</f>
        <v>516.76</v>
      </c>
      <c r="AC465" s="5229">
        <f>+AC39</f>
        <v>0</v>
      </c>
      <c r="AD465" s="421">
        <f>AD39</f>
        <v>0</v>
      </c>
      <c r="AE465" s="5385">
        <f>+AA465+AC465</f>
        <v>0</v>
      </c>
      <c r="AF465" s="4930">
        <f>AB465+AD465</f>
        <v>516.76</v>
      </c>
      <c r="AG465" s="5229">
        <f>+AG39</f>
        <v>0</v>
      </c>
      <c r="AH465" s="421">
        <f>AH39</f>
        <v>0</v>
      </c>
      <c r="AI465" s="5385">
        <f>+AE465+AG465</f>
        <v>0</v>
      </c>
      <c r="AJ465" s="4930">
        <f>AF465+AH465</f>
        <v>516.76</v>
      </c>
      <c r="AK465" s="5229">
        <f>+AK39</f>
        <v>0</v>
      </c>
      <c r="AL465" s="421">
        <f>AL39</f>
        <v>0</v>
      </c>
      <c r="AM465" s="346">
        <f t="shared" ref="AM465:AM466" si="392">AC465+AG465+AK465</f>
        <v>0</v>
      </c>
      <c r="AN465" s="717">
        <f t="shared" ref="AN465:AN528" si="393">+AD465+AH465+AL465</f>
        <v>0</v>
      </c>
      <c r="AO465" s="5385">
        <f>+AK465+AI465</f>
        <v>0</v>
      </c>
      <c r="AP465" s="4930">
        <f>AL465+AJ465</f>
        <v>516.76</v>
      </c>
      <c r="AQ465" s="5229">
        <f>+AQ39</f>
        <v>0</v>
      </c>
      <c r="AR465" s="421">
        <f>AR39</f>
        <v>0</v>
      </c>
      <c r="AS465" s="5385">
        <f>+AO465+AQ465</f>
        <v>0</v>
      </c>
      <c r="AT465" s="4930">
        <f>AP465+AR465</f>
        <v>516.76</v>
      </c>
      <c r="AU465" s="5229">
        <f>+AU39</f>
        <v>0</v>
      </c>
      <c r="AV465" s="421">
        <f>AV39</f>
        <v>0</v>
      </c>
      <c r="AW465" s="5385">
        <f>+AS465+AU465</f>
        <v>0</v>
      </c>
      <c r="AX465" s="4930">
        <f>AT465+AV465</f>
        <v>516.76</v>
      </c>
      <c r="AY465" s="5229">
        <f>+AY39</f>
        <v>0</v>
      </c>
      <c r="AZ465" s="421">
        <f>AZ39</f>
        <v>186.41</v>
      </c>
      <c r="BA465" s="346">
        <f t="shared" ref="BA465:BA466" si="394">AQ465+AU465+AY465</f>
        <v>0</v>
      </c>
      <c r="BB465" s="717">
        <f t="shared" ref="BB465:BB528" si="395">+AR465+AV465+AZ465</f>
        <v>186.41</v>
      </c>
      <c r="BC465" s="502">
        <f>+BA465+AM465</f>
        <v>0</v>
      </c>
      <c r="BD465" s="429">
        <f t="shared" si="387"/>
        <v>186.41</v>
      </c>
      <c r="BE465" s="5385">
        <f>+AA465+BC465</f>
        <v>0</v>
      </c>
      <c r="BF465" s="718">
        <f t="shared" si="388"/>
        <v>703.17</v>
      </c>
    </row>
    <row r="466" spans="1:58" ht="20.25" customHeight="1" x14ac:dyDescent="0.3">
      <c r="A466" s="142"/>
      <c r="B466" s="5486" t="s">
        <v>2300</v>
      </c>
      <c r="C466" s="4932"/>
      <c r="D466" s="5229">
        <f>+D465</f>
        <v>0</v>
      </c>
      <c r="E466" s="5229">
        <f>+E465</f>
        <v>0</v>
      </c>
      <c r="F466" s="421">
        <f>+F465</f>
        <v>516.76</v>
      </c>
      <c r="G466" s="5229">
        <f>+G465</f>
        <v>0</v>
      </c>
      <c r="H466" s="421">
        <f>+H465</f>
        <v>0</v>
      </c>
      <c r="I466" s="5385">
        <f>+E466+G466</f>
        <v>0</v>
      </c>
      <c r="J466" s="4930">
        <f t="shared" ref="J466:J529" si="396">F466+H466</f>
        <v>516.76</v>
      </c>
      <c r="K466" s="5229">
        <f>+K465</f>
        <v>0</v>
      </c>
      <c r="L466" s="421">
        <f>+L465</f>
        <v>0</v>
      </c>
      <c r="M466" s="5633">
        <f>+I466+K466</f>
        <v>0</v>
      </c>
      <c r="N466" s="4931">
        <f t="shared" ref="N466:N529" si="397">J466+L466</f>
        <v>516.76</v>
      </c>
      <c r="O466" s="5229">
        <f>+O465</f>
        <v>0</v>
      </c>
      <c r="P466" s="421">
        <f>+P465</f>
        <v>0</v>
      </c>
      <c r="Q466" s="5385">
        <f>+M466+O466</f>
        <v>0</v>
      </c>
      <c r="R466" s="4930">
        <f t="shared" ref="R466:R529" si="398">N466+P466</f>
        <v>516.76</v>
      </c>
      <c r="S466" s="5229">
        <f>+S465</f>
        <v>0</v>
      </c>
      <c r="T466" s="421">
        <f>+T465</f>
        <v>0</v>
      </c>
      <c r="U466" s="5385">
        <f>+Q466+S466</f>
        <v>0</v>
      </c>
      <c r="V466" s="4930">
        <f t="shared" ref="V466:V529" si="399">R466+T466</f>
        <v>516.76</v>
      </c>
      <c r="W466" s="5229">
        <f>+W465</f>
        <v>0</v>
      </c>
      <c r="X466" s="421">
        <f>+X465</f>
        <v>0</v>
      </c>
      <c r="Y466" s="346">
        <f t="shared" si="389"/>
        <v>0</v>
      </c>
      <c r="Z466" s="5633">
        <f t="shared" si="390"/>
        <v>0</v>
      </c>
      <c r="AA466" s="502">
        <f t="shared" si="391"/>
        <v>0</v>
      </c>
      <c r="AB466" s="5069">
        <f>X466+V466</f>
        <v>516.76</v>
      </c>
      <c r="AC466" s="5229">
        <f>+AC465</f>
        <v>0</v>
      </c>
      <c r="AD466" s="421">
        <f>+AD465</f>
        <v>0</v>
      </c>
      <c r="AE466" s="5385">
        <f>+AA466+AC466</f>
        <v>0</v>
      </c>
      <c r="AF466" s="4930">
        <f t="shared" ref="AF466:AF529" si="400">AB466+AD466</f>
        <v>516.76</v>
      </c>
      <c r="AG466" s="5229">
        <f>+AG465</f>
        <v>0</v>
      </c>
      <c r="AH466" s="421">
        <f>+AH465</f>
        <v>0</v>
      </c>
      <c r="AI466" s="5385">
        <f>+AE466+AG466</f>
        <v>0</v>
      </c>
      <c r="AJ466" s="4930">
        <f t="shared" ref="AJ466:AJ529" si="401">AF466+AH466</f>
        <v>516.76</v>
      </c>
      <c r="AK466" s="5229">
        <f>+AK465</f>
        <v>0</v>
      </c>
      <c r="AL466" s="421">
        <f>+AL465</f>
        <v>0</v>
      </c>
      <c r="AM466" s="346">
        <f t="shared" si="392"/>
        <v>0</v>
      </c>
      <c r="AN466" s="717">
        <f t="shared" si="393"/>
        <v>0</v>
      </c>
      <c r="AO466" s="5385">
        <f>+AK466+AI466</f>
        <v>0</v>
      </c>
      <c r="AP466" s="4930">
        <f>AL466+AJ466</f>
        <v>516.76</v>
      </c>
      <c r="AQ466" s="5229">
        <f>+AQ465</f>
        <v>0</v>
      </c>
      <c r="AR466" s="421">
        <f>+AR465</f>
        <v>0</v>
      </c>
      <c r="AS466" s="5385">
        <f>+AO466+AQ466</f>
        <v>0</v>
      </c>
      <c r="AT466" s="4930">
        <f t="shared" ref="AT466:AT529" si="402">AP466+AR466</f>
        <v>516.76</v>
      </c>
      <c r="AU466" s="5229">
        <f>+AU465</f>
        <v>0</v>
      </c>
      <c r="AV466" s="421">
        <f>+AV465</f>
        <v>0</v>
      </c>
      <c r="AW466" s="5385">
        <f>+AS466+AU466</f>
        <v>0</v>
      </c>
      <c r="AX466" s="4930">
        <f t="shared" ref="AX466:AX529" si="403">AT466+AV466</f>
        <v>516.76</v>
      </c>
      <c r="AY466" s="5229">
        <f>+AY465</f>
        <v>0</v>
      </c>
      <c r="AZ466" s="421">
        <f>+AZ465</f>
        <v>186.41</v>
      </c>
      <c r="BA466" s="346">
        <f t="shared" si="394"/>
        <v>0</v>
      </c>
      <c r="BB466" s="717">
        <f t="shared" si="395"/>
        <v>186.41</v>
      </c>
      <c r="BC466" s="502">
        <f>+BA466+AM466</f>
        <v>0</v>
      </c>
      <c r="BD466" s="429">
        <f t="shared" si="387"/>
        <v>186.41</v>
      </c>
      <c r="BE466" s="5385">
        <f>+AA466+BC466</f>
        <v>0</v>
      </c>
      <c r="BF466" s="718">
        <f t="shared" si="388"/>
        <v>703.17</v>
      </c>
    </row>
    <row r="467" spans="1:58" x14ac:dyDescent="0.3">
      <c r="A467" s="142"/>
      <c r="B467" s="5485" t="s">
        <v>1197</v>
      </c>
      <c r="C467" s="4936"/>
      <c r="D467" s="4936"/>
      <c r="E467" s="5560"/>
      <c r="F467" s="4936"/>
      <c r="G467" s="5560"/>
      <c r="H467" s="4936"/>
      <c r="I467" s="5621"/>
      <c r="J467" s="4930"/>
      <c r="K467" s="5560"/>
      <c r="L467" s="4936"/>
      <c r="M467" s="5632"/>
      <c r="N467" s="4931"/>
      <c r="O467" s="5560"/>
      <c r="P467" s="4936"/>
      <c r="Q467" s="5621"/>
      <c r="R467" s="4930"/>
      <c r="S467" s="5560"/>
      <c r="T467" s="4936"/>
      <c r="U467" s="5621"/>
      <c r="V467" s="4930"/>
      <c r="W467" s="5560"/>
      <c r="X467" s="4936"/>
      <c r="Y467" s="5632"/>
      <c r="Z467" s="5632"/>
      <c r="AA467" s="5642"/>
      <c r="AB467" s="5069"/>
      <c r="AC467" s="5560"/>
      <c r="AD467" s="4936"/>
      <c r="AE467" s="5621"/>
      <c r="AF467" s="4930"/>
      <c r="AG467" s="5560"/>
      <c r="AH467" s="4936"/>
      <c r="AI467" s="5621"/>
      <c r="AJ467" s="4930"/>
      <c r="AK467" s="5560"/>
      <c r="AL467" s="4936"/>
      <c r="AM467" s="5632"/>
      <c r="AN467" s="4931"/>
      <c r="AO467" s="5621"/>
      <c r="AP467" s="4930"/>
      <c r="AQ467" s="5560"/>
      <c r="AR467" s="4936"/>
      <c r="AS467" s="5621"/>
      <c r="AT467" s="4930"/>
      <c r="AU467" s="5560"/>
      <c r="AV467" s="4936"/>
      <c r="AW467" s="5621"/>
      <c r="AX467" s="4930"/>
      <c r="AY467" s="5560"/>
      <c r="AZ467" s="4936"/>
      <c r="BA467" s="5632"/>
      <c r="BB467" s="4931"/>
      <c r="BC467" s="5642"/>
      <c r="BD467" s="429"/>
      <c r="BE467" s="5621"/>
      <c r="BF467" s="718"/>
    </row>
    <row r="468" spans="1:58" x14ac:dyDescent="0.3">
      <c r="A468" s="142"/>
      <c r="B468" s="682" t="s">
        <v>2294</v>
      </c>
      <c r="C468" s="171"/>
      <c r="D468" s="171"/>
      <c r="E468" s="246"/>
      <c r="F468" s="421">
        <f>+F469</f>
        <v>2713.2199999999993</v>
      </c>
      <c r="G468" s="246"/>
      <c r="H468" s="421">
        <f>+H469</f>
        <v>2848.8200000000006</v>
      </c>
      <c r="I468" s="2015"/>
      <c r="J468" s="4930">
        <f t="shared" si="396"/>
        <v>5562.04</v>
      </c>
      <c r="K468" s="246"/>
      <c r="L468" s="421">
        <f>+L469</f>
        <v>0</v>
      </c>
      <c r="M468" s="5626"/>
      <c r="N468" s="4931">
        <f t="shared" si="397"/>
        <v>5562.04</v>
      </c>
      <c r="O468" s="246"/>
      <c r="P468" s="421">
        <f>+P469</f>
        <v>0</v>
      </c>
      <c r="Q468" s="2015"/>
      <c r="R468" s="4930">
        <f t="shared" si="398"/>
        <v>5562.04</v>
      </c>
      <c r="S468" s="246"/>
      <c r="T468" s="421">
        <f>+T469</f>
        <v>0</v>
      </c>
      <c r="U468" s="2015"/>
      <c r="V468" s="4930">
        <f t="shared" si="399"/>
        <v>5562.04</v>
      </c>
      <c r="W468" s="246"/>
      <c r="X468" s="421">
        <f>+X469</f>
        <v>0</v>
      </c>
      <c r="Y468" s="5626"/>
      <c r="Z468" s="5626">
        <f t="shared" si="390"/>
        <v>0</v>
      </c>
      <c r="AA468" s="2053"/>
      <c r="AB468" s="5069">
        <f t="shared" ref="AB468:AB502" si="404">X468+V468</f>
        <v>5562.04</v>
      </c>
      <c r="AC468" s="246"/>
      <c r="AD468" s="421">
        <f>+AD469</f>
        <v>0</v>
      </c>
      <c r="AE468" s="2015"/>
      <c r="AF468" s="4930">
        <f t="shared" si="400"/>
        <v>5562.04</v>
      </c>
      <c r="AG468" s="246"/>
      <c r="AH468" s="421">
        <f>+AH469</f>
        <v>0</v>
      </c>
      <c r="AI468" s="2015"/>
      <c r="AJ468" s="4930">
        <f t="shared" si="401"/>
        <v>5562.04</v>
      </c>
      <c r="AK468" s="246"/>
      <c r="AL468" s="421">
        <f>+AL469</f>
        <v>0</v>
      </c>
      <c r="AM468" s="5626"/>
      <c r="AN468" s="717">
        <f t="shared" si="393"/>
        <v>0</v>
      </c>
      <c r="AO468" s="2015"/>
      <c r="AP468" s="4930">
        <f t="shared" ref="AP468:AP502" si="405">AL468+AJ468</f>
        <v>5562.04</v>
      </c>
      <c r="AQ468" s="246"/>
      <c r="AR468" s="421">
        <f>+AR469</f>
        <v>0</v>
      </c>
      <c r="AS468" s="2015"/>
      <c r="AT468" s="4930">
        <f t="shared" si="402"/>
        <v>5562.04</v>
      </c>
      <c r="AU468" s="246"/>
      <c r="AV468" s="421">
        <f>+AV469</f>
        <v>0</v>
      </c>
      <c r="AW468" s="2015"/>
      <c r="AX468" s="4930">
        <f t="shared" si="403"/>
        <v>5562.04</v>
      </c>
      <c r="AY468" s="246"/>
      <c r="AZ468" s="421">
        <f>+AZ469</f>
        <v>0</v>
      </c>
      <c r="BA468" s="5626"/>
      <c r="BB468" s="717">
        <f t="shared" si="395"/>
        <v>0</v>
      </c>
      <c r="BC468" s="2053"/>
      <c r="BD468" s="429">
        <f t="shared" si="387"/>
        <v>0</v>
      </c>
      <c r="BE468" s="2015"/>
      <c r="BF468" s="718">
        <f t="shared" si="388"/>
        <v>5562.04</v>
      </c>
    </row>
    <row r="469" spans="1:58" x14ac:dyDescent="0.3">
      <c r="A469" s="88"/>
      <c r="B469" s="3200" t="s">
        <v>676</v>
      </c>
      <c r="C469" s="146" t="s">
        <v>50</v>
      </c>
      <c r="D469" s="146"/>
      <c r="E469" s="146"/>
      <c r="F469" s="1031">
        <v>2713.2199999999993</v>
      </c>
      <c r="G469" s="146"/>
      <c r="H469" s="1031">
        <v>2848.8200000000006</v>
      </c>
      <c r="I469" s="547"/>
      <c r="J469" s="4930">
        <f t="shared" si="396"/>
        <v>5562.04</v>
      </c>
      <c r="K469" s="146"/>
      <c r="L469" s="1031"/>
      <c r="M469" s="873"/>
      <c r="N469" s="4931">
        <f t="shared" si="397"/>
        <v>5562.04</v>
      </c>
      <c r="O469" s="146"/>
      <c r="P469" s="1031"/>
      <c r="Q469" s="547"/>
      <c r="R469" s="4930">
        <f t="shared" si="398"/>
        <v>5562.04</v>
      </c>
      <c r="S469" s="146"/>
      <c r="T469" s="1031"/>
      <c r="U469" s="547"/>
      <c r="V469" s="4930">
        <f t="shared" si="399"/>
        <v>5562.04</v>
      </c>
      <c r="W469" s="146"/>
      <c r="X469" s="1031"/>
      <c r="Y469" s="873"/>
      <c r="Z469" s="873">
        <f t="shared" si="390"/>
        <v>0</v>
      </c>
      <c r="AA469" s="2094"/>
      <c r="AB469" s="5069">
        <f t="shared" si="404"/>
        <v>5562.04</v>
      </c>
      <c r="AC469" s="146"/>
      <c r="AD469" s="1031"/>
      <c r="AE469" s="547"/>
      <c r="AF469" s="4930">
        <f t="shared" si="400"/>
        <v>5562.04</v>
      </c>
      <c r="AG469" s="146"/>
      <c r="AH469" s="1031"/>
      <c r="AI469" s="547"/>
      <c r="AJ469" s="4930">
        <f t="shared" si="401"/>
        <v>5562.04</v>
      </c>
      <c r="AK469" s="146"/>
      <c r="AL469" s="1031"/>
      <c r="AM469" s="873"/>
      <c r="AN469" s="717">
        <f t="shared" si="393"/>
        <v>0</v>
      </c>
      <c r="AO469" s="547"/>
      <c r="AP469" s="4930">
        <f t="shared" si="405"/>
        <v>5562.04</v>
      </c>
      <c r="AQ469" s="146"/>
      <c r="AR469" s="1031"/>
      <c r="AS469" s="547"/>
      <c r="AT469" s="4930">
        <f t="shared" si="402"/>
        <v>5562.04</v>
      </c>
      <c r="AU469" s="146"/>
      <c r="AV469" s="1031"/>
      <c r="AW469" s="547"/>
      <c r="AX469" s="4930">
        <f t="shared" si="403"/>
        <v>5562.04</v>
      </c>
      <c r="AY469" s="146"/>
      <c r="AZ469" s="1031"/>
      <c r="BA469" s="873"/>
      <c r="BB469" s="717">
        <f t="shared" si="395"/>
        <v>0</v>
      </c>
      <c r="BC469" s="2094"/>
      <c r="BD469" s="429">
        <f t="shared" si="387"/>
        <v>0</v>
      </c>
      <c r="BE469" s="547"/>
      <c r="BF469" s="718">
        <f t="shared" si="388"/>
        <v>5562.04</v>
      </c>
    </row>
    <row r="470" spans="1:58" x14ac:dyDescent="0.3">
      <c r="A470" s="88"/>
      <c r="B470" s="682" t="s">
        <v>2295</v>
      </c>
      <c r="C470" s="146" t="s">
        <v>50</v>
      </c>
      <c r="D470" s="4932"/>
      <c r="E470" s="4932"/>
      <c r="F470" s="4933">
        <f>+F45</f>
        <v>0</v>
      </c>
      <c r="G470" s="4932"/>
      <c r="H470" s="4933">
        <f>+H45</f>
        <v>0</v>
      </c>
      <c r="I470" s="5539"/>
      <c r="J470" s="4930">
        <f t="shared" si="396"/>
        <v>0</v>
      </c>
      <c r="K470" s="4932"/>
      <c r="L470" s="4933">
        <f>+L45</f>
        <v>0</v>
      </c>
      <c r="M470" s="5529"/>
      <c r="N470" s="4931">
        <f t="shared" si="397"/>
        <v>0</v>
      </c>
      <c r="O470" s="4932"/>
      <c r="P470" s="4933">
        <f>+P45</f>
        <v>0</v>
      </c>
      <c r="Q470" s="5539"/>
      <c r="R470" s="4930">
        <f t="shared" si="398"/>
        <v>0</v>
      </c>
      <c r="S470" s="4932"/>
      <c r="T470" s="4933">
        <f>+T45</f>
        <v>0</v>
      </c>
      <c r="U470" s="5539"/>
      <c r="V470" s="4930">
        <f t="shared" si="399"/>
        <v>0</v>
      </c>
      <c r="W470" s="4932"/>
      <c r="X470" s="4933">
        <f>+X45</f>
        <v>0</v>
      </c>
      <c r="Y470" s="5529"/>
      <c r="Z470" s="5529">
        <f t="shared" si="390"/>
        <v>0</v>
      </c>
      <c r="AA470" s="5534"/>
      <c r="AB470" s="5069">
        <f t="shared" si="404"/>
        <v>0</v>
      </c>
      <c r="AC470" s="4932"/>
      <c r="AD470" s="4933">
        <f>+AD45</f>
        <v>0</v>
      </c>
      <c r="AE470" s="5539"/>
      <c r="AF470" s="4930">
        <f t="shared" si="400"/>
        <v>0</v>
      </c>
      <c r="AG470" s="4932"/>
      <c r="AH470" s="4933">
        <f>+AH45</f>
        <v>0</v>
      </c>
      <c r="AI470" s="5539"/>
      <c r="AJ470" s="4930">
        <f t="shared" si="401"/>
        <v>0</v>
      </c>
      <c r="AK470" s="4932"/>
      <c r="AL470" s="4933">
        <f>+AL45</f>
        <v>0</v>
      </c>
      <c r="AM470" s="5529"/>
      <c r="AN470" s="717">
        <f t="shared" si="393"/>
        <v>0</v>
      </c>
      <c r="AO470" s="5539"/>
      <c r="AP470" s="4930">
        <f t="shared" si="405"/>
        <v>0</v>
      </c>
      <c r="AQ470" s="4932"/>
      <c r="AR470" s="4933">
        <f>+AR45</f>
        <v>0</v>
      </c>
      <c r="AS470" s="5539"/>
      <c r="AT470" s="4930">
        <f t="shared" si="402"/>
        <v>0</v>
      </c>
      <c r="AU470" s="4932"/>
      <c r="AV470" s="4933">
        <f>+AV45</f>
        <v>0</v>
      </c>
      <c r="AW470" s="5539"/>
      <c r="AX470" s="4930">
        <f t="shared" si="403"/>
        <v>0</v>
      </c>
      <c r="AY470" s="4932"/>
      <c r="AZ470" s="4933">
        <f>+AZ45</f>
        <v>0</v>
      </c>
      <c r="BA470" s="5529"/>
      <c r="BB470" s="717">
        <f t="shared" si="395"/>
        <v>0</v>
      </c>
      <c r="BC470" s="5534"/>
      <c r="BD470" s="429">
        <f t="shared" si="387"/>
        <v>0</v>
      </c>
      <c r="BE470" s="5539"/>
      <c r="BF470" s="718">
        <f t="shared" si="388"/>
        <v>0</v>
      </c>
    </row>
    <row r="471" spans="1:58" x14ac:dyDescent="0.3">
      <c r="A471" s="142"/>
      <c r="B471" s="682" t="s">
        <v>2296</v>
      </c>
      <c r="C471" s="192" t="s">
        <v>50</v>
      </c>
      <c r="D471" s="192"/>
      <c r="E471" s="146"/>
      <c r="F471" s="421">
        <f>+F46</f>
        <v>1961.5</v>
      </c>
      <c r="G471" s="146"/>
      <c r="H471" s="421">
        <f>+H46</f>
        <v>380.3</v>
      </c>
      <c r="I471" s="547"/>
      <c r="J471" s="4930">
        <f t="shared" si="396"/>
        <v>2341.8000000000002</v>
      </c>
      <c r="K471" s="146"/>
      <c r="L471" s="421">
        <f>+L46</f>
        <v>3983.52</v>
      </c>
      <c r="M471" s="873"/>
      <c r="N471" s="4931">
        <f t="shared" si="397"/>
        <v>6325.32</v>
      </c>
      <c r="O471" s="146"/>
      <c r="P471" s="421">
        <f>+P46</f>
        <v>1960.88</v>
      </c>
      <c r="Q471" s="547"/>
      <c r="R471" s="4930">
        <f t="shared" si="398"/>
        <v>8286.2000000000007</v>
      </c>
      <c r="S471" s="146"/>
      <c r="T471" s="421">
        <f>+T46</f>
        <v>0</v>
      </c>
      <c r="U471" s="547"/>
      <c r="V471" s="4930">
        <f t="shared" si="399"/>
        <v>8286.2000000000007</v>
      </c>
      <c r="W471" s="146"/>
      <c r="X471" s="421">
        <f>+X46</f>
        <v>0</v>
      </c>
      <c r="Y471" s="873"/>
      <c r="Z471" s="873">
        <f t="shared" si="390"/>
        <v>1960.88</v>
      </c>
      <c r="AA471" s="2094"/>
      <c r="AB471" s="5069">
        <f t="shared" si="404"/>
        <v>8286.2000000000007</v>
      </c>
      <c r="AC471" s="146"/>
      <c r="AD471" s="421">
        <f>+AD46</f>
        <v>2616.08</v>
      </c>
      <c r="AE471" s="547"/>
      <c r="AF471" s="4930">
        <f t="shared" si="400"/>
        <v>10902.28</v>
      </c>
      <c r="AG471" s="146"/>
      <c r="AH471" s="421">
        <f>+AH46</f>
        <v>0</v>
      </c>
      <c r="AI471" s="547"/>
      <c r="AJ471" s="4930">
        <f t="shared" si="401"/>
        <v>10902.28</v>
      </c>
      <c r="AK471" s="146"/>
      <c r="AL471" s="421">
        <f>+AL46</f>
        <v>0</v>
      </c>
      <c r="AM471" s="873"/>
      <c r="AN471" s="717">
        <f t="shared" si="393"/>
        <v>2616.08</v>
      </c>
      <c r="AO471" s="547"/>
      <c r="AP471" s="4930">
        <f t="shared" si="405"/>
        <v>10902.28</v>
      </c>
      <c r="AQ471" s="146"/>
      <c r="AR471" s="421">
        <f>+AR46</f>
        <v>0</v>
      </c>
      <c r="AS471" s="547"/>
      <c r="AT471" s="4930">
        <f t="shared" si="402"/>
        <v>10902.28</v>
      </c>
      <c r="AU471" s="146"/>
      <c r="AV471" s="421">
        <f>+AV46</f>
        <v>0</v>
      </c>
      <c r="AW471" s="547"/>
      <c r="AX471" s="4930">
        <f t="shared" si="403"/>
        <v>10902.28</v>
      </c>
      <c r="AY471" s="146"/>
      <c r="AZ471" s="421">
        <f>+AZ46</f>
        <v>0</v>
      </c>
      <c r="BA471" s="873"/>
      <c r="BB471" s="717">
        <f t="shared" si="395"/>
        <v>0</v>
      </c>
      <c r="BC471" s="2094"/>
      <c r="BD471" s="429">
        <f t="shared" si="387"/>
        <v>2616.08</v>
      </c>
      <c r="BE471" s="547"/>
      <c r="BF471" s="718">
        <f t="shared" si="388"/>
        <v>10902.28</v>
      </c>
    </row>
    <row r="472" spans="1:58" x14ac:dyDescent="0.3">
      <c r="A472" s="88"/>
      <c r="B472" s="682" t="s">
        <v>2297</v>
      </c>
      <c r="C472" s="192" t="s">
        <v>50</v>
      </c>
      <c r="D472" s="192"/>
      <c r="E472" s="146"/>
      <c r="F472" s="421">
        <f>+F47</f>
        <v>1862.01</v>
      </c>
      <c r="G472" s="146"/>
      <c r="H472" s="421">
        <f>+H47</f>
        <v>894.55</v>
      </c>
      <c r="I472" s="547"/>
      <c r="J472" s="4930">
        <f t="shared" si="396"/>
        <v>2756.56</v>
      </c>
      <c r="K472" s="146"/>
      <c r="L472" s="421">
        <f>+L47</f>
        <v>1754.69</v>
      </c>
      <c r="M472" s="873"/>
      <c r="N472" s="4931">
        <f t="shared" si="397"/>
        <v>4511.25</v>
      </c>
      <c r="O472" s="146"/>
      <c r="P472" s="421">
        <f>+P47</f>
        <v>1441.38</v>
      </c>
      <c r="Q472" s="547"/>
      <c r="R472" s="4930">
        <f t="shared" si="398"/>
        <v>5952.63</v>
      </c>
      <c r="S472" s="146"/>
      <c r="T472" s="421">
        <f>+T47</f>
        <v>3769.97</v>
      </c>
      <c r="U472" s="547"/>
      <c r="V472" s="4930">
        <f t="shared" si="399"/>
        <v>9722.6</v>
      </c>
      <c r="W472" s="146"/>
      <c r="X472" s="421">
        <f>+X47</f>
        <v>3271.59</v>
      </c>
      <c r="Y472" s="873"/>
      <c r="Z472" s="873">
        <f t="shared" si="390"/>
        <v>8482.94</v>
      </c>
      <c r="AA472" s="2094"/>
      <c r="AB472" s="5069">
        <f t="shared" si="404"/>
        <v>12994.19</v>
      </c>
      <c r="AC472" s="146"/>
      <c r="AD472" s="421">
        <f>+AD47</f>
        <v>601.74</v>
      </c>
      <c r="AE472" s="547"/>
      <c r="AF472" s="4930">
        <f t="shared" si="400"/>
        <v>13595.93</v>
      </c>
      <c r="AG472" s="146"/>
      <c r="AH472" s="421">
        <f>+AH47</f>
        <v>0</v>
      </c>
      <c r="AI472" s="547"/>
      <c r="AJ472" s="4930">
        <f t="shared" si="401"/>
        <v>13595.93</v>
      </c>
      <c r="AK472" s="146"/>
      <c r="AL472" s="421">
        <f>+AL47</f>
        <v>2256.63</v>
      </c>
      <c r="AM472" s="873"/>
      <c r="AN472" s="717">
        <f t="shared" si="393"/>
        <v>2858.37</v>
      </c>
      <c r="AO472" s="547"/>
      <c r="AP472" s="4930">
        <f t="shared" si="405"/>
        <v>15852.560000000001</v>
      </c>
      <c r="AQ472" s="146"/>
      <c r="AR472" s="421">
        <f>+AR47</f>
        <v>4277.21</v>
      </c>
      <c r="AS472" s="547"/>
      <c r="AT472" s="4930">
        <f t="shared" si="402"/>
        <v>20129.77</v>
      </c>
      <c r="AU472" s="146"/>
      <c r="AV472" s="421">
        <f>+AV47</f>
        <v>3140.78</v>
      </c>
      <c r="AW472" s="547"/>
      <c r="AX472" s="4930">
        <f t="shared" si="403"/>
        <v>23270.55</v>
      </c>
      <c r="AY472" s="146"/>
      <c r="AZ472" s="421">
        <f>+AZ47</f>
        <v>1971.02</v>
      </c>
      <c r="BA472" s="873"/>
      <c r="BB472" s="717">
        <f t="shared" si="395"/>
        <v>9389.01</v>
      </c>
      <c r="BC472" s="2094"/>
      <c r="BD472" s="429">
        <f t="shared" si="387"/>
        <v>12247.380000000001</v>
      </c>
      <c r="BE472" s="547"/>
      <c r="BF472" s="718">
        <f t="shared" si="388"/>
        <v>25241.57</v>
      </c>
    </row>
    <row r="473" spans="1:58" x14ac:dyDescent="0.3">
      <c r="A473" s="88"/>
      <c r="B473" s="682" t="s">
        <v>2298</v>
      </c>
      <c r="C473" s="192"/>
      <c r="D473" s="192"/>
      <c r="E473" s="146"/>
      <c r="F473" s="421">
        <f>+SUM(F474:F501)</f>
        <v>23428.140000000007</v>
      </c>
      <c r="G473" s="146"/>
      <c r="H473" s="421">
        <f>+SUM(H474:H501)</f>
        <v>17912.230000000003</v>
      </c>
      <c r="I473" s="547"/>
      <c r="J473" s="4930">
        <f t="shared" si="396"/>
        <v>41340.37000000001</v>
      </c>
      <c r="K473" s="146"/>
      <c r="L473" s="421">
        <f>+SUM(L474:L501)</f>
        <v>0</v>
      </c>
      <c r="M473" s="873"/>
      <c r="N473" s="4931">
        <f t="shared" si="397"/>
        <v>41340.37000000001</v>
      </c>
      <c r="O473" s="146"/>
      <c r="P473" s="421">
        <f>+SUM(P474:P501)</f>
        <v>0</v>
      </c>
      <c r="Q473" s="547"/>
      <c r="R473" s="4930">
        <f t="shared" si="398"/>
        <v>41340.37000000001</v>
      </c>
      <c r="S473" s="146"/>
      <c r="T473" s="421">
        <f>+SUM(T474:T501)</f>
        <v>0</v>
      </c>
      <c r="U473" s="547"/>
      <c r="V473" s="4930">
        <f t="shared" si="399"/>
        <v>41340.37000000001</v>
      </c>
      <c r="W473" s="146"/>
      <c r="X473" s="421">
        <f>+SUM(X474:X501)</f>
        <v>0</v>
      </c>
      <c r="Y473" s="873"/>
      <c r="Z473" s="873">
        <f t="shared" si="390"/>
        <v>0</v>
      </c>
      <c r="AA473" s="2094"/>
      <c r="AB473" s="5069">
        <f t="shared" si="404"/>
        <v>41340.37000000001</v>
      </c>
      <c r="AC473" s="146"/>
      <c r="AD473" s="421">
        <f>+SUM(AD474:AD501)</f>
        <v>0</v>
      </c>
      <c r="AE473" s="547"/>
      <c r="AF473" s="4930">
        <f t="shared" si="400"/>
        <v>41340.37000000001</v>
      </c>
      <c r="AG473" s="146"/>
      <c r="AH473" s="421">
        <f>+SUM(AH474:AH501)</f>
        <v>0</v>
      </c>
      <c r="AI473" s="547"/>
      <c r="AJ473" s="4930">
        <f t="shared" si="401"/>
        <v>41340.37000000001</v>
      </c>
      <c r="AK473" s="146"/>
      <c r="AL473" s="421">
        <f>+SUM(AL474:AL501)</f>
        <v>0</v>
      </c>
      <c r="AM473" s="873"/>
      <c r="AN473" s="717">
        <f t="shared" si="393"/>
        <v>0</v>
      </c>
      <c r="AO473" s="547"/>
      <c r="AP473" s="4930">
        <f t="shared" si="405"/>
        <v>41340.37000000001</v>
      </c>
      <c r="AQ473" s="146"/>
      <c r="AR473" s="421">
        <f>+SUM(AR474:AR501)</f>
        <v>0</v>
      </c>
      <c r="AS473" s="547"/>
      <c r="AT473" s="4930">
        <f t="shared" si="402"/>
        <v>41340.37000000001</v>
      </c>
      <c r="AU473" s="146"/>
      <c r="AV473" s="421">
        <f>+SUM(AV474:AV501)</f>
        <v>0</v>
      </c>
      <c r="AW473" s="547"/>
      <c r="AX473" s="4930">
        <f t="shared" si="403"/>
        <v>41340.37000000001</v>
      </c>
      <c r="AY473" s="146"/>
      <c r="AZ473" s="421">
        <f>+SUM(AZ474:AZ501)</f>
        <v>0</v>
      </c>
      <c r="BA473" s="873"/>
      <c r="BB473" s="717">
        <f t="shared" si="395"/>
        <v>0</v>
      </c>
      <c r="BC473" s="2094"/>
      <c r="BD473" s="429">
        <f t="shared" si="387"/>
        <v>0</v>
      </c>
      <c r="BE473" s="547"/>
      <c r="BF473" s="718">
        <f t="shared" si="388"/>
        <v>41340.37000000001</v>
      </c>
    </row>
    <row r="474" spans="1:58" ht="15" hidden="1" customHeight="1" x14ac:dyDescent="0.3">
      <c r="A474" s="88"/>
      <c r="B474" s="8" t="s">
        <v>1872</v>
      </c>
      <c r="C474" s="146" t="s">
        <v>50</v>
      </c>
      <c r="D474" s="146"/>
      <c r="E474" s="146"/>
      <c r="F474" s="1031"/>
      <c r="G474" s="146"/>
      <c r="H474" s="1031"/>
      <c r="I474" s="547"/>
      <c r="J474" s="4930">
        <f t="shared" si="396"/>
        <v>0</v>
      </c>
      <c r="K474" s="146"/>
      <c r="L474" s="1031"/>
      <c r="M474" s="873"/>
      <c r="N474" s="4931">
        <f t="shared" si="397"/>
        <v>0</v>
      </c>
      <c r="O474" s="146"/>
      <c r="P474" s="1031"/>
      <c r="Q474" s="547"/>
      <c r="R474" s="4930">
        <f t="shared" si="398"/>
        <v>0</v>
      </c>
      <c r="S474" s="146"/>
      <c r="T474" s="1031"/>
      <c r="U474" s="547"/>
      <c r="V474" s="4930">
        <f t="shared" si="399"/>
        <v>0</v>
      </c>
      <c r="W474" s="146"/>
      <c r="X474" s="1031"/>
      <c r="Y474" s="873"/>
      <c r="Z474" s="873">
        <f t="shared" si="390"/>
        <v>0</v>
      </c>
      <c r="AA474" s="2094"/>
      <c r="AB474" s="5069">
        <f t="shared" si="404"/>
        <v>0</v>
      </c>
      <c r="AC474" s="146"/>
      <c r="AD474" s="1031"/>
      <c r="AE474" s="547"/>
      <c r="AF474" s="4930">
        <f t="shared" si="400"/>
        <v>0</v>
      </c>
      <c r="AG474" s="146"/>
      <c r="AH474" s="1031"/>
      <c r="AI474" s="547"/>
      <c r="AJ474" s="4930">
        <f t="shared" si="401"/>
        <v>0</v>
      </c>
      <c r="AK474" s="146"/>
      <c r="AL474" s="1031"/>
      <c r="AM474" s="873"/>
      <c r="AN474" s="717">
        <f t="shared" si="393"/>
        <v>0</v>
      </c>
      <c r="AO474" s="547"/>
      <c r="AP474" s="4930">
        <f t="shared" si="405"/>
        <v>0</v>
      </c>
      <c r="AQ474" s="146"/>
      <c r="AR474" s="1031"/>
      <c r="AS474" s="547"/>
      <c r="AT474" s="4930">
        <f t="shared" si="402"/>
        <v>0</v>
      </c>
      <c r="AU474" s="146"/>
      <c r="AV474" s="1031"/>
      <c r="AW474" s="547"/>
      <c r="AX474" s="4930">
        <f t="shared" si="403"/>
        <v>0</v>
      </c>
      <c r="AY474" s="146"/>
      <c r="AZ474" s="1031"/>
      <c r="BA474" s="873"/>
      <c r="BB474" s="717">
        <f t="shared" si="395"/>
        <v>0</v>
      </c>
      <c r="BC474" s="2094"/>
      <c r="BD474" s="429">
        <f t="shared" si="387"/>
        <v>0</v>
      </c>
      <c r="BE474" s="547"/>
      <c r="BF474" s="718">
        <f t="shared" si="388"/>
        <v>0</v>
      </c>
    </row>
    <row r="475" spans="1:58" x14ac:dyDescent="0.3">
      <c r="A475" s="88"/>
      <c r="B475" s="8" t="s">
        <v>1873</v>
      </c>
      <c r="C475" s="146" t="s">
        <v>50</v>
      </c>
      <c r="D475" s="146"/>
      <c r="E475" s="146"/>
      <c r="F475" s="1031">
        <v>4483.9800000000005</v>
      </c>
      <c r="G475" s="146"/>
      <c r="H475" s="1031">
        <v>129.42000000000002</v>
      </c>
      <c r="I475" s="547"/>
      <c r="J475" s="4930">
        <f t="shared" si="396"/>
        <v>4613.4000000000005</v>
      </c>
      <c r="K475" s="146"/>
      <c r="L475" s="1031"/>
      <c r="M475" s="873"/>
      <c r="N475" s="4931">
        <f t="shared" si="397"/>
        <v>4613.4000000000005</v>
      </c>
      <c r="O475" s="146"/>
      <c r="P475" s="1031"/>
      <c r="Q475" s="547"/>
      <c r="R475" s="4930">
        <f t="shared" si="398"/>
        <v>4613.4000000000005</v>
      </c>
      <c r="S475" s="146"/>
      <c r="T475" s="1031"/>
      <c r="U475" s="547"/>
      <c r="V475" s="4930">
        <f t="shared" si="399"/>
        <v>4613.4000000000005</v>
      </c>
      <c r="W475" s="146"/>
      <c r="X475" s="1031"/>
      <c r="Y475" s="873"/>
      <c r="Z475" s="873">
        <f t="shared" si="390"/>
        <v>0</v>
      </c>
      <c r="AA475" s="2094"/>
      <c r="AB475" s="5069">
        <f t="shared" si="404"/>
        <v>4613.4000000000005</v>
      </c>
      <c r="AC475" s="146"/>
      <c r="AD475" s="1031"/>
      <c r="AE475" s="547"/>
      <c r="AF475" s="4930">
        <f t="shared" si="400"/>
        <v>4613.4000000000005</v>
      </c>
      <c r="AG475" s="146"/>
      <c r="AH475" s="1031"/>
      <c r="AI475" s="547"/>
      <c r="AJ475" s="4930">
        <f t="shared" si="401"/>
        <v>4613.4000000000005</v>
      </c>
      <c r="AK475" s="146"/>
      <c r="AL475" s="1031"/>
      <c r="AM475" s="873"/>
      <c r="AN475" s="717">
        <f t="shared" si="393"/>
        <v>0</v>
      </c>
      <c r="AO475" s="547"/>
      <c r="AP475" s="4930">
        <f t="shared" si="405"/>
        <v>4613.4000000000005</v>
      </c>
      <c r="AQ475" s="146"/>
      <c r="AR475" s="1031"/>
      <c r="AS475" s="547"/>
      <c r="AT475" s="4930">
        <f t="shared" si="402"/>
        <v>4613.4000000000005</v>
      </c>
      <c r="AU475" s="146"/>
      <c r="AV475" s="1031"/>
      <c r="AW475" s="547"/>
      <c r="AX475" s="4930">
        <f t="shared" si="403"/>
        <v>4613.4000000000005</v>
      </c>
      <c r="AY475" s="146"/>
      <c r="AZ475" s="1031"/>
      <c r="BA475" s="873"/>
      <c r="BB475" s="717">
        <f t="shared" si="395"/>
        <v>0</v>
      </c>
      <c r="BC475" s="2094"/>
      <c r="BD475" s="429">
        <f t="shared" si="387"/>
        <v>0</v>
      </c>
      <c r="BE475" s="547"/>
      <c r="BF475" s="718">
        <f t="shared" si="388"/>
        <v>4613.4000000000005</v>
      </c>
    </row>
    <row r="476" spans="1:58" ht="15" hidden="1" customHeight="1" x14ac:dyDescent="0.3">
      <c r="A476" s="88"/>
      <c r="B476" s="8" t="s">
        <v>1880</v>
      </c>
      <c r="C476" s="3671" t="s">
        <v>50</v>
      </c>
      <c r="D476" s="3671"/>
      <c r="E476" s="3671"/>
      <c r="F476" s="3623"/>
      <c r="G476" s="3671"/>
      <c r="H476" s="3623"/>
      <c r="I476" s="5540"/>
      <c r="J476" s="4930">
        <f t="shared" si="396"/>
        <v>0</v>
      </c>
      <c r="K476" s="3671"/>
      <c r="L476" s="3623"/>
      <c r="M476" s="5530"/>
      <c r="N476" s="4931">
        <f t="shared" si="397"/>
        <v>0</v>
      </c>
      <c r="O476" s="3671"/>
      <c r="P476" s="3623"/>
      <c r="Q476" s="5540"/>
      <c r="R476" s="4930">
        <f t="shared" si="398"/>
        <v>0</v>
      </c>
      <c r="S476" s="3671"/>
      <c r="T476" s="3623"/>
      <c r="U476" s="5540"/>
      <c r="V476" s="4930">
        <f t="shared" si="399"/>
        <v>0</v>
      </c>
      <c r="W476" s="3671"/>
      <c r="X476" s="3623"/>
      <c r="Y476" s="5530"/>
      <c r="Z476" s="5530">
        <f t="shared" si="390"/>
        <v>0</v>
      </c>
      <c r="AA476" s="5535"/>
      <c r="AB476" s="5069">
        <f t="shared" si="404"/>
        <v>0</v>
      </c>
      <c r="AC476" s="3671"/>
      <c r="AD476" s="3623"/>
      <c r="AE476" s="5540"/>
      <c r="AF476" s="4930">
        <f t="shared" si="400"/>
        <v>0</v>
      </c>
      <c r="AG476" s="3671"/>
      <c r="AH476" s="3623"/>
      <c r="AI476" s="5540"/>
      <c r="AJ476" s="4930">
        <f t="shared" si="401"/>
        <v>0</v>
      </c>
      <c r="AK476" s="3671"/>
      <c r="AL476" s="3623"/>
      <c r="AM476" s="5530"/>
      <c r="AN476" s="717">
        <f t="shared" si="393"/>
        <v>0</v>
      </c>
      <c r="AO476" s="5540"/>
      <c r="AP476" s="4930">
        <f t="shared" si="405"/>
        <v>0</v>
      </c>
      <c r="AQ476" s="3671"/>
      <c r="AR476" s="3623"/>
      <c r="AS476" s="5540"/>
      <c r="AT476" s="4930">
        <f t="shared" si="402"/>
        <v>0</v>
      </c>
      <c r="AU476" s="3671"/>
      <c r="AV476" s="3623"/>
      <c r="AW476" s="5540"/>
      <c r="AX476" s="4930">
        <f t="shared" si="403"/>
        <v>0</v>
      </c>
      <c r="AY476" s="3671"/>
      <c r="AZ476" s="3623"/>
      <c r="BA476" s="5530"/>
      <c r="BB476" s="717">
        <f t="shared" si="395"/>
        <v>0</v>
      </c>
      <c r="BC476" s="5535"/>
      <c r="BD476" s="429">
        <f t="shared" si="387"/>
        <v>0</v>
      </c>
      <c r="BE476" s="5540"/>
      <c r="BF476" s="718">
        <f t="shared" si="388"/>
        <v>0</v>
      </c>
    </row>
    <row r="477" spans="1:58" x14ac:dyDescent="0.3">
      <c r="A477" s="88"/>
      <c r="B477" s="8" t="s">
        <v>1881</v>
      </c>
      <c r="C477" s="146" t="s">
        <v>50</v>
      </c>
      <c r="D477" s="146"/>
      <c r="E477" s="146"/>
      <c r="F477" s="1031">
        <v>817.81</v>
      </c>
      <c r="G477" s="146"/>
      <c r="H477" s="1031"/>
      <c r="I477" s="547"/>
      <c r="J477" s="4930">
        <f t="shared" si="396"/>
        <v>817.81</v>
      </c>
      <c r="K477" s="146"/>
      <c r="L477" s="1031"/>
      <c r="M477" s="873"/>
      <c r="N477" s="4931">
        <f t="shared" si="397"/>
        <v>817.81</v>
      </c>
      <c r="O477" s="146"/>
      <c r="P477" s="1031"/>
      <c r="Q477" s="547"/>
      <c r="R477" s="4930">
        <f t="shared" si="398"/>
        <v>817.81</v>
      </c>
      <c r="S477" s="146"/>
      <c r="T477" s="1031"/>
      <c r="U477" s="547"/>
      <c r="V477" s="4930">
        <f t="shared" si="399"/>
        <v>817.81</v>
      </c>
      <c r="W477" s="146"/>
      <c r="X477" s="1031"/>
      <c r="Y477" s="873"/>
      <c r="Z477" s="873">
        <f t="shared" si="390"/>
        <v>0</v>
      </c>
      <c r="AA477" s="2094"/>
      <c r="AB477" s="5069">
        <f t="shared" si="404"/>
        <v>817.81</v>
      </c>
      <c r="AC477" s="146"/>
      <c r="AD477" s="1031"/>
      <c r="AE477" s="547"/>
      <c r="AF477" s="4930">
        <f t="shared" si="400"/>
        <v>817.81</v>
      </c>
      <c r="AG477" s="146"/>
      <c r="AH477" s="1031"/>
      <c r="AI477" s="547"/>
      <c r="AJ477" s="4930">
        <f t="shared" si="401"/>
        <v>817.81</v>
      </c>
      <c r="AK477" s="146"/>
      <c r="AL477" s="1031"/>
      <c r="AM477" s="873"/>
      <c r="AN477" s="717">
        <f t="shared" si="393"/>
        <v>0</v>
      </c>
      <c r="AO477" s="547"/>
      <c r="AP477" s="4930">
        <f t="shared" si="405"/>
        <v>817.81</v>
      </c>
      <c r="AQ477" s="146"/>
      <c r="AR477" s="1031"/>
      <c r="AS477" s="547"/>
      <c r="AT477" s="4930">
        <f t="shared" si="402"/>
        <v>817.81</v>
      </c>
      <c r="AU477" s="146"/>
      <c r="AV477" s="1031"/>
      <c r="AW477" s="547"/>
      <c r="AX477" s="4930">
        <f t="shared" si="403"/>
        <v>817.81</v>
      </c>
      <c r="AY477" s="146"/>
      <c r="AZ477" s="1031"/>
      <c r="BA477" s="873"/>
      <c r="BB477" s="717">
        <f t="shared" si="395"/>
        <v>0</v>
      </c>
      <c r="BC477" s="2094"/>
      <c r="BD477" s="429">
        <f t="shared" si="387"/>
        <v>0</v>
      </c>
      <c r="BE477" s="547"/>
      <c r="BF477" s="718">
        <f t="shared" si="388"/>
        <v>817.81</v>
      </c>
    </row>
    <row r="478" spans="1:58" ht="15" hidden="1" customHeight="1" x14ac:dyDescent="0.3">
      <c r="A478" s="88"/>
      <c r="B478" s="8" t="s">
        <v>1448</v>
      </c>
      <c r="C478" s="146" t="s">
        <v>50</v>
      </c>
      <c r="D478" s="146"/>
      <c r="E478" s="146"/>
      <c r="F478" s="1031"/>
      <c r="G478" s="146"/>
      <c r="H478" s="1031"/>
      <c r="I478" s="547"/>
      <c r="J478" s="4930">
        <f t="shared" si="396"/>
        <v>0</v>
      </c>
      <c r="K478" s="146"/>
      <c r="L478" s="1031"/>
      <c r="M478" s="873"/>
      <c r="N478" s="4931">
        <f t="shared" si="397"/>
        <v>0</v>
      </c>
      <c r="O478" s="146"/>
      <c r="P478" s="1031"/>
      <c r="Q478" s="547"/>
      <c r="R478" s="4930">
        <f t="shared" si="398"/>
        <v>0</v>
      </c>
      <c r="S478" s="146"/>
      <c r="T478" s="1031"/>
      <c r="U478" s="547"/>
      <c r="V478" s="4930">
        <f t="shared" si="399"/>
        <v>0</v>
      </c>
      <c r="W478" s="146"/>
      <c r="X478" s="1031"/>
      <c r="Y478" s="873"/>
      <c r="Z478" s="873">
        <f t="shared" si="390"/>
        <v>0</v>
      </c>
      <c r="AA478" s="2094"/>
      <c r="AB478" s="5069">
        <f t="shared" si="404"/>
        <v>0</v>
      </c>
      <c r="AC478" s="146"/>
      <c r="AD478" s="1031"/>
      <c r="AE478" s="547"/>
      <c r="AF478" s="4930">
        <f t="shared" si="400"/>
        <v>0</v>
      </c>
      <c r="AG478" s="146"/>
      <c r="AH478" s="1031"/>
      <c r="AI478" s="547"/>
      <c r="AJ478" s="4930">
        <f t="shared" si="401"/>
        <v>0</v>
      </c>
      <c r="AK478" s="146"/>
      <c r="AL478" s="1031"/>
      <c r="AM478" s="873"/>
      <c r="AN478" s="717">
        <f t="shared" si="393"/>
        <v>0</v>
      </c>
      <c r="AO478" s="547"/>
      <c r="AP478" s="4930">
        <f t="shared" si="405"/>
        <v>0</v>
      </c>
      <c r="AQ478" s="146"/>
      <c r="AR478" s="1031"/>
      <c r="AS478" s="547"/>
      <c r="AT478" s="4930">
        <f t="shared" si="402"/>
        <v>0</v>
      </c>
      <c r="AU478" s="146"/>
      <c r="AV478" s="1031"/>
      <c r="AW478" s="547"/>
      <c r="AX478" s="4930">
        <f t="shared" si="403"/>
        <v>0</v>
      </c>
      <c r="AY478" s="146"/>
      <c r="AZ478" s="1031"/>
      <c r="BA478" s="873"/>
      <c r="BB478" s="717">
        <f t="shared" si="395"/>
        <v>0</v>
      </c>
      <c r="BC478" s="2094"/>
      <c r="BD478" s="429">
        <f t="shared" si="387"/>
        <v>0</v>
      </c>
      <c r="BE478" s="547"/>
      <c r="BF478" s="718">
        <f t="shared" si="388"/>
        <v>0</v>
      </c>
    </row>
    <row r="479" spans="1:58" ht="15" hidden="1" customHeight="1" x14ac:dyDescent="0.3">
      <c r="A479" s="88"/>
      <c r="B479" s="8" t="s">
        <v>1554</v>
      </c>
      <c r="C479" s="146" t="s">
        <v>50</v>
      </c>
      <c r="D479" s="146"/>
      <c r="E479" s="146"/>
      <c r="F479" s="1031"/>
      <c r="G479" s="146"/>
      <c r="H479" s="1031"/>
      <c r="I479" s="547"/>
      <c r="J479" s="4930">
        <f t="shared" si="396"/>
        <v>0</v>
      </c>
      <c r="K479" s="146"/>
      <c r="L479" s="1031"/>
      <c r="M479" s="873"/>
      <c r="N479" s="4931">
        <f t="shared" si="397"/>
        <v>0</v>
      </c>
      <c r="O479" s="146"/>
      <c r="P479" s="1031"/>
      <c r="Q479" s="547"/>
      <c r="R479" s="4930">
        <f t="shared" si="398"/>
        <v>0</v>
      </c>
      <c r="S479" s="146"/>
      <c r="T479" s="1031"/>
      <c r="U479" s="547"/>
      <c r="V479" s="4930">
        <f t="shared" si="399"/>
        <v>0</v>
      </c>
      <c r="W479" s="146"/>
      <c r="X479" s="1031"/>
      <c r="Y479" s="873"/>
      <c r="Z479" s="873">
        <f t="shared" si="390"/>
        <v>0</v>
      </c>
      <c r="AA479" s="2094"/>
      <c r="AB479" s="5069">
        <f t="shared" si="404"/>
        <v>0</v>
      </c>
      <c r="AC479" s="146"/>
      <c r="AD479" s="1031"/>
      <c r="AE479" s="547"/>
      <c r="AF479" s="4930">
        <f t="shared" si="400"/>
        <v>0</v>
      </c>
      <c r="AG479" s="146"/>
      <c r="AH479" s="1031"/>
      <c r="AI479" s="547"/>
      <c r="AJ479" s="4930">
        <f t="shared" si="401"/>
        <v>0</v>
      </c>
      <c r="AK479" s="146"/>
      <c r="AL479" s="1031"/>
      <c r="AM479" s="873"/>
      <c r="AN479" s="717">
        <f t="shared" si="393"/>
        <v>0</v>
      </c>
      <c r="AO479" s="547"/>
      <c r="AP479" s="4930">
        <f t="shared" si="405"/>
        <v>0</v>
      </c>
      <c r="AQ479" s="146"/>
      <c r="AR479" s="1031"/>
      <c r="AS479" s="547"/>
      <c r="AT479" s="4930">
        <f t="shared" si="402"/>
        <v>0</v>
      </c>
      <c r="AU479" s="146"/>
      <c r="AV479" s="1031"/>
      <c r="AW479" s="547"/>
      <c r="AX479" s="4930">
        <f t="shared" si="403"/>
        <v>0</v>
      </c>
      <c r="AY479" s="146"/>
      <c r="AZ479" s="1031"/>
      <c r="BA479" s="873"/>
      <c r="BB479" s="717">
        <f t="shared" si="395"/>
        <v>0</v>
      </c>
      <c r="BC479" s="2094"/>
      <c r="BD479" s="429">
        <f t="shared" si="387"/>
        <v>0</v>
      </c>
      <c r="BE479" s="547"/>
      <c r="BF479" s="718">
        <f t="shared" si="388"/>
        <v>0</v>
      </c>
    </row>
    <row r="480" spans="1:58" ht="15" hidden="1" customHeight="1" x14ac:dyDescent="0.3">
      <c r="A480" s="88"/>
      <c r="B480" s="8" t="s">
        <v>1874</v>
      </c>
      <c r="C480" s="146" t="s">
        <v>50</v>
      </c>
      <c r="D480" s="146"/>
      <c r="E480" s="146"/>
      <c r="F480" s="1031"/>
      <c r="G480" s="146"/>
      <c r="H480" s="1031"/>
      <c r="I480" s="547"/>
      <c r="J480" s="4930">
        <f t="shared" si="396"/>
        <v>0</v>
      </c>
      <c r="K480" s="146"/>
      <c r="L480" s="1031"/>
      <c r="M480" s="873"/>
      <c r="N480" s="4931">
        <f t="shared" si="397"/>
        <v>0</v>
      </c>
      <c r="O480" s="146"/>
      <c r="P480" s="1031"/>
      <c r="Q480" s="547"/>
      <c r="R480" s="4930">
        <f t="shared" si="398"/>
        <v>0</v>
      </c>
      <c r="S480" s="146"/>
      <c r="T480" s="1031"/>
      <c r="U480" s="547"/>
      <c r="V480" s="4930">
        <f t="shared" si="399"/>
        <v>0</v>
      </c>
      <c r="W480" s="146"/>
      <c r="X480" s="1031"/>
      <c r="Y480" s="873"/>
      <c r="Z480" s="873">
        <f t="shared" si="390"/>
        <v>0</v>
      </c>
      <c r="AA480" s="2094"/>
      <c r="AB480" s="5069">
        <f t="shared" si="404"/>
        <v>0</v>
      </c>
      <c r="AC480" s="146"/>
      <c r="AD480" s="1031"/>
      <c r="AE480" s="547"/>
      <c r="AF480" s="4930">
        <f t="shared" si="400"/>
        <v>0</v>
      </c>
      <c r="AG480" s="146"/>
      <c r="AH480" s="1031"/>
      <c r="AI480" s="547"/>
      <c r="AJ480" s="4930">
        <f t="shared" si="401"/>
        <v>0</v>
      </c>
      <c r="AK480" s="146"/>
      <c r="AL480" s="1031"/>
      <c r="AM480" s="873"/>
      <c r="AN480" s="717">
        <f t="shared" si="393"/>
        <v>0</v>
      </c>
      <c r="AO480" s="547"/>
      <c r="AP480" s="4930">
        <f t="shared" si="405"/>
        <v>0</v>
      </c>
      <c r="AQ480" s="146"/>
      <c r="AR480" s="1031"/>
      <c r="AS480" s="547"/>
      <c r="AT480" s="4930">
        <f t="shared" si="402"/>
        <v>0</v>
      </c>
      <c r="AU480" s="146"/>
      <c r="AV480" s="1031"/>
      <c r="AW480" s="547"/>
      <c r="AX480" s="4930">
        <f t="shared" si="403"/>
        <v>0</v>
      </c>
      <c r="AY480" s="146"/>
      <c r="AZ480" s="1031"/>
      <c r="BA480" s="873"/>
      <c r="BB480" s="717">
        <f t="shared" si="395"/>
        <v>0</v>
      </c>
      <c r="BC480" s="2094"/>
      <c r="BD480" s="429">
        <f t="shared" si="387"/>
        <v>0</v>
      </c>
      <c r="BE480" s="547"/>
      <c r="BF480" s="718">
        <f t="shared" si="388"/>
        <v>0</v>
      </c>
    </row>
    <row r="481" spans="1:58" ht="15" hidden="1" customHeight="1" x14ac:dyDescent="0.3">
      <c r="A481" s="88"/>
      <c r="B481" s="8" t="s">
        <v>1221</v>
      </c>
      <c r="C481" s="146" t="s">
        <v>50</v>
      </c>
      <c r="D481" s="146"/>
      <c r="E481" s="146"/>
      <c r="F481" s="1031"/>
      <c r="G481" s="146"/>
      <c r="H481" s="1031"/>
      <c r="I481" s="547"/>
      <c r="J481" s="4930">
        <f t="shared" si="396"/>
        <v>0</v>
      </c>
      <c r="K481" s="146"/>
      <c r="L481" s="1031"/>
      <c r="M481" s="873"/>
      <c r="N481" s="4931">
        <f t="shared" si="397"/>
        <v>0</v>
      </c>
      <c r="O481" s="146"/>
      <c r="P481" s="1031"/>
      <c r="Q481" s="547"/>
      <c r="R481" s="4930">
        <f t="shared" si="398"/>
        <v>0</v>
      </c>
      <c r="S481" s="146"/>
      <c r="T481" s="1031"/>
      <c r="U481" s="547"/>
      <c r="V481" s="4930">
        <f t="shared" si="399"/>
        <v>0</v>
      </c>
      <c r="W481" s="146"/>
      <c r="X481" s="1031"/>
      <c r="Y481" s="873"/>
      <c r="Z481" s="873">
        <f t="shared" si="390"/>
        <v>0</v>
      </c>
      <c r="AA481" s="2094"/>
      <c r="AB481" s="5069">
        <f t="shared" si="404"/>
        <v>0</v>
      </c>
      <c r="AC481" s="146"/>
      <c r="AD481" s="1031"/>
      <c r="AE481" s="547"/>
      <c r="AF481" s="4930">
        <f t="shared" si="400"/>
        <v>0</v>
      </c>
      <c r="AG481" s="146"/>
      <c r="AH481" s="1031"/>
      <c r="AI481" s="547"/>
      <c r="AJ481" s="4930">
        <f t="shared" si="401"/>
        <v>0</v>
      </c>
      <c r="AK481" s="146"/>
      <c r="AL481" s="1031"/>
      <c r="AM481" s="873"/>
      <c r="AN481" s="717">
        <f t="shared" si="393"/>
        <v>0</v>
      </c>
      <c r="AO481" s="547"/>
      <c r="AP481" s="4930">
        <f t="shared" si="405"/>
        <v>0</v>
      </c>
      <c r="AQ481" s="146"/>
      <c r="AR481" s="1031"/>
      <c r="AS481" s="547"/>
      <c r="AT481" s="4930">
        <f t="shared" si="402"/>
        <v>0</v>
      </c>
      <c r="AU481" s="146"/>
      <c r="AV481" s="1031"/>
      <c r="AW481" s="547"/>
      <c r="AX481" s="4930">
        <f t="shared" si="403"/>
        <v>0</v>
      </c>
      <c r="AY481" s="146"/>
      <c r="AZ481" s="1031"/>
      <c r="BA481" s="873"/>
      <c r="BB481" s="717">
        <f t="shared" si="395"/>
        <v>0</v>
      </c>
      <c r="BC481" s="2094"/>
      <c r="BD481" s="429">
        <f t="shared" si="387"/>
        <v>0</v>
      </c>
      <c r="BE481" s="547"/>
      <c r="BF481" s="718">
        <f t="shared" si="388"/>
        <v>0</v>
      </c>
    </row>
    <row r="482" spans="1:58" ht="15" hidden="1" customHeight="1" x14ac:dyDescent="0.3">
      <c r="A482" s="88"/>
      <c r="B482" s="8" t="s">
        <v>1882</v>
      </c>
      <c r="C482" s="146" t="s">
        <v>50</v>
      </c>
      <c r="D482" s="146"/>
      <c r="E482" s="146"/>
      <c r="F482" s="1031"/>
      <c r="G482" s="146"/>
      <c r="H482" s="1031"/>
      <c r="I482" s="547"/>
      <c r="J482" s="4930">
        <f t="shared" si="396"/>
        <v>0</v>
      </c>
      <c r="K482" s="146"/>
      <c r="L482" s="1031"/>
      <c r="M482" s="873"/>
      <c r="N482" s="4931">
        <f t="shared" si="397"/>
        <v>0</v>
      </c>
      <c r="O482" s="146"/>
      <c r="P482" s="1031"/>
      <c r="Q482" s="547"/>
      <c r="R482" s="4930">
        <f t="shared" si="398"/>
        <v>0</v>
      </c>
      <c r="S482" s="146"/>
      <c r="T482" s="1031"/>
      <c r="U482" s="547"/>
      <c r="V482" s="4930">
        <f t="shared" si="399"/>
        <v>0</v>
      </c>
      <c r="W482" s="146"/>
      <c r="X482" s="1031"/>
      <c r="Y482" s="873"/>
      <c r="Z482" s="873">
        <f t="shared" si="390"/>
        <v>0</v>
      </c>
      <c r="AA482" s="2094"/>
      <c r="AB482" s="5069">
        <f t="shared" si="404"/>
        <v>0</v>
      </c>
      <c r="AC482" s="146"/>
      <c r="AD482" s="1031"/>
      <c r="AE482" s="547"/>
      <c r="AF482" s="4930">
        <f t="shared" si="400"/>
        <v>0</v>
      </c>
      <c r="AG482" s="146"/>
      <c r="AH482" s="1031"/>
      <c r="AI482" s="547"/>
      <c r="AJ482" s="4930">
        <f t="shared" si="401"/>
        <v>0</v>
      </c>
      <c r="AK482" s="146"/>
      <c r="AL482" s="1031"/>
      <c r="AM482" s="873"/>
      <c r="AN482" s="717">
        <f t="shared" si="393"/>
        <v>0</v>
      </c>
      <c r="AO482" s="547"/>
      <c r="AP482" s="4930">
        <f t="shared" si="405"/>
        <v>0</v>
      </c>
      <c r="AQ482" s="146"/>
      <c r="AR482" s="1031"/>
      <c r="AS482" s="547"/>
      <c r="AT482" s="4930">
        <f t="shared" si="402"/>
        <v>0</v>
      </c>
      <c r="AU482" s="146"/>
      <c r="AV482" s="1031"/>
      <c r="AW482" s="547"/>
      <c r="AX482" s="4930">
        <f t="shared" si="403"/>
        <v>0</v>
      </c>
      <c r="AY482" s="146"/>
      <c r="AZ482" s="1031"/>
      <c r="BA482" s="873"/>
      <c r="BB482" s="717">
        <f t="shared" si="395"/>
        <v>0</v>
      </c>
      <c r="BC482" s="2094"/>
      <c r="BD482" s="429">
        <f t="shared" si="387"/>
        <v>0</v>
      </c>
      <c r="BE482" s="547"/>
      <c r="BF482" s="718">
        <f t="shared" si="388"/>
        <v>0</v>
      </c>
    </row>
    <row r="483" spans="1:58" ht="15" hidden="1" customHeight="1" x14ac:dyDescent="0.3">
      <c r="A483" s="88"/>
      <c r="B483" s="8" t="s">
        <v>1883</v>
      </c>
      <c r="C483" s="146" t="s">
        <v>50</v>
      </c>
      <c r="D483" s="146"/>
      <c r="E483" s="146"/>
      <c r="F483" s="1031"/>
      <c r="G483" s="146"/>
      <c r="H483" s="1031"/>
      <c r="I483" s="547"/>
      <c r="J483" s="4930">
        <f t="shared" si="396"/>
        <v>0</v>
      </c>
      <c r="K483" s="146"/>
      <c r="L483" s="1031"/>
      <c r="M483" s="873"/>
      <c r="N483" s="4931">
        <f t="shared" si="397"/>
        <v>0</v>
      </c>
      <c r="O483" s="146"/>
      <c r="P483" s="1031"/>
      <c r="Q483" s="547"/>
      <c r="R483" s="4930">
        <f t="shared" si="398"/>
        <v>0</v>
      </c>
      <c r="S483" s="146"/>
      <c r="T483" s="1031"/>
      <c r="U483" s="547"/>
      <c r="V483" s="4930">
        <f t="shared" si="399"/>
        <v>0</v>
      </c>
      <c r="W483" s="146"/>
      <c r="X483" s="1031"/>
      <c r="Y483" s="873"/>
      <c r="Z483" s="873">
        <f t="shared" si="390"/>
        <v>0</v>
      </c>
      <c r="AA483" s="2094"/>
      <c r="AB483" s="5069">
        <f t="shared" si="404"/>
        <v>0</v>
      </c>
      <c r="AC483" s="146"/>
      <c r="AD483" s="1031"/>
      <c r="AE483" s="547"/>
      <c r="AF483" s="4930">
        <f t="shared" si="400"/>
        <v>0</v>
      </c>
      <c r="AG483" s="146"/>
      <c r="AH483" s="1031"/>
      <c r="AI483" s="547"/>
      <c r="AJ483" s="4930">
        <f t="shared" si="401"/>
        <v>0</v>
      </c>
      <c r="AK483" s="146"/>
      <c r="AL483" s="1031"/>
      <c r="AM483" s="873"/>
      <c r="AN483" s="717">
        <f t="shared" si="393"/>
        <v>0</v>
      </c>
      <c r="AO483" s="547"/>
      <c r="AP483" s="4930">
        <f t="shared" si="405"/>
        <v>0</v>
      </c>
      <c r="AQ483" s="146"/>
      <c r="AR483" s="1031"/>
      <c r="AS483" s="547"/>
      <c r="AT483" s="4930">
        <f t="shared" si="402"/>
        <v>0</v>
      </c>
      <c r="AU483" s="146"/>
      <c r="AV483" s="1031"/>
      <c r="AW483" s="547"/>
      <c r="AX483" s="4930">
        <f t="shared" si="403"/>
        <v>0</v>
      </c>
      <c r="AY483" s="146"/>
      <c r="AZ483" s="1031"/>
      <c r="BA483" s="873"/>
      <c r="BB483" s="717">
        <f t="shared" si="395"/>
        <v>0</v>
      </c>
      <c r="BC483" s="2094"/>
      <c r="BD483" s="429">
        <f t="shared" si="387"/>
        <v>0</v>
      </c>
      <c r="BE483" s="547"/>
      <c r="BF483" s="718">
        <f t="shared" si="388"/>
        <v>0</v>
      </c>
    </row>
    <row r="484" spans="1:58" ht="15" hidden="1" customHeight="1" x14ac:dyDescent="0.3">
      <c r="A484" s="88"/>
      <c r="B484" s="8" t="s">
        <v>523</v>
      </c>
      <c r="C484" s="2260" t="s">
        <v>50</v>
      </c>
      <c r="D484" s="2260"/>
      <c r="E484" s="2260"/>
      <c r="F484" s="2250"/>
      <c r="G484" s="2260"/>
      <c r="H484" s="2250"/>
      <c r="I484" s="5541"/>
      <c r="J484" s="4930">
        <f t="shared" si="396"/>
        <v>0</v>
      </c>
      <c r="K484" s="2260"/>
      <c r="L484" s="2250"/>
      <c r="M484" s="5531"/>
      <c r="N484" s="4931">
        <f t="shared" si="397"/>
        <v>0</v>
      </c>
      <c r="O484" s="2260"/>
      <c r="P484" s="2250"/>
      <c r="Q484" s="5541"/>
      <c r="R484" s="4930">
        <f t="shared" si="398"/>
        <v>0</v>
      </c>
      <c r="S484" s="2260"/>
      <c r="T484" s="2250"/>
      <c r="U484" s="5541"/>
      <c r="V484" s="4930">
        <f t="shared" si="399"/>
        <v>0</v>
      </c>
      <c r="W484" s="2260"/>
      <c r="X484" s="2250"/>
      <c r="Y484" s="5531"/>
      <c r="Z484" s="5531">
        <f t="shared" si="390"/>
        <v>0</v>
      </c>
      <c r="AA484" s="5536"/>
      <c r="AB484" s="5069">
        <f t="shared" si="404"/>
        <v>0</v>
      </c>
      <c r="AC484" s="2260"/>
      <c r="AD484" s="2250"/>
      <c r="AE484" s="5541"/>
      <c r="AF484" s="4930">
        <f t="shared" si="400"/>
        <v>0</v>
      </c>
      <c r="AG484" s="2260"/>
      <c r="AH484" s="2250"/>
      <c r="AI484" s="5541"/>
      <c r="AJ484" s="4930">
        <f t="shared" si="401"/>
        <v>0</v>
      </c>
      <c r="AK484" s="2260"/>
      <c r="AL484" s="2250"/>
      <c r="AM484" s="5531"/>
      <c r="AN484" s="717">
        <f t="shared" si="393"/>
        <v>0</v>
      </c>
      <c r="AO484" s="5541"/>
      <c r="AP484" s="4930">
        <f t="shared" si="405"/>
        <v>0</v>
      </c>
      <c r="AQ484" s="2260"/>
      <c r="AR484" s="2250"/>
      <c r="AS484" s="5541"/>
      <c r="AT484" s="4930">
        <f t="shared" si="402"/>
        <v>0</v>
      </c>
      <c r="AU484" s="2260"/>
      <c r="AV484" s="2250"/>
      <c r="AW484" s="5541"/>
      <c r="AX484" s="4930">
        <f t="shared" si="403"/>
        <v>0</v>
      </c>
      <c r="AY484" s="2260"/>
      <c r="AZ484" s="2250"/>
      <c r="BA484" s="5531"/>
      <c r="BB484" s="717">
        <f t="shared" si="395"/>
        <v>0</v>
      </c>
      <c r="BC484" s="5536"/>
      <c r="BD484" s="429">
        <f t="shared" si="387"/>
        <v>0</v>
      </c>
      <c r="BE484" s="5541"/>
      <c r="BF484" s="718">
        <f t="shared" si="388"/>
        <v>0</v>
      </c>
    </row>
    <row r="485" spans="1:58" x14ac:dyDescent="0.3">
      <c r="A485" s="88"/>
      <c r="B485" s="8" t="s">
        <v>1875</v>
      </c>
      <c r="C485" s="146" t="s">
        <v>50</v>
      </c>
      <c r="D485" s="146"/>
      <c r="E485" s="146"/>
      <c r="F485" s="1031"/>
      <c r="G485" s="146"/>
      <c r="H485" s="1031">
        <v>3089.2300000000009</v>
      </c>
      <c r="I485" s="547"/>
      <c r="J485" s="4930">
        <f t="shared" si="396"/>
        <v>3089.2300000000009</v>
      </c>
      <c r="K485" s="146"/>
      <c r="L485" s="1031"/>
      <c r="M485" s="873"/>
      <c r="N485" s="4931">
        <f t="shared" si="397"/>
        <v>3089.2300000000009</v>
      </c>
      <c r="O485" s="146"/>
      <c r="P485" s="1031"/>
      <c r="Q485" s="547"/>
      <c r="R485" s="4930">
        <f t="shared" si="398"/>
        <v>3089.2300000000009</v>
      </c>
      <c r="S485" s="146"/>
      <c r="T485" s="1031"/>
      <c r="U485" s="547"/>
      <c r="V485" s="4930">
        <f t="shared" si="399"/>
        <v>3089.2300000000009</v>
      </c>
      <c r="W485" s="146"/>
      <c r="X485" s="1031"/>
      <c r="Y485" s="873"/>
      <c r="Z485" s="873">
        <f t="shared" si="390"/>
        <v>0</v>
      </c>
      <c r="AA485" s="2094"/>
      <c r="AB485" s="5069">
        <f t="shared" si="404"/>
        <v>3089.2300000000009</v>
      </c>
      <c r="AC485" s="146"/>
      <c r="AD485" s="1031"/>
      <c r="AE485" s="547"/>
      <c r="AF485" s="4930">
        <f t="shared" si="400"/>
        <v>3089.2300000000009</v>
      </c>
      <c r="AG485" s="146"/>
      <c r="AH485" s="1031"/>
      <c r="AI485" s="547"/>
      <c r="AJ485" s="4930">
        <f t="shared" si="401"/>
        <v>3089.2300000000009</v>
      </c>
      <c r="AK485" s="146"/>
      <c r="AL485" s="1031"/>
      <c r="AM485" s="873"/>
      <c r="AN485" s="717">
        <f t="shared" si="393"/>
        <v>0</v>
      </c>
      <c r="AO485" s="547"/>
      <c r="AP485" s="4930">
        <f t="shared" si="405"/>
        <v>3089.2300000000009</v>
      </c>
      <c r="AQ485" s="146"/>
      <c r="AR485" s="1031"/>
      <c r="AS485" s="547"/>
      <c r="AT485" s="4930">
        <f t="shared" si="402"/>
        <v>3089.2300000000009</v>
      </c>
      <c r="AU485" s="146"/>
      <c r="AV485" s="1031"/>
      <c r="AW485" s="547"/>
      <c r="AX485" s="4930">
        <f t="shared" si="403"/>
        <v>3089.2300000000009</v>
      </c>
      <c r="AY485" s="146"/>
      <c r="AZ485" s="1031"/>
      <c r="BA485" s="873"/>
      <c r="BB485" s="717">
        <f t="shared" si="395"/>
        <v>0</v>
      </c>
      <c r="BC485" s="2094"/>
      <c r="BD485" s="429">
        <f t="shared" si="387"/>
        <v>0</v>
      </c>
      <c r="BE485" s="547"/>
      <c r="BF485" s="718">
        <f t="shared" si="388"/>
        <v>3089.2300000000009</v>
      </c>
    </row>
    <row r="486" spans="1:58" x14ac:dyDescent="0.3">
      <c r="A486" s="88"/>
      <c r="B486" s="4059" t="s">
        <v>1885</v>
      </c>
      <c r="C486" s="4060" t="s">
        <v>50</v>
      </c>
      <c r="D486" s="4060"/>
      <c r="E486" s="4060"/>
      <c r="F486" s="4056">
        <v>1948.46</v>
      </c>
      <c r="G486" s="4060"/>
      <c r="H486" s="4056">
        <v>40.46</v>
      </c>
      <c r="I486" s="4277"/>
      <c r="J486" s="4930">
        <f t="shared" si="396"/>
        <v>1988.92</v>
      </c>
      <c r="K486" s="4060"/>
      <c r="L486" s="4056"/>
      <c r="M486" s="5532"/>
      <c r="N486" s="4931">
        <f t="shared" si="397"/>
        <v>1988.92</v>
      </c>
      <c r="O486" s="4060"/>
      <c r="P486" s="4056"/>
      <c r="Q486" s="4277"/>
      <c r="R486" s="4930">
        <f t="shared" si="398"/>
        <v>1988.92</v>
      </c>
      <c r="S486" s="4060"/>
      <c r="T486" s="4056"/>
      <c r="U486" s="4277"/>
      <c r="V486" s="4930">
        <f t="shared" si="399"/>
        <v>1988.92</v>
      </c>
      <c r="W486" s="4060"/>
      <c r="X486" s="4056"/>
      <c r="Y486" s="5532"/>
      <c r="Z486" s="5532">
        <f t="shared" si="390"/>
        <v>0</v>
      </c>
      <c r="AA486" s="5537"/>
      <c r="AB486" s="5069">
        <f t="shared" si="404"/>
        <v>1988.92</v>
      </c>
      <c r="AC486" s="4060"/>
      <c r="AD486" s="4056"/>
      <c r="AE486" s="4277"/>
      <c r="AF486" s="4930">
        <f t="shared" si="400"/>
        <v>1988.92</v>
      </c>
      <c r="AG486" s="4060"/>
      <c r="AH486" s="4056"/>
      <c r="AI486" s="4277"/>
      <c r="AJ486" s="4930">
        <f t="shared" si="401"/>
        <v>1988.92</v>
      </c>
      <c r="AK486" s="4060"/>
      <c r="AL486" s="4056"/>
      <c r="AM486" s="5532"/>
      <c r="AN486" s="717">
        <f t="shared" si="393"/>
        <v>0</v>
      </c>
      <c r="AO486" s="4277"/>
      <c r="AP486" s="4930">
        <f t="shared" si="405"/>
        <v>1988.92</v>
      </c>
      <c r="AQ486" s="4060"/>
      <c r="AR486" s="4056"/>
      <c r="AS486" s="4277"/>
      <c r="AT486" s="4930">
        <f t="shared" si="402"/>
        <v>1988.92</v>
      </c>
      <c r="AU486" s="4060"/>
      <c r="AV486" s="4056"/>
      <c r="AW486" s="4277"/>
      <c r="AX486" s="4930">
        <f t="shared" si="403"/>
        <v>1988.92</v>
      </c>
      <c r="AY486" s="4060"/>
      <c r="AZ486" s="4056"/>
      <c r="BA486" s="5532"/>
      <c r="BB486" s="717">
        <f t="shared" si="395"/>
        <v>0</v>
      </c>
      <c r="BC486" s="5537"/>
      <c r="BD486" s="429">
        <f t="shared" si="387"/>
        <v>0</v>
      </c>
      <c r="BE486" s="4277"/>
      <c r="BF486" s="718">
        <f t="shared" si="388"/>
        <v>1988.92</v>
      </c>
    </row>
    <row r="487" spans="1:58" x14ac:dyDescent="0.3">
      <c r="A487" s="88"/>
      <c r="B487" s="8" t="s">
        <v>1661</v>
      </c>
      <c r="C487" s="146" t="s">
        <v>50</v>
      </c>
      <c r="D487" s="146"/>
      <c r="E487" s="146"/>
      <c r="F487" s="1031">
        <v>3138.1499999999996</v>
      </c>
      <c r="G487" s="146"/>
      <c r="H487" s="1031">
        <v>2272.1600000000003</v>
      </c>
      <c r="I487" s="547"/>
      <c r="J487" s="4930">
        <f t="shared" si="396"/>
        <v>5410.3099999999995</v>
      </c>
      <c r="K487" s="146"/>
      <c r="L487" s="1031"/>
      <c r="M487" s="873"/>
      <c r="N487" s="4931">
        <f t="shared" si="397"/>
        <v>5410.3099999999995</v>
      </c>
      <c r="O487" s="146"/>
      <c r="P487" s="1031"/>
      <c r="Q487" s="547"/>
      <c r="R487" s="4930">
        <f t="shared" si="398"/>
        <v>5410.3099999999995</v>
      </c>
      <c r="S487" s="146"/>
      <c r="T487" s="1031"/>
      <c r="U487" s="547"/>
      <c r="V487" s="4930">
        <f t="shared" si="399"/>
        <v>5410.3099999999995</v>
      </c>
      <c r="W487" s="146"/>
      <c r="X487" s="1031"/>
      <c r="Y487" s="873"/>
      <c r="Z487" s="873">
        <f t="shared" si="390"/>
        <v>0</v>
      </c>
      <c r="AA487" s="2094"/>
      <c r="AB487" s="5069">
        <f t="shared" si="404"/>
        <v>5410.3099999999995</v>
      </c>
      <c r="AC487" s="146"/>
      <c r="AD487" s="1031"/>
      <c r="AE487" s="547"/>
      <c r="AF487" s="4930">
        <f t="shared" si="400"/>
        <v>5410.3099999999995</v>
      </c>
      <c r="AG487" s="146"/>
      <c r="AH487" s="1031"/>
      <c r="AI487" s="547"/>
      <c r="AJ487" s="4930">
        <f t="shared" si="401"/>
        <v>5410.3099999999995</v>
      </c>
      <c r="AK487" s="146"/>
      <c r="AL487" s="1031"/>
      <c r="AM487" s="873"/>
      <c r="AN487" s="717">
        <f t="shared" si="393"/>
        <v>0</v>
      </c>
      <c r="AO487" s="547"/>
      <c r="AP487" s="4930">
        <f t="shared" si="405"/>
        <v>5410.3099999999995</v>
      </c>
      <c r="AQ487" s="146"/>
      <c r="AR487" s="1031"/>
      <c r="AS487" s="547"/>
      <c r="AT487" s="4930">
        <f t="shared" si="402"/>
        <v>5410.3099999999995</v>
      </c>
      <c r="AU487" s="146"/>
      <c r="AV487" s="1031"/>
      <c r="AW487" s="547"/>
      <c r="AX487" s="4930">
        <f t="shared" si="403"/>
        <v>5410.3099999999995</v>
      </c>
      <c r="AY487" s="146"/>
      <c r="AZ487" s="1031"/>
      <c r="BA487" s="873"/>
      <c r="BB487" s="717">
        <f t="shared" si="395"/>
        <v>0</v>
      </c>
      <c r="BC487" s="2094"/>
      <c r="BD487" s="429">
        <f t="shared" si="387"/>
        <v>0</v>
      </c>
      <c r="BE487" s="547"/>
      <c r="BF487" s="718">
        <f t="shared" si="388"/>
        <v>5410.3099999999995</v>
      </c>
    </row>
    <row r="488" spans="1:58" ht="15" hidden="1" customHeight="1" x14ac:dyDescent="0.3">
      <c r="A488" s="88" t="s">
        <v>1941</v>
      </c>
      <c r="B488" s="4059" t="s">
        <v>1974</v>
      </c>
      <c r="C488" s="4404" t="s">
        <v>50</v>
      </c>
      <c r="D488" s="4404"/>
      <c r="E488" s="4404"/>
      <c r="F488" s="4433"/>
      <c r="G488" s="4404"/>
      <c r="H488" s="4433"/>
      <c r="I488" s="5542"/>
      <c r="J488" s="4930">
        <f t="shared" si="396"/>
        <v>0</v>
      </c>
      <c r="K488" s="4404"/>
      <c r="L488" s="4433"/>
      <c r="M488" s="5533"/>
      <c r="N488" s="4931">
        <f t="shared" si="397"/>
        <v>0</v>
      </c>
      <c r="O488" s="4404"/>
      <c r="P488" s="4433"/>
      <c r="Q488" s="5542"/>
      <c r="R488" s="4930">
        <f t="shared" si="398"/>
        <v>0</v>
      </c>
      <c r="S488" s="4404"/>
      <c r="T488" s="4433"/>
      <c r="U488" s="5542"/>
      <c r="V488" s="4930">
        <f t="shared" si="399"/>
        <v>0</v>
      </c>
      <c r="W488" s="4404"/>
      <c r="X488" s="4433"/>
      <c r="Y488" s="5533"/>
      <c r="Z488" s="5533">
        <f t="shared" si="390"/>
        <v>0</v>
      </c>
      <c r="AA488" s="5538"/>
      <c r="AB488" s="5069">
        <f t="shared" si="404"/>
        <v>0</v>
      </c>
      <c r="AC488" s="4404"/>
      <c r="AD488" s="4433"/>
      <c r="AE488" s="5542"/>
      <c r="AF488" s="4930">
        <f t="shared" si="400"/>
        <v>0</v>
      </c>
      <c r="AG488" s="4404"/>
      <c r="AH488" s="4433"/>
      <c r="AI488" s="5542"/>
      <c r="AJ488" s="4930">
        <f t="shared" si="401"/>
        <v>0</v>
      </c>
      <c r="AK488" s="4404"/>
      <c r="AL488" s="4433"/>
      <c r="AM488" s="5533"/>
      <c r="AN488" s="717">
        <f t="shared" si="393"/>
        <v>0</v>
      </c>
      <c r="AO488" s="5542"/>
      <c r="AP488" s="4930">
        <f t="shared" si="405"/>
        <v>0</v>
      </c>
      <c r="AQ488" s="4404"/>
      <c r="AR488" s="4433"/>
      <c r="AS488" s="5542"/>
      <c r="AT488" s="4930">
        <f t="shared" si="402"/>
        <v>0</v>
      </c>
      <c r="AU488" s="4404"/>
      <c r="AV488" s="4433"/>
      <c r="AW488" s="5542"/>
      <c r="AX488" s="4930">
        <f t="shared" si="403"/>
        <v>0</v>
      </c>
      <c r="AY488" s="4404"/>
      <c r="AZ488" s="4433"/>
      <c r="BA488" s="5533"/>
      <c r="BB488" s="717">
        <f t="shared" si="395"/>
        <v>0</v>
      </c>
      <c r="BC488" s="5538"/>
      <c r="BD488" s="429">
        <f t="shared" si="387"/>
        <v>0</v>
      </c>
      <c r="BE488" s="5542"/>
      <c r="BF488" s="718">
        <f t="shared" si="388"/>
        <v>0</v>
      </c>
    </row>
    <row r="489" spans="1:58" ht="15" hidden="1" customHeight="1" x14ac:dyDescent="0.3">
      <c r="A489" s="88"/>
      <c r="B489" s="8" t="s">
        <v>1884</v>
      </c>
      <c r="C489" s="2356" t="s">
        <v>50</v>
      </c>
      <c r="D489" s="2356"/>
      <c r="E489" s="2356"/>
      <c r="F489" s="2399"/>
      <c r="G489" s="2356"/>
      <c r="H489" s="2399"/>
      <c r="I489" s="2668"/>
      <c r="J489" s="4930">
        <f t="shared" si="396"/>
        <v>0</v>
      </c>
      <c r="K489" s="2356"/>
      <c r="L489" s="2399"/>
      <c r="M489" s="2975"/>
      <c r="N489" s="4931">
        <f t="shared" si="397"/>
        <v>0</v>
      </c>
      <c r="O489" s="2356"/>
      <c r="P489" s="2399"/>
      <c r="Q489" s="2668"/>
      <c r="R489" s="4930">
        <f t="shared" si="398"/>
        <v>0</v>
      </c>
      <c r="S489" s="2356"/>
      <c r="T489" s="2399"/>
      <c r="U489" s="2668"/>
      <c r="V489" s="4930">
        <f t="shared" si="399"/>
        <v>0</v>
      </c>
      <c r="W489" s="2356"/>
      <c r="X489" s="2399"/>
      <c r="Y489" s="2975"/>
      <c r="Z489" s="2975">
        <f t="shared" si="390"/>
        <v>0</v>
      </c>
      <c r="AA489" s="2976"/>
      <c r="AB489" s="5069">
        <f t="shared" si="404"/>
        <v>0</v>
      </c>
      <c r="AC489" s="2356"/>
      <c r="AD489" s="2399"/>
      <c r="AE489" s="2668"/>
      <c r="AF489" s="4930">
        <f t="shared" si="400"/>
        <v>0</v>
      </c>
      <c r="AG489" s="2356"/>
      <c r="AH489" s="2399"/>
      <c r="AI489" s="2668"/>
      <c r="AJ489" s="4930">
        <f t="shared" si="401"/>
        <v>0</v>
      </c>
      <c r="AK489" s="2356"/>
      <c r="AL489" s="2399"/>
      <c r="AM489" s="2975"/>
      <c r="AN489" s="717">
        <f t="shared" si="393"/>
        <v>0</v>
      </c>
      <c r="AO489" s="2668"/>
      <c r="AP489" s="4930">
        <f t="shared" si="405"/>
        <v>0</v>
      </c>
      <c r="AQ489" s="2356"/>
      <c r="AR489" s="2399"/>
      <c r="AS489" s="2668"/>
      <c r="AT489" s="4930">
        <f t="shared" si="402"/>
        <v>0</v>
      </c>
      <c r="AU489" s="2356"/>
      <c r="AV489" s="2399"/>
      <c r="AW489" s="2668"/>
      <c r="AX489" s="4930">
        <f t="shared" si="403"/>
        <v>0</v>
      </c>
      <c r="AY489" s="2356"/>
      <c r="AZ489" s="2399"/>
      <c r="BA489" s="2975"/>
      <c r="BB489" s="717">
        <f t="shared" si="395"/>
        <v>0</v>
      </c>
      <c r="BC489" s="2976"/>
      <c r="BD489" s="429">
        <f t="shared" si="387"/>
        <v>0</v>
      </c>
      <c r="BE489" s="2668"/>
      <c r="BF489" s="718">
        <f t="shared" si="388"/>
        <v>0</v>
      </c>
    </row>
    <row r="490" spans="1:58" x14ac:dyDescent="0.3">
      <c r="A490" s="88"/>
      <c r="B490" s="8" t="s">
        <v>1068</v>
      </c>
      <c r="C490" s="146" t="s">
        <v>50</v>
      </c>
      <c r="D490" s="146"/>
      <c r="E490" s="146"/>
      <c r="F490" s="1031">
        <v>4015.5200000000004</v>
      </c>
      <c r="G490" s="146"/>
      <c r="H490" s="1031"/>
      <c r="I490" s="547"/>
      <c r="J490" s="4930">
        <f t="shared" si="396"/>
        <v>4015.5200000000004</v>
      </c>
      <c r="K490" s="146"/>
      <c r="L490" s="1031"/>
      <c r="M490" s="873"/>
      <c r="N490" s="4931">
        <f t="shared" si="397"/>
        <v>4015.5200000000004</v>
      </c>
      <c r="O490" s="146"/>
      <c r="P490" s="1031"/>
      <c r="Q490" s="547"/>
      <c r="R490" s="4930">
        <f t="shared" si="398"/>
        <v>4015.5200000000004</v>
      </c>
      <c r="S490" s="146"/>
      <c r="T490" s="1031"/>
      <c r="U490" s="547"/>
      <c r="V490" s="4930">
        <f t="shared" si="399"/>
        <v>4015.5200000000004</v>
      </c>
      <c r="W490" s="146"/>
      <c r="X490" s="1031"/>
      <c r="Y490" s="873"/>
      <c r="Z490" s="873">
        <f t="shared" si="390"/>
        <v>0</v>
      </c>
      <c r="AA490" s="2094"/>
      <c r="AB490" s="5069">
        <f t="shared" si="404"/>
        <v>4015.5200000000004</v>
      </c>
      <c r="AC490" s="146"/>
      <c r="AD490" s="1031"/>
      <c r="AE490" s="547"/>
      <c r="AF490" s="4930">
        <f t="shared" si="400"/>
        <v>4015.5200000000004</v>
      </c>
      <c r="AG490" s="146"/>
      <c r="AH490" s="1031"/>
      <c r="AI490" s="547"/>
      <c r="AJ490" s="4930">
        <f t="shared" si="401"/>
        <v>4015.5200000000004</v>
      </c>
      <c r="AK490" s="146"/>
      <c r="AL490" s="1031"/>
      <c r="AM490" s="873"/>
      <c r="AN490" s="717">
        <f t="shared" si="393"/>
        <v>0</v>
      </c>
      <c r="AO490" s="547"/>
      <c r="AP490" s="4930">
        <f t="shared" si="405"/>
        <v>4015.5200000000004</v>
      </c>
      <c r="AQ490" s="146"/>
      <c r="AR490" s="1031"/>
      <c r="AS490" s="547"/>
      <c r="AT490" s="4930">
        <f t="shared" si="402"/>
        <v>4015.5200000000004</v>
      </c>
      <c r="AU490" s="146"/>
      <c r="AV490" s="1031"/>
      <c r="AW490" s="547"/>
      <c r="AX490" s="4930">
        <f t="shared" si="403"/>
        <v>4015.5200000000004</v>
      </c>
      <c r="AY490" s="146"/>
      <c r="AZ490" s="1031"/>
      <c r="BA490" s="873"/>
      <c r="BB490" s="717">
        <f t="shared" si="395"/>
        <v>0</v>
      </c>
      <c r="BC490" s="2094"/>
      <c r="BD490" s="429">
        <f t="shared" si="387"/>
        <v>0</v>
      </c>
      <c r="BE490" s="547"/>
      <c r="BF490" s="718">
        <f t="shared" si="388"/>
        <v>4015.5200000000004</v>
      </c>
    </row>
    <row r="491" spans="1:58" ht="15" hidden="1" customHeight="1" x14ac:dyDescent="0.3">
      <c r="A491" s="88"/>
      <c r="B491" s="8" t="s">
        <v>1254</v>
      </c>
      <c r="C491" s="146" t="s">
        <v>50</v>
      </c>
      <c r="D491" s="146"/>
      <c r="E491" s="146"/>
      <c r="F491" s="1031"/>
      <c r="G491" s="146"/>
      <c r="H491" s="1031"/>
      <c r="I491" s="547"/>
      <c r="J491" s="4930">
        <f t="shared" si="396"/>
        <v>0</v>
      </c>
      <c r="K491" s="146"/>
      <c r="L491" s="1031"/>
      <c r="M491" s="873"/>
      <c r="N491" s="4931">
        <f t="shared" si="397"/>
        <v>0</v>
      </c>
      <c r="O491" s="146"/>
      <c r="P491" s="1031"/>
      <c r="Q491" s="547"/>
      <c r="R491" s="4930">
        <f t="shared" si="398"/>
        <v>0</v>
      </c>
      <c r="S491" s="146"/>
      <c r="T491" s="1031"/>
      <c r="U491" s="547"/>
      <c r="V491" s="4930">
        <f t="shared" si="399"/>
        <v>0</v>
      </c>
      <c r="W491" s="146"/>
      <c r="X491" s="1031"/>
      <c r="Y491" s="873"/>
      <c r="Z491" s="873">
        <f t="shared" si="390"/>
        <v>0</v>
      </c>
      <c r="AA491" s="2094"/>
      <c r="AB491" s="5069">
        <f t="shared" si="404"/>
        <v>0</v>
      </c>
      <c r="AC491" s="146"/>
      <c r="AD491" s="1031"/>
      <c r="AE491" s="547"/>
      <c r="AF491" s="4930">
        <f t="shared" si="400"/>
        <v>0</v>
      </c>
      <c r="AG491" s="146"/>
      <c r="AH491" s="1031"/>
      <c r="AI491" s="547"/>
      <c r="AJ491" s="4930">
        <f t="shared" si="401"/>
        <v>0</v>
      </c>
      <c r="AK491" s="146"/>
      <c r="AL491" s="1031"/>
      <c r="AM491" s="873"/>
      <c r="AN491" s="717">
        <f t="shared" si="393"/>
        <v>0</v>
      </c>
      <c r="AO491" s="547"/>
      <c r="AP491" s="4930">
        <f t="shared" si="405"/>
        <v>0</v>
      </c>
      <c r="AQ491" s="146"/>
      <c r="AR491" s="1031"/>
      <c r="AS491" s="547"/>
      <c r="AT491" s="4930">
        <f t="shared" si="402"/>
        <v>0</v>
      </c>
      <c r="AU491" s="146"/>
      <c r="AV491" s="1031"/>
      <c r="AW491" s="547"/>
      <c r="AX491" s="4930">
        <f t="shared" si="403"/>
        <v>0</v>
      </c>
      <c r="AY491" s="146"/>
      <c r="AZ491" s="1031"/>
      <c r="BA491" s="873"/>
      <c r="BB491" s="717">
        <f t="shared" si="395"/>
        <v>0</v>
      </c>
      <c r="BC491" s="2094"/>
      <c r="BD491" s="429">
        <f t="shared" si="387"/>
        <v>0</v>
      </c>
      <c r="BE491" s="547"/>
      <c r="BF491" s="718">
        <f t="shared" si="388"/>
        <v>0</v>
      </c>
    </row>
    <row r="492" spans="1:58" x14ac:dyDescent="0.3">
      <c r="A492" s="88"/>
      <c r="B492" s="8" t="s">
        <v>1876</v>
      </c>
      <c r="C492" s="146" t="s">
        <v>50</v>
      </c>
      <c r="D492" s="146"/>
      <c r="E492" s="146"/>
      <c r="F492" s="1031">
        <v>160.94</v>
      </c>
      <c r="G492" s="146"/>
      <c r="H492" s="1031"/>
      <c r="I492" s="547"/>
      <c r="J492" s="4930">
        <f t="shared" si="396"/>
        <v>160.94</v>
      </c>
      <c r="K492" s="146"/>
      <c r="L492" s="1031"/>
      <c r="M492" s="873"/>
      <c r="N492" s="4931">
        <f t="shared" si="397"/>
        <v>160.94</v>
      </c>
      <c r="O492" s="146"/>
      <c r="P492" s="1031"/>
      <c r="Q492" s="547"/>
      <c r="R492" s="4930">
        <f t="shared" si="398"/>
        <v>160.94</v>
      </c>
      <c r="S492" s="146"/>
      <c r="T492" s="1031"/>
      <c r="U492" s="547"/>
      <c r="V492" s="4930">
        <f t="shared" si="399"/>
        <v>160.94</v>
      </c>
      <c r="W492" s="146"/>
      <c r="X492" s="1031"/>
      <c r="Y492" s="873"/>
      <c r="Z492" s="873">
        <f t="shared" si="390"/>
        <v>0</v>
      </c>
      <c r="AA492" s="2094"/>
      <c r="AB492" s="5069">
        <f t="shared" si="404"/>
        <v>160.94</v>
      </c>
      <c r="AC492" s="146"/>
      <c r="AD492" s="1031"/>
      <c r="AE492" s="547"/>
      <c r="AF492" s="4930">
        <f t="shared" si="400"/>
        <v>160.94</v>
      </c>
      <c r="AG492" s="146"/>
      <c r="AH492" s="1031"/>
      <c r="AI492" s="547"/>
      <c r="AJ492" s="4930">
        <f t="shared" si="401"/>
        <v>160.94</v>
      </c>
      <c r="AK492" s="146"/>
      <c r="AL492" s="1031"/>
      <c r="AM492" s="873"/>
      <c r="AN492" s="717">
        <f t="shared" si="393"/>
        <v>0</v>
      </c>
      <c r="AO492" s="547"/>
      <c r="AP492" s="4930">
        <f t="shared" si="405"/>
        <v>160.94</v>
      </c>
      <c r="AQ492" s="146"/>
      <c r="AR492" s="1031"/>
      <c r="AS492" s="547"/>
      <c r="AT492" s="4930">
        <f t="shared" si="402"/>
        <v>160.94</v>
      </c>
      <c r="AU492" s="146"/>
      <c r="AV492" s="1031"/>
      <c r="AW492" s="547"/>
      <c r="AX492" s="4930">
        <f t="shared" si="403"/>
        <v>160.94</v>
      </c>
      <c r="AY492" s="146"/>
      <c r="AZ492" s="1031"/>
      <c r="BA492" s="873"/>
      <c r="BB492" s="717">
        <f t="shared" si="395"/>
        <v>0</v>
      </c>
      <c r="BC492" s="2094"/>
      <c r="BD492" s="429">
        <f t="shared" si="387"/>
        <v>0</v>
      </c>
      <c r="BE492" s="547"/>
      <c r="BF492" s="718">
        <f t="shared" si="388"/>
        <v>160.94</v>
      </c>
    </row>
    <row r="493" spans="1:58" x14ac:dyDescent="0.3">
      <c r="A493" s="88"/>
      <c r="B493" s="8" t="s">
        <v>1877</v>
      </c>
      <c r="C493" s="146" t="s">
        <v>50</v>
      </c>
      <c r="D493" s="146"/>
      <c r="E493" s="146"/>
      <c r="F493" s="1031">
        <v>1282.5599999999997</v>
      </c>
      <c r="G493" s="146"/>
      <c r="H493" s="1031">
        <v>132.60000000000002</v>
      </c>
      <c r="I493" s="547"/>
      <c r="J493" s="4930">
        <f t="shared" si="396"/>
        <v>1415.1599999999999</v>
      </c>
      <c r="K493" s="146"/>
      <c r="L493" s="1031"/>
      <c r="M493" s="873"/>
      <c r="N493" s="4931">
        <f t="shared" si="397"/>
        <v>1415.1599999999999</v>
      </c>
      <c r="O493" s="146"/>
      <c r="P493" s="1031"/>
      <c r="Q493" s="547"/>
      <c r="R493" s="4930">
        <f t="shared" si="398"/>
        <v>1415.1599999999999</v>
      </c>
      <c r="S493" s="146"/>
      <c r="T493" s="1031"/>
      <c r="U493" s="547"/>
      <c r="V493" s="4930">
        <f t="shared" si="399"/>
        <v>1415.1599999999999</v>
      </c>
      <c r="W493" s="146"/>
      <c r="X493" s="1031"/>
      <c r="Y493" s="873"/>
      <c r="Z493" s="873">
        <f t="shared" si="390"/>
        <v>0</v>
      </c>
      <c r="AA493" s="2094"/>
      <c r="AB493" s="5069">
        <f t="shared" si="404"/>
        <v>1415.1599999999999</v>
      </c>
      <c r="AC493" s="146"/>
      <c r="AD493" s="1031"/>
      <c r="AE493" s="547"/>
      <c r="AF493" s="4930">
        <f t="shared" si="400"/>
        <v>1415.1599999999999</v>
      </c>
      <c r="AG493" s="146"/>
      <c r="AH493" s="1031"/>
      <c r="AI493" s="547"/>
      <c r="AJ493" s="4930">
        <f t="shared" si="401"/>
        <v>1415.1599999999999</v>
      </c>
      <c r="AK493" s="146"/>
      <c r="AL493" s="1031"/>
      <c r="AM493" s="873"/>
      <c r="AN493" s="717">
        <f t="shared" si="393"/>
        <v>0</v>
      </c>
      <c r="AO493" s="547"/>
      <c r="AP493" s="4930">
        <f t="shared" si="405"/>
        <v>1415.1599999999999</v>
      </c>
      <c r="AQ493" s="146"/>
      <c r="AR493" s="1031"/>
      <c r="AS493" s="547"/>
      <c r="AT493" s="4930">
        <f t="shared" si="402"/>
        <v>1415.1599999999999</v>
      </c>
      <c r="AU493" s="146"/>
      <c r="AV493" s="1031"/>
      <c r="AW493" s="547"/>
      <c r="AX493" s="4930">
        <f t="shared" si="403"/>
        <v>1415.1599999999999</v>
      </c>
      <c r="AY493" s="146"/>
      <c r="AZ493" s="1031"/>
      <c r="BA493" s="873"/>
      <c r="BB493" s="717">
        <f t="shared" si="395"/>
        <v>0</v>
      </c>
      <c r="BC493" s="2094"/>
      <c r="BD493" s="429">
        <f t="shared" si="387"/>
        <v>0</v>
      </c>
      <c r="BE493" s="547"/>
      <c r="BF493" s="718">
        <f t="shared" si="388"/>
        <v>1415.1599999999999</v>
      </c>
    </row>
    <row r="494" spans="1:58" x14ac:dyDescent="0.3">
      <c r="A494" s="88"/>
      <c r="B494" s="8" t="s">
        <v>1878</v>
      </c>
      <c r="C494" s="146" t="s">
        <v>50</v>
      </c>
      <c r="D494" s="146"/>
      <c r="E494" s="146"/>
      <c r="F494" s="1031">
        <v>161.73000000000002</v>
      </c>
      <c r="G494" s="146"/>
      <c r="H494" s="1031"/>
      <c r="I494" s="547"/>
      <c r="J494" s="4930">
        <f t="shared" si="396"/>
        <v>161.73000000000002</v>
      </c>
      <c r="K494" s="146"/>
      <c r="L494" s="1031"/>
      <c r="M494" s="873"/>
      <c r="N494" s="4931">
        <f t="shared" si="397"/>
        <v>161.73000000000002</v>
      </c>
      <c r="O494" s="146"/>
      <c r="P494" s="1031"/>
      <c r="Q494" s="547"/>
      <c r="R494" s="4930">
        <f t="shared" si="398"/>
        <v>161.73000000000002</v>
      </c>
      <c r="S494" s="146"/>
      <c r="T494" s="1031"/>
      <c r="U494" s="547"/>
      <c r="V494" s="4930">
        <f t="shared" si="399"/>
        <v>161.73000000000002</v>
      </c>
      <c r="W494" s="146"/>
      <c r="X494" s="1031"/>
      <c r="Y494" s="873"/>
      <c r="Z494" s="873">
        <f t="shared" si="390"/>
        <v>0</v>
      </c>
      <c r="AA494" s="2094"/>
      <c r="AB494" s="5069">
        <f t="shared" si="404"/>
        <v>161.73000000000002</v>
      </c>
      <c r="AC494" s="146"/>
      <c r="AD494" s="1031"/>
      <c r="AE494" s="547"/>
      <c r="AF494" s="4930">
        <f t="shared" si="400"/>
        <v>161.73000000000002</v>
      </c>
      <c r="AG494" s="146"/>
      <c r="AH494" s="1031"/>
      <c r="AI494" s="547"/>
      <c r="AJ494" s="4930">
        <f t="shared" si="401"/>
        <v>161.73000000000002</v>
      </c>
      <c r="AK494" s="146"/>
      <c r="AL494" s="1031"/>
      <c r="AM494" s="873"/>
      <c r="AN494" s="717">
        <f t="shared" si="393"/>
        <v>0</v>
      </c>
      <c r="AO494" s="547"/>
      <c r="AP494" s="4930">
        <f t="shared" si="405"/>
        <v>161.73000000000002</v>
      </c>
      <c r="AQ494" s="146"/>
      <c r="AR494" s="1031"/>
      <c r="AS494" s="547"/>
      <c r="AT494" s="4930">
        <f t="shared" si="402"/>
        <v>161.73000000000002</v>
      </c>
      <c r="AU494" s="146"/>
      <c r="AV494" s="1031"/>
      <c r="AW494" s="547"/>
      <c r="AX494" s="4930">
        <f t="shared" si="403"/>
        <v>161.73000000000002</v>
      </c>
      <c r="AY494" s="146"/>
      <c r="AZ494" s="1031"/>
      <c r="BA494" s="873"/>
      <c r="BB494" s="717">
        <f t="shared" si="395"/>
        <v>0</v>
      </c>
      <c r="BC494" s="2094"/>
      <c r="BD494" s="429">
        <f t="shared" si="387"/>
        <v>0</v>
      </c>
      <c r="BE494" s="547"/>
      <c r="BF494" s="718">
        <f t="shared" si="388"/>
        <v>161.73000000000002</v>
      </c>
    </row>
    <row r="495" spans="1:58" ht="15" hidden="1" customHeight="1" x14ac:dyDescent="0.3">
      <c r="A495" s="88"/>
      <c r="B495" s="8" t="s">
        <v>1879</v>
      </c>
      <c r="C495" s="146" t="s">
        <v>50</v>
      </c>
      <c r="D495" s="146"/>
      <c r="E495" s="146"/>
      <c r="F495" s="1031"/>
      <c r="G495" s="146"/>
      <c r="H495" s="1031"/>
      <c r="I495" s="547"/>
      <c r="J495" s="4930">
        <f t="shared" si="396"/>
        <v>0</v>
      </c>
      <c r="K495" s="146"/>
      <c r="L495" s="1031"/>
      <c r="M495" s="873"/>
      <c r="N495" s="4931">
        <f t="shared" si="397"/>
        <v>0</v>
      </c>
      <c r="O495" s="146"/>
      <c r="P495" s="1031"/>
      <c r="Q495" s="547"/>
      <c r="R495" s="4930">
        <f t="shared" si="398"/>
        <v>0</v>
      </c>
      <c r="S495" s="146"/>
      <c r="T495" s="1031"/>
      <c r="U495" s="547"/>
      <c r="V495" s="4930">
        <f t="shared" si="399"/>
        <v>0</v>
      </c>
      <c r="W495" s="146"/>
      <c r="X495" s="1031"/>
      <c r="Y495" s="873"/>
      <c r="Z495" s="873">
        <f t="shared" si="390"/>
        <v>0</v>
      </c>
      <c r="AA495" s="2094"/>
      <c r="AB495" s="5069">
        <f t="shared" si="404"/>
        <v>0</v>
      </c>
      <c r="AC495" s="146"/>
      <c r="AD495" s="1031"/>
      <c r="AE495" s="547"/>
      <c r="AF495" s="4930">
        <f t="shared" si="400"/>
        <v>0</v>
      </c>
      <c r="AG495" s="146"/>
      <c r="AH495" s="1031"/>
      <c r="AI495" s="547"/>
      <c r="AJ495" s="4930">
        <f t="shared" si="401"/>
        <v>0</v>
      </c>
      <c r="AK495" s="146"/>
      <c r="AL495" s="1031"/>
      <c r="AM495" s="873"/>
      <c r="AN495" s="717">
        <f t="shared" si="393"/>
        <v>0</v>
      </c>
      <c r="AO495" s="547"/>
      <c r="AP495" s="4930">
        <f t="shared" si="405"/>
        <v>0</v>
      </c>
      <c r="AQ495" s="146"/>
      <c r="AR495" s="1031"/>
      <c r="AS495" s="547"/>
      <c r="AT495" s="4930">
        <f t="shared" si="402"/>
        <v>0</v>
      </c>
      <c r="AU495" s="146"/>
      <c r="AV495" s="1031"/>
      <c r="AW495" s="547"/>
      <c r="AX495" s="4930">
        <f t="shared" si="403"/>
        <v>0</v>
      </c>
      <c r="AY495" s="146"/>
      <c r="AZ495" s="1031"/>
      <c r="BA495" s="873"/>
      <c r="BB495" s="717">
        <f t="shared" si="395"/>
        <v>0</v>
      </c>
      <c r="BC495" s="2094"/>
      <c r="BD495" s="429">
        <f t="shared" si="387"/>
        <v>0</v>
      </c>
      <c r="BE495" s="547"/>
      <c r="BF495" s="718">
        <f t="shared" si="388"/>
        <v>0</v>
      </c>
    </row>
    <row r="496" spans="1:58" ht="15" hidden="1" customHeight="1" x14ac:dyDescent="0.3">
      <c r="A496" s="88"/>
      <c r="B496" s="4046" t="s">
        <v>1924</v>
      </c>
      <c r="C496" s="4042" t="s">
        <v>50</v>
      </c>
      <c r="D496" s="4042"/>
      <c r="E496" s="4042"/>
      <c r="F496" s="4047"/>
      <c r="G496" s="4042"/>
      <c r="H496" s="4047"/>
      <c r="I496" s="4705"/>
      <c r="J496" s="4930">
        <f t="shared" si="396"/>
        <v>0</v>
      </c>
      <c r="K496" s="4042"/>
      <c r="L496" s="4047"/>
      <c r="M496" s="4704"/>
      <c r="N496" s="4931">
        <f t="shared" si="397"/>
        <v>0</v>
      </c>
      <c r="O496" s="4042"/>
      <c r="P496" s="4047"/>
      <c r="Q496" s="4705"/>
      <c r="R496" s="4930">
        <f t="shared" si="398"/>
        <v>0</v>
      </c>
      <c r="S496" s="4042"/>
      <c r="T496" s="4047"/>
      <c r="U496" s="4705"/>
      <c r="V496" s="4930">
        <f t="shared" si="399"/>
        <v>0</v>
      </c>
      <c r="W496" s="4042"/>
      <c r="X496" s="4047"/>
      <c r="Y496" s="4704"/>
      <c r="Z496" s="4704">
        <f t="shared" si="390"/>
        <v>0</v>
      </c>
      <c r="AA496" s="4760"/>
      <c r="AB496" s="5069">
        <f t="shared" si="404"/>
        <v>0</v>
      </c>
      <c r="AC496" s="4042"/>
      <c r="AD496" s="4047"/>
      <c r="AE496" s="4705"/>
      <c r="AF496" s="4930">
        <f t="shared" si="400"/>
        <v>0</v>
      </c>
      <c r="AG496" s="4042"/>
      <c r="AH496" s="4047"/>
      <c r="AI496" s="4705"/>
      <c r="AJ496" s="4930">
        <f t="shared" si="401"/>
        <v>0</v>
      </c>
      <c r="AK496" s="4042"/>
      <c r="AL496" s="4047"/>
      <c r="AM496" s="4704"/>
      <c r="AN496" s="717">
        <f t="shared" si="393"/>
        <v>0</v>
      </c>
      <c r="AO496" s="4705"/>
      <c r="AP496" s="4930">
        <f t="shared" si="405"/>
        <v>0</v>
      </c>
      <c r="AQ496" s="4042"/>
      <c r="AR496" s="4047"/>
      <c r="AS496" s="4705"/>
      <c r="AT496" s="4930">
        <f t="shared" si="402"/>
        <v>0</v>
      </c>
      <c r="AU496" s="4042"/>
      <c r="AV496" s="4047"/>
      <c r="AW496" s="4705"/>
      <c r="AX496" s="4930">
        <f t="shared" si="403"/>
        <v>0</v>
      </c>
      <c r="AY496" s="4042"/>
      <c r="AZ496" s="4047"/>
      <c r="BA496" s="4704"/>
      <c r="BB496" s="717">
        <f t="shared" si="395"/>
        <v>0</v>
      </c>
      <c r="BC496" s="4760"/>
      <c r="BD496" s="429">
        <f t="shared" si="387"/>
        <v>0</v>
      </c>
      <c r="BE496" s="4705"/>
      <c r="BF496" s="718">
        <f t="shared" si="388"/>
        <v>0</v>
      </c>
    </row>
    <row r="497" spans="1:58" x14ac:dyDescent="0.3">
      <c r="A497" s="88"/>
      <c r="B497" s="8" t="s">
        <v>1886</v>
      </c>
      <c r="C497" s="2260" t="s">
        <v>50</v>
      </c>
      <c r="D497" s="2260"/>
      <c r="E497" s="2260"/>
      <c r="F497" s="2250">
        <v>31.65</v>
      </c>
      <c r="G497" s="2260"/>
      <c r="H497" s="2250"/>
      <c r="I497" s="5541"/>
      <c r="J497" s="4930">
        <f t="shared" si="396"/>
        <v>31.65</v>
      </c>
      <c r="K497" s="2260"/>
      <c r="L497" s="2250"/>
      <c r="M497" s="5531"/>
      <c r="N497" s="4931">
        <f t="shared" si="397"/>
        <v>31.65</v>
      </c>
      <c r="O497" s="2260"/>
      <c r="P497" s="2250"/>
      <c r="Q497" s="5541"/>
      <c r="R497" s="4930">
        <f t="shared" si="398"/>
        <v>31.65</v>
      </c>
      <c r="S497" s="2260"/>
      <c r="T497" s="2250"/>
      <c r="U497" s="5541"/>
      <c r="V497" s="4930">
        <f t="shared" si="399"/>
        <v>31.65</v>
      </c>
      <c r="W497" s="2260"/>
      <c r="X497" s="2250"/>
      <c r="Y497" s="5531"/>
      <c r="Z497" s="5531">
        <f t="shared" si="390"/>
        <v>0</v>
      </c>
      <c r="AA497" s="5536"/>
      <c r="AB497" s="5069">
        <f t="shared" si="404"/>
        <v>31.65</v>
      </c>
      <c r="AC497" s="2260"/>
      <c r="AD497" s="2250"/>
      <c r="AE497" s="5541"/>
      <c r="AF497" s="4930">
        <f t="shared" si="400"/>
        <v>31.65</v>
      </c>
      <c r="AG497" s="2260"/>
      <c r="AH497" s="2250"/>
      <c r="AI497" s="5541"/>
      <c r="AJ497" s="4930">
        <f t="shared" si="401"/>
        <v>31.65</v>
      </c>
      <c r="AK497" s="2260"/>
      <c r="AL497" s="2250"/>
      <c r="AM497" s="5531"/>
      <c r="AN497" s="717">
        <f t="shared" si="393"/>
        <v>0</v>
      </c>
      <c r="AO497" s="5541"/>
      <c r="AP497" s="4930">
        <f t="shared" si="405"/>
        <v>31.65</v>
      </c>
      <c r="AQ497" s="2260"/>
      <c r="AR497" s="2250"/>
      <c r="AS497" s="5541"/>
      <c r="AT497" s="4930">
        <f t="shared" si="402"/>
        <v>31.65</v>
      </c>
      <c r="AU497" s="2260"/>
      <c r="AV497" s="2250"/>
      <c r="AW497" s="5541"/>
      <c r="AX497" s="4930">
        <f t="shared" si="403"/>
        <v>31.65</v>
      </c>
      <c r="AY497" s="2260"/>
      <c r="AZ497" s="2250"/>
      <c r="BA497" s="5531"/>
      <c r="BB497" s="717">
        <f t="shared" si="395"/>
        <v>0</v>
      </c>
      <c r="BC497" s="5536"/>
      <c r="BD497" s="429">
        <f t="shared" si="387"/>
        <v>0</v>
      </c>
      <c r="BE497" s="5541"/>
      <c r="BF497" s="718">
        <f t="shared" si="388"/>
        <v>31.65</v>
      </c>
    </row>
    <row r="498" spans="1:58" x14ac:dyDescent="0.3">
      <c r="A498" s="88"/>
      <c r="B498" s="8" t="s">
        <v>1887</v>
      </c>
      <c r="C498" s="2260" t="s">
        <v>50</v>
      </c>
      <c r="D498" s="2260"/>
      <c r="E498" s="2260"/>
      <c r="F498" s="2250">
        <v>7387.3400000000047</v>
      </c>
      <c r="G498" s="2260"/>
      <c r="H498" s="2250">
        <v>12170.230000000001</v>
      </c>
      <c r="I498" s="5541"/>
      <c r="J498" s="4930">
        <f t="shared" si="396"/>
        <v>19557.570000000007</v>
      </c>
      <c r="K498" s="2260"/>
      <c r="L498" s="2250"/>
      <c r="M498" s="5531"/>
      <c r="N498" s="4931">
        <f t="shared" si="397"/>
        <v>19557.570000000007</v>
      </c>
      <c r="O498" s="2260"/>
      <c r="P498" s="2250"/>
      <c r="Q498" s="5541"/>
      <c r="R498" s="4930">
        <f t="shared" si="398"/>
        <v>19557.570000000007</v>
      </c>
      <c r="S498" s="2260"/>
      <c r="T498" s="2250"/>
      <c r="U498" s="5541"/>
      <c r="V498" s="4930">
        <f t="shared" si="399"/>
        <v>19557.570000000007</v>
      </c>
      <c r="W498" s="2260"/>
      <c r="X498" s="2250"/>
      <c r="Y498" s="5531"/>
      <c r="Z498" s="5531">
        <f t="shared" si="390"/>
        <v>0</v>
      </c>
      <c r="AA498" s="5536"/>
      <c r="AB498" s="5069">
        <f t="shared" si="404"/>
        <v>19557.570000000007</v>
      </c>
      <c r="AC498" s="2260"/>
      <c r="AD498" s="2250"/>
      <c r="AE498" s="5541"/>
      <c r="AF498" s="4930">
        <f t="shared" si="400"/>
        <v>19557.570000000007</v>
      </c>
      <c r="AG498" s="2260"/>
      <c r="AH498" s="2250"/>
      <c r="AI498" s="5541"/>
      <c r="AJ498" s="4930">
        <f t="shared" si="401"/>
        <v>19557.570000000007</v>
      </c>
      <c r="AK498" s="2260"/>
      <c r="AL498" s="2250"/>
      <c r="AM498" s="5531"/>
      <c r="AN498" s="717">
        <f t="shared" si="393"/>
        <v>0</v>
      </c>
      <c r="AO498" s="5541"/>
      <c r="AP498" s="4930">
        <f t="shared" si="405"/>
        <v>19557.570000000007</v>
      </c>
      <c r="AQ498" s="2260"/>
      <c r="AR498" s="2250"/>
      <c r="AS498" s="5541"/>
      <c r="AT498" s="4930">
        <f t="shared" si="402"/>
        <v>19557.570000000007</v>
      </c>
      <c r="AU498" s="2260"/>
      <c r="AV498" s="2250"/>
      <c r="AW498" s="5541"/>
      <c r="AX498" s="4930">
        <f t="shared" si="403"/>
        <v>19557.570000000007</v>
      </c>
      <c r="AY498" s="2260"/>
      <c r="AZ498" s="2250"/>
      <c r="BA498" s="5531"/>
      <c r="BB498" s="717">
        <f t="shared" si="395"/>
        <v>0</v>
      </c>
      <c r="BC498" s="5536"/>
      <c r="BD498" s="429">
        <f t="shared" si="387"/>
        <v>0</v>
      </c>
      <c r="BE498" s="5541"/>
      <c r="BF498" s="718">
        <f t="shared" si="388"/>
        <v>19557.570000000007</v>
      </c>
    </row>
    <row r="499" spans="1:58" x14ac:dyDescent="0.3">
      <c r="A499" s="88"/>
      <c r="B499" s="8" t="s">
        <v>1480</v>
      </c>
      <c r="C499" s="146" t="s">
        <v>50</v>
      </c>
      <c r="D499" s="146"/>
      <c r="E499" s="146"/>
      <c r="F499" s="1031"/>
      <c r="G499" s="146"/>
      <c r="H499" s="1031">
        <v>78.13</v>
      </c>
      <c r="I499" s="547"/>
      <c r="J499" s="4930">
        <f t="shared" si="396"/>
        <v>78.13</v>
      </c>
      <c r="K499" s="146"/>
      <c r="L499" s="1031"/>
      <c r="M499" s="873"/>
      <c r="N499" s="4931">
        <f t="shared" si="397"/>
        <v>78.13</v>
      </c>
      <c r="O499" s="146"/>
      <c r="P499" s="1031"/>
      <c r="Q499" s="547"/>
      <c r="R499" s="4930">
        <f t="shared" si="398"/>
        <v>78.13</v>
      </c>
      <c r="S499" s="146"/>
      <c r="T499" s="1031"/>
      <c r="U499" s="547"/>
      <c r="V499" s="4930">
        <f t="shared" si="399"/>
        <v>78.13</v>
      </c>
      <c r="W499" s="146"/>
      <c r="X499" s="1031"/>
      <c r="Y499" s="873"/>
      <c r="Z499" s="873">
        <f t="shared" si="390"/>
        <v>0</v>
      </c>
      <c r="AA499" s="2094"/>
      <c r="AB499" s="5069">
        <f t="shared" si="404"/>
        <v>78.13</v>
      </c>
      <c r="AC499" s="146"/>
      <c r="AD499" s="1031"/>
      <c r="AE499" s="547"/>
      <c r="AF499" s="4930">
        <f t="shared" si="400"/>
        <v>78.13</v>
      </c>
      <c r="AG499" s="146"/>
      <c r="AH499" s="1031"/>
      <c r="AI499" s="547"/>
      <c r="AJ499" s="4930">
        <f t="shared" si="401"/>
        <v>78.13</v>
      </c>
      <c r="AK499" s="146"/>
      <c r="AL499" s="1031"/>
      <c r="AM499" s="873"/>
      <c r="AN499" s="717">
        <f t="shared" si="393"/>
        <v>0</v>
      </c>
      <c r="AO499" s="547"/>
      <c r="AP499" s="4930">
        <f t="shared" si="405"/>
        <v>78.13</v>
      </c>
      <c r="AQ499" s="146"/>
      <c r="AR499" s="1031"/>
      <c r="AS499" s="547"/>
      <c r="AT499" s="4930">
        <f t="shared" si="402"/>
        <v>78.13</v>
      </c>
      <c r="AU499" s="146"/>
      <c r="AV499" s="1031"/>
      <c r="AW499" s="547"/>
      <c r="AX499" s="4930">
        <f t="shared" si="403"/>
        <v>78.13</v>
      </c>
      <c r="AY499" s="146"/>
      <c r="AZ499" s="1031"/>
      <c r="BA499" s="873"/>
      <c r="BB499" s="717">
        <f t="shared" si="395"/>
        <v>0</v>
      </c>
      <c r="BC499" s="2094"/>
      <c r="BD499" s="429">
        <f t="shared" si="387"/>
        <v>0</v>
      </c>
      <c r="BE499" s="547"/>
      <c r="BF499" s="718">
        <f t="shared" si="388"/>
        <v>78.13</v>
      </c>
    </row>
    <row r="500" spans="1:58" ht="15" hidden="1" customHeight="1" x14ac:dyDescent="0.3">
      <c r="A500" s="88"/>
      <c r="B500" s="8" t="s">
        <v>1888</v>
      </c>
      <c r="C500" s="146" t="s">
        <v>50</v>
      </c>
      <c r="D500" s="146"/>
      <c r="E500" s="146"/>
      <c r="F500" s="1031"/>
      <c r="G500" s="146"/>
      <c r="H500" s="1031"/>
      <c r="I500" s="547"/>
      <c r="J500" s="4930">
        <f t="shared" si="396"/>
        <v>0</v>
      </c>
      <c r="K500" s="146"/>
      <c r="L500" s="1031"/>
      <c r="M500" s="873"/>
      <c r="N500" s="4931">
        <f t="shared" si="397"/>
        <v>0</v>
      </c>
      <c r="O500" s="146"/>
      <c r="P500" s="1031"/>
      <c r="Q500" s="547"/>
      <c r="R500" s="4930">
        <f t="shared" si="398"/>
        <v>0</v>
      </c>
      <c r="S500" s="146"/>
      <c r="T500" s="1031"/>
      <c r="U500" s="547"/>
      <c r="V500" s="4930">
        <f t="shared" si="399"/>
        <v>0</v>
      </c>
      <c r="W500" s="146"/>
      <c r="X500" s="1031"/>
      <c r="Y500" s="873"/>
      <c r="Z500" s="873">
        <f t="shared" si="390"/>
        <v>0</v>
      </c>
      <c r="AA500" s="2094"/>
      <c r="AB500" s="5069">
        <f t="shared" si="404"/>
        <v>0</v>
      </c>
      <c r="AC500" s="146"/>
      <c r="AD500" s="1031"/>
      <c r="AE500" s="547"/>
      <c r="AF500" s="4930">
        <f t="shared" si="400"/>
        <v>0</v>
      </c>
      <c r="AG500" s="146"/>
      <c r="AH500" s="1031"/>
      <c r="AI500" s="547"/>
      <c r="AJ500" s="4930">
        <f t="shared" si="401"/>
        <v>0</v>
      </c>
      <c r="AK500" s="146"/>
      <c r="AL500" s="1031"/>
      <c r="AM500" s="873"/>
      <c r="AN500" s="717">
        <f t="shared" si="393"/>
        <v>0</v>
      </c>
      <c r="AO500" s="547"/>
      <c r="AP500" s="4930">
        <f t="shared" si="405"/>
        <v>0</v>
      </c>
      <c r="AQ500" s="146"/>
      <c r="AR500" s="1031"/>
      <c r="AS500" s="547"/>
      <c r="AT500" s="4930">
        <f t="shared" si="402"/>
        <v>0</v>
      </c>
      <c r="AU500" s="146"/>
      <c r="AV500" s="1031"/>
      <c r="AW500" s="547"/>
      <c r="AX500" s="4930">
        <f t="shared" si="403"/>
        <v>0</v>
      </c>
      <c r="AY500" s="146"/>
      <c r="AZ500" s="1031"/>
      <c r="BA500" s="873"/>
      <c r="BB500" s="717">
        <f t="shared" si="395"/>
        <v>0</v>
      </c>
      <c r="BC500" s="2094"/>
      <c r="BD500" s="429">
        <f t="shared" si="387"/>
        <v>0</v>
      </c>
      <c r="BE500" s="547"/>
      <c r="BF500" s="718">
        <f t="shared" si="388"/>
        <v>0</v>
      </c>
    </row>
    <row r="501" spans="1:58" ht="15" hidden="1" customHeight="1" x14ac:dyDescent="0.3">
      <c r="A501" s="88"/>
      <c r="B501" s="8" t="s">
        <v>679</v>
      </c>
      <c r="C501" s="146" t="s">
        <v>50</v>
      </c>
      <c r="D501" s="146"/>
      <c r="E501" s="146"/>
      <c r="F501" s="1031"/>
      <c r="G501" s="146"/>
      <c r="H501" s="1031"/>
      <c r="I501" s="547"/>
      <c r="J501" s="4930">
        <f t="shared" si="396"/>
        <v>0</v>
      </c>
      <c r="K501" s="146"/>
      <c r="L501" s="1031"/>
      <c r="M501" s="873"/>
      <c r="N501" s="4931">
        <f t="shared" si="397"/>
        <v>0</v>
      </c>
      <c r="O501" s="146"/>
      <c r="P501" s="1031"/>
      <c r="Q501" s="547"/>
      <c r="R501" s="4930">
        <f t="shared" si="398"/>
        <v>0</v>
      </c>
      <c r="S501" s="146"/>
      <c r="T501" s="1031"/>
      <c r="U501" s="547"/>
      <c r="V501" s="4930">
        <f t="shared" si="399"/>
        <v>0</v>
      </c>
      <c r="W501" s="146"/>
      <c r="X501" s="1031"/>
      <c r="Y501" s="873"/>
      <c r="Z501" s="873">
        <f t="shared" si="390"/>
        <v>0</v>
      </c>
      <c r="AA501" s="2094"/>
      <c r="AB501" s="5069">
        <f t="shared" si="404"/>
        <v>0</v>
      </c>
      <c r="AC501" s="146"/>
      <c r="AD501" s="1031"/>
      <c r="AE501" s="547"/>
      <c r="AF501" s="4930">
        <f t="shared" si="400"/>
        <v>0</v>
      </c>
      <c r="AG501" s="146"/>
      <c r="AH501" s="1031"/>
      <c r="AI501" s="547"/>
      <c r="AJ501" s="4930">
        <f t="shared" si="401"/>
        <v>0</v>
      </c>
      <c r="AK501" s="146"/>
      <c r="AL501" s="1031"/>
      <c r="AM501" s="873"/>
      <c r="AN501" s="717">
        <f t="shared" si="393"/>
        <v>0</v>
      </c>
      <c r="AO501" s="547"/>
      <c r="AP501" s="4930">
        <f t="shared" si="405"/>
        <v>0</v>
      </c>
      <c r="AQ501" s="146"/>
      <c r="AR501" s="1031"/>
      <c r="AS501" s="547"/>
      <c r="AT501" s="4930">
        <f t="shared" si="402"/>
        <v>0</v>
      </c>
      <c r="AU501" s="146"/>
      <c r="AV501" s="1031"/>
      <c r="AW501" s="547"/>
      <c r="AX501" s="4930">
        <f t="shared" si="403"/>
        <v>0</v>
      </c>
      <c r="AY501" s="146"/>
      <c r="AZ501" s="1031"/>
      <c r="BA501" s="873"/>
      <c r="BB501" s="717">
        <f t="shared" si="395"/>
        <v>0</v>
      </c>
      <c r="BC501" s="2094"/>
      <c r="BD501" s="429">
        <f t="shared" si="387"/>
        <v>0</v>
      </c>
      <c r="BE501" s="547"/>
      <c r="BF501" s="718">
        <f t="shared" si="388"/>
        <v>0</v>
      </c>
    </row>
    <row r="502" spans="1:58" x14ac:dyDescent="0.3">
      <c r="A502" s="88"/>
      <c r="B502" s="5478" t="s">
        <v>515</v>
      </c>
      <c r="C502" s="192" t="s">
        <v>50</v>
      </c>
      <c r="D502" s="421">
        <f>+D48</f>
        <v>349999.98851223482</v>
      </c>
      <c r="E502" s="421">
        <f>+E48</f>
        <v>20999.683707758697</v>
      </c>
      <c r="F502" s="421">
        <f>+F468+F470+F471+F472+F473</f>
        <v>29964.870000000006</v>
      </c>
      <c r="G502" s="421">
        <f>+G48</f>
        <v>0.35686330405587796</v>
      </c>
      <c r="H502" s="421">
        <f>+H468+H470+H471+H472+H473</f>
        <v>22035.900000000005</v>
      </c>
      <c r="I502" s="344">
        <f>+G502+E502</f>
        <v>21000.040571062753</v>
      </c>
      <c r="J502" s="4930">
        <f t="shared" si="396"/>
        <v>52000.770000000011</v>
      </c>
      <c r="K502" s="421">
        <f>+K48</f>
        <v>48000.110883115201</v>
      </c>
      <c r="L502" s="421">
        <f>+L468+L470+L471+L472+L473</f>
        <v>5738.21</v>
      </c>
      <c r="M502" s="346">
        <f>+K502+I502</f>
        <v>69000.151454177947</v>
      </c>
      <c r="N502" s="4931">
        <f t="shared" si="397"/>
        <v>57738.98000000001</v>
      </c>
      <c r="O502" s="421">
        <f>+O48</f>
        <v>43500.141355320899</v>
      </c>
      <c r="P502" s="421">
        <f>+P468+P470+P471+P472+P473</f>
        <v>3402.26</v>
      </c>
      <c r="Q502" s="344">
        <f>+O502+M502</f>
        <v>112500.29280949885</v>
      </c>
      <c r="R502" s="4930">
        <f t="shared" si="398"/>
        <v>61141.240000000013</v>
      </c>
      <c r="S502" s="421">
        <f>+S48</f>
        <v>43500.141355320899</v>
      </c>
      <c r="T502" s="421">
        <f>+T468+T470+T471+T472+T473</f>
        <v>3769.97</v>
      </c>
      <c r="U502" s="344">
        <f>+S502+Q502</f>
        <v>156000.43416481974</v>
      </c>
      <c r="V502" s="4930">
        <f t="shared" si="399"/>
        <v>64911.210000000014</v>
      </c>
      <c r="W502" s="421">
        <f>+W48</f>
        <v>15300.0147648532</v>
      </c>
      <c r="X502" s="421">
        <f>+X468+X470+X471+X472+X473</f>
        <v>3271.59</v>
      </c>
      <c r="Y502" s="346">
        <f t="shared" ref="Y502" si="406">O502+S502+W502</f>
        <v>102300.297475495</v>
      </c>
      <c r="Z502" s="346">
        <f t="shared" si="390"/>
        <v>10443.82</v>
      </c>
      <c r="AA502" s="502">
        <f>+Y502+M502</f>
        <v>171300.44892967294</v>
      </c>
      <c r="AB502" s="5069">
        <f t="shared" si="404"/>
        <v>68182.800000000017</v>
      </c>
      <c r="AC502" s="421">
        <f>+AC48</f>
        <v>48999.528159756301</v>
      </c>
      <c r="AD502" s="421">
        <f>+AD468+AD470+AD471+AD472+AD473</f>
        <v>3217.8199999999997</v>
      </c>
      <c r="AE502" s="344">
        <f>+AC502+AA502</f>
        <v>220299.97708942925</v>
      </c>
      <c r="AF502" s="4930">
        <f t="shared" si="400"/>
        <v>71400.620000000024</v>
      </c>
      <c r="AG502" s="421">
        <f>+AG48</f>
        <v>45499.588455674595</v>
      </c>
      <c r="AH502" s="421">
        <f>+AH468+AH470+AH471+AH472+AH473</f>
        <v>0</v>
      </c>
      <c r="AI502" s="344">
        <f>+AG502+AE502</f>
        <v>265799.56554510386</v>
      </c>
      <c r="AJ502" s="4930">
        <f t="shared" si="401"/>
        <v>71400.620000000024</v>
      </c>
      <c r="AK502" s="421">
        <f>+AK48</f>
        <v>46000.054244216401</v>
      </c>
      <c r="AL502" s="421">
        <f>+AL468+AL470+AL471+AL472+AL473</f>
        <v>2256.63</v>
      </c>
      <c r="AM502" s="346">
        <f t="shared" ref="AM502" si="407">AC502+AG502+AK502</f>
        <v>140499.17085964727</v>
      </c>
      <c r="AN502" s="717">
        <f t="shared" si="393"/>
        <v>5474.45</v>
      </c>
      <c r="AO502" s="344">
        <f>+AI502+AK502</f>
        <v>311799.61978932028</v>
      </c>
      <c r="AP502" s="4930">
        <f t="shared" si="405"/>
        <v>73657.250000000029</v>
      </c>
      <c r="AQ502" s="421">
        <f>+AQ48</f>
        <v>48499.664678463945</v>
      </c>
      <c r="AR502" s="421">
        <f>+AR468+AR470+AR471+AR472+AR473</f>
        <v>4277.21</v>
      </c>
      <c r="AS502" s="344">
        <f>+AQ502+AO502</f>
        <v>360299.28446778422</v>
      </c>
      <c r="AT502" s="4930">
        <f t="shared" si="402"/>
        <v>77934.460000000036</v>
      </c>
      <c r="AU502" s="421">
        <f>+AU48</f>
        <v>41500.010429203743</v>
      </c>
      <c r="AV502" s="421">
        <f>+AV468+AV470+AV471+AV472+AV473</f>
        <v>3140.78</v>
      </c>
      <c r="AW502" s="344">
        <f>+AU502+AS502</f>
        <v>401799.29489698797</v>
      </c>
      <c r="AX502" s="4930">
        <f t="shared" si="403"/>
        <v>81075.240000000034</v>
      </c>
      <c r="AY502" s="421">
        <f>+AY48</f>
        <v>46999.690762923987</v>
      </c>
      <c r="AZ502" s="421">
        <f>+AZ468+AZ470+AZ471+AZ472+AZ473</f>
        <v>1971.02</v>
      </c>
      <c r="BA502" s="346">
        <f t="shared" ref="BA502" si="408">AQ502+AU502+AY502</f>
        <v>136999.36587059166</v>
      </c>
      <c r="BB502" s="717">
        <f t="shared" si="395"/>
        <v>9389.01</v>
      </c>
      <c r="BC502" s="502">
        <f>+BA502+AM502</f>
        <v>277498.53673023893</v>
      </c>
      <c r="BD502" s="429">
        <f t="shared" si="387"/>
        <v>14863.46</v>
      </c>
      <c r="BE502" s="344">
        <f>+BC502+AA502</f>
        <v>448798.98565991188</v>
      </c>
      <c r="BF502" s="718">
        <f t="shared" si="388"/>
        <v>83046.260000000009</v>
      </c>
    </row>
    <row r="503" spans="1:58" ht="20.25" customHeight="1" x14ac:dyDescent="0.3">
      <c r="A503" s="88"/>
      <c r="B503" s="5485" t="s">
        <v>514</v>
      </c>
      <c r="C503" s="5075"/>
      <c r="D503" s="3122"/>
      <c r="E503" s="3125"/>
      <c r="F503" s="3122"/>
      <c r="G503" s="3125"/>
      <c r="H503" s="3122"/>
      <c r="I503" s="5066"/>
      <c r="J503" s="4930"/>
      <c r="K503" s="3125"/>
      <c r="L503" s="3122"/>
      <c r="M503" s="5627"/>
      <c r="N503" s="4931"/>
      <c r="O503" s="3125"/>
      <c r="P503" s="3122"/>
      <c r="Q503" s="5066"/>
      <c r="R503" s="4930"/>
      <c r="S503" s="3125"/>
      <c r="T503" s="3122"/>
      <c r="U503" s="5066"/>
      <c r="V503" s="4930"/>
      <c r="W503" s="3125"/>
      <c r="X503" s="3122"/>
      <c r="Y503" s="5627"/>
      <c r="Z503" s="5627"/>
      <c r="AA503" s="5637"/>
      <c r="AB503" s="5069"/>
      <c r="AC503" s="3125"/>
      <c r="AD503" s="3122"/>
      <c r="AE503" s="5066"/>
      <c r="AF503" s="4930"/>
      <c r="AG503" s="3125"/>
      <c r="AH503" s="3122"/>
      <c r="AI503" s="5066"/>
      <c r="AJ503" s="4930"/>
      <c r="AK503" s="3125"/>
      <c r="AL503" s="3122"/>
      <c r="AM503" s="5627"/>
      <c r="AN503" s="4931"/>
      <c r="AO503" s="5066"/>
      <c r="AP503" s="4930"/>
      <c r="AQ503" s="3125"/>
      <c r="AR503" s="3122"/>
      <c r="AS503" s="5066"/>
      <c r="AT503" s="4930"/>
      <c r="AU503" s="3125"/>
      <c r="AV503" s="3122"/>
      <c r="AW503" s="5066"/>
      <c r="AX503" s="4930"/>
      <c r="AY503" s="3125"/>
      <c r="AZ503" s="3122"/>
      <c r="BA503" s="5627"/>
      <c r="BB503" s="4931"/>
      <c r="BC503" s="5637"/>
      <c r="BD503" s="429"/>
      <c r="BE503" s="5066"/>
      <c r="BF503" s="718"/>
    </row>
    <row r="504" spans="1:58" ht="20.25" customHeight="1" x14ac:dyDescent="0.3">
      <c r="A504" s="88"/>
      <c r="B504" s="5481" t="s">
        <v>2294</v>
      </c>
      <c r="C504" s="5479"/>
      <c r="D504" s="5480"/>
      <c r="E504" s="5554"/>
      <c r="F504" s="5480"/>
      <c r="G504" s="5554"/>
      <c r="H504" s="5480"/>
      <c r="I504" s="5623"/>
      <c r="J504" s="4930">
        <f t="shared" si="396"/>
        <v>0</v>
      </c>
      <c r="K504" s="5554"/>
      <c r="L504" s="5480"/>
      <c r="M504" s="5485"/>
      <c r="N504" s="4931">
        <f t="shared" si="397"/>
        <v>0</v>
      </c>
      <c r="O504" s="5554"/>
      <c r="P504" s="5480"/>
      <c r="Q504" s="5623"/>
      <c r="R504" s="4930">
        <f t="shared" si="398"/>
        <v>0</v>
      </c>
      <c r="S504" s="5554"/>
      <c r="T504" s="5480"/>
      <c r="U504" s="5623"/>
      <c r="V504" s="4930">
        <f t="shared" si="399"/>
        <v>0</v>
      </c>
      <c r="W504" s="5554"/>
      <c r="X504" s="5480"/>
      <c r="Y504" s="5485"/>
      <c r="Z504" s="5485">
        <f t="shared" si="390"/>
        <v>0</v>
      </c>
      <c r="AA504" s="5643"/>
      <c r="AB504" s="5069">
        <f t="shared" ref="AB504:AB521" si="409">X504+V504</f>
        <v>0</v>
      </c>
      <c r="AC504" s="5554"/>
      <c r="AD504" s="5480"/>
      <c r="AE504" s="5623"/>
      <c r="AF504" s="4930">
        <f t="shared" si="400"/>
        <v>0</v>
      </c>
      <c r="AG504" s="5554"/>
      <c r="AH504" s="5480"/>
      <c r="AI504" s="5623"/>
      <c r="AJ504" s="4930">
        <f t="shared" si="401"/>
        <v>0</v>
      </c>
      <c r="AK504" s="5554"/>
      <c r="AL504" s="5480"/>
      <c r="AM504" s="5485"/>
      <c r="AN504" s="717">
        <f t="shared" si="393"/>
        <v>0</v>
      </c>
      <c r="AO504" s="5623"/>
      <c r="AP504" s="4930">
        <f t="shared" ref="AP504:AP521" si="410">AL504+AJ504</f>
        <v>0</v>
      </c>
      <c r="AQ504" s="5554"/>
      <c r="AR504" s="5480"/>
      <c r="AS504" s="5623"/>
      <c r="AT504" s="4930">
        <f t="shared" si="402"/>
        <v>0</v>
      </c>
      <c r="AU504" s="5554"/>
      <c r="AV504" s="5480"/>
      <c r="AW504" s="5623"/>
      <c r="AX504" s="4930">
        <f t="shared" si="403"/>
        <v>0</v>
      </c>
      <c r="AY504" s="5554"/>
      <c r="AZ504" s="5480"/>
      <c r="BA504" s="5485"/>
      <c r="BB504" s="717">
        <f t="shared" si="395"/>
        <v>0</v>
      </c>
      <c r="BC504" s="5643"/>
      <c r="BD504" s="429">
        <f t="shared" si="387"/>
        <v>0</v>
      </c>
      <c r="BE504" s="5623"/>
      <c r="BF504" s="718">
        <f t="shared" si="388"/>
        <v>0</v>
      </c>
    </row>
    <row r="505" spans="1:58" ht="20.25" customHeight="1" x14ac:dyDescent="0.3">
      <c r="A505" s="142"/>
      <c r="B505" s="3201" t="s">
        <v>2295</v>
      </c>
      <c r="C505" s="146"/>
      <c r="D505" s="146"/>
      <c r="E505" s="5555"/>
      <c r="F505" s="421">
        <f>SUM(F506:F510)</f>
        <v>0</v>
      </c>
      <c r="G505" s="5555"/>
      <c r="H505" s="421">
        <f>SUM(H506:H510)</f>
        <v>2989.14</v>
      </c>
      <c r="I505" s="5066"/>
      <c r="J505" s="4930">
        <f t="shared" si="396"/>
        <v>2989.14</v>
      </c>
      <c r="K505" s="5555"/>
      <c r="L505" s="421">
        <f>SUM(L506:L510)</f>
        <v>0</v>
      </c>
      <c r="M505" s="5627"/>
      <c r="N505" s="4931">
        <f t="shared" si="397"/>
        <v>2989.14</v>
      </c>
      <c r="O505" s="5555"/>
      <c r="P505" s="421">
        <f>SUM(P506:P510)</f>
        <v>0</v>
      </c>
      <c r="Q505" s="5066"/>
      <c r="R505" s="4930">
        <f t="shared" si="398"/>
        <v>2989.14</v>
      </c>
      <c r="S505" s="5555"/>
      <c r="T505" s="421">
        <f>SUM(T506:T510)</f>
        <v>0</v>
      </c>
      <c r="U505" s="5066"/>
      <c r="V505" s="4930">
        <f t="shared" si="399"/>
        <v>2989.14</v>
      </c>
      <c r="W505" s="5555"/>
      <c r="X505" s="421">
        <f>SUM(X506:X510)</f>
        <v>0</v>
      </c>
      <c r="Y505" s="5627"/>
      <c r="Z505" s="5627">
        <f t="shared" si="390"/>
        <v>0</v>
      </c>
      <c r="AA505" s="5637"/>
      <c r="AB505" s="5069">
        <f t="shared" si="409"/>
        <v>2989.14</v>
      </c>
      <c r="AC505" s="5555"/>
      <c r="AD505" s="421">
        <f>SUM(AD506:AD510)</f>
        <v>0</v>
      </c>
      <c r="AE505" s="5066"/>
      <c r="AF505" s="4930">
        <f t="shared" si="400"/>
        <v>2989.14</v>
      </c>
      <c r="AG505" s="5555"/>
      <c r="AH505" s="421">
        <f>SUM(AH506:AH510)</f>
        <v>0</v>
      </c>
      <c r="AI505" s="5066"/>
      <c r="AJ505" s="4930">
        <f t="shared" si="401"/>
        <v>2989.14</v>
      </c>
      <c r="AK505" s="5555"/>
      <c r="AL505" s="421">
        <f>SUM(AL506:AL510)</f>
        <v>0</v>
      </c>
      <c r="AM505" s="5627"/>
      <c r="AN505" s="717">
        <f t="shared" si="393"/>
        <v>0</v>
      </c>
      <c r="AO505" s="5066"/>
      <c r="AP505" s="4930">
        <f t="shared" si="410"/>
        <v>2989.14</v>
      </c>
      <c r="AQ505" s="5555"/>
      <c r="AR505" s="421">
        <f>SUM(AR506:AR510)</f>
        <v>0</v>
      </c>
      <c r="AS505" s="5066"/>
      <c r="AT505" s="4930">
        <f t="shared" si="402"/>
        <v>2989.14</v>
      </c>
      <c r="AU505" s="5555"/>
      <c r="AV505" s="421">
        <f>SUM(AV506:AV510)</f>
        <v>0</v>
      </c>
      <c r="AW505" s="5066"/>
      <c r="AX505" s="4930">
        <f t="shared" si="403"/>
        <v>2989.14</v>
      </c>
      <c r="AY505" s="5555"/>
      <c r="AZ505" s="421">
        <f>SUM(AZ506:AZ510)</f>
        <v>0</v>
      </c>
      <c r="BA505" s="5627"/>
      <c r="BB505" s="717">
        <f t="shared" si="395"/>
        <v>0</v>
      </c>
      <c r="BC505" s="5637"/>
      <c r="BD505" s="429">
        <f t="shared" si="387"/>
        <v>0</v>
      </c>
      <c r="BE505" s="5066"/>
      <c r="BF505" s="718">
        <f t="shared" si="388"/>
        <v>2989.14</v>
      </c>
    </row>
    <row r="506" spans="1:58" ht="18.75" customHeight="1" x14ac:dyDescent="0.3">
      <c r="A506" s="142"/>
      <c r="B506" s="3203" t="s">
        <v>1428</v>
      </c>
      <c r="C506" s="146" t="s">
        <v>50</v>
      </c>
      <c r="D506" s="146"/>
      <c r="E506" s="5555"/>
      <c r="F506" s="1031"/>
      <c r="G506" s="5555"/>
      <c r="H506" s="1031"/>
      <c r="I506" s="5066"/>
      <c r="J506" s="4930">
        <f t="shared" si="396"/>
        <v>0</v>
      </c>
      <c r="K506" s="5555"/>
      <c r="L506" s="1031"/>
      <c r="M506" s="5627"/>
      <c r="N506" s="4931">
        <f t="shared" si="397"/>
        <v>0</v>
      </c>
      <c r="O506" s="5555"/>
      <c r="P506" s="1031"/>
      <c r="Q506" s="5066"/>
      <c r="R506" s="4930">
        <f t="shared" si="398"/>
        <v>0</v>
      </c>
      <c r="S506" s="5555"/>
      <c r="T506" s="1031"/>
      <c r="U506" s="5066"/>
      <c r="V506" s="4930">
        <f t="shared" si="399"/>
        <v>0</v>
      </c>
      <c r="W506" s="5555"/>
      <c r="X506" s="1031"/>
      <c r="Y506" s="5627"/>
      <c r="Z506" s="5627">
        <f t="shared" si="390"/>
        <v>0</v>
      </c>
      <c r="AA506" s="5637"/>
      <c r="AB506" s="5069">
        <f t="shared" si="409"/>
        <v>0</v>
      </c>
      <c r="AC506" s="5555"/>
      <c r="AD506" s="1031"/>
      <c r="AE506" s="5066"/>
      <c r="AF506" s="4930">
        <f t="shared" si="400"/>
        <v>0</v>
      </c>
      <c r="AG506" s="5555"/>
      <c r="AH506" s="1031"/>
      <c r="AI506" s="5066"/>
      <c r="AJ506" s="4930">
        <f t="shared" si="401"/>
        <v>0</v>
      </c>
      <c r="AK506" s="5555"/>
      <c r="AL506" s="1031"/>
      <c r="AM506" s="5627"/>
      <c r="AN506" s="717">
        <f t="shared" si="393"/>
        <v>0</v>
      </c>
      <c r="AO506" s="5066"/>
      <c r="AP506" s="4930">
        <f t="shared" si="410"/>
        <v>0</v>
      </c>
      <c r="AQ506" s="5555"/>
      <c r="AR506" s="1031"/>
      <c r="AS506" s="5066"/>
      <c r="AT506" s="4930">
        <f t="shared" si="402"/>
        <v>0</v>
      </c>
      <c r="AU506" s="5555"/>
      <c r="AV506" s="1031"/>
      <c r="AW506" s="5066"/>
      <c r="AX506" s="4930">
        <f t="shared" si="403"/>
        <v>0</v>
      </c>
      <c r="AY506" s="5555"/>
      <c r="AZ506" s="1031"/>
      <c r="BA506" s="5627"/>
      <c r="BB506" s="717">
        <f t="shared" si="395"/>
        <v>0</v>
      </c>
      <c r="BC506" s="5637"/>
      <c r="BD506" s="429">
        <f t="shared" si="387"/>
        <v>0</v>
      </c>
      <c r="BE506" s="5066"/>
      <c r="BF506" s="718">
        <f t="shared" si="388"/>
        <v>0</v>
      </c>
    </row>
    <row r="507" spans="1:58" ht="18.75" customHeight="1" x14ac:dyDescent="0.3">
      <c r="A507" s="142"/>
      <c r="B507" s="4891" t="s">
        <v>2106</v>
      </c>
      <c r="C507" s="4842"/>
      <c r="D507" s="4842"/>
      <c r="E507" s="5556"/>
      <c r="F507" s="4809"/>
      <c r="G507" s="5556"/>
      <c r="H507" s="4809">
        <v>730.62</v>
      </c>
      <c r="I507" s="5624"/>
      <c r="J507" s="4930">
        <f t="shared" si="396"/>
        <v>730.62</v>
      </c>
      <c r="K507" s="5556"/>
      <c r="L507" s="4809"/>
      <c r="M507" s="5634"/>
      <c r="N507" s="4931">
        <f t="shared" si="397"/>
        <v>730.62</v>
      </c>
      <c r="O507" s="5556"/>
      <c r="P507" s="4809"/>
      <c r="Q507" s="5624"/>
      <c r="R507" s="4930">
        <f t="shared" si="398"/>
        <v>730.62</v>
      </c>
      <c r="S507" s="5556"/>
      <c r="T507" s="4809"/>
      <c r="U507" s="5624"/>
      <c r="V507" s="4930">
        <f t="shared" si="399"/>
        <v>730.62</v>
      </c>
      <c r="W507" s="5556"/>
      <c r="X507" s="4809"/>
      <c r="Y507" s="5634"/>
      <c r="Z507" s="5634">
        <f t="shared" si="390"/>
        <v>0</v>
      </c>
      <c r="AA507" s="5644"/>
      <c r="AB507" s="5069">
        <f t="shared" si="409"/>
        <v>730.62</v>
      </c>
      <c r="AC507" s="5556"/>
      <c r="AD507" s="4809"/>
      <c r="AE507" s="5624"/>
      <c r="AF507" s="4930">
        <f t="shared" si="400"/>
        <v>730.62</v>
      </c>
      <c r="AG507" s="5556"/>
      <c r="AH507" s="4809"/>
      <c r="AI507" s="5624"/>
      <c r="AJ507" s="4930">
        <f t="shared" si="401"/>
        <v>730.62</v>
      </c>
      <c r="AK507" s="5556"/>
      <c r="AL507" s="4809"/>
      <c r="AM507" s="5634"/>
      <c r="AN507" s="717">
        <f t="shared" si="393"/>
        <v>0</v>
      </c>
      <c r="AO507" s="5624"/>
      <c r="AP507" s="4930">
        <f t="shared" si="410"/>
        <v>730.62</v>
      </c>
      <c r="AQ507" s="5556"/>
      <c r="AR507" s="4809"/>
      <c r="AS507" s="5624"/>
      <c r="AT507" s="4930">
        <f t="shared" si="402"/>
        <v>730.62</v>
      </c>
      <c r="AU507" s="5556"/>
      <c r="AV507" s="4809"/>
      <c r="AW507" s="5624"/>
      <c r="AX507" s="4930">
        <f t="shared" si="403"/>
        <v>730.62</v>
      </c>
      <c r="AY507" s="5556"/>
      <c r="AZ507" s="4809"/>
      <c r="BA507" s="5634"/>
      <c r="BB507" s="717">
        <f t="shared" si="395"/>
        <v>0</v>
      </c>
      <c r="BC507" s="5644"/>
      <c r="BD507" s="429">
        <f t="shared" si="387"/>
        <v>0</v>
      </c>
      <c r="BE507" s="5624"/>
      <c r="BF507" s="718">
        <f t="shared" si="388"/>
        <v>730.62</v>
      </c>
    </row>
    <row r="508" spans="1:58" ht="18.75" customHeight="1" x14ac:dyDescent="0.3">
      <c r="A508" s="142"/>
      <c r="B508" s="4891" t="s">
        <v>2105</v>
      </c>
      <c r="C508" s="4842"/>
      <c r="D508" s="4842"/>
      <c r="E508" s="5556"/>
      <c r="F508" s="4809"/>
      <c r="G508" s="5556"/>
      <c r="H508" s="4809">
        <v>1432.6</v>
      </c>
      <c r="I508" s="5624"/>
      <c r="J508" s="4930">
        <f t="shared" si="396"/>
        <v>1432.6</v>
      </c>
      <c r="K508" s="5556"/>
      <c r="L508" s="4809"/>
      <c r="M508" s="5634"/>
      <c r="N508" s="4931">
        <f t="shared" si="397"/>
        <v>1432.6</v>
      </c>
      <c r="O508" s="5556"/>
      <c r="P508" s="4809"/>
      <c r="Q508" s="5624"/>
      <c r="R508" s="4930">
        <f t="shared" si="398"/>
        <v>1432.6</v>
      </c>
      <c r="S508" s="5556"/>
      <c r="T508" s="4809"/>
      <c r="U508" s="5624"/>
      <c r="V508" s="4930">
        <f t="shared" si="399"/>
        <v>1432.6</v>
      </c>
      <c r="W508" s="5556"/>
      <c r="X508" s="4809"/>
      <c r="Y508" s="5634"/>
      <c r="Z508" s="5634">
        <f t="shared" si="390"/>
        <v>0</v>
      </c>
      <c r="AA508" s="5644"/>
      <c r="AB508" s="5069">
        <f t="shared" si="409"/>
        <v>1432.6</v>
      </c>
      <c r="AC508" s="5556"/>
      <c r="AD508" s="4809"/>
      <c r="AE508" s="5624"/>
      <c r="AF508" s="4930">
        <f t="shared" si="400"/>
        <v>1432.6</v>
      </c>
      <c r="AG508" s="5556"/>
      <c r="AH508" s="4809"/>
      <c r="AI508" s="5624"/>
      <c r="AJ508" s="4930">
        <f t="shared" si="401"/>
        <v>1432.6</v>
      </c>
      <c r="AK508" s="5556"/>
      <c r="AL508" s="4809"/>
      <c r="AM508" s="5634"/>
      <c r="AN508" s="717">
        <f t="shared" si="393"/>
        <v>0</v>
      </c>
      <c r="AO508" s="5624"/>
      <c r="AP508" s="4930">
        <f t="shared" si="410"/>
        <v>1432.6</v>
      </c>
      <c r="AQ508" s="5556"/>
      <c r="AR508" s="4809"/>
      <c r="AS508" s="5624"/>
      <c r="AT508" s="4930">
        <f t="shared" si="402"/>
        <v>1432.6</v>
      </c>
      <c r="AU508" s="5556"/>
      <c r="AV508" s="4809"/>
      <c r="AW508" s="5624"/>
      <c r="AX508" s="4930">
        <f t="shared" si="403"/>
        <v>1432.6</v>
      </c>
      <c r="AY508" s="5556"/>
      <c r="AZ508" s="4809"/>
      <c r="BA508" s="5634"/>
      <c r="BB508" s="717">
        <f t="shared" si="395"/>
        <v>0</v>
      </c>
      <c r="BC508" s="5644"/>
      <c r="BD508" s="429">
        <f t="shared" si="387"/>
        <v>0</v>
      </c>
      <c r="BE508" s="5624"/>
      <c r="BF508" s="718">
        <f t="shared" si="388"/>
        <v>1432.6</v>
      </c>
    </row>
    <row r="509" spans="1:58" ht="18.75" customHeight="1" x14ac:dyDescent="0.3">
      <c r="A509" s="142"/>
      <c r="B509" s="4891" t="s">
        <v>2287</v>
      </c>
      <c r="C509" s="4932"/>
      <c r="D509" s="4932"/>
      <c r="E509" s="5557"/>
      <c r="F509" s="4928"/>
      <c r="G509" s="5557"/>
      <c r="H509" s="4928">
        <v>825.92</v>
      </c>
      <c r="I509" s="5623"/>
      <c r="J509" s="4930">
        <f t="shared" si="396"/>
        <v>825.92</v>
      </c>
      <c r="K509" s="5557"/>
      <c r="L509" s="4928"/>
      <c r="M509" s="5485"/>
      <c r="N509" s="4931">
        <f t="shared" si="397"/>
        <v>825.92</v>
      </c>
      <c r="O509" s="5557"/>
      <c r="P509" s="4928"/>
      <c r="Q509" s="5623"/>
      <c r="R509" s="4930">
        <f t="shared" si="398"/>
        <v>825.92</v>
      </c>
      <c r="S509" s="5557"/>
      <c r="T509" s="4928"/>
      <c r="U509" s="5623"/>
      <c r="V509" s="4930">
        <f t="shared" si="399"/>
        <v>825.92</v>
      </c>
      <c r="W509" s="5557"/>
      <c r="X509" s="4928"/>
      <c r="Y509" s="5485"/>
      <c r="Z509" s="5485">
        <f t="shared" si="390"/>
        <v>0</v>
      </c>
      <c r="AA509" s="5643"/>
      <c r="AB509" s="5069">
        <f t="shared" si="409"/>
        <v>825.92</v>
      </c>
      <c r="AC509" s="5557"/>
      <c r="AD509" s="4928"/>
      <c r="AE509" s="5623"/>
      <c r="AF509" s="4930">
        <f t="shared" si="400"/>
        <v>825.92</v>
      </c>
      <c r="AG509" s="5557"/>
      <c r="AH509" s="4928"/>
      <c r="AI509" s="5623"/>
      <c r="AJ509" s="4930">
        <f t="shared" si="401"/>
        <v>825.92</v>
      </c>
      <c r="AK509" s="5557"/>
      <c r="AL509" s="4928"/>
      <c r="AM509" s="5485"/>
      <c r="AN509" s="717">
        <f t="shared" si="393"/>
        <v>0</v>
      </c>
      <c r="AO509" s="5623"/>
      <c r="AP509" s="4930">
        <f t="shared" si="410"/>
        <v>825.92</v>
      </c>
      <c r="AQ509" s="5557"/>
      <c r="AR509" s="4928"/>
      <c r="AS509" s="5623"/>
      <c r="AT509" s="4930">
        <f t="shared" si="402"/>
        <v>825.92</v>
      </c>
      <c r="AU509" s="5557"/>
      <c r="AV509" s="4928"/>
      <c r="AW509" s="5623"/>
      <c r="AX509" s="4930">
        <f t="shared" si="403"/>
        <v>825.92</v>
      </c>
      <c r="AY509" s="5557"/>
      <c r="AZ509" s="4928"/>
      <c r="BA509" s="5485"/>
      <c r="BB509" s="717">
        <f t="shared" si="395"/>
        <v>0</v>
      </c>
      <c r="BC509" s="5643"/>
      <c r="BD509" s="429">
        <f t="shared" si="387"/>
        <v>0</v>
      </c>
      <c r="BE509" s="5623"/>
      <c r="BF509" s="718">
        <f t="shared" si="388"/>
        <v>825.92</v>
      </c>
    </row>
    <row r="510" spans="1:58" ht="18.75" customHeight="1" x14ac:dyDescent="0.3">
      <c r="A510" s="142"/>
      <c r="B510" s="3203" t="s">
        <v>1084</v>
      </c>
      <c r="C510" s="146" t="s">
        <v>50</v>
      </c>
      <c r="D510" s="146"/>
      <c r="E510" s="5555"/>
      <c r="F510" s="1031"/>
      <c r="G510" s="5555"/>
      <c r="H510" s="1031"/>
      <c r="I510" s="5066"/>
      <c r="J510" s="4930">
        <f t="shared" si="396"/>
        <v>0</v>
      </c>
      <c r="K510" s="5555"/>
      <c r="L510" s="1031"/>
      <c r="M510" s="5627"/>
      <c r="N510" s="4931">
        <f t="shared" si="397"/>
        <v>0</v>
      </c>
      <c r="O510" s="5555"/>
      <c r="P510" s="1031"/>
      <c r="Q510" s="5066"/>
      <c r="R510" s="4930">
        <f t="shared" si="398"/>
        <v>0</v>
      </c>
      <c r="S510" s="5555"/>
      <c r="T510" s="1031"/>
      <c r="U510" s="5066"/>
      <c r="V510" s="4930">
        <f t="shared" si="399"/>
        <v>0</v>
      </c>
      <c r="W510" s="5555"/>
      <c r="X510" s="1031"/>
      <c r="Y510" s="5627"/>
      <c r="Z510" s="5627">
        <f t="shared" si="390"/>
        <v>0</v>
      </c>
      <c r="AA510" s="5637"/>
      <c r="AB510" s="5069">
        <f t="shared" si="409"/>
        <v>0</v>
      </c>
      <c r="AC510" s="5555"/>
      <c r="AD510" s="1031"/>
      <c r="AE510" s="5066"/>
      <c r="AF510" s="4930">
        <f t="shared" si="400"/>
        <v>0</v>
      </c>
      <c r="AG510" s="5555"/>
      <c r="AH510" s="1031"/>
      <c r="AI510" s="5066"/>
      <c r="AJ510" s="4930">
        <f t="shared" si="401"/>
        <v>0</v>
      </c>
      <c r="AK510" s="5555"/>
      <c r="AL510" s="1031"/>
      <c r="AM510" s="5627"/>
      <c r="AN510" s="717">
        <f t="shared" si="393"/>
        <v>0</v>
      </c>
      <c r="AO510" s="5066"/>
      <c r="AP510" s="4930">
        <f t="shared" si="410"/>
        <v>0</v>
      </c>
      <c r="AQ510" s="5555"/>
      <c r="AR510" s="1031"/>
      <c r="AS510" s="5066"/>
      <c r="AT510" s="4930">
        <f t="shared" si="402"/>
        <v>0</v>
      </c>
      <c r="AU510" s="5555"/>
      <c r="AV510" s="1031"/>
      <c r="AW510" s="5066"/>
      <c r="AX510" s="4930">
        <f t="shared" si="403"/>
        <v>0</v>
      </c>
      <c r="AY510" s="5555"/>
      <c r="AZ510" s="1031"/>
      <c r="BA510" s="5627"/>
      <c r="BB510" s="717">
        <f t="shared" si="395"/>
        <v>0</v>
      </c>
      <c r="BC510" s="5637"/>
      <c r="BD510" s="429">
        <f t="shared" si="387"/>
        <v>0</v>
      </c>
      <c r="BE510" s="5066"/>
      <c r="BF510" s="718">
        <f t="shared" si="388"/>
        <v>0</v>
      </c>
    </row>
    <row r="511" spans="1:58" ht="20.25" customHeight="1" x14ac:dyDescent="0.3">
      <c r="A511" s="142"/>
      <c r="B511" s="3201" t="s">
        <v>2296</v>
      </c>
      <c r="C511" s="146" t="s">
        <v>50</v>
      </c>
      <c r="D511" s="146"/>
      <c r="E511" s="5555"/>
      <c r="F511" s="421">
        <f>+F54</f>
        <v>0</v>
      </c>
      <c r="G511" s="5555"/>
      <c r="H511" s="421">
        <f>+H54</f>
        <v>0</v>
      </c>
      <c r="I511" s="5066"/>
      <c r="J511" s="4930">
        <f t="shared" si="396"/>
        <v>0</v>
      </c>
      <c r="K511" s="5555"/>
      <c r="L511" s="421">
        <f>+L54</f>
        <v>0</v>
      </c>
      <c r="M511" s="5627"/>
      <c r="N511" s="4931">
        <f t="shared" si="397"/>
        <v>0</v>
      </c>
      <c r="O511" s="5555"/>
      <c r="P511" s="421">
        <f>+P54</f>
        <v>0</v>
      </c>
      <c r="Q511" s="5066"/>
      <c r="R511" s="4930">
        <f t="shared" si="398"/>
        <v>0</v>
      </c>
      <c r="S511" s="5555"/>
      <c r="T511" s="421">
        <f>+T54</f>
        <v>0</v>
      </c>
      <c r="U511" s="5066"/>
      <c r="V511" s="4930">
        <f t="shared" si="399"/>
        <v>0</v>
      </c>
      <c r="W511" s="5555"/>
      <c r="X511" s="421">
        <f>+X54</f>
        <v>0</v>
      </c>
      <c r="Y511" s="5627"/>
      <c r="Z511" s="5627">
        <f t="shared" si="390"/>
        <v>0</v>
      </c>
      <c r="AA511" s="5637"/>
      <c r="AB511" s="5069">
        <f t="shared" si="409"/>
        <v>0</v>
      </c>
      <c r="AC511" s="5555"/>
      <c r="AD511" s="421">
        <f>+AD54</f>
        <v>0</v>
      </c>
      <c r="AE511" s="5066"/>
      <c r="AF511" s="4930">
        <f t="shared" si="400"/>
        <v>0</v>
      </c>
      <c r="AG511" s="5555"/>
      <c r="AH511" s="421">
        <f>+AH54</f>
        <v>0</v>
      </c>
      <c r="AI511" s="5066"/>
      <c r="AJ511" s="4930">
        <f t="shared" si="401"/>
        <v>0</v>
      </c>
      <c r="AK511" s="5555"/>
      <c r="AL511" s="421">
        <f>+AL54</f>
        <v>0</v>
      </c>
      <c r="AM511" s="5627"/>
      <c r="AN511" s="717">
        <f t="shared" si="393"/>
        <v>0</v>
      </c>
      <c r="AO511" s="5066"/>
      <c r="AP511" s="4930">
        <f t="shared" si="410"/>
        <v>0</v>
      </c>
      <c r="AQ511" s="5555"/>
      <c r="AR511" s="421">
        <f>+AR54</f>
        <v>0</v>
      </c>
      <c r="AS511" s="5066"/>
      <c r="AT511" s="4930">
        <f t="shared" si="402"/>
        <v>0</v>
      </c>
      <c r="AU511" s="5555"/>
      <c r="AV511" s="421">
        <f>+AV54</f>
        <v>0</v>
      </c>
      <c r="AW511" s="5066"/>
      <c r="AX511" s="4930">
        <f t="shared" si="403"/>
        <v>0</v>
      </c>
      <c r="AY511" s="5555"/>
      <c r="AZ511" s="421">
        <f>+AZ54</f>
        <v>0</v>
      </c>
      <c r="BA511" s="5627"/>
      <c r="BB511" s="717">
        <f t="shared" si="395"/>
        <v>0</v>
      </c>
      <c r="BC511" s="5637"/>
      <c r="BD511" s="429">
        <f t="shared" si="387"/>
        <v>0</v>
      </c>
      <c r="BE511" s="5066"/>
      <c r="BF511" s="718">
        <f t="shared" si="388"/>
        <v>0</v>
      </c>
    </row>
    <row r="512" spans="1:58" ht="20.25" customHeight="1" x14ac:dyDescent="0.3">
      <c r="A512" s="142"/>
      <c r="B512" s="5482" t="s">
        <v>2297</v>
      </c>
      <c r="C512" s="4932"/>
      <c r="D512" s="4932"/>
      <c r="E512" s="5557"/>
      <c r="F512" s="421">
        <f>+F55</f>
        <v>0</v>
      </c>
      <c r="G512" s="5557"/>
      <c r="H512" s="421">
        <f>+H55</f>
        <v>0</v>
      </c>
      <c r="I512" s="5623"/>
      <c r="J512" s="4930">
        <f t="shared" si="396"/>
        <v>0</v>
      </c>
      <c r="K512" s="5557"/>
      <c r="L512" s="421">
        <f>+L55</f>
        <v>0</v>
      </c>
      <c r="M512" s="5485"/>
      <c r="N512" s="4931">
        <f t="shared" si="397"/>
        <v>0</v>
      </c>
      <c r="O512" s="5557"/>
      <c r="P512" s="421">
        <f>+P55</f>
        <v>0</v>
      </c>
      <c r="Q512" s="5623"/>
      <c r="R512" s="4930">
        <f t="shared" si="398"/>
        <v>0</v>
      </c>
      <c r="S512" s="5557"/>
      <c r="T512" s="421">
        <f>+T55</f>
        <v>0</v>
      </c>
      <c r="U512" s="5623"/>
      <c r="V512" s="4930">
        <f t="shared" si="399"/>
        <v>0</v>
      </c>
      <c r="W512" s="5557"/>
      <c r="X512" s="421">
        <f>+X55</f>
        <v>0</v>
      </c>
      <c r="Y512" s="5485"/>
      <c r="Z512" s="5485">
        <f t="shared" si="390"/>
        <v>0</v>
      </c>
      <c r="AA512" s="5643"/>
      <c r="AB512" s="5069">
        <f t="shared" si="409"/>
        <v>0</v>
      </c>
      <c r="AC512" s="5557"/>
      <c r="AD512" s="421">
        <f>+AD55</f>
        <v>0</v>
      </c>
      <c r="AE512" s="5623"/>
      <c r="AF512" s="4930">
        <f t="shared" si="400"/>
        <v>0</v>
      </c>
      <c r="AG512" s="5557"/>
      <c r="AH512" s="421">
        <f>+AH55</f>
        <v>0</v>
      </c>
      <c r="AI512" s="5623"/>
      <c r="AJ512" s="4930">
        <f t="shared" si="401"/>
        <v>0</v>
      </c>
      <c r="AK512" s="5557"/>
      <c r="AL512" s="421">
        <f>+AL55</f>
        <v>0</v>
      </c>
      <c r="AM512" s="5485"/>
      <c r="AN512" s="717">
        <f t="shared" si="393"/>
        <v>0</v>
      </c>
      <c r="AO512" s="5623"/>
      <c r="AP512" s="4930">
        <f t="shared" si="410"/>
        <v>0</v>
      </c>
      <c r="AQ512" s="5557"/>
      <c r="AR512" s="421">
        <f>+AR55</f>
        <v>0</v>
      </c>
      <c r="AS512" s="5623"/>
      <c r="AT512" s="4930">
        <f t="shared" si="402"/>
        <v>0</v>
      </c>
      <c r="AU512" s="5557"/>
      <c r="AV512" s="421">
        <f>+AV55</f>
        <v>0</v>
      </c>
      <c r="AW512" s="5623"/>
      <c r="AX512" s="4930">
        <f t="shared" si="403"/>
        <v>0</v>
      </c>
      <c r="AY512" s="5557"/>
      <c r="AZ512" s="421">
        <f>+AZ55</f>
        <v>0</v>
      </c>
      <c r="BA512" s="5485"/>
      <c r="BB512" s="717">
        <f t="shared" si="395"/>
        <v>0</v>
      </c>
      <c r="BC512" s="5643"/>
      <c r="BD512" s="429">
        <f t="shared" si="387"/>
        <v>0</v>
      </c>
      <c r="BE512" s="5623"/>
      <c r="BF512" s="718">
        <f t="shared" si="388"/>
        <v>0</v>
      </c>
    </row>
    <row r="513" spans="1:58" ht="20.25" customHeight="1" x14ac:dyDescent="0.3">
      <c r="A513" s="142"/>
      <c r="B513" s="3201" t="s">
        <v>2298</v>
      </c>
      <c r="C513" s="146" t="s">
        <v>50</v>
      </c>
      <c r="D513" s="146"/>
      <c r="E513" s="192"/>
      <c r="F513" s="421">
        <f>+SUM(F514:F520)</f>
        <v>0</v>
      </c>
      <c r="G513" s="192"/>
      <c r="H513" s="421">
        <f>+SUM(H514:H520)</f>
        <v>0</v>
      </c>
      <c r="I513" s="547"/>
      <c r="J513" s="4930">
        <f t="shared" si="396"/>
        <v>0</v>
      </c>
      <c r="K513" s="192"/>
      <c r="L513" s="421">
        <f>+SUM(L514:L520)</f>
        <v>0</v>
      </c>
      <c r="M513" s="873"/>
      <c r="N513" s="4931">
        <f t="shared" si="397"/>
        <v>0</v>
      </c>
      <c r="O513" s="192"/>
      <c r="P513" s="421">
        <f>+SUM(P514:P520)</f>
        <v>0</v>
      </c>
      <c r="Q513" s="547"/>
      <c r="R513" s="4930">
        <f t="shared" si="398"/>
        <v>0</v>
      </c>
      <c r="S513" s="192"/>
      <c r="T513" s="421">
        <f>+SUM(T514:T520)</f>
        <v>0</v>
      </c>
      <c r="U513" s="547"/>
      <c r="V513" s="4930">
        <f t="shared" si="399"/>
        <v>0</v>
      </c>
      <c r="W513" s="192"/>
      <c r="X513" s="421">
        <f>+SUM(X514:X520)</f>
        <v>0</v>
      </c>
      <c r="Y513" s="873"/>
      <c r="Z513" s="873">
        <f t="shared" si="390"/>
        <v>0</v>
      </c>
      <c r="AA513" s="2094"/>
      <c r="AB513" s="5069">
        <f t="shared" si="409"/>
        <v>0</v>
      </c>
      <c r="AC513" s="192"/>
      <c r="AD513" s="421">
        <f>+SUM(AD514:AD520)</f>
        <v>0</v>
      </c>
      <c r="AE513" s="547"/>
      <c r="AF513" s="4930">
        <f t="shared" si="400"/>
        <v>0</v>
      </c>
      <c r="AG513" s="192"/>
      <c r="AH513" s="421">
        <f>+SUM(AH514:AH520)</f>
        <v>0</v>
      </c>
      <c r="AI513" s="547"/>
      <c r="AJ513" s="4930">
        <f t="shared" si="401"/>
        <v>0</v>
      </c>
      <c r="AK513" s="192"/>
      <c r="AL513" s="421">
        <f>+SUM(AL514:AL520)</f>
        <v>0</v>
      </c>
      <c r="AM513" s="873"/>
      <c r="AN513" s="717">
        <f t="shared" si="393"/>
        <v>0</v>
      </c>
      <c r="AO513" s="547"/>
      <c r="AP513" s="4930">
        <f t="shared" si="410"/>
        <v>0</v>
      </c>
      <c r="AQ513" s="192"/>
      <c r="AR513" s="421">
        <f>+SUM(AR514:AR520)</f>
        <v>0</v>
      </c>
      <c r="AS513" s="547"/>
      <c r="AT513" s="4930">
        <f t="shared" si="402"/>
        <v>0</v>
      </c>
      <c r="AU513" s="192"/>
      <c r="AV513" s="421">
        <f>+SUM(AV514:AV520)</f>
        <v>0</v>
      </c>
      <c r="AW513" s="547"/>
      <c r="AX513" s="4930">
        <f t="shared" si="403"/>
        <v>0</v>
      </c>
      <c r="AY513" s="192"/>
      <c r="AZ513" s="421">
        <f>+SUM(AZ514:AZ520)</f>
        <v>0</v>
      </c>
      <c r="BA513" s="873"/>
      <c r="BB513" s="717">
        <f t="shared" si="395"/>
        <v>0</v>
      </c>
      <c r="BC513" s="2094"/>
      <c r="BD513" s="429">
        <f t="shared" si="387"/>
        <v>0</v>
      </c>
      <c r="BE513" s="547"/>
      <c r="BF513" s="718">
        <f t="shared" si="388"/>
        <v>0</v>
      </c>
    </row>
    <row r="514" spans="1:58" x14ac:dyDescent="0.3">
      <c r="A514" s="88"/>
      <c r="B514" s="8" t="s">
        <v>1661</v>
      </c>
      <c r="C514" s="146" t="s">
        <v>50</v>
      </c>
      <c r="D514" s="146"/>
      <c r="E514" s="146"/>
      <c r="F514" s="1031"/>
      <c r="G514" s="146"/>
      <c r="H514" s="1031"/>
      <c r="I514" s="547"/>
      <c r="J514" s="4930">
        <f t="shared" si="396"/>
        <v>0</v>
      </c>
      <c r="K514" s="146"/>
      <c r="L514" s="1031"/>
      <c r="M514" s="873"/>
      <c r="N514" s="4931">
        <f t="shared" si="397"/>
        <v>0</v>
      </c>
      <c r="O514" s="146"/>
      <c r="P514" s="1031"/>
      <c r="Q514" s="547"/>
      <c r="R514" s="4930">
        <f t="shared" si="398"/>
        <v>0</v>
      </c>
      <c r="S514" s="146"/>
      <c r="T514" s="1031"/>
      <c r="U514" s="547"/>
      <c r="V514" s="4930">
        <f t="shared" si="399"/>
        <v>0</v>
      </c>
      <c r="W514" s="146"/>
      <c r="X514" s="1031"/>
      <c r="Y514" s="873"/>
      <c r="Z514" s="873">
        <f t="shared" si="390"/>
        <v>0</v>
      </c>
      <c r="AA514" s="2094"/>
      <c r="AB514" s="5069">
        <f t="shared" si="409"/>
        <v>0</v>
      </c>
      <c r="AC514" s="146"/>
      <c r="AD514" s="1031"/>
      <c r="AE514" s="547"/>
      <c r="AF514" s="4930">
        <f t="shared" si="400"/>
        <v>0</v>
      </c>
      <c r="AG514" s="146"/>
      <c r="AH514" s="1031"/>
      <c r="AI514" s="547"/>
      <c r="AJ514" s="4930">
        <f t="shared" si="401"/>
        <v>0</v>
      </c>
      <c r="AK514" s="146"/>
      <c r="AL514" s="1031"/>
      <c r="AM514" s="873"/>
      <c r="AN514" s="717">
        <f t="shared" si="393"/>
        <v>0</v>
      </c>
      <c r="AO514" s="547"/>
      <c r="AP514" s="4930">
        <f t="shared" si="410"/>
        <v>0</v>
      </c>
      <c r="AQ514" s="146"/>
      <c r="AR514" s="1031"/>
      <c r="AS514" s="547"/>
      <c r="AT514" s="4930">
        <f t="shared" si="402"/>
        <v>0</v>
      </c>
      <c r="AU514" s="146"/>
      <c r="AV514" s="1031"/>
      <c r="AW514" s="547"/>
      <c r="AX514" s="4930">
        <f t="shared" si="403"/>
        <v>0</v>
      </c>
      <c r="AY514" s="146"/>
      <c r="AZ514" s="1031"/>
      <c r="BA514" s="873"/>
      <c r="BB514" s="717">
        <f t="shared" si="395"/>
        <v>0</v>
      </c>
      <c r="BC514" s="2094"/>
      <c r="BD514" s="429">
        <f t="shared" si="387"/>
        <v>0</v>
      </c>
      <c r="BE514" s="547"/>
      <c r="BF514" s="718">
        <f t="shared" si="388"/>
        <v>0</v>
      </c>
    </row>
    <row r="515" spans="1:58" x14ac:dyDescent="0.3">
      <c r="A515" s="88"/>
      <c r="B515" s="8" t="s">
        <v>1875</v>
      </c>
      <c r="C515" s="146" t="s">
        <v>50</v>
      </c>
      <c r="D515" s="146"/>
      <c r="E515" s="146"/>
      <c r="F515" s="1031"/>
      <c r="G515" s="146"/>
      <c r="H515" s="1031"/>
      <c r="I515" s="547"/>
      <c r="J515" s="4930">
        <f t="shared" si="396"/>
        <v>0</v>
      </c>
      <c r="K515" s="146"/>
      <c r="L515" s="1031"/>
      <c r="M515" s="873"/>
      <c r="N515" s="4931">
        <f t="shared" si="397"/>
        <v>0</v>
      </c>
      <c r="O515" s="146"/>
      <c r="P515" s="1031"/>
      <c r="Q515" s="547"/>
      <c r="R515" s="4930">
        <f t="shared" si="398"/>
        <v>0</v>
      </c>
      <c r="S515" s="146"/>
      <c r="T515" s="1031"/>
      <c r="U515" s="547"/>
      <c r="V515" s="4930">
        <f t="shared" si="399"/>
        <v>0</v>
      </c>
      <c r="W515" s="146"/>
      <c r="X515" s="1031"/>
      <c r="Y515" s="873"/>
      <c r="Z515" s="873">
        <f t="shared" si="390"/>
        <v>0</v>
      </c>
      <c r="AA515" s="2094"/>
      <c r="AB515" s="5069">
        <f t="shared" si="409"/>
        <v>0</v>
      </c>
      <c r="AC515" s="146"/>
      <c r="AD515" s="1031"/>
      <c r="AE515" s="547"/>
      <c r="AF515" s="4930">
        <f t="shared" si="400"/>
        <v>0</v>
      </c>
      <c r="AG515" s="146"/>
      <c r="AH515" s="1031"/>
      <c r="AI515" s="547"/>
      <c r="AJ515" s="4930">
        <f t="shared" si="401"/>
        <v>0</v>
      </c>
      <c r="AK515" s="146"/>
      <c r="AL515" s="1031"/>
      <c r="AM515" s="873"/>
      <c r="AN515" s="717">
        <f t="shared" si="393"/>
        <v>0</v>
      </c>
      <c r="AO515" s="547"/>
      <c r="AP515" s="4930">
        <f t="shared" si="410"/>
        <v>0</v>
      </c>
      <c r="AQ515" s="146"/>
      <c r="AR515" s="1031"/>
      <c r="AS515" s="547"/>
      <c r="AT515" s="4930">
        <f t="shared" si="402"/>
        <v>0</v>
      </c>
      <c r="AU515" s="146"/>
      <c r="AV515" s="1031"/>
      <c r="AW515" s="547"/>
      <c r="AX515" s="4930">
        <f t="shared" si="403"/>
        <v>0</v>
      </c>
      <c r="AY515" s="146"/>
      <c r="AZ515" s="1031"/>
      <c r="BA515" s="873"/>
      <c r="BB515" s="717">
        <f t="shared" si="395"/>
        <v>0</v>
      </c>
      <c r="BC515" s="2094"/>
      <c r="BD515" s="429">
        <f t="shared" si="387"/>
        <v>0</v>
      </c>
      <c r="BE515" s="547"/>
      <c r="BF515" s="718">
        <f t="shared" si="388"/>
        <v>0</v>
      </c>
    </row>
    <row r="516" spans="1:58" ht="15" customHeight="1" x14ac:dyDescent="0.3">
      <c r="A516" s="88"/>
      <c r="B516" s="8" t="s">
        <v>1529</v>
      </c>
      <c r="C516" s="146" t="s">
        <v>50</v>
      </c>
      <c r="D516" s="146"/>
      <c r="E516" s="146"/>
      <c r="F516" s="1031"/>
      <c r="G516" s="146"/>
      <c r="H516" s="1031"/>
      <c r="I516" s="547"/>
      <c r="J516" s="4930">
        <f t="shared" si="396"/>
        <v>0</v>
      </c>
      <c r="K516" s="146"/>
      <c r="L516" s="1031"/>
      <c r="M516" s="873"/>
      <c r="N516" s="4931">
        <f t="shared" si="397"/>
        <v>0</v>
      </c>
      <c r="O516" s="146"/>
      <c r="P516" s="1031"/>
      <c r="Q516" s="547"/>
      <c r="R516" s="4930">
        <f t="shared" si="398"/>
        <v>0</v>
      </c>
      <c r="S516" s="146"/>
      <c r="T516" s="1031"/>
      <c r="U516" s="547"/>
      <c r="V516" s="4930">
        <f t="shared" si="399"/>
        <v>0</v>
      </c>
      <c r="W516" s="146"/>
      <c r="X516" s="1031"/>
      <c r="Y516" s="873"/>
      <c r="Z516" s="873">
        <f t="shared" si="390"/>
        <v>0</v>
      </c>
      <c r="AA516" s="2094"/>
      <c r="AB516" s="5069">
        <f t="shared" si="409"/>
        <v>0</v>
      </c>
      <c r="AC516" s="146"/>
      <c r="AD516" s="1031"/>
      <c r="AE516" s="547"/>
      <c r="AF516" s="4930">
        <f t="shared" si="400"/>
        <v>0</v>
      </c>
      <c r="AG516" s="146"/>
      <c r="AH516" s="1031"/>
      <c r="AI516" s="547"/>
      <c r="AJ516" s="4930">
        <f t="shared" si="401"/>
        <v>0</v>
      </c>
      <c r="AK516" s="146"/>
      <c r="AL516" s="1031"/>
      <c r="AM516" s="873"/>
      <c r="AN516" s="717">
        <f t="shared" si="393"/>
        <v>0</v>
      </c>
      <c r="AO516" s="547"/>
      <c r="AP516" s="4930">
        <f t="shared" si="410"/>
        <v>0</v>
      </c>
      <c r="AQ516" s="146"/>
      <c r="AR516" s="1031"/>
      <c r="AS516" s="547"/>
      <c r="AT516" s="4930">
        <f t="shared" si="402"/>
        <v>0</v>
      </c>
      <c r="AU516" s="146"/>
      <c r="AV516" s="1031"/>
      <c r="AW516" s="547"/>
      <c r="AX516" s="4930">
        <f t="shared" si="403"/>
        <v>0</v>
      </c>
      <c r="AY516" s="146"/>
      <c r="AZ516" s="1031"/>
      <c r="BA516" s="873"/>
      <c r="BB516" s="717">
        <f t="shared" si="395"/>
        <v>0</v>
      </c>
      <c r="BC516" s="2094"/>
      <c r="BD516" s="429">
        <f t="shared" si="387"/>
        <v>0</v>
      </c>
      <c r="BE516" s="547"/>
      <c r="BF516" s="718">
        <f t="shared" si="388"/>
        <v>0</v>
      </c>
    </row>
    <row r="517" spans="1:58" x14ac:dyDescent="0.3">
      <c r="A517" s="142"/>
      <c r="B517" s="8" t="s">
        <v>523</v>
      </c>
      <c r="C517" s="146" t="s">
        <v>50</v>
      </c>
      <c r="D517" s="146"/>
      <c r="E517" s="146"/>
      <c r="F517" s="1031"/>
      <c r="G517" s="146"/>
      <c r="H517" s="1031"/>
      <c r="I517" s="547"/>
      <c r="J517" s="4930">
        <f t="shared" si="396"/>
        <v>0</v>
      </c>
      <c r="K517" s="146"/>
      <c r="L517" s="1031"/>
      <c r="M517" s="873"/>
      <c r="N517" s="4931">
        <f t="shared" si="397"/>
        <v>0</v>
      </c>
      <c r="O517" s="146"/>
      <c r="P517" s="1031"/>
      <c r="Q517" s="547"/>
      <c r="R517" s="4930">
        <f t="shared" si="398"/>
        <v>0</v>
      </c>
      <c r="S517" s="146"/>
      <c r="T517" s="1031"/>
      <c r="U517" s="547"/>
      <c r="V517" s="4930">
        <f t="shared" si="399"/>
        <v>0</v>
      </c>
      <c r="W517" s="146"/>
      <c r="X517" s="1031"/>
      <c r="Y517" s="873"/>
      <c r="Z517" s="873">
        <f t="shared" si="390"/>
        <v>0</v>
      </c>
      <c r="AA517" s="2094"/>
      <c r="AB517" s="5069">
        <f t="shared" si="409"/>
        <v>0</v>
      </c>
      <c r="AC517" s="146"/>
      <c r="AD517" s="1031"/>
      <c r="AE517" s="547"/>
      <c r="AF517" s="4930">
        <f t="shared" si="400"/>
        <v>0</v>
      </c>
      <c r="AG517" s="146"/>
      <c r="AH517" s="1031"/>
      <c r="AI517" s="547"/>
      <c r="AJ517" s="4930">
        <f t="shared" si="401"/>
        <v>0</v>
      </c>
      <c r="AK517" s="146"/>
      <c r="AL517" s="1031"/>
      <c r="AM517" s="873"/>
      <c r="AN517" s="717">
        <f t="shared" si="393"/>
        <v>0</v>
      </c>
      <c r="AO517" s="547"/>
      <c r="AP517" s="4930">
        <f t="shared" si="410"/>
        <v>0</v>
      </c>
      <c r="AQ517" s="146"/>
      <c r="AR517" s="1031"/>
      <c r="AS517" s="547"/>
      <c r="AT517" s="4930">
        <f t="shared" si="402"/>
        <v>0</v>
      </c>
      <c r="AU517" s="146"/>
      <c r="AV517" s="1031"/>
      <c r="AW517" s="547"/>
      <c r="AX517" s="4930">
        <f t="shared" si="403"/>
        <v>0</v>
      </c>
      <c r="AY517" s="146"/>
      <c r="AZ517" s="1031"/>
      <c r="BA517" s="873"/>
      <c r="BB517" s="717">
        <f t="shared" si="395"/>
        <v>0</v>
      </c>
      <c r="BC517" s="2094"/>
      <c r="BD517" s="429">
        <f t="shared" si="387"/>
        <v>0</v>
      </c>
      <c r="BE517" s="547"/>
      <c r="BF517" s="718">
        <f t="shared" si="388"/>
        <v>0</v>
      </c>
    </row>
    <row r="518" spans="1:58" x14ac:dyDescent="0.3">
      <c r="A518" s="88"/>
      <c r="B518" s="8" t="s">
        <v>677</v>
      </c>
      <c r="C518" s="146" t="s">
        <v>50</v>
      </c>
      <c r="D518" s="146"/>
      <c r="E518" s="146"/>
      <c r="F518" s="1031"/>
      <c r="G518" s="146"/>
      <c r="H518" s="1031"/>
      <c r="I518" s="547"/>
      <c r="J518" s="4930">
        <f t="shared" si="396"/>
        <v>0</v>
      </c>
      <c r="K518" s="146"/>
      <c r="L518" s="1031"/>
      <c r="M518" s="873"/>
      <c r="N518" s="4931">
        <f t="shared" si="397"/>
        <v>0</v>
      </c>
      <c r="O518" s="146"/>
      <c r="P518" s="1031"/>
      <c r="Q518" s="547"/>
      <c r="R518" s="4930">
        <f t="shared" si="398"/>
        <v>0</v>
      </c>
      <c r="S518" s="146"/>
      <c r="T518" s="1031"/>
      <c r="U518" s="547"/>
      <c r="V518" s="4930">
        <f t="shared" si="399"/>
        <v>0</v>
      </c>
      <c r="W518" s="146"/>
      <c r="X518" s="1031"/>
      <c r="Y518" s="873"/>
      <c r="Z518" s="873">
        <f t="shared" si="390"/>
        <v>0</v>
      </c>
      <c r="AA518" s="2094"/>
      <c r="AB518" s="5069">
        <f t="shared" si="409"/>
        <v>0</v>
      </c>
      <c r="AC518" s="146"/>
      <c r="AD518" s="1031"/>
      <c r="AE518" s="547"/>
      <c r="AF518" s="4930">
        <f t="shared" si="400"/>
        <v>0</v>
      </c>
      <c r="AG518" s="146"/>
      <c r="AH518" s="1031"/>
      <c r="AI518" s="547"/>
      <c r="AJ518" s="4930">
        <f t="shared" si="401"/>
        <v>0</v>
      </c>
      <c r="AK518" s="146"/>
      <c r="AL518" s="1031"/>
      <c r="AM518" s="873"/>
      <c r="AN518" s="717">
        <f t="shared" si="393"/>
        <v>0</v>
      </c>
      <c r="AO518" s="547"/>
      <c r="AP518" s="4930">
        <f t="shared" si="410"/>
        <v>0</v>
      </c>
      <c r="AQ518" s="146"/>
      <c r="AR518" s="1031"/>
      <c r="AS518" s="547"/>
      <c r="AT518" s="4930">
        <f t="shared" si="402"/>
        <v>0</v>
      </c>
      <c r="AU518" s="146"/>
      <c r="AV518" s="1031"/>
      <c r="AW518" s="547"/>
      <c r="AX518" s="4930">
        <f t="shared" si="403"/>
        <v>0</v>
      </c>
      <c r="AY518" s="146"/>
      <c r="AZ518" s="1031"/>
      <c r="BA518" s="873"/>
      <c r="BB518" s="717">
        <f t="shared" si="395"/>
        <v>0</v>
      </c>
      <c r="BC518" s="2094"/>
      <c r="BD518" s="429">
        <f t="shared" si="387"/>
        <v>0</v>
      </c>
      <c r="BE518" s="547"/>
      <c r="BF518" s="718">
        <f t="shared" si="388"/>
        <v>0</v>
      </c>
    </row>
    <row r="519" spans="1:58" x14ac:dyDescent="0.3">
      <c r="A519" s="88"/>
      <c r="B519" s="8" t="s">
        <v>678</v>
      </c>
      <c r="C519" s="146" t="s">
        <v>50</v>
      </c>
      <c r="D519" s="146"/>
      <c r="E519" s="146"/>
      <c r="F519" s="1031"/>
      <c r="G519" s="146"/>
      <c r="H519" s="1031"/>
      <c r="I519" s="547"/>
      <c r="J519" s="4930">
        <f t="shared" si="396"/>
        <v>0</v>
      </c>
      <c r="K519" s="146"/>
      <c r="L519" s="1031"/>
      <c r="M519" s="873"/>
      <c r="N519" s="4931">
        <f t="shared" si="397"/>
        <v>0</v>
      </c>
      <c r="O519" s="146"/>
      <c r="P519" s="1031"/>
      <c r="Q519" s="547"/>
      <c r="R519" s="4930">
        <f t="shared" si="398"/>
        <v>0</v>
      </c>
      <c r="S519" s="146"/>
      <c r="T519" s="1031"/>
      <c r="U519" s="547"/>
      <c r="V519" s="4930">
        <f t="shared" si="399"/>
        <v>0</v>
      </c>
      <c r="W519" s="146"/>
      <c r="X519" s="1031"/>
      <c r="Y519" s="873"/>
      <c r="Z519" s="873">
        <f t="shared" si="390"/>
        <v>0</v>
      </c>
      <c r="AA519" s="2094"/>
      <c r="AB519" s="5069">
        <f t="shared" si="409"/>
        <v>0</v>
      </c>
      <c r="AC519" s="146"/>
      <c r="AD519" s="1031"/>
      <c r="AE519" s="547"/>
      <c r="AF519" s="4930">
        <f t="shared" si="400"/>
        <v>0</v>
      </c>
      <c r="AG519" s="146"/>
      <c r="AH519" s="1031"/>
      <c r="AI519" s="547"/>
      <c r="AJ519" s="4930">
        <f t="shared" si="401"/>
        <v>0</v>
      </c>
      <c r="AK519" s="146"/>
      <c r="AL519" s="1031"/>
      <c r="AM519" s="873"/>
      <c r="AN519" s="717">
        <f t="shared" si="393"/>
        <v>0</v>
      </c>
      <c r="AO519" s="547"/>
      <c r="AP519" s="4930">
        <f t="shared" si="410"/>
        <v>0</v>
      </c>
      <c r="AQ519" s="146"/>
      <c r="AR519" s="1031"/>
      <c r="AS519" s="547"/>
      <c r="AT519" s="4930">
        <f t="shared" si="402"/>
        <v>0</v>
      </c>
      <c r="AU519" s="146"/>
      <c r="AV519" s="1031"/>
      <c r="AW519" s="547"/>
      <c r="AX519" s="4930">
        <f t="shared" si="403"/>
        <v>0</v>
      </c>
      <c r="AY519" s="146"/>
      <c r="AZ519" s="1031"/>
      <c r="BA519" s="873"/>
      <c r="BB519" s="717">
        <f t="shared" si="395"/>
        <v>0</v>
      </c>
      <c r="BC519" s="2094"/>
      <c r="BD519" s="429">
        <f t="shared" si="387"/>
        <v>0</v>
      </c>
      <c r="BE519" s="547"/>
      <c r="BF519" s="718">
        <f t="shared" si="388"/>
        <v>0</v>
      </c>
    </row>
    <row r="520" spans="1:58" x14ac:dyDescent="0.3">
      <c r="A520" s="88"/>
      <c r="B520" s="8" t="s">
        <v>679</v>
      </c>
      <c r="C520" s="146" t="s">
        <v>50</v>
      </c>
      <c r="D520" s="146"/>
      <c r="E520" s="146"/>
      <c r="F520" s="1031"/>
      <c r="G520" s="146"/>
      <c r="H520" s="1031"/>
      <c r="I520" s="547"/>
      <c r="J520" s="4930">
        <f t="shared" si="396"/>
        <v>0</v>
      </c>
      <c r="K520" s="146"/>
      <c r="L520" s="1031"/>
      <c r="M520" s="873"/>
      <c r="N520" s="4931">
        <f t="shared" si="397"/>
        <v>0</v>
      </c>
      <c r="O520" s="146"/>
      <c r="P520" s="1031"/>
      <c r="Q520" s="547"/>
      <c r="R520" s="4930">
        <f t="shared" si="398"/>
        <v>0</v>
      </c>
      <c r="S520" s="146"/>
      <c r="T520" s="1031"/>
      <c r="U520" s="547"/>
      <c r="V520" s="4930">
        <f t="shared" si="399"/>
        <v>0</v>
      </c>
      <c r="W520" s="146"/>
      <c r="X520" s="1031"/>
      <c r="Y520" s="873"/>
      <c r="Z520" s="873">
        <f t="shared" si="390"/>
        <v>0</v>
      </c>
      <c r="AA520" s="2094"/>
      <c r="AB520" s="5069">
        <f t="shared" si="409"/>
        <v>0</v>
      </c>
      <c r="AC520" s="146"/>
      <c r="AD520" s="1031"/>
      <c r="AE520" s="547"/>
      <c r="AF520" s="4930">
        <f t="shared" si="400"/>
        <v>0</v>
      </c>
      <c r="AG520" s="146"/>
      <c r="AH520" s="1031"/>
      <c r="AI520" s="547"/>
      <c r="AJ520" s="4930">
        <f t="shared" si="401"/>
        <v>0</v>
      </c>
      <c r="AK520" s="146"/>
      <c r="AL520" s="1031"/>
      <c r="AM520" s="873"/>
      <c r="AN520" s="717">
        <f t="shared" si="393"/>
        <v>0</v>
      </c>
      <c r="AO520" s="547"/>
      <c r="AP520" s="4930">
        <f t="shared" si="410"/>
        <v>0</v>
      </c>
      <c r="AQ520" s="146"/>
      <c r="AR520" s="1031"/>
      <c r="AS520" s="547"/>
      <c r="AT520" s="4930">
        <f t="shared" si="402"/>
        <v>0</v>
      </c>
      <c r="AU520" s="146"/>
      <c r="AV520" s="1031"/>
      <c r="AW520" s="547"/>
      <c r="AX520" s="4930">
        <f t="shared" si="403"/>
        <v>0</v>
      </c>
      <c r="AY520" s="146"/>
      <c r="AZ520" s="1031"/>
      <c r="BA520" s="873"/>
      <c r="BB520" s="717">
        <f t="shared" si="395"/>
        <v>0</v>
      </c>
      <c r="BC520" s="2094"/>
      <c r="BD520" s="429">
        <f t="shared" ref="BD520:BD583" si="411">+AN520+BB520</f>
        <v>0</v>
      </c>
      <c r="BE520" s="547"/>
      <c r="BF520" s="718">
        <f t="shared" ref="BF520:BF583" si="412">+AB520+BD520</f>
        <v>0</v>
      </c>
    </row>
    <row r="521" spans="1:58" ht="20.25" customHeight="1" x14ac:dyDescent="0.3">
      <c r="A521" s="142"/>
      <c r="B521" s="5478" t="s">
        <v>516</v>
      </c>
      <c r="C521" s="192" t="s">
        <v>50</v>
      </c>
      <c r="D521" s="421">
        <f>+D56</f>
        <v>0</v>
      </c>
      <c r="E521" s="421">
        <f>+E56</f>
        <v>0.27340158309380058</v>
      </c>
      <c r="F521" s="421">
        <f>+F504+F505+F511+F512+F513</f>
        <v>0</v>
      </c>
      <c r="G521" s="421">
        <f>+G56</f>
        <v>0.1346321899764007</v>
      </c>
      <c r="H521" s="421">
        <f>+H504+H505+H511+H512+H513</f>
        <v>2989.14</v>
      </c>
      <c r="I521" s="344">
        <f>+G521+E521</f>
        <v>0.40803377307020128</v>
      </c>
      <c r="J521" s="4930">
        <f t="shared" si="396"/>
        <v>2989.14</v>
      </c>
      <c r="K521" s="421">
        <f>+K56</f>
        <v>0</v>
      </c>
      <c r="L521" s="421">
        <f>+L504+L505+L511+L512+L513</f>
        <v>0</v>
      </c>
      <c r="M521" s="346">
        <f>+K521+I521</f>
        <v>0.40803377307020128</v>
      </c>
      <c r="N521" s="4931">
        <f t="shared" si="397"/>
        <v>2989.14</v>
      </c>
      <c r="O521" s="421">
        <f>+O56</f>
        <v>0</v>
      </c>
      <c r="P521" s="421">
        <f>+P504+P505+P511+P512+P513</f>
        <v>0</v>
      </c>
      <c r="Q521" s="344">
        <f>+O521+M521</f>
        <v>0.40803377307020128</v>
      </c>
      <c r="R521" s="4930">
        <f t="shared" si="398"/>
        <v>2989.14</v>
      </c>
      <c r="S521" s="421">
        <f>+S56</f>
        <v>0</v>
      </c>
      <c r="T521" s="421">
        <f>+T504+T505+T511+T512+T513</f>
        <v>0</v>
      </c>
      <c r="U521" s="344">
        <f>+S521+Q521</f>
        <v>0.40803377307020128</v>
      </c>
      <c r="V521" s="4930">
        <f t="shared" si="399"/>
        <v>2989.14</v>
      </c>
      <c r="W521" s="421">
        <f>+W56</f>
        <v>0</v>
      </c>
      <c r="X521" s="421">
        <f>+X504+X505+X511+X512+X513</f>
        <v>0</v>
      </c>
      <c r="Y521" s="346">
        <f t="shared" ref="Y521" si="413">O521+S521+W521</f>
        <v>0</v>
      </c>
      <c r="Z521" s="346">
        <f t="shared" si="390"/>
        <v>0</v>
      </c>
      <c r="AA521" s="502">
        <f>+Y521+M521</f>
        <v>0.40803377307020128</v>
      </c>
      <c r="AB521" s="5069">
        <f t="shared" si="409"/>
        <v>2989.14</v>
      </c>
      <c r="AC521" s="421">
        <f>+AC56</f>
        <v>0</v>
      </c>
      <c r="AD521" s="421">
        <f>+AD504+AD505+AD511+AD512+AD513</f>
        <v>0</v>
      </c>
      <c r="AE521" s="344">
        <f>+AC521+AA521</f>
        <v>0.40803377307020128</v>
      </c>
      <c r="AF521" s="4930">
        <f t="shared" si="400"/>
        <v>2989.14</v>
      </c>
      <c r="AG521" s="421">
        <f>+AG56</f>
        <v>0</v>
      </c>
      <c r="AH521" s="421">
        <f>+AH504+AH505+AH511+AH512+AH513</f>
        <v>0</v>
      </c>
      <c r="AI521" s="344">
        <f>+AG521+AE521</f>
        <v>0.40803377307020128</v>
      </c>
      <c r="AJ521" s="4930">
        <f t="shared" si="401"/>
        <v>2989.14</v>
      </c>
      <c r="AK521" s="421">
        <f>+AK56</f>
        <v>0</v>
      </c>
      <c r="AL521" s="421">
        <f>+AL504+AL505+AL511+AL512+AL513</f>
        <v>0</v>
      </c>
      <c r="AM521" s="346">
        <f t="shared" ref="AM521" si="414">AC521+AG521+AK521</f>
        <v>0</v>
      </c>
      <c r="AN521" s="717">
        <f t="shared" si="393"/>
        <v>0</v>
      </c>
      <c r="AO521" s="344">
        <f>+AI521+AK521</f>
        <v>0.40803377307020128</v>
      </c>
      <c r="AP521" s="4930">
        <f t="shared" si="410"/>
        <v>2989.14</v>
      </c>
      <c r="AQ521" s="421">
        <f>+AQ56</f>
        <v>0</v>
      </c>
      <c r="AR521" s="421">
        <f>+AR504+AR505+AR511+AR512+AR513</f>
        <v>0</v>
      </c>
      <c r="AS521" s="344">
        <f>+AQ521+AO521</f>
        <v>0.40803377307020128</v>
      </c>
      <c r="AT521" s="4930">
        <f t="shared" si="402"/>
        <v>2989.14</v>
      </c>
      <c r="AU521" s="421">
        <f>+AU56</f>
        <v>0</v>
      </c>
      <c r="AV521" s="421">
        <f>+AV504+AV505+AV511+AV512+AV513</f>
        <v>0</v>
      </c>
      <c r="AW521" s="344">
        <f>+AU521+AS521</f>
        <v>0.40803377307020128</v>
      </c>
      <c r="AX521" s="4930">
        <f t="shared" si="403"/>
        <v>2989.14</v>
      </c>
      <c r="AY521" s="421">
        <f>+AY56</f>
        <v>0</v>
      </c>
      <c r="AZ521" s="421">
        <f>+AZ504+AZ505+AZ511+AZ512+AZ513</f>
        <v>0</v>
      </c>
      <c r="BA521" s="346">
        <f t="shared" ref="BA521" si="415">AQ521+AU521+AY521</f>
        <v>0</v>
      </c>
      <c r="BB521" s="717">
        <f t="shared" si="395"/>
        <v>0</v>
      </c>
      <c r="BC521" s="502">
        <f>+BA521+AM521</f>
        <v>0</v>
      </c>
      <c r="BD521" s="429">
        <f t="shared" si="411"/>
        <v>0</v>
      </c>
      <c r="BE521" s="344">
        <f>+BC521+AA521</f>
        <v>0.40803377307020128</v>
      </c>
      <c r="BF521" s="718">
        <f t="shared" si="412"/>
        <v>2989.14</v>
      </c>
    </row>
    <row r="522" spans="1:58" s="137" customFormat="1" ht="20.25" customHeight="1" x14ac:dyDescent="0.3">
      <c r="A522" s="142"/>
      <c r="B522" s="5485" t="s">
        <v>2185</v>
      </c>
      <c r="C522" s="5388"/>
      <c r="D522" s="5483"/>
      <c r="E522" s="5483"/>
      <c r="F522" s="5483"/>
      <c r="G522" s="5483"/>
      <c r="H522" s="5483"/>
      <c r="I522" s="5543"/>
      <c r="J522" s="4930"/>
      <c r="K522" s="5483"/>
      <c r="L522" s="5483"/>
      <c r="M522" s="5628"/>
      <c r="N522" s="4931"/>
      <c r="O522" s="5483"/>
      <c r="P522" s="5483"/>
      <c r="Q522" s="5543"/>
      <c r="R522" s="4930"/>
      <c r="S522" s="5483"/>
      <c r="T522" s="5483"/>
      <c r="U522" s="5543"/>
      <c r="V522" s="4930"/>
      <c r="W522" s="5483"/>
      <c r="X522" s="5483"/>
      <c r="Y522" s="5628"/>
      <c r="Z522" s="5628"/>
      <c r="AA522" s="5638"/>
      <c r="AB522" s="5069"/>
      <c r="AC522" s="5483"/>
      <c r="AD522" s="5483"/>
      <c r="AE522" s="5543"/>
      <c r="AF522" s="4930"/>
      <c r="AG522" s="5483"/>
      <c r="AH522" s="5483"/>
      <c r="AI522" s="5543"/>
      <c r="AJ522" s="4930"/>
      <c r="AK522" s="5483"/>
      <c r="AL522" s="5483"/>
      <c r="AM522" s="5628"/>
      <c r="AN522" s="4931"/>
      <c r="AO522" s="5543"/>
      <c r="AP522" s="4930"/>
      <c r="AQ522" s="5483"/>
      <c r="AR522" s="5483"/>
      <c r="AS522" s="5543"/>
      <c r="AT522" s="4930"/>
      <c r="AU522" s="5483"/>
      <c r="AV522" s="5483"/>
      <c r="AW522" s="5543"/>
      <c r="AX522" s="4930"/>
      <c r="AY522" s="5483"/>
      <c r="AZ522" s="5483"/>
      <c r="BA522" s="5628"/>
      <c r="BB522" s="4931"/>
      <c r="BC522" s="5638"/>
      <c r="BD522" s="429"/>
      <c r="BE522" s="5543"/>
      <c r="BF522" s="718"/>
    </row>
    <row r="523" spans="1:58" s="137" customFormat="1" ht="20.25" customHeight="1" x14ac:dyDescent="0.3">
      <c r="A523" s="142"/>
      <c r="B523" s="5484" t="s">
        <v>2186</v>
      </c>
      <c r="C523" s="5388"/>
      <c r="D523" s="5483">
        <v>0</v>
      </c>
      <c r="E523" s="5483"/>
      <c r="F523" s="5483">
        <f>+F58</f>
        <v>0</v>
      </c>
      <c r="G523" s="5483"/>
      <c r="H523" s="5483">
        <f>+H58</f>
        <v>0</v>
      </c>
      <c r="I523" s="5543">
        <f>+E523+G523</f>
        <v>0</v>
      </c>
      <c r="J523" s="4930">
        <f t="shared" si="396"/>
        <v>0</v>
      </c>
      <c r="K523" s="5483"/>
      <c r="L523" s="5483">
        <f>+L58</f>
        <v>0</v>
      </c>
      <c r="M523" s="5628">
        <f>+I523+K523</f>
        <v>0</v>
      </c>
      <c r="N523" s="4931">
        <f t="shared" si="397"/>
        <v>0</v>
      </c>
      <c r="O523" s="5483"/>
      <c r="P523" s="5483">
        <f>+P58</f>
        <v>64.36</v>
      </c>
      <c r="Q523" s="5543">
        <f>+M523+O523</f>
        <v>0</v>
      </c>
      <c r="R523" s="4930">
        <f t="shared" si="398"/>
        <v>64.36</v>
      </c>
      <c r="S523" s="5483"/>
      <c r="T523" s="5483">
        <f>+T58</f>
        <v>1895.72</v>
      </c>
      <c r="U523" s="5543">
        <f>+Q523+S523</f>
        <v>0</v>
      </c>
      <c r="V523" s="4930">
        <f t="shared" si="399"/>
        <v>1960.08</v>
      </c>
      <c r="W523" s="5483"/>
      <c r="X523" s="5483">
        <f>+X58</f>
        <v>960.38000000000011</v>
      </c>
      <c r="Y523" s="346">
        <f t="shared" ref="Y523:Y526" si="416">O523+S523+W523</f>
        <v>0</v>
      </c>
      <c r="Z523" s="5628">
        <f t="shared" si="390"/>
        <v>2920.46</v>
      </c>
      <c r="AA523" s="502">
        <f t="shared" ref="AA523:AA526" si="417">+Y523+M523</f>
        <v>0</v>
      </c>
      <c r="AB523" s="5069">
        <f t="shared" ref="AB523:AB554" si="418">X523+V523</f>
        <v>2920.46</v>
      </c>
      <c r="AC523" s="5483"/>
      <c r="AD523" s="5483">
        <f>+AD58</f>
        <v>2004.1</v>
      </c>
      <c r="AE523" s="5543">
        <f>+AA523+AC523</f>
        <v>0</v>
      </c>
      <c r="AF523" s="4930">
        <f t="shared" si="400"/>
        <v>4924.5599999999995</v>
      </c>
      <c r="AG523" s="5483"/>
      <c r="AH523" s="5483">
        <f>+AH58</f>
        <v>0</v>
      </c>
      <c r="AI523" s="5543">
        <f>+AE523+AG523</f>
        <v>0</v>
      </c>
      <c r="AJ523" s="4930">
        <f t="shared" si="401"/>
        <v>4924.5599999999995</v>
      </c>
      <c r="AK523" s="5483"/>
      <c r="AL523" s="5483">
        <f>+AL58</f>
        <v>0</v>
      </c>
      <c r="AM523" s="346">
        <f t="shared" ref="AM523:AM526" si="419">AC523+AG523+AK523</f>
        <v>0</v>
      </c>
      <c r="AN523" s="717">
        <f t="shared" si="393"/>
        <v>2004.1</v>
      </c>
      <c r="AO523" s="5543">
        <f>+AK523+AI523</f>
        <v>0</v>
      </c>
      <c r="AP523" s="4930">
        <f t="shared" ref="AP523:AP554" si="420">AL523+AJ523</f>
        <v>4924.5599999999995</v>
      </c>
      <c r="AQ523" s="5483"/>
      <c r="AR523" s="5483">
        <f>+AR58</f>
        <v>0</v>
      </c>
      <c r="AS523" s="5543">
        <f>+AO523+AQ523</f>
        <v>0</v>
      </c>
      <c r="AT523" s="4930">
        <f t="shared" si="402"/>
        <v>4924.5599999999995</v>
      </c>
      <c r="AU523" s="5483"/>
      <c r="AV523" s="5483">
        <f>+AV58</f>
        <v>0</v>
      </c>
      <c r="AW523" s="5543">
        <f>+AS523+AU523</f>
        <v>0</v>
      </c>
      <c r="AX523" s="4930">
        <f t="shared" si="403"/>
        <v>4924.5599999999995</v>
      </c>
      <c r="AY523" s="5483"/>
      <c r="AZ523" s="5483">
        <f>+AZ58</f>
        <v>0</v>
      </c>
      <c r="BA523" s="346">
        <f t="shared" ref="BA523:BA526" si="421">AQ523+AU523+AY523</f>
        <v>0</v>
      </c>
      <c r="BB523" s="717">
        <f t="shared" si="395"/>
        <v>0</v>
      </c>
      <c r="BC523" s="502">
        <f>+BA523+AM523</f>
        <v>0</v>
      </c>
      <c r="BD523" s="429">
        <f t="shared" si="411"/>
        <v>2004.1</v>
      </c>
      <c r="BE523" s="5543">
        <f>+AA523+BC523</f>
        <v>0</v>
      </c>
      <c r="BF523" s="718">
        <f t="shared" si="412"/>
        <v>4924.5599999999995</v>
      </c>
    </row>
    <row r="524" spans="1:58" s="137" customFormat="1" ht="20.25" customHeight="1" x14ac:dyDescent="0.3">
      <c r="A524" s="142"/>
      <c r="B524" s="5484" t="s">
        <v>2187</v>
      </c>
      <c r="C524" s="5388"/>
      <c r="D524" s="5483">
        <v>0</v>
      </c>
      <c r="E524" s="5483"/>
      <c r="F524" s="5483">
        <f>+F59</f>
        <v>1625.08</v>
      </c>
      <c r="G524" s="5483"/>
      <c r="H524" s="5483">
        <f>+H59</f>
        <v>888.68</v>
      </c>
      <c r="I524" s="5543">
        <f>+E524+G524</f>
        <v>0</v>
      </c>
      <c r="J524" s="4930">
        <f t="shared" si="396"/>
        <v>2513.7599999999998</v>
      </c>
      <c r="K524" s="5483"/>
      <c r="L524" s="5483">
        <f>+L59</f>
        <v>1065.5999999999999</v>
      </c>
      <c r="M524" s="5628">
        <f>+I524+K524</f>
        <v>0</v>
      </c>
      <c r="N524" s="4931">
        <f t="shared" si="397"/>
        <v>3579.3599999999997</v>
      </c>
      <c r="O524" s="5483"/>
      <c r="P524" s="5483">
        <f>+P59</f>
        <v>398.74</v>
      </c>
      <c r="Q524" s="5543">
        <f>+M524+O524</f>
        <v>0</v>
      </c>
      <c r="R524" s="4930">
        <f t="shared" si="398"/>
        <v>3978.0999999999995</v>
      </c>
      <c r="S524" s="5483"/>
      <c r="T524" s="5483">
        <f>+T59</f>
        <v>353.2</v>
      </c>
      <c r="U524" s="5543">
        <f>+Q524+S524</f>
        <v>0</v>
      </c>
      <c r="V524" s="4930">
        <f t="shared" si="399"/>
        <v>4331.2999999999993</v>
      </c>
      <c r="W524" s="5483"/>
      <c r="X524" s="5483">
        <f>+X59</f>
        <v>453.39000000000004</v>
      </c>
      <c r="Y524" s="346">
        <f t="shared" si="416"/>
        <v>0</v>
      </c>
      <c r="Z524" s="5628">
        <f t="shared" si="390"/>
        <v>1205.3300000000002</v>
      </c>
      <c r="AA524" s="502">
        <f t="shared" si="417"/>
        <v>0</v>
      </c>
      <c r="AB524" s="5069">
        <f t="shared" si="418"/>
        <v>4784.6899999999996</v>
      </c>
      <c r="AC524" s="5483"/>
      <c r="AD524" s="5483">
        <f>+AD59</f>
        <v>0</v>
      </c>
      <c r="AE524" s="5543">
        <f>+AA524+AC524</f>
        <v>0</v>
      </c>
      <c r="AF524" s="4930">
        <f t="shared" si="400"/>
        <v>4784.6899999999996</v>
      </c>
      <c r="AG524" s="5483"/>
      <c r="AH524" s="5483">
        <f>+AH59</f>
        <v>0</v>
      </c>
      <c r="AI524" s="5543">
        <f>+AE524+AG524</f>
        <v>0</v>
      </c>
      <c r="AJ524" s="4930">
        <f t="shared" si="401"/>
        <v>4784.6899999999996</v>
      </c>
      <c r="AK524" s="5483"/>
      <c r="AL524" s="5483">
        <f>+AL59</f>
        <v>703.34</v>
      </c>
      <c r="AM524" s="346">
        <f t="shared" si="419"/>
        <v>0</v>
      </c>
      <c r="AN524" s="717">
        <f t="shared" si="393"/>
        <v>703.34</v>
      </c>
      <c r="AO524" s="5543">
        <f>+AK524+AI524</f>
        <v>0</v>
      </c>
      <c r="AP524" s="4930">
        <f t="shared" si="420"/>
        <v>5488.03</v>
      </c>
      <c r="AQ524" s="5483"/>
      <c r="AR524" s="5483">
        <f>+AR59</f>
        <v>1589.84</v>
      </c>
      <c r="AS524" s="5543">
        <f>+AO524+AQ524</f>
        <v>0</v>
      </c>
      <c r="AT524" s="4930">
        <f t="shared" si="402"/>
        <v>7077.87</v>
      </c>
      <c r="AU524" s="5483"/>
      <c r="AV524" s="5483">
        <f>+AV59</f>
        <v>481.34000000000003</v>
      </c>
      <c r="AW524" s="5543">
        <f>+AS524+AU524</f>
        <v>0</v>
      </c>
      <c r="AX524" s="4930">
        <f t="shared" si="403"/>
        <v>7559.21</v>
      </c>
      <c r="AY524" s="5483"/>
      <c r="AZ524" s="5483">
        <f>+AZ59</f>
        <v>1544.2600000000002</v>
      </c>
      <c r="BA524" s="346">
        <f t="shared" si="421"/>
        <v>0</v>
      </c>
      <c r="BB524" s="717">
        <f t="shared" si="395"/>
        <v>3615.44</v>
      </c>
      <c r="BC524" s="502">
        <f>+BA524+AM524</f>
        <v>0</v>
      </c>
      <c r="BD524" s="429">
        <f t="shared" si="411"/>
        <v>4318.78</v>
      </c>
      <c r="BE524" s="5543">
        <f>+AA524+BC524</f>
        <v>0</v>
      </c>
      <c r="BF524" s="718">
        <f t="shared" si="412"/>
        <v>9103.4699999999993</v>
      </c>
    </row>
    <row r="525" spans="1:58" s="137" customFormat="1" ht="20.25" customHeight="1" x14ac:dyDescent="0.3">
      <c r="A525" s="142"/>
      <c r="B525" s="5478" t="s">
        <v>2299</v>
      </c>
      <c r="C525" s="5388"/>
      <c r="D525" s="5483">
        <f>SUM(D523:D524)</f>
        <v>0</v>
      </c>
      <c r="E525" s="5483">
        <f>+E60</f>
        <v>0</v>
      </c>
      <c r="F525" s="5483">
        <f>SUM(F523:F524)</f>
        <v>1625.08</v>
      </c>
      <c r="G525" s="5483">
        <f>+G60</f>
        <v>0</v>
      </c>
      <c r="H525" s="5483">
        <f>SUM(H523:H524)</f>
        <v>888.68</v>
      </c>
      <c r="I525" s="5543">
        <f>+E525+G525</f>
        <v>0</v>
      </c>
      <c r="J525" s="4930">
        <f t="shared" si="396"/>
        <v>2513.7599999999998</v>
      </c>
      <c r="K525" s="5483">
        <f>+K60</f>
        <v>0</v>
      </c>
      <c r="L525" s="5483">
        <f>SUM(L523:L524)</f>
        <v>1065.5999999999999</v>
      </c>
      <c r="M525" s="5628">
        <f>+I525+K525</f>
        <v>0</v>
      </c>
      <c r="N525" s="4931">
        <f t="shared" si="397"/>
        <v>3579.3599999999997</v>
      </c>
      <c r="O525" s="5483">
        <f>+O60</f>
        <v>0</v>
      </c>
      <c r="P525" s="5483">
        <f>SUM(P523:P524)</f>
        <v>463.1</v>
      </c>
      <c r="Q525" s="5543">
        <f>+M525+O525</f>
        <v>0</v>
      </c>
      <c r="R525" s="4930">
        <f t="shared" si="398"/>
        <v>4042.4599999999996</v>
      </c>
      <c r="S525" s="5483">
        <f>+S60</f>
        <v>0</v>
      </c>
      <c r="T525" s="5483">
        <f>SUM(T523:T524)</f>
        <v>2248.92</v>
      </c>
      <c r="U525" s="5543">
        <f>+Q525+S525</f>
        <v>0</v>
      </c>
      <c r="V525" s="4930">
        <f t="shared" si="399"/>
        <v>6291.3799999999992</v>
      </c>
      <c r="W525" s="5483">
        <f>+W60</f>
        <v>0</v>
      </c>
      <c r="X525" s="5483">
        <f>SUM(X523:X524)</f>
        <v>1413.7700000000002</v>
      </c>
      <c r="Y525" s="346">
        <f t="shared" si="416"/>
        <v>0</v>
      </c>
      <c r="Z525" s="5628">
        <f t="shared" si="390"/>
        <v>4125.79</v>
      </c>
      <c r="AA525" s="502">
        <f t="shared" si="417"/>
        <v>0</v>
      </c>
      <c r="AB525" s="5069">
        <f t="shared" si="418"/>
        <v>7705.15</v>
      </c>
      <c r="AC525" s="5483">
        <f>+AC60</f>
        <v>0</v>
      </c>
      <c r="AD525" s="5483">
        <f>SUM(AD523:AD524)</f>
        <v>2004.1</v>
      </c>
      <c r="AE525" s="5543">
        <f>+AA525+AC525</f>
        <v>0</v>
      </c>
      <c r="AF525" s="4930">
        <f t="shared" si="400"/>
        <v>9709.25</v>
      </c>
      <c r="AG525" s="5483">
        <f>+AG60</f>
        <v>0</v>
      </c>
      <c r="AH525" s="5483">
        <f>SUM(AH523:AH524)</f>
        <v>0</v>
      </c>
      <c r="AI525" s="5543">
        <f>+AE525+AG525</f>
        <v>0</v>
      </c>
      <c r="AJ525" s="4930">
        <f t="shared" si="401"/>
        <v>9709.25</v>
      </c>
      <c r="AK525" s="5483">
        <f>+AK60</f>
        <v>0</v>
      </c>
      <c r="AL525" s="5483">
        <f>SUM(AL523:AL524)</f>
        <v>703.34</v>
      </c>
      <c r="AM525" s="346">
        <f t="shared" si="419"/>
        <v>0</v>
      </c>
      <c r="AN525" s="717">
        <f t="shared" si="393"/>
        <v>2707.44</v>
      </c>
      <c r="AO525" s="5543">
        <f>+AK525+AI525</f>
        <v>0</v>
      </c>
      <c r="AP525" s="4930">
        <f t="shared" si="420"/>
        <v>10412.59</v>
      </c>
      <c r="AQ525" s="5483">
        <f>+AQ60</f>
        <v>0</v>
      </c>
      <c r="AR525" s="5483">
        <f>SUM(AR523:AR524)</f>
        <v>1589.84</v>
      </c>
      <c r="AS525" s="5543">
        <f>+AO525+AQ525</f>
        <v>0</v>
      </c>
      <c r="AT525" s="4930">
        <f t="shared" si="402"/>
        <v>12002.43</v>
      </c>
      <c r="AU525" s="5483">
        <f>+AU60</f>
        <v>0</v>
      </c>
      <c r="AV525" s="5483">
        <f>SUM(AV523:AV524)</f>
        <v>481.34000000000003</v>
      </c>
      <c r="AW525" s="5543">
        <f>+AS525+AU525</f>
        <v>0</v>
      </c>
      <c r="AX525" s="4930">
        <f t="shared" si="403"/>
        <v>12483.77</v>
      </c>
      <c r="AY525" s="5483">
        <f>+AY60</f>
        <v>0</v>
      </c>
      <c r="AZ525" s="5483">
        <f>SUM(AZ523:AZ524)</f>
        <v>1544.2600000000002</v>
      </c>
      <c r="BA525" s="346">
        <f t="shared" si="421"/>
        <v>0</v>
      </c>
      <c r="BB525" s="717">
        <f t="shared" si="395"/>
        <v>3615.44</v>
      </c>
      <c r="BC525" s="502">
        <f>+BA525+AM525</f>
        <v>0</v>
      </c>
      <c r="BD525" s="429">
        <f t="shared" si="411"/>
        <v>6322.88</v>
      </c>
      <c r="BE525" s="5543">
        <f>+AA525+BC525</f>
        <v>0</v>
      </c>
      <c r="BF525" s="718">
        <f t="shared" si="412"/>
        <v>14028.029999999999</v>
      </c>
    </row>
    <row r="526" spans="1:58" ht="21" customHeight="1" thickBot="1" x14ac:dyDescent="0.35">
      <c r="A526" s="88"/>
      <c r="B526" s="5487" t="s">
        <v>517</v>
      </c>
      <c r="C526" s="2993" t="s">
        <v>50</v>
      </c>
      <c r="D526" s="2085">
        <f>+D37</f>
        <v>350000.39654600783</v>
      </c>
      <c r="E526" s="2085">
        <f>+E37</f>
        <v>20999.957109341791</v>
      </c>
      <c r="F526" s="2085">
        <f>+F525+F521+F502+F465</f>
        <v>32106.710000000003</v>
      </c>
      <c r="G526" s="2085">
        <f>+G37</f>
        <v>0.49149549403227866</v>
      </c>
      <c r="H526" s="2085">
        <f>+H525+H521+H502+H465</f>
        <v>25913.720000000005</v>
      </c>
      <c r="I526" s="2084">
        <f>+G526+E526</f>
        <v>21000.448604835823</v>
      </c>
      <c r="J526" s="2085">
        <f t="shared" si="396"/>
        <v>58020.430000000008</v>
      </c>
      <c r="K526" s="2085">
        <f>+K37</f>
        <v>48000.110883115201</v>
      </c>
      <c r="L526" s="2085">
        <f>+L525+L521+L502+L465</f>
        <v>6803.8099999999995</v>
      </c>
      <c r="M526" s="2085">
        <f>+K526+I526</f>
        <v>69000.559487951017</v>
      </c>
      <c r="N526" s="2085">
        <f t="shared" si="397"/>
        <v>64824.240000000005</v>
      </c>
      <c r="O526" s="2085">
        <f>+O37</f>
        <v>43500.141355320899</v>
      </c>
      <c r="P526" s="2085">
        <f>+P525+P521+P502+P465</f>
        <v>3865.36</v>
      </c>
      <c r="Q526" s="2084">
        <f>+O526+M526</f>
        <v>112500.70084327192</v>
      </c>
      <c r="R526" s="2085">
        <f t="shared" si="398"/>
        <v>68689.600000000006</v>
      </c>
      <c r="S526" s="2085">
        <f>+S37</f>
        <v>43500.141355320899</v>
      </c>
      <c r="T526" s="2085">
        <f>+T525+T521+T502+T465</f>
        <v>6018.8899999999994</v>
      </c>
      <c r="U526" s="2084">
        <f>+S526+Q526</f>
        <v>156000.84219859281</v>
      </c>
      <c r="V526" s="2085">
        <f t="shared" si="399"/>
        <v>74708.490000000005</v>
      </c>
      <c r="W526" s="2085">
        <f>+W37</f>
        <v>15300.0147648532</v>
      </c>
      <c r="X526" s="2085">
        <f>+X525+X521+X502+X465</f>
        <v>4685.3600000000006</v>
      </c>
      <c r="Y526" s="346">
        <f t="shared" si="416"/>
        <v>102300.297475495</v>
      </c>
      <c r="Z526" s="2085">
        <f t="shared" si="390"/>
        <v>14569.61</v>
      </c>
      <c r="AA526" s="502">
        <f t="shared" si="417"/>
        <v>171300.85696344601</v>
      </c>
      <c r="AB526" s="2086">
        <f t="shared" si="418"/>
        <v>79393.850000000006</v>
      </c>
      <c r="AC526" s="2085">
        <f>+AC37</f>
        <v>48999.528159756301</v>
      </c>
      <c r="AD526" s="2085">
        <f>+AD525+AD521+AD502+AD465</f>
        <v>5221.92</v>
      </c>
      <c r="AE526" s="2084">
        <f>+AC526+AA526</f>
        <v>220300.38512320232</v>
      </c>
      <c r="AF526" s="2085">
        <f t="shared" si="400"/>
        <v>84615.77</v>
      </c>
      <c r="AG526" s="2085">
        <f>+AG37</f>
        <v>45499.588455674595</v>
      </c>
      <c r="AH526" s="2085">
        <f>+AH525+AH521+AH502+AH465</f>
        <v>0</v>
      </c>
      <c r="AI526" s="2084">
        <f>+AG526+AE526</f>
        <v>265799.97357887693</v>
      </c>
      <c r="AJ526" s="2085">
        <f t="shared" si="401"/>
        <v>84615.77</v>
      </c>
      <c r="AK526" s="2085">
        <f>+AK37</f>
        <v>46000.054244216401</v>
      </c>
      <c r="AL526" s="2085">
        <f>+AL525+AL521+AL502+AL465</f>
        <v>2959.9700000000003</v>
      </c>
      <c r="AM526" s="346">
        <f t="shared" si="419"/>
        <v>140499.17085964727</v>
      </c>
      <c r="AN526" s="717">
        <f t="shared" si="393"/>
        <v>8181.89</v>
      </c>
      <c r="AO526" s="2084">
        <f>+AI526+AK526</f>
        <v>311800.02782309335</v>
      </c>
      <c r="AP526" s="2085">
        <f t="shared" si="420"/>
        <v>87575.74</v>
      </c>
      <c r="AQ526" s="2085">
        <f>+AQ37</f>
        <v>48499.664678463945</v>
      </c>
      <c r="AR526" s="2085">
        <f>+AR525+AR521+AR502+AR465</f>
        <v>5867.05</v>
      </c>
      <c r="AS526" s="2084">
        <f>+AQ526+AO526</f>
        <v>360299.69250155729</v>
      </c>
      <c r="AT526" s="2085">
        <f t="shared" si="402"/>
        <v>93442.790000000008</v>
      </c>
      <c r="AU526" s="2085">
        <f>+AU37</f>
        <v>41500.010429203743</v>
      </c>
      <c r="AV526" s="2085">
        <f>+AV525+AV521+AV502+AV465</f>
        <v>3622.1200000000003</v>
      </c>
      <c r="AW526" s="2084">
        <f>+AU526+AS526</f>
        <v>401799.70293076104</v>
      </c>
      <c r="AX526" s="2085">
        <f t="shared" si="403"/>
        <v>97064.91</v>
      </c>
      <c r="AY526" s="2085">
        <f>+AY37</f>
        <v>46999.690762923987</v>
      </c>
      <c r="AZ526" s="2085">
        <f>+AZ525+AZ521+AZ502+AZ465</f>
        <v>3701.69</v>
      </c>
      <c r="BA526" s="346">
        <f t="shared" si="421"/>
        <v>136999.36587059166</v>
      </c>
      <c r="BB526" s="717">
        <f t="shared" si="395"/>
        <v>13190.86</v>
      </c>
      <c r="BC526" s="502">
        <f>+BA526+AM526</f>
        <v>277498.53673023893</v>
      </c>
      <c r="BD526" s="429">
        <f t="shared" si="411"/>
        <v>21372.75</v>
      </c>
      <c r="BE526" s="2084">
        <f>+BC526+AA526</f>
        <v>448799.39369368495</v>
      </c>
      <c r="BF526" s="718">
        <f t="shared" si="412"/>
        <v>100766.6</v>
      </c>
    </row>
    <row r="527" spans="1:58" ht="15" hidden="1" customHeight="1" x14ac:dyDescent="0.3">
      <c r="A527" s="6069"/>
      <c r="B527" s="2205"/>
      <c r="C527" s="2205"/>
      <c r="D527" s="2205"/>
      <c r="E527" s="5561"/>
      <c r="F527" s="2205"/>
      <c r="G527" s="5561"/>
      <c r="H527" s="2205"/>
      <c r="I527" s="5625"/>
      <c r="J527" s="4930">
        <f t="shared" si="396"/>
        <v>0</v>
      </c>
      <c r="K527" s="5561"/>
      <c r="L527" s="2205"/>
      <c r="M527" s="5635"/>
      <c r="N527" s="4931">
        <f t="shared" si="397"/>
        <v>0</v>
      </c>
      <c r="O527" s="5561"/>
      <c r="P527" s="2205"/>
      <c r="Q527" s="5625"/>
      <c r="R527" s="4930">
        <f t="shared" si="398"/>
        <v>0</v>
      </c>
      <c r="S527" s="5561"/>
      <c r="T527" s="2205"/>
      <c r="U527" s="5625"/>
      <c r="V527" s="4930">
        <f t="shared" si="399"/>
        <v>0</v>
      </c>
      <c r="W527" s="5561"/>
      <c r="X527" s="2205"/>
      <c r="Y527" s="5635"/>
      <c r="Z527" s="5635">
        <f t="shared" si="390"/>
        <v>0</v>
      </c>
      <c r="AA527" s="5645"/>
      <c r="AB527" s="5069">
        <f t="shared" si="418"/>
        <v>0</v>
      </c>
      <c r="AC527" s="5561"/>
      <c r="AD527" s="2205"/>
      <c r="AE527" s="5625"/>
      <c r="AF527" s="4930">
        <f t="shared" si="400"/>
        <v>0</v>
      </c>
      <c r="AG527" s="5561"/>
      <c r="AH527" s="2205"/>
      <c r="AI527" s="5625"/>
      <c r="AJ527" s="4930">
        <f t="shared" si="401"/>
        <v>0</v>
      </c>
      <c r="AK527" s="5561"/>
      <c r="AL527" s="2205"/>
      <c r="AM527" s="5635"/>
      <c r="AN527" s="717">
        <f t="shared" si="393"/>
        <v>0</v>
      </c>
      <c r="AO527" s="5625"/>
      <c r="AP527" s="4930">
        <f t="shared" si="420"/>
        <v>0</v>
      </c>
      <c r="AQ527" s="5561"/>
      <c r="AR527" s="2205"/>
      <c r="AS527" s="5625"/>
      <c r="AT527" s="4930">
        <f t="shared" si="402"/>
        <v>0</v>
      </c>
      <c r="AU527" s="5561"/>
      <c r="AV527" s="2205"/>
      <c r="AW527" s="5625"/>
      <c r="AX527" s="4930">
        <f t="shared" si="403"/>
        <v>0</v>
      </c>
      <c r="AY527" s="5561"/>
      <c r="AZ527" s="2205"/>
      <c r="BA527" s="5635"/>
      <c r="BB527" s="717">
        <f t="shared" si="395"/>
        <v>0</v>
      </c>
      <c r="BC527" s="5645"/>
      <c r="BD527" s="429">
        <f t="shared" si="411"/>
        <v>0</v>
      </c>
      <c r="BE527" s="5625"/>
      <c r="BF527" s="718">
        <f t="shared" si="412"/>
        <v>0</v>
      </c>
    </row>
    <row r="528" spans="1:58" ht="15" hidden="1" customHeight="1" x14ac:dyDescent="0.3">
      <c r="A528" s="6069"/>
      <c r="B528" s="598"/>
      <c r="C528" s="598"/>
      <c r="D528" s="598"/>
      <c r="E528" s="770"/>
      <c r="F528" s="598"/>
      <c r="G528" s="770"/>
      <c r="H528" s="598"/>
      <c r="I528" s="602"/>
      <c r="J528" s="4930">
        <f t="shared" si="396"/>
        <v>0</v>
      </c>
      <c r="K528" s="770"/>
      <c r="L528" s="598"/>
      <c r="M528" s="601"/>
      <c r="N528" s="4931">
        <f t="shared" si="397"/>
        <v>0</v>
      </c>
      <c r="O528" s="770"/>
      <c r="P528" s="598"/>
      <c r="Q528" s="602"/>
      <c r="R528" s="4930">
        <f t="shared" si="398"/>
        <v>0</v>
      </c>
      <c r="S528" s="770"/>
      <c r="T528" s="598"/>
      <c r="U528" s="602"/>
      <c r="V528" s="4930">
        <f t="shared" si="399"/>
        <v>0</v>
      </c>
      <c r="W528" s="770"/>
      <c r="X528" s="598"/>
      <c r="Y528" s="601"/>
      <c r="Z528" s="601">
        <f t="shared" si="390"/>
        <v>0</v>
      </c>
      <c r="AA528" s="771"/>
      <c r="AB528" s="5069">
        <f t="shared" si="418"/>
        <v>0</v>
      </c>
      <c r="AC528" s="770"/>
      <c r="AD528" s="598"/>
      <c r="AE528" s="602"/>
      <c r="AF528" s="4930">
        <f t="shared" si="400"/>
        <v>0</v>
      </c>
      <c r="AG528" s="770"/>
      <c r="AH528" s="598"/>
      <c r="AI528" s="602"/>
      <c r="AJ528" s="4930">
        <f t="shared" si="401"/>
        <v>0</v>
      </c>
      <c r="AK528" s="770"/>
      <c r="AL528" s="598"/>
      <c r="AM528" s="601"/>
      <c r="AN528" s="717">
        <f t="shared" si="393"/>
        <v>0</v>
      </c>
      <c r="AO528" s="602"/>
      <c r="AP528" s="4930">
        <f t="shared" si="420"/>
        <v>0</v>
      </c>
      <c r="AQ528" s="770"/>
      <c r="AR528" s="598"/>
      <c r="AS528" s="602"/>
      <c r="AT528" s="4930">
        <f t="shared" si="402"/>
        <v>0</v>
      </c>
      <c r="AU528" s="770"/>
      <c r="AV528" s="598"/>
      <c r="AW528" s="602"/>
      <c r="AX528" s="4930">
        <f t="shared" si="403"/>
        <v>0</v>
      </c>
      <c r="AY528" s="770"/>
      <c r="AZ528" s="598"/>
      <c r="BA528" s="601"/>
      <c r="BB528" s="717">
        <f t="shared" si="395"/>
        <v>0</v>
      </c>
      <c r="BC528" s="771"/>
      <c r="BD528" s="429">
        <f t="shared" si="411"/>
        <v>0</v>
      </c>
      <c r="BE528" s="602"/>
      <c r="BF528" s="718">
        <f t="shared" si="412"/>
        <v>0</v>
      </c>
    </row>
    <row r="529" spans="1:58" ht="15" hidden="1" customHeight="1" x14ac:dyDescent="0.3">
      <c r="A529" s="6069"/>
      <c r="B529" s="598" t="s">
        <v>1059</v>
      </c>
      <c r="C529" s="598"/>
      <c r="D529" s="598"/>
      <c r="E529" s="365"/>
      <c r="F529" s="1231">
        <f>+F526-F37</f>
        <v>0</v>
      </c>
      <c r="G529" s="365"/>
      <c r="H529" s="1231">
        <f>+H526-H37</f>
        <v>0</v>
      </c>
      <c r="I529" s="336">
        <f>+I526-I37</f>
        <v>0</v>
      </c>
      <c r="J529" s="4930">
        <f t="shared" si="396"/>
        <v>0</v>
      </c>
      <c r="K529" s="365"/>
      <c r="L529" s="1231">
        <f>+L526-L37</f>
        <v>0</v>
      </c>
      <c r="M529" s="411">
        <f>+M526-M37</f>
        <v>0</v>
      </c>
      <c r="N529" s="4931">
        <f t="shared" si="397"/>
        <v>0</v>
      </c>
      <c r="O529" s="365"/>
      <c r="P529" s="1231">
        <f>+P526-P37</f>
        <v>0</v>
      </c>
      <c r="Q529" s="336">
        <f>+Q526-Q37</f>
        <v>0</v>
      </c>
      <c r="R529" s="4930">
        <f t="shared" si="398"/>
        <v>0</v>
      </c>
      <c r="S529" s="365"/>
      <c r="T529" s="1231">
        <f>+T526-T37</f>
        <v>0</v>
      </c>
      <c r="U529" s="336">
        <f>+U526-U37</f>
        <v>0</v>
      </c>
      <c r="V529" s="4930">
        <f t="shared" si="399"/>
        <v>0</v>
      </c>
      <c r="W529" s="365"/>
      <c r="X529" s="1231">
        <f>+X526-X37</f>
        <v>0</v>
      </c>
      <c r="Y529" s="411">
        <f>+Y526-Y37</f>
        <v>0</v>
      </c>
      <c r="Z529" s="411">
        <f t="shared" ref="Z529:Z592" si="422">+P529+T529+X529</f>
        <v>0</v>
      </c>
      <c r="AA529" s="434">
        <f>+AA526-AA37</f>
        <v>0</v>
      </c>
      <c r="AB529" s="5069">
        <f t="shared" si="418"/>
        <v>0</v>
      </c>
      <c r="AC529" s="365"/>
      <c r="AD529" s="1231">
        <f>+AD526-AD37</f>
        <v>0</v>
      </c>
      <c r="AE529" s="336">
        <f>+AE526-AE37</f>
        <v>0</v>
      </c>
      <c r="AF529" s="4930">
        <f t="shared" si="400"/>
        <v>0</v>
      </c>
      <c r="AG529" s="365"/>
      <c r="AH529" s="1231">
        <f>+AH526-AH37</f>
        <v>0</v>
      </c>
      <c r="AI529" s="336">
        <f>+AI526-AI37</f>
        <v>0</v>
      </c>
      <c r="AJ529" s="4930">
        <f t="shared" si="401"/>
        <v>0</v>
      </c>
      <c r="AK529" s="365"/>
      <c r="AL529" s="1231">
        <f>+AL526-AL37</f>
        <v>0</v>
      </c>
      <c r="AM529" s="411">
        <f>+AM526-AM37</f>
        <v>0</v>
      </c>
      <c r="AN529" s="717">
        <f t="shared" ref="AN529:AN592" si="423">+AD529+AH529+AL529</f>
        <v>0</v>
      </c>
      <c r="AO529" s="336">
        <f>+AO526-AO37</f>
        <v>0</v>
      </c>
      <c r="AP529" s="4930">
        <f t="shared" si="420"/>
        <v>0</v>
      </c>
      <c r="AQ529" s="365"/>
      <c r="AR529" s="1231">
        <f>+AR526-AR37</f>
        <v>0</v>
      </c>
      <c r="AS529" s="336">
        <f>+AS526-AS37</f>
        <v>0</v>
      </c>
      <c r="AT529" s="4930">
        <f t="shared" si="402"/>
        <v>0</v>
      </c>
      <c r="AU529" s="365"/>
      <c r="AV529" s="1231">
        <f>+AV526-AV37</f>
        <v>-2022.0800000000004</v>
      </c>
      <c r="AW529" s="336">
        <f>+AW526-AW37</f>
        <v>0</v>
      </c>
      <c r="AX529" s="4930">
        <f t="shared" si="403"/>
        <v>-2022.0800000000004</v>
      </c>
      <c r="AY529" s="365"/>
      <c r="AZ529" s="1231">
        <f>+AZ526-AZ37</f>
        <v>-2066.9</v>
      </c>
      <c r="BA529" s="411">
        <f>+BA526-BA37</f>
        <v>0</v>
      </c>
      <c r="BB529" s="717">
        <f t="shared" ref="BB529:BB592" si="424">+AR529+AV529+AZ529</f>
        <v>-4088.9800000000005</v>
      </c>
      <c r="BC529" s="434">
        <f>+BC526-BC37</f>
        <v>0</v>
      </c>
      <c r="BD529" s="429">
        <f t="shared" si="411"/>
        <v>-4088.9800000000005</v>
      </c>
      <c r="BE529" s="336">
        <f>+BE526-BE37</f>
        <v>0</v>
      </c>
      <c r="BF529" s="718">
        <f t="shared" si="412"/>
        <v>-4088.9800000000005</v>
      </c>
    </row>
    <row r="530" spans="1:58" ht="15" hidden="1" customHeight="1" x14ac:dyDescent="0.3">
      <c r="A530" s="6069"/>
      <c r="B530" s="598"/>
      <c r="C530" s="598"/>
      <c r="D530" s="598"/>
      <c r="E530" s="365"/>
      <c r="F530" s="1231">
        <f>+F526-F95</f>
        <v>0</v>
      </c>
      <c r="G530" s="365"/>
      <c r="H530" s="1231">
        <f>+H526-H95</f>
        <v>6.0000000001309672E-2</v>
      </c>
      <c r="I530" s="336">
        <f>+I526-I93</f>
        <v>0</v>
      </c>
      <c r="J530" s="4930">
        <f t="shared" ref="J530:J593" si="425">F530+H530</f>
        <v>6.0000000001309672E-2</v>
      </c>
      <c r="K530" s="365"/>
      <c r="L530" s="1231">
        <f>+L526-L95</f>
        <v>6803.8099999999995</v>
      </c>
      <c r="M530" s="411">
        <f>+M526-M93</f>
        <v>0</v>
      </c>
      <c r="N530" s="4931">
        <f t="shared" ref="N530:N593" si="426">J530+L530</f>
        <v>6803.8700000000008</v>
      </c>
      <c r="O530" s="365"/>
      <c r="P530" s="1231">
        <f>+P526-P95</f>
        <v>3865.36</v>
      </c>
      <c r="Q530" s="336">
        <f>+Q526-Q93</f>
        <v>0</v>
      </c>
      <c r="R530" s="4930">
        <f t="shared" ref="R530:R593" si="427">N530+P530</f>
        <v>10669.230000000001</v>
      </c>
      <c r="S530" s="365"/>
      <c r="T530" s="1231">
        <f>+T526-T95</f>
        <v>6018.8899999999994</v>
      </c>
      <c r="U530" s="336">
        <f>+U526-U93</f>
        <v>0</v>
      </c>
      <c r="V530" s="4930">
        <f t="shared" ref="V530:V593" si="428">R530+T530</f>
        <v>16688.120000000003</v>
      </c>
      <c r="W530" s="365"/>
      <c r="X530" s="1231">
        <f>+X526-X95</f>
        <v>4685.3600000000006</v>
      </c>
      <c r="Y530" s="411">
        <f>+Y526-Y93</f>
        <v>0</v>
      </c>
      <c r="Z530" s="411">
        <f t="shared" si="422"/>
        <v>14569.61</v>
      </c>
      <c r="AA530" s="434">
        <f>+AA526-AA93</f>
        <v>0</v>
      </c>
      <c r="AB530" s="5069">
        <f t="shared" si="418"/>
        <v>21373.480000000003</v>
      </c>
      <c r="AC530" s="365"/>
      <c r="AD530" s="1231">
        <f>+AD526-AD95</f>
        <v>5221.92</v>
      </c>
      <c r="AE530" s="336">
        <f>+AE526-AE93</f>
        <v>0</v>
      </c>
      <c r="AF530" s="4930">
        <f t="shared" ref="AF530:AF593" si="429">AB530+AD530</f>
        <v>26595.4</v>
      </c>
      <c r="AG530" s="365"/>
      <c r="AH530" s="1231">
        <f>+AH526-AH95</f>
        <v>0</v>
      </c>
      <c r="AI530" s="336">
        <f>+AI526-AI93</f>
        <v>0</v>
      </c>
      <c r="AJ530" s="4930">
        <f t="shared" ref="AJ530:AJ593" si="430">AF530+AH530</f>
        <v>26595.4</v>
      </c>
      <c r="AK530" s="365"/>
      <c r="AL530" s="1231">
        <f>+AL526-AL95</f>
        <v>2959.9700000000003</v>
      </c>
      <c r="AM530" s="411">
        <f>+AM526-AM93</f>
        <v>0</v>
      </c>
      <c r="AN530" s="717">
        <f t="shared" si="423"/>
        <v>8181.89</v>
      </c>
      <c r="AO530" s="336">
        <f>+AO526-AO93</f>
        <v>0</v>
      </c>
      <c r="AP530" s="4930">
        <f t="shared" si="420"/>
        <v>29555.370000000003</v>
      </c>
      <c r="AQ530" s="365"/>
      <c r="AR530" s="1231">
        <f>+AR526-AR95</f>
        <v>5867.05</v>
      </c>
      <c r="AS530" s="336">
        <f>+AS526-AS93</f>
        <v>0</v>
      </c>
      <c r="AT530" s="4930">
        <f t="shared" ref="AT530:AT593" si="431">AP530+AR530</f>
        <v>35422.420000000006</v>
      </c>
      <c r="AU530" s="365"/>
      <c r="AV530" s="1231">
        <f>+AV526-AV95</f>
        <v>3622.1200000000003</v>
      </c>
      <c r="AW530" s="336">
        <f>+AW526-AW93</f>
        <v>0</v>
      </c>
      <c r="AX530" s="4930">
        <f t="shared" ref="AX530:AX593" si="432">AT530+AV530</f>
        <v>39044.540000000008</v>
      </c>
      <c r="AY530" s="365"/>
      <c r="AZ530" s="1231">
        <f>+AZ526-AZ95</f>
        <v>3701.69</v>
      </c>
      <c r="BA530" s="411">
        <f>+BA526-BA93</f>
        <v>0</v>
      </c>
      <c r="BB530" s="717">
        <f t="shared" si="424"/>
        <v>13190.86</v>
      </c>
      <c r="BC530" s="434">
        <f>+BC526-BC93</f>
        <v>0</v>
      </c>
      <c r="BD530" s="429">
        <f t="shared" si="411"/>
        <v>21372.75</v>
      </c>
      <c r="BE530" s="336">
        <f>+BE526-BE93</f>
        <v>0</v>
      </c>
      <c r="BF530" s="718">
        <f t="shared" si="412"/>
        <v>42746.23</v>
      </c>
    </row>
    <row r="531" spans="1:58" ht="15" hidden="1" customHeight="1" x14ac:dyDescent="0.3">
      <c r="A531" s="6069"/>
      <c r="B531" s="598"/>
      <c r="C531" s="598"/>
      <c r="D531" s="598"/>
      <c r="E531" s="770"/>
      <c r="F531" s="598"/>
      <c r="G531" s="770"/>
      <c r="H531" s="598"/>
      <c r="I531" s="602"/>
      <c r="J531" s="4930">
        <f t="shared" si="425"/>
        <v>0</v>
      </c>
      <c r="K531" s="770"/>
      <c r="L531" s="598"/>
      <c r="M531" s="601"/>
      <c r="N531" s="4931">
        <f t="shared" si="426"/>
        <v>0</v>
      </c>
      <c r="O531" s="770"/>
      <c r="P531" s="598"/>
      <c r="Q531" s="602"/>
      <c r="R531" s="4930">
        <f t="shared" si="427"/>
        <v>0</v>
      </c>
      <c r="S531" s="770"/>
      <c r="T531" s="598"/>
      <c r="U531" s="602"/>
      <c r="V531" s="4930">
        <f t="shared" si="428"/>
        <v>0</v>
      </c>
      <c r="W531" s="770"/>
      <c r="X531" s="598"/>
      <c r="Y531" s="601"/>
      <c r="Z531" s="601">
        <f t="shared" si="422"/>
        <v>0</v>
      </c>
      <c r="AA531" s="771"/>
      <c r="AB531" s="5069">
        <f t="shared" si="418"/>
        <v>0</v>
      </c>
      <c r="AC531" s="770"/>
      <c r="AD531" s="598"/>
      <c r="AE531" s="602"/>
      <c r="AF531" s="4930">
        <f t="shared" si="429"/>
        <v>0</v>
      </c>
      <c r="AG531" s="770"/>
      <c r="AH531" s="598"/>
      <c r="AI531" s="602"/>
      <c r="AJ531" s="4930">
        <f t="shared" si="430"/>
        <v>0</v>
      </c>
      <c r="AK531" s="770"/>
      <c r="AL531" s="598"/>
      <c r="AM531" s="601"/>
      <c r="AN531" s="717">
        <f t="shared" si="423"/>
        <v>0</v>
      </c>
      <c r="AO531" s="602"/>
      <c r="AP531" s="4930">
        <f t="shared" si="420"/>
        <v>0</v>
      </c>
      <c r="AQ531" s="770"/>
      <c r="AR531" s="598"/>
      <c r="AS531" s="602"/>
      <c r="AT531" s="4930">
        <f t="shared" si="431"/>
        <v>0</v>
      </c>
      <c r="AU531" s="770"/>
      <c r="AV531" s="598"/>
      <c r="AW531" s="602"/>
      <c r="AX531" s="4930">
        <f t="shared" si="432"/>
        <v>0</v>
      </c>
      <c r="AY531" s="770"/>
      <c r="AZ531" s="598"/>
      <c r="BA531" s="601"/>
      <c r="BB531" s="717">
        <f t="shared" si="424"/>
        <v>0</v>
      </c>
      <c r="BC531" s="771"/>
      <c r="BD531" s="429">
        <f t="shared" si="411"/>
        <v>0</v>
      </c>
      <c r="BE531" s="602"/>
      <c r="BF531" s="718">
        <f t="shared" si="412"/>
        <v>0</v>
      </c>
    </row>
    <row r="532" spans="1:58" ht="15" hidden="1" customHeight="1" x14ac:dyDescent="0.3">
      <c r="A532" s="6069"/>
      <c r="B532" s="598"/>
      <c r="C532" s="598"/>
      <c r="D532" s="598"/>
      <c r="E532" s="770"/>
      <c r="F532" s="598"/>
      <c r="G532" s="770"/>
      <c r="H532" s="598"/>
      <c r="I532" s="602"/>
      <c r="J532" s="4930">
        <f t="shared" si="425"/>
        <v>0</v>
      </c>
      <c r="K532" s="770"/>
      <c r="L532" s="598"/>
      <c r="M532" s="601"/>
      <c r="N532" s="4931">
        <f t="shared" si="426"/>
        <v>0</v>
      </c>
      <c r="O532" s="770"/>
      <c r="P532" s="598"/>
      <c r="Q532" s="602"/>
      <c r="R532" s="4930">
        <f t="shared" si="427"/>
        <v>0</v>
      </c>
      <c r="S532" s="770"/>
      <c r="T532" s="598"/>
      <c r="U532" s="602"/>
      <c r="V532" s="4930">
        <f t="shared" si="428"/>
        <v>0</v>
      </c>
      <c r="W532" s="770"/>
      <c r="X532" s="598"/>
      <c r="Y532" s="601"/>
      <c r="Z532" s="601">
        <f t="shared" si="422"/>
        <v>0</v>
      </c>
      <c r="AA532" s="771"/>
      <c r="AB532" s="5069">
        <f t="shared" si="418"/>
        <v>0</v>
      </c>
      <c r="AC532" s="770"/>
      <c r="AD532" s="598"/>
      <c r="AE532" s="602"/>
      <c r="AF532" s="4930">
        <f t="shared" si="429"/>
        <v>0</v>
      </c>
      <c r="AG532" s="770"/>
      <c r="AH532" s="598"/>
      <c r="AI532" s="602"/>
      <c r="AJ532" s="4930">
        <f t="shared" si="430"/>
        <v>0</v>
      </c>
      <c r="AK532" s="770"/>
      <c r="AL532" s="598"/>
      <c r="AM532" s="601"/>
      <c r="AN532" s="717">
        <f t="shared" si="423"/>
        <v>0</v>
      </c>
      <c r="AO532" s="602"/>
      <c r="AP532" s="4930">
        <f t="shared" si="420"/>
        <v>0</v>
      </c>
      <c r="AQ532" s="770"/>
      <c r="AR532" s="598"/>
      <c r="AS532" s="602"/>
      <c r="AT532" s="4930">
        <f t="shared" si="431"/>
        <v>0</v>
      </c>
      <c r="AU532" s="770"/>
      <c r="AV532" s="598"/>
      <c r="AW532" s="602"/>
      <c r="AX532" s="4930">
        <f t="shared" si="432"/>
        <v>0</v>
      </c>
      <c r="AY532" s="770"/>
      <c r="AZ532" s="598"/>
      <c r="BA532" s="601"/>
      <c r="BB532" s="717">
        <f t="shared" si="424"/>
        <v>0</v>
      </c>
      <c r="BC532" s="771"/>
      <c r="BD532" s="429">
        <f t="shared" si="411"/>
        <v>0</v>
      </c>
      <c r="BE532" s="602"/>
      <c r="BF532" s="718">
        <f t="shared" si="412"/>
        <v>0</v>
      </c>
    </row>
    <row r="533" spans="1:58" ht="15" hidden="1" customHeight="1" x14ac:dyDescent="0.3">
      <c r="A533" s="6069"/>
      <c r="B533" s="598"/>
      <c r="C533" s="598"/>
      <c r="D533" s="598"/>
      <c r="E533" s="770"/>
      <c r="F533" s="598"/>
      <c r="G533" s="770"/>
      <c r="H533" s="598"/>
      <c r="I533" s="602"/>
      <c r="J533" s="4930">
        <f t="shared" si="425"/>
        <v>0</v>
      </c>
      <c r="K533" s="770"/>
      <c r="L533" s="598"/>
      <c r="M533" s="601"/>
      <c r="N533" s="4931">
        <f t="shared" si="426"/>
        <v>0</v>
      </c>
      <c r="O533" s="770"/>
      <c r="P533" s="598"/>
      <c r="Q533" s="602"/>
      <c r="R533" s="4930">
        <f t="shared" si="427"/>
        <v>0</v>
      </c>
      <c r="S533" s="770"/>
      <c r="T533" s="598"/>
      <c r="U533" s="602"/>
      <c r="V533" s="4930">
        <f t="shared" si="428"/>
        <v>0</v>
      </c>
      <c r="W533" s="770"/>
      <c r="X533" s="598"/>
      <c r="Y533" s="601"/>
      <c r="Z533" s="601">
        <f t="shared" si="422"/>
        <v>0</v>
      </c>
      <c r="AA533" s="771"/>
      <c r="AB533" s="5069">
        <f t="shared" si="418"/>
        <v>0</v>
      </c>
      <c r="AC533" s="770"/>
      <c r="AD533" s="598"/>
      <c r="AE533" s="602"/>
      <c r="AF533" s="4930">
        <f t="shared" si="429"/>
        <v>0</v>
      </c>
      <c r="AG533" s="770"/>
      <c r="AH533" s="598"/>
      <c r="AI533" s="602"/>
      <c r="AJ533" s="4930">
        <f t="shared" si="430"/>
        <v>0</v>
      </c>
      <c r="AK533" s="770"/>
      <c r="AL533" s="598"/>
      <c r="AM533" s="601"/>
      <c r="AN533" s="717">
        <f t="shared" si="423"/>
        <v>0</v>
      </c>
      <c r="AO533" s="602"/>
      <c r="AP533" s="4930">
        <f t="shared" si="420"/>
        <v>0</v>
      </c>
      <c r="AQ533" s="770"/>
      <c r="AR533" s="598"/>
      <c r="AS533" s="602"/>
      <c r="AT533" s="4930">
        <f t="shared" si="431"/>
        <v>0</v>
      </c>
      <c r="AU533" s="770"/>
      <c r="AV533" s="598"/>
      <c r="AW533" s="602"/>
      <c r="AX533" s="4930">
        <f t="shared" si="432"/>
        <v>0</v>
      </c>
      <c r="AY533" s="770"/>
      <c r="AZ533" s="598"/>
      <c r="BA533" s="601"/>
      <c r="BB533" s="717">
        <f t="shared" si="424"/>
        <v>0</v>
      </c>
      <c r="BC533" s="771"/>
      <c r="BD533" s="429">
        <f t="shared" si="411"/>
        <v>0</v>
      </c>
      <c r="BE533" s="602"/>
      <c r="BF533" s="718">
        <f t="shared" si="412"/>
        <v>0</v>
      </c>
    </row>
    <row r="534" spans="1:58" ht="15" hidden="1" customHeight="1" x14ac:dyDescent="0.3">
      <c r="A534" s="6070"/>
      <c r="B534" s="598"/>
      <c r="C534" s="598"/>
      <c r="D534" s="598"/>
      <c r="E534" s="770"/>
      <c r="F534" s="598"/>
      <c r="G534" s="770"/>
      <c r="H534" s="598"/>
      <c r="I534" s="602"/>
      <c r="J534" s="4930">
        <f t="shared" si="425"/>
        <v>0</v>
      </c>
      <c r="K534" s="770"/>
      <c r="L534" s="598"/>
      <c r="M534" s="601"/>
      <c r="N534" s="4931">
        <f t="shared" si="426"/>
        <v>0</v>
      </c>
      <c r="O534" s="770"/>
      <c r="P534" s="598"/>
      <c r="Q534" s="602"/>
      <c r="R534" s="4930">
        <f t="shared" si="427"/>
        <v>0</v>
      </c>
      <c r="S534" s="770"/>
      <c r="T534" s="598"/>
      <c r="U534" s="602"/>
      <c r="V534" s="4930">
        <f t="shared" si="428"/>
        <v>0</v>
      </c>
      <c r="W534" s="770"/>
      <c r="X534" s="598"/>
      <c r="Y534" s="601"/>
      <c r="Z534" s="601">
        <f t="shared" si="422"/>
        <v>0</v>
      </c>
      <c r="AA534" s="771"/>
      <c r="AB534" s="5069">
        <f t="shared" si="418"/>
        <v>0</v>
      </c>
      <c r="AC534" s="770"/>
      <c r="AD534" s="598"/>
      <c r="AE534" s="602"/>
      <c r="AF534" s="4930">
        <f t="shared" si="429"/>
        <v>0</v>
      </c>
      <c r="AG534" s="770"/>
      <c r="AH534" s="598"/>
      <c r="AI534" s="602"/>
      <c r="AJ534" s="4930">
        <f t="shared" si="430"/>
        <v>0</v>
      </c>
      <c r="AK534" s="770"/>
      <c r="AL534" s="598"/>
      <c r="AM534" s="601"/>
      <c r="AN534" s="717">
        <f t="shared" si="423"/>
        <v>0</v>
      </c>
      <c r="AO534" s="602"/>
      <c r="AP534" s="4930">
        <f t="shared" si="420"/>
        <v>0</v>
      </c>
      <c r="AQ534" s="770"/>
      <c r="AR534" s="598"/>
      <c r="AS534" s="602"/>
      <c r="AT534" s="4930">
        <f t="shared" si="431"/>
        <v>0</v>
      </c>
      <c r="AU534" s="770"/>
      <c r="AV534" s="598"/>
      <c r="AW534" s="602"/>
      <c r="AX534" s="4930">
        <f t="shared" si="432"/>
        <v>0</v>
      </c>
      <c r="AY534" s="770"/>
      <c r="AZ534" s="598"/>
      <c r="BA534" s="601"/>
      <c r="BB534" s="717">
        <f t="shared" si="424"/>
        <v>0</v>
      </c>
      <c r="BC534" s="771"/>
      <c r="BD534" s="429">
        <f t="shared" si="411"/>
        <v>0</v>
      </c>
      <c r="BE534" s="602"/>
      <c r="BF534" s="718">
        <f t="shared" si="412"/>
        <v>0</v>
      </c>
    </row>
    <row r="535" spans="1:58" ht="15" hidden="1" customHeight="1" x14ac:dyDescent="0.3">
      <c r="A535" s="142"/>
      <c r="B535" s="598"/>
      <c r="C535" s="598"/>
      <c r="D535" s="598"/>
      <c r="E535" s="365"/>
      <c r="F535" s="1231">
        <f>+F327-F87</f>
        <v>0</v>
      </c>
      <c r="G535" s="365"/>
      <c r="H535" s="1231">
        <f>+H327-H87</f>
        <v>0</v>
      </c>
      <c r="I535" s="336">
        <f>+I327-I85</f>
        <v>0</v>
      </c>
      <c r="J535" s="4930">
        <f t="shared" si="425"/>
        <v>0</v>
      </c>
      <c r="K535" s="365"/>
      <c r="L535" s="1231">
        <f>+L327-L87</f>
        <v>0</v>
      </c>
      <c r="M535" s="411">
        <f>+M327-M85</f>
        <v>0</v>
      </c>
      <c r="N535" s="4931">
        <f t="shared" si="426"/>
        <v>0</v>
      </c>
      <c r="O535" s="365"/>
      <c r="P535" s="1231">
        <f>+P327-P87</f>
        <v>0</v>
      </c>
      <c r="Q535" s="336">
        <f>+Q327-Q85</f>
        <v>0</v>
      </c>
      <c r="R535" s="4930">
        <f t="shared" si="427"/>
        <v>0</v>
      </c>
      <c r="S535" s="365"/>
      <c r="T535" s="1231">
        <f>+T327-T87</f>
        <v>0</v>
      </c>
      <c r="U535" s="336">
        <f>+U327-U85</f>
        <v>0</v>
      </c>
      <c r="V535" s="4930">
        <f t="shared" si="428"/>
        <v>0</v>
      </c>
      <c r="W535" s="365"/>
      <c r="X535" s="1231">
        <f>+X327-X87</f>
        <v>0</v>
      </c>
      <c r="Y535" s="411">
        <f>+Y327-Y85</f>
        <v>0</v>
      </c>
      <c r="Z535" s="411">
        <f t="shared" si="422"/>
        <v>0</v>
      </c>
      <c r="AA535" s="434">
        <f>+AA327-AA85</f>
        <v>0</v>
      </c>
      <c r="AB535" s="5069">
        <f t="shared" si="418"/>
        <v>0</v>
      </c>
      <c r="AC535" s="365"/>
      <c r="AD535" s="1231">
        <f>+AD327-AD87</f>
        <v>0</v>
      </c>
      <c r="AE535" s="336">
        <f>+AE327-AE85</f>
        <v>0</v>
      </c>
      <c r="AF535" s="4930">
        <f t="shared" si="429"/>
        <v>0</v>
      </c>
      <c r="AG535" s="365"/>
      <c r="AH535" s="1231">
        <f>+AH327-AH87</f>
        <v>0</v>
      </c>
      <c r="AI535" s="336">
        <f>+AI327-AI85</f>
        <v>0</v>
      </c>
      <c r="AJ535" s="4930">
        <f t="shared" si="430"/>
        <v>0</v>
      </c>
      <c r="AK535" s="365"/>
      <c r="AL535" s="1231">
        <f>+AL327-AL87</f>
        <v>0</v>
      </c>
      <c r="AM535" s="411">
        <f>+AM327-AM85</f>
        <v>0</v>
      </c>
      <c r="AN535" s="717">
        <f t="shared" si="423"/>
        <v>0</v>
      </c>
      <c r="AO535" s="336">
        <f>+AO327-AO85</f>
        <v>0</v>
      </c>
      <c r="AP535" s="4930">
        <f t="shared" si="420"/>
        <v>0</v>
      </c>
      <c r="AQ535" s="365"/>
      <c r="AR535" s="1231">
        <f>+AR327-AR87</f>
        <v>0</v>
      </c>
      <c r="AS535" s="336">
        <f>+AS327-AS85</f>
        <v>0</v>
      </c>
      <c r="AT535" s="4930">
        <f t="shared" si="431"/>
        <v>0</v>
      </c>
      <c r="AU535" s="365"/>
      <c r="AV535" s="1231">
        <f>+AV327-AV87</f>
        <v>0</v>
      </c>
      <c r="AW535" s="336">
        <f>+AW327-AW85</f>
        <v>0</v>
      </c>
      <c r="AX535" s="4930">
        <f t="shared" si="432"/>
        <v>0</v>
      </c>
      <c r="AY535" s="365"/>
      <c r="AZ535" s="1231">
        <f>+AZ327-AZ87</f>
        <v>0</v>
      </c>
      <c r="BA535" s="411">
        <f>+BA327-BA85</f>
        <v>0</v>
      </c>
      <c r="BB535" s="717">
        <f t="shared" si="424"/>
        <v>0</v>
      </c>
      <c r="BC535" s="434">
        <f>+BC327-BC85</f>
        <v>0</v>
      </c>
      <c r="BD535" s="429">
        <f t="shared" si="411"/>
        <v>0</v>
      </c>
      <c r="BE535" s="336">
        <f>+BE327-BE85</f>
        <v>0</v>
      </c>
      <c r="BF535" s="718">
        <f t="shared" si="412"/>
        <v>0</v>
      </c>
    </row>
    <row r="536" spans="1:58" ht="15" hidden="1" customHeight="1" x14ac:dyDescent="0.3">
      <c r="A536" s="142"/>
      <c r="B536" s="598"/>
      <c r="C536" s="598"/>
      <c r="D536" s="598"/>
      <c r="E536" s="365"/>
      <c r="F536" s="1231">
        <f>+F327-F21</f>
        <v>0</v>
      </c>
      <c r="G536" s="365"/>
      <c r="H536" s="1231">
        <f>+H327-H21</f>
        <v>0</v>
      </c>
      <c r="I536" s="336">
        <f>+I327-I21</f>
        <v>0</v>
      </c>
      <c r="J536" s="4930">
        <f t="shared" si="425"/>
        <v>0</v>
      </c>
      <c r="K536" s="365"/>
      <c r="L536" s="1231">
        <f>+L327-L21</f>
        <v>0</v>
      </c>
      <c r="M536" s="411">
        <f>+M327-M21</f>
        <v>0</v>
      </c>
      <c r="N536" s="4931">
        <f t="shared" si="426"/>
        <v>0</v>
      </c>
      <c r="O536" s="365"/>
      <c r="P536" s="1231">
        <f>+P327-P21</f>
        <v>0</v>
      </c>
      <c r="Q536" s="336">
        <f>+Q327-Q21</f>
        <v>0</v>
      </c>
      <c r="R536" s="4930">
        <f t="shared" si="427"/>
        <v>0</v>
      </c>
      <c r="S536" s="365"/>
      <c r="T536" s="1231">
        <f>+T327-T21</f>
        <v>0</v>
      </c>
      <c r="U536" s="336">
        <f>+U327-U21</f>
        <v>0</v>
      </c>
      <c r="V536" s="4930">
        <f t="shared" si="428"/>
        <v>0</v>
      </c>
      <c r="W536" s="365"/>
      <c r="X536" s="1231">
        <f>+X327-X21</f>
        <v>0</v>
      </c>
      <c r="Y536" s="411">
        <f>+Y327-Y21</f>
        <v>0</v>
      </c>
      <c r="Z536" s="411">
        <f t="shared" si="422"/>
        <v>0</v>
      </c>
      <c r="AA536" s="434">
        <f>+AA327-AA21</f>
        <v>0</v>
      </c>
      <c r="AB536" s="5069">
        <f t="shared" si="418"/>
        <v>0</v>
      </c>
      <c r="AC536" s="365"/>
      <c r="AD536" s="1231">
        <f>+AD327-AD21</f>
        <v>0</v>
      </c>
      <c r="AE536" s="336">
        <f>+AE327-AE21</f>
        <v>0</v>
      </c>
      <c r="AF536" s="4930">
        <f t="shared" si="429"/>
        <v>0</v>
      </c>
      <c r="AG536" s="365"/>
      <c r="AH536" s="1231">
        <f>+AH327-AH21</f>
        <v>0</v>
      </c>
      <c r="AI536" s="336">
        <f>+AI327-AI21</f>
        <v>0</v>
      </c>
      <c r="AJ536" s="4930">
        <f t="shared" si="430"/>
        <v>0</v>
      </c>
      <c r="AK536" s="365"/>
      <c r="AL536" s="1231">
        <f>+AL327-AL21</f>
        <v>0</v>
      </c>
      <c r="AM536" s="411">
        <f>+AM327-AM21</f>
        <v>0</v>
      </c>
      <c r="AN536" s="717">
        <f t="shared" si="423"/>
        <v>0</v>
      </c>
      <c r="AO536" s="336">
        <f>+AO327-AO21</f>
        <v>0</v>
      </c>
      <c r="AP536" s="4930">
        <f t="shared" si="420"/>
        <v>0</v>
      </c>
      <c r="AQ536" s="365"/>
      <c r="AR536" s="1231">
        <f>+AR327-AR21</f>
        <v>0</v>
      </c>
      <c r="AS536" s="336">
        <f>+AS327-AS21</f>
        <v>0</v>
      </c>
      <c r="AT536" s="4930">
        <f t="shared" si="431"/>
        <v>0</v>
      </c>
      <c r="AU536" s="365"/>
      <c r="AV536" s="1231">
        <f>+AV327-AV21</f>
        <v>0</v>
      </c>
      <c r="AW536" s="336">
        <f>+AW327-AW21</f>
        <v>0</v>
      </c>
      <c r="AX536" s="4930">
        <f t="shared" si="432"/>
        <v>0</v>
      </c>
      <c r="AY536" s="365"/>
      <c r="AZ536" s="1231">
        <f>+AZ327-AZ21</f>
        <v>0</v>
      </c>
      <c r="BA536" s="411">
        <f>+BA327-BA21</f>
        <v>0</v>
      </c>
      <c r="BB536" s="717">
        <f t="shared" si="424"/>
        <v>0</v>
      </c>
      <c r="BC536" s="434">
        <f>+BC327-BC21</f>
        <v>0</v>
      </c>
      <c r="BD536" s="429">
        <f t="shared" si="411"/>
        <v>0</v>
      </c>
      <c r="BE536" s="336">
        <f>+BE327-BE21</f>
        <v>0</v>
      </c>
      <c r="BF536" s="718">
        <f t="shared" si="412"/>
        <v>0</v>
      </c>
    </row>
    <row r="537" spans="1:58" ht="15" hidden="1" customHeight="1" x14ac:dyDescent="0.3">
      <c r="A537" s="142"/>
      <c r="B537" s="598"/>
      <c r="C537" s="598"/>
      <c r="D537" s="598"/>
      <c r="E537" s="770"/>
      <c r="F537" s="598"/>
      <c r="G537" s="770"/>
      <c r="H537" s="598"/>
      <c r="I537" s="602"/>
      <c r="J537" s="4930">
        <f t="shared" si="425"/>
        <v>0</v>
      </c>
      <c r="K537" s="770"/>
      <c r="L537" s="598"/>
      <c r="M537" s="601"/>
      <c r="N537" s="4931">
        <f t="shared" si="426"/>
        <v>0</v>
      </c>
      <c r="O537" s="770"/>
      <c r="P537" s="598"/>
      <c r="Q537" s="602"/>
      <c r="R537" s="4930">
        <f t="shared" si="427"/>
        <v>0</v>
      </c>
      <c r="S537" s="770"/>
      <c r="T537" s="598"/>
      <c r="U537" s="602"/>
      <c r="V537" s="4930">
        <f t="shared" si="428"/>
        <v>0</v>
      </c>
      <c r="W537" s="770"/>
      <c r="X537" s="598"/>
      <c r="Y537" s="601"/>
      <c r="Z537" s="601">
        <f t="shared" si="422"/>
        <v>0</v>
      </c>
      <c r="AA537" s="771"/>
      <c r="AB537" s="5069">
        <f t="shared" si="418"/>
        <v>0</v>
      </c>
      <c r="AC537" s="770"/>
      <c r="AD537" s="598"/>
      <c r="AE537" s="602"/>
      <c r="AF537" s="4930">
        <f t="shared" si="429"/>
        <v>0</v>
      </c>
      <c r="AG537" s="770"/>
      <c r="AH537" s="598"/>
      <c r="AI537" s="602"/>
      <c r="AJ537" s="4930">
        <f t="shared" si="430"/>
        <v>0</v>
      </c>
      <c r="AK537" s="770"/>
      <c r="AL537" s="598"/>
      <c r="AM537" s="601"/>
      <c r="AN537" s="717">
        <f t="shared" si="423"/>
        <v>0</v>
      </c>
      <c r="AO537" s="602"/>
      <c r="AP537" s="4930">
        <f t="shared" si="420"/>
        <v>0</v>
      </c>
      <c r="AQ537" s="770"/>
      <c r="AR537" s="598"/>
      <c r="AS537" s="602"/>
      <c r="AT537" s="4930">
        <f t="shared" si="431"/>
        <v>0</v>
      </c>
      <c r="AU537" s="770"/>
      <c r="AV537" s="598"/>
      <c r="AW537" s="602"/>
      <c r="AX537" s="4930">
        <f t="shared" si="432"/>
        <v>0</v>
      </c>
      <c r="AY537" s="770"/>
      <c r="AZ537" s="598"/>
      <c r="BA537" s="601"/>
      <c r="BB537" s="717">
        <f t="shared" si="424"/>
        <v>0</v>
      </c>
      <c r="BC537" s="771"/>
      <c r="BD537" s="429">
        <f t="shared" si="411"/>
        <v>0</v>
      </c>
      <c r="BE537" s="602"/>
      <c r="BF537" s="718">
        <f t="shared" si="412"/>
        <v>0</v>
      </c>
    </row>
    <row r="538" spans="1:58" ht="15" hidden="1" customHeight="1" x14ac:dyDescent="0.3">
      <c r="A538" s="142"/>
      <c r="B538" s="6071" t="s">
        <v>114</v>
      </c>
      <c r="C538" s="770"/>
      <c r="D538" s="770"/>
      <c r="E538" s="365"/>
      <c r="F538" s="365">
        <f>+F13-F83</f>
        <v>0</v>
      </c>
      <c r="G538" s="365"/>
      <c r="H538" s="365">
        <f>+H13-H83</f>
        <v>0</v>
      </c>
      <c r="I538" s="336">
        <f>+I13-I81</f>
        <v>0</v>
      </c>
      <c r="J538" s="4930">
        <f t="shared" si="425"/>
        <v>0</v>
      </c>
      <c r="K538" s="365"/>
      <c r="L538" s="365">
        <f>+L13-L83</f>
        <v>0</v>
      </c>
      <c r="M538" s="411">
        <f>+M13-M81</f>
        <v>0</v>
      </c>
      <c r="N538" s="4931">
        <f t="shared" si="426"/>
        <v>0</v>
      </c>
      <c r="O538" s="365"/>
      <c r="P538" s="365">
        <f>+P13-P83</f>
        <v>0</v>
      </c>
      <c r="Q538" s="336">
        <f>+Q13-Q81</f>
        <v>0</v>
      </c>
      <c r="R538" s="4930">
        <f t="shared" si="427"/>
        <v>0</v>
      </c>
      <c r="S538" s="365"/>
      <c r="T538" s="365">
        <f>+T13-T83</f>
        <v>0</v>
      </c>
      <c r="U538" s="336">
        <f>+U13-U81</f>
        <v>0</v>
      </c>
      <c r="V538" s="4930">
        <f t="shared" si="428"/>
        <v>0</v>
      </c>
      <c r="W538" s="365"/>
      <c r="X538" s="365">
        <f>+X13-X83</f>
        <v>0</v>
      </c>
      <c r="Y538" s="411">
        <f>+Y13-Y81</f>
        <v>0</v>
      </c>
      <c r="Z538" s="411">
        <f t="shared" si="422"/>
        <v>0</v>
      </c>
      <c r="AA538" s="434">
        <f>+AA13-AA81</f>
        <v>0</v>
      </c>
      <c r="AB538" s="5069">
        <f t="shared" si="418"/>
        <v>0</v>
      </c>
      <c r="AC538" s="365"/>
      <c r="AD538" s="365">
        <f>+AD13-AD83</f>
        <v>0</v>
      </c>
      <c r="AE538" s="336">
        <f>+AE13-AE81</f>
        <v>0</v>
      </c>
      <c r="AF538" s="4930">
        <f t="shared" si="429"/>
        <v>0</v>
      </c>
      <c r="AG538" s="365"/>
      <c r="AH538" s="365">
        <f>+AH13-AH83</f>
        <v>0</v>
      </c>
      <c r="AI538" s="336">
        <f>+AI13-AI81</f>
        <v>0</v>
      </c>
      <c r="AJ538" s="4930">
        <f t="shared" si="430"/>
        <v>0</v>
      </c>
      <c r="AK538" s="365"/>
      <c r="AL538" s="365">
        <f>+AL13-AL83</f>
        <v>0</v>
      </c>
      <c r="AM538" s="411">
        <f>+AM13-AM81</f>
        <v>0</v>
      </c>
      <c r="AN538" s="717">
        <f t="shared" si="423"/>
        <v>0</v>
      </c>
      <c r="AO538" s="336">
        <f>+AO13-AO81</f>
        <v>0</v>
      </c>
      <c r="AP538" s="4930">
        <f t="shared" si="420"/>
        <v>0</v>
      </c>
      <c r="AQ538" s="365"/>
      <c r="AR538" s="365">
        <f>+AR13-AR83</f>
        <v>0</v>
      </c>
      <c r="AS538" s="336">
        <f>+AS13-AS81</f>
        <v>0</v>
      </c>
      <c r="AT538" s="4930">
        <f t="shared" si="431"/>
        <v>0</v>
      </c>
      <c r="AU538" s="365"/>
      <c r="AV538" s="365">
        <f>+AV13-AV83</f>
        <v>0</v>
      </c>
      <c r="AW538" s="336">
        <f>+AW13-AW81</f>
        <v>0</v>
      </c>
      <c r="AX538" s="4930">
        <f t="shared" si="432"/>
        <v>0</v>
      </c>
      <c r="AY538" s="365"/>
      <c r="AZ538" s="365">
        <f>+AZ13-AZ83</f>
        <v>0</v>
      </c>
      <c r="BA538" s="411">
        <f>+BA13-BA81</f>
        <v>0</v>
      </c>
      <c r="BB538" s="717">
        <f t="shared" si="424"/>
        <v>0</v>
      </c>
      <c r="BC538" s="434">
        <f>+BC13-BC81</f>
        <v>0</v>
      </c>
      <c r="BD538" s="429">
        <f t="shared" si="411"/>
        <v>0</v>
      </c>
      <c r="BE538" s="336">
        <f>+BE13-BE81</f>
        <v>0</v>
      </c>
      <c r="BF538" s="718">
        <f t="shared" si="412"/>
        <v>0</v>
      </c>
    </row>
    <row r="539" spans="1:58" ht="15" hidden="1" customHeight="1" x14ac:dyDescent="0.3">
      <c r="A539" s="142"/>
      <c r="B539" s="6071"/>
      <c r="C539" s="770"/>
      <c r="D539" s="770"/>
      <c r="E539" s="365"/>
      <c r="F539" s="365">
        <f>+F83-F260</f>
        <v>0</v>
      </c>
      <c r="G539" s="365"/>
      <c r="H539" s="365">
        <f>+H83-H260</f>
        <v>0</v>
      </c>
      <c r="I539" s="336">
        <f>+I81-I260</f>
        <v>0</v>
      </c>
      <c r="J539" s="4930">
        <f t="shared" si="425"/>
        <v>0</v>
      </c>
      <c r="K539" s="365"/>
      <c r="L539" s="365">
        <f>+L83-L260</f>
        <v>0</v>
      </c>
      <c r="M539" s="411">
        <f>+M81-M260</f>
        <v>0</v>
      </c>
      <c r="N539" s="4931">
        <f t="shared" si="426"/>
        <v>0</v>
      </c>
      <c r="O539" s="365"/>
      <c r="P539" s="365">
        <f>+P83-P260</f>
        <v>0</v>
      </c>
      <c r="Q539" s="336">
        <f>+Q81-Q260</f>
        <v>0</v>
      </c>
      <c r="R539" s="4930">
        <f t="shared" si="427"/>
        <v>0</v>
      </c>
      <c r="S539" s="365"/>
      <c r="T539" s="365">
        <f>+T83-T260</f>
        <v>0</v>
      </c>
      <c r="U539" s="336">
        <f>+U81-U260</f>
        <v>0</v>
      </c>
      <c r="V539" s="4930">
        <f t="shared" si="428"/>
        <v>0</v>
      </c>
      <c r="W539" s="365"/>
      <c r="X539" s="365">
        <f>+X83-X260</f>
        <v>0</v>
      </c>
      <c r="Y539" s="411">
        <f>+Y81-Y260</f>
        <v>0</v>
      </c>
      <c r="Z539" s="411">
        <f t="shared" si="422"/>
        <v>0</v>
      </c>
      <c r="AA539" s="434">
        <f>+AA81-AA260</f>
        <v>0</v>
      </c>
      <c r="AB539" s="5069">
        <f t="shared" si="418"/>
        <v>0</v>
      </c>
      <c r="AC539" s="365"/>
      <c r="AD539" s="365">
        <f>+AD83-AD260</f>
        <v>0</v>
      </c>
      <c r="AE539" s="336">
        <f>+AE81-AE260</f>
        <v>0</v>
      </c>
      <c r="AF539" s="4930">
        <f t="shared" si="429"/>
        <v>0</v>
      </c>
      <c r="AG539" s="365"/>
      <c r="AH539" s="365">
        <f>+AH83-AH260</f>
        <v>0</v>
      </c>
      <c r="AI539" s="336">
        <f>+AI81-AI260</f>
        <v>0</v>
      </c>
      <c r="AJ539" s="4930">
        <f t="shared" si="430"/>
        <v>0</v>
      </c>
      <c r="AK539" s="365"/>
      <c r="AL539" s="365">
        <f>+AL83-AL260</f>
        <v>0</v>
      </c>
      <c r="AM539" s="411">
        <f>+AM81-AM260</f>
        <v>0</v>
      </c>
      <c r="AN539" s="717">
        <f t="shared" si="423"/>
        <v>0</v>
      </c>
      <c r="AO539" s="336">
        <f>+AO81-AO260</f>
        <v>0</v>
      </c>
      <c r="AP539" s="4930">
        <f t="shared" si="420"/>
        <v>0</v>
      </c>
      <c r="AQ539" s="365"/>
      <c r="AR539" s="365">
        <f>+AR83-AR260</f>
        <v>0</v>
      </c>
      <c r="AS539" s="336">
        <f>+AS81-AS260</f>
        <v>0</v>
      </c>
      <c r="AT539" s="4930">
        <f t="shared" si="431"/>
        <v>0</v>
      </c>
      <c r="AU539" s="365"/>
      <c r="AV539" s="365">
        <f>+AV83-AV260</f>
        <v>0</v>
      </c>
      <c r="AW539" s="336">
        <f>+AW81-AW260</f>
        <v>0</v>
      </c>
      <c r="AX539" s="4930">
        <f t="shared" si="432"/>
        <v>0</v>
      </c>
      <c r="AY539" s="365"/>
      <c r="AZ539" s="365">
        <f>+AZ83-AZ260</f>
        <v>0</v>
      </c>
      <c r="BA539" s="411">
        <f>+BA81-BA260</f>
        <v>0</v>
      </c>
      <c r="BB539" s="717">
        <f t="shared" si="424"/>
        <v>0</v>
      </c>
      <c r="BC539" s="434">
        <f>+BC81-BC260</f>
        <v>0</v>
      </c>
      <c r="BD539" s="429">
        <f t="shared" si="411"/>
        <v>0</v>
      </c>
      <c r="BE539" s="336">
        <f>+BE81-BE260</f>
        <v>0</v>
      </c>
      <c r="BF539" s="718">
        <f t="shared" si="412"/>
        <v>0</v>
      </c>
    </row>
    <row r="540" spans="1:58" ht="15" hidden="1" customHeight="1" x14ac:dyDescent="0.3">
      <c r="A540" s="142"/>
      <c r="B540" s="6071"/>
      <c r="C540" s="770"/>
      <c r="D540" s="770"/>
      <c r="E540" s="365"/>
      <c r="F540" s="365">
        <f>+F13-F260</f>
        <v>0</v>
      </c>
      <c r="G540" s="365"/>
      <c r="H540" s="365">
        <f>+H13-H260</f>
        <v>0</v>
      </c>
      <c r="I540" s="336">
        <f>+I13-I260</f>
        <v>0</v>
      </c>
      <c r="J540" s="4930">
        <f t="shared" si="425"/>
        <v>0</v>
      </c>
      <c r="K540" s="365"/>
      <c r="L540" s="365">
        <f>+L13-L260</f>
        <v>0</v>
      </c>
      <c r="M540" s="411">
        <f>+M13-M260</f>
        <v>0</v>
      </c>
      <c r="N540" s="4931">
        <f t="shared" si="426"/>
        <v>0</v>
      </c>
      <c r="O540" s="365"/>
      <c r="P540" s="365">
        <f>+P13-P260</f>
        <v>0</v>
      </c>
      <c r="Q540" s="336">
        <f>+Q13-Q260</f>
        <v>0</v>
      </c>
      <c r="R540" s="4930">
        <f t="shared" si="427"/>
        <v>0</v>
      </c>
      <c r="S540" s="365"/>
      <c r="T540" s="365">
        <f>+T13-T260</f>
        <v>0</v>
      </c>
      <c r="U540" s="336">
        <f>+U13-U260</f>
        <v>0</v>
      </c>
      <c r="V540" s="4930">
        <f t="shared" si="428"/>
        <v>0</v>
      </c>
      <c r="W540" s="365"/>
      <c r="X540" s="365">
        <f>+X13-X260</f>
        <v>0</v>
      </c>
      <c r="Y540" s="411">
        <f>+Y13-Y260</f>
        <v>0</v>
      </c>
      <c r="Z540" s="411">
        <f t="shared" si="422"/>
        <v>0</v>
      </c>
      <c r="AA540" s="434">
        <f>+AA13-AA260</f>
        <v>0</v>
      </c>
      <c r="AB540" s="5069">
        <f t="shared" si="418"/>
        <v>0</v>
      </c>
      <c r="AC540" s="365"/>
      <c r="AD540" s="365">
        <f>+AD13-AD260</f>
        <v>0</v>
      </c>
      <c r="AE540" s="336">
        <f>+AE13-AE260</f>
        <v>0</v>
      </c>
      <c r="AF540" s="4930">
        <f t="shared" si="429"/>
        <v>0</v>
      </c>
      <c r="AG540" s="365"/>
      <c r="AH540" s="365">
        <f>+AH13-AH260</f>
        <v>0</v>
      </c>
      <c r="AI540" s="336">
        <f>+AI13-AI260</f>
        <v>0</v>
      </c>
      <c r="AJ540" s="4930">
        <f t="shared" si="430"/>
        <v>0</v>
      </c>
      <c r="AK540" s="365"/>
      <c r="AL540" s="365">
        <f>+AL13-AL260</f>
        <v>0</v>
      </c>
      <c r="AM540" s="411">
        <f>+AM13-AM260</f>
        <v>0</v>
      </c>
      <c r="AN540" s="717">
        <f t="shared" si="423"/>
        <v>0</v>
      </c>
      <c r="AO540" s="336">
        <f>+AO13-AO260</f>
        <v>0</v>
      </c>
      <c r="AP540" s="4930">
        <f t="shared" si="420"/>
        <v>0</v>
      </c>
      <c r="AQ540" s="365"/>
      <c r="AR540" s="365">
        <f>+AR13-AR260</f>
        <v>0</v>
      </c>
      <c r="AS540" s="336">
        <f>+AS13-AS260</f>
        <v>0</v>
      </c>
      <c r="AT540" s="4930">
        <f t="shared" si="431"/>
        <v>0</v>
      </c>
      <c r="AU540" s="365"/>
      <c r="AV540" s="365">
        <f>+AV13-AV260</f>
        <v>0</v>
      </c>
      <c r="AW540" s="336">
        <f>+AW13-AW260</f>
        <v>0</v>
      </c>
      <c r="AX540" s="4930">
        <f t="shared" si="432"/>
        <v>0</v>
      </c>
      <c r="AY540" s="365"/>
      <c r="AZ540" s="365">
        <f>+AZ13-AZ260</f>
        <v>0</v>
      </c>
      <c r="BA540" s="411">
        <f>+BA13-BA260</f>
        <v>0</v>
      </c>
      <c r="BB540" s="717">
        <f t="shared" si="424"/>
        <v>0</v>
      </c>
      <c r="BC540" s="434">
        <f>+BC13-BC260</f>
        <v>0</v>
      </c>
      <c r="BD540" s="429">
        <f t="shared" si="411"/>
        <v>0</v>
      </c>
      <c r="BE540" s="336">
        <f>+BE13-BE260</f>
        <v>0</v>
      </c>
      <c r="BF540" s="718">
        <f t="shared" si="412"/>
        <v>0</v>
      </c>
    </row>
    <row r="541" spans="1:58" ht="15" hidden="1" customHeight="1" x14ac:dyDescent="0.3">
      <c r="A541" s="142"/>
      <c r="B541" s="6071"/>
      <c r="C541" s="827"/>
      <c r="D541" s="827"/>
      <c r="E541" s="827"/>
      <c r="F541" s="335">
        <f>+F9-F284</f>
        <v>0</v>
      </c>
      <c r="G541" s="827"/>
      <c r="H541" s="335">
        <f>+H9-H284</f>
        <v>0</v>
      </c>
      <c r="I541" s="602"/>
      <c r="J541" s="4930">
        <f t="shared" si="425"/>
        <v>0</v>
      </c>
      <c r="K541" s="827"/>
      <c r="L541" s="335">
        <f>+L9-L284</f>
        <v>0</v>
      </c>
      <c r="M541" s="601"/>
      <c r="N541" s="4931">
        <f t="shared" si="426"/>
        <v>0</v>
      </c>
      <c r="O541" s="827"/>
      <c r="P541" s="335">
        <f>+P9-P284</f>
        <v>0</v>
      </c>
      <c r="Q541" s="602"/>
      <c r="R541" s="4930">
        <f t="shared" si="427"/>
        <v>0</v>
      </c>
      <c r="S541" s="827"/>
      <c r="T541" s="335">
        <f>+T9-T284</f>
        <v>0</v>
      </c>
      <c r="U541" s="602"/>
      <c r="V541" s="4930">
        <f t="shared" si="428"/>
        <v>0</v>
      </c>
      <c r="W541" s="827"/>
      <c r="X541" s="335">
        <f>+X9-X284</f>
        <v>0</v>
      </c>
      <c r="Y541" s="601"/>
      <c r="Z541" s="601">
        <f t="shared" si="422"/>
        <v>0</v>
      </c>
      <c r="AA541" s="771"/>
      <c r="AB541" s="5069">
        <f t="shared" si="418"/>
        <v>0</v>
      </c>
      <c r="AC541" s="827"/>
      <c r="AD541" s="335">
        <f>+AD9-AD284</f>
        <v>0</v>
      </c>
      <c r="AE541" s="602"/>
      <c r="AF541" s="4930">
        <f t="shared" si="429"/>
        <v>0</v>
      </c>
      <c r="AG541" s="827"/>
      <c r="AH541" s="335">
        <f>+AH9-AH284</f>
        <v>0</v>
      </c>
      <c r="AI541" s="602"/>
      <c r="AJ541" s="4930">
        <f t="shared" si="430"/>
        <v>0</v>
      </c>
      <c r="AK541" s="827"/>
      <c r="AL541" s="335">
        <f>+AL9-AL284</f>
        <v>0</v>
      </c>
      <c r="AM541" s="601"/>
      <c r="AN541" s="717">
        <f t="shared" si="423"/>
        <v>0</v>
      </c>
      <c r="AO541" s="602"/>
      <c r="AP541" s="4930">
        <f t="shared" si="420"/>
        <v>0</v>
      </c>
      <c r="AQ541" s="827"/>
      <c r="AR541" s="335">
        <f>+AR9-AR284</f>
        <v>0</v>
      </c>
      <c r="AS541" s="602"/>
      <c r="AT541" s="4930">
        <f t="shared" si="431"/>
        <v>0</v>
      </c>
      <c r="AU541" s="827"/>
      <c r="AV541" s="335">
        <f>+AV9-AV284</f>
        <v>0</v>
      </c>
      <c r="AW541" s="602"/>
      <c r="AX541" s="4930">
        <f t="shared" si="432"/>
        <v>0</v>
      </c>
      <c r="AY541" s="827"/>
      <c r="AZ541" s="335">
        <f>+AZ9-AZ284</f>
        <v>0</v>
      </c>
      <c r="BA541" s="601"/>
      <c r="BB541" s="717">
        <f t="shared" si="424"/>
        <v>0</v>
      </c>
      <c r="BC541" s="771"/>
      <c r="BD541" s="429">
        <f t="shared" si="411"/>
        <v>0</v>
      </c>
      <c r="BE541" s="602"/>
      <c r="BF541" s="718">
        <f t="shared" si="412"/>
        <v>0</v>
      </c>
    </row>
    <row r="542" spans="1:58" ht="15" hidden="1" customHeight="1" x14ac:dyDescent="0.3">
      <c r="A542" s="142"/>
      <c r="B542" s="6071" t="s">
        <v>1091</v>
      </c>
      <c r="C542" s="243"/>
      <c r="D542" s="243"/>
      <c r="E542" s="335"/>
      <c r="F542" s="335">
        <f>+F21-F87</f>
        <v>0</v>
      </c>
      <c r="G542" s="335"/>
      <c r="H542" s="335">
        <f>+H21-H87</f>
        <v>0</v>
      </c>
      <c r="I542" s="336">
        <f>+I21-I85</f>
        <v>0</v>
      </c>
      <c r="J542" s="4930">
        <f t="shared" si="425"/>
        <v>0</v>
      </c>
      <c r="K542" s="335"/>
      <c r="L542" s="335">
        <f>+L21-L87</f>
        <v>0</v>
      </c>
      <c r="M542" s="411">
        <f>+M21-M85</f>
        <v>0</v>
      </c>
      <c r="N542" s="4931">
        <f t="shared" si="426"/>
        <v>0</v>
      </c>
      <c r="O542" s="335"/>
      <c r="P542" s="335">
        <f>+P21-P87</f>
        <v>0</v>
      </c>
      <c r="Q542" s="336">
        <f>+Q21-Q85</f>
        <v>0</v>
      </c>
      <c r="R542" s="4930">
        <f t="shared" si="427"/>
        <v>0</v>
      </c>
      <c r="S542" s="335"/>
      <c r="T542" s="335">
        <f>+T21-T87</f>
        <v>0</v>
      </c>
      <c r="U542" s="336">
        <f>+U21-U85</f>
        <v>0</v>
      </c>
      <c r="V542" s="4930">
        <f t="shared" si="428"/>
        <v>0</v>
      </c>
      <c r="W542" s="335"/>
      <c r="X542" s="335">
        <f>+X21-X87</f>
        <v>0</v>
      </c>
      <c r="Y542" s="411">
        <f>+Y21-Y85</f>
        <v>0</v>
      </c>
      <c r="Z542" s="411">
        <f t="shared" si="422"/>
        <v>0</v>
      </c>
      <c r="AA542" s="434">
        <f>+AA21-AA85</f>
        <v>0</v>
      </c>
      <c r="AB542" s="5069">
        <f t="shared" si="418"/>
        <v>0</v>
      </c>
      <c r="AC542" s="335"/>
      <c r="AD542" s="335">
        <f>+AD21-AD87</f>
        <v>0</v>
      </c>
      <c r="AE542" s="336">
        <f>+AE21-AE85</f>
        <v>0</v>
      </c>
      <c r="AF542" s="4930">
        <f t="shared" si="429"/>
        <v>0</v>
      </c>
      <c r="AG542" s="335"/>
      <c r="AH542" s="335">
        <f>+AH21-AH87</f>
        <v>0</v>
      </c>
      <c r="AI542" s="336">
        <f>+AI21-AI85</f>
        <v>0</v>
      </c>
      <c r="AJ542" s="4930">
        <f t="shared" si="430"/>
        <v>0</v>
      </c>
      <c r="AK542" s="335"/>
      <c r="AL542" s="335">
        <f>+AL21-AL87</f>
        <v>0</v>
      </c>
      <c r="AM542" s="411">
        <f>+AM21-AM85</f>
        <v>0</v>
      </c>
      <c r="AN542" s="717">
        <f t="shared" si="423"/>
        <v>0</v>
      </c>
      <c r="AO542" s="336">
        <f>+AO21-AO85</f>
        <v>0</v>
      </c>
      <c r="AP542" s="4930">
        <f t="shared" si="420"/>
        <v>0</v>
      </c>
      <c r="AQ542" s="335"/>
      <c r="AR542" s="335">
        <f>+AR21-AR87</f>
        <v>0</v>
      </c>
      <c r="AS542" s="336">
        <f>+AS21-AS85</f>
        <v>0</v>
      </c>
      <c r="AT542" s="4930">
        <f t="shared" si="431"/>
        <v>0</v>
      </c>
      <c r="AU542" s="335"/>
      <c r="AV542" s="335">
        <f>+AV21-AV87</f>
        <v>0</v>
      </c>
      <c r="AW542" s="336">
        <f>+AW21-AW85</f>
        <v>0</v>
      </c>
      <c r="AX542" s="4930">
        <f t="shared" si="432"/>
        <v>0</v>
      </c>
      <c r="AY542" s="335"/>
      <c r="AZ542" s="335">
        <f>+AZ21-AZ87</f>
        <v>0</v>
      </c>
      <c r="BA542" s="411">
        <f>+BA21-BA85</f>
        <v>0</v>
      </c>
      <c r="BB542" s="717">
        <f t="shared" si="424"/>
        <v>0</v>
      </c>
      <c r="BC542" s="434">
        <f>+BC21-BC85</f>
        <v>0</v>
      </c>
      <c r="BD542" s="429">
        <f t="shared" si="411"/>
        <v>0</v>
      </c>
      <c r="BE542" s="336">
        <f>+BE21-BE85</f>
        <v>0</v>
      </c>
      <c r="BF542" s="718">
        <f t="shared" si="412"/>
        <v>0</v>
      </c>
    </row>
    <row r="543" spans="1:58" ht="21.15" hidden="1" customHeight="1" x14ac:dyDescent="0.3">
      <c r="A543" s="142"/>
      <c r="B543" s="6071"/>
      <c r="C543" s="243"/>
      <c r="D543" s="243"/>
      <c r="E543" s="335"/>
      <c r="F543" s="335">
        <f>+F87-F327</f>
        <v>0</v>
      </c>
      <c r="G543" s="335"/>
      <c r="H543" s="335">
        <f>+H87-H327</f>
        <v>0</v>
      </c>
      <c r="I543" s="336">
        <f>+I85-I327</f>
        <v>0</v>
      </c>
      <c r="J543" s="4930">
        <f t="shared" si="425"/>
        <v>0</v>
      </c>
      <c r="K543" s="335"/>
      <c r="L543" s="335">
        <f>+L87-L327</f>
        <v>0</v>
      </c>
      <c r="M543" s="411">
        <f>+M85-M327</f>
        <v>0</v>
      </c>
      <c r="N543" s="4931">
        <f t="shared" si="426"/>
        <v>0</v>
      </c>
      <c r="O543" s="335"/>
      <c r="P543" s="335">
        <f>+P87-P327</f>
        <v>0</v>
      </c>
      <c r="Q543" s="336">
        <f>+Q85-Q327</f>
        <v>0</v>
      </c>
      <c r="R543" s="4930">
        <f t="shared" si="427"/>
        <v>0</v>
      </c>
      <c r="S543" s="335"/>
      <c r="T543" s="335">
        <f>+T87-T327</f>
        <v>0</v>
      </c>
      <c r="U543" s="336">
        <f>+U85-U327</f>
        <v>0</v>
      </c>
      <c r="V543" s="4930">
        <f t="shared" si="428"/>
        <v>0</v>
      </c>
      <c r="W543" s="335"/>
      <c r="X543" s="335">
        <f>+X87-X327</f>
        <v>0</v>
      </c>
      <c r="Y543" s="411">
        <f>+Y85-Y327</f>
        <v>0</v>
      </c>
      <c r="Z543" s="411">
        <f t="shared" si="422"/>
        <v>0</v>
      </c>
      <c r="AA543" s="434">
        <f>+AA85-AA327</f>
        <v>0</v>
      </c>
      <c r="AB543" s="5069">
        <f t="shared" si="418"/>
        <v>0</v>
      </c>
      <c r="AC543" s="335"/>
      <c r="AD543" s="335">
        <f>+AD87-AD327</f>
        <v>0</v>
      </c>
      <c r="AE543" s="336">
        <f>+AE85-AE327</f>
        <v>0</v>
      </c>
      <c r="AF543" s="4930">
        <f t="shared" si="429"/>
        <v>0</v>
      </c>
      <c r="AG543" s="335"/>
      <c r="AH543" s="335">
        <f>+AH87-AH327</f>
        <v>0</v>
      </c>
      <c r="AI543" s="336">
        <f>+AI85-AI327</f>
        <v>0</v>
      </c>
      <c r="AJ543" s="4930">
        <f t="shared" si="430"/>
        <v>0</v>
      </c>
      <c r="AK543" s="335"/>
      <c r="AL543" s="335">
        <f>+AL87-AL327</f>
        <v>0</v>
      </c>
      <c r="AM543" s="411">
        <f>+AM85-AM327</f>
        <v>0</v>
      </c>
      <c r="AN543" s="717">
        <f t="shared" si="423"/>
        <v>0</v>
      </c>
      <c r="AO543" s="336">
        <f>+AO85-AO327</f>
        <v>0</v>
      </c>
      <c r="AP543" s="4930">
        <f t="shared" si="420"/>
        <v>0</v>
      </c>
      <c r="AQ543" s="335"/>
      <c r="AR543" s="335">
        <f>+AR87-AR327</f>
        <v>0</v>
      </c>
      <c r="AS543" s="336">
        <f>+AS85-AS327</f>
        <v>0</v>
      </c>
      <c r="AT543" s="4930">
        <f t="shared" si="431"/>
        <v>0</v>
      </c>
      <c r="AU543" s="335"/>
      <c r="AV543" s="335">
        <f>+AV87-AV327</f>
        <v>0</v>
      </c>
      <c r="AW543" s="336">
        <f>+AW85-AW327</f>
        <v>0</v>
      </c>
      <c r="AX543" s="4930">
        <f t="shared" si="432"/>
        <v>0</v>
      </c>
      <c r="AY543" s="335"/>
      <c r="AZ543" s="335">
        <f>+AZ87-AZ327</f>
        <v>0</v>
      </c>
      <c r="BA543" s="411">
        <f>+BA85-BA327</f>
        <v>0</v>
      </c>
      <c r="BB543" s="717">
        <f t="shared" si="424"/>
        <v>0</v>
      </c>
      <c r="BC543" s="434">
        <f>+BC85-BC327</f>
        <v>0</v>
      </c>
      <c r="BD543" s="429">
        <f t="shared" si="411"/>
        <v>0</v>
      </c>
      <c r="BE543" s="336">
        <f>+BE85-BE327</f>
        <v>0</v>
      </c>
      <c r="BF543" s="718">
        <f t="shared" si="412"/>
        <v>0</v>
      </c>
    </row>
    <row r="544" spans="1:58" ht="15" hidden="1" customHeight="1" x14ac:dyDescent="0.3">
      <c r="A544" s="142"/>
      <c r="B544" s="6071"/>
      <c r="C544" s="243"/>
      <c r="D544" s="243"/>
      <c r="E544" s="335"/>
      <c r="F544" s="335">
        <f>+F21-F327</f>
        <v>0</v>
      </c>
      <c r="G544" s="335"/>
      <c r="H544" s="335">
        <f>+H21-H327</f>
        <v>0</v>
      </c>
      <c r="I544" s="336">
        <f>+I21-I327</f>
        <v>0</v>
      </c>
      <c r="J544" s="4930">
        <f t="shared" si="425"/>
        <v>0</v>
      </c>
      <c r="K544" s="335"/>
      <c r="L544" s="335">
        <f>+L21-L327</f>
        <v>0</v>
      </c>
      <c r="M544" s="411">
        <f>+M21-M327</f>
        <v>0</v>
      </c>
      <c r="N544" s="4931">
        <f t="shared" si="426"/>
        <v>0</v>
      </c>
      <c r="O544" s="335"/>
      <c r="P544" s="335">
        <f>+P21-P327</f>
        <v>0</v>
      </c>
      <c r="Q544" s="336">
        <f>+Q21-Q327</f>
        <v>0</v>
      </c>
      <c r="R544" s="4930">
        <f t="shared" si="427"/>
        <v>0</v>
      </c>
      <c r="S544" s="335"/>
      <c r="T544" s="335">
        <f>+T21-T327</f>
        <v>0</v>
      </c>
      <c r="U544" s="336">
        <f>+U21-U327</f>
        <v>0</v>
      </c>
      <c r="V544" s="4930">
        <f t="shared" si="428"/>
        <v>0</v>
      </c>
      <c r="W544" s="335"/>
      <c r="X544" s="335">
        <f>+X21-X327</f>
        <v>0</v>
      </c>
      <c r="Y544" s="411">
        <f>+Y21-Y327</f>
        <v>0</v>
      </c>
      <c r="Z544" s="411">
        <f t="shared" si="422"/>
        <v>0</v>
      </c>
      <c r="AA544" s="434">
        <f>+AA21-AA327</f>
        <v>0</v>
      </c>
      <c r="AB544" s="5069">
        <f t="shared" si="418"/>
        <v>0</v>
      </c>
      <c r="AC544" s="335"/>
      <c r="AD544" s="335">
        <f>+AD21-AD327</f>
        <v>0</v>
      </c>
      <c r="AE544" s="336">
        <f>+AE21-AE327</f>
        <v>0</v>
      </c>
      <c r="AF544" s="4930">
        <f t="shared" si="429"/>
        <v>0</v>
      </c>
      <c r="AG544" s="335"/>
      <c r="AH544" s="335">
        <f>+AH21-AH327</f>
        <v>0</v>
      </c>
      <c r="AI544" s="336">
        <f>+AI21-AI327</f>
        <v>0</v>
      </c>
      <c r="AJ544" s="4930">
        <f t="shared" si="430"/>
        <v>0</v>
      </c>
      <c r="AK544" s="335"/>
      <c r="AL544" s="335">
        <f>+AL21-AL327</f>
        <v>0</v>
      </c>
      <c r="AM544" s="411">
        <f>+AM21-AM327</f>
        <v>0</v>
      </c>
      <c r="AN544" s="717">
        <f t="shared" si="423"/>
        <v>0</v>
      </c>
      <c r="AO544" s="336">
        <f>+AO21-AO327</f>
        <v>0</v>
      </c>
      <c r="AP544" s="4930">
        <f t="shared" si="420"/>
        <v>0</v>
      </c>
      <c r="AQ544" s="335"/>
      <c r="AR544" s="335">
        <f>+AR21-AR327</f>
        <v>0</v>
      </c>
      <c r="AS544" s="336">
        <f>+AS21-AS327</f>
        <v>0</v>
      </c>
      <c r="AT544" s="4930">
        <f t="shared" si="431"/>
        <v>0</v>
      </c>
      <c r="AU544" s="335"/>
      <c r="AV544" s="335">
        <f>+AV21-AV327</f>
        <v>0</v>
      </c>
      <c r="AW544" s="336">
        <f>+AW21-AW327</f>
        <v>0</v>
      </c>
      <c r="AX544" s="4930">
        <f t="shared" si="432"/>
        <v>0</v>
      </c>
      <c r="AY544" s="335"/>
      <c r="AZ544" s="335">
        <f>+AZ21-AZ327</f>
        <v>0</v>
      </c>
      <c r="BA544" s="411">
        <f>+BA21-BA327</f>
        <v>0</v>
      </c>
      <c r="BB544" s="717">
        <f t="shared" si="424"/>
        <v>0</v>
      </c>
      <c r="BC544" s="434">
        <f>+BC21-BC327</f>
        <v>0</v>
      </c>
      <c r="BD544" s="429">
        <f t="shared" si="411"/>
        <v>0</v>
      </c>
      <c r="BE544" s="336">
        <f>+BE21-BE327</f>
        <v>0</v>
      </c>
      <c r="BF544" s="718">
        <f t="shared" si="412"/>
        <v>0</v>
      </c>
    </row>
    <row r="545" spans="1:58" ht="15" hidden="1" customHeight="1" x14ac:dyDescent="0.3">
      <c r="A545" s="142"/>
      <c r="B545" s="6071"/>
      <c r="C545" s="243"/>
      <c r="D545" s="243"/>
      <c r="E545" s="827"/>
      <c r="F545" s="335">
        <f>+F17-F333</f>
        <v>0</v>
      </c>
      <c r="G545" s="827"/>
      <c r="H545" s="335">
        <f>+H17-H333</f>
        <v>0</v>
      </c>
      <c r="I545" s="602"/>
      <c r="J545" s="4930">
        <f t="shared" si="425"/>
        <v>0</v>
      </c>
      <c r="K545" s="827"/>
      <c r="L545" s="335">
        <f>+L17-L333</f>
        <v>0</v>
      </c>
      <c r="M545" s="601"/>
      <c r="N545" s="4931">
        <f t="shared" si="426"/>
        <v>0</v>
      </c>
      <c r="O545" s="827"/>
      <c r="P545" s="335">
        <f>+P17-P333</f>
        <v>0</v>
      </c>
      <c r="Q545" s="602"/>
      <c r="R545" s="4930">
        <f t="shared" si="427"/>
        <v>0</v>
      </c>
      <c r="S545" s="827"/>
      <c r="T545" s="335">
        <f>+T17-T333</f>
        <v>0</v>
      </c>
      <c r="U545" s="602"/>
      <c r="V545" s="4930">
        <f t="shared" si="428"/>
        <v>0</v>
      </c>
      <c r="W545" s="827"/>
      <c r="X545" s="335">
        <f>+X17-X333</f>
        <v>0</v>
      </c>
      <c r="Y545" s="601"/>
      <c r="Z545" s="601">
        <f t="shared" si="422"/>
        <v>0</v>
      </c>
      <c r="AA545" s="771"/>
      <c r="AB545" s="5069">
        <f t="shared" si="418"/>
        <v>0</v>
      </c>
      <c r="AC545" s="827"/>
      <c r="AD545" s="335">
        <f>+AD17-AD333</f>
        <v>0</v>
      </c>
      <c r="AE545" s="602"/>
      <c r="AF545" s="4930">
        <f t="shared" si="429"/>
        <v>0</v>
      </c>
      <c r="AG545" s="827"/>
      <c r="AH545" s="335">
        <f>+AH17-AH333</f>
        <v>0</v>
      </c>
      <c r="AI545" s="602"/>
      <c r="AJ545" s="4930">
        <f t="shared" si="430"/>
        <v>0</v>
      </c>
      <c r="AK545" s="827"/>
      <c r="AL545" s="335">
        <f>+AL17-AL333</f>
        <v>0</v>
      </c>
      <c r="AM545" s="601"/>
      <c r="AN545" s="717">
        <f t="shared" si="423"/>
        <v>0</v>
      </c>
      <c r="AO545" s="602"/>
      <c r="AP545" s="4930">
        <f t="shared" si="420"/>
        <v>0</v>
      </c>
      <c r="AQ545" s="827"/>
      <c r="AR545" s="335">
        <f>+AR17-AR333</f>
        <v>0</v>
      </c>
      <c r="AS545" s="602"/>
      <c r="AT545" s="4930">
        <f t="shared" si="431"/>
        <v>0</v>
      </c>
      <c r="AU545" s="827"/>
      <c r="AV545" s="335">
        <f>+AV17-AV333</f>
        <v>0</v>
      </c>
      <c r="AW545" s="602"/>
      <c r="AX545" s="4930">
        <f t="shared" si="432"/>
        <v>0</v>
      </c>
      <c r="AY545" s="827"/>
      <c r="AZ545" s="335">
        <f>+AZ17-AZ333</f>
        <v>0</v>
      </c>
      <c r="BA545" s="601"/>
      <c r="BB545" s="717">
        <f t="shared" si="424"/>
        <v>0</v>
      </c>
      <c r="BC545" s="771"/>
      <c r="BD545" s="429">
        <f t="shared" si="411"/>
        <v>0</v>
      </c>
      <c r="BE545" s="602"/>
      <c r="BF545" s="718">
        <f t="shared" si="412"/>
        <v>0</v>
      </c>
    </row>
    <row r="546" spans="1:58" ht="15" hidden="1" customHeight="1" x14ac:dyDescent="0.3">
      <c r="A546" s="142"/>
      <c r="B546" s="6071" t="s">
        <v>1092</v>
      </c>
      <c r="C546" s="598"/>
      <c r="D546" s="598"/>
      <c r="E546" s="365"/>
      <c r="F546" s="365">
        <f>+F29-F91</f>
        <v>0</v>
      </c>
      <c r="G546" s="365"/>
      <c r="H546" s="365">
        <f>+H29-H91</f>
        <v>0</v>
      </c>
      <c r="I546" s="336">
        <f>+I29-I89</f>
        <v>0</v>
      </c>
      <c r="J546" s="4930">
        <f t="shared" si="425"/>
        <v>0</v>
      </c>
      <c r="K546" s="365"/>
      <c r="L546" s="365">
        <f>+L29-L91</f>
        <v>0</v>
      </c>
      <c r="M546" s="411">
        <f>+M29-M89</f>
        <v>0</v>
      </c>
      <c r="N546" s="4931">
        <f t="shared" si="426"/>
        <v>0</v>
      </c>
      <c r="O546" s="365"/>
      <c r="P546" s="365">
        <f>+P29-P91</f>
        <v>0</v>
      </c>
      <c r="Q546" s="336">
        <f>+Q29-Q89</f>
        <v>0</v>
      </c>
      <c r="R546" s="4930">
        <f t="shared" si="427"/>
        <v>0</v>
      </c>
      <c r="S546" s="365"/>
      <c r="T546" s="365">
        <f>+T29-T91</f>
        <v>0</v>
      </c>
      <c r="U546" s="336">
        <f>+U29-U89</f>
        <v>0</v>
      </c>
      <c r="V546" s="4930">
        <f t="shared" si="428"/>
        <v>0</v>
      </c>
      <c r="W546" s="365"/>
      <c r="X546" s="365">
        <f>+X29-X91</f>
        <v>0</v>
      </c>
      <c r="Y546" s="411">
        <f>+Y29-Y89</f>
        <v>0</v>
      </c>
      <c r="Z546" s="411">
        <f t="shared" si="422"/>
        <v>0</v>
      </c>
      <c r="AA546" s="434">
        <f>+AA29-AA89</f>
        <v>0</v>
      </c>
      <c r="AB546" s="5069">
        <f t="shared" si="418"/>
        <v>0</v>
      </c>
      <c r="AC546" s="365"/>
      <c r="AD546" s="365">
        <f>+AD29-AD91</f>
        <v>0</v>
      </c>
      <c r="AE546" s="336">
        <f>+AE29-AE89</f>
        <v>0</v>
      </c>
      <c r="AF546" s="4930">
        <f t="shared" si="429"/>
        <v>0</v>
      </c>
      <c r="AG546" s="365"/>
      <c r="AH546" s="365">
        <f>+AH29-AH91</f>
        <v>0</v>
      </c>
      <c r="AI546" s="336">
        <f>+AI29-AI89</f>
        <v>0</v>
      </c>
      <c r="AJ546" s="4930">
        <f t="shared" si="430"/>
        <v>0</v>
      </c>
      <c r="AK546" s="365"/>
      <c r="AL546" s="365">
        <f>+AL29-AL91</f>
        <v>0</v>
      </c>
      <c r="AM546" s="411">
        <f>+AM29-AM89</f>
        <v>0</v>
      </c>
      <c r="AN546" s="717">
        <f t="shared" si="423"/>
        <v>0</v>
      </c>
      <c r="AO546" s="336">
        <f>+AO29-AO89</f>
        <v>0</v>
      </c>
      <c r="AP546" s="4930">
        <f t="shared" si="420"/>
        <v>0</v>
      </c>
      <c r="AQ546" s="365"/>
      <c r="AR546" s="365">
        <f>+AR29-AR91</f>
        <v>0</v>
      </c>
      <c r="AS546" s="336">
        <f>+AS29-AS89</f>
        <v>0</v>
      </c>
      <c r="AT546" s="4930">
        <f t="shared" si="431"/>
        <v>0</v>
      </c>
      <c r="AU546" s="365"/>
      <c r="AV546" s="365">
        <f>+AV29-AV91</f>
        <v>0</v>
      </c>
      <c r="AW546" s="336">
        <f>+AW29-AW89</f>
        <v>0</v>
      </c>
      <c r="AX546" s="4930">
        <f t="shared" si="432"/>
        <v>0</v>
      </c>
      <c r="AY546" s="365"/>
      <c r="AZ546" s="365">
        <f>+AZ29-AZ91</f>
        <v>0</v>
      </c>
      <c r="BA546" s="411">
        <f>+BA29-BA89</f>
        <v>0</v>
      </c>
      <c r="BB546" s="717">
        <f t="shared" si="424"/>
        <v>0</v>
      </c>
      <c r="BC546" s="434">
        <f>+BC29-BC89</f>
        <v>0</v>
      </c>
      <c r="BD546" s="429">
        <f t="shared" si="411"/>
        <v>0</v>
      </c>
      <c r="BE546" s="336">
        <f>+BE29-BE89</f>
        <v>0</v>
      </c>
      <c r="BF546" s="718">
        <f t="shared" si="412"/>
        <v>0</v>
      </c>
    </row>
    <row r="547" spans="1:58" ht="15" hidden="1" customHeight="1" x14ac:dyDescent="0.3">
      <c r="A547" s="142"/>
      <c r="B547" s="6071"/>
      <c r="C547" s="598"/>
      <c r="D547" s="598"/>
      <c r="E547" s="365"/>
      <c r="F547" s="365">
        <f>+F91-F445</f>
        <v>0</v>
      </c>
      <c r="G547" s="365"/>
      <c r="H547" s="365">
        <f>+H91-H445</f>
        <v>0</v>
      </c>
      <c r="I547" s="336">
        <f>+I89-I445</f>
        <v>0</v>
      </c>
      <c r="J547" s="4930">
        <f t="shared" si="425"/>
        <v>0</v>
      </c>
      <c r="K547" s="365"/>
      <c r="L547" s="365">
        <f>+L91-L445</f>
        <v>0</v>
      </c>
      <c r="M547" s="411">
        <f>+M89-M445</f>
        <v>0</v>
      </c>
      <c r="N547" s="4931">
        <f t="shared" si="426"/>
        <v>0</v>
      </c>
      <c r="O547" s="365"/>
      <c r="P547" s="365">
        <f>+P91-P445</f>
        <v>0</v>
      </c>
      <c r="Q547" s="336">
        <f>+Q89-Q445</f>
        <v>0</v>
      </c>
      <c r="R547" s="4930">
        <f t="shared" si="427"/>
        <v>0</v>
      </c>
      <c r="S547" s="365"/>
      <c r="T547" s="365">
        <f>+T91-T445</f>
        <v>0</v>
      </c>
      <c r="U547" s="336">
        <f>+U89-U445</f>
        <v>0</v>
      </c>
      <c r="V547" s="4930">
        <f t="shared" si="428"/>
        <v>0</v>
      </c>
      <c r="W547" s="365"/>
      <c r="X547" s="365">
        <f>+X91-X445</f>
        <v>0</v>
      </c>
      <c r="Y547" s="411">
        <f>+Y89-Y445</f>
        <v>0</v>
      </c>
      <c r="Z547" s="411">
        <f t="shared" si="422"/>
        <v>0</v>
      </c>
      <c r="AA547" s="434">
        <f>+AA89-AA445</f>
        <v>0</v>
      </c>
      <c r="AB547" s="5069">
        <f t="shared" si="418"/>
        <v>0</v>
      </c>
      <c r="AC547" s="365"/>
      <c r="AD547" s="365">
        <f>+AD91-AD445</f>
        <v>0</v>
      </c>
      <c r="AE547" s="336">
        <f>+AE89-AE445</f>
        <v>0</v>
      </c>
      <c r="AF547" s="4930">
        <f t="shared" si="429"/>
        <v>0</v>
      </c>
      <c r="AG547" s="365"/>
      <c r="AH547" s="365">
        <f>+AH91-AH445</f>
        <v>0</v>
      </c>
      <c r="AI547" s="336">
        <f>+AI89-AI445</f>
        <v>0</v>
      </c>
      <c r="AJ547" s="4930">
        <f t="shared" si="430"/>
        <v>0</v>
      </c>
      <c r="AK547" s="365"/>
      <c r="AL547" s="365">
        <f>+AL91-AL445</f>
        <v>0</v>
      </c>
      <c r="AM547" s="411">
        <f>+AM89-AM445</f>
        <v>0</v>
      </c>
      <c r="AN547" s="717">
        <f t="shared" si="423"/>
        <v>0</v>
      </c>
      <c r="AO547" s="336">
        <f>+AO89-AO445</f>
        <v>0</v>
      </c>
      <c r="AP547" s="4930">
        <f t="shared" si="420"/>
        <v>0</v>
      </c>
      <c r="AQ547" s="365"/>
      <c r="AR547" s="365">
        <f>+AR91-AR445</f>
        <v>0</v>
      </c>
      <c r="AS547" s="336">
        <f>+AS89-AS445</f>
        <v>0</v>
      </c>
      <c r="AT547" s="4930">
        <f t="shared" si="431"/>
        <v>0</v>
      </c>
      <c r="AU547" s="365"/>
      <c r="AV547" s="365">
        <f>+AV91-AV445</f>
        <v>0</v>
      </c>
      <c r="AW547" s="336">
        <f>+AW89-AW445</f>
        <v>0</v>
      </c>
      <c r="AX547" s="4930">
        <f t="shared" si="432"/>
        <v>0</v>
      </c>
      <c r="AY547" s="365"/>
      <c r="AZ547" s="365">
        <f>+AZ91-AZ445</f>
        <v>0</v>
      </c>
      <c r="BA547" s="411">
        <f>+BA89-BA445</f>
        <v>0</v>
      </c>
      <c r="BB547" s="717">
        <f t="shared" si="424"/>
        <v>0</v>
      </c>
      <c r="BC547" s="434">
        <f>+BC89-BC445</f>
        <v>0</v>
      </c>
      <c r="BD547" s="429">
        <f t="shared" si="411"/>
        <v>0</v>
      </c>
      <c r="BE547" s="336">
        <f>+BE89-BE445</f>
        <v>0</v>
      </c>
      <c r="BF547" s="718">
        <f t="shared" si="412"/>
        <v>0</v>
      </c>
    </row>
    <row r="548" spans="1:58" ht="15" hidden="1" customHeight="1" x14ac:dyDescent="0.3">
      <c r="A548" s="142"/>
      <c r="B548" s="6071"/>
      <c r="C548" s="598"/>
      <c r="D548" s="598"/>
      <c r="E548" s="365"/>
      <c r="F548" s="365">
        <f>+F29-F445</f>
        <v>0</v>
      </c>
      <c r="G548" s="365"/>
      <c r="H548" s="365">
        <f>+H29-H445</f>
        <v>0</v>
      </c>
      <c r="I548" s="336">
        <f>I29-I445</f>
        <v>0</v>
      </c>
      <c r="J548" s="4930">
        <f t="shared" si="425"/>
        <v>0</v>
      </c>
      <c r="K548" s="365"/>
      <c r="L548" s="365">
        <f>+L29-L445</f>
        <v>0</v>
      </c>
      <c r="M548" s="411">
        <f>M29-M445</f>
        <v>0</v>
      </c>
      <c r="N548" s="4931">
        <f t="shared" si="426"/>
        <v>0</v>
      </c>
      <c r="O548" s="365"/>
      <c r="P548" s="365">
        <f>+P29-P445</f>
        <v>0</v>
      </c>
      <c r="Q548" s="336">
        <f>Q29-Q445</f>
        <v>0</v>
      </c>
      <c r="R548" s="4930">
        <f t="shared" si="427"/>
        <v>0</v>
      </c>
      <c r="S548" s="365"/>
      <c r="T548" s="365">
        <f>+T29-T445</f>
        <v>0</v>
      </c>
      <c r="U548" s="336">
        <f>U29-U445</f>
        <v>0</v>
      </c>
      <c r="V548" s="4930">
        <f t="shared" si="428"/>
        <v>0</v>
      </c>
      <c r="W548" s="365"/>
      <c r="X548" s="365">
        <f>+X29-X445</f>
        <v>0</v>
      </c>
      <c r="Y548" s="411">
        <f>Y29-Y445</f>
        <v>0</v>
      </c>
      <c r="Z548" s="411">
        <f t="shared" si="422"/>
        <v>0</v>
      </c>
      <c r="AA548" s="434">
        <f>AA29-AA445</f>
        <v>0</v>
      </c>
      <c r="AB548" s="5069">
        <f t="shared" si="418"/>
        <v>0</v>
      </c>
      <c r="AC548" s="365"/>
      <c r="AD548" s="365">
        <f>+AD29-AD445</f>
        <v>0</v>
      </c>
      <c r="AE548" s="336">
        <f>AE29-AE445</f>
        <v>0</v>
      </c>
      <c r="AF548" s="4930">
        <f t="shared" si="429"/>
        <v>0</v>
      </c>
      <c r="AG548" s="365"/>
      <c r="AH548" s="365">
        <f>+AH29-AH445</f>
        <v>0</v>
      </c>
      <c r="AI548" s="336">
        <f>AI29-AI445</f>
        <v>0</v>
      </c>
      <c r="AJ548" s="4930">
        <f t="shared" si="430"/>
        <v>0</v>
      </c>
      <c r="AK548" s="365"/>
      <c r="AL548" s="365">
        <f>+AL29-AL445</f>
        <v>0</v>
      </c>
      <c r="AM548" s="411">
        <f>AM29-AM445</f>
        <v>0</v>
      </c>
      <c r="AN548" s="717">
        <f t="shared" si="423"/>
        <v>0</v>
      </c>
      <c r="AO548" s="336">
        <f>AO29-AO445</f>
        <v>0</v>
      </c>
      <c r="AP548" s="4930">
        <f t="shared" si="420"/>
        <v>0</v>
      </c>
      <c r="AQ548" s="365"/>
      <c r="AR548" s="365">
        <f>+AR29-AR445</f>
        <v>0</v>
      </c>
      <c r="AS548" s="336">
        <f>AS29-AS445</f>
        <v>0</v>
      </c>
      <c r="AT548" s="4930">
        <f t="shared" si="431"/>
        <v>0</v>
      </c>
      <c r="AU548" s="365"/>
      <c r="AV548" s="365">
        <f>+AV29-AV445</f>
        <v>0</v>
      </c>
      <c r="AW548" s="336">
        <f>AW29-AW445</f>
        <v>0</v>
      </c>
      <c r="AX548" s="4930">
        <f t="shared" si="432"/>
        <v>0</v>
      </c>
      <c r="AY548" s="365"/>
      <c r="AZ548" s="365">
        <f>+AZ29-AZ445</f>
        <v>0</v>
      </c>
      <c r="BA548" s="411">
        <f>BA29-BA445</f>
        <v>0</v>
      </c>
      <c r="BB548" s="717">
        <f t="shared" si="424"/>
        <v>0</v>
      </c>
      <c r="BC548" s="434">
        <f>BC29-BC445</f>
        <v>0</v>
      </c>
      <c r="BD548" s="429">
        <f t="shared" si="411"/>
        <v>0</v>
      </c>
      <c r="BE548" s="336">
        <f>BE29-BE445</f>
        <v>0</v>
      </c>
      <c r="BF548" s="718">
        <f t="shared" si="412"/>
        <v>0</v>
      </c>
    </row>
    <row r="549" spans="1:58" ht="15" hidden="1" customHeight="1" x14ac:dyDescent="0.3">
      <c r="A549" s="142"/>
      <c r="B549" s="6071"/>
      <c r="C549" s="598"/>
      <c r="D549" s="598"/>
      <c r="E549" s="770"/>
      <c r="F549" s="365">
        <f>+F25-F460</f>
        <v>0</v>
      </c>
      <c r="G549" s="770"/>
      <c r="H549" s="365">
        <f>+H25-H460</f>
        <v>0</v>
      </c>
      <c r="I549" s="602"/>
      <c r="J549" s="4930">
        <f t="shared" si="425"/>
        <v>0</v>
      </c>
      <c r="K549" s="770"/>
      <c r="L549" s="365">
        <f>+L25-L460</f>
        <v>0</v>
      </c>
      <c r="M549" s="601"/>
      <c r="N549" s="4931">
        <f t="shared" si="426"/>
        <v>0</v>
      </c>
      <c r="O549" s="770"/>
      <c r="P549" s="365">
        <f>+P25-P460</f>
        <v>0</v>
      </c>
      <c r="Q549" s="602"/>
      <c r="R549" s="4930">
        <f t="shared" si="427"/>
        <v>0</v>
      </c>
      <c r="S549" s="770"/>
      <c r="T549" s="365">
        <f>+T25-T460</f>
        <v>0</v>
      </c>
      <c r="U549" s="602"/>
      <c r="V549" s="4930">
        <f t="shared" si="428"/>
        <v>0</v>
      </c>
      <c r="W549" s="770"/>
      <c r="X549" s="365">
        <f>+X25-X460</f>
        <v>0</v>
      </c>
      <c r="Y549" s="601"/>
      <c r="Z549" s="601">
        <f t="shared" si="422"/>
        <v>0</v>
      </c>
      <c r="AA549" s="771"/>
      <c r="AB549" s="5069">
        <f t="shared" si="418"/>
        <v>0</v>
      </c>
      <c r="AC549" s="770"/>
      <c r="AD549" s="365">
        <f>+AD25-AD460</f>
        <v>0</v>
      </c>
      <c r="AE549" s="602"/>
      <c r="AF549" s="4930">
        <f t="shared" si="429"/>
        <v>0</v>
      </c>
      <c r="AG549" s="770"/>
      <c r="AH549" s="365">
        <f>+AH25-AH460</f>
        <v>0</v>
      </c>
      <c r="AI549" s="602"/>
      <c r="AJ549" s="4930">
        <f t="shared" si="430"/>
        <v>0</v>
      </c>
      <c r="AK549" s="770"/>
      <c r="AL549" s="365">
        <f>+AL25-AL460</f>
        <v>0</v>
      </c>
      <c r="AM549" s="601"/>
      <c r="AN549" s="717">
        <f t="shared" si="423"/>
        <v>0</v>
      </c>
      <c r="AO549" s="602"/>
      <c r="AP549" s="4930">
        <f t="shared" si="420"/>
        <v>0</v>
      </c>
      <c r="AQ549" s="770"/>
      <c r="AR549" s="365">
        <f>+AR25-AR460</f>
        <v>0</v>
      </c>
      <c r="AS549" s="602"/>
      <c r="AT549" s="4930">
        <f t="shared" si="431"/>
        <v>0</v>
      </c>
      <c r="AU549" s="770"/>
      <c r="AV549" s="365">
        <f>+AV25-AV460</f>
        <v>0</v>
      </c>
      <c r="AW549" s="602"/>
      <c r="AX549" s="4930">
        <f t="shared" si="432"/>
        <v>0</v>
      </c>
      <c r="AY549" s="770"/>
      <c r="AZ549" s="365">
        <f>+AZ25-AZ460</f>
        <v>0</v>
      </c>
      <c r="BA549" s="601"/>
      <c r="BB549" s="717">
        <f t="shared" si="424"/>
        <v>0</v>
      </c>
      <c r="BC549" s="771"/>
      <c r="BD549" s="429">
        <f t="shared" si="411"/>
        <v>0</v>
      </c>
      <c r="BE549" s="602"/>
      <c r="BF549" s="718">
        <f t="shared" si="412"/>
        <v>0</v>
      </c>
    </row>
    <row r="550" spans="1:58" ht="15" hidden="1" customHeight="1" x14ac:dyDescent="0.3">
      <c r="A550" s="142"/>
      <c r="B550" s="6071" t="s">
        <v>487</v>
      </c>
      <c r="C550" s="770"/>
      <c r="D550" s="770"/>
      <c r="E550" s="365"/>
      <c r="F550" s="365">
        <f>+F37-F95</f>
        <v>0</v>
      </c>
      <c r="G550" s="365"/>
      <c r="H550" s="365">
        <f>+H37-H95</f>
        <v>5.9999999997671694E-2</v>
      </c>
      <c r="I550" s="336">
        <f>+I37-I93</f>
        <v>0</v>
      </c>
      <c r="J550" s="4930">
        <f t="shared" si="425"/>
        <v>5.9999999997671694E-2</v>
      </c>
      <c r="K550" s="365"/>
      <c r="L550" s="365">
        <f>+L37-L95</f>
        <v>6803.8099999999995</v>
      </c>
      <c r="M550" s="411">
        <f>+M37-M93</f>
        <v>0</v>
      </c>
      <c r="N550" s="4931">
        <f t="shared" si="426"/>
        <v>6803.8699999999972</v>
      </c>
      <c r="O550" s="365"/>
      <c r="P550" s="365">
        <f>+P37-P95</f>
        <v>3865.36</v>
      </c>
      <c r="Q550" s="336">
        <f>+Q37-Q93</f>
        <v>0</v>
      </c>
      <c r="R550" s="4930">
        <f t="shared" si="427"/>
        <v>10669.229999999998</v>
      </c>
      <c r="S550" s="365"/>
      <c r="T550" s="365">
        <f>+T37-T95</f>
        <v>6018.89</v>
      </c>
      <c r="U550" s="336">
        <f>+U37-U93</f>
        <v>0</v>
      </c>
      <c r="V550" s="4930">
        <f t="shared" si="428"/>
        <v>16688.12</v>
      </c>
      <c r="W550" s="365"/>
      <c r="X550" s="365">
        <f>+X37-X95</f>
        <v>4685.3600000000006</v>
      </c>
      <c r="Y550" s="411">
        <f>+Y37-Y93</f>
        <v>0</v>
      </c>
      <c r="Z550" s="411">
        <f t="shared" si="422"/>
        <v>14569.61</v>
      </c>
      <c r="AA550" s="434">
        <f>+AA37-AA93</f>
        <v>0</v>
      </c>
      <c r="AB550" s="5069">
        <f t="shared" si="418"/>
        <v>21373.48</v>
      </c>
      <c r="AC550" s="365"/>
      <c r="AD550" s="365">
        <f>+AD37-AD95</f>
        <v>5221.92</v>
      </c>
      <c r="AE550" s="336">
        <f>+AE37-AE93</f>
        <v>0</v>
      </c>
      <c r="AF550" s="4930">
        <f t="shared" si="429"/>
        <v>26595.4</v>
      </c>
      <c r="AG550" s="365"/>
      <c r="AH550" s="365">
        <f>+AH37-AH95</f>
        <v>0</v>
      </c>
      <c r="AI550" s="336">
        <f>+AI37-AI93</f>
        <v>0</v>
      </c>
      <c r="AJ550" s="4930">
        <f t="shared" si="430"/>
        <v>26595.4</v>
      </c>
      <c r="AK550" s="365"/>
      <c r="AL550" s="365">
        <f>+AL37-AL95</f>
        <v>2959.9700000000003</v>
      </c>
      <c r="AM550" s="411">
        <f>+AM37-AM93</f>
        <v>0</v>
      </c>
      <c r="AN550" s="717">
        <f t="shared" si="423"/>
        <v>8181.89</v>
      </c>
      <c r="AO550" s="336">
        <f>+AO37-AO93</f>
        <v>0</v>
      </c>
      <c r="AP550" s="4930">
        <f t="shared" si="420"/>
        <v>29555.370000000003</v>
      </c>
      <c r="AQ550" s="365"/>
      <c r="AR550" s="365">
        <f>+AR37-AR95</f>
        <v>5867.05</v>
      </c>
      <c r="AS550" s="336">
        <f>+AS37-AS93</f>
        <v>0</v>
      </c>
      <c r="AT550" s="4930">
        <f t="shared" si="431"/>
        <v>35422.420000000006</v>
      </c>
      <c r="AU550" s="365"/>
      <c r="AV550" s="365">
        <f>+AV37-AV95</f>
        <v>5644.2000000000007</v>
      </c>
      <c r="AW550" s="336">
        <f>+AW37-AW93</f>
        <v>0</v>
      </c>
      <c r="AX550" s="4930">
        <f t="shared" si="432"/>
        <v>41066.62000000001</v>
      </c>
      <c r="AY550" s="365"/>
      <c r="AZ550" s="365">
        <f>+AZ37-AZ95</f>
        <v>5768.59</v>
      </c>
      <c r="BA550" s="411">
        <f>+BA37-BA93</f>
        <v>0</v>
      </c>
      <c r="BB550" s="717">
        <f t="shared" si="424"/>
        <v>17279.84</v>
      </c>
      <c r="BC550" s="434">
        <f>+BC37-BC93</f>
        <v>0</v>
      </c>
      <c r="BD550" s="429">
        <f t="shared" si="411"/>
        <v>25461.73</v>
      </c>
      <c r="BE550" s="336">
        <f>+BE37-BE93</f>
        <v>0</v>
      </c>
      <c r="BF550" s="718">
        <f t="shared" si="412"/>
        <v>46835.21</v>
      </c>
    </row>
    <row r="551" spans="1:58" ht="15" hidden="1" customHeight="1" x14ac:dyDescent="0.3">
      <c r="A551" s="142"/>
      <c r="B551" s="6071"/>
      <c r="C551" s="770"/>
      <c r="D551" s="770"/>
      <c r="E551" s="365"/>
      <c r="F551" s="365">
        <f>+F95-F526</f>
        <v>0</v>
      </c>
      <c r="G551" s="365"/>
      <c r="H551" s="365">
        <f>+H95-H526</f>
        <v>-6.0000000001309672E-2</v>
      </c>
      <c r="I551" s="336">
        <f>+I93-I526</f>
        <v>0</v>
      </c>
      <c r="J551" s="4930">
        <f t="shared" si="425"/>
        <v>-6.0000000001309672E-2</v>
      </c>
      <c r="K551" s="365"/>
      <c r="L551" s="365">
        <f>+L95-L526</f>
        <v>-6803.8099999999995</v>
      </c>
      <c r="M551" s="411">
        <f>+M93-M526</f>
        <v>0</v>
      </c>
      <c r="N551" s="4931">
        <f t="shared" si="426"/>
        <v>-6803.8700000000008</v>
      </c>
      <c r="O551" s="365"/>
      <c r="P551" s="365">
        <f>+P95-P526</f>
        <v>-3865.36</v>
      </c>
      <c r="Q551" s="336">
        <f>+Q93-Q526</f>
        <v>0</v>
      </c>
      <c r="R551" s="4930">
        <f t="shared" si="427"/>
        <v>-10669.230000000001</v>
      </c>
      <c r="S551" s="365"/>
      <c r="T551" s="365">
        <f>+T95-T526</f>
        <v>-6018.8899999999994</v>
      </c>
      <c r="U551" s="336">
        <f>+U93-U526</f>
        <v>0</v>
      </c>
      <c r="V551" s="4930">
        <f t="shared" si="428"/>
        <v>-16688.120000000003</v>
      </c>
      <c r="W551" s="365"/>
      <c r="X551" s="365">
        <f>+X95-X526</f>
        <v>-4685.3600000000006</v>
      </c>
      <c r="Y551" s="411">
        <f>+Y93-Y526</f>
        <v>0</v>
      </c>
      <c r="Z551" s="411">
        <f t="shared" si="422"/>
        <v>-14569.61</v>
      </c>
      <c r="AA551" s="434">
        <f>+AA93-AA526</f>
        <v>0</v>
      </c>
      <c r="AB551" s="5069">
        <f t="shared" si="418"/>
        <v>-21373.480000000003</v>
      </c>
      <c r="AC551" s="365"/>
      <c r="AD551" s="365">
        <f>+AD95-AD526</f>
        <v>-5221.92</v>
      </c>
      <c r="AE551" s="336">
        <f>+AE93-AE526</f>
        <v>0</v>
      </c>
      <c r="AF551" s="4930">
        <f t="shared" si="429"/>
        <v>-26595.4</v>
      </c>
      <c r="AG551" s="365"/>
      <c r="AH551" s="365">
        <f>+AH95-AH526</f>
        <v>0</v>
      </c>
      <c r="AI551" s="336">
        <f>+AI93-AI526</f>
        <v>0</v>
      </c>
      <c r="AJ551" s="4930">
        <f t="shared" si="430"/>
        <v>-26595.4</v>
      </c>
      <c r="AK551" s="365"/>
      <c r="AL551" s="365">
        <f>+AL95-AL526</f>
        <v>-2959.9700000000003</v>
      </c>
      <c r="AM551" s="411">
        <f>+AM93-AM526</f>
        <v>0</v>
      </c>
      <c r="AN551" s="717">
        <f t="shared" si="423"/>
        <v>-8181.89</v>
      </c>
      <c r="AO551" s="336">
        <f>+AO93-AO526</f>
        <v>0</v>
      </c>
      <c r="AP551" s="4930">
        <f t="shared" si="420"/>
        <v>-29555.370000000003</v>
      </c>
      <c r="AQ551" s="365"/>
      <c r="AR551" s="365">
        <f>+AR95-AR526</f>
        <v>-5867.05</v>
      </c>
      <c r="AS551" s="336">
        <f>+AS93-AS526</f>
        <v>0</v>
      </c>
      <c r="AT551" s="4930">
        <f t="shared" si="431"/>
        <v>-35422.420000000006</v>
      </c>
      <c r="AU551" s="365"/>
      <c r="AV551" s="365">
        <f>+AV95-AV526</f>
        <v>-3622.1200000000003</v>
      </c>
      <c r="AW551" s="336">
        <f>+AW93-AW526</f>
        <v>0</v>
      </c>
      <c r="AX551" s="4930">
        <f t="shared" si="432"/>
        <v>-39044.540000000008</v>
      </c>
      <c r="AY551" s="365"/>
      <c r="AZ551" s="365">
        <f>+AZ95-AZ526</f>
        <v>-3701.69</v>
      </c>
      <c r="BA551" s="411">
        <f>+BA93-BA526</f>
        <v>0</v>
      </c>
      <c r="BB551" s="717">
        <f t="shared" si="424"/>
        <v>-13190.86</v>
      </c>
      <c r="BC551" s="434">
        <f>+BC93-BC526</f>
        <v>0</v>
      </c>
      <c r="BD551" s="429">
        <f t="shared" si="411"/>
        <v>-21372.75</v>
      </c>
      <c r="BE551" s="336">
        <f>+BE93-BE526</f>
        <v>0</v>
      </c>
      <c r="BF551" s="718">
        <f t="shared" si="412"/>
        <v>-42746.23</v>
      </c>
    </row>
    <row r="552" spans="1:58" ht="15" hidden="1" customHeight="1" x14ac:dyDescent="0.3">
      <c r="A552" s="142"/>
      <c r="B552" s="6071"/>
      <c r="C552" s="770"/>
      <c r="D552" s="770"/>
      <c r="E552" s="365"/>
      <c r="F552" s="365">
        <f>+F37-F526</f>
        <v>0</v>
      </c>
      <c r="G552" s="365"/>
      <c r="H552" s="365">
        <f>+H37-H526</f>
        <v>0</v>
      </c>
      <c r="I552" s="336">
        <f>+I37-I526</f>
        <v>0</v>
      </c>
      <c r="J552" s="4930">
        <f t="shared" si="425"/>
        <v>0</v>
      </c>
      <c r="K552" s="365"/>
      <c r="L552" s="365">
        <f>+L37-L526</f>
        <v>0</v>
      </c>
      <c r="M552" s="411">
        <f>+M37-M526</f>
        <v>0</v>
      </c>
      <c r="N552" s="4931">
        <f t="shared" si="426"/>
        <v>0</v>
      </c>
      <c r="O552" s="365"/>
      <c r="P552" s="365">
        <f>+P37-P526</f>
        <v>0</v>
      </c>
      <c r="Q552" s="336">
        <f>+Q37-Q526</f>
        <v>0</v>
      </c>
      <c r="R552" s="4930">
        <f t="shared" si="427"/>
        <v>0</v>
      </c>
      <c r="S552" s="365"/>
      <c r="T552" s="365">
        <f>+T37-T526</f>
        <v>0</v>
      </c>
      <c r="U552" s="336">
        <f>+U37-U526</f>
        <v>0</v>
      </c>
      <c r="V552" s="4930">
        <f t="shared" si="428"/>
        <v>0</v>
      </c>
      <c r="W552" s="365"/>
      <c r="X552" s="365">
        <f>+X37-X526</f>
        <v>0</v>
      </c>
      <c r="Y552" s="411">
        <f>+Y37-Y526</f>
        <v>0</v>
      </c>
      <c r="Z552" s="411">
        <f t="shared" si="422"/>
        <v>0</v>
      </c>
      <c r="AA552" s="434">
        <f>+AA37-AA526</f>
        <v>0</v>
      </c>
      <c r="AB552" s="5069">
        <f t="shared" si="418"/>
        <v>0</v>
      </c>
      <c r="AC552" s="365"/>
      <c r="AD552" s="365">
        <f>+AD37-AD526</f>
        <v>0</v>
      </c>
      <c r="AE552" s="336">
        <f>+AE37-AE526</f>
        <v>0</v>
      </c>
      <c r="AF552" s="4930">
        <f t="shared" si="429"/>
        <v>0</v>
      </c>
      <c r="AG552" s="365"/>
      <c r="AH552" s="365">
        <f>+AH37-AH526</f>
        <v>0</v>
      </c>
      <c r="AI552" s="336">
        <f>+AI37-AI526</f>
        <v>0</v>
      </c>
      <c r="AJ552" s="4930">
        <f t="shared" si="430"/>
        <v>0</v>
      </c>
      <c r="AK552" s="365"/>
      <c r="AL552" s="365">
        <f>+AL37-AL526</f>
        <v>0</v>
      </c>
      <c r="AM552" s="411">
        <f>+AM37-AM526</f>
        <v>0</v>
      </c>
      <c r="AN552" s="717">
        <f t="shared" si="423"/>
        <v>0</v>
      </c>
      <c r="AO552" s="336">
        <f>+AO37-AO526</f>
        <v>0</v>
      </c>
      <c r="AP552" s="4930">
        <f t="shared" si="420"/>
        <v>0</v>
      </c>
      <c r="AQ552" s="365"/>
      <c r="AR552" s="365">
        <f>+AR37-AR526</f>
        <v>0</v>
      </c>
      <c r="AS552" s="336">
        <f>+AS37-AS526</f>
        <v>0</v>
      </c>
      <c r="AT552" s="4930">
        <f t="shared" si="431"/>
        <v>0</v>
      </c>
      <c r="AU552" s="365"/>
      <c r="AV552" s="365">
        <f>+AV37-AV526</f>
        <v>2022.0800000000004</v>
      </c>
      <c r="AW552" s="336">
        <f>+AW37-AW526</f>
        <v>0</v>
      </c>
      <c r="AX552" s="4930">
        <f t="shared" si="432"/>
        <v>2022.0800000000004</v>
      </c>
      <c r="AY552" s="365"/>
      <c r="AZ552" s="365">
        <f>+AZ37-AZ526</f>
        <v>2066.9</v>
      </c>
      <c r="BA552" s="411">
        <f>+BA37-BA526</f>
        <v>0</v>
      </c>
      <c r="BB552" s="717">
        <f t="shared" si="424"/>
        <v>4088.9800000000005</v>
      </c>
      <c r="BC552" s="434">
        <f>+BC37-BC526</f>
        <v>0</v>
      </c>
      <c r="BD552" s="429">
        <f t="shared" si="411"/>
        <v>4088.9800000000005</v>
      </c>
      <c r="BE552" s="336">
        <f>+BE37-BE526</f>
        <v>0</v>
      </c>
      <c r="BF552" s="718">
        <f t="shared" si="412"/>
        <v>4088.9800000000005</v>
      </c>
    </row>
    <row r="553" spans="1:58" ht="15" hidden="1" customHeight="1" x14ac:dyDescent="0.3">
      <c r="A553" s="142"/>
      <c r="B553" s="6071"/>
      <c r="C553" s="770"/>
      <c r="D553" s="770"/>
      <c r="E553" s="770"/>
      <c r="F553" s="770"/>
      <c r="G553" s="770"/>
      <c r="H553" s="770"/>
      <c r="I553" s="602"/>
      <c r="J553" s="4930">
        <f t="shared" si="425"/>
        <v>0</v>
      </c>
      <c r="K553" s="770"/>
      <c r="L553" s="770"/>
      <c r="M553" s="601"/>
      <c r="N553" s="4931">
        <f t="shared" si="426"/>
        <v>0</v>
      </c>
      <c r="O553" s="770"/>
      <c r="P553" s="770"/>
      <c r="Q553" s="602"/>
      <c r="R553" s="4930">
        <f t="shared" si="427"/>
        <v>0</v>
      </c>
      <c r="S553" s="770"/>
      <c r="T553" s="770"/>
      <c r="U553" s="602"/>
      <c r="V553" s="4930">
        <f t="shared" si="428"/>
        <v>0</v>
      </c>
      <c r="W553" s="770"/>
      <c r="X553" s="770"/>
      <c r="Y553" s="601"/>
      <c r="Z553" s="601">
        <f t="shared" si="422"/>
        <v>0</v>
      </c>
      <c r="AA553" s="771"/>
      <c r="AB553" s="5069">
        <f t="shared" si="418"/>
        <v>0</v>
      </c>
      <c r="AC553" s="770"/>
      <c r="AD553" s="770"/>
      <c r="AE553" s="602"/>
      <c r="AF553" s="4930">
        <f t="shared" si="429"/>
        <v>0</v>
      </c>
      <c r="AG553" s="770"/>
      <c r="AH553" s="770"/>
      <c r="AI553" s="602"/>
      <c r="AJ553" s="4930">
        <f t="shared" si="430"/>
        <v>0</v>
      </c>
      <c r="AK553" s="770"/>
      <c r="AL553" s="770"/>
      <c r="AM553" s="601"/>
      <c r="AN553" s="717">
        <f t="shared" si="423"/>
        <v>0</v>
      </c>
      <c r="AO553" s="602"/>
      <c r="AP553" s="4930">
        <f t="shared" si="420"/>
        <v>0</v>
      </c>
      <c r="AQ553" s="770"/>
      <c r="AR553" s="770"/>
      <c r="AS553" s="602"/>
      <c r="AT553" s="4930">
        <f t="shared" si="431"/>
        <v>0</v>
      </c>
      <c r="AU553" s="770"/>
      <c r="AV553" s="770"/>
      <c r="AW553" s="602"/>
      <c r="AX553" s="4930">
        <f t="shared" si="432"/>
        <v>0</v>
      </c>
      <c r="AY553" s="770"/>
      <c r="AZ553" s="770"/>
      <c r="BA553" s="601"/>
      <c r="BB553" s="717">
        <f t="shared" si="424"/>
        <v>0</v>
      </c>
      <c r="BC553" s="771"/>
      <c r="BD553" s="429">
        <f t="shared" si="411"/>
        <v>0</v>
      </c>
      <c r="BE553" s="602"/>
      <c r="BF553" s="718">
        <f t="shared" si="412"/>
        <v>0</v>
      </c>
    </row>
    <row r="554" spans="1:58" ht="21" hidden="1" customHeight="1" x14ac:dyDescent="0.3">
      <c r="A554" s="142"/>
      <c r="B554" s="598"/>
      <c r="C554" s="598"/>
      <c r="D554" s="598"/>
      <c r="E554" s="770"/>
      <c r="F554" s="598"/>
      <c r="G554" s="770"/>
      <c r="H554" s="598"/>
      <c r="I554" s="602"/>
      <c r="J554" s="4930">
        <f t="shared" si="425"/>
        <v>0</v>
      </c>
      <c r="K554" s="770"/>
      <c r="L554" s="598"/>
      <c r="M554" s="601"/>
      <c r="N554" s="4931">
        <f t="shared" si="426"/>
        <v>0</v>
      </c>
      <c r="O554" s="770"/>
      <c r="P554" s="598"/>
      <c r="Q554" s="602"/>
      <c r="R554" s="4930">
        <f t="shared" si="427"/>
        <v>0</v>
      </c>
      <c r="S554" s="770"/>
      <c r="T554" s="598"/>
      <c r="U554" s="602"/>
      <c r="V554" s="4930">
        <f t="shared" si="428"/>
        <v>0</v>
      </c>
      <c r="W554" s="770"/>
      <c r="X554" s="598"/>
      <c r="Y554" s="601"/>
      <c r="Z554" s="601">
        <f t="shared" si="422"/>
        <v>0</v>
      </c>
      <c r="AA554" s="771"/>
      <c r="AB554" s="5069">
        <f t="shared" si="418"/>
        <v>0</v>
      </c>
      <c r="AC554" s="770"/>
      <c r="AD554" s="598"/>
      <c r="AE554" s="602"/>
      <c r="AF554" s="4930">
        <f t="shared" si="429"/>
        <v>0</v>
      </c>
      <c r="AG554" s="770"/>
      <c r="AH554" s="598"/>
      <c r="AI554" s="602"/>
      <c r="AJ554" s="4930">
        <f t="shared" si="430"/>
        <v>0</v>
      </c>
      <c r="AK554" s="770"/>
      <c r="AL554" s="598"/>
      <c r="AM554" s="601"/>
      <c r="AN554" s="717">
        <f t="shared" si="423"/>
        <v>0</v>
      </c>
      <c r="AO554" s="602"/>
      <c r="AP554" s="4930">
        <f t="shared" si="420"/>
        <v>0</v>
      </c>
      <c r="AQ554" s="770"/>
      <c r="AR554" s="598"/>
      <c r="AS554" s="602"/>
      <c r="AT554" s="4930">
        <f t="shared" si="431"/>
        <v>0</v>
      </c>
      <c r="AU554" s="770"/>
      <c r="AV554" s="598"/>
      <c r="AW554" s="602"/>
      <c r="AX554" s="4930">
        <f t="shared" si="432"/>
        <v>0</v>
      </c>
      <c r="AY554" s="770"/>
      <c r="AZ554" s="598"/>
      <c r="BA554" s="601"/>
      <c r="BB554" s="717">
        <f t="shared" si="424"/>
        <v>0</v>
      </c>
      <c r="BC554" s="771"/>
      <c r="BD554" s="429">
        <f t="shared" si="411"/>
        <v>0</v>
      </c>
      <c r="BE554" s="602"/>
      <c r="BF554" s="718">
        <f t="shared" si="412"/>
        <v>0</v>
      </c>
    </row>
    <row r="555" spans="1:58" ht="21" hidden="1" customHeight="1" x14ac:dyDescent="0.3">
      <c r="A555" s="142"/>
      <c r="B555" s="3205" t="s">
        <v>1093</v>
      </c>
      <c r="C555" s="598"/>
      <c r="D555" s="598"/>
      <c r="E555" s="365"/>
      <c r="F555" s="1231">
        <f>+F69-'Maj Despatch Summ'!F12</f>
        <v>0</v>
      </c>
      <c r="G555" s="365"/>
      <c r="H555" s="1231">
        <f>+H69-'Maj Despatch Summ'!H12</f>
        <v>0</v>
      </c>
      <c r="I555" s="336">
        <f>+I69-'Maj Despatch Summ'!I12</f>
        <v>0.76489707716973498</v>
      </c>
      <c r="J555" s="4930">
        <f t="shared" si="425"/>
        <v>0</v>
      </c>
      <c r="K555" s="365"/>
      <c r="L555" s="1231">
        <f>+L69-'Maj Despatch Summ'!L12</f>
        <v>-211700.58</v>
      </c>
      <c r="M555" s="411">
        <f>+M69-'Maj Despatch Summ'!M12</f>
        <v>0.764897076995112</v>
      </c>
      <c r="N555" s="4931">
        <f t="shared" si="426"/>
        <v>-211700.58</v>
      </c>
      <c r="O555" s="365"/>
      <c r="P555" s="1231">
        <f>+P69-'Maj Despatch Summ'!P12</f>
        <v>-239758.47000000006</v>
      </c>
      <c r="Q555" s="336">
        <f>+Q69-'Maj Despatch Summ'!Q12</f>
        <v>0.764897076995112</v>
      </c>
      <c r="R555" s="4930">
        <f t="shared" si="427"/>
        <v>-451459.05000000005</v>
      </c>
      <c r="S555" s="365"/>
      <c r="T555" s="1231">
        <f>+T69-'Maj Despatch Summ'!T12</f>
        <v>-240299.84</v>
      </c>
      <c r="U555" s="336">
        <f>+U69-'Maj Despatch Summ'!U12</f>
        <v>0.76489707711152732</v>
      </c>
      <c r="V555" s="4930">
        <f t="shared" si="428"/>
        <v>-691758.89</v>
      </c>
      <c r="W555" s="365"/>
      <c r="X555" s="1231">
        <f>+X69-'Maj Despatch Summ'!X12</f>
        <v>-202580.25</v>
      </c>
      <c r="Y555" s="411">
        <f>+Y69-'Maj Despatch Summ'!Y12</f>
        <v>0.33333333337213844</v>
      </c>
      <c r="Z555" s="411">
        <f t="shared" si="422"/>
        <v>-682638.56</v>
      </c>
      <c r="AA555" s="434">
        <f>+AA69-'Maj Despatch Summ'!AA12</f>
        <v>1.0982304103672504</v>
      </c>
      <c r="AB555" s="5069">
        <f t="shared" ref="AB555:AB586" si="433">X555+V555</f>
        <v>-894339.14</v>
      </c>
      <c r="AC555" s="365"/>
      <c r="AD555" s="1231">
        <f>+AD69-'Maj Despatch Summ'!AD12</f>
        <v>-168335.77</v>
      </c>
      <c r="AE555" s="336">
        <f>+AE69-'Maj Despatch Summ'!AE12</f>
        <v>1.0982304101344198</v>
      </c>
      <c r="AF555" s="4930">
        <f t="shared" si="429"/>
        <v>-1062674.9099999999</v>
      </c>
      <c r="AG555" s="365"/>
      <c r="AH555" s="1231">
        <f>+AH69-'Maj Despatch Summ'!AH12</f>
        <v>-220913.685</v>
      </c>
      <c r="AI555" s="336">
        <f>+AI69-'Maj Despatch Summ'!AI12</f>
        <v>1.0982304101344198</v>
      </c>
      <c r="AJ555" s="4930">
        <f t="shared" si="430"/>
        <v>-1283588.595</v>
      </c>
      <c r="AK555" s="365"/>
      <c r="AL555" s="1231">
        <f>+AL69-'Maj Despatch Summ'!AL12</f>
        <v>-227755.51100000003</v>
      </c>
      <c r="AM555" s="411">
        <f>+AM69-'Maj Despatch Summ'!AM12</f>
        <v>3.3332034945487976E-6</v>
      </c>
      <c r="AN555" s="717">
        <f t="shared" si="423"/>
        <v>-617004.96600000001</v>
      </c>
      <c r="AO555" s="336" t="e">
        <f>+AO69-'[1]Iaj Despatch SuII'!AO12</f>
        <v>#REF!</v>
      </c>
      <c r="AP555" s="4930">
        <f t="shared" ref="AP555:AP586" si="434">AL555+AJ555</f>
        <v>-1511344.1059999999</v>
      </c>
      <c r="AQ555" s="365"/>
      <c r="AR555" s="1231">
        <f>+AR69-'Maj Despatch Summ'!AR12</f>
        <v>-210823.56100000002</v>
      </c>
      <c r="AS555" s="336">
        <f>+AS69-'Maj Despatch Summ'!AS12</f>
        <v>1.0982370767742395</v>
      </c>
      <c r="AT555" s="4930">
        <f t="shared" si="431"/>
        <v>-1722167.6669999999</v>
      </c>
      <c r="AU555" s="365"/>
      <c r="AV555" s="1231">
        <f>+AV69-'Maj Despatch Summ'!AV12</f>
        <v>-185815.08</v>
      </c>
      <c r="AW555" s="336">
        <f>+AW69-'Maj Despatch Summ'!AW12</f>
        <v>1.0982404099777341</v>
      </c>
      <c r="AX555" s="4930">
        <f t="shared" si="432"/>
        <v>-1907982.747</v>
      </c>
      <c r="AY555" s="365"/>
      <c r="AZ555" s="1231">
        <f>+AZ69-'Maj Despatch Summ'!AZ12</f>
        <v>-225611.01199999999</v>
      </c>
      <c r="BA555" s="411">
        <f>+BA69-'Maj Despatch Summ'!BA12</f>
        <v>-0.30922707600984722</v>
      </c>
      <c r="BB555" s="717">
        <f t="shared" si="424"/>
        <v>-622249.65299999993</v>
      </c>
      <c r="BC555" s="434">
        <f>+BC69-'Maj Despatch Summ'!BC12</f>
        <v>-0.30922374268993735</v>
      </c>
      <c r="BD555" s="429">
        <f t="shared" si="411"/>
        <v>-1239254.6189999999</v>
      </c>
      <c r="BE555" s="336">
        <f>+BE69-'Maj Despatch Summ'!BE12</f>
        <v>0.78900666767731309</v>
      </c>
      <c r="BF555" s="718">
        <f t="shared" si="412"/>
        <v>-2133593.7590000001</v>
      </c>
    </row>
    <row r="556" spans="1:58" ht="21" hidden="1" customHeight="1" x14ac:dyDescent="0.3">
      <c r="A556" s="142"/>
      <c r="B556" s="598"/>
      <c r="C556" s="598"/>
      <c r="D556" s="598"/>
      <c r="E556" s="365"/>
      <c r="F556" s="1231">
        <f>+F78-'Maj Despatch Summ'!F12</f>
        <v>0</v>
      </c>
      <c r="G556" s="365"/>
      <c r="H556" s="1231">
        <f>+H78-'Maj Despatch Summ'!H12</f>
        <v>0</v>
      </c>
      <c r="I556" s="336">
        <f>+I78-'Maj Despatch Summ'!I12</f>
        <v>0.76489707716973498</v>
      </c>
      <c r="J556" s="4930">
        <f t="shared" si="425"/>
        <v>0</v>
      </c>
      <c r="K556" s="365"/>
      <c r="L556" s="1231">
        <f>+L78-'Maj Despatch Summ'!L12</f>
        <v>-211700.58</v>
      </c>
      <c r="M556" s="411">
        <f>+M78-'Maj Despatch Summ'!M12</f>
        <v>0.764897076995112</v>
      </c>
      <c r="N556" s="4931">
        <f t="shared" si="426"/>
        <v>-211700.58</v>
      </c>
      <c r="O556" s="365"/>
      <c r="P556" s="1231">
        <f>+P78-'Maj Despatch Summ'!P12</f>
        <v>-239758.47000000006</v>
      </c>
      <c r="Q556" s="336">
        <f>+Q78-'Maj Despatch Summ'!Q12</f>
        <v>0.764897076995112</v>
      </c>
      <c r="R556" s="4930">
        <f t="shared" si="427"/>
        <v>-451459.05000000005</v>
      </c>
      <c r="S556" s="365"/>
      <c r="T556" s="1231">
        <f>+T78-'Maj Despatch Summ'!T12</f>
        <v>-240299.84</v>
      </c>
      <c r="U556" s="336">
        <f>+U78-'Maj Despatch Summ'!U12</f>
        <v>0.76489707711152732</v>
      </c>
      <c r="V556" s="4930">
        <f t="shared" si="428"/>
        <v>-691758.89</v>
      </c>
      <c r="W556" s="365"/>
      <c r="X556" s="1231">
        <f>+X78-'Maj Despatch Summ'!X12</f>
        <v>-202580.25</v>
      </c>
      <c r="Y556" s="411">
        <f>+Y78-'Maj Despatch Summ'!Y12</f>
        <v>0.33333333337213844</v>
      </c>
      <c r="Z556" s="411">
        <f t="shared" si="422"/>
        <v>-682638.56</v>
      </c>
      <c r="AA556" s="434">
        <f>+AA78-'Maj Despatch Summ'!AA12</f>
        <v>1.0982304103672504</v>
      </c>
      <c r="AB556" s="5069">
        <f t="shared" si="433"/>
        <v>-894339.14</v>
      </c>
      <c r="AC556" s="365"/>
      <c r="AD556" s="1231">
        <f>+AD78-'Maj Despatch Summ'!AD12</f>
        <v>-168335.77</v>
      </c>
      <c r="AE556" s="336">
        <f>+AE78-'Maj Despatch Summ'!AE12</f>
        <v>1.0982304101344198</v>
      </c>
      <c r="AF556" s="4930">
        <f t="shared" si="429"/>
        <v>-1062674.9099999999</v>
      </c>
      <c r="AG556" s="365"/>
      <c r="AH556" s="1231">
        <f>+AH78-'Maj Despatch Summ'!AH12</f>
        <v>-220913.685</v>
      </c>
      <c r="AI556" s="336">
        <f>+AI78-'Maj Despatch Summ'!AI12</f>
        <v>1.0982304101344198</v>
      </c>
      <c r="AJ556" s="4930">
        <f t="shared" si="430"/>
        <v>-1283588.595</v>
      </c>
      <c r="AK556" s="365"/>
      <c r="AL556" s="1231">
        <f>+AL78-'Maj Despatch Summ'!AL12</f>
        <v>-227755.51100000003</v>
      </c>
      <c r="AM556" s="411">
        <f>+AM78-'Maj Despatch Summ'!AM12</f>
        <v>3.3332034945487976E-6</v>
      </c>
      <c r="AN556" s="717">
        <f t="shared" si="423"/>
        <v>-617004.96600000001</v>
      </c>
      <c r="AO556" s="336">
        <f>+AO78-'Maj Despatch Summ'!AO12</f>
        <v>1.098233743570745</v>
      </c>
      <c r="AP556" s="4930">
        <f t="shared" si="434"/>
        <v>-1511344.1059999999</v>
      </c>
      <c r="AQ556" s="365"/>
      <c r="AR556" s="1231">
        <f>+AR78-'Maj Despatch Summ'!AR12</f>
        <v>-210823.56100000002</v>
      </c>
      <c r="AS556" s="336">
        <f>+AS78-'Maj Despatch Summ'!AS12</f>
        <v>1.0982370767742395</v>
      </c>
      <c r="AT556" s="4930">
        <f t="shared" si="431"/>
        <v>-1722167.6669999999</v>
      </c>
      <c r="AU556" s="365"/>
      <c r="AV556" s="1231">
        <f>+AV78-'Maj Despatch Summ'!AV12</f>
        <v>-185815.08</v>
      </c>
      <c r="AW556" s="336">
        <f>+AW78-'Maj Despatch Summ'!AW12</f>
        <v>1.0982404099777341</v>
      </c>
      <c r="AX556" s="4930">
        <f t="shared" si="432"/>
        <v>-1907982.747</v>
      </c>
      <c r="AY556" s="365"/>
      <c r="AZ556" s="1231">
        <f>+AZ78-'Maj Despatch Summ'!AZ12</f>
        <v>-225611.01199999999</v>
      </c>
      <c r="BA556" s="411">
        <f>+BA78-'Maj Despatch Summ'!BA12</f>
        <v>-0.30922707600984722</v>
      </c>
      <c r="BB556" s="717">
        <f t="shared" si="424"/>
        <v>-622249.65299999993</v>
      </c>
      <c r="BC556" s="434">
        <f>+BC78-'Maj Despatch Summ'!BC12</f>
        <v>-0.30922374268993735</v>
      </c>
      <c r="BD556" s="429">
        <f t="shared" si="411"/>
        <v>-1239254.6189999999</v>
      </c>
      <c r="BE556" s="336">
        <f>+BE78-'Maj Despatch Summ'!BE12</f>
        <v>0.78900666767731309</v>
      </c>
      <c r="BF556" s="718">
        <f t="shared" si="412"/>
        <v>-2133593.7590000001</v>
      </c>
    </row>
    <row r="557" spans="1:58" ht="21" hidden="1" customHeight="1" x14ac:dyDescent="0.3">
      <c r="A557" s="142"/>
      <c r="B557" s="598"/>
      <c r="C557" s="598"/>
      <c r="D557" s="598"/>
      <c r="E557" s="365"/>
      <c r="F557" s="1231">
        <f>F521-F56</f>
        <v>0</v>
      </c>
      <c r="G557" s="365"/>
      <c r="H557" s="1231">
        <f>H521-H56</f>
        <v>0</v>
      </c>
      <c r="I557" s="336">
        <f>I521-I56</f>
        <v>0</v>
      </c>
      <c r="J557" s="4930">
        <f t="shared" si="425"/>
        <v>0</v>
      </c>
      <c r="K557" s="365"/>
      <c r="L557" s="1231">
        <f>L521-L56</f>
        <v>0</v>
      </c>
      <c r="M557" s="411">
        <f>M521-M56</f>
        <v>0</v>
      </c>
      <c r="N557" s="4931">
        <f t="shared" si="426"/>
        <v>0</v>
      </c>
      <c r="O557" s="365"/>
      <c r="P557" s="1231">
        <f>P521-P56</f>
        <v>0</v>
      </c>
      <c r="Q557" s="336">
        <f>Q521-Q56</f>
        <v>0</v>
      </c>
      <c r="R557" s="4930">
        <f t="shared" si="427"/>
        <v>0</v>
      </c>
      <c r="S557" s="365"/>
      <c r="T557" s="1231">
        <f>T521-T56</f>
        <v>0</v>
      </c>
      <c r="U557" s="336">
        <f>U521-U56</f>
        <v>0</v>
      </c>
      <c r="V557" s="4930">
        <f t="shared" si="428"/>
        <v>0</v>
      </c>
      <c r="W557" s="365"/>
      <c r="X557" s="1231">
        <f>X521-X56</f>
        <v>0</v>
      </c>
      <c r="Y557" s="411">
        <f>Y521-Y56</f>
        <v>0</v>
      </c>
      <c r="Z557" s="411">
        <f t="shared" si="422"/>
        <v>0</v>
      </c>
      <c r="AA557" s="434">
        <f>AA521-AA56</f>
        <v>0</v>
      </c>
      <c r="AB557" s="5069">
        <f t="shared" si="433"/>
        <v>0</v>
      </c>
      <c r="AC557" s="365"/>
      <c r="AD557" s="1231">
        <f>AD521-AD56</f>
        <v>0</v>
      </c>
      <c r="AE557" s="336">
        <f>AE521-AE56</f>
        <v>0</v>
      </c>
      <c r="AF557" s="4930">
        <f t="shared" si="429"/>
        <v>0</v>
      </c>
      <c r="AG557" s="365"/>
      <c r="AH557" s="1231">
        <f>AH521-AH56</f>
        <v>0</v>
      </c>
      <c r="AI557" s="336">
        <f>AI521-AI56</f>
        <v>0</v>
      </c>
      <c r="AJ557" s="4930">
        <f t="shared" si="430"/>
        <v>0</v>
      </c>
      <c r="AK557" s="365"/>
      <c r="AL557" s="1231">
        <f>AL521-AL56</f>
        <v>0</v>
      </c>
      <c r="AM557" s="411">
        <f>AM521-AM56</f>
        <v>0</v>
      </c>
      <c r="AN557" s="717">
        <f t="shared" si="423"/>
        <v>0</v>
      </c>
      <c r="AO557" s="336">
        <f>AO521-AO56</f>
        <v>0</v>
      </c>
      <c r="AP557" s="4930">
        <f t="shared" si="434"/>
        <v>0</v>
      </c>
      <c r="AQ557" s="365"/>
      <c r="AR557" s="1231">
        <f>AR521-AR56</f>
        <v>0</v>
      </c>
      <c r="AS557" s="336">
        <f>AS521-AS56</f>
        <v>0</v>
      </c>
      <c r="AT557" s="4930">
        <f t="shared" si="431"/>
        <v>0</v>
      </c>
      <c r="AU557" s="365"/>
      <c r="AV557" s="1231">
        <f>AV521-AV56</f>
        <v>-2022.0800000000002</v>
      </c>
      <c r="AW557" s="336">
        <f>AW521-AW56</f>
        <v>0</v>
      </c>
      <c r="AX557" s="4930">
        <f t="shared" si="432"/>
        <v>-2022.0800000000002</v>
      </c>
      <c r="AY557" s="365"/>
      <c r="AZ557" s="1231">
        <f>AZ521-AZ56</f>
        <v>-2066.8999999999996</v>
      </c>
      <c r="BA557" s="411">
        <f>BA521-BA56</f>
        <v>0</v>
      </c>
      <c r="BB557" s="717">
        <f t="shared" si="424"/>
        <v>-4088.9799999999996</v>
      </c>
      <c r="BC557" s="434">
        <f>BC521-BC56</f>
        <v>0</v>
      </c>
      <c r="BD557" s="429">
        <f t="shared" si="411"/>
        <v>-4088.9799999999996</v>
      </c>
      <c r="BE557" s="336">
        <f>BE521-BE56</f>
        <v>0</v>
      </c>
      <c r="BF557" s="718">
        <f t="shared" si="412"/>
        <v>-4088.9799999999996</v>
      </c>
    </row>
    <row r="558" spans="1:58" ht="21" hidden="1" customHeight="1" x14ac:dyDescent="0.3">
      <c r="A558" s="142"/>
      <c r="B558" s="598"/>
      <c r="C558" s="598"/>
      <c r="D558" s="598"/>
      <c r="E558" s="770"/>
      <c r="F558" s="1231">
        <f>F502-F48</f>
        <v>0</v>
      </c>
      <c r="G558" s="770"/>
      <c r="H558" s="1231">
        <f>H502-H48</f>
        <v>0</v>
      </c>
      <c r="I558" s="602">
        <f>I502-I48</f>
        <v>0</v>
      </c>
      <c r="J558" s="4930">
        <f t="shared" si="425"/>
        <v>0</v>
      </c>
      <c r="K558" s="770"/>
      <c r="L558" s="1231">
        <f>L502-L48</f>
        <v>0</v>
      </c>
      <c r="M558" s="601">
        <f>M502-M48</f>
        <v>0</v>
      </c>
      <c r="N558" s="4931">
        <f t="shared" si="426"/>
        <v>0</v>
      </c>
      <c r="O558" s="770"/>
      <c r="P558" s="1231">
        <f>P502-P48</f>
        <v>0</v>
      </c>
      <c r="Q558" s="602">
        <f>Q502-Q48</f>
        <v>0</v>
      </c>
      <c r="R558" s="4930">
        <f t="shared" si="427"/>
        <v>0</v>
      </c>
      <c r="S558" s="770"/>
      <c r="T558" s="1231">
        <f>T502-T48</f>
        <v>0</v>
      </c>
      <c r="U558" s="602">
        <f>U502-U48</f>
        <v>0</v>
      </c>
      <c r="V558" s="4930">
        <f t="shared" si="428"/>
        <v>0</v>
      </c>
      <c r="W558" s="770"/>
      <c r="X558" s="1231">
        <f>X502-X48</f>
        <v>0</v>
      </c>
      <c r="Y558" s="601">
        <f>Y502-Y48</f>
        <v>0</v>
      </c>
      <c r="Z558" s="601">
        <f t="shared" si="422"/>
        <v>0</v>
      </c>
      <c r="AA558" s="771">
        <f>AA502-AA48</f>
        <v>0</v>
      </c>
      <c r="AB558" s="5069">
        <f t="shared" si="433"/>
        <v>0</v>
      </c>
      <c r="AC558" s="770"/>
      <c r="AD558" s="1231">
        <f>AD502-AD48</f>
        <v>0</v>
      </c>
      <c r="AE558" s="602">
        <f>AE502-AE48</f>
        <v>0</v>
      </c>
      <c r="AF558" s="4930">
        <f t="shared" si="429"/>
        <v>0</v>
      </c>
      <c r="AG558" s="770"/>
      <c r="AH558" s="1231">
        <f>AH502-AH48</f>
        <v>0</v>
      </c>
      <c r="AI558" s="602">
        <f>AI502-AI48</f>
        <v>0</v>
      </c>
      <c r="AJ558" s="4930">
        <f t="shared" si="430"/>
        <v>0</v>
      </c>
      <c r="AK558" s="770"/>
      <c r="AL558" s="1231">
        <f>AL502-AL48</f>
        <v>0</v>
      </c>
      <c r="AM558" s="601">
        <f>AM502-AM48</f>
        <v>0</v>
      </c>
      <c r="AN558" s="717">
        <f t="shared" si="423"/>
        <v>0</v>
      </c>
      <c r="AO558" s="602">
        <f>AO502-AO48</f>
        <v>0</v>
      </c>
      <c r="AP558" s="4930">
        <f t="shared" si="434"/>
        <v>0</v>
      </c>
      <c r="AQ558" s="770"/>
      <c r="AR558" s="1231">
        <f>AR502-AR48</f>
        <v>0</v>
      </c>
      <c r="AS558" s="602">
        <f>AS502-AS48</f>
        <v>0</v>
      </c>
      <c r="AT558" s="4930">
        <f t="shared" si="431"/>
        <v>0</v>
      </c>
      <c r="AU558" s="770"/>
      <c r="AV558" s="1231">
        <f>AV502-AV48</f>
        <v>0</v>
      </c>
      <c r="AW558" s="602">
        <f>AW502-AW48</f>
        <v>0</v>
      </c>
      <c r="AX558" s="4930">
        <f t="shared" si="432"/>
        <v>0</v>
      </c>
      <c r="AY558" s="770"/>
      <c r="AZ558" s="1231">
        <f>AZ502-AZ48</f>
        <v>0</v>
      </c>
      <c r="BA558" s="601">
        <f>BA502-BA48</f>
        <v>0</v>
      </c>
      <c r="BB558" s="717">
        <f t="shared" si="424"/>
        <v>0</v>
      </c>
      <c r="BC558" s="771">
        <f>BC502-BC48</f>
        <v>0</v>
      </c>
      <c r="BD558" s="429">
        <f t="shared" si="411"/>
        <v>0</v>
      </c>
      <c r="BE558" s="602">
        <f>BE502-BE48</f>
        <v>0</v>
      </c>
      <c r="BF558" s="718">
        <f t="shared" si="412"/>
        <v>0</v>
      </c>
    </row>
    <row r="559" spans="1:58" ht="21" hidden="1" customHeight="1" x14ac:dyDescent="0.3">
      <c r="A559" s="142"/>
      <c r="B559" s="598"/>
      <c r="C559" s="598"/>
      <c r="D559" s="598"/>
      <c r="E559" s="770"/>
      <c r="F559" s="598"/>
      <c r="G559" s="770"/>
      <c r="H559" s="598"/>
      <c r="I559" s="602"/>
      <c r="J559" s="4930">
        <f t="shared" si="425"/>
        <v>0</v>
      </c>
      <c r="K559" s="770"/>
      <c r="L559" s="598"/>
      <c r="M559" s="601"/>
      <c r="N559" s="4931">
        <f t="shared" si="426"/>
        <v>0</v>
      </c>
      <c r="O559" s="770"/>
      <c r="P559" s="598"/>
      <c r="Q559" s="602"/>
      <c r="R559" s="4930">
        <f t="shared" si="427"/>
        <v>0</v>
      </c>
      <c r="S559" s="770"/>
      <c r="T559" s="598"/>
      <c r="U559" s="602"/>
      <c r="V559" s="4930">
        <f t="shared" si="428"/>
        <v>0</v>
      </c>
      <c r="W559" s="770"/>
      <c r="X559" s="598"/>
      <c r="Y559" s="601"/>
      <c r="Z559" s="601">
        <f t="shared" si="422"/>
        <v>0</v>
      </c>
      <c r="AA559" s="771"/>
      <c r="AB559" s="5069">
        <f t="shared" si="433"/>
        <v>0</v>
      </c>
      <c r="AC559" s="770"/>
      <c r="AD559" s="598"/>
      <c r="AE559" s="602"/>
      <c r="AF559" s="4930">
        <f t="shared" si="429"/>
        <v>0</v>
      </c>
      <c r="AG559" s="770"/>
      <c r="AH559" s="598"/>
      <c r="AI559" s="602"/>
      <c r="AJ559" s="4930">
        <f t="shared" si="430"/>
        <v>0</v>
      </c>
      <c r="AK559" s="770"/>
      <c r="AL559" s="598"/>
      <c r="AM559" s="601"/>
      <c r="AN559" s="717">
        <f t="shared" si="423"/>
        <v>0</v>
      </c>
      <c r="AO559" s="602"/>
      <c r="AP559" s="4930">
        <f t="shared" si="434"/>
        <v>0</v>
      </c>
      <c r="AQ559" s="770"/>
      <c r="AR559" s="598"/>
      <c r="AS559" s="602"/>
      <c r="AT559" s="4930">
        <f t="shared" si="431"/>
        <v>0</v>
      </c>
      <c r="AU559" s="770"/>
      <c r="AV559" s="598"/>
      <c r="AW559" s="602"/>
      <c r="AX559" s="4930">
        <f t="shared" si="432"/>
        <v>0</v>
      </c>
      <c r="AY559" s="770"/>
      <c r="AZ559" s="598"/>
      <c r="BA559" s="601"/>
      <c r="BB559" s="717">
        <f t="shared" si="424"/>
        <v>0</v>
      </c>
      <c r="BC559" s="771"/>
      <c r="BD559" s="429">
        <f t="shared" si="411"/>
        <v>0</v>
      </c>
      <c r="BE559" s="602"/>
      <c r="BF559" s="718">
        <f t="shared" si="412"/>
        <v>0</v>
      </c>
    </row>
    <row r="560" spans="1:58" ht="21" hidden="1" customHeight="1" x14ac:dyDescent="0.3">
      <c r="A560" s="142"/>
      <c r="B560" s="598"/>
      <c r="C560" s="598"/>
      <c r="D560" s="598"/>
      <c r="E560" s="770"/>
      <c r="F560" s="598"/>
      <c r="G560" s="770"/>
      <c r="H560" s="598"/>
      <c r="I560" s="602"/>
      <c r="J560" s="4930">
        <f t="shared" si="425"/>
        <v>0</v>
      </c>
      <c r="K560" s="770"/>
      <c r="L560" s="598"/>
      <c r="M560" s="601"/>
      <c r="N560" s="4931">
        <f t="shared" si="426"/>
        <v>0</v>
      </c>
      <c r="O560" s="770"/>
      <c r="P560" s="598"/>
      <c r="Q560" s="602"/>
      <c r="R560" s="4930">
        <f t="shared" si="427"/>
        <v>0</v>
      </c>
      <c r="S560" s="770"/>
      <c r="T560" s="598"/>
      <c r="U560" s="602"/>
      <c r="V560" s="4930">
        <f t="shared" si="428"/>
        <v>0</v>
      </c>
      <c r="W560" s="770"/>
      <c r="X560" s="598"/>
      <c r="Y560" s="601"/>
      <c r="Z560" s="601">
        <f t="shared" si="422"/>
        <v>0</v>
      </c>
      <c r="AA560" s="771"/>
      <c r="AB560" s="5069">
        <f t="shared" si="433"/>
        <v>0</v>
      </c>
      <c r="AC560" s="770"/>
      <c r="AD560" s="598"/>
      <c r="AE560" s="602"/>
      <c r="AF560" s="4930">
        <f t="shared" si="429"/>
        <v>0</v>
      </c>
      <c r="AG560" s="770"/>
      <c r="AH560" s="598"/>
      <c r="AI560" s="602"/>
      <c r="AJ560" s="4930">
        <f t="shared" si="430"/>
        <v>0</v>
      </c>
      <c r="AK560" s="770"/>
      <c r="AL560" s="598"/>
      <c r="AM560" s="601"/>
      <c r="AN560" s="717">
        <f t="shared" si="423"/>
        <v>0</v>
      </c>
      <c r="AO560" s="602"/>
      <c r="AP560" s="4930">
        <f t="shared" si="434"/>
        <v>0</v>
      </c>
      <c r="AQ560" s="770"/>
      <c r="AR560" s="598"/>
      <c r="AS560" s="602"/>
      <c r="AT560" s="4930">
        <f t="shared" si="431"/>
        <v>0</v>
      </c>
      <c r="AU560" s="770"/>
      <c r="AV560" s="598"/>
      <c r="AW560" s="602"/>
      <c r="AX560" s="4930">
        <f t="shared" si="432"/>
        <v>0</v>
      </c>
      <c r="AY560" s="770"/>
      <c r="AZ560" s="598"/>
      <c r="BA560" s="601"/>
      <c r="BB560" s="717">
        <f t="shared" si="424"/>
        <v>0</v>
      </c>
      <c r="BC560" s="771"/>
      <c r="BD560" s="429">
        <f t="shared" si="411"/>
        <v>0</v>
      </c>
      <c r="BE560" s="602"/>
      <c r="BF560" s="718">
        <f t="shared" si="412"/>
        <v>0</v>
      </c>
    </row>
    <row r="561" spans="1:58" ht="21" hidden="1" customHeight="1" x14ac:dyDescent="0.3">
      <c r="A561" s="142"/>
      <c r="B561" s="598"/>
      <c r="C561" s="598"/>
      <c r="D561" s="598"/>
      <c r="E561" s="770"/>
      <c r="F561" s="598"/>
      <c r="G561" s="770"/>
      <c r="H561" s="598"/>
      <c r="I561" s="602"/>
      <c r="J561" s="4930">
        <f t="shared" si="425"/>
        <v>0</v>
      </c>
      <c r="K561" s="770"/>
      <c r="L561" s="598"/>
      <c r="M561" s="601"/>
      <c r="N561" s="4931">
        <f t="shared" si="426"/>
        <v>0</v>
      </c>
      <c r="O561" s="770"/>
      <c r="P561" s="598"/>
      <c r="Q561" s="602"/>
      <c r="R561" s="4930">
        <f t="shared" si="427"/>
        <v>0</v>
      </c>
      <c r="S561" s="770"/>
      <c r="T561" s="598"/>
      <c r="U561" s="602"/>
      <c r="V561" s="4930">
        <f t="shared" si="428"/>
        <v>0</v>
      </c>
      <c r="W561" s="770"/>
      <c r="X561" s="598"/>
      <c r="Y561" s="601"/>
      <c r="Z561" s="601">
        <f t="shared" si="422"/>
        <v>0</v>
      </c>
      <c r="AA561" s="771"/>
      <c r="AB561" s="5069">
        <f t="shared" si="433"/>
        <v>0</v>
      </c>
      <c r="AC561" s="770"/>
      <c r="AD561" s="598"/>
      <c r="AE561" s="602"/>
      <c r="AF561" s="4930">
        <f t="shared" si="429"/>
        <v>0</v>
      </c>
      <c r="AG561" s="770"/>
      <c r="AH561" s="598"/>
      <c r="AI561" s="602"/>
      <c r="AJ561" s="4930">
        <f t="shared" si="430"/>
        <v>0</v>
      </c>
      <c r="AK561" s="770"/>
      <c r="AL561" s="598"/>
      <c r="AM561" s="601"/>
      <c r="AN561" s="717">
        <f t="shared" si="423"/>
        <v>0</v>
      </c>
      <c r="AO561" s="602"/>
      <c r="AP561" s="4930">
        <f t="shared" si="434"/>
        <v>0</v>
      </c>
      <c r="AQ561" s="770"/>
      <c r="AR561" s="598"/>
      <c r="AS561" s="602"/>
      <c r="AT561" s="4930">
        <f t="shared" si="431"/>
        <v>0</v>
      </c>
      <c r="AU561" s="770"/>
      <c r="AV561" s="598"/>
      <c r="AW561" s="602"/>
      <c r="AX561" s="4930">
        <f t="shared" si="432"/>
        <v>0</v>
      </c>
      <c r="AY561" s="770"/>
      <c r="AZ561" s="598"/>
      <c r="BA561" s="601"/>
      <c r="BB561" s="717">
        <f t="shared" si="424"/>
        <v>0</v>
      </c>
      <c r="BC561" s="771"/>
      <c r="BD561" s="429">
        <f t="shared" si="411"/>
        <v>0</v>
      </c>
      <c r="BE561" s="602"/>
      <c r="BF561" s="718">
        <f t="shared" si="412"/>
        <v>0</v>
      </c>
    </row>
    <row r="562" spans="1:58" ht="21" hidden="1" customHeight="1" x14ac:dyDescent="0.3">
      <c r="A562" s="142"/>
      <c r="B562" s="598"/>
      <c r="C562" s="598"/>
      <c r="D562" s="598"/>
      <c r="E562" s="770"/>
      <c r="F562" s="598"/>
      <c r="G562" s="770"/>
      <c r="H562" s="598"/>
      <c r="I562" s="602"/>
      <c r="J562" s="4930">
        <f t="shared" si="425"/>
        <v>0</v>
      </c>
      <c r="K562" s="770"/>
      <c r="L562" s="598"/>
      <c r="M562" s="601"/>
      <c r="N562" s="4931">
        <f t="shared" si="426"/>
        <v>0</v>
      </c>
      <c r="O562" s="770"/>
      <c r="P562" s="598"/>
      <c r="Q562" s="602"/>
      <c r="R562" s="4930">
        <f t="shared" si="427"/>
        <v>0</v>
      </c>
      <c r="S562" s="770"/>
      <c r="T562" s="598"/>
      <c r="U562" s="602"/>
      <c r="V562" s="4930">
        <f t="shared" si="428"/>
        <v>0</v>
      </c>
      <c r="W562" s="770"/>
      <c r="X562" s="598"/>
      <c r="Y562" s="601"/>
      <c r="Z562" s="601">
        <f t="shared" si="422"/>
        <v>0</v>
      </c>
      <c r="AA562" s="771"/>
      <c r="AB562" s="5069">
        <f t="shared" si="433"/>
        <v>0</v>
      </c>
      <c r="AC562" s="770"/>
      <c r="AD562" s="598"/>
      <c r="AE562" s="602"/>
      <c r="AF562" s="4930">
        <f t="shared" si="429"/>
        <v>0</v>
      </c>
      <c r="AG562" s="770"/>
      <c r="AH562" s="598"/>
      <c r="AI562" s="602"/>
      <c r="AJ562" s="4930">
        <f t="shared" si="430"/>
        <v>0</v>
      </c>
      <c r="AK562" s="770"/>
      <c r="AL562" s="598"/>
      <c r="AM562" s="601"/>
      <c r="AN562" s="717">
        <f t="shared" si="423"/>
        <v>0</v>
      </c>
      <c r="AO562" s="602"/>
      <c r="AP562" s="4930">
        <f t="shared" si="434"/>
        <v>0</v>
      </c>
      <c r="AQ562" s="770"/>
      <c r="AR562" s="598"/>
      <c r="AS562" s="602"/>
      <c r="AT562" s="4930">
        <f t="shared" si="431"/>
        <v>0</v>
      </c>
      <c r="AU562" s="770"/>
      <c r="AV562" s="598"/>
      <c r="AW562" s="602"/>
      <c r="AX562" s="4930">
        <f t="shared" si="432"/>
        <v>0</v>
      </c>
      <c r="AY562" s="770"/>
      <c r="AZ562" s="598"/>
      <c r="BA562" s="601"/>
      <c r="BB562" s="717">
        <f t="shared" si="424"/>
        <v>0</v>
      </c>
      <c r="BC562" s="771"/>
      <c r="BD562" s="429">
        <f t="shared" si="411"/>
        <v>0</v>
      </c>
      <c r="BE562" s="602"/>
      <c r="BF562" s="718">
        <f t="shared" si="412"/>
        <v>0</v>
      </c>
    </row>
    <row r="563" spans="1:58" ht="21" hidden="1" customHeight="1" x14ac:dyDescent="0.3">
      <c r="A563" s="142"/>
      <c r="B563" s="598"/>
      <c r="C563" s="598"/>
      <c r="D563" s="598"/>
      <c r="E563" s="770"/>
      <c r="F563" s="598"/>
      <c r="G563" s="770"/>
      <c r="H563" s="598"/>
      <c r="I563" s="602"/>
      <c r="J563" s="4930">
        <f t="shared" si="425"/>
        <v>0</v>
      </c>
      <c r="K563" s="770"/>
      <c r="L563" s="598"/>
      <c r="M563" s="601"/>
      <c r="N563" s="4931">
        <f t="shared" si="426"/>
        <v>0</v>
      </c>
      <c r="O563" s="770"/>
      <c r="P563" s="598"/>
      <c r="Q563" s="602"/>
      <c r="R563" s="4930">
        <f t="shared" si="427"/>
        <v>0</v>
      </c>
      <c r="S563" s="770"/>
      <c r="T563" s="598"/>
      <c r="U563" s="602"/>
      <c r="V563" s="4930">
        <f t="shared" si="428"/>
        <v>0</v>
      </c>
      <c r="W563" s="770"/>
      <c r="X563" s="598"/>
      <c r="Y563" s="601"/>
      <c r="Z563" s="601">
        <f t="shared" si="422"/>
        <v>0</v>
      </c>
      <c r="AA563" s="771"/>
      <c r="AB563" s="5069">
        <f t="shared" si="433"/>
        <v>0</v>
      </c>
      <c r="AC563" s="770"/>
      <c r="AD563" s="598"/>
      <c r="AE563" s="602"/>
      <c r="AF563" s="4930">
        <f t="shared" si="429"/>
        <v>0</v>
      </c>
      <c r="AG563" s="770"/>
      <c r="AH563" s="598"/>
      <c r="AI563" s="602"/>
      <c r="AJ563" s="4930">
        <f t="shared" si="430"/>
        <v>0</v>
      </c>
      <c r="AK563" s="770"/>
      <c r="AL563" s="598"/>
      <c r="AM563" s="601"/>
      <c r="AN563" s="717">
        <f t="shared" si="423"/>
        <v>0</v>
      </c>
      <c r="AO563" s="602"/>
      <c r="AP563" s="4930">
        <f t="shared" si="434"/>
        <v>0</v>
      </c>
      <c r="AQ563" s="770"/>
      <c r="AR563" s="598"/>
      <c r="AS563" s="602"/>
      <c r="AT563" s="4930">
        <f t="shared" si="431"/>
        <v>0</v>
      </c>
      <c r="AU563" s="770"/>
      <c r="AV563" s="598"/>
      <c r="AW563" s="602"/>
      <c r="AX563" s="4930">
        <f t="shared" si="432"/>
        <v>0</v>
      </c>
      <c r="AY563" s="770"/>
      <c r="AZ563" s="598"/>
      <c r="BA563" s="601"/>
      <c r="BB563" s="717">
        <f t="shared" si="424"/>
        <v>0</v>
      </c>
      <c r="BC563" s="771"/>
      <c r="BD563" s="429">
        <f t="shared" si="411"/>
        <v>0</v>
      </c>
      <c r="BE563" s="602"/>
      <c r="BF563" s="718">
        <f t="shared" si="412"/>
        <v>0</v>
      </c>
    </row>
    <row r="564" spans="1:58" ht="21" hidden="1" customHeight="1" x14ac:dyDescent="0.3">
      <c r="A564" s="142"/>
      <c r="B564" s="598"/>
      <c r="C564" s="598"/>
      <c r="D564" s="598"/>
      <c r="E564" s="770"/>
      <c r="F564" s="598"/>
      <c r="G564" s="770"/>
      <c r="H564" s="598"/>
      <c r="I564" s="602"/>
      <c r="J564" s="4930">
        <f t="shared" si="425"/>
        <v>0</v>
      </c>
      <c r="K564" s="770"/>
      <c r="L564" s="598"/>
      <c r="M564" s="601"/>
      <c r="N564" s="4931">
        <f t="shared" si="426"/>
        <v>0</v>
      </c>
      <c r="O564" s="770"/>
      <c r="P564" s="598"/>
      <c r="Q564" s="602"/>
      <c r="R564" s="4930">
        <f t="shared" si="427"/>
        <v>0</v>
      </c>
      <c r="S564" s="770"/>
      <c r="T564" s="598"/>
      <c r="U564" s="602"/>
      <c r="V564" s="4930">
        <f t="shared" si="428"/>
        <v>0</v>
      </c>
      <c r="W564" s="770"/>
      <c r="X564" s="598"/>
      <c r="Y564" s="601"/>
      <c r="Z564" s="601">
        <f t="shared" si="422"/>
        <v>0</v>
      </c>
      <c r="AA564" s="771"/>
      <c r="AB564" s="5069">
        <f t="shared" si="433"/>
        <v>0</v>
      </c>
      <c r="AC564" s="770"/>
      <c r="AD564" s="598"/>
      <c r="AE564" s="602"/>
      <c r="AF564" s="4930">
        <f t="shared" si="429"/>
        <v>0</v>
      </c>
      <c r="AG564" s="770"/>
      <c r="AH564" s="598"/>
      <c r="AI564" s="602"/>
      <c r="AJ564" s="4930">
        <f t="shared" si="430"/>
        <v>0</v>
      </c>
      <c r="AK564" s="770"/>
      <c r="AL564" s="598"/>
      <c r="AM564" s="601"/>
      <c r="AN564" s="717">
        <f t="shared" si="423"/>
        <v>0</v>
      </c>
      <c r="AO564" s="602"/>
      <c r="AP564" s="4930">
        <f t="shared" si="434"/>
        <v>0</v>
      </c>
      <c r="AQ564" s="770"/>
      <c r="AR564" s="598"/>
      <c r="AS564" s="602"/>
      <c r="AT564" s="4930">
        <f t="shared" si="431"/>
        <v>0</v>
      </c>
      <c r="AU564" s="770"/>
      <c r="AV564" s="598"/>
      <c r="AW564" s="602"/>
      <c r="AX564" s="4930">
        <f t="shared" si="432"/>
        <v>0</v>
      </c>
      <c r="AY564" s="770"/>
      <c r="AZ564" s="598"/>
      <c r="BA564" s="601"/>
      <c r="BB564" s="717">
        <f t="shared" si="424"/>
        <v>0</v>
      </c>
      <c r="BC564" s="771"/>
      <c r="BD564" s="429">
        <f t="shared" si="411"/>
        <v>0</v>
      </c>
      <c r="BE564" s="602"/>
      <c r="BF564" s="718">
        <f t="shared" si="412"/>
        <v>0</v>
      </c>
    </row>
    <row r="565" spans="1:58" ht="21" hidden="1" customHeight="1" x14ac:dyDescent="0.3">
      <c r="A565" s="142"/>
      <c r="B565" s="598"/>
      <c r="C565" s="598"/>
      <c r="D565" s="598"/>
      <c r="E565" s="770"/>
      <c r="F565" s="598"/>
      <c r="G565" s="770"/>
      <c r="H565" s="598"/>
      <c r="I565" s="602"/>
      <c r="J565" s="4930">
        <f t="shared" si="425"/>
        <v>0</v>
      </c>
      <c r="K565" s="770"/>
      <c r="L565" s="598"/>
      <c r="M565" s="601"/>
      <c r="N565" s="4931">
        <f t="shared" si="426"/>
        <v>0</v>
      </c>
      <c r="O565" s="770"/>
      <c r="P565" s="598"/>
      <c r="Q565" s="602"/>
      <c r="R565" s="4930">
        <f t="shared" si="427"/>
        <v>0</v>
      </c>
      <c r="S565" s="770"/>
      <c r="T565" s="598"/>
      <c r="U565" s="602"/>
      <c r="V565" s="4930">
        <f t="shared" si="428"/>
        <v>0</v>
      </c>
      <c r="W565" s="770"/>
      <c r="X565" s="598"/>
      <c r="Y565" s="601"/>
      <c r="Z565" s="601">
        <f t="shared" si="422"/>
        <v>0</v>
      </c>
      <c r="AA565" s="771"/>
      <c r="AB565" s="5069">
        <f t="shared" si="433"/>
        <v>0</v>
      </c>
      <c r="AC565" s="770"/>
      <c r="AD565" s="598"/>
      <c r="AE565" s="602"/>
      <c r="AF565" s="4930">
        <f t="shared" si="429"/>
        <v>0</v>
      </c>
      <c r="AG565" s="770"/>
      <c r="AH565" s="598"/>
      <c r="AI565" s="602"/>
      <c r="AJ565" s="4930">
        <f t="shared" si="430"/>
        <v>0</v>
      </c>
      <c r="AK565" s="770"/>
      <c r="AL565" s="598"/>
      <c r="AM565" s="601"/>
      <c r="AN565" s="717">
        <f t="shared" si="423"/>
        <v>0</v>
      </c>
      <c r="AO565" s="602"/>
      <c r="AP565" s="4930">
        <f t="shared" si="434"/>
        <v>0</v>
      </c>
      <c r="AQ565" s="770"/>
      <c r="AR565" s="598"/>
      <c r="AS565" s="602"/>
      <c r="AT565" s="4930">
        <f t="shared" si="431"/>
        <v>0</v>
      </c>
      <c r="AU565" s="770"/>
      <c r="AV565" s="598"/>
      <c r="AW565" s="602"/>
      <c r="AX565" s="4930">
        <f t="shared" si="432"/>
        <v>0</v>
      </c>
      <c r="AY565" s="770"/>
      <c r="AZ565" s="598"/>
      <c r="BA565" s="601"/>
      <c r="BB565" s="717">
        <f t="shared" si="424"/>
        <v>0</v>
      </c>
      <c r="BC565" s="771"/>
      <c r="BD565" s="429">
        <f t="shared" si="411"/>
        <v>0</v>
      </c>
      <c r="BE565" s="602"/>
      <c r="BF565" s="718">
        <f t="shared" si="412"/>
        <v>0</v>
      </c>
    </row>
    <row r="566" spans="1:58" ht="21" hidden="1" customHeight="1" x14ac:dyDescent="0.3">
      <c r="A566" s="142"/>
      <c r="B566" s="598"/>
      <c r="C566" s="598"/>
      <c r="D566" s="598"/>
      <c r="E566" s="770"/>
      <c r="F566" s="598"/>
      <c r="G566" s="770"/>
      <c r="H566" s="598"/>
      <c r="I566" s="602"/>
      <c r="J566" s="4930">
        <f t="shared" si="425"/>
        <v>0</v>
      </c>
      <c r="K566" s="770"/>
      <c r="L566" s="598"/>
      <c r="M566" s="601"/>
      <c r="N566" s="4931">
        <f t="shared" si="426"/>
        <v>0</v>
      </c>
      <c r="O566" s="770"/>
      <c r="P566" s="598"/>
      <c r="Q566" s="602"/>
      <c r="R566" s="4930">
        <f t="shared" si="427"/>
        <v>0</v>
      </c>
      <c r="S566" s="770"/>
      <c r="T566" s="598"/>
      <c r="U566" s="602"/>
      <c r="V566" s="4930">
        <f t="shared" si="428"/>
        <v>0</v>
      </c>
      <c r="W566" s="770"/>
      <c r="X566" s="598"/>
      <c r="Y566" s="601"/>
      <c r="Z566" s="601">
        <f t="shared" si="422"/>
        <v>0</v>
      </c>
      <c r="AA566" s="771"/>
      <c r="AB566" s="5069">
        <f t="shared" si="433"/>
        <v>0</v>
      </c>
      <c r="AC566" s="770"/>
      <c r="AD566" s="598"/>
      <c r="AE566" s="602"/>
      <c r="AF566" s="4930">
        <f t="shared" si="429"/>
        <v>0</v>
      </c>
      <c r="AG566" s="770"/>
      <c r="AH566" s="598"/>
      <c r="AI566" s="602"/>
      <c r="AJ566" s="4930">
        <f t="shared" si="430"/>
        <v>0</v>
      </c>
      <c r="AK566" s="770"/>
      <c r="AL566" s="598"/>
      <c r="AM566" s="601"/>
      <c r="AN566" s="717">
        <f t="shared" si="423"/>
        <v>0</v>
      </c>
      <c r="AO566" s="602"/>
      <c r="AP566" s="4930">
        <f t="shared" si="434"/>
        <v>0</v>
      </c>
      <c r="AQ566" s="770"/>
      <c r="AR566" s="598"/>
      <c r="AS566" s="602"/>
      <c r="AT566" s="4930">
        <f t="shared" si="431"/>
        <v>0</v>
      </c>
      <c r="AU566" s="770"/>
      <c r="AV566" s="598"/>
      <c r="AW566" s="602"/>
      <c r="AX566" s="4930">
        <f t="shared" si="432"/>
        <v>0</v>
      </c>
      <c r="AY566" s="770"/>
      <c r="AZ566" s="598"/>
      <c r="BA566" s="601"/>
      <c r="BB566" s="717">
        <f t="shared" si="424"/>
        <v>0</v>
      </c>
      <c r="BC566" s="771"/>
      <c r="BD566" s="429">
        <f t="shared" si="411"/>
        <v>0</v>
      </c>
      <c r="BE566" s="602"/>
      <c r="BF566" s="718">
        <f t="shared" si="412"/>
        <v>0</v>
      </c>
    </row>
    <row r="567" spans="1:58" ht="21" hidden="1" customHeight="1" x14ac:dyDescent="0.3">
      <c r="A567" s="142"/>
      <c r="B567" s="598"/>
      <c r="C567" s="598"/>
      <c r="D567" s="598"/>
      <c r="E567" s="770"/>
      <c r="F567" s="598"/>
      <c r="G567" s="770"/>
      <c r="H567" s="598"/>
      <c r="I567" s="602"/>
      <c r="J567" s="4930">
        <f t="shared" si="425"/>
        <v>0</v>
      </c>
      <c r="K567" s="770"/>
      <c r="L567" s="598"/>
      <c r="M567" s="601"/>
      <c r="N567" s="4931">
        <f t="shared" si="426"/>
        <v>0</v>
      </c>
      <c r="O567" s="770"/>
      <c r="P567" s="598"/>
      <c r="Q567" s="602"/>
      <c r="R567" s="4930">
        <f t="shared" si="427"/>
        <v>0</v>
      </c>
      <c r="S567" s="770"/>
      <c r="T567" s="598"/>
      <c r="U567" s="602"/>
      <c r="V567" s="4930">
        <f t="shared" si="428"/>
        <v>0</v>
      </c>
      <c r="W567" s="770"/>
      <c r="X567" s="598"/>
      <c r="Y567" s="601"/>
      <c r="Z567" s="601">
        <f t="shared" si="422"/>
        <v>0</v>
      </c>
      <c r="AA567" s="771"/>
      <c r="AB567" s="5069">
        <f t="shared" si="433"/>
        <v>0</v>
      </c>
      <c r="AC567" s="770"/>
      <c r="AD567" s="598"/>
      <c r="AE567" s="602"/>
      <c r="AF567" s="4930">
        <f t="shared" si="429"/>
        <v>0</v>
      </c>
      <c r="AG567" s="770"/>
      <c r="AH567" s="598"/>
      <c r="AI567" s="602"/>
      <c r="AJ567" s="4930">
        <f t="shared" si="430"/>
        <v>0</v>
      </c>
      <c r="AK567" s="770"/>
      <c r="AL567" s="598"/>
      <c r="AM567" s="601"/>
      <c r="AN567" s="717">
        <f t="shared" si="423"/>
        <v>0</v>
      </c>
      <c r="AO567" s="602"/>
      <c r="AP567" s="4930">
        <f t="shared" si="434"/>
        <v>0</v>
      </c>
      <c r="AQ567" s="770"/>
      <c r="AR567" s="598"/>
      <c r="AS567" s="602"/>
      <c r="AT567" s="4930">
        <f t="shared" si="431"/>
        <v>0</v>
      </c>
      <c r="AU567" s="770"/>
      <c r="AV567" s="598"/>
      <c r="AW567" s="602"/>
      <c r="AX567" s="4930">
        <f t="shared" si="432"/>
        <v>0</v>
      </c>
      <c r="AY567" s="770"/>
      <c r="AZ567" s="598"/>
      <c r="BA567" s="601"/>
      <c r="BB567" s="717">
        <f t="shared" si="424"/>
        <v>0</v>
      </c>
      <c r="BC567" s="771"/>
      <c r="BD567" s="429">
        <f t="shared" si="411"/>
        <v>0</v>
      </c>
      <c r="BE567" s="602"/>
      <c r="BF567" s="718">
        <f t="shared" si="412"/>
        <v>0</v>
      </c>
    </row>
    <row r="568" spans="1:58" ht="21" hidden="1" customHeight="1" x14ac:dyDescent="0.3">
      <c r="A568" s="142"/>
      <c r="B568" s="598"/>
      <c r="C568" s="598"/>
      <c r="D568" s="598"/>
      <c r="E568" s="770"/>
      <c r="F568" s="598"/>
      <c r="G568" s="770"/>
      <c r="H568" s="598"/>
      <c r="I568" s="602"/>
      <c r="J568" s="4930">
        <f t="shared" si="425"/>
        <v>0</v>
      </c>
      <c r="K568" s="770"/>
      <c r="L568" s="598"/>
      <c r="M568" s="601"/>
      <c r="N568" s="4931">
        <f t="shared" si="426"/>
        <v>0</v>
      </c>
      <c r="O568" s="770"/>
      <c r="P568" s="598"/>
      <c r="Q568" s="602"/>
      <c r="R568" s="4930">
        <f t="shared" si="427"/>
        <v>0</v>
      </c>
      <c r="S568" s="770"/>
      <c r="T568" s="598"/>
      <c r="U568" s="602"/>
      <c r="V568" s="4930">
        <f t="shared" si="428"/>
        <v>0</v>
      </c>
      <c r="W568" s="770"/>
      <c r="X568" s="598"/>
      <c r="Y568" s="601"/>
      <c r="Z568" s="601">
        <f t="shared" si="422"/>
        <v>0</v>
      </c>
      <c r="AA568" s="771"/>
      <c r="AB568" s="5069">
        <f t="shared" si="433"/>
        <v>0</v>
      </c>
      <c r="AC568" s="770"/>
      <c r="AD568" s="598"/>
      <c r="AE568" s="602"/>
      <c r="AF568" s="4930">
        <f t="shared" si="429"/>
        <v>0</v>
      </c>
      <c r="AG568" s="770"/>
      <c r="AH568" s="598"/>
      <c r="AI568" s="602"/>
      <c r="AJ568" s="4930">
        <f t="shared" si="430"/>
        <v>0</v>
      </c>
      <c r="AK568" s="770"/>
      <c r="AL568" s="598"/>
      <c r="AM568" s="601"/>
      <c r="AN568" s="717">
        <f t="shared" si="423"/>
        <v>0</v>
      </c>
      <c r="AO568" s="602"/>
      <c r="AP568" s="4930">
        <f t="shared" si="434"/>
        <v>0</v>
      </c>
      <c r="AQ568" s="770"/>
      <c r="AR568" s="598"/>
      <c r="AS568" s="602"/>
      <c r="AT568" s="4930">
        <f t="shared" si="431"/>
        <v>0</v>
      </c>
      <c r="AU568" s="770"/>
      <c r="AV568" s="598"/>
      <c r="AW568" s="602"/>
      <c r="AX568" s="4930">
        <f t="shared" si="432"/>
        <v>0</v>
      </c>
      <c r="AY568" s="770"/>
      <c r="AZ568" s="598"/>
      <c r="BA568" s="601"/>
      <c r="BB568" s="717">
        <f t="shared" si="424"/>
        <v>0</v>
      </c>
      <c r="BC568" s="771"/>
      <c r="BD568" s="429">
        <f t="shared" si="411"/>
        <v>0</v>
      </c>
      <c r="BE568" s="602"/>
      <c r="BF568" s="718">
        <f t="shared" si="412"/>
        <v>0</v>
      </c>
    </row>
    <row r="569" spans="1:58" ht="21" hidden="1" customHeight="1" x14ac:dyDescent="0.3">
      <c r="A569" s="142"/>
      <c r="B569" s="598"/>
      <c r="C569" s="598"/>
      <c r="D569" s="598"/>
      <c r="E569" s="770"/>
      <c r="F569" s="598"/>
      <c r="G569" s="770"/>
      <c r="H569" s="598"/>
      <c r="I569" s="602"/>
      <c r="J569" s="4930">
        <f t="shared" si="425"/>
        <v>0</v>
      </c>
      <c r="K569" s="770"/>
      <c r="L569" s="598"/>
      <c r="M569" s="601"/>
      <c r="N569" s="4931">
        <f t="shared" si="426"/>
        <v>0</v>
      </c>
      <c r="O569" s="770"/>
      <c r="P569" s="598"/>
      <c r="Q569" s="602"/>
      <c r="R569" s="4930">
        <f t="shared" si="427"/>
        <v>0</v>
      </c>
      <c r="S569" s="770"/>
      <c r="T569" s="598"/>
      <c r="U569" s="602"/>
      <c r="V569" s="4930">
        <f t="shared" si="428"/>
        <v>0</v>
      </c>
      <c r="W569" s="770"/>
      <c r="X569" s="598"/>
      <c r="Y569" s="601"/>
      <c r="Z569" s="601">
        <f t="shared" si="422"/>
        <v>0</v>
      </c>
      <c r="AA569" s="771"/>
      <c r="AB569" s="5069">
        <f t="shared" si="433"/>
        <v>0</v>
      </c>
      <c r="AC569" s="770"/>
      <c r="AD569" s="598"/>
      <c r="AE569" s="602"/>
      <c r="AF569" s="4930">
        <f t="shared" si="429"/>
        <v>0</v>
      </c>
      <c r="AG569" s="770"/>
      <c r="AH569" s="598"/>
      <c r="AI569" s="602"/>
      <c r="AJ569" s="4930">
        <f t="shared" si="430"/>
        <v>0</v>
      </c>
      <c r="AK569" s="770"/>
      <c r="AL569" s="598"/>
      <c r="AM569" s="601"/>
      <c r="AN569" s="717">
        <f t="shared" si="423"/>
        <v>0</v>
      </c>
      <c r="AO569" s="602"/>
      <c r="AP569" s="4930">
        <f t="shared" si="434"/>
        <v>0</v>
      </c>
      <c r="AQ569" s="770"/>
      <c r="AR569" s="598"/>
      <c r="AS569" s="602"/>
      <c r="AT569" s="4930">
        <f t="shared" si="431"/>
        <v>0</v>
      </c>
      <c r="AU569" s="770"/>
      <c r="AV569" s="598"/>
      <c r="AW569" s="602"/>
      <c r="AX569" s="4930">
        <f t="shared" si="432"/>
        <v>0</v>
      </c>
      <c r="AY569" s="770"/>
      <c r="AZ569" s="598"/>
      <c r="BA569" s="601"/>
      <c r="BB569" s="717">
        <f t="shared" si="424"/>
        <v>0</v>
      </c>
      <c r="BC569" s="771"/>
      <c r="BD569" s="429">
        <f t="shared" si="411"/>
        <v>0</v>
      </c>
      <c r="BE569" s="602"/>
      <c r="BF569" s="718">
        <f t="shared" si="412"/>
        <v>0</v>
      </c>
    </row>
    <row r="570" spans="1:58" ht="21" hidden="1" customHeight="1" x14ac:dyDescent="0.3">
      <c r="A570" s="142"/>
      <c r="B570" s="598"/>
      <c r="C570" s="598"/>
      <c r="D570" s="598"/>
      <c r="E570" s="770"/>
      <c r="F570" s="598"/>
      <c r="G570" s="770"/>
      <c r="H570" s="598"/>
      <c r="I570" s="602"/>
      <c r="J570" s="4930">
        <f t="shared" si="425"/>
        <v>0</v>
      </c>
      <c r="K570" s="770"/>
      <c r="L570" s="598"/>
      <c r="M570" s="601"/>
      <c r="N570" s="4931">
        <f t="shared" si="426"/>
        <v>0</v>
      </c>
      <c r="O570" s="770"/>
      <c r="P570" s="598"/>
      <c r="Q570" s="602"/>
      <c r="R570" s="4930">
        <f t="shared" si="427"/>
        <v>0</v>
      </c>
      <c r="S570" s="770"/>
      <c r="T570" s="598"/>
      <c r="U570" s="602"/>
      <c r="V570" s="4930">
        <f t="shared" si="428"/>
        <v>0</v>
      </c>
      <c r="W570" s="770"/>
      <c r="X570" s="598"/>
      <c r="Y570" s="601"/>
      <c r="Z570" s="601">
        <f t="shared" si="422"/>
        <v>0</v>
      </c>
      <c r="AA570" s="771"/>
      <c r="AB570" s="5069">
        <f t="shared" si="433"/>
        <v>0</v>
      </c>
      <c r="AC570" s="770"/>
      <c r="AD570" s="598"/>
      <c r="AE570" s="602"/>
      <c r="AF570" s="4930">
        <f t="shared" si="429"/>
        <v>0</v>
      </c>
      <c r="AG570" s="770"/>
      <c r="AH570" s="598"/>
      <c r="AI570" s="602"/>
      <c r="AJ570" s="4930">
        <f t="shared" si="430"/>
        <v>0</v>
      </c>
      <c r="AK570" s="770"/>
      <c r="AL570" s="598"/>
      <c r="AM570" s="601"/>
      <c r="AN570" s="717">
        <f t="shared" si="423"/>
        <v>0</v>
      </c>
      <c r="AO570" s="602"/>
      <c r="AP570" s="4930">
        <f t="shared" si="434"/>
        <v>0</v>
      </c>
      <c r="AQ570" s="770"/>
      <c r="AR570" s="598"/>
      <c r="AS570" s="602"/>
      <c r="AT570" s="4930">
        <f t="shared" si="431"/>
        <v>0</v>
      </c>
      <c r="AU570" s="770"/>
      <c r="AV570" s="598"/>
      <c r="AW570" s="602"/>
      <c r="AX570" s="4930">
        <f t="shared" si="432"/>
        <v>0</v>
      </c>
      <c r="AY570" s="770"/>
      <c r="AZ570" s="598"/>
      <c r="BA570" s="601"/>
      <c r="BB570" s="717">
        <f t="shared" si="424"/>
        <v>0</v>
      </c>
      <c r="BC570" s="771"/>
      <c r="BD570" s="429">
        <f t="shared" si="411"/>
        <v>0</v>
      </c>
      <c r="BE570" s="602"/>
      <c r="BF570" s="718">
        <f t="shared" si="412"/>
        <v>0</v>
      </c>
    </row>
    <row r="571" spans="1:58" ht="21" hidden="1" customHeight="1" x14ac:dyDescent="0.3">
      <c r="A571" s="142"/>
      <c r="B571" s="598"/>
      <c r="C571" s="598"/>
      <c r="D571" s="598"/>
      <c r="E571" s="770"/>
      <c r="F571" s="598"/>
      <c r="G571" s="770"/>
      <c r="H571" s="598"/>
      <c r="I571" s="602"/>
      <c r="J571" s="4930">
        <f t="shared" si="425"/>
        <v>0</v>
      </c>
      <c r="K571" s="770"/>
      <c r="L571" s="598"/>
      <c r="M571" s="601"/>
      <c r="N571" s="4931">
        <f t="shared" si="426"/>
        <v>0</v>
      </c>
      <c r="O571" s="770"/>
      <c r="P571" s="598"/>
      <c r="Q571" s="602"/>
      <c r="R571" s="4930">
        <f t="shared" si="427"/>
        <v>0</v>
      </c>
      <c r="S571" s="770"/>
      <c r="T571" s="598"/>
      <c r="U571" s="602"/>
      <c r="V571" s="4930">
        <f t="shared" si="428"/>
        <v>0</v>
      </c>
      <c r="W571" s="770"/>
      <c r="X571" s="598"/>
      <c r="Y571" s="601"/>
      <c r="Z571" s="601">
        <f t="shared" si="422"/>
        <v>0</v>
      </c>
      <c r="AA571" s="771"/>
      <c r="AB571" s="5069">
        <f t="shared" si="433"/>
        <v>0</v>
      </c>
      <c r="AC571" s="770"/>
      <c r="AD571" s="598"/>
      <c r="AE571" s="602"/>
      <c r="AF571" s="4930">
        <f t="shared" si="429"/>
        <v>0</v>
      </c>
      <c r="AG571" s="770"/>
      <c r="AH571" s="598"/>
      <c r="AI571" s="602"/>
      <c r="AJ571" s="4930">
        <f t="shared" si="430"/>
        <v>0</v>
      </c>
      <c r="AK571" s="770"/>
      <c r="AL571" s="598"/>
      <c r="AM571" s="601"/>
      <c r="AN571" s="717">
        <f t="shared" si="423"/>
        <v>0</v>
      </c>
      <c r="AO571" s="602"/>
      <c r="AP571" s="4930">
        <f t="shared" si="434"/>
        <v>0</v>
      </c>
      <c r="AQ571" s="770"/>
      <c r="AR571" s="598"/>
      <c r="AS571" s="602"/>
      <c r="AT571" s="4930">
        <f t="shared" si="431"/>
        <v>0</v>
      </c>
      <c r="AU571" s="770"/>
      <c r="AV571" s="598"/>
      <c r="AW571" s="602"/>
      <c r="AX571" s="4930">
        <f t="shared" si="432"/>
        <v>0</v>
      </c>
      <c r="AY571" s="770"/>
      <c r="AZ571" s="598"/>
      <c r="BA571" s="601"/>
      <c r="BB571" s="717">
        <f t="shared" si="424"/>
        <v>0</v>
      </c>
      <c r="BC571" s="771"/>
      <c r="BD571" s="429">
        <f t="shared" si="411"/>
        <v>0</v>
      </c>
      <c r="BE571" s="602"/>
      <c r="BF571" s="718">
        <f t="shared" si="412"/>
        <v>0</v>
      </c>
    </row>
    <row r="572" spans="1:58" ht="21" hidden="1" customHeight="1" x14ac:dyDescent="0.3">
      <c r="A572" s="142"/>
      <c r="B572" s="598"/>
      <c r="C572" s="598"/>
      <c r="D572" s="598"/>
      <c r="E572" s="770"/>
      <c r="F572" s="598"/>
      <c r="G572" s="770"/>
      <c r="H572" s="598"/>
      <c r="I572" s="602"/>
      <c r="J572" s="4930">
        <f t="shared" si="425"/>
        <v>0</v>
      </c>
      <c r="K572" s="770"/>
      <c r="L572" s="598"/>
      <c r="M572" s="601"/>
      <c r="N572" s="4931">
        <f t="shared" si="426"/>
        <v>0</v>
      </c>
      <c r="O572" s="770"/>
      <c r="P572" s="598"/>
      <c r="Q572" s="602"/>
      <c r="R572" s="4930">
        <f t="shared" si="427"/>
        <v>0</v>
      </c>
      <c r="S572" s="770"/>
      <c r="T572" s="598"/>
      <c r="U572" s="602"/>
      <c r="V572" s="4930">
        <f t="shared" si="428"/>
        <v>0</v>
      </c>
      <c r="W572" s="770"/>
      <c r="X572" s="598"/>
      <c r="Y572" s="601"/>
      <c r="Z572" s="601">
        <f t="shared" si="422"/>
        <v>0</v>
      </c>
      <c r="AA572" s="771"/>
      <c r="AB572" s="5069">
        <f t="shared" si="433"/>
        <v>0</v>
      </c>
      <c r="AC572" s="770"/>
      <c r="AD572" s="598"/>
      <c r="AE572" s="602"/>
      <c r="AF572" s="4930">
        <f t="shared" si="429"/>
        <v>0</v>
      </c>
      <c r="AG572" s="770"/>
      <c r="AH572" s="598"/>
      <c r="AI572" s="602"/>
      <c r="AJ572" s="4930">
        <f t="shared" si="430"/>
        <v>0</v>
      </c>
      <c r="AK572" s="770"/>
      <c r="AL572" s="598"/>
      <c r="AM572" s="601"/>
      <c r="AN572" s="717">
        <f t="shared" si="423"/>
        <v>0</v>
      </c>
      <c r="AO572" s="602"/>
      <c r="AP572" s="4930">
        <f t="shared" si="434"/>
        <v>0</v>
      </c>
      <c r="AQ572" s="770"/>
      <c r="AR572" s="598"/>
      <c r="AS572" s="602"/>
      <c r="AT572" s="4930">
        <f t="shared" si="431"/>
        <v>0</v>
      </c>
      <c r="AU572" s="770"/>
      <c r="AV572" s="598"/>
      <c r="AW572" s="602"/>
      <c r="AX572" s="4930">
        <f t="shared" si="432"/>
        <v>0</v>
      </c>
      <c r="AY572" s="770"/>
      <c r="AZ572" s="598"/>
      <c r="BA572" s="601"/>
      <c r="BB572" s="717">
        <f t="shared" si="424"/>
        <v>0</v>
      </c>
      <c r="BC572" s="771"/>
      <c r="BD572" s="429">
        <f t="shared" si="411"/>
        <v>0</v>
      </c>
      <c r="BE572" s="602"/>
      <c r="BF572" s="718">
        <f t="shared" si="412"/>
        <v>0</v>
      </c>
    </row>
    <row r="573" spans="1:58" ht="21" hidden="1" customHeight="1" x14ac:dyDescent="0.3">
      <c r="A573" s="142"/>
      <c r="B573" s="598"/>
      <c r="C573" s="598"/>
      <c r="D573" s="598"/>
      <c r="E573" s="770"/>
      <c r="F573" s="598"/>
      <c r="G573" s="770"/>
      <c r="H573" s="598"/>
      <c r="I573" s="602"/>
      <c r="J573" s="4930">
        <f t="shared" si="425"/>
        <v>0</v>
      </c>
      <c r="K573" s="770"/>
      <c r="L573" s="598"/>
      <c r="M573" s="601"/>
      <c r="N573" s="4931">
        <f t="shared" si="426"/>
        <v>0</v>
      </c>
      <c r="O573" s="770"/>
      <c r="P573" s="598"/>
      <c r="Q573" s="602"/>
      <c r="R573" s="4930">
        <f t="shared" si="427"/>
        <v>0</v>
      </c>
      <c r="S573" s="770"/>
      <c r="T573" s="598"/>
      <c r="U573" s="602"/>
      <c r="V573" s="4930">
        <f t="shared" si="428"/>
        <v>0</v>
      </c>
      <c r="W573" s="770"/>
      <c r="X573" s="598"/>
      <c r="Y573" s="601"/>
      <c r="Z573" s="601">
        <f t="shared" si="422"/>
        <v>0</v>
      </c>
      <c r="AA573" s="771"/>
      <c r="AB573" s="5069">
        <f t="shared" si="433"/>
        <v>0</v>
      </c>
      <c r="AC573" s="770"/>
      <c r="AD573" s="598"/>
      <c r="AE573" s="602"/>
      <c r="AF573" s="4930">
        <f t="shared" si="429"/>
        <v>0</v>
      </c>
      <c r="AG573" s="770"/>
      <c r="AH573" s="598"/>
      <c r="AI573" s="602"/>
      <c r="AJ573" s="4930">
        <f t="shared" si="430"/>
        <v>0</v>
      </c>
      <c r="AK573" s="770"/>
      <c r="AL573" s="598"/>
      <c r="AM573" s="601"/>
      <c r="AN573" s="717">
        <f t="shared" si="423"/>
        <v>0</v>
      </c>
      <c r="AO573" s="602"/>
      <c r="AP573" s="4930">
        <f t="shared" si="434"/>
        <v>0</v>
      </c>
      <c r="AQ573" s="770"/>
      <c r="AR573" s="598"/>
      <c r="AS573" s="602"/>
      <c r="AT573" s="4930">
        <f t="shared" si="431"/>
        <v>0</v>
      </c>
      <c r="AU573" s="770"/>
      <c r="AV573" s="598"/>
      <c r="AW573" s="602"/>
      <c r="AX573" s="4930">
        <f t="shared" si="432"/>
        <v>0</v>
      </c>
      <c r="AY573" s="770"/>
      <c r="AZ573" s="598"/>
      <c r="BA573" s="601"/>
      <c r="BB573" s="717">
        <f t="shared" si="424"/>
        <v>0</v>
      </c>
      <c r="BC573" s="771"/>
      <c r="BD573" s="429">
        <f t="shared" si="411"/>
        <v>0</v>
      </c>
      <c r="BE573" s="602"/>
      <c r="BF573" s="718">
        <f t="shared" si="412"/>
        <v>0</v>
      </c>
    </row>
    <row r="574" spans="1:58" ht="21" hidden="1" customHeight="1" x14ac:dyDescent="0.3">
      <c r="A574" s="142"/>
      <c r="B574" s="598"/>
      <c r="C574" s="598"/>
      <c r="D574" s="598"/>
      <c r="E574" s="770"/>
      <c r="F574" s="598"/>
      <c r="G574" s="770"/>
      <c r="H574" s="598"/>
      <c r="I574" s="602"/>
      <c r="J574" s="4930">
        <f t="shared" si="425"/>
        <v>0</v>
      </c>
      <c r="K574" s="770"/>
      <c r="L574" s="598"/>
      <c r="M574" s="601"/>
      <c r="N574" s="4931">
        <f t="shared" si="426"/>
        <v>0</v>
      </c>
      <c r="O574" s="770"/>
      <c r="P574" s="598"/>
      <c r="Q574" s="602"/>
      <c r="R574" s="4930">
        <f t="shared" si="427"/>
        <v>0</v>
      </c>
      <c r="S574" s="770"/>
      <c r="T574" s="598"/>
      <c r="U574" s="602"/>
      <c r="V574" s="4930">
        <f t="shared" si="428"/>
        <v>0</v>
      </c>
      <c r="W574" s="770"/>
      <c r="X574" s="598"/>
      <c r="Y574" s="601"/>
      <c r="Z574" s="601">
        <f t="shared" si="422"/>
        <v>0</v>
      </c>
      <c r="AA574" s="771"/>
      <c r="AB574" s="5069">
        <f t="shared" si="433"/>
        <v>0</v>
      </c>
      <c r="AC574" s="770"/>
      <c r="AD574" s="598"/>
      <c r="AE574" s="602"/>
      <c r="AF574" s="4930">
        <f t="shared" si="429"/>
        <v>0</v>
      </c>
      <c r="AG574" s="770"/>
      <c r="AH574" s="598"/>
      <c r="AI574" s="602"/>
      <c r="AJ574" s="4930">
        <f t="shared" si="430"/>
        <v>0</v>
      </c>
      <c r="AK574" s="770"/>
      <c r="AL574" s="598"/>
      <c r="AM574" s="601"/>
      <c r="AN574" s="717">
        <f t="shared" si="423"/>
        <v>0</v>
      </c>
      <c r="AO574" s="602"/>
      <c r="AP574" s="4930">
        <f t="shared" si="434"/>
        <v>0</v>
      </c>
      <c r="AQ574" s="770"/>
      <c r="AR574" s="598"/>
      <c r="AS574" s="602"/>
      <c r="AT574" s="4930">
        <f t="shared" si="431"/>
        <v>0</v>
      </c>
      <c r="AU574" s="770"/>
      <c r="AV574" s="598"/>
      <c r="AW574" s="602"/>
      <c r="AX574" s="4930">
        <f t="shared" si="432"/>
        <v>0</v>
      </c>
      <c r="AY574" s="770"/>
      <c r="AZ574" s="598"/>
      <c r="BA574" s="601"/>
      <c r="BB574" s="717">
        <f t="shared" si="424"/>
        <v>0</v>
      </c>
      <c r="BC574" s="771"/>
      <c r="BD574" s="429">
        <f t="shared" si="411"/>
        <v>0</v>
      </c>
      <c r="BE574" s="602"/>
      <c r="BF574" s="718">
        <f t="shared" si="412"/>
        <v>0</v>
      </c>
    </row>
    <row r="575" spans="1:58" ht="21" hidden="1" customHeight="1" x14ac:dyDescent="0.3">
      <c r="A575" s="142"/>
      <c r="B575" s="598"/>
      <c r="C575" s="598"/>
      <c r="D575" s="598"/>
      <c r="E575" s="770"/>
      <c r="F575" s="598"/>
      <c r="G575" s="770"/>
      <c r="H575" s="598"/>
      <c r="I575" s="602"/>
      <c r="J575" s="4930">
        <f t="shared" si="425"/>
        <v>0</v>
      </c>
      <c r="K575" s="770"/>
      <c r="L575" s="598"/>
      <c r="M575" s="601"/>
      <c r="N575" s="4931">
        <f t="shared" si="426"/>
        <v>0</v>
      </c>
      <c r="O575" s="770"/>
      <c r="P575" s="598"/>
      <c r="Q575" s="602"/>
      <c r="R575" s="4930">
        <f t="shared" si="427"/>
        <v>0</v>
      </c>
      <c r="S575" s="770"/>
      <c r="T575" s="598"/>
      <c r="U575" s="602"/>
      <c r="V575" s="4930">
        <f t="shared" si="428"/>
        <v>0</v>
      </c>
      <c r="W575" s="770"/>
      <c r="X575" s="598"/>
      <c r="Y575" s="601"/>
      <c r="Z575" s="601">
        <f t="shared" si="422"/>
        <v>0</v>
      </c>
      <c r="AA575" s="771"/>
      <c r="AB575" s="5069">
        <f t="shared" si="433"/>
        <v>0</v>
      </c>
      <c r="AC575" s="770"/>
      <c r="AD575" s="598"/>
      <c r="AE575" s="602"/>
      <c r="AF575" s="4930">
        <f t="shared" si="429"/>
        <v>0</v>
      </c>
      <c r="AG575" s="770"/>
      <c r="AH575" s="598"/>
      <c r="AI575" s="602"/>
      <c r="AJ575" s="4930">
        <f t="shared" si="430"/>
        <v>0</v>
      </c>
      <c r="AK575" s="770"/>
      <c r="AL575" s="598"/>
      <c r="AM575" s="601"/>
      <c r="AN575" s="717">
        <f t="shared" si="423"/>
        <v>0</v>
      </c>
      <c r="AO575" s="602"/>
      <c r="AP575" s="4930">
        <f t="shared" si="434"/>
        <v>0</v>
      </c>
      <c r="AQ575" s="770"/>
      <c r="AR575" s="598"/>
      <c r="AS575" s="602"/>
      <c r="AT575" s="4930">
        <f t="shared" si="431"/>
        <v>0</v>
      </c>
      <c r="AU575" s="770"/>
      <c r="AV575" s="598"/>
      <c r="AW575" s="602"/>
      <c r="AX575" s="4930">
        <f t="shared" si="432"/>
        <v>0</v>
      </c>
      <c r="AY575" s="770"/>
      <c r="AZ575" s="598"/>
      <c r="BA575" s="601"/>
      <c r="BB575" s="717">
        <f t="shared" si="424"/>
        <v>0</v>
      </c>
      <c r="BC575" s="771"/>
      <c r="BD575" s="429">
        <f t="shared" si="411"/>
        <v>0</v>
      </c>
      <c r="BE575" s="602"/>
      <c r="BF575" s="718">
        <f t="shared" si="412"/>
        <v>0</v>
      </c>
    </row>
    <row r="576" spans="1:58" ht="21" hidden="1" customHeight="1" x14ac:dyDescent="0.3">
      <c r="A576" s="142"/>
      <c r="B576" s="598"/>
      <c r="C576" s="598"/>
      <c r="D576" s="598"/>
      <c r="E576" s="770"/>
      <c r="F576" s="598"/>
      <c r="G576" s="770"/>
      <c r="H576" s="598"/>
      <c r="I576" s="602"/>
      <c r="J576" s="4930">
        <f t="shared" si="425"/>
        <v>0</v>
      </c>
      <c r="K576" s="770"/>
      <c r="L576" s="598"/>
      <c r="M576" s="601"/>
      <c r="N576" s="4931">
        <f t="shared" si="426"/>
        <v>0</v>
      </c>
      <c r="O576" s="770"/>
      <c r="P576" s="598"/>
      <c r="Q576" s="602"/>
      <c r="R576" s="4930">
        <f t="shared" si="427"/>
        <v>0</v>
      </c>
      <c r="S576" s="770"/>
      <c r="T576" s="598"/>
      <c r="U576" s="602"/>
      <c r="V576" s="4930">
        <f t="shared" si="428"/>
        <v>0</v>
      </c>
      <c r="W576" s="770"/>
      <c r="X576" s="598"/>
      <c r="Y576" s="601"/>
      <c r="Z576" s="601">
        <f t="shared" si="422"/>
        <v>0</v>
      </c>
      <c r="AA576" s="771"/>
      <c r="AB576" s="5069">
        <f t="shared" si="433"/>
        <v>0</v>
      </c>
      <c r="AC576" s="770"/>
      <c r="AD576" s="598"/>
      <c r="AE576" s="602"/>
      <c r="AF576" s="4930">
        <f t="shared" si="429"/>
        <v>0</v>
      </c>
      <c r="AG576" s="770"/>
      <c r="AH576" s="598"/>
      <c r="AI576" s="602"/>
      <c r="AJ576" s="4930">
        <f t="shared" si="430"/>
        <v>0</v>
      </c>
      <c r="AK576" s="770"/>
      <c r="AL576" s="598"/>
      <c r="AM576" s="601"/>
      <c r="AN576" s="717">
        <f t="shared" si="423"/>
        <v>0</v>
      </c>
      <c r="AO576" s="602"/>
      <c r="AP576" s="4930">
        <f t="shared" si="434"/>
        <v>0</v>
      </c>
      <c r="AQ576" s="770"/>
      <c r="AR576" s="598"/>
      <c r="AS576" s="602"/>
      <c r="AT576" s="4930">
        <f t="shared" si="431"/>
        <v>0</v>
      </c>
      <c r="AU576" s="770"/>
      <c r="AV576" s="598"/>
      <c r="AW576" s="602"/>
      <c r="AX576" s="4930">
        <f t="shared" si="432"/>
        <v>0</v>
      </c>
      <c r="AY576" s="770"/>
      <c r="AZ576" s="598"/>
      <c r="BA576" s="601"/>
      <c r="BB576" s="717">
        <f t="shared" si="424"/>
        <v>0</v>
      </c>
      <c r="BC576" s="771"/>
      <c r="BD576" s="429">
        <f t="shared" si="411"/>
        <v>0</v>
      </c>
      <c r="BE576" s="602"/>
      <c r="BF576" s="718">
        <f t="shared" si="412"/>
        <v>0</v>
      </c>
    </row>
    <row r="577" spans="1:58" ht="21" hidden="1" customHeight="1" x14ac:dyDescent="0.3">
      <c r="A577" s="142"/>
      <c r="B577" s="598"/>
      <c r="C577" s="598"/>
      <c r="D577" s="598"/>
      <c r="E577" s="770"/>
      <c r="F577" s="598"/>
      <c r="G577" s="770"/>
      <c r="H577" s="598"/>
      <c r="I577" s="602"/>
      <c r="J577" s="4930">
        <f t="shared" si="425"/>
        <v>0</v>
      </c>
      <c r="K577" s="770"/>
      <c r="L577" s="598"/>
      <c r="M577" s="601"/>
      <c r="N577" s="4931">
        <f t="shared" si="426"/>
        <v>0</v>
      </c>
      <c r="O577" s="770"/>
      <c r="P577" s="598"/>
      <c r="Q577" s="602"/>
      <c r="R577" s="4930">
        <f t="shared" si="427"/>
        <v>0</v>
      </c>
      <c r="S577" s="770"/>
      <c r="T577" s="598"/>
      <c r="U577" s="602"/>
      <c r="V577" s="4930">
        <f t="shared" si="428"/>
        <v>0</v>
      </c>
      <c r="W577" s="770"/>
      <c r="X577" s="598"/>
      <c r="Y577" s="601"/>
      <c r="Z577" s="601">
        <f t="shared" si="422"/>
        <v>0</v>
      </c>
      <c r="AA577" s="771"/>
      <c r="AB577" s="5069">
        <f t="shared" si="433"/>
        <v>0</v>
      </c>
      <c r="AC577" s="770"/>
      <c r="AD577" s="598"/>
      <c r="AE577" s="602"/>
      <c r="AF577" s="4930">
        <f t="shared" si="429"/>
        <v>0</v>
      </c>
      <c r="AG577" s="770"/>
      <c r="AH577" s="598"/>
      <c r="AI577" s="602"/>
      <c r="AJ577" s="4930">
        <f t="shared" si="430"/>
        <v>0</v>
      </c>
      <c r="AK577" s="770"/>
      <c r="AL577" s="598"/>
      <c r="AM577" s="601"/>
      <c r="AN577" s="717">
        <f t="shared" si="423"/>
        <v>0</v>
      </c>
      <c r="AO577" s="602"/>
      <c r="AP577" s="4930">
        <f t="shared" si="434"/>
        <v>0</v>
      </c>
      <c r="AQ577" s="770"/>
      <c r="AR577" s="598"/>
      <c r="AS577" s="602"/>
      <c r="AT577" s="4930">
        <f t="shared" si="431"/>
        <v>0</v>
      </c>
      <c r="AU577" s="770"/>
      <c r="AV577" s="598"/>
      <c r="AW577" s="602"/>
      <c r="AX577" s="4930">
        <f t="shared" si="432"/>
        <v>0</v>
      </c>
      <c r="AY577" s="770"/>
      <c r="AZ577" s="598"/>
      <c r="BA577" s="601"/>
      <c r="BB577" s="717">
        <f t="shared" si="424"/>
        <v>0</v>
      </c>
      <c r="BC577" s="771"/>
      <c r="BD577" s="429">
        <f t="shared" si="411"/>
        <v>0</v>
      </c>
      <c r="BE577" s="602"/>
      <c r="BF577" s="718">
        <f t="shared" si="412"/>
        <v>0</v>
      </c>
    </row>
    <row r="578" spans="1:58" ht="21" hidden="1" customHeight="1" x14ac:dyDescent="0.3">
      <c r="A578" s="142"/>
      <c r="B578" s="598"/>
      <c r="C578" s="598"/>
      <c r="D578" s="598"/>
      <c r="E578" s="770"/>
      <c r="F578" s="598"/>
      <c r="G578" s="770"/>
      <c r="H578" s="598"/>
      <c r="I578" s="602"/>
      <c r="J578" s="4930">
        <f t="shared" si="425"/>
        <v>0</v>
      </c>
      <c r="K578" s="770"/>
      <c r="L578" s="598"/>
      <c r="M578" s="601"/>
      <c r="N578" s="4931">
        <f t="shared" si="426"/>
        <v>0</v>
      </c>
      <c r="O578" s="770"/>
      <c r="P578" s="598"/>
      <c r="Q578" s="602"/>
      <c r="R578" s="4930">
        <f t="shared" si="427"/>
        <v>0</v>
      </c>
      <c r="S578" s="770"/>
      <c r="T578" s="598"/>
      <c r="U578" s="602"/>
      <c r="V578" s="4930">
        <f t="shared" si="428"/>
        <v>0</v>
      </c>
      <c r="W578" s="770"/>
      <c r="X578" s="598"/>
      <c r="Y578" s="601"/>
      <c r="Z578" s="601">
        <f t="shared" si="422"/>
        <v>0</v>
      </c>
      <c r="AA578" s="771"/>
      <c r="AB578" s="5069">
        <f t="shared" si="433"/>
        <v>0</v>
      </c>
      <c r="AC578" s="770"/>
      <c r="AD578" s="598"/>
      <c r="AE578" s="602"/>
      <c r="AF578" s="4930">
        <f t="shared" si="429"/>
        <v>0</v>
      </c>
      <c r="AG578" s="770"/>
      <c r="AH578" s="598"/>
      <c r="AI578" s="602"/>
      <c r="AJ578" s="4930">
        <f t="shared" si="430"/>
        <v>0</v>
      </c>
      <c r="AK578" s="770"/>
      <c r="AL578" s="598"/>
      <c r="AM578" s="601"/>
      <c r="AN578" s="717">
        <f t="shared" si="423"/>
        <v>0</v>
      </c>
      <c r="AO578" s="602"/>
      <c r="AP578" s="4930">
        <f t="shared" si="434"/>
        <v>0</v>
      </c>
      <c r="AQ578" s="770"/>
      <c r="AR578" s="598"/>
      <c r="AS578" s="602"/>
      <c r="AT578" s="4930">
        <f t="shared" si="431"/>
        <v>0</v>
      </c>
      <c r="AU578" s="770"/>
      <c r="AV578" s="598"/>
      <c r="AW578" s="602"/>
      <c r="AX578" s="4930">
        <f t="shared" si="432"/>
        <v>0</v>
      </c>
      <c r="AY578" s="770"/>
      <c r="AZ578" s="598"/>
      <c r="BA578" s="601"/>
      <c r="BB578" s="717">
        <f t="shared" si="424"/>
        <v>0</v>
      </c>
      <c r="BC578" s="771"/>
      <c r="BD578" s="429">
        <f t="shared" si="411"/>
        <v>0</v>
      </c>
      <c r="BE578" s="602"/>
      <c r="BF578" s="718">
        <f t="shared" si="412"/>
        <v>0</v>
      </c>
    </row>
    <row r="579" spans="1:58" ht="21" hidden="1" customHeight="1" x14ac:dyDescent="0.3">
      <c r="A579" s="142"/>
      <c r="B579" s="598"/>
      <c r="C579" s="598"/>
      <c r="D579" s="598"/>
      <c r="E579" s="770"/>
      <c r="F579" s="598"/>
      <c r="G579" s="770"/>
      <c r="H579" s="598"/>
      <c r="I579" s="602"/>
      <c r="J579" s="4930">
        <f t="shared" si="425"/>
        <v>0</v>
      </c>
      <c r="K579" s="770"/>
      <c r="L579" s="598"/>
      <c r="M579" s="601"/>
      <c r="N579" s="4931">
        <f t="shared" si="426"/>
        <v>0</v>
      </c>
      <c r="O579" s="770"/>
      <c r="P579" s="598"/>
      <c r="Q579" s="602"/>
      <c r="R579" s="4930">
        <f t="shared" si="427"/>
        <v>0</v>
      </c>
      <c r="S579" s="770"/>
      <c r="T579" s="598"/>
      <c r="U579" s="602"/>
      <c r="V579" s="4930">
        <f t="shared" si="428"/>
        <v>0</v>
      </c>
      <c r="W579" s="770"/>
      <c r="X579" s="598"/>
      <c r="Y579" s="601"/>
      <c r="Z579" s="601">
        <f t="shared" si="422"/>
        <v>0</v>
      </c>
      <c r="AA579" s="771"/>
      <c r="AB579" s="5069">
        <f t="shared" si="433"/>
        <v>0</v>
      </c>
      <c r="AC579" s="770"/>
      <c r="AD579" s="598"/>
      <c r="AE579" s="602"/>
      <c r="AF579" s="4930">
        <f t="shared" si="429"/>
        <v>0</v>
      </c>
      <c r="AG579" s="770"/>
      <c r="AH579" s="598"/>
      <c r="AI579" s="602"/>
      <c r="AJ579" s="4930">
        <f t="shared" si="430"/>
        <v>0</v>
      </c>
      <c r="AK579" s="770"/>
      <c r="AL579" s="598"/>
      <c r="AM579" s="601"/>
      <c r="AN579" s="717">
        <f t="shared" si="423"/>
        <v>0</v>
      </c>
      <c r="AO579" s="602"/>
      <c r="AP579" s="4930">
        <f t="shared" si="434"/>
        <v>0</v>
      </c>
      <c r="AQ579" s="770"/>
      <c r="AR579" s="598"/>
      <c r="AS579" s="602"/>
      <c r="AT579" s="4930">
        <f t="shared" si="431"/>
        <v>0</v>
      </c>
      <c r="AU579" s="770"/>
      <c r="AV579" s="598"/>
      <c r="AW579" s="602"/>
      <c r="AX579" s="4930">
        <f t="shared" si="432"/>
        <v>0</v>
      </c>
      <c r="AY579" s="770"/>
      <c r="AZ579" s="598"/>
      <c r="BA579" s="601"/>
      <c r="BB579" s="717">
        <f t="shared" si="424"/>
        <v>0</v>
      </c>
      <c r="BC579" s="771"/>
      <c r="BD579" s="429">
        <f t="shared" si="411"/>
        <v>0</v>
      </c>
      <c r="BE579" s="602"/>
      <c r="BF579" s="718">
        <f t="shared" si="412"/>
        <v>0</v>
      </c>
    </row>
    <row r="580" spans="1:58" ht="21" hidden="1" customHeight="1" x14ac:dyDescent="0.3">
      <c r="A580" s="142"/>
      <c r="B580" s="598"/>
      <c r="C580" s="598"/>
      <c r="D580" s="598"/>
      <c r="E580" s="770"/>
      <c r="F580" s="598"/>
      <c r="G580" s="770"/>
      <c r="H580" s="598"/>
      <c r="I580" s="602"/>
      <c r="J580" s="4930">
        <f t="shared" si="425"/>
        <v>0</v>
      </c>
      <c r="K580" s="770"/>
      <c r="L580" s="598"/>
      <c r="M580" s="601"/>
      <c r="N580" s="4931">
        <f t="shared" si="426"/>
        <v>0</v>
      </c>
      <c r="O580" s="770"/>
      <c r="P580" s="598"/>
      <c r="Q580" s="602"/>
      <c r="R580" s="4930">
        <f t="shared" si="427"/>
        <v>0</v>
      </c>
      <c r="S580" s="770"/>
      <c r="T580" s="598"/>
      <c r="U580" s="602"/>
      <c r="V580" s="4930">
        <f t="shared" si="428"/>
        <v>0</v>
      </c>
      <c r="W580" s="770"/>
      <c r="X580" s="598"/>
      <c r="Y580" s="601"/>
      <c r="Z580" s="601">
        <f t="shared" si="422"/>
        <v>0</v>
      </c>
      <c r="AA580" s="771"/>
      <c r="AB580" s="5069">
        <f t="shared" si="433"/>
        <v>0</v>
      </c>
      <c r="AC580" s="770"/>
      <c r="AD580" s="598"/>
      <c r="AE580" s="602"/>
      <c r="AF580" s="4930">
        <f t="shared" si="429"/>
        <v>0</v>
      </c>
      <c r="AG580" s="770"/>
      <c r="AH580" s="598"/>
      <c r="AI580" s="602"/>
      <c r="AJ580" s="4930">
        <f t="shared" si="430"/>
        <v>0</v>
      </c>
      <c r="AK580" s="770"/>
      <c r="AL580" s="598"/>
      <c r="AM580" s="601"/>
      <c r="AN580" s="717">
        <f t="shared" si="423"/>
        <v>0</v>
      </c>
      <c r="AO580" s="602"/>
      <c r="AP580" s="4930">
        <f t="shared" si="434"/>
        <v>0</v>
      </c>
      <c r="AQ580" s="770"/>
      <c r="AR580" s="598"/>
      <c r="AS580" s="602"/>
      <c r="AT580" s="4930">
        <f t="shared" si="431"/>
        <v>0</v>
      </c>
      <c r="AU580" s="770"/>
      <c r="AV580" s="598"/>
      <c r="AW580" s="602"/>
      <c r="AX580" s="4930">
        <f t="shared" si="432"/>
        <v>0</v>
      </c>
      <c r="AY580" s="770"/>
      <c r="AZ580" s="598"/>
      <c r="BA580" s="601"/>
      <c r="BB580" s="717">
        <f t="shared" si="424"/>
        <v>0</v>
      </c>
      <c r="BC580" s="771"/>
      <c r="BD580" s="429">
        <f t="shared" si="411"/>
        <v>0</v>
      </c>
      <c r="BE580" s="602"/>
      <c r="BF580" s="718">
        <f t="shared" si="412"/>
        <v>0</v>
      </c>
    </row>
    <row r="581" spans="1:58" ht="21" hidden="1" customHeight="1" x14ac:dyDescent="0.3">
      <c r="A581" s="142"/>
      <c r="B581" s="598"/>
      <c r="C581" s="598"/>
      <c r="D581" s="598"/>
      <c r="E581" s="770"/>
      <c r="F581" s="598"/>
      <c r="G581" s="770"/>
      <c r="H581" s="598"/>
      <c r="I581" s="602"/>
      <c r="J581" s="4930">
        <f t="shared" si="425"/>
        <v>0</v>
      </c>
      <c r="K581" s="770"/>
      <c r="L581" s="598"/>
      <c r="M581" s="601"/>
      <c r="N581" s="4931">
        <f t="shared" si="426"/>
        <v>0</v>
      </c>
      <c r="O581" s="770"/>
      <c r="P581" s="598"/>
      <c r="Q581" s="602"/>
      <c r="R581" s="4930">
        <f t="shared" si="427"/>
        <v>0</v>
      </c>
      <c r="S581" s="770"/>
      <c r="T581" s="598"/>
      <c r="U581" s="602"/>
      <c r="V581" s="4930">
        <f t="shared" si="428"/>
        <v>0</v>
      </c>
      <c r="W581" s="770"/>
      <c r="X581" s="598"/>
      <c r="Y581" s="601"/>
      <c r="Z581" s="601">
        <f t="shared" si="422"/>
        <v>0</v>
      </c>
      <c r="AA581" s="771"/>
      <c r="AB581" s="5069">
        <f t="shared" si="433"/>
        <v>0</v>
      </c>
      <c r="AC581" s="770"/>
      <c r="AD581" s="598"/>
      <c r="AE581" s="602"/>
      <c r="AF581" s="4930">
        <f t="shared" si="429"/>
        <v>0</v>
      </c>
      <c r="AG581" s="770"/>
      <c r="AH581" s="598"/>
      <c r="AI581" s="602"/>
      <c r="AJ581" s="4930">
        <f t="shared" si="430"/>
        <v>0</v>
      </c>
      <c r="AK581" s="770"/>
      <c r="AL581" s="598"/>
      <c r="AM581" s="601"/>
      <c r="AN581" s="717">
        <f t="shared" si="423"/>
        <v>0</v>
      </c>
      <c r="AO581" s="602"/>
      <c r="AP581" s="4930">
        <f t="shared" si="434"/>
        <v>0</v>
      </c>
      <c r="AQ581" s="770"/>
      <c r="AR581" s="598"/>
      <c r="AS581" s="602"/>
      <c r="AT581" s="4930">
        <f t="shared" si="431"/>
        <v>0</v>
      </c>
      <c r="AU581" s="770"/>
      <c r="AV581" s="598"/>
      <c r="AW581" s="602"/>
      <c r="AX581" s="4930">
        <f t="shared" si="432"/>
        <v>0</v>
      </c>
      <c r="AY581" s="770"/>
      <c r="AZ581" s="598"/>
      <c r="BA581" s="601"/>
      <c r="BB581" s="717">
        <f t="shared" si="424"/>
        <v>0</v>
      </c>
      <c r="BC581" s="771"/>
      <c r="BD581" s="429">
        <f t="shared" si="411"/>
        <v>0</v>
      </c>
      <c r="BE581" s="602"/>
      <c r="BF581" s="718">
        <f t="shared" si="412"/>
        <v>0</v>
      </c>
    </row>
    <row r="582" spans="1:58" ht="21" hidden="1" customHeight="1" x14ac:dyDescent="0.3">
      <c r="A582" s="142"/>
      <c r="B582" s="598"/>
      <c r="C582" s="598"/>
      <c r="D582" s="598"/>
      <c r="E582" s="770"/>
      <c r="F582" s="598"/>
      <c r="G582" s="770"/>
      <c r="H582" s="598"/>
      <c r="I582" s="602"/>
      <c r="J582" s="4930">
        <f t="shared" si="425"/>
        <v>0</v>
      </c>
      <c r="K582" s="770"/>
      <c r="L582" s="598"/>
      <c r="M582" s="601"/>
      <c r="N582" s="4931">
        <f t="shared" si="426"/>
        <v>0</v>
      </c>
      <c r="O582" s="770"/>
      <c r="P582" s="598"/>
      <c r="Q582" s="602"/>
      <c r="R582" s="4930">
        <f t="shared" si="427"/>
        <v>0</v>
      </c>
      <c r="S582" s="770"/>
      <c r="T582" s="598"/>
      <c r="U582" s="602"/>
      <c r="V582" s="4930">
        <f t="shared" si="428"/>
        <v>0</v>
      </c>
      <c r="W582" s="770"/>
      <c r="X582" s="598"/>
      <c r="Y582" s="601"/>
      <c r="Z582" s="601">
        <f t="shared" si="422"/>
        <v>0</v>
      </c>
      <c r="AA582" s="771"/>
      <c r="AB582" s="5069">
        <f t="shared" si="433"/>
        <v>0</v>
      </c>
      <c r="AC582" s="770"/>
      <c r="AD582" s="598"/>
      <c r="AE582" s="602"/>
      <c r="AF582" s="4930">
        <f t="shared" si="429"/>
        <v>0</v>
      </c>
      <c r="AG582" s="770"/>
      <c r="AH582" s="598"/>
      <c r="AI582" s="602"/>
      <c r="AJ582" s="4930">
        <f t="shared" si="430"/>
        <v>0</v>
      </c>
      <c r="AK582" s="770"/>
      <c r="AL582" s="598"/>
      <c r="AM582" s="601"/>
      <c r="AN582" s="717">
        <f t="shared" si="423"/>
        <v>0</v>
      </c>
      <c r="AO582" s="602"/>
      <c r="AP582" s="4930">
        <f t="shared" si="434"/>
        <v>0</v>
      </c>
      <c r="AQ582" s="770"/>
      <c r="AR582" s="598"/>
      <c r="AS582" s="602"/>
      <c r="AT582" s="4930">
        <f t="shared" si="431"/>
        <v>0</v>
      </c>
      <c r="AU582" s="770"/>
      <c r="AV582" s="598"/>
      <c r="AW582" s="602"/>
      <c r="AX582" s="4930">
        <f t="shared" si="432"/>
        <v>0</v>
      </c>
      <c r="AY582" s="770"/>
      <c r="AZ582" s="598"/>
      <c r="BA582" s="601"/>
      <c r="BB582" s="717">
        <f t="shared" si="424"/>
        <v>0</v>
      </c>
      <c r="BC582" s="771"/>
      <c r="BD582" s="429">
        <f t="shared" si="411"/>
        <v>0</v>
      </c>
      <c r="BE582" s="602"/>
      <c r="BF582" s="718">
        <f t="shared" si="412"/>
        <v>0</v>
      </c>
    </row>
    <row r="583" spans="1:58" ht="21" hidden="1" customHeight="1" x14ac:dyDescent="0.3">
      <c r="A583" s="142"/>
      <c r="B583" s="598"/>
      <c r="C583" s="598"/>
      <c r="D583" s="598"/>
      <c r="E583" s="770"/>
      <c r="F583" s="598"/>
      <c r="G583" s="770"/>
      <c r="H583" s="598"/>
      <c r="I583" s="602"/>
      <c r="J583" s="4930">
        <f t="shared" si="425"/>
        <v>0</v>
      </c>
      <c r="K583" s="770"/>
      <c r="L583" s="598"/>
      <c r="M583" s="601"/>
      <c r="N583" s="4931">
        <f t="shared" si="426"/>
        <v>0</v>
      </c>
      <c r="O583" s="770"/>
      <c r="P583" s="598"/>
      <c r="Q583" s="602"/>
      <c r="R583" s="4930">
        <f t="shared" si="427"/>
        <v>0</v>
      </c>
      <c r="S583" s="770"/>
      <c r="T583" s="598"/>
      <c r="U583" s="602"/>
      <c r="V583" s="4930">
        <f t="shared" si="428"/>
        <v>0</v>
      </c>
      <c r="W583" s="770"/>
      <c r="X583" s="598"/>
      <c r="Y583" s="601"/>
      <c r="Z583" s="601">
        <f t="shared" si="422"/>
        <v>0</v>
      </c>
      <c r="AA583" s="771"/>
      <c r="AB583" s="5069">
        <f t="shared" si="433"/>
        <v>0</v>
      </c>
      <c r="AC583" s="770"/>
      <c r="AD583" s="598"/>
      <c r="AE583" s="602"/>
      <c r="AF583" s="4930">
        <f t="shared" si="429"/>
        <v>0</v>
      </c>
      <c r="AG583" s="770"/>
      <c r="AH583" s="598"/>
      <c r="AI583" s="602"/>
      <c r="AJ583" s="4930">
        <f t="shared" si="430"/>
        <v>0</v>
      </c>
      <c r="AK583" s="770"/>
      <c r="AL583" s="598"/>
      <c r="AM583" s="601"/>
      <c r="AN583" s="717">
        <f t="shared" si="423"/>
        <v>0</v>
      </c>
      <c r="AO583" s="602"/>
      <c r="AP583" s="4930">
        <f t="shared" si="434"/>
        <v>0</v>
      </c>
      <c r="AQ583" s="770"/>
      <c r="AR583" s="598"/>
      <c r="AS583" s="602"/>
      <c r="AT583" s="4930">
        <f t="shared" si="431"/>
        <v>0</v>
      </c>
      <c r="AU583" s="770"/>
      <c r="AV583" s="598"/>
      <c r="AW583" s="602"/>
      <c r="AX583" s="4930">
        <f t="shared" si="432"/>
        <v>0</v>
      </c>
      <c r="AY583" s="770"/>
      <c r="AZ583" s="598"/>
      <c r="BA583" s="601"/>
      <c r="BB583" s="717">
        <f t="shared" si="424"/>
        <v>0</v>
      </c>
      <c r="BC583" s="771"/>
      <c r="BD583" s="429">
        <f t="shared" si="411"/>
        <v>0</v>
      </c>
      <c r="BE583" s="602"/>
      <c r="BF583" s="718">
        <f t="shared" si="412"/>
        <v>0</v>
      </c>
    </row>
    <row r="584" spans="1:58" ht="21" hidden="1" customHeight="1" x14ac:dyDescent="0.3">
      <c r="A584" s="142"/>
      <c r="B584" s="598"/>
      <c r="C584" s="598"/>
      <c r="D584" s="598"/>
      <c r="E584" s="770"/>
      <c r="F584" s="598"/>
      <c r="G584" s="770"/>
      <c r="H584" s="598"/>
      <c r="I584" s="602"/>
      <c r="J584" s="4930">
        <f t="shared" si="425"/>
        <v>0</v>
      </c>
      <c r="K584" s="770"/>
      <c r="L584" s="598"/>
      <c r="M584" s="601"/>
      <c r="N584" s="4931">
        <f t="shared" si="426"/>
        <v>0</v>
      </c>
      <c r="O584" s="770"/>
      <c r="P584" s="598"/>
      <c r="Q584" s="602"/>
      <c r="R584" s="4930">
        <f t="shared" si="427"/>
        <v>0</v>
      </c>
      <c r="S584" s="770"/>
      <c r="T584" s="598"/>
      <c r="U584" s="602"/>
      <c r="V584" s="4930">
        <f t="shared" si="428"/>
        <v>0</v>
      </c>
      <c r="W584" s="770"/>
      <c r="X584" s="598"/>
      <c r="Y584" s="601"/>
      <c r="Z584" s="601">
        <f t="shared" si="422"/>
        <v>0</v>
      </c>
      <c r="AA584" s="771"/>
      <c r="AB584" s="5069">
        <f t="shared" si="433"/>
        <v>0</v>
      </c>
      <c r="AC584" s="770"/>
      <c r="AD584" s="598"/>
      <c r="AE584" s="602"/>
      <c r="AF584" s="4930">
        <f t="shared" si="429"/>
        <v>0</v>
      </c>
      <c r="AG584" s="770"/>
      <c r="AH584" s="598"/>
      <c r="AI584" s="602"/>
      <c r="AJ584" s="4930">
        <f t="shared" si="430"/>
        <v>0</v>
      </c>
      <c r="AK584" s="770"/>
      <c r="AL584" s="598"/>
      <c r="AM584" s="601"/>
      <c r="AN584" s="717">
        <f t="shared" si="423"/>
        <v>0</v>
      </c>
      <c r="AO584" s="602"/>
      <c r="AP584" s="4930">
        <f t="shared" si="434"/>
        <v>0</v>
      </c>
      <c r="AQ584" s="770"/>
      <c r="AR584" s="598"/>
      <c r="AS584" s="602"/>
      <c r="AT584" s="4930">
        <f t="shared" si="431"/>
        <v>0</v>
      </c>
      <c r="AU584" s="770"/>
      <c r="AV584" s="598"/>
      <c r="AW584" s="602"/>
      <c r="AX584" s="4930">
        <f t="shared" si="432"/>
        <v>0</v>
      </c>
      <c r="AY584" s="770"/>
      <c r="AZ584" s="598"/>
      <c r="BA584" s="601"/>
      <c r="BB584" s="717">
        <f t="shared" si="424"/>
        <v>0</v>
      </c>
      <c r="BC584" s="771"/>
      <c r="BD584" s="429">
        <f t="shared" ref="BD584:BD629" si="435">+AN584+BB584</f>
        <v>0</v>
      </c>
      <c r="BE584" s="602"/>
      <c r="BF584" s="718">
        <f t="shared" ref="BF584:BF629" si="436">+AB584+BD584</f>
        <v>0</v>
      </c>
    </row>
    <row r="585" spans="1:58" ht="21" hidden="1" customHeight="1" x14ac:dyDescent="0.3">
      <c r="A585" s="142"/>
      <c r="B585" s="598"/>
      <c r="C585" s="598"/>
      <c r="D585" s="598"/>
      <c r="E585" s="770"/>
      <c r="F585" s="598"/>
      <c r="G585" s="770"/>
      <c r="H585" s="598"/>
      <c r="I585" s="602"/>
      <c r="J585" s="4930">
        <f t="shared" si="425"/>
        <v>0</v>
      </c>
      <c r="K585" s="770"/>
      <c r="L585" s="598"/>
      <c r="M585" s="601"/>
      <c r="N585" s="4931">
        <f t="shared" si="426"/>
        <v>0</v>
      </c>
      <c r="O585" s="770"/>
      <c r="P585" s="598"/>
      <c r="Q585" s="602"/>
      <c r="R585" s="4930">
        <f t="shared" si="427"/>
        <v>0</v>
      </c>
      <c r="S585" s="770"/>
      <c r="T585" s="598"/>
      <c r="U585" s="602"/>
      <c r="V585" s="4930">
        <f t="shared" si="428"/>
        <v>0</v>
      </c>
      <c r="W585" s="770"/>
      <c r="X585" s="598"/>
      <c r="Y585" s="601"/>
      <c r="Z585" s="601">
        <f t="shared" si="422"/>
        <v>0</v>
      </c>
      <c r="AA585" s="771"/>
      <c r="AB585" s="5069">
        <f t="shared" si="433"/>
        <v>0</v>
      </c>
      <c r="AC585" s="770"/>
      <c r="AD585" s="598"/>
      <c r="AE585" s="602"/>
      <c r="AF585" s="4930">
        <f t="shared" si="429"/>
        <v>0</v>
      </c>
      <c r="AG585" s="770"/>
      <c r="AH585" s="598"/>
      <c r="AI585" s="602"/>
      <c r="AJ585" s="4930">
        <f t="shared" si="430"/>
        <v>0</v>
      </c>
      <c r="AK585" s="770"/>
      <c r="AL585" s="598"/>
      <c r="AM585" s="601"/>
      <c r="AN585" s="717">
        <f t="shared" si="423"/>
        <v>0</v>
      </c>
      <c r="AO585" s="602"/>
      <c r="AP585" s="4930">
        <f t="shared" si="434"/>
        <v>0</v>
      </c>
      <c r="AQ585" s="770"/>
      <c r="AR585" s="598"/>
      <c r="AS585" s="602"/>
      <c r="AT585" s="4930">
        <f t="shared" si="431"/>
        <v>0</v>
      </c>
      <c r="AU585" s="770"/>
      <c r="AV585" s="598"/>
      <c r="AW585" s="602"/>
      <c r="AX585" s="4930">
        <f t="shared" si="432"/>
        <v>0</v>
      </c>
      <c r="AY585" s="770"/>
      <c r="AZ585" s="598"/>
      <c r="BA585" s="601"/>
      <c r="BB585" s="717">
        <f t="shared" si="424"/>
        <v>0</v>
      </c>
      <c r="BC585" s="771"/>
      <c r="BD585" s="429">
        <f t="shared" si="435"/>
        <v>0</v>
      </c>
      <c r="BE585" s="602"/>
      <c r="BF585" s="718">
        <f t="shared" si="436"/>
        <v>0</v>
      </c>
    </row>
    <row r="586" spans="1:58" ht="21" hidden="1" customHeight="1" x14ac:dyDescent="0.3">
      <c r="A586" s="142"/>
      <c r="B586" s="598"/>
      <c r="C586" s="598"/>
      <c r="D586" s="598"/>
      <c r="E586" s="770"/>
      <c r="F586" s="598"/>
      <c r="G586" s="770"/>
      <c r="H586" s="598"/>
      <c r="I586" s="602"/>
      <c r="J586" s="4930">
        <f t="shared" si="425"/>
        <v>0</v>
      </c>
      <c r="K586" s="770"/>
      <c r="L586" s="598"/>
      <c r="M586" s="601"/>
      <c r="N586" s="4931">
        <f t="shared" si="426"/>
        <v>0</v>
      </c>
      <c r="O586" s="770"/>
      <c r="P586" s="598"/>
      <c r="Q586" s="602"/>
      <c r="R586" s="4930">
        <f t="shared" si="427"/>
        <v>0</v>
      </c>
      <c r="S586" s="770"/>
      <c r="T586" s="598"/>
      <c r="U586" s="602"/>
      <c r="V586" s="4930">
        <f t="shared" si="428"/>
        <v>0</v>
      </c>
      <c r="W586" s="770"/>
      <c r="X586" s="598"/>
      <c r="Y586" s="601"/>
      <c r="Z586" s="601">
        <f t="shared" si="422"/>
        <v>0</v>
      </c>
      <c r="AA586" s="771"/>
      <c r="AB586" s="5069">
        <f t="shared" si="433"/>
        <v>0</v>
      </c>
      <c r="AC586" s="770"/>
      <c r="AD586" s="598"/>
      <c r="AE586" s="602"/>
      <c r="AF586" s="4930">
        <f t="shared" si="429"/>
        <v>0</v>
      </c>
      <c r="AG586" s="770"/>
      <c r="AH586" s="598"/>
      <c r="AI586" s="602"/>
      <c r="AJ586" s="4930">
        <f t="shared" si="430"/>
        <v>0</v>
      </c>
      <c r="AK586" s="770"/>
      <c r="AL586" s="598"/>
      <c r="AM586" s="601"/>
      <c r="AN586" s="717">
        <f t="shared" si="423"/>
        <v>0</v>
      </c>
      <c r="AO586" s="602"/>
      <c r="AP586" s="4930">
        <f t="shared" si="434"/>
        <v>0</v>
      </c>
      <c r="AQ586" s="770"/>
      <c r="AR586" s="598"/>
      <c r="AS586" s="602"/>
      <c r="AT586" s="4930">
        <f t="shared" si="431"/>
        <v>0</v>
      </c>
      <c r="AU586" s="770"/>
      <c r="AV586" s="598"/>
      <c r="AW586" s="602"/>
      <c r="AX586" s="4930">
        <f t="shared" si="432"/>
        <v>0</v>
      </c>
      <c r="AY586" s="770"/>
      <c r="AZ586" s="598"/>
      <c r="BA586" s="601"/>
      <c r="BB586" s="717">
        <f t="shared" si="424"/>
        <v>0</v>
      </c>
      <c r="BC586" s="771"/>
      <c r="BD586" s="429">
        <f t="shared" si="435"/>
        <v>0</v>
      </c>
      <c r="BE586" s="602"/>
      <c r="BF586" s="718">
        <f t="shared" si="436"/>
        <v>0</v>
      </c>
    </row>
    <row r="587" spans="1:58" ht="21" hidden="1" customHeight="1" x14ac:dyDescent="0.3">
      <c r="A587" s="142"/>
      <c r="B587" s="598"/>
      <c r="C587" s="598"/>
      <c r="D587" s="598"/>
      <c r="E587" s="770"/>
      <c r="F587" s="598"/>
      <c r="G587" s="770"/>
      <c r="H587" s="598"/>
      <c r="I587" s="602"/>
      <c r="J587" s="4930">
        <f t="shared" si="425"/>
        <v>0</v>
      </c>
      <c r="K587" s="770"/>
      <c r="L587" s="598"/>
      <c r="M587" s="601"/>
      <c r="N587" s="4931">
        <f t="shared" si="426"/>
        <v>0</v>
      </c>
      <c r="O587" s="770"/>
      <c r="P587" s="598"/>
      <c r="Q587" s="602"/>
      <c r="R587" s="4930">
        <f t="shared" si="427"/>
        <v>0</v>
      </c>
      <c r="S587" s="770"/>
      <c r="T587" s="598"/>
      <c r="U587" s="602"/>
      <c r="V587" s="4930">
        <f t="shared" si="428"/>
        <v>0</v>
      </c>
      <c r="W587" s="770"/>
      <c r="X587" s="598"/>
      <c r="Y587" s="601"/>
      <c r="Z587" s="601">
        <f t="shared" si="422"/>
        <v>0</v>
      </c>
      <c r="AA587" s="771"/>
      <c r="AB587" s="5069">
        <f t="shared" ref="AB587:AB618" si="437">X587+V587</f>
        <v>0</v>
      </c>
      <c r="AC587" s="770"/>
      <c r="AD587" s="598"/>
      <c r="AE587" s="602"/>
      <c r="AF587" s="4930">
        <f t="shared" si="429"/>
        <v>0</v>
      </c>
      <c r="AG587" s="770"/>
      <c r="AH587" s="598"/>
      <c r="AI587" s="602"/>
      <c r="AJ587" s="4930">
        <f t="shared" si="430"/>
        <v>0</v>
      </c>
      <c r="AK587" s="770"/>
      <c r="AL587" s="598"/>
      <c r="AM587" s="601"/>
      <c r="AN587" s="717">
        <f t="shared" si="423"/>
        <v>0</v>
      </c>
      <c r="AO587" s="602"/>
      <c r="AP587" s="4930">
        <f t="shared" ref="AP587:AP618" si="438">AL587+AJ587</f>
        <v>0</v>
      </c>
      <c r="AQ587" s="770"/>
      <c r="AR587" s="598"/>
      <c r="AS587" s="602"/>
      <c r="AT587" s="4930">
        <f t="shared" si="431"/>
        <v>0</v>
      </c>
      <c r="AU587" s="770"/>
      <c r="AV587" s="598"/>
      <c r="AW587" s="602"/>
      <c r="AX587" s="4930">
        <f t="shared" si="432"/>
        <v>0</v>
      </c>
      <c r="AY587" s="770"/>
      <c r="AZ587" s="598"/>
      <c r="BA587" s="601"/>
      <c r="BB587" s="717">
        <f t="shared" si="424"/>
        <v>0</v>
      </c>
      <c r="BC587" s="771"/>
      <c r="BD587" s="429">
        <f t="shared" si="435"/>
        <v>0</v>
      </c>
      <c r="BE587" s="602"/>
      <c r="BF587" s="718">
        <f t="shared" si="436"/>
        <v>0</v>
      </c>
    </row>
    <row r="588" spans="1:58" ht="21" hidden="1" customHeight="1" x14ac:dyDescent="0.3">
      <c r="A588" s="142"/>
      <c r="B588" s="598"/>
      <c r="C588" s="598"/>
      <c r="D588" s="598"/>
      <c r="E588" s="770"/>
      <c r="F588" s="598"/>
      <c r="G588" s="770"/>
      <c r="H588" s="598"/>
      <c r="I588" s="602"/>
      <c r="J588" s="4930">
        <f t="shared" si="425"/>
        <v>0</v>
      </c>
      <c r="K588" s="770"/>
      <c r="L588" s="598"/>
      <c r="M588" s="601"/>
      <c r="N588" s="4931">
        <f t="shared" si="426"/>
        <v>0</v>
      </c>
      <c r="O588" s="770"/>
      <c r="P588" s="598"/>
      <c r="Q588" s="602"/>
      <c r="R588" s="4930">
        <f t="shared" si="427"/>
        <v>0</v>
      </c>
      <c r="S588" s="770"/>
      <c r="T588" s="598"/>
      <c r="U588" s="602"/>
      <c r="V588" s="4930">
        <f t="shared" si="428"/>
        <v>0</v>
      </c>
      <c r="W588" s="770"/>
      <c r="X588" s="598"/>
      <c r="Y588" s="601"/>
      <c r="Z588" s="601">
        <f t="shared" si="422"/>
        <v>0</v>
      </c>
      <c r="AA588" s="771"/>
      <c r="AB588" s="5069">
        <f t="shared" si="437"/>
        <v>0</v>
      </c>
      <c r="AC588" s="770"/>
      <c r="AD588" s="598"/>
      <c r="AE588" s="602"/>
      <c r="AF588" s="4930">
        <f t="shared" si="429"/>
        <v>0</v>
      </c>
      <c r="AG588" s="770"/>
      <c r="AH588" s="598"/>
      <c r="AI588" s="602"/>
      <c r="AJ588" s="4930">
        <f t="shared" si="430"/>
        <v>0</v>
      </c>
      <c r="AK588" s="770"/>
      <c r="AL588" s="598"/>
      <c r="AM588" s="601"/>
      <c r="AN588" s="717">
        <f t="shared" si="423"/>
        <v>0</v>
      </c>
      <c r="AO588" s="602"/>
      <c r="AP588" s="4930">
        <f t="shared" si="438"/>
        <v>0</v>
      </c>
      <c r="AQ588" s="770"/>
      <c r="AR588" s="598"/>
      <c r="AS588" s="602"/>
      <c r="AT588" s="4930">
        <f t="shared" si="431"/>
        <v>0</v>
      </c>
      <c r="AU588" s="770"/>
      <c r="AV588" s="598"/>
      <c r="AW588" s="602"/>
      <c r="AX588" s="4930">
        <f t="shared" si="432"/>
        <v>0</v>
      </c>
      <c r="AY588" s="770"/>
      <c r="AZ588" s="598"/>
      <c r="BA588" s="601"/>
      <c r="BB588" s="717">
        <f t="shared" si="424"/>
        <v>0</v>
      </c>
      <c r="BC588" s="771"/>
      <c r="BD588" s="429">
        <f t="shared" si="435"/>
        <v>0</v>
      </c>
      <c r="BE588" s="602"/>
      <c r="BF588" s="718">
        <f t="shared" si="436"/>
        <v>0</v>
      </c>
    </row>
    <row r="589" spans="1:58" ht="21" hidden="1" customHeight="1" x14ac:dyDescent="0.3">
      <c r="A589" s="142"/>
      <c r="B589" s="598"/>
      <c r="C589" s="598"/>
      <c r="D589" s="598"/>
      <c r="E589" s="770"/>
      <c r="F589" s="598"/>
      <c r="G589" s="770"/>
      <c r="H589" s="598"/>
      <c r="I589" s="602"/>
      <c r="J589" s="4930">
        <f t="shared" si="425"/>
        <v>0</v>
      </c>
      <c r="K589" s="770"/>
      <c r="L589" s="598"/>
      <c r="M589" s="601"/>
      <c r="N589" s="4931">
        <f t="shared" si="426"/>
        <v>0</v>
      </c>
      <c r="O589" s="770"/>
      <c r="P589" s="598"/>
      <c r="Q589" s="602"/>
      <c r="R589" s="4930">
        <f t="shared" si="427"/>
        <v>0</v>
      </c>
      <c r="S589" s="770"/>
      <c r="T589" s="598"/>
      <c r="U589" s="602"/>
      <c r="V589" s="4930">
        <f t="shared" si="428"/>
        <v>0</v>
      </c>
      <c r="W589" s="770"/>
      <c r="X589" s="598"/>
      <c r="Y589" s="601"/>
      <c r="Z589" s="601">
        <f t="shared" si="422"/>
        <v>0</v>
      </c>
      <c r="AA589" s="771"/>
      <c r="AB589" s="5069">
        <f t="shared" si="437"/>
        <v>0</v>
      </c>
      <c r="AC589" s="770"/>
      <c r="AD589" s="598"/>
      <c r="AE589" s="602"/>
      <c r="AF589" s="4930">
        <f t="shared" si="429"/>
        <v>0</v>
      </c>
      <c r="AG589" s="770"/>
      <c r="AH589" s="598"/>
      <c r="AI589" s="602"/>
      <c r="AJ589" s="4930">
        <f t="shared" si="430"/>
        <v>0</v>
      </c>
      <c r="AK589" s="770"/>
      <c r="AL589" s="598"/>
      <c r="AM589" s="601"/>
      <c r="AN589" s="717">
        <f t="shared" si="423"/>
        <v>0</v>
      </c>
      <c r="AO589" s="602"/>
      <c r="AP589" s="4930">
        <f t="shared" si="438"/>
        <v>0</v>
      </c>
      <c r="AQ589" s="770"/>
      <c r="AR589" s="598"/>
      <c r="AS589" s="602"/>
      <c r="AT589" s="4930">
        <f t="shared" si="431"/>
        <v>0</v>
      </c>
      <c r="AU589" s="770"/>
      <c r="AV589" s="598"/>
      <c r="AW589" s="602"/>
      <c r="AX589" s="4930">
        <f t="shared" si="432"/>
        <v>0</v>
      </c>
      <c r="AY589" s="770"/>
      <c r="AZ589" s="598"/>
      <c r="BA589" s="601"/>
      <c r="BB589" s="717">
        <f t="shared" si="424"/>
        <v>0</v>
      </c>
      <c r="BC589" s="771"/>
      <c r="BD589" s="429">
        <f t="shared" si="435"/>
        <v>0</v>
      </c>
      <c r="BE589" s="602"/>
      <c r="BF589" s="718">
        <f t="shared" si="436"/>
        <v>0</v>
      </c>
    </row>
    <row r="590" spans="1:58" ht="21" hidden="1" customHeight="1" x14ac:dyDescent="0.3">
      <c r="A590" s="142"/>
      <c r="B590" s="598"/>
      <c r="C590" s="598"/>
      <c r="D590" s="598"/>
      <c r="E590" s="770"/>
      <c r="F590" s="598"/>
      <c r="G590" s="770"/>
      <c r="H590" s="598"/>
      <c r="I590" s="602"/>
      <c r="J590" s="4930">
        <f t="shared" si="425"/>
        <v>0</v>
      </c>
      <c r="K590" s="770"/>
      <c r="L590" s="598"/>
      <c r="M590" s="601"/>
      <c r="N590" s="4931">
        <f t="shared" si="426"/>
        <v>0</v>
      </c>
      <c r="O590" s="770"/>
      <c r="P590" s="598"/>
      <c r="Q590" s="602"/>
      <c r="R590" s="4930">
        <f t="shared" si="427"/>
        <v>0</v>
      </c>
      <c r="S590" s="770"/>
      <c r="T590" s="598"/>
      <c r="U590" s="602"/>
      <c r="V590" s="4930">
        <f t="shared" si="428"/>
        <v>0</v>
      </c>
      <c r="W590" s="770"/>
      <c r="X590" s="598"/>
      <c r="Y590" s="601"/>
      <c r="Z590" s="601">
        <f t="shared" si="422"/>
        <v>0</v>
      </c>
      <c r="AA590" s="771"/>
      <c r="AB590" s="5069">
        <f t="shared" si="437"/>
        <v>0</v>
      </c>
      <c r="AC590" s="770"/>
      <c r="AD590" s="598"/>
      <c r="AE590" s="602"/>
      <c r="AF590" s="4930">
        <f t="shared" si="429"/>
        <v>0</v>
      </c>
      <c r="AG590" s="770"/>
      <c r="AH590" s="598"/>
      <c r="AI590" s="602"/>
      <c r="AJ590" s="4930">
        <f t="shared" si="430"/>
        <v>0</v>
      </c>
      <c r="AK590" s="770"/>
      <c r="AL590" s="598"/>
      <c r="AM590" s="601"/>
      <c r="AN590" s="717">
        <f t="shared" si="423"/>
        <v>0</v>
      </c>
      <c r="AO590" s="602"/>
      <c r="AP590" s="4930">
        <f t="shared" si="438"/>
        <v>0</v>
      </c>
      <c r="AQ590" s="770"/>
      <c r="AR590" s="598"/>
      <c r="AS590" s="602"/>
      <c r="AT590" s="4930">
        <f t="shared" si="431"/>
        <v>0</v>
      </c>
      <c r="AU590" s="770"/>
      <c r="AV590" s="598"/>
      <c r="AW590" s="602"/>
      <c r="AX590" s="4930">
        <f t="shared" si="432"/>
        <v>0</v>
      </c>
      <c r="AY590" s="770"/>
      <c r="AZ590" s="598"/>
      <c r="BA590" s="601"/>
      <c r="BB590" s="717">
        <f t="shared" si="424"/>
        <v>0</v>
      </c>
      <c r="BC590" s="771"/>
      <c r="BD590" s="429">
        <f t="shared" si="435"/>
        <v>0</v>
      </c>
      <c r="BE590" s="602"/>
      <c r="BF590" s="718">
        <f t="shared" si="436"/>
        <v>0</v>
      </c>
    </row>
    <row r="591" spans="1:58" ht="21" hidden="1" customHeight="1" x14ac:dyDescent="0.3">
      <c r="A591" s="142"/>
      <c r="B591" s="598"/>
      <c r="C591" s="598"/>
      <c r="D591" s="598"/>
      <c r="E591" s="770"/>
      <c r="F591" s="598"/>
      <c r="G591" s="770"/>
      <c r="H591" s="598"/>
      <c r="I591" s="602"/>
      <c r="J591" s="4930">
        <f t="shared" si="425"/>
        <v>0</v>
      </c>
      <c r="K591" s="770"/>
      <c r="L591" s="598"/>
      <c r="M591" s="601"/>
      <c r="N591" s="4931">
        <f t="shared" si="426"/>
        <v>0</v>
      </c>
      <c r="O591" s="770"/>
      <c r="P591" s="598"/>
      <c r="Q591" s="602"/>
      <c r="R591" s="4930">
        <f t="shared" si="427"/>
        <v>0</v>
      </c>
      <c r="S591" s="770"/>
      <c r="T591" s="598"/>
      <c r="U591" s="602"/>
      <c r="V591" s="4930">
        <f t="shared" si="428"/>
        <v>0</v>
      </c>
      <c r="W591" s="770"/>
      <c r="X591" s="598"/>
      <c r="Y591" s="601"/>
      <c r="Z591" s="601">
        <f t="shared" si="422"/>
        <v>0</v>
      </c>
      <c r="AA591" s="771"/>
      <c r="AB591" s="5069">
        <f t="shared" si="437"/>
        <v>0</v>
      </c>
      <c r="AC591" s="770"/>
      <c r="AD591" s="598"/>
      <c r="AE591" s="602"/>
      <c r="AF591" s="4930">
        <f t="shared" si="429"/>
        <v>0</v>
      </c>
      <c r="AG591" s="770"/>
      <c r="AH591" s="598"/>
      <c r="AI591" s="602"/>
      <c r="AJ591" s="4930">
        <f t="shared" si="430"/>
        <v>0</v>
      </c>
      <c r="AK591" s="770"/>
      <c r="AL591" s="598"/>
      <c r="AM591" s="601"/>
      <c r="AN591" s="717">
        <f t="shared" si="423"/>
        <v>0</v>
      </c>
      <c r="AO591" s="602"/>
      <c r="AP591" s="4930">
        <f t="shared" si="438"/>
        <v>0</v>
      </c>
      <c r="AQ591" s="770"/>
      <c r="AR591" s="598"/>
      <c r="AS591" s="602"/>
      <c r="AT591" s="4930">
        <f t="shared" si="431"/>
        <v>0</v>
      </c>
      <c r="AU591" s="770"/>
      <c r="AV591" s="598"/>
      <c r="AW591" s="602"/>
      <c r="AX591" s="4930">
        <f t="shared" si="432"/>
        <v>0</v>
      </c>
      <c r="AY591" s="770"/>
      <c r="AZ591" s="598"/>
      <c r="BA591" s="601"/>
      <c r="BB591" s="717">
        <f t="shared" si="424"/>
        <v>0</v>
      </c>
      <c r="BC591" s="771"/>
      <c r="BD591" s="429">
        <f t="shared" si="435"/>
        <v>0</v>
      </c>
      <c r="BE591" s="602"/>
      <c r="BF591" s="718">
        <f t="shared" si="436"/>
        <v>0</v>
      </c>
    </row>
    <row r="592" spans="1:58" ht="21" hidden="1" customHeight="1" x14ac:dyDescent="0.3">
      <c r="A592" s="142"/>
      <c r="B592" s="598"/>
      <c r="C592" s="598"/>
      <c r="D592" s="598"/>
      <c r="E592" s="770"/>
      <c r="F592" s="598"/>
      <c r="G592" s="770"/>
      <c r="H592" s="598"/>
      <c r="I592" s="602"/>
      <c r="J592" s="4930">
        <f t="shared" si="425"/>
        <v>0</v>
      </c>
      <c r="K592" s="770"/>
      <c r="L592" s="598"/>
      <c r="M592" s="601"/>
      <c r="N592" s="4931">
        <f t="shared" si="426"/>
        <v>0</v>
      </c>
      <c r="O592" s="770"/>
      <c r="P592" s="598"/>
      <c r="Q592" s="602"/>
      <c r="R592" s="4930">
        <f t="shared" si="427"/>
        <v>0</v>
      </c>
      <c r="S592" s="770"/>
      <c r="T592" s="598"/>
      <c r="U592" s="602"/>
      <c r="V592" s="4930">
        <f t="shared" si="428"/>
        <v>0</v>
      </c>
      <c r="W592" s="770"/>
      <c r="X592" s="598"/>
      <c r="Y592" s="601"/>
      <c r="Z592" s="601">
        <f t="shared" si="422"/>
        <v>0</v>
      </c>
      <c r="AA592" s="771"/>
      <c r="AB592" s="5069">
        <f t="shared" si="437"/>
        <v>0</v>
      </c>
      <c r="AC592" s="770"/>
      <c r="AD592" s="598"/>
      <c r="AE592" s="602"/>
      <c r="AF592" s="4930">
        <f t="shared" si="429"/>
        <v>0</v>
      </c>
      <c r="AG592" s="770"/>
      <c r="AH592" s="598"/>
      <c r="AI592" s="602"/>
      <c r="AJ592" s="4930">
        <f t="shared" si="430"/>
        <v>0</v>
      </c>
      <c r="AK592" s="770"/>
      <c r="AL592" s="598"/>
      <c r="AM592" s="601"/>
      <c r="AN592" s="717">
        <f t="shared" si="423"/>
        <v>0</v>
      </c>
      <c r="AO592" s="602"/>
      <c r="AP592" s="4930">
        <f t="shared" si="438"/>
        <v>0</v>
      </c>
      <c r="AQ592" s="770"/>
      <c r="AR592" s="598"/>
      <c r="AS592" s="602"/>
      <c r="AT592" s="4930">
        <f t="shared" si="431"/>
        <v>0</v>
      </c>
      <c r="AU592" s="770"/>
      <c r="AV592" s="598"/>
      <c r="AW592" s="602"/>
      <c r="AX592" s="4930">
        <f t="shared" si="432"/>
        <v>0</v>
      </c>
      <c r="AY592" s="770"/>
      <c r="AZ592" s="598"/>
      <c r="BA592" s="601"/>
      <c r="BB592" s="717">
        <f t="shared" si="424"/>
        <v>0</v>
      </c>
      <c r="BC592" s="771"/>
      <c r="BD592" s="429">
        <f t="shared" si="435"/>
        <v>0</v>
      </c>
      <c r="BE592" s="602"/>
      <c r="BF592" s="718">
        <f t="shared" si="436"/>
        <v>0</v>
      </c>
    </row>
    <row r="593" spans="1:58" ht="21" hidden="1" customHeight="1" x14ac:dyDescent="0.3">
      <c r="A593" s="142"/>
      <c r="B593" s="598"/>
      <c r="C593" s="598"/>
      <c r="D593" s="598"/>
      <c r="E593" s="770"/>
      <c r="F593" s="598"/>
      <c r="G593" s="770"/>
      <c r="H593" s="598"/>
      <c r="I593" s="602"/>
      <c r="J593" s="4930">
        <f t="shared" si="425"/>
        <v>0</v>
      </c>
      <c r="K593" s="770"/>
      <c r="L593" s="598"/>
      <c r="M593" s="601"/>
      <c r="N593" s="4931">
        <f t="shared" si="426"/>
        <v>0</v>
      </c>
      <c r="O593" s="770"/>
      <c r="P593" s="598"/>
      <c r="Q593" s="602"/>
      <c r="R593" s="4930">
        <f t="shared" si="427"/>
        <v>0</v>
      </c>
      <c r="S593" s="770"/>
      <c r="T593" s="598"/>
      <c r="U593" s="602"/>
      <c r="V593" s="4930">
        <f t="shared" si="428"/>
        <v>0</v>
      </c>
      <c r="W593" s="770"/>
      <c r="X593" s="598"/>
      <c r="Y593" s="601"/>
      <c r="Z593" s="601">
        <f t="shared" ref="Z593:Z629" si="439">+P593+T593+X593</f>
        <v>0</v>
      </c>
      <c r="AA593" s="771"/>
      <c r="AB593" s="5069">
        <f t="shared" si="437"/>
        <v>0</v>
      </c>
      <c r="AC593" s="770"/>
      <c r="AD593" s="598"/>
      <c r="AE593" s="602"/>
      <c r="AF593" s="4930">
        <f t="shared" si="429"/>
        <v>0</v>
      </c>
      <c r="AG593" s="770"/>
      <c r="AH593" s="598"/>
      <c r="AI593" s="602"/>
      <c r="AJ593" s="4930">
        <f t="shared" si="430"/>
        <v>0</v>
      </c>
      <c r="AK593" s="770"/>
      <c r="AL593" s="598"/>
      <c r="AM593" s="601"/>
      <c r="AN593" s="717">
        <f t="shared" ref="AN593:AN629" si="440">+AD593+AH593+AL593</f>
        <v>0</v>
      </c>
      <c r="AO593" s="602"/>
      <c r="AP593" s="4930">
        <f t="shared" si="438"/>
        <v>0</v>
      </c>
      <c r="AQ593" s="770"/>
      <c r="AR593" s="598"/>
      <c r="AS593" s="602"/>
      <c r="AT593" s="4930">
        <f t="shared" si="431"/>
        <v>0</v>
      </c>
      <c r="AU593" s="770"/>
      <c r="AV593" s="598"/>
      <c r="AW593" s="602"/>
      <c r="AX593" s="4930">
        <f t="shared" si="432"/>
        <v>0</v>
      </c>
      <c r="AY593" s="770"/>
      <c r="AZ593" s="598"/>
      <c r="BA593" s="601"/>
      <c r="BB593" s="717">
        <f t="shared" ref="BB593:BB629" si="441">+AR593+AV593+AZ593</f>
        <v>0</v>
      </c>
      <c r="BC593" s="771"/>
      <c r="BD593" s="429">
        <f t="shared" si="435"/>
        <v>0</v>
      </c>
      <c r="BE593" s="602"/>
      <c r="BF593" s="718">
        <f t="shared" si="436"/>
        <v>0</v>
      </c>
    </row>
    <row r="594" spans="1:58" ht="21" hidden="1" customHeight="1" x14ac:dyDescent="0.3">
      <c r="A594" s="142"/>
      <c r="B594" s="598"/>
      <c r="C594" s="598"/>
      <c r="D594" s="598"/>
      <c r="E594" s="770"/>
      <c r="F594" s="598"/>
      <c r="G594" s="770"/>
      <c r="H594" s="598"/>
      <c r="I594" s="602"/>
      <c r="J594" s="4930">
        <f t="shared" ref="J594:J626" si="442">F594+H594</f>
        <v>0</v>
      </c>
      <c r="K594" s="770"/>
      <c r="L594" s="598"/>
      <c r="M594" s="601"/>
      <c r="N594" s="4931">
        <f t="shared" ref="N594:N629" si="443">J594+L594</f>
        <v>0</v>
      </c>
      <c r="O594" s="770"/>
      <c r="P594" s="598"/>
      <c r="Q594" s="602"/>
      <c r="R594" s="4930">
        <f t="shared" ref="R594:R629" si="444">N594+P594</f>
        <v>0</v>
      </c>
      <c r="S594" s="770"/>
      <c r="T594" s="598"/>
      <c r="U594" s="602"/>
      <c r="V594" s="4930">
        <f t="shared" ref="V594:V629" si="445">R594+T594</f>
        <v>0</v>
      </c>
      <c r="W594" s="770"/>
      <c r="X594" s="598"/>
      <c r="Y594" s="601"/>
      <c r="Z594" s="601">
        <f t="shared" si="439"/>
        <v>0</v>
      </c>
      <c r="AA594" s="771"/>
      <c r="AB594" s="5069">
        <f t="shared" si="437"/>
        <v>0</v>
      </c>
      <c r="AC594" s="770"/>
      <c r="AD594" s="598"/>
      <c r="AE594" s="602"/>
      <c r="AF594" s="4930">
        <f t="shared" ref="AF594:AF629" si="446">AB594+AD594</f>
        <v>0</v>
      </c>
      <c r="AG594" s="770"/>
      <c r="AH594" s="598"/>
      <c r="AI594" s="602"/>
      <c r="AJ594" s="4930">
        <f t="shared" ref="AJ594:AJ629" si="447">AF594+AH594</f>
        <v>0</v>
      </c>
      <c r="AK594" s="770"/>
      <c r="AL594" s="598"/>
      <c r="AM594" s="601"/>
      <c r="AN594" s="717">
        <f t="shared" si="440"/>
        <v>0</v>
      </c>
      <c r="AO594" s="602"/>
      <c r="AP594" s="4930">
        <f t="shared" si="438"/>
        <v>0</v>
      </c>
      <c r="AQ594" s="770"/>
      <c r="AR594" s="598"/>
      <c r="AS594" s="602"/>
      <c r="AT594" s="4930">
        <f t="shared" ref="AT594:AT629" si="448">AP594+AR594</f>
        <v>0</v>
      </c>
      <c r="AU594" s="770"/>
      <c r="AV594" s="598"/>
      <c r="AW594" s="602"/>
      <c r="AX594" s="4930">
        <f t="shared" ref="AX594:AX629" si="449">AT594+AV594</f>
        <v>0</v>
      </c>
      <c r="AY594" s="770"/>
      <c r="AZ594" s="598"/>
      <c r="BA594" s="601"/>
      <c r="BB594" s="717">
        <f t="shared" si="441"/>
        <v>0</v>
      </c>
      <c r="BC594" s="771"/>
      <c r="BD594" s="429">
        <f t="shared" si="435"/>
        <v>0</v>
      </c>
      <c r="BE594" s="602"/>
      <c r="BF594" s="718">
        <f t="shared" si="436"/>
        <v>0</v>
      </c>
    </row>
    <row r="595" spans="1:58" ht="21" hidden="1" customHeight="1" x14ac:dyDescent="0.3">
      <c r="A595" s="142"/>
      <c r="B595" s="598"/>
      <c r="C595" s="598"/>
      <c r="D595" s="598"/>
      <c r="E595" s="770"/>
      <c r="F595" s="598"/>
      <c r="G595" s="770"/>
      <c r="H595" s="598"/>
      <c r="I595" s="602"/>
      <c r="J595" s="4930">
        <f t="shared" si="442"/>
        <v>0</v>
      </c>
      <c r="K595" s="770"/>
      <c r="L595" s="598"/>
      <c r="M595" s="601"/>
      <c r="N595" s="4931">
        <f t="shared" si="443"/>
        <v>0</v>
      </c>
      <c r="O595" s="770"/>
      <c r="P595" s="598"/>
      <c r="Q595" s="602"/>
      <c r="R595" s="4930">
        <f t="shared" si="444"/>
        <v>0</v>
      </c>
      <c r="S595" s="770"/>
      <c r="T595" s="598"/>
      <c r="U595" s="602"/>
      <c r="V595" s="4930">
        <f t="shared" si="445"/>
        <v>0</v>
      </c>
      <c r="W595" s="770"/>
      <c r="X595" s="598"/>
      <c r="Y595" s="601"/>
      <c r="Z595" s="601">
        <f t="shared" si="439"/>
        <v>0</v>
      </c>
      <c r="AA595" s="771"/>
      <c r="AB595" s="5069">
        <f t="shared" si="437"/>
        <v>0</v>
      </c>
      <c r="AC595" s="770"/>
      <c r="AD595" s="598"/>
      <c r="AE595" s="602"/>
      <c r="AF595" s="4930">
        <f t="shared" si="446"/>
        <v>0</v>
      </c>
      <c r="AG595" s="770"/>
      <c r="AH595" s="598"/>
      <c r="AI595" s="602"/>
      <c r="AJ595" s="4930">
        <f t="shared" si="447"/>
        <v>0</v>
      </c>
      <c r="AK595" s="770"/>
      <c r="AL595" s="598"/>
      <c r="AM595" s="601"/>
      <c r="AN595" s="717">
        <f t="shared" si="440"/>
        <v>0</v>
      </c>
      <c r="AO595" s="602"/>
      <c r="AP595" s="4930">
        <f t="shared" si="438"/>
        <v>0</v>
      </c>
      <c r="AQ595" s="770"/>
      <c r="AR595" s="598"/>
      <c r="AS595" s="602"/>
      <c r="AT595" s="4930">
        <f t="shared" si="448"/>
        <v>0</v>
      </c>
      <c r="AU595" s="770"/>
      <c r="AV595" s="598"/>
      <c r="AW595" s="602"/>
      <c r="AX595" s="4930">
        <f t="shared" si="449"/>
        <v>0</v>
      </c>
      <c r="AY595" s="770"/>
      <c r="AZ595" s="598"/>
      <c r="BA595" s="601"/>
      <c r="BB595" s="717">
        <f t="shared" si="441"/>
        <v>0</v>
      </c>
      <c r="BC595" s="771"/>
      <c r="BD595" s="429">
        <f t="shared" si="435"/>
        <v>0</v>
      </c>
      <c r="BE595" s="602"/>
      <c r="BF595" s="718">
        <f t="shared" si="436"/>
        <v>0</v>
      </c>
    </row>
    <row r="596" spans="1:58" ht="21" hidden="1" customHeight="1" x14ac:dyDescent="0.3">
      <c r="A596" s="142"/>
      <c r="B596" s="598"/>
      <c r="C596" s="598"/>
      <c r="D596" s="598"/>
      <c r="E596" s="770"/>
      <c r="F596" s="598"/>
      <c r="G596" s="770"/>
      <c r="H596" s="598"/>
      <c r="I596" s="602"/>
      <c r="J596" s="4930">
        <f t="shared" si="442"/>
        <v>0</v>
      </c>
      <c r="K596" s="770"/>
      <c r="L596" s="598"/>
      <c r="M596" s="601"/>
      <c r="N596" s="4931">
        <f t="shared" si="443"/>
        <v>0</v>
      </c>
      <c r="O596" s="770"/>
      <c r="P596" s="598"/>
      <c r="Q596" s="602"/>
      <c r="R596" s="4930">
        <f t="shared" si="444"/>
        <v>0</v>
      </c>
      <c r="S596" s="770"/>
      <c r="T596" s="598"/>
      <c r="U596" s="602"/>
      <c r="V596" s="4930">
        <f t="shared" si="445"/>
        <v>0</v>
      </c>
      <c r="W596" s="770"/>
      <c r="X596" s="598"/>
      <c r="Y596" s="601"/>
      <c r="Z596" s="601">
        <f t="shared" si="439"/>
        <v>0</v>
      </c>
      <c r="AA596" s="771"/>
      <c r="AB596" s="5069">
        <f t="shared" si="437"/>
        <v>0</v>
      </c>
      <c r="AC596" s="770"/>
      <c r="AD596" s="598"/>
      <c r="AE596" s="602"/>
      <c r="AF596" s="4930">
        <f t="shared" si="446"/>
        <v>0</v>
      </c>
      <c r="AG596" s="770"/>
      <c r="AH596" s="598"/>
      <c r="AI596" s="602"/>
      <c r="AJ596" s="4930">
        <f t="shared" si="447"/>
        <v>0</v>
      </c>
      <c r="AK596" s="770"/>
      <c r="AL596" s="598"/>
      <c r="AM596" s="601"/>
      <c r="AN596" s="717">
        <f t="shared" si="440"/>
        <v>0</v>
      </c>
      <c r="AO596" s="602"/>
      <c r="AP596" s="4930">
        <f t="shared" si="438"/>
        <v>0</v>
      </c>
      <c r="AQ596" s="770"/>
      <c r="AR596" s="598"/>
      <c r="AS596" s="602"/>
      <c r="AT596" s="4930">
        <f t="shared" si="448"/>
        <v>0</v>
      </c>
      <c r="AU596" s="770"/>
      <c r="AV596" s="598"/>
      <c r="AW596" s="602"/>
      <c r="AX596" s="4930">
        <f t="shared" si="449"/>
        <v>0</v>
      </c>
      <c r="AY596" s="770"/>
      <c r="AZ596" s="598"/>
      <c r="BA596" s="601"/>
      <c r="BB596" s="717">
        <f t="shared" si="441"/>
        <v>0</v>
      </c>
      <c r="BC596" s="771"/>
      <c r="BD596" s="429">
        <f t="shared" si="435"/>
        <v>0</v>
      </c>
      <c r="BE596" s="602"/>
      <c r="BF596" s="718">
        <f t="shared" si="436"/>
        <v>0</v>
      </c>
    </row>
    <row r="597" spans="1:58" ht="21" hidden="1" customHeight="1" x14ac:dyDescent="0.3">
      <c r="A597" s="142"/>
      <c r="B597" s="598"/>
      <c r="C597" s="598"/>
      <c r="D597" s="598"/>
      <c r="E597" s="770"/>
      <c r="F597" s="598"/>
      <c r="G597" s="770"/>
      <c r="H597" s="598"/>
      <c r="I597" s="602"/>
      <c r="J597" s="4930">
        <f t="shared" si="442"/>
        <v>0</v>
      </c>
      <c r="K597" s="770"/>
      <c r="L597" s="598"/>
      <c r="M597" s="601"/>
      <c r="N597" s="4931">
        <f t="shared" si="443"/>
        <v>0</v>
      </c>
      <c r="O597" s="770"/>
      <c r="P597" s="598"/>
      <c r="Q597" s="602"/>
      <c r="R597" s="4930">
        <f t="shared" si="444"/>
        <v>0</v>
      </c>
      <c r="S597" s="770"/>
      <c r="T597" s="598"/>
      <c r="U597" s="602"/>
      <c r="V597" s="4930">
        <f t="shared" si="445"/>
        <v>0</v>
      </c>
      <c r="W597" s="770"/>
      <c r="X597" s="598"/>
      <c r="Y597" s="601"/>
      <c r="Z597" s="601">
        <f t="shared" si="439"/>
        <v>0</v>
      </c>
      <c r="AA597" s="771"/>
      <c r="AB597" s="5069">
        <f t="shared" si="437"/>
        <v>0</v>
      </c>
      <c r="AC597" s="770"/>
      <c r="AD597" s="598"/>
      <c r="AE597" s="602"/>
      <c r="AF597" s="4930">
        <f t="shared" si="446"/>
        <v>0</v>
      </c>
      <c r="AG597" s="770"/>
      <c r="AH597" s="598"/>
      <c r="AI597" s="602"/>
      <c r="AJ597" s="4930">
        <f t="shared" si="447"/>
        <v>0</v>
      </c>
      <c r="AK597" s="770"/>
      <c r="AL597" s="598"/>
      <c r="AM597" s="601"/>
      <c r="AN597" s="717">
        <f t="shared" si="440"/>
        <v>0</v>
      </c>
      <c r="AO597" s="602"/>
      <c r="AP597" s="4930">
        <f t="shared" si="438"/>
        <v>0</v>
      </c>
      <c r="AQ597" s="770"/>
      <c r="AR597" s="598"/>
      <c r="AS597" s="602"/>
      <c r="AT597" s="4930">
        <f t="shared" si="448"/>
        <v>0</v>
      </c>
      <c r="AU597" s="770"/>
      <c r="AV597" s="598"/>
      <c r="AW597" s="602"/>
      <c r="AX597" s="4930">
        <f t="shared" si="449"/>
        <v>0</v>
      </c>
      <c r="AY597" s="770"/>
      <c r="AZ597" s="598"/>
      <c r="BA597" s="601"/>
      <c r="BB597" s="717">
        <f t="shared" si="441"/>
        <v>0</v>
      </c>
      <c r="BC597" s="771"/>
      <c r="BD597" s="429">
        <f t="shared" si="435"/>
        <v>0</v>
      </c>
      <c r="BE597" s="602"/>
      <c r="BF597" s="718">
        <f t="shared" si="436"/>
        <v>0</v>
      </c>
    </row>
    <row r="598" spans="1:58" ht="21" hidden="1" customHeight="1" x14ac:dyDescent="0.3">
      <c r="A598" s="142"/>
      <c r="B598" s="598"/>
      <c r="C598" s="598"/>
      <c r="D598" s="598"/>
      <c r="E598" s="770"/>
      <c r="F598" s="598"/>
      <c r="G598" s="770"/>
      <c r="H598" s="598"/>
      <c r="I598" s="602"/>
      <c r="J598" s="4930">
        <f t="shared" si="442"/>
        <v>0</v>
      </c>
      <c r="K598" s="770"/>
      <c r="L598" s="598"/>
      <c r="M598" s="601"/>
      <c r="N598" s="4931">
        <f t="shared" si="443"/>
        <v>0</v>
      </c>
      <c r="O598" s="770"/>
      <c r="P598" s="598"/>
      <c r="Q598" s="602"/>
      <c r="R598" s="4930">
        <f t="shared" si="444"/>
        <v>0</v>
      </c>
      <c r="S598" s="770"/>
      <c r="T598" s="598"/>
      <c r="U598" s="602"/>
      <c r="V598" s="4930">
        <f t="shared" si="445"/>
        <v>0</v>
      </c>
      <c r="W598" s="770"/>
      <c r="X598" s="598"/>
      <c r="Y598" s="601"/>
      <c r="Z598" s="601">
        <f t="shared" si="439"/>
        <v>0</v>
      </c>
      <c r="AA598" s="771"/>
      <c r="AB598" s="5069">
        <f t="shared" si="437"/>
        <v>0</v>
      </c>
      <c r="AC598" s="770"/>
      <c r="AD598" s="598"/>
      <c r="AE598" s="602"/>
      <c r="AF598" s="4930">
        <f t="shared" si="446"/>
        <v>0</v>
      </c>
      <c r="AG598" s="770"/>
      <c r="AH598" s="598"/>
      <c r="AI598" s="602"/>
      <c r="AJ598" s="4930">
        <f t="shared" si="447"/>
        <v>0</v>
      </c>
      <c r="AK598" s="770"/>
      <c r="AL598" s="598"/>
      <c r="AM598" s="601"/>
      <c r="AN598" s="717">
        <f t="shared" si="440"/>
        <v>0</v>
      </c>
      <c r="AO598" s="602"/>
      <c r="AP598" s="4930">
        <f t="shared" si="438"/>
        <v>0</v>
      </c>
      <c r="AQ598" s="770"/>
      <c r="AR598" s="598"/>
      <c r="AS598" s="602"/>
      <c r="AT598" s="4930">
        <f t="shared" si="448"/>
        <v>0</v>
      </c>
      <c r="AU598" s="770"/>
      <c r="AV598" s="598"/>
      <c r="AW598" s="602"/>
      <c r="AX598" s="4930">
        <f t="shared" si="449"/>
        <v>0</v>
      </c>
      <c r="AY598" s="770"/>
      <c r="AZ598" s="598"/>
      <c r="BA598" s="601"/>
      <c r="BB598" s="717">
        <f t="shared" si="441"/>
        <v>0</v>
      </c>
      <c r="BC598" s="771"/>
      <c r="BD598" s="429">
        <f t="shared" si="435"/>
        <v>0</v>
      </c>
      <c r="BE598" s="602"/>
      <c r="BF598" s="718">
        <f t="shared" si="436"/>
        <v>0</v>
      </c>
    </row>
    <row r="599" spans="1:58" ht="21" hidden="1" customHeight="1" x14ac:dyDescent="0.3">
      <c r="A599" s="142"/>
      <c r="B599" s="598"/>
      <c r="C599" s="598"/>
      <c r="D599" s="598"/>
      <c r="E599" s="770"/>
      <c r="F599" s="598"/>
      <c r="G599" s="770"/>
      <c r="H599" s="598"/>
      <c r="I599" s="602"/>
      <c r="J599" s="4930">
        <f t="shared" si="442"/>
        <v>0</v>
      </c>
      <c r="K599" s="770"/>
      <c r="L599" s="598"/>
      <c r="M599" s="601"/>
      <c r="N599" s="4931">
        <f t="shared" si="443"/>
        <v>0</v>
      </c>
      <c r="O599" s="770"/>
      <c r="P599" s="598"/>
      <c r="Q599" s="602"/>
      <c r="R599" s="4930">
        <f t="shared" si="444"/>
        <v>0</v>
      </c>
      <c r="S599" s="770"/>
      <c r="T599" s="598"/>
      <c r="U599" s="602"/>
      <c r="V599" s="4930">
        <f t="shared" si="445"/>
        <v>0</v>
      </c>
      <c r="W599" s="770"/>
      <c r="X599" s="598"/>
      <c r="Y599" s="601"/>
      <c r="Z599" s="601">
        <f t="shared" si="439"/>
        <v>0</v>
      </c>
      <c r="AA599" s="771"/>
      <c r="AB599" s="5069">
        <f t="shared" si="437"/>
        <v>0</v>
      </c>
      <c r="AC599" s="770"/>
      <c r="AD599" s="598"/>
      <c r="AE599" s="602"/>
      <c r="AF599" s="4930">
        <f t="shared" si="446"/>
        <v>0</v>
      </c>
      <c r="AG599" s="770"/>
      <c r="AH599" s="598"/>
      <c r="AI599" s="602"/>
      <c r="AJ599" s="4930">
        <f t="shared" si="447"/>
        <v>0</v>
      </c>
      <c r="AK599" s="770"/>
      <c r="AL599" s="598"/>
      <c r="AM599" s="601"/>
      <c r="AN599" s="717">
        <f t="shared" si="440"/>
        <v>0</v>
      </c>
      <c r="AO599" s="602"/>
      <c r="AP599" s="4930">
        <f t="shared" si="438"/>
        <v>0</v>
      </c>
      <c r="AQ599" s="770"/>
      <c r="AR599" s="598"/>
      <c r="AS599" s="602"/>
      <c r="AT599" s="4930">
        <f t="shared" si="448"/>
        <v>0</v>
      </c>
      <c r="AU599" s="770"/>
      <c r="AV599" s="598"/>
      <c r="AW599" s="602"/>
      <c r="AX599" s="4930">
        <f t="shared" si="449"/>
        <v>0</v>
      </c>
      <c r="AY599" s="770"/>
      <c r="AZ599" s="598"/>
      <c r="BA599" s="601"/>
      <c r="BB599" s="717">
        <f t="shared" si="441"/>
        <v>0</v>
      </c>
      <c r="BC599" s="771"/>
      <c r="BD599" s="429">
        <f t="shared" si="435"/>
        <v>0</v>
      </c>
      <c r="BE599" s="602"/>
      <c r="BF599" s="718">
        <f t="shared" si="436"/>
        <v>0</v>
      </c>
    </row>
    <row r="600" spans="1:58" ht="21" hidden="1" customHeight="1" x14ac:dyDescent="0.3">
      <c r="A600" s="142"/>
      <c r="B600" s="598"/>
      <c r="C600" s="598"/>
      <c r="D600" s="598"/>
      <c r="E600" s="770"/>
      <c r="F600" s="598"/>
      <c r="G600" s="770"/>
      <c r="H600" s="598"/>
      <c r="I600" s="602"/>
      <c r="J600" s="4930">
        <f t="shared" si="442"/>
        <v>0</v>
      </c>
      <c r="K600" s="770"/>
      <c r="L600" s="598"/>
      <c r="M600" s="601"/>
      <c r="N600" s="4931">
        <f t="shared" si="443"/>
        <v>0</v>
      </c>
      <c r="O600" s="770"/>
      <c r="P600" s="598"/>
      <c r="Q600" s="602"/>
      <c r="R600" s="4930">
        <f t="shared" si="444"/>
        <v>0</v>
      </c>
      <c r="S600" s="770"/>
      <c r="T600" s="598"/>
      <c r="U600" s="602"/>
      <c r="V600" s="4930">
        <f t="shared" si="445"/>
        <v>0</v>
      </c>
      <c r="W600" s="770"/>
      <c r="X600" s="598"/>
      <c r="Y600" s="601"/>
      <c r="Z600" s="601">
        <f t="shared" si="439"/>
        <v>0</v>
      </c>
      <c r="AA600" s="771"/>
      <c r="AB600" s="5069">
        <f t="shared" si="437"/>
        <v>0</v>
      </c>
      <c r="AC600" s="770"/>
      <c r="AD600" s="598"/>
      <c r="AE600" s="602"/>
      <c r="AF600" s="4930">
        <f t="shared" si="446"/>
        <v>0</v>
      </c>
      <c r="AG600" s="770"/>
      <c r="AH600" s="598"/>
      <c r="AI600" s="602"/>
      <c r="AJ600" s="4930">
        <f t="shared" si="447"/>
        <v>0</v>
      </c>
      <c r="AK600" s="770"/>
      <c r="AL600" s="598"/>
      <c r="AM600" s="601"/>
      <c r="AN600" s="717">
        <f t="shared" si="440"/>
        <v>0</v>
      </c>
      <c r="AO600" s="602"/>
      <c r="AP600" s="4930">
        <f t="shared" si="438"/>
        <v>0</v>
      </c>
      <c r="AQ600" s="770"/>
      <c r="AR600" s="598"/>
      <c r="AS600" s="602"/>
      <c r="AT600" s="4930">
        <f t="shared" si="448"/>
        <v>0</v>
      </c>
      <c r="AU600" s="770"/>
      <c r="AV600" s="598"/>
      <c r="AW600" s="602"/>
      <c r="AX600" s="4930">
        <f t="shared" si="449"/>
        <v>0</v>
      </c>
      <c r="AY600" s="770"/>
      <c r="AZ600" s="598"/>
      <c r="BA600" s="601"/>
      <c r="BB600" s="717">
        <f t="shared" si="441"/>
        <v>0</v>
      </c>
      <c r="BC600" s="771"/>
      <c r="BD600" s="429">
        <f t="shared" si="435"/>
        <v>0</v>
      </c>
      <c r="BE600" s="602"/>
      <c r="BF600" s="718">
        <f t="shared" si="436"/>
        <v>0</v>
      </c>
    </row>
    <row r="601" spans="1:58" ht="21" hidden="1" customHeight="1" x14ac:dyDescent="0.3">
      <c r="A601" s="142"/>
      <c r="B601" s="598"/>
      <c r="C601" s="598"/>
      <c r="D601" s="598"/>
      <c r="E601" s="770"/>
      <c r="F601" s="598"/>
      <c r="G601" s="770"/>
      <c r="H601" s="598"/>
      <c r="I601" s="602"/>
      <c r="J601" s="4930">
        <f t="shared" si="442"/>
        <v>0</v>
      </c>
      <c r="K601" s="770"/>
      <c r="L601" s="598"/>
      <c r="M601" s="601"/>
      <c r="N601" s="4931">
        <f t="shared" si="443"/>
        <v>0</v>
      </c>
      <c r="O601" s="770"/>
      <c r="P601" s="598"/>
      <c r="Q601" s="602"/>
      <c r="R601" s="4930">
        <f t="shared" si="444"/>
        <v>0</v>
      </c>
      <c r="S601" s="770"/>
      <c r="T601" s="598"/>
      <c r="U601" s="602"/>
      <c r="V601" s="4930">
        <f t="shared" si="445"/>
        <v>0</v>
      </c>
      <c r="W601" s="770"/>
      <c r="X601" s="598"/>
      <c r="Y601" s="601"/>
      <c r="Z601" s="601">
        <f t="shared" si="439"/>
        <v>0</v>
      </c>
      <c r="AA601" s="771"/>
      <c r="AB601" s="5069">
        <f t="shared" si="437"/>
        <v>0</v>
      </c>
      <c r="AC601" s="770"/>
      <c r="AD601" s="598"/>
      <c r="AE601" s="602"/>
      <c r="AF601" s="4930">
        <f t="shared" si="446"/>
        <v>0</v>
      </c>
      <c r="AG601" s="770"/>
      <c r="AH601" s="598"/>
      <c r="AI601" s="602"/>
      <c r="AJ601" s="4930">
        <f t="shared" si="447"/>
        <v>0</v>
      </c>
      <c r="AK601" s="770"/>
      <c r="AL601" s="598"/>
      <c r="AM601" s="601"/>
      <c r="AN601" s="717">
        <f t="shared" si="440"/>
        <v>0</v>
      </c>
      <c r="AO601" s="602"/>
      <c r="AP601" s="4930">
        <f t="shared" si="438"/>
        <v>0</v>
      </c>
      <c r="AQ601" s="770"/>
      <c r="AR601" s="598"/>
      <c r="AS601" s="602"/>
      <c r="AT601" s="4930">
        <f t="shared" si="448"/>
        <v>0</v>
      </c>
      <c r="AU601" s="770"/>
      <c r="AV601" s="598"/>
      <c r="AW601" s="602"/>
      <c r="AX601" s="4930">
        <f t="shared" si="449"/>
        <v>0</v>
      </c>
      <c r="AY601" s="770"/>
      <c r="AZ601" s="598"/>
      <c r="BA601" s="601"/>
      <c r="BB601" s="717">
        <f t="shared" si="441"/>
        <v>0</v>
      </c>
      <c r="BC601" s="771"/>
      <c r="BD601" s="429">
        <f t="shared" si="435"/>
        <v>0</v>
      </c>
      <c r="BE601" s="602"/>
      <c r="BF601" s="718">
        <f t="shared" si="436"/>
        <v>0</v>
      </c>
    </row>
    <row r="602" spans="1:58" ht="21" hidden="1" customHeight="1" x14ac:dyDescent="0.3">
      <c r="A602" s="142"/>
      <c r="B602" s="598"/>
      <c r="C602" s="598"/>
      <c r="D602" s="598"/>
      <c r="E602" s="770"/>
      <c r="F602" s="598"/>
      <c r="G602" s="770"/>
      <c r="H602" s="598"/>
      <c r="I602" s="602"/>
      <c r="J602" s="4930">
        <f t="shared" si="442"/>
        <v>0</v>
      </c>
      <c r="K602" s="770"/>
      <c r="L602" s="598"/>
      <c r="M602" s="601"/>
      <c r="N602" s="4931">
        <f t="shared" si="443"/>
        <v>0</v>
      </c>
      <c r="O602" s="770"/>
      <c r="P602" s="598"/>
      <c r="Q602" s="602"/>
      <c r="R602" s="4930">
        <f t="shared" si="444"/>
        <v>0</v>
      </c>
      <c r="S602" s="770"/>
      <c r="T602" s="598"/>
      <c r="U602" s="602"/>
      <c r="V602" s="4930">
        <f t="shared" si="445"/>
        <v>0</v>
      </c>
      <c r="W602" s="770"/>
      <c r="X602" s="598"/>
      <c r="Y602" s="601"/>
      <c r="Z602" s="601">
        <f t="shared" si="439"/>
        <v>0</v>
      </c>
      <c r="AA602" s="771"/>
      <c r="AB602" s="5069">
        <f t="shared" si="437"/>
        <v>0</v>
      </c>
      <c r="AC602" s="770"/>
      <c r="AD602" s="598"/>
      <c r="AE602" s="602"/>
      <c r="AF602" s="4930">
        <f t="shared" si="446"/>
        <v>0</v>
      </c>
      <c r="AG602" s="770"/>
      <c r="AH602" s="598"/>
      <c r="AI602" s="602"/>
      <c r="AJ602" s="4930">
        <f t="shared" si="447"/>
        <v>0</v>
      </c>
      <c r="AK602" s="770"/>
      <c r="AL602" s="598"/>
      <c r="AM602" s="601"/>
      <c r="AN602" s="717">
        <f t="shared" si="440"/>
        <v>0</v>
      </c>
      <c r="AO602" s="602"/>
      <c r="AP602" s="4930">
        <f t="shared" si="438"/>
        <v>0</v>
      </c>
      <c r="AQ602" s="770"/>
      <c r="AR602" s="598"/>
      <c r="AS602" s="602"/>
      <c r="AT602" s="4930">
        <f t="shared" si="448"/>
        <v>0</v>
      </c>
      <c r="AU602" s="770"/>
      <c r="AV602" s="598"/>
      <c r="AW602" s="602"/>
      <c r="AX602" s="4930">
        <f t="shared" si="449"/>
        <v>0</v>
      </c>
      <c r="AY602" s="770"/>
      <c r="AZ602" s="598"/>
      <c r="BA602" s="601"/>
      <c r="BB602" s="717">
        <f t="shared" si="441"/>
        <v>0</v>
      </c>
      <c r="BC602" s="771"/>
      <c r="BD602" s="429">
        <f t="shared" si="435"/>
        <v>0</v>
      </c>
      <c r="BE602" s="602"/>
      <c r="BF602" s="718">
        <f t="shared" si="436"/>
        <v>0</v>
      </c>
    </row>
    <row r="603" spans="1:58" ht="21" hidden="1" customHeight="1" x14ac:dyDescent="0.3">
      <c r="A603" s="142"/>
      <c r="B603" s="598"/>
      <c r="C603" s="598"/>
      <c r="D603" s="598"/>
      <c r="E603" s="770"/>
      <c r="F603" s="598"/>
      <c r="G603" s="770"/>
      <c r="H603" s="598"/>
      <c r="I603" s="602"/>
      <c r="J603" s="4930">
        <f t="shared" si="442"/>
        <v>0</v>
      </c>
      <c r="K603" s="770"/>
      <c r="L603" s="598"/>
      <c r="M603" s="601"/>
      <c r="N603" s="4931">
        <f t="shared" si="443"/>
        <v>0</v>
      </c>
      <c r="O603" s="770"/>
      <c r="P603" s="598"/>
      <c r="Q603" s="602"/>
      <c r="R603" s="4930">
        <f t="shared" si="444"/>
        <v>0</v>
      </c>
      <c r="S603" s="770"/>
      <c r="T603" s="598"/>
      <c r="U603" s="602"/>
      <c r="V603" s="4930">
        <f t="shared" si="445"/>
        <v>0</v>
      </c>
      <c r="W603" s="770"/>
      <c r="X603" s="598"/>
      <c r="Y603" s="601"/>
      <c r="Z603" s="601">
        <f t="shared" si="439"/>
        <v>0</v>
      </c>
      <c r="AA603" s="771"/>
      <c r="AB603" s="5069">
        <f t="shared" si="437"/>
        <v>0</v>
      </c>
      <c r="AC603" s="770"/>
      <c r="AD603" s="598"/>
      <c r="AE603" s="602"/>
      <c r="AF603" s="4930">
        <f t="shared" si="446"/>
        <v>0</v>
      </c>
      <c r="AG603" s="770"/>
      <c r="AH603" s="598"/>
      <c r="AI603" s="602"/>
      <c r="AJ603" s="4930">
        <f t="shared" si="447"/>
        <v>0</v>
      </c>
      <c r="AK603" s="770"/>
      <c r="AL603" s="598"/>
      <c r="AM603" s="601"/>
      <c r="AN603" s="717">
        <f t="shared" si="440"/>
        <v>0</v>
      </c>
      <c r="AO603" s="602"/>
      <c r="AP603" s="4930">
        <f t="shared" si="438"/>
        <v>0</v>
      </c>
      <c r="AQ603" s="770"/>
      <c r="AR603" s="598"/>
      <c r="AS603" s="602"/>
      <c r="AT603" s="4930">
        <f t="shared" si="448"/>
        <v>0</v>
      </c>
      <c r="AU603" s="770"/>
      <c r="AV603" s="598"/>
      <c r="AW603" s="602"/>
      <c r="AX603" s="4930">
        <f t="shared" si="449"/>
        <v>0</v>
      </c>
      <c r="AY603" s="770"/>
      <c r="AZ603" s="598"/>
      <c r="BA603" s="601"/>
      <c r="BB603" s="717">
        <f t="shared" si="441"/>
        <v>0</v>
      </c>
      <c r="BC603" s="771"/>
      <c r="BD603" s="429">
        <f t="shared" si="435"/>
        <v>0</v>
      </c>
      <c r="BE603" s="602"/>
      <c r="BF603" s="718">
        <f t="shared" si="436"/>
        <v>0</v>
      </c>
    </row>
    <row r="604" spans="1:58" ht="21" hidden="1" customHeight="1" x14ac:dyDescent="0.3">
      <c r="A604" s="142"/>
      <c r="B604" s="598"/>
      <c r="C604" s="598"/>
      <c r="D604" s="598"/>
      <c r="E604" s="770"/>
      <c r="F604" s="598"/>
      <c r="G604" s="770"/>
      <c r="H604" s="598"/>
      <c r="I604" s="602"/>
      <c r="J604" s="4930">
        <f t="shared" si="442"/>
        <v>0</v>
      </c>
      <c r="K604" s="770"/>
      <c r="L604" s="598"/>
      <c r="M604" s="601"/>
      <c r="N604" s="4931">
        <f t="shared" si="443"/>
        <v>0</v>
      </c>
      <c r="O604" s="770"/>
      <c r="P604" s="598"/>
      <c r="Q604" s="602"/>
      <c r="R604" s="4930">
        <f t="shared" si="444"/>
        <v>0</v>
      </c>
      <c r="S604" s="770"/>
      <c r="T604" s="598"/>
      <c r="U604" s="602"/>
      <c r="V604" s="4930">
        <f t="shared" si="445"/>
        <v>0</v>
      </c>
      <c r="W604" s="770"/>
      <c r="X604" s="598"/>
      <c r="Y604" s="601"/>
      <c r="Z604" s="601">
        <f t="shared" si="439"/>
        <v>0</v>
      </c>
      <c r="AA604" s="771"/>
      <c r="AB604" s="5069">
        <f t="shared" si="437"/>
        <v>0</v>
      </c>
      <c r="AC604" s="770"/>
      <c r="AD604" s="598"/>
      <c r="AE604" s="602"/>
      <c r="AF604" s="4930">
        <f t="shared" si="446"/>
        <v>0</v>
      </c>
      <c r="AG604" s="770"/>
      <c r="AH604" s="598"/>
      <c r="AI604" s="602"/>
      <c r="AJ604" s="4930">
        <f t="shared" si="447"/>
        <v>0</v>
      </c>
      <c r="AK604" s="770"/>
      <c r="AL604" s="598"/>
      <c r="AM604" s="601"/>
      <c r="AN604" s="717">
        <f t="shared" si="440"/>
        <v>0</v>
      </c>
      <c r="AO604" s="602"/>
      <c r="AP604" s="4930">
        <f t="shared" si="438"/>
        <v>0</v>
      </c>
      <c r="AQ604" s="770"/>
      <c r="AR604" s="598"/>
      <c r="AS604" s="602"/>
      <c r="AT604" s="4930">
        <f t="shared" si="448"/>
        <v>0</v>
      </c>
      <c r="AU604" s="770"/>
      <c r="AV604" s="598"/>
      <c r="AW604" s="602"/>
      <c r="AX604" s="4930">
        <f t="shared" si="449"/>
        <v>0</v>
      </c>
      <c r="AY604" s="770"/>
      <c r="AZ604" s="598"/>
      <c r="BA604" s="601"/>
      <c r="BB604" s="717">
        <f t="shared" si="441"/>
        <v>0</v>
      </c>
      <c r="BC604" s="771"/>
      <c r="BD604" s="429">
        <f t="shared" si="435"/>
        <v>0</v>
      </c>
      <c r="BE604" s="602"/>
      <c r="BF604" s="718">
        <f t="shared" si="436"/>
        <v>0</v>
      </c>
    </row>
    <row r="605" spans="1:58" ht="21" hidden="1" customHeight="1" x14ac:dyDescent="0.3">
      <c r="A605" s="142"/>
      <c r="B605" s="598"/>
      <c r="C605" s="598"/>
      <c r="D605" s="598"/>
      <c r="E605" s="770"/>
      <c r="F605" s="598"/>
      <c r="G605" s="770"/>
      <c r="H605" s="598"/>
      <c r="I605" s="602"/>
      <c r="J605" s="4930">
        <f t="shared" si="442"/>
        <v>0</v>
      </c>
      <c r="K605" s="770"/>
      <c r="L605" s="598"/>
      <c r="M605" s="601"/>
      <c r="N605" s="4931">
        <f t="shared" si="443"/>
        <v>0</v>
      </c>
      <c r="O605" s="770"/>
      <c r="P605" s="598"/>
      <c r="Q605" s="602"/>
      <c r="R605" s="4930">
        <f t="shared" si="444"/>
        <v>0</v>
      </c>
      <c r="S605" s="770"/>
      <c r="T605" s="598"/>
      <c r="U605" s="602"/>
      <c r="V605" s="4930">
        <f t="shared" si="445"/>
        <v>0</v>
      </c>
      <c r="W605" s="770"/>
      <c r="X605" s="598"/>
      <c r="Y605" s="601"/>
      <c r="Z605" s="601">
        <f t="shared" si="439"/>
        <v>0</v>
      </c>
      <c r="AA605" s="771"/>
      <c r="AB605" s="5069">
        <f t="shared" si="437"/>
        <v>0</v>
      </c>
      <c r="AC605" s="770"/>
      <c r="AD605" s="598"/>
      <c r="AE605" s="602"/>
      <c r="AF605" s="4930">
        <f t="shared" si="446"/>
        <v>0</v>
      </c>
      <c r="AG605" s="770"/>
      <c r="AH605" s="598"/>
      <c r="AI605" s="602"/>
      <c r="AJ605" s="4930">
        <f t="shared" si="447"/>
        <v>0</v>
      </c>
      <c r="AK605" s="770"/>
      <c r="AL605" s="598"/>
      <c r="AM605" s="601"/>
      <c r="AN605" s="717">
        <f t="shared" si="440"/>
        <v>0</v>
      </c>
      <c r="AO605" s="602"/>
      <c r="AP605" s="4930">
        <f t="shared" si="438"/>
        <v>0</v>
      </c>
      <c r="AQ605" s="770"/>
      <c r="AR605" s="598"/>
      <c r="AS605" s="602"/>
      <c r="AT605" s="4930">
        <f t="shared" si="448"/>
        <v>0</v>
      </c>
      <c r="AU605" s="770"/>
      <c r="AV605" s="598"/>
      <c r="AW605" s="602"/>
      <c r="AX605" s="4930">
        <f t="shared" si="449"/>
        <v>0</v>
      </c>
      <c r="AY605" s="770"/>
      <c r="AZ605" s="598"/>
      <c r="BA605" s="601"/>
      <c r="BB605" s="717">
        <f t="shared" si="441"/>
        <v>0</v>
      </c>
      <c r="BC605" s="771"/>
      <c r="BD605" s="429">
        <f t="shared" si="435"/>
        <v>0</v>
      </c>
      <c r="BE605" s="602"/>
      <c r="BF605" s="718">
        <f t="shared" si="436"/>
        <v>0</v>
      </c>
    </row>
    <row r="606" spans="1:58" ht="21" hidden="1" customHeight="1" x14ac:dyDescent="0.3">
      <c r="A606" s="142"/>
      <c r="B606" s="598"/>
      <c r="C606" s="598"/>
      <c r="D606" s="598"/>
      <c r="E606" s="770"/>
      <c r="F606" s="598"/>
      <c r="G606" s="770"/>
      <c r="H606" s="598"/>
      <c r="I606" s="602"/>
      <c r="J606" s="4930">
        <f t="shared" si="442"/>
        <v>0</v>
      </c>
      <c r="K606" s="770"/>
      <c r="L606" s="598"/>
      <c r="M606" s="601"/>
      <c r="N606" s="4931">
        <f t="shared" si="443"/>
        <v>0</v>
      </c>
      <c r="O606" s="770"/>
      <c r="P606" s="598"/>
      <c r="Q606" s="602"/>
      <c r="R606" s="4930">
        <f t="shared" si="444"/>
        <v>0</v>
      </c>
      <c r="S606" s="770"/>
      <c r="T606" s="598"/>
      <c r="U606" s="602"/>
      <c r="V606" s="4930">
        <f t="shared" si="445"/>
        <v>0</v>
      </c>
      <c r="W606" s="770"/>
      <c r="X606" s="598"/>
      <c r="Y606" s="601"/>
      <c r="Z606" s="601">
        <f t="shared" si="439"/>
        <v>0</v>
      </c>
      <c r="AA606" s="771"/>
      <c r="AB606" s="5069">
        <f t="shared" si="437"/>
        <v>0</v>
      </c>
      <c r="AC606" s="770"/>
      <c r="AD606" s="598"/>
      <c r="AE606" s="602"/>
      <c r="AF606" s="4930">
        <f t="shared" si="446"/>
        <v>0</v>
      </c>
      <c r="AG606" s="770"/>
      <c r="AH606" s="598"/>
      <c r="AI606" s="602"/>
      <c r="AJ606" s="4930">
        <f t="shared" si="447"/>
        <v>0</v>
      </c>
      <c r="AK606" s="770"/>
      <c r="AL606" s="598"/>
      <c r="AM606" s="601"/>
      <c r="AN606" s="717">
        <f t="shared" si="440"/>
        <v>0</v>
      </c>
      <c r="AO606" s="602"/>
      <c r="AP606" s="4930">
        <f t="shared" si="438"/>
        <v>0</v>
      </c>
      <c r="AQ606" s="770"/>
      <c r="AR606" s="598"/>
      <c r="AS606" s="602"/>
      <c r="AT606" s="4930">
        <f t="shared" si="448"/>
        <v>0</v>
      </c>
      <c r="AU606" s="770"/>
      <c r="AV606" s="598"/>
      <c r="AW606" s="602"/>
      <c r="AX606" s="4930">
        <f t="shared" si="449"/>
        <v>0</v>
      </c>
      <c r="AY606" s="770"/>
      <c r="AZ606" s="598"/>
      <c r="BA606" s="601"/>
      <c r="BB606" s="717">
        <f t="shared" si="441"/>
        <v>0</v>
      </c>
      <c r="BC606" s="771"/>
      <c r="BD606" s="429">
        <f t="shared" si="435"/>
        <v>0</v>
      </c>
      <c r="BE606" s="602"/>
      <c r="BF606" s="718">
        <f t="shared" si="436"/>
        <v>0</v>
      </c>
    </row>
    <row r="607" spans="1:58" ht="21" hidden="1" customHeight="1" x14ac:dyDescent="0.3">
      <c r="A607" s="142"/>
      <c r="B607" s="598"/>
      <c r="C607" s="598"/>
      <c r="D607" s="598"/>
      <c r="E607" s="770"/>
      <c r="F607" s="598"/>
      <c r="G607" s="770"/>
      <c r="H607" s="598"/>
      <c r="I607" s="602"/>
      <c r="J607" s="4930">
        <f t="shared" si="442"/>
        <v>0</v>
      </c>
      <c r="K607" s="770"/>
      <c r="L607" s="598"/>
      <c r="M607" s="601"/>
      <c r="N607" s="4931">
        <f t="shared" si="443"/>
        <v>0</v>
      </c>
      <c r="O607" s="770"/>
      <c r="P607" s="598"/>
      <c r="Q607" s="602"/>
      <c r="R607" s="4930">
        <f t="shared" si="444"/>
        <v>0</v>
      </c>
      <c r="S607" s="770"/>
      <c r="T607" s="598"/>
      <c r="U607" s="602"/>
      <c r="V607" s="4930">
        <f t="shared" si="445"/>
        <v>0</v>
      </c>
      <c r="W607" s="770"/>
      <c r="X607" s="598"/>
      <c r="Y607" s="601"/>
      <c r="Z607" s="601">
        <f t="shared" si="439"/>
        <v>0</v>
      </c>
      <c r="AA607" s="771"/>
      <c r="AB607" s="5069">
        <f t="shared" si="437"/>
        <v>0</v>
      </c>
      <c r="AC607" s="770"/>
      <c r="AD607" s="598"/>
      <c r="AE607" s="602"/>
      <c r="AF607" s="4930">
        <f t="shared" si="446"/>
        <v>0</v>
      </c>
      <c r="AG607" s="770"/>
      <c r="AH607" s="598"/>
      <c r="AI607" s="602"/>
      <c r="AJ607" s="4930">
        <f t="shared" si="447"/>
        <v>0</v>
      </c>
      <c r="AK607" s="770"/>
      <c r="AL607" s="598"/>
      <c r="AM607" s="601"/>
      <c r="AN607" s="717">
        <f t="shared" si="440"/>
        <v>0</v>
      </c>
      <c r="AO607" s="602"/>
      <c r="AP607" s="4930">
        <f t="shared" si="438"/>
        <v>0</v>
      </c>
      <c r="AQ607" s="770"/>
      <c r="AR607" s="598"/>
      <c r="AS607" s="602"/>
      <c r="AT607" s="4930">
        <f t="shared" si="448"/>
        <v>0</v>
      </c>
      <c r="AU607" s="770"/>
      <c r="AV607" s="598"/>
      <c r="AW607" s="602"/>
      <c r="AX607" s="4930">
        <f t="shared" si="449"/>
        <v>0</v>
      </c>
      <c r="AY607" s="770"/>
      <c r="AZ607" s="598"/>
      <c r="BA607" s="601"/>
      <c r="BB607" s="717">
        <f t="shared" si="441"/>
        <v>0</v>
      </c>
      <c r="BC607" s="771"/>
      <c r="BD607" s="429">
        <f t="shared" si="435"/>
        <v>0</v>
      </c>
      <c r="BE607" s="602"/>
      <c r="BF607" s="718">
        <f t="shared" si="436"/>
        <v>0</v>
      </c>
    </row>
    <row r="608" spans="1:58" ht="21" hidden="1" customHeight="1" x14ac:dyDescent="0.3">
      <c r="A608" s="142"/>
      <c r="B608" s="598"/>
      <c r="C608" s="598"/>
      <c r="D608" s="598"/>
      <c r="E608" s="770"/>
      <c r="F608" s="598"/>
      <c r="G608" s="770"/>
      <c r="H608" s="598"/>
      <c r="I608" s="602"/>
      <c r="J608" s="4930">
        <f t="shared" si="442"/>
        <v>0</v>
      </c>
      <c r="K608" s="770"/>
      <c r="L608" s="598"/>
      <c r="M608" s="601"/>
      <c r="N608" s="4931">
        <f t="shared" si="443"/>
        <v>0</v>
      </c>
      <c r="O608" s="770"/>
      <c r="P608" s="598"/>
      <c r="Q608" s="602"/>
      <c r="R608" s="4930">
        <f t="shared" si="444"/>
        <v>0</v>
      </c>
      <c r="S608" s="770"/>
      <c r="T608" s="598"/>
      <c r="U608" s="602"/>
      <c r="V608" s="4930">
        <f t="shared" si="445"/>
        <v>0</v>
      </c>
      <c r="W608" s="770"/>
      <c r="X608" s="598"/>
      <c r="Y608" s="601"/>
      <c r="Z608" s="601">
        <f t="shared" si="439"/>
        <v>0</v>
      </c>
      <c r="AA608" s="771"/>
      <c r="AB608" s="5069">
        <f t="shared" si="437"/>
        <v>0</v>
      </c>
      <c r="AC608" s="770"/>
      <c r="AD608" s="598"/>
      <c r="AE608" s="602"/>
      <c r="AF608" s="4930">
        <f t="shared" si="446"/>
        <v>0</v>
      </c>
      <c r="AG608" s="770"/>
      <c r="AH608" s="598"/>
      <c r="AI608" s="602"/>
      <c r="AJ608" s="4930">
        <f t="shared" si="447"/>
        <v>0</v>
      </c>
      <c r="AK608" s="770"/>
      <c r="AL608" s="598"/>
      <c r="AM608" s="601"/>
      <c r="AN608" s="717">
        <f t="shared" si="440"/>
        <v>0</v>
      </c>
      <c r="AO608" s="602"/>
      <c r="AP608" s="4930">
        <f t="shared" si="438"/>
        <v>0</v>
      </c>
      <c r="AQ608" s="770"/>
      <c r="AR608" s="598"/>
      <c r="AS608" s="602"/>
      <c r="AT608" s="4930">
        <f t="shared" si="448"/>
        <v>0</v>
      </c>
      <c r="AU608" s="770"/>
      <c r="AV608" s="598"/>
      <c r="AW608" s="602"/>
      <c r="AX608" s="4930">
        <f t="shared" si="449"/>
        <v>0</v>
      </c>
      <c r="AY608" s="770"/>
      <c r="AZ608" s="598"/>
      <c r="BA608" s="601"/>
      <c r="BB608" s="717">
        <f t="shared" si="441"/>
        <v>0</v>
      </c>
      <c r="BC608" s="771"/>
      <c r="BD608" s="429">
        <f t="shared" si="435"/>
        <v>0</v>
      </c>
      <c r="BE608" s="602"/>
      <c r="BF608" s="718">
        <f t="shared" si="436"/>
        <v>0</v>
      </c>
    </row>
    <row r="609" spans="1:58" ht="21" hidden="1" customHeight="1" x14ac:dyDescent="0.3">
      <c r="A609" s="142"/>
      <c r="B609" s="598"/>
      <c r="C609" s="598"/>
      <c r="D609" s="598"/>
      <c r="E609" s="770"/>
      <c r="F609" s="598"/>
      <c r="G609" s="770"/>
      <c r="H609" s="598"/>
      <c r="I609" s="602"/>
      <c r="J609" s="4930">
        <f t="shared" si="442"/>
        <v>0</v>
      </c>
      <c r="K609" s="770"/>
      <c r="L609" s="598"/>
      <c r="M609" s="601"/>
      <c r="N609" s="4931">
        <f t="shared" si="443"/>
        <v>0</v>
      </c>
      <c r="O609" s="770"/>
      <c r="P609" s="598"/>
      <c r="Q609" s="602"/>
      <c r="R609" s="4930">
        <f t="shared" si="444"/>
        <v>0</v>
      </c>
      <c r="S609" s="770"/>
      <c r="T609" s="598"/>
      <c r="U609" s="602"/>
      <c r="V609" s="4930">
        <f t="shared" si="445"/>
        <v>0</v>
      </c>
      <c r="W609" s="770"/>
      <c r="X609" s="598"/>
      <c r="Y609" s="601"/>
      <c r="Z609" s="601">
        <f t="shared" si="439"/>
        <v>0</v>
      </c>
      <c r="AA609" s="771"/>
      <c r="AB609" s="5069">
        <f t="shared" si="437"/>
        <v>0</v>
      </c>
      <c r="AC609" s="770"/>
      <c r="AD609" s="598"/>
      <c r="AE609" s="602"/>
      <c r="AF609" s="4930">
        <f t="shared" si="446"/>
        <v>0</v>
      </c>
      <c r="AG609" s="770"/>
      <c r="AH609" s="598"/>
      <c r="AI609" s="602"/>
      <c r="AJ609" s="4930">
        <f t="shared" si="447"/>
        <v>0</v>
      </c>
      <c r="AK609" s="770"/>
      <c r="AL609" s="598"/>
      <c r="AM609" s="601"/>
      <c r="AN609" s="717">
        <f t="shared" si="440"/>
        <v>0</v>
      </c>
      <c r="AO609" s="602"/>
      <c r="AP609" s="4930">
        <f t="shared" si="438"/>
        <v>0</v>
      </c>
      <c r="AQ609" s="770"/>
      <c r="AR609" s="598"/>
      <c r="AS609" s="602"/>
      <c r="AT609" s="4930">
        <f t="shared" si="448"/>
        <v>0</v>
      </c>
      <c r="AU609" s="770"/>
      <c r="AV609" s="598"/>
      <c r="AW609" s="602"/>
      <c r="AX609" s="4930">
        <f t="shared" si="449"/>
        <v>0</v>
      </c>
      <c r="AY609" s="770"/>
      <c r="AZ609" s="598"/>
      <c r="BA609" s="601"/>
      <c r="BB609" s="717">
        <f t="shared" si="441"/>
        <v>0</v>
      </c>
      <c r="BC609" s="771"/>
      <c r="BD609" s="429">
        <f t="shared" si="435"/>
        <v>0</v>
      </c>
      <c r="BE609" s="602"/>
      <c r="BF609" s="718">
        <f t="shared" si="436"/>
        <v>0</v>
      </c>
    </row>
    <row r="610" spans="1:58" ht="21" hidden="1" customHeight="1" x14ac:dyDescent="0.3">
      <c r="A610" s="142"/>
      <c r="B610" s="598"/>
      <c r="C610" s="598"/>
      <c r="D610" s="598"/>
      <c r="E610" s="770"/>
      <c r="F610" s="598"/>
      <c r="G610" s="770"/>
      <c r="H610" s="598"/>
      <c r="I610" s="602"/>
      <c r="J610" s="4930">
        <f t="shared" si="442"/>
        <v>0</v>
      </c>
      <c r="K610" s="770"/>
      <c r="L610" s="598"/>
      <c r="M610" s="601"/>
      <c r="N610" s="4931">
        <f t="shared" si="443"/>
        <v>0</v>
      </c>
      <c r="O610" s="770"/>
      <c r="P610" s="598"/>
      <c r="Q610" s="602"/>
      <c r="R610" s="4930">
        <f t="shared" si="444"/>
        <v>0</v>
      </c>
      <c r="S610" s="770"/>
      <c r="T610" s="598"/>
      <c r="U610" s="602"/>
      <c r="V610" s="4930">
        <f t="shared" si="445"/>
        <v>0</v>
      </c>
      <c r="W610" s="770"/>
      <c r="X610" s="598"/>
      <c r="Y610" s="601"/>
      <c r="Z610" s="601">
        <f t="shared" si="439"/>
        <v>0</v>
      </c>
      <c r="AA610" s="771"/>
      <c r="AB610" s="5069">
        <f t="shared" si="437"/>
        <v>0</v>
      </c>
      <c r="AC610" s="770"/>
      <c r="AD610" s="598"/>
      <c r="AE610" s="602"/>
      <c r="AF610" s="4930">
        <f t="shared" si="446"/>
        <v>0</v>
      </c>
      <c r="AG610" s="770"/>
      <c r="AH610" s="598"/>
      <c r="AI610" s="602"/>
      <c r="AJ610" s="4930">
        <f t="shared" si="447"/>
        <v>0</v>
      </c>
      <c r="AK610" s="770"/>
      <c r="AL610" s="598"/>
      <c r="AM610" s="601"/>
      <c r="AN610" s="717">
        <f t="shared" si="440"/>
        <v>0</v>
      </c>
      <c r="AO610" s="602"/>
      <c r="AP610" s="4930">
        <f t="shared" si="438"/>
        <v>0</v>
      </c>
      <c r="AQ610" s="770"/>
      <c r="AR610" s="598"/>
      <c r="AS610" s="602"/>
      <c r="AT610" s="4930">
        <f t="shared" si="448"/>
        <v>0</v>
      </c>
      <c r="AU610" s="770"/>
      <c r="AV610" s="598"/>
      <c r="AW610" s="602"/>
      <c r="AX610" s="4930">
        <f t="shared" si="449"/>
        <v>0</v>
      </c>
      <c r="AY610" s="770"/>
      <c r="AZ610" s="598"/>
      <c r="BA610" s="601"/>
      <c r="BB610" s="717">
        <f t="shared" si="441"/>
        <v>0</v>
      </c>
      <c r="BC610" s="771"/>
      <c r="BD610" s="429">
        <f t="shared" si="435"/>
        <v>0</v>
      </c>
      <c r="BE610" s="602"/>
      <c r="BF610" s="718">
        <f t="shared" si="436"/>
        <v>0</v>
      </c>
    </row>
    <row r="611" spans="1:58" ht="15" hidden="1" customHeight="1" x14ac:dyDescent="0.3">
      <c r="G611" s="251"/>
      <c r="I611" s="5622"/>
      <c r="J611" s="4930">
        <f t="shared" si="442"/>
        <v>0</v>
      </c>
      <c r="K611" s="251"/>
      <c r="M611" s="5636"/>
      <c r="N611" s="4931">
        <f t="shared" si="443"/>
        <v>0</v>
      </c>
      <c r="O611" s="251"/>
      <c r="Q611" s="5622"/>
      <c r="R611" s="4930">
        <f t="shared" si="444"/>
        <v>0</v>
      </c>
      <c r="S611" s="251"/>
      <c r="U611" s="5622"/>
      <c r="V611" s="4930">
        <f t="shared" si="445"/>
        <v>0</v>
      </c>
      <c r="W611" s="251"/>
      <c r="Y611" s="5636"/>
      <c r="Z611" s="5636">
        <f t="shared" si="439"/>
        <v>0</v>
      </c>
      <c r="AA611" s="5646"/>
      <c r="AB611" s="5069">
        <f t="shared" si="437"/>
        <v>0</v>
      </c>
      <c r="AC611" s="251"/>
      <c r="AE611" s="5622"/>
      <c r="AF611" s="4930">
        <f t="shared" si="446"/>
        <v>0</v>
      </c>
      <c r="AG611" s="251"/>
      <c r="AI611" s="5622"/>
      <c r="AJ611" s="4930">
        <f t="shared" si="447"/>
        <v>0</v>
      </c>
      <c r="AK611" s="251"/>
      <c r="AM611" s="5636"/>
      <c r="AN611" s="717">
        <f t="shared" si="440"/>
        <v>0</v>
      </c>
      <c r="AO611" s="5622"/>
      <c r="AP611" s="4930">
        <f t="shared" si="438"/>
        <v>0</v>
      </c>
      <c r="AQ611" s="251"/>
      <c r="AS611" s="5622"/>
      <c r="AT611" s="4930">
        <f t="shared" si="448"/>
        <v>0</v>
      </c>
      <c r="AU611" s="251"/>
      <c r="AW611" s="5622"/>
      <c r="AX611" s="4930">
        <f t="shared" si="449"/>
        <v>0</v>
      </c>
      <c r="AY611" s="251"/>
      <c r="BA611" s="5636"/>
      <c r="BB611" s="717">
        <f t="shared" si="441"/>
        <v>0</v>
      </c>
      <c r="BC611" s="5646"/>
      <c r="BD611" s="429">
        <f t="shared" si="435"/>
        <v>0</v>
      </c>
      <c r="BE611" s="5622"/>
      <c r="BF611" s="718">
        <f t="shared" si="436"/>
        <v>0</v>
      </c>
    </row>
    <row r="612" spans="1:58" ht="15" hidden="1" customHeight="1" x14ac:dyDescent="0.3">
      <c r="G612" s="251"/>
      <c r="I612" s="5622"/>
      <c r="J612" s="4930">
        <f t="shared" si="442"/>
        <v>0</v>
      </c>
      <c r="K612" s="251"/>
      <c r="M612" s="5636"/>
      <c r="N612" s="4931">
        <f t="shared" si="443"/>
        <v>0</v>
      </c>
      <c r="O612" s="251"/>
      <c r="Q612" s="5622"/>
      <c r="R612" s="4930">
        <f t="shared" si="444"/>
        <v>0</v>
      </c>
      <c r="S612" s="251"/>
      <c r="U612" s="5622"/>
      <c r="V612" s="4930">
        <f t="shared" si="445"/>
        <v>0</v>
      </c>
      <c r="W612" s="251"/>
      <c r="Y612" s="5636"/>
      <c r="Z612" s="5636">
        <f t="shared" si="439"/>
        <v>0</v>
      </c>
      <c r="AA612" s="5646"/>
      <c r="AB612" s="5069">
        <f t="shared" si="437"/>
        <v>0</v>
      </c>
      <c r="AC612" s="251"/>
      <c r="AE612" s="5622"/>
      <c r="AF612" s="4930">
        <f t="shared" si="446"/>
        <v>0</v>
      </c>
      <c r="AG612" s="251"/>
      <c r="AI612" s="5622"/>
      <c r="AJ612" s="4930">
        <f t="shared" si="447"/>
        <v>0</v>
      </c>
      <c r="AK612" s="251"/>
      <c r="AM612" s="5636"/>
      <c r="AN612" s="717">
        <f t="shared" si="440"/>
        <v>0</v>
      </c>
      <c r="AO612" s="5622"/>
      <c r="AP612" s="4930">
        <f t="shared" si="438"/>
        <v>0</v>
      </c>
      <c r="AQ612" s="251"/>
      <c r="AS612" s="5622"/>
      <c r="AT612" s="4930">
        <f t="shared" si="448"/>
        <v>0</v>
      </c>
      <c r="AU612" s="251"/>
      <c r="AW612" s="5622"/>
      <c r="AX612" s="4930">
        <f t="shared" si="449"/>
        <v>0</v>
      </c>
      <c r="AY612" s="251"/>
      <c r="BA612" s="5636"/>
      <c r="BB612" s="717">
        <f t="shared" si="441"/>
        <v>0</v>
      </c>
      <c r="BC612" s="5646"/>
      <c r="BD612" s="429">
        <f t="shared" si="435"/>
        <v>0</v>
      </c>
      <c r="BE612" s="5622"/>
      <c r="BF612" s="718">
        <f t="shared" si="436"/>
        <v>0</v>
      </c>
    </row>
    <row r="613" spans="1:58" ht="15" hidden="1" customHeight="1" x14ac:dyDescent="0.3">
      <c r="G613" s="251"/>
      <c r="I613" s="5622"/>
      <c r="J613" s="4930">
        <f t="shared" si="442"/>
        <v>0</v>
      </c>
      <c r="K613" s="251"/>
      <c r="M613" s="5636"/>
      <c r="N613" s="4931">
        <f t="shared" si="443"/>
        <v>0</v>
      </c>
      <c r="O613" s="251"/>
      <c r="Q613" s="5622"/>
      <c r="R613" s="4930">
        <f t="shared" si="444"/>
        <v>0</v>
      </c>
      <c r="S613" s="251"/>
      <c r="U613" s="5622"/>
      <c r="V613" s="4930">
        <f t="shared" si="445"/>
        <v>0</v>
      </c>
      <c r="W613" s="251"/>
      <c r="Y613" s="5636"/>
      <c r="Z613" s="5636">
        <f t="shared" si="439"/>
        <v>0</v>
      </c>
      <c r="AA613" s="5646"/>
      <c r="AB613" s="5069">
        <f t="shared" si="437"/>
        <v>0</v>
      </c>
      <c r="AC613" s="251"/>
      <c r="AE613" s="5622"/>
      <c r="AF613" s="4930">
        <f t="shared" si="446"/>
        <v>0</v>
      </c>
      <c r="AG613" s="251"/>
      <c r="AI613" s="5622"/>
      <c r="AJ613" s="4930">
        <f t="shared" si="447"/>
        <v>0</v>
      </c>
      <c r="AK613" s="251"/>
      <c r="AM613" s="5636"/>
      <c r="AN613" s="717">
        <f t="shared" si="440"/>
        <v>0</v>
      </c>
      <c r="AO613" s="5622"/>
      <c r="AP613" s="4930">
        <f t="shared" si="438"/>
        <v>0</v>
      </c>
      <c r="AQ613" s="251"/>
      <c r="AS613" s="5622"/>
      <c r="AT613" s="4930">
        <f t="shared" si="448"/>
        <v>0</v>
      </c>
      <c r="AU613" s="251"/>
      <c r="AW613" s="5622"/>
      <c r="AX613" s="4930">
        <f t="shared" si="449"/>
        <v>0</v>
      </c>
      <c r="AY613" s="251"/>
      <c r="BA613" s="5636"/>
      <c r="BB613" s="717">
        <f t="shared" si="441"/>
        <v>0</v>
      </c>
      <c r="BC613" s="5646"/>
      <c r="BD613" s="429">
        <f t="shared" si="435"/>
        <v>0</v>
      </c>
      <c r="BE613" s="5622"/>
      <c r="BF613" s="718">
        <f t="shared" si="436"/>
        <v>0</v>
      </c>
    </row>
    <row r="614" spans="1:58" ht="15" hidden="1" customHeight="1" x14ac:dyDescent="0.3">
      <c r="G614" s="251"/>
      <c r="I614" s="5622"/>
      <c r="J614" s="4930">
        <f t="shared" si="442"/>
        <v>0</v>
      </c>
      <c r="K614" s="251"/>
      <c r="M614" s="5636"/>
      <c r="N614" s="4931">
        <f t="shared" si="443"/>
        <v>0</v>
      </c>
      <c r="O614" s="251"/>
      <c r="Q614" s="5622"/>
      <c r="R614" s="4930">
        <f t="shared" si="444"/>
        <v>0</v>
      </c>
      <c r="S614" s="251"/>
      <c r="U614" s="5622"/>
      <c r="V614" s="4930">
        <f t="shared" si="445"/>
        <v>0</v>
      </c>
      <c r="W614" s="251"/>
      <c r="Y614" s="5636"/>
      <c r="Z614" s="5636">
        <f t="shared" si="439"/>
        <v>0</v>
      </c>
      <c r="AA614" s="5646"/>
      <c r="AB614" s="5069">
        <f t="shared" si="437"/>
        <v>0</v>
      </c>
      <c r="AC614" s="251"/>
      <c r="AE614" s="5622"/>
      <c r="AF614" s="4930">
        <f t="shared" si="446"/>
        <v>0</v>
      </c>
      <c r="AG614" s="251"/>
      <c r="AI614" s="5622"/>
      <c r="AJ614" s="4930">
        <f t="shared" si="447"/>
        <v>0</v>
      </c>
      <c r="AK614" s="251"/>
      <c r="AM614" s="5636"/>
      <c r="AN614" s="717">
        <f t="shared" si="440"/>
        <v>0</v>
      </c>
      <c r="AO614" s="5622"/>
      <c r="AP614" s="4930">
        <f t="shared" si="438"/>
        <v>0</v>
      </c>
      <c r="AQ614" s="251"/>
      <c r="AS614" s="5622"/>
      <c r="AT614" s="4930">
        <f t="shared" si="448"/>
        <v>0</v>
      </c>
      <c r="AU614" s="251"/>
      <c r="AW614" s="5622"/>
      <c r="AX614" s="4930">
        <f t="shared" si="449"/>
        <v>0</v>
      </c>
      <c r="AY614" s="251"/>
      <c r="BA614" s="5636"/>
      <c r="BB614" s="717">
        <f t="shared" si="441"/>
        <v>0</v>
      </c>
      <c r="BC614" s="5646"/>
      <c r="BD614" s="429">
        <f t="shared" si="435"/>
        <v>0</v>
      </c>
      <c r="BE614" s="5622"/>
      <c r="BF614" s="718">
        <f t="shared" si="436"/>
        <v>0</v>
      </c>
    </row>
    <row r="615" spans="1:58" ht="5.25" hidden="1" customHeight="1" x14ac:dyDescent="0.3">
      <c r="G615" s="251"/>
      <c r="I615" s="5622"/>
      <c r="J615" s="4930">
        <f t="shared" si="442"/>
        <v>0</v>
      </c>
      <c r="K615" s="251"/>
      <c r="M615" s="5636"/>
      <c r="N615" s="4931">
        <f t="shared" si="443"/>
        <v>0</v>
      </c>
      <c r="O615" s="251"/>
      <c r="Q615" s="5622"/>
      <c r="R615" s="4930">
        <f t="shared" si="444"/>
        <v>0</v>
      </c>
      <c r="S615" s="251"/>
      <c r="U615" s="5622"/>
      <c r="V615" s="4930">
        <f t="shared" si="445"/>
        <v>0</v>
      </c>
      <c r="W615" s="251"/>
      <c r="Y615" s="5636"/>
      <c r="Z615" s="5636">
        <f t="shared" si="439"/>
        <v>0</v>
      </c>
      <c r="AA615" s="5646"/>
      <c r="AB615" s="5069">
        <f t="shared" si="437"/>
        <v>0</v>
      </c>
      <c r="AC615" s="251"/>
      <c r="AE615" s="5622"/>
      <c r="AF615" s="4930">
        <f t="shared" si="446"/>
        <v>0</v>
      </c>
      <c r="AG615" s="251"/>
      <c r="AI615" s="5622"/>
      <c r="AJ615" s="4930">
        <f t="shared" si="447"/>
        <v>0</v>
      </c>
      <c r="AK615" s="251"/>
      <c r="AM615" s="5636"/>
      <c r="AN615" s="717">
        <f t="shared" si="440"/>
        <v>0</v>
      </c>
      <c r="AO615" s="5622"/>
      <c r="AP615" s="4930">
        <f t="shared" si="438"/>
        <v>0</v>
      </c>
      <c r="AQ615" s="251"/>
      <c r="AS615" s="5622"/>
      <c r="AT615" s="4930">
        <f t="shared" si="448"/>
        <v>0</v>
      </c>
      <c r="AU615" s="251"/>
      <c r="AW615" s="5622"/>
      <c r="AX615" s="4930">
        <f t="shared" si="449"/>
        <v>0</v>
      </c>
      <c r="AY615" s="251"/>
      <c r="BA615" s="5636"/>
      <c r="BB615" s="717">
        <f t="shared" si="441"/>
        <v>0</v>
      </c>
      <c r="BC615" s="5646"/>
      <c r="BD615" s="429">
        <f t="shared" si="435"/>
        <v>0</v>
      </c>
      <c r="BE615" s="5622"/>
      <c r="BF615" s="718">
        <f t="shared" si="436"/>
        <v>0</v>
      </c>
    </row>
    <row r="616" spans="1:58" ht="15" hidden="1" customHeight="1" x14ac:dyDescent="0.3">
      <c r="G616" s="251"/>
      <c r="I616" s="5622"/>
      <c r="J616" s="4930">
        <f t="shared" si="442"/>
        <v>0</v>
      </c>
      <c r="K616" s="251"/>
      <c r="M616" s="5636"/>
      <c r="N616" s="4931">
        <f t="shared" si="443"/>
        <v>0</v>
      </c>
      <c r="O616" s="251"/>
      <c r="Q616" s="5622"/>
      <c r="R616" s="4930">
        <f t="shared" si="444"/>
        <v>0</v>
      </c>
      <c r="S616" s="251"/>
      <c r="U616" s="5622"/>
      <c r="V616" s="4930">
        <f t="shared" si="445"/>
        <v>0</v>
      </c>
      <c r="W616" s="251"/>
      <c r="Y616" s="5636"/>
      <c r="Z616" s="5636">
        <f t="shared" si="439"/>
        <v>0</v>
      </c>
      <c r="AA616" s="5646"/>
      <c r="AB616" s="5069">
        <f t="shared" si="437"/>
        <v>0</v>
      </c>
      <c r="AC616" s="251"/>
      <c r="AE616" s="5622"/>
      <c r="AF616" s="4930">
        <f t="shared" si="446"/>
        <v>0</v>
      </c>
      <c r="AG616" s="251"/>
      <c r="AI616" s="5622"/>
      <c r="AJ616" s="4930">
        <f t="shared" si="447"/>
        <v>0</v>
      </c>
      <c r="AK616" s="251"/>
      <c r="AM616" s="5636"/>
      <c r="AN616" s="717">
        <f t="shared" si="440"/>
        <v>0</v>
      </c>
      <c r="AO616" s="5622"/>
      <c r="AP616" s="4930">
        <f t="shared" si="438"/>
        <v>0</v>
      </c>
      <c r="AQ616" s="251"/>
      <c r="AS616" s="5622"/>
      <c r="AT616" s="4930">
        <f t="shared" si="448"/>
        <v>0</v>
      </c>
      <c r="AU616" s="251"/>
      <c r="AW616" s="5622"/>
      <c r="AX616" s="4930">
        <f t="shared" si="449"/>
        <v>0</v>
      </c>
      <c r="AY616" s="251"/>
      <c r="BA616" s="5636"/>
      <c r="BB616" s="717">
        <f t="shared" si="441"/>
        <v>0</v>
      </c>
      <c r="BC616" s="5646"/>
      <c r="BD616" s="429">
        <f t="shared" si="435"/>
        <v>0</v>
      </c>
      <c r="BE616" s="5622"/>
      <c r="BF616" s="718">
        <f t="shared" si="436"/>
        <v>0</v>
      </c>
    </row>
    <row r="617" spans="1:58" ht="15" hidden="1" customHeight="1" x14ac:dyDescent="0.3">
      <c r="G617" s="251"/>
      <c r="I617" s="5622"/>
      <c r="J617" s="4930">
        <f t="shared" si="442"/>
        <v>0</v>
      </c>
      <c r="K617" s="251"/>
      <c r="M617" s="5636"/>
      <c r="N617" s="4931">
        <f t="shared" si="443"/>
        <v>0</v>
      </c>
      <c r="O617" s="251"/>
      <c r="Q617" s="5622"/>
      <c r="R617" s="4930">
        <f t="shared" si="444"/>
        <v>0</v>
      </c>
      <c r="S617" s="251"/>
      <c r="U617" s="5622"/>
      <c r="V617" s="4930">
        <f t="shared" si="445"/>
        <v>0</v>
      </c>
      <c r="W617" s="251"/>
      <c r="Y617" s="5636"/>
      <c r="Z617" s="5636">
        <f t="shared" si="439"/>
        <v>0</v>
      </c>
      <c r="AA617" s="5646"/>
      <c r="AB617" s="5069">
        <f t="shared" si="437"/>
        <v>0</v>
      </c>
      <c r="AC617" s="251"/>
      <c r="AE617" s="5622"/>
      <c r="AF617" s="4930">
        <f t="shared" si="446"/>
        <v>0</v>
      </c>
      <c r="AG617" s="251"/>
      <c r="AI617" s="5622"/>
      <c r="AJ617" s="4930">
        <f t="shared" si="447"/>
        <v>0</v>
      </c>
      <c r="AK617" s="251"/>
      <c r="AM617" s="5636"/>
      <c r="AN617" s="717">
        <f t="shared" si="440"/>
        <v>0</v>
      </c>
      <c r="AO617" s="5622"/>
      <c r="AP617" s="4930">
        <f t="shared" si="438"/>
        <v>0</v>
      </c>
      <c r="AQ617" s="251"/>
      <c r="AS617" s="5622"/>
      <c r="AT617" s="4930">
        <f t="shared" si="448"/>
        <v>0</v>
      </c>
      <c r="AU617" s="251"/>
      <c r="AW617" s="5622"/>
      <c r="AX617" s="4930">
        <f t="shared" si="449"/>
        <v>0</v>
      </c>
      <c r="AY617" s="251"/>
      <c r="BA617" s="5636"/>
      <c r="BB617" s="717">
        <f t="shared" si="441"/>
        <v>0</v>
      </c>
      <c r="BC617" s="5646"/>
      <c r="BD617" s="429">
        <f t="shared" si="435"/>
        <v>0</v>
      </c>
      <c r="BE617" s="5622"/>
      <c r="BF617" s="718">
        <f t="shared" si="436"/>
        <v>0</v>
      </c>
    </row>
    <row r="618" spans="1:58" ht="15" hidden="1" customHeight="1" x14ac:dyDescent="0.3">
      <c r="G618" s="251"/>
      <c r="I618" s="5622"/>
      <c r="J618" s="4930">
        <f t="shared" si="442"/>
        <v>0</v>
      </c>
      <c r="K618" s="251"/>
      <c r="M618" s="5636"/>
      <c r="N618" s="4931">
        <f t="shared" si="443"/>
        <v>0</v>
      </c>
      <c r="O618" s="251"/>
      <c r="Q618" s="5622"/>
      <c r="R618" s="4930">
        <f t="shared" si="444"/>
        <v>0</v>
      </c>
      <c r="S618" s="251"/>
      <c r="U618" s="5622"/>
      <c r="V618" s="4930">
        <f t="shared" si="445"/>
        <v>0</v>
      </c>
      <c r="W618" s="251"/>
      <c r="Y618" s="5636"/>
      <c r="Z618" s="5636">
        <f t="shared" si="439"/>
        <v>0</v>
      </c>
      <c r="AA618" s="5646"/>
      <c r="AB618" s="5069">
        <f t="shared" si="437"/>
        <v>0</v>
      </c>
      <c r="AC618" s="251"/>
      <c r="AE618" s="5622"/>
      <c r="AF618" s="4930">
        <f t="shared" si="446"/>
        <v>0</v>
      </c>
      <c r="AG618" s="251"/>
      <c r="AI618" s="5622"/>
      <c r="AJ618" s="4930">
        <f t="shared" si="447"/>
        <v>0</v>
      </c>
      <c r="AK618" s="251"/>
      <c r="AM618" s="5636"/>
      <c r="AN618" s="717">
        <f t="shared" si="440"/>
        <v>0</v>
      </c>
      <c r="AO618" s="5622"/>
      <c r="AP618" s="4930">
        <f t="shared" si="438"/>
        <v>0</v>
      </c>
      <c r="AQ618" s="251"/>
      <c r="AS618" s="5622"/>
      <c r="AT618" s="4930">
        <f t="shared" si="448"/>
        <v>0</v>
      </c>
      <c r="AU618" s="251"/>
      <c r="AW618" s="5622"/>
      <c r="AX618" s="4930">
        <f t="shared" si="449"/>
        <v>0</v>
      </c>
      <c r="AY618" s="251"/>
      <c r="BA618" s="5636"/>
      <c r="BB618" s="717">
        <f t="shared" si="441"/>
        <v>0</v>
      </c>
      <c r="BC618" s="5646"/>
      <c r="BD618" s="429">
        <f t="shared" si="435"/>
        <v>0</v>
      </c>
      <c r="BE618" s="5622"/>
      <c r="BF618" s="718">
        <f t="shared" si="436"/>
        <v>0</v>
      </c>
    </row>
    <row r="619" spans="1:58" ht="15" hidden="1" customHeight="1" x14ac:dyDescent="0.3">
      <c r="G619" s="251"/>
      <c r="I619" s="5622"/>
      <c r="J619" s="4930">
        <f t="shared" si="442"/>
        <v>0</v>
      </c>
      <c r="K619" s="251"/>
      <c r="M619" s="5636"/>
      <c r="N619" s="4931">
        <f t="shared" si="443"/>
        <v>0</v>
      </c>
      <c r="O619" s="251"/>
      <c r="Q619" s="5622"/>
      <c r="R619" s="4930">
        <f t="shared" si="444"/>
        <v>0</v>
      </c>
      <c r="S619" s="251"/>
      <c r="U619" s="5622"/>
      <c r="V619" s="4930">
        <f t="shared" si="445"/>
        <v>0</v>
      </c>
      <c r="W619" s="251"/>
      <c r="Y619" s="5636"/>
      <c r="Z619" s="5636">
        <f t="shared" si="439"/>
        <v>0</v>
      </c>
      <c r="AA619" s="5646"/>
      <c r="AB619" s="5069">
        <f t="shared" ref="AB619:AB629" si="450">X619+V619</f>
        <v>0</v>
      </c>
      <c r="AC619" s="251"/>
      <c r="AE619" s="5622"/>
      <c r="AF619" s="4930">
        <f t="shared" si="446"/>
        <v>0</v>
      </c>
      <c r="AG619" s="251"/>
      <c r="AI619" s="5622"/>
      <c r="AJ619" s="4930">
        <f t="shared" si="447"/>
        <v>0</v>
      </c>
      <c r="AK619" s="251"/>
      <c r="AM619" s="5636"/>
      <c r="AN619" s="717">
        <f t="shared" si="440"/>
        <v>0</v>
      </c>
      <c r="AO619" s="5622"/>
      <c r="AP619" s="4930">
        <f t="shared" ref="AP619:AP629" si="451">AL619+AJ619</f>
        <v>0</v>
      </c>
      <c r="AQ619" s="251"/>
      <c r="AS619" s="5622"/>
      <c r="AT619" s="4930">
        <f t="shared" si="448"/>
        <v>0</v>
      </c>
      <c r="AU619" s="251"/>
      <c r="AW619" s="5622"/>
      <c r="AX619" s="4930">
        <f t="shared" si="449"/>
        <v>0</v>
      </c>
      <c r="AY619" s="251"/>
      <c r="BA619" s="5636"/>
      <c r="BB619" s="717">
        <f t="shared" si="441"/>
        <v>0</v>
      </c>
      <c r="BC619" s="5646"/>
      <c r="BD619" s="429">
        <f t="shared" si="435"/>
        <v>0</v>
      </c>
      <c r="BE619" s="5622"/>
      <c r="BF619" s="718">
        <f t="shared" si="436"/>
        <v>0</v>
      </c>
    </row>
    <row r="620" spans="1:58" ht="15" hidden="1" customHeight="1" x14ac:dyDescent="0.3">
      <c r="G620" s="251"/>
      <c r="I620" s="5622"/>
      <c r="J620" s="4930">
        <f t="shared" si="442"/>
        <v>0</v>
      </c>
      <c r="K620" s="251"/>
      <c r="M620" s="5636"/>
      <c r="N620" s="4931">
        <f t="shared" si="443"/>
        <v>0</v>
      </c>
      <c r="O620" s="251"/>
      <c r="Q620" s="5622"/>
      <c r="R620" s="4930">
        <f t="shared" si="444"/>
        <v>0</v>
      </c>
      <c r="S620" s="251"/>
      <c r="U620" s="5622"/>
      <c r="V620" s="4930">
        <f t="shared" si="445"/>
        <v>0</v>
      </c>
      <c r="W620" s="251"/>
      <c r="Y620" s="5636"/>
      <c r="Z620" s="5636">
        <f t="shared" si="439"/>
        <v>0</v>
      </c>
      <c r="AA620" s="5646"/>
      <c r="AB620" s="5069">
        <f t="shared" si="450"/>
        <v>0</v>
      </c>
      <c r="AC620" s="251"/>
      <c r="AE620" s="5622"/>
      <c r="AF620" s="4930">
        <f t="shared" si="446"/>
        <v>0</v>
      </c>
      <c r="AG620" s="251"/>
      <c r="AI620" s="5622"/>
      <c r="AJ620" s="4930">
        <f t="shared" si="447"/>
        <v>0</v>
      </c>
      <c r="AK620" s="251"/>
      <c r="AM620" s="5636"/>
      <c r="AN620" s="717">
        <f t="shared" si="440"/>
        <v>0</v>
      </c>
      <c r="AO620" s="5622"/>
      <c r="AP620" s="4930">
        <f t="shared" si="451"/>
        <v>0</v>
      </c>
      <c r="AQ620" s="251"/>
      <c r="AS620" s="5622"/>
      <c r="AT620" s="4930">
        <f t="shared" si="448"/>
        <v>0</v>
      </c>
      <c r="AU620" s="251"/>
      <c r="AW620" s="5622"/>
      <c r="AX620" s="4930">
        <f t="shared" si="449"/>
        <v>0</v>
      </c>
      <c r="AY620" s="251"/>
      <c r="BA620" s="5636"/>
      <c r="BB620" s="717">
        <f t="shared" si="441"/>
        <v>0</v>
      </c>
      <c r="BC620" s="5646"/>
      <c r="BD620" s="429">
        <f t="shared" si="435"/>
        <v>0</v>
      </c>
      <c r="BE620" s="5622"/>
      <c r="BF620" s="718">
        <f t="shared" si="436"/>
        <v>0</v>
      </c>
    </row>
    <row r="621" spans="1:58" ht="15" hidden="1" customHeight="1" x14ac:dyDescent="0.3">
      <c r="G621" s="251"/>
      <c r="I621" s="5622"/>
      <c r="J621" s="4930">
        <f t="shared" si="442"/>
        <v>0</v>
      </c>
      <c r="K621" s="251"/>
      <c r="M621" s="5636"/>
      <c r="N621" s="4931">
        <f t="shared" si="443"/>
        <v>0</v>
      </c>
      <c r="O621" s="251"/>
      <c r="Q621" s="5622"/>
      <c r="R621" s="4930">
        <f t="shared" si="444"/>
        <v>0</v>
      </c>
      <c r="S621" s="251"/>
      <c r="U621" s="5622"/>
      <c r="V621" s="4930">
        <f t="shared" si="445"/>
        <v>0</v>
      </c>
      <c r="W621" s="251"/>
      <c r="Y621" s="5636"/>
      <c r="Z621" s="5636">
        <f t="shared" si="439"/>
        <v>0</v>
      </c>
      <c r="AA621" s="5646"/>
      <c r="AB621" s="5069">
        <f t="shared" si="450"/>
        <v>0</v>
      </c>
      <c r="AC621" s="251"/>
      <c r="AE621" s="5622"/>
      <c r="AF621" s="4930">
        <f t="shared" si="446"/>
        <v>0</v>
      </c>
      <c r="AG621" s="251"/>
      <c r="AI621" s="5622"/>
      <c r="AJ621" s="4930">
        <f t="shared" si="447"/>
        <v>0</v>
      </c>
      <c r="AK621" s="251"/>
      <c r="AM621" s="5636"/>
      <c r="AN621" s="717">
        <f t="shared" si="440"/>
        <v>0</v>
      </c>
      <c r="AO621" s="5622"/>
      <c r="AP621" s="4930">
        <f t="shared" si="451"/>
        <v>0</v>
      </c>
      <c r="AQ621" s="251"/>
      <c r="AS621" s="5622"/>
      <c r="AT621" s="4930">
        <f t="shared" si="448"/>
        <v>0</v>
      </c>
      <c r="AU621" s="251"/>
      <c r="AW621" s="5622"/>
      <c r="AX621" s="4930">
        <f t="shared" si="449"/>
        <v>0</v>
      </c>
      <c r="AY621" s="251"/>
      <c r="BA621" s="5636"/>
      <c r="BB621" s="717">
        <f t="shared" si="441"/>
        <v>0</v>
      </c>
      <c r="BC621" s="5646"/>
      <c r="BD621" s="429">
        <f t="shared" si="435"/>
        <v>0</v>
      </c>
      <c r="BE621" s="5622"/>
      <c r="BF621" s="718">
        <f t="shared" si="436"/>
        <v>0</v>
      </c>
    </row>
    <row r="622" spans="1:58" ht="15" hidden="1" customHeight="1" x14ac:dyDescent="0.3">
      <c r="G622" s="251"/>
      <c r="I622" s="5622"/>
      <c r="J622" s="4930">
        <f t="shared" si="442"/>
        <v>0</v>
      </c>
      <c r="K622" s="251"/>
      <c r="M622" s="5636"/>
      <c r="N622" s="4931">
        <f t="shared" si="443"/>
        <v>0</v>
      </c>
      <c r="O622" s="251"/>
      <c r="Q622" s="5622"/>
      <c r="R622" s="4930">
        <f t="shared" si="444"/>
        <v>0</v>
      </c>
      <c r="S622" s="251"/>
      <c r="U622" s="5622"/>
      <c r="V622" s="4930">
        <f t="shared" si="445"/>
        <v>0</v>
      </c>
      <c r="W622" s="251"/>
      <c r="Y622" s="5636"/>
      <c r="Z622" s="5636">
        <f t="shared" si="439"/>
        <v>0</v>
      </c>
      <c r="AA622" s="5646"/>
      <c r="AB622" s="5069">
        <f t="shared" si="450"/>
        <v>0</v>
      </c>
      <c r="AC622" s="251"/>
      <c r="AE622" s="5622"/>
      <c r="AF622" s="4930">
        <f t="shared" si="446"/>
        <v>0</v>
      </c>
      <c r="AG622" s="251"/>
      <c r="AI622" s="5622"/>
      <c r="AJ622" s="4930">
        <f t="shared" si="447"/>
        <v>0</v>
      </c>
      <c r="AK622" s="251"/>
      <c r="AM622" s="5636"/>
      <c r="AN622" s="717">
        <f t="shared" si="440"/>
        <v>0</v>
      </c>
      <c r="AO622" s="5622"/>
      <c r="AP622" s="4930">
        <f t="shared" si="451"/>
        <v>0</v>
      </c>
      <c r="AQ622" s="251"/>
      <c r="AS622" s="5622"/>
      <c r="AT622" s="4930">
        <f t="shared" si="448"/>
        <v>0</v>
      </c>
      <c r="AU622" s="251"/>
      <c r="AW622" s="5622"/>
      <c r="AX622" s="4930">
        <f t="shared" si="449"/>
        <v>0</v>
      </c>
      <c r="AY622" s="251"/>
      <c r="BA622" s="5636"/>
      <c r="BB622" s="717">
        <f t="shared" si="441"/>
        <v>0</v>
      </c>
      <c r="BC622" s="5646"/>
      <c r="BD622" s="429">
        <f t="shared" si="435"/>
        <v>0</v>
      </c>
      <c r="BE622" s="5622"/>
      <c r="BF622" s="718">
        <f t="shared" si="436"/>
        <v>0</v>
      </c>
    </row>
    <row r="623" spans="1:58" ht="15" hidden="1" customHeight="1" x14ac:dyDescent="0.3">
      <c r="G623" s="251"/>
      <c r="I623" s="5622"/>
      <c r="J623" s="4930">
        <f t="shared" si="442"/>
        <v>0</v>
      </c>
      <c r="K623" s="251"/>
      <c r="M623" s="5636"/>
      <c r="N623" s="4931">
        <f t="shared" si="443"/>
        <v>0</v>
      </c>
      <c r="O623" s="251"/>
      <c r="Q623" s="5622"/>
      <c r="R623" s="4930">
        <f t="shared" si="444"/>
        <v>0</v>
      </c>
      <c r="S623" s="251"/>
      <c r="U623" s="5622"/>
      <c r="V623" s="4930">
        <f t="shared" si="445"/>
        <v>0</v>
      </c>
      <c r="W623" s="251"/>
      <c r="Y623" s="5636"/>
      <c r="Z623" s="5636">
        <f t="shared" si="439"/>
        <v>0</v>
      </c>
      <c r="AA623" s="5646"/>
      <c r="AB623" s="5069">
        <f t="shared" si="450"/>
        <v>0</v>
      </c>
      <c r="AC623" s="251"/>
      <c r="AE623" s="5622"/>
      <c r="AF623" s="4930">
        <f t="shared" si="446"/>
        <v>0</v>
      </c>
      <c r="AG623" s="251"/>
      <c r="AI623" s="5622"/>
      <c r="AJ623" s="4930">
        <f t="shared" si="447"/>
        <v>0</v>
      </c>
      <c r="AK623" s="251"/>
      <c r="AM623" s="5636"/>
      <c r="AN623" s="717">
        <f t="shared" si="440"/>
        <v>0</v>
      </c>
      <c r="AO623" s="5622"/>
      <c r="AP623" s="4930">
        <f t="shared" si="451"/>
        <v>0</v>
      </c>
      <c r="AQ623" s="251"/>
      <c r="AS623" s="5622"/>
      <c r="AT623" s="4930">
        <f t="shared" si="448"/>
        <v>0</v>
      </c>
      <c r="AU623" s="251"/>
      <c r="AW623" s="5622"/>
      <c r="AX623" s="4930">
        <f t="shared" si="449"/>
        <v>0</v>
      </c>
      <c r="AY623" s="251"/>
      <c r="BA623" s="5636"/>
      <c r="BB623" s="717">
        <f t="shared" si="441"/>
        <v>0</v>
      </c>
      <c r="BC623" s="5646"/>
      <c r="BD623" s="429">
        <f t="shared" si="435"/>
        <v>0</v>
      </c>
      <c r="BE623" s="5622"/>
      <c r="BF623" s="718">
        <f t="shared" si="436"/>
        <v>0</v>
      </c>
    </row>
    <row r="624" spans="1:58" ht="15" hidden="1" customHeight="1" x14ac:dyDescent="0.3">
      <c r="G624" s="251"/>
      <c r="I624" s="5622"/>
      <c r="J624" s="4930">
        <f t="shared" si="442"/>
        <v>0</v>
      </c>
      <c r="K624" s="251"/>
      <c r="M624" s="5636"/>
      <c r="N624" s="4931">
        <f t="shared" si="443"/>
        <v>0</v>
      </c>
      <c r="O624" s="251"/>
      <c r="Q624" s="5622"/>
      <c r="R624" s="4930">
        <f t="shared" si="444"/>
        <v>0</v>
      </c>
      <c r="S624" s="251"/>
      <c r="U624" s="5622"/>
      <c r="V624" s="4930">
        <f t="shared" si="445"/>
        <v>0</v>
      </c>
      <c r="W624" s="251"/>
      <c r="Y624" s="5636"/>
      <c r="Z624" s="5636">
        <f t="shared" si="439"/>
        <v>0</v>
      </c>
      <c r="AA624" s="5646"/>
      <c r="AB624" s="5069">
        <f t="shared" si="450"/>
        <v>0</v>
      </c>
      <c r="AC624" s="251"/>
      <c r="AE624" s="5622"/>
      <c r="AF624" s="4930">
        <f t="shared" si="446"/>
        <v>0</v>
      </c>
      <c r="AG624" s="251"/>
      <c r="AI624" s="5622"/>
      <c r="AJ624" s="4930">
        <f t="shared" si="447"/>
        <v>0</v>
      </c>
      <c r="AK624" s="251"/>
      <c r="AM624" s="5636"/>
      <c r="AN624" s="717">
        <f t="shared" si="440"/>
        <v>0</v>
      </c>
      <c r="AO624" s="5622"/>
      <c r="AP624" s="4930">
        <f t="shared" si="451"/>
        <v>0</v>
      </c>
      <c r="AQ624" s="251"/>
      <c r="AS624" s="5622"/>
      <c r="AT624" s="4930">
        <f t="shared" si="448"/>
        <v>0</v>
      </c>
      <c r="AU624" s="251"/>
      <c r="AW624" s="5622"/>
      <c r="AX624" s="4930">
        <f t="shared" si="449"/>
        <v>0</v>
      </c>
      <c r="AY624" s="251"/>
      <c r="BA624" s="5636"/>
      <c r="BB624" s="717">
        <f t="shared" si="441"/>
        <v>0</v>
      </c>
      <c r="BC624" s="5646"/>
      <c r="BD624" s="429">
        <f t="shared" si="435"/>
        <v>0</v>
      </c>
      <c r="BE624" s="5622"/>
      <c r="BF624" s="718">
        <f t="shared" si="436"/>
        <v>0</v>
      </c>
    </row>
    <row r="625" spans="2:58" ht="15" hidden="1" customHeight="1" x14ac:dyDescent="0.3">
      <c r="G625" s="251"/>
      <c r="I625" s="5622"/>
      <c r="J625" s="4930">
        <f t="shared" si="442"/>
        <v>0</v>
      </c>
      <c r="K625" s="251"/>
      <c r="M625" s="5636"/>
      <c r="N625" s="4931">
        <f t="shared" si="443"/>
        <v>0</v>
      </c>
      <c r="O625" s="251"/>
      <c r="Q625" s="5622"/>
      <c r="R625" s="4930">
        <f t="shared" si="444"/>
        <v>0</v>
      </c>
      <c r="S625" s="251"/>
      <c r="U625" s="5622"/>
      <c r="V625" s="4930">
        <f t="shared" si="445"/>
        <v>0</v>
      </c>
      <c r="W625" s="251"/>
      <c r="Y625" s="5636"/>
      <c r="Z625" s="5636">
        <f t="shared" si="439"/>
        <v>0</v>
      </c>
      <c r="AA625" s="5646"/>
      <c r="AB625" s="5069">
        <f t="shared" si="450"/>
        <v>0</v>
      </c>
      <c r="AC625" s="251"/>
      <c r="AE625" s="5622"/>
      <c r="AF625" s="4930">
        <f t="shared" si="446"/>
        <v>0</v>
      </c>
      <c r="AG625" s="251"/>
      <c r="AI625" s="5622"/>
      <c r="AJ625" s="4930">
        <f t="shared" si="447"/>
        <v>0</v>
      </c>
      <c r="AK625" s="251"/>
      <c r="AM625" s="5636"/>
      <c r="AN625" s="717">
        <f t="shared" si="440"/>
        <v>0</v>
      </c>
      <c r="AO625" s="5622"/>
      <c r="AP625" s="4930">
        <f t="shared" si="451"/>
        <v>0</v>
      </c>
      <c r="AQ625" s="251"/>
      <c r="AS625" s="5622"/>
      <c r="AT625" s="4930">
        <f t="shared" si="448"/>
        <v>0</v>
      </c>
      <c r="AU625" s="251"/>
      <c r="AW625" s="5622"/>
      <c r="AX625" s="4930">
        <f t="shared" si="449"/>
        <v>0</v>
      </c>
      <c r="AY625" s="251"/>
      <c r="BA625" s="5636"/>
      <c r="BB625" s="717">
        <f t="shared" si="441"/>
        <v>0</v>
      </c>
      <c r="BC625" s="5646"/>
      <c r="BD625" s="429">
        <f t="shared" si="435"/>
        <v>0</v>
      </c>
      <c r="BE625" s="5622"/>
      <c r="BF625" s="718">
        <f t="shared" si="436"/>
        <v>0</v>
      </c>
    </row>
    <row r="626" spans="2:58" ht="15" hidden="1" customHeight="1" x14ac:dyDescent="0.3">
      <c r="G626" s="251"/>
      <c r="I626" s="5622"/>
      <c r="J626" s="4930">
        <f t="shared" si="442"/>
        <v>0</v>
      </c>
      <c r="K626" s="251"/>
      <c r="M626" s="5636"/>
      <c r="N626" s="4931">
        <f t="shared" si="443"/>
        <v>0</v>
      </c>
      <c r="O626" s="251"/>
      <c r="Q626" s="5622"/>
      <c r="R626" s="4930">
        <f t="shared" si="444"/>
        <v>0</v>
      </c>
      <c r="S626" s="251"/>
      <c r="U626" s="5622"/>
      <c r="V626" s="4930">
        <f t="shared" si="445"/>
        <v>0</v>
      </c>
      <c r="W626" s="251"/>
      <c r="Y626" s="5636"/>
      <c r="Z626" s="5636">
        <f t="shared" si="439"/>
        <v>0</v>
      </c>
      <c r="AA626" s="5646"/>
      <c r="AB626" s="5069">
        <f t="shared" si="450"/>
        <v>0</v>
      </c>
      <c r="AC626" s="251"/>
      <c r="AE626" s="5622"/>
      <c r="AF626" s="4930">
        <f t="shared" si="446"/>
        <v>0</v>
      </c>
      <c r="AG626" s="251"/>
      <c r="AI626" s="5622"/>
      <c r="AJ626" s="4930">
        <f t="shared" si="447"/>
        <v>0</v>
      </c>
      <c r="AK626" s="251"/>
      <c r="AM626" s="5636"/>
      <c r="AN626" s="717">
        <f t="shared" si="440"/>
        <v>0</v>
      </c>
      <c r="AO626" s="5622"/>
      <c r="AP626" s="4930">
        <f t="shared" si="451"/>
        <v>0</v>
      </c>
      <c r="AQ626" s="251"/>
      <c r="AS626" s="5622"/>
      <c r="AT626" s="4930">
        <f t="shared" si="448"/>
        <v>0</v>
      </c>
      <c r="AU626" s="251"/>
      <c r="AW626" s="5622"/>
      <c r="AX626" s="4930">
        <f t="shared" si="449"/>
        <v>0</v>
      </c>
      <c r="AY626" s="251"/>
      <c r="BA626" s="5636"/>
      <c r="BB626" s="717">
        <f t="shared" si="441"/>
        <v>0</v>
      </c>
      <c r="BC626" s="5646"/>
      <c r="BD626" s="429">
        <f t="shared" si="435"/>
        <v>0</v>
      </c>
      <c r="BE626" s="5622"/>
      <c r="BF626" s="718">
        <f t="shared" si="436"/>
        <v>0</v>
      </c>
    </row>
    <row r="627" spans="2:58" x14ac:dyDescent="0.3">
      <c r="B627" s="926" t="s">
        <v>1936</v>
      </c>
      <c r="C627" s="146"/>
      <c r="D627" s="1031"/>
      <c r="E627" s="1031"/>
      <c r="F627" s="1094"/>
      <c r="G627" s="1031"/>
      <c r="H627" s="1094"/>
      <c r="I627" s="718">
        <f>+G627+E627</f>
        <v>0</v>
      </c>
      <c r="J627" s="718">
        <f t="shared" ref="J627:J629" si="452">F627+H627</f>
        <v>0</v>
      </c>
      <c r="K627" s="1031"/>
      <c r="L627" s="1094"/>
      <c r="M627" s="717">
        <f>+K627+I627</f>
        <v>0</v>
      </c>
      <c r="N627" s="717">
        <f t="shared" si="443"/>
        <v>0</v>
      </c>
      <c r="O627" s="1031"/>
      <c r="P627" s="1094"/>
      <c r="Q627" s="718">
        <f>+O627+M627</f>
        <v>0</v>
      </c>
      <c r="R627" s="718">
        <f t="shared" si="444"/>
        <v>0</v>
      </c>
      <c r="S627" s="1031"/>
      <c r="T627" s="1094"/>
      <c r="U627" s="718">
        <f>+S627+Q627</f>
        <v>0</v>
      </c>
      <c r="V627" s="718">
        <f t="shared" si="445"/>
        <v>0</v>
      </c>
      <c r="W627" s="1031"/>
      <c r="X627" s="1094"/>
      <c r="Y627" s="346">
        <f t="shared" ref="Y627:Y629" si="453">O627+S627+W627</f>
        <v>0</v>
      </c>
      <c r="Z627" s="717">
        <f t="shared" si="439"/>
        <v>0</v>
      </c>
      <c r="AA627" s="502">
        <f t="shared" ref="AA627:AA629" si="454">+Y627+M627</f>
        <v>0</v>
      </c>
      <c r="AB627" s="429">
        <f t="shared" si="450"/>
        <v>0</v>
      </c>
      <c r="AC627" s="1031"/>
      <c r="AD627" s="1094"/>
      <c r="AE627" s="718">
        <f>+AC627+AA627</f>
        <v>0</v>
      </c>
      <c r="AF627" s="718">
        <f t="shared" si="446"/>
        <v>0</v>
      </c>
      <c r="AG627" s="1031"/>
      <c r="AH627" s="1094"/>
      <c r="AI627" s="718">
        <f>+AG627+AE627</f>
        <v>0</v>
      </c>
      <c r="AJ627" s="718">
        <f t="shared" si="447"/>
        <v>0</v>
      </c>
      <c r="AK627" s="1031"/>
      <c r="AL627" s="1094"/>
      <c r="AM627" s="346">
        <f t="shared" ref="AM627:AM629" si="455">AC627+AG627+AK627</f>
        <v>0</v>
      </c>
      <c r="AN627" s="717">
        <f t="shared" si="440"/>
        <v>0</v>
      </c>
      <c r="AO627" s="718">
        <f>+AM627+AK627</f>
        <v>0</v>
      </c>
      <c r="AP627" s="718">
        <f t="shared" si="451"/>
        <v>0</v>
      </c>
      <c r="AQ627" s="1031"/>
      <c r="AR627" s="1094"/>
      <c r="AS627" s="718">
        <f>+AQ627+AO627</f>
        <v>0</v>
      </c>
      <c r="AT627" s="718">
        <f t="shared" si="448"/>
        <v>0</v>
      </c>
      <c r="AU627" s="1031"/>
      <c r="AV627" s="1094"/>
      <c r="AW627" s="718">
        <f>+AU627+AS627</f>
        <v>0</v>
      </c>
      <c r="AX627" s="718">
        <f t="shared" si="449"/>
        <v>0</v>
      </c>
      <c r="AY627" s="1031"/>
      <c r="AZ627" s="1094"/>
      <c r="BA627" s="346">
        <f t="shared" ref="BA627:BA629" si="456">AQ627+AU627+AY627</f>
        <v>0</v>
      </c>
      <c r="BB627" s="717">
        <f t="shared" si="441"/>
        <v>0</v>
      </c>
      <c r="BC627" s="502">
        <f>+BA627+AM627</f>
        <v>0</v>
      </c>
      <c r="BD627" s="429">
        <f t="shared" si="435"/>
        <v>0</v>
      </c>
      <c r="BE627" s="718">
        <f>+BC627+AA627</f>
        <v>0</v>
      </c>
      <c r="BF627" s="718">
        <f t="shared" si="436"/>
        <v>0</v>
      </c>
    </row>
    <row r="628" spans="2:58" x14ac:dyDescent="0.3">
      <c r="B628" s="926" t="s">
        <v>1328</v>
      </c>
      <c r="C628" s="146"/>
      <c r="D628" s="1031">
        <v>150000</v>
      </c>
      <c r="E628" s="1031"/>
      <c r="F628" s="1094">
        <v>9528</v>
      </c>
      <c r="G628" s="1031"/>
      <c r="H628" s="1094">
        <v>14442</v>
      </c>
      <c r="I628" s="718">
        <f>+G628+E628</f>
        <v>0</v>
      </c>
      <c r="J628" s="718">
        <f t="shared" si="452"/>
        <v>23970</v>
      </c>
      <c r="K628" s="1031"/>
      <c r="L628" s="1094"/>
      <c r="M628" s="717">
        <f>+K628+I628</f>
        <v>0</v>
      </c>
      <c r="N628" s="717">
        <f t="shared" si="443"/>
        <v>23970</v>
      </c>
      <c r="O628" s="1031"/>
      <c r="P628" s="1094"/>
      <c r="Q628" s="718">
        <f>+O628+M628</f>
        <v>0</v>
      </c>
      <c r="R628" s="718">
        <f t="shared" si="444"/>
        <v>23970</v>
      </c>
      <c r="S628" s="1031"/>
      <c r="T628" s="1094"/>
      <c r="U628" s="718">
        <f>+S628+Q628</f>
        <v>0</v>
      </c>
      <c r="V628" s="718">
        <f t="shared" si="445"/>
        <v>23970</v>
      </c>
      <c r="W628" s="1031"/>
      <c r="X628" s="1094"/>
      <c r="Y628" s="346">
        <f t="shared" si="453"/>
        <v>0</v>
      </c>
      <c r="Z628" s="717">
        <f t="shared" si="439"/>
        <v>0</v>
      </c>
      <c r="AA628" s="502">
        <f t="shared" si="454"/>
        <v>0</v>
      </c>
      <c r="AB628" s="429">
        <f t="shared" si="450"/>
        <v>23970</v>
      </c>
      <c r="AC628" s="1031"/>
      <c r="AD628" s="1094"/>
      <c r="AE628" s="718">
        <f>+AC628+AA628</f>
        <v>0</v>
      </c>
      <c r="AF628" s="718">
        <f t="shared" si="446"/>
        <v>23970</v>
      </c>
      <c r="AG628" s="1031"/>
      <c r="AH628" s="1094"/>
      <c r="AI628" s="718">
        <f>+AG628+AE628</f>
        <v>0</v>
      </c>
      <c r="AJ628" s="718">
        <f t="shared" si="447"/>
        <v>23970</v>
      </c>
      <c r="AK628" s="1031"/>
      <c r="AL628" s="1094"/>
      <c r="AM628" s="346">
        <f t="shared" si="455"/>
        <v>0</v>
      </c>
      <c r="AN628" s="717">
        <f t="shared" si="440"/>
        <v>0</v>
      </c>
      <c r="AO628" s="718">
        <f>+AM628+AK628</f>
        <v>0</v>
      </c>
      <c r="AP628" s="718">
        <f t="shared" si="451"/>
        <v>23970</v>
      </c>
      <c r="AQ628" s="1031"/>
      <c r="AR628" s="1094"/>
      <c r="AS628" s="718">
        <f>+AQ628+AO628</f>
        <v>0</v>
      </c>
      <c r="AT628" s="718">
        <f t="shared" si="448"/>
        <v>23970</v>
      </c>
      <c r="AU628" s="1031"/>
      <c r="AV628" s="1094"/>
      <c r="AW628" s="718">
        <f>+AU628+AS628</f>
        <v>0</v>
      </c>
      <c r="AX628" s="718">
        <f t="shared" si="449"/>
        <v>23970</v>
      </c>
      <c r="AY628" s="1031"/>
      <c r="AZ628" s="1094"/>
      <c r="BA628" s="346">
        <f t="shared" si="456"/>
        <v>0</v>
      </c>
      <c r="BB628" s="717">
        <f t="shared" si="441"/>
        <v>0</v>
      </c>
      <c r="BC628" s="502">
        <f>+BA628+AM628</f>
        <v>0</v>
      </c>
      <c r="BD628" s="429">
        <f t="shared" si="435"/>
        <v>0</v>
      </c>
      <c r="BE628" s="718">
        <f>+BC628+AA628</f>
        <v>0</v>
      </c>
      <c r="BF628" s="718">
        <f t="shared" si="436"/>
        <v>23970</v>
      </c>
    </row>
    <row r="629" spans="2:58" x14ac:dyDescent="0.3">
      <c r="B629" s="926" t="s">
        <v>1329</v>
      </c>
      <c r="C629" s="146"/>
      <c r="D629" s="1031">
        <v>0</v>
      </c>
      <c r="E629" s="1031"/>
      <c r="F629" s="1094"/>
      <c r="G629" s="1031"/>
      <c r="H629" s="1094">
        <v>0</v>
      </c>
      <c r="I629" s="718">
        <f>+G629+E629</f>
        <v>0</v>
      </c>
      <c r="J629" s="718">
        <f t="shared" si="452"/>
        <v>0</v>
      </c>
      <c r="K629" s="1031"/>
      <c r="L629" s="1094"/>
      <c r="M629" s="717">
        <f>+K629+I629</f>
        <v>0</v>
      </c>
      <c r="N629" s="717">
        <f t="shared" si="443"/>
        <v>0</v>
      </c>
      <c r="O629" s="1031"/>
      <c r="P629" s="1094"/>
      <c r="Q629" s="718">
        <f>+O629+M629</f>
        <v>0</v>
      </c>
      <c r="R629" s="718">
        <f t="shared" si="444"/>
        <v>0</v>
      </c>
      <c r="S629" s="1031"/>
      <c r="T629" s="1094"/>
      <c r="U629" s="718">
        <f>+S629+Q629</f>
        <v>0</v>
      </c>
      <c r="V629" s="718">
        <f t="shared" si="445"/>
        <v>0</v>
      </c>
      <c r="W629" s="1031"/>
      <c r="X629" s="1094"/>
      <c r="Y629" s="346">
        <f t="shared" si="453"/>
        <v>0</v>
      </c>
      <c r="Z629" s="717">
        <f t="shared" si="439"/>
        <v>0</v>
      </c>
      <c r="AA629" s="502">
        <f t="shared" si="454"/>
        <v>0</v>
      </c>
      <c r="AB629" s="429">
        <f t="shared" si="450"/>
        <v>0</v>
      </c>
      <c r="AC629" s="1031"/>
      <c r="AD629" s="1094"/>
      <c r="AE629" s="718">
        <f>+AC629+AA629</f>
        <v>0</v>
      </c>
      <c r="AF629" s="718">
        <f t="shared" si="446"/>
        <v>0</v>
      </c>
      <c r="AG629" s="1031"/>
      <c r="AH629" s="1094"/>
      <c r="AI629" s="718">
        <f>+AG629+AE629</f>
        <v>0</v>
      </c>
      <c r="AJ629" s="718">
        <f t="shared" si="447"/>
        <v>0</v>
      </c>
      <c r="AK629" s="1031"/>
      <c r="AL629" s="1094"/>
      <c r="AM629" s="346">
        <f t="shared" si="455"/>
        <v>0</v>
      </c>
      <c r="AN629" s="717">
        <f t="shared" si="440"/>
        <v>0</v>
      </c>
      <c r="AO629" s="718">
        <f>+AM629+AK629</f>
        <v>0</v>
      </c>
      <c r="AP629" s="718">
        <f t="shared" si="451"/>
        <v>0</v>
      </c>
      <c r="AQ629" s="1031"/>
      <c r="AR629" s="1094"/>
      <c r="AS629" s="718">
        <f>+AQ629+AO629</f>
        <v>0</v>
      </c>
      <c r="AT629" s="718">
        <f t="shared" si="448"/>
        <v>0</v>
      </c>
      <c r="AU629" s="1031"/>
      <c r="AV629" s="1094"/>
      <c r="AW629" s="718">
        <f>+AU629+AS629</f>
        <v>0</v>
      </c>
      <c r="AX629" s="718">
        <f t="shared" si="449"/>
        <v>0</v>
      </c>
      <c r="AY629" s="1031"/>
      <c r="AZ629" s="1094"/>
      <c r="BA629" s="346">
        <f t="shared" si="456"/>
        <v>0</v>
      </c>
      <c r="BB629" s="717">
        <f t="shared" si="441"/>
        <v>0</v>
      </c>
      <c r="BC629" s="502">
        <f>+BA629+AM629</f>
        <v>0</v>
      </c>
      <c r="BD629" s="429">
        <f t="shared" si="435"/>
        <v>0</v>
      </c>
      <c r="BE629" s="718">
        <f>+BC629+AA629</f>
        <v>0</v>
      </c>
      <c r="BF629" s="718">
        <f t="shared" si="436"/>
        <v>0</v>
      </c>
    </row>
    <row r="630" spans="2:58" x14ac:dyDescent="0.3">
      <c r="E630"/>
      <c r="I630"/>
      <c r="J630"/>
      <c r="M630"/>
      <c r="N630"/>
      <c r="Q630"/>
      <c r="R630"/>
      <c r="U630"/>
      <c r="V630"/>
      <c r="Y630"/>
      <c r="Z630"/>
      <c r="AA630"/>
      <c r="AB630"/>
      <c r="AE630"/>
      <c r="AF630"/>
      <c r="AI630"/>
      <c r="AJ630"/>
      <c r="AM630"/>
      <c r="AN630"/>
      <c r="AO630"/>
      <c r="AP630"/>
      <c r="AS630"/>
      <c r="AT630"/>
      <c r="AW630"/>
      <c r="AX630"/>
      <c r="BA630"/>
      <c r="BB630"/>
      <c r="BC630"/>
      <c r="BD630"/>
      <c r="BE630"/>
      <c r="BF630"/>
    </row>
    <row r="631" spans="2:58" x14ac:dyDescent="0.3">
      <c r="E631"/>
      <c r="I631"/>
      <c r="J631"/>
      <c r="M631"/>
      <c r="N631"/>
      <c r="Q631"/>
      <c r="R631"/>
      <c r="U631"/>
      <c r="V631"/>
      <c r="Y631"/>
      <c r="Z631"/>
      <c r="AA631"/>
      <c r="AB631"/>
      <c r="AE631"/>
      <c r="AF631"/>
      <c r="AI631"/>
      <c r="AJ631"/>
      <c r="AM631"/>
      <c r="AN631"/>
      <c r="AO631"/>
      <c r="AP631"/>
      <c r="AS631"/>
      <c r="AT631"/>
      <c r="AW631"/>
      <c r="AX631"/>
      <c r="BA631"/>
      <c r="BB631"/>
      <c r="BC631"/>
      <c r="BD631"/>
      <c r="BE631"/>
      <c r="BF631"/>
    </row>
    <row r="632" spans="2:58" x14ac:dyDescent="0.3">
      <c r="E632"/>
      <c r="I632"/>
      <c r="J632"/>
      <c r="M632"/>
      <c r="N632"/>
      <c r="Q632"/>
      <c r="R632"/>
      <c r="U632"/>
      <c r="V632"/>
      <c r="Y632"/>
      <c r="Z632"/>
      <c r="AA632"/>
      <c r="AB632"/>
      <c r="AE632"/>
      <c r="AF632"/>
      <c r="AI632"/>
      <c r="AJ632"/>
      <c r="AM632"/>
      <c r="AN632"/>
      <c r="AO632"/>
      <c r="AP632"/>
      <c r="AS632"/>
      <c r="AT632"/>
      <c r="AW632"/>
      <c r="AX632"/>
      <c r="BA632"/>
      <c r="BB632"/>
      <c r="BC632"/>
      <c r="BD632"/>
      <c r="BE632"/>
      <c r="BF632"/>
    </row>
    <row r="633" spans="2:58" x14ac:dyDescent="0.3">
      <c r="E633"/>
      <c r="I633"/>
      <c r="J633"/>
      <c r="M633"/>
      <c r="N633"/>
      <c r="Q633"/>
      <c r="R633"/>
      <c r="U633"/>
      <c r="V633"/>
      <c r="Y633"/>
      <c r="Z633"/>
      <c r="AA633"/>
      <c r="AB633"/>
      <c r="AE633"/>
      <c r="AF633"/>
      <c r="AI633"/>
      <c r="AJ633"/>
      <c r="AM633"/>
      <c r="AN633"/>
      <c r="AO633"/>
      <c r="AP633"/>
      <c r="AS633"/>
      <c r="AT633"/>
      <c r="AW633"/>
      <c r="AX633"/>
      <c r="BA633"/>
      <c r="BB633"/>
      <c r="BC633"/>
      <c r="BD633"/>
      <c r="BE633"/>
      <c r="BF633"/>
    </row>
    <row r="634" spans="2:58" x14ac:dyDescent="0.3">
      <c r="E634"/>
      <c r="I634"/>
      <c r="J634"/>
      <c r="M634"/>
      <c r="N634"/>
      <c r="Q634"/>
      <c r="R634"/>
      <c r="U634"/>
      <c r="V634"/>
      <c r="Y634"/>
      <c r="Z634"/>
      <c r="AA634"/>
      <c r="AB634"/>
      <c r="AE634"/>
      <c r="AF634"/>
      <c r="AI634"/>
      <c r="AJ634"/>
      <c r="AM634"/>
      <c r="AN634"/>
      <c r="AO634"/>
      <c r="AP634"/>
      <c r="AS634"/>
      <c r="AT634"/>
      <c r="AW634"/>
      <c r="AX634"/>
      <c r="BA634"/>
      <c r="BB634"/>
      <c r="BC634"/>
      <c r="BD634"/>
      <c r="BE634"/>
      <c r="BF634"/>
    </row>
    <row r="635" spans="2:58" x14ac:dyDescent="0.3">
      <c r="E635"/>
      <c r="I635"/>
      <c r="J635"/>
      <c r="M635"/>
      <c r="N635"/>
      <c r="Q635"/>
      <c r="R635"/>
      <c r="U635"/>
      <c r="V635"/>
      <c r="Y635"/>
      <c r="Z635"/>
      <c r="AA635"/>
      <c r="AB635"/>
      <c r="AE635"/>
      <c r="AF635"/>
      <c r="AI635"/>
      <c r="AJ635"/>
      <c r="AM635"/>
      <c r="AN635"/>
      <c r="AO635"/>
      <c r="AP635"/>
      <c r="AS635"/>
      <c r="AT635"/>
      <c r="AW635"/>
      <c r="AX635"/>
      <c r="BA635"/>
      <c r="BB635"/>
      <c r="BC635"/>
      <c r="BD635"/>
      <c r="BE635"/>
      <c r="BF635"/>
    </row>
    <row r="636" spans="2:58" x14ac:dyDescent="0.3">
      <c r="E636"/>
      <c r="I636"/>
      <c r="J636"/>
      <c r="M636"/>
      <c r="N636"/>
      <c r="Q636"/>
      <c r="R636"/>
      <c r="U636"/>
      <c r="V636"/>
      <c r="Y636"/>
      <c r="Z636"/>
      <c r="AA636"/>
      <c r="AB636"/>
      <c r="AE636"/>
      <c r="AF636"/>
      <c r="AI636"/>
      <c r="AJ636"/>
      <c r="AM636"/>
      <c r="AN636"/>
      <c r="AO636"/>
      <c r="AP636"/>
      <c r="AS636"/>
      <c r="AT636"/>
      <c r="AW636"/>
      <c r="AX636"/>
      <c r="BA636"/>
      <c r="BB636"/>
      <c r="BC636"/>
      <c r="BD636"/>
      <c r="BE636"/>
      <c r="BF636"/>
    </row>
    <row r="637" spans="2:58" x14ac:dyDescent="0.3">
      <c r="E637"/>
      <c r="I637"/>
      <c r="J637"/>
      <c r="M637"/>
      <c r="N637"/>
      <c r="Q637"/>
      <c r="R637"/>
      <c r="U637"/>
      <c r="V637"/>
      <c r="Y637"/>
      <c r="Z637"/>
      <c r="AA637"/>
      <c r="AB637"/>
      <c r="AE637"/>
      <c r="AF637"/>
      <c r="AI637"/>
      <c r="AJ637"/>
      <c r="AM637"/>
      <c r="AN637"/>
      <c r="AO637"/>
      <c r="AP637"/>
      <c r="AS637"/>
      <c r="AT637"/>
      <c r="AW637"/>
      <c r="AX637"/>
      <c r="BA637"/>
      <c r="BB637"/>
      <c r="BC637"/>
      <c r="BD637"/>
      <c r="BE637"/>
      <c r="BF637"/>
    </row>
    <row r="638" spans="2:58" x14ac:dyDescent="0.3">
      <c r="E638"/>
      <c r="I638"/>
      <c r="J638"/>
      <c r="M638"/>
      <c r="N638"/>
      <c r="Q638"/>
      <c r="R638"/>
      <c r="U638"/>
      <c r="V638"/>
      <c r="Y638"/>
      <c r="Z638"/>
      <c r="AA638"/>
      <c r="AB638"/>
      <c r="AE638"/>
      <c r="AF638"/>
      <c r="AI638"/>
      <c r="AJ638"/>
      <c r="AM638"/>
      <c r="AN638"/>
      <c r="AO638"/>
      <c r="AP638"/>
      <c r="AS638"/>
      <c r="AT638"/>
      <c r="AW638"/>
      <c r="AX638"/>
      <c r="BA638"/>
      <c r="BB638"/>
      <c r="BC638"/>
      <c r="BD638"/>
      <c r="BE638"/>
      <c r="BF638"/>
    </row>
    <row r="639" spans="2:58" x14ac:dyDescent="0.3">
      <c r="E639"/>
      <c r="I639"/>
      <c r="J639"/>
      <c r="M639"/>
      <c r="N639"/>
      <c r="Q639"/>
      <c r="R639"/>
      <c r="U639"/>
      <c r="V639"/>
      <c r="Y639"/>
      <c r="Z639"/>
      <c r="AA639"/>
      <c r="AB639"/>
      <c r="AE639"/>
      <c r="AF639"/>
      <c r="AI639"/>
      <c r="AJ639"/>
      <c r="AM639"/>
      <c r="AN639"/>
      <c r="AO639"/>
      <c r="AP639"/>
      <c r="AS639"/>
      <c r="AT639"/>
      <c r="AW639"/>
      <c r="AX639"/>
      <c r="BA639"/>
      <c r="BB639"/>
      <c r="BC639"/>
      <c r="BD639"/>
      <c r="BE639"/>
      <c r="BF639"/>
    </row>
    <row r="640" spans="2:58" x14ac:dyDescent="0.3">
      <c r="E640"/>
      <c r="I640"/>
      <c r="J640"/>
      <c r="M640"/>
      <c r="N640"/>
      <c r="Q640"/>
      <c r="R640"/>
      <c r="U640"/>
      <c r="V640"/>
      <c r="Y640"/>
      <c r="Z640"/>
      <c r="AA640"/>
      <c r="AB640"/>
      <c r="AE640"/>
      <c r="AF640"/>
      <c r="AI640"/>
      <c r="AJ640"/>
      <c r="AM640"/>
      <c r="AN640"/>
      <c r="AO640"/>
      <c r="AP640"/>
      <c r="AS640"/>
      <c r="AT640"/>
      <c r="AW640"/>
      <c r="AX640"/>
      <c r="BA640"/>
      <c r="BB640"/>
      <c r="BC640"/>
      <c r="BD640"/>
      <c r="BE640"/>
      <c r="BF640"/>
    </row>
    <row r="641" customFormat="1" x14ac:dyDescent="0.3"/>
    <row r="642" customFormat="1" x14ac:dyDescent="0.3"/>
    <row r="643" customFormat="1" x14ac:dyDescent="0.3"/>
    <row r="644" customFormat="1" x14ac:dyDescent="0.3"/>
    <row r="645" customFormat="1" x14ac:dyDescent="0.3"/>
    <row r="646" customFormat="1" x14ac:dyDescent="0.3"/>
    <row r="647" customFormat="1" x14ac:dyDescent="0.3"/>
    <row r="648" customFormat="1" x14ac:dyDescent="0.3"/>
    <row r="649" customFormat="1" x14ac:dyDescent="0.3"/>
    <row r="650" customFormat="1" x14ac:dyDescent="0.3"/>
    <row r="651" customFormat="1" x14ac:dyDescent="0.3"/>
    <row r="652" customFormat="1" x14ac:dyDescent="0.3"/>
    <row r="653" customFormat="1" x14ac:dyDescent="0.3"/>
    <row r="654" customFormat="1" x14ac:dyDescent="0.3"/>
    <row r="655" customFormat="1" x14ac:dyDescent="0.3"/>
    <row r="656" customFormat="1" x14ac:dyDescent="0.3"/>
    <row r="657" spans="5:40" customFormat="1" x14ac:dyDescent="0.3"/>
    <row r="658" spans="5:40" customFormat="1" x14ac:dyDescent="0.3"/>
    <row r="659" spans="5:40" customFormat="1" x14ac:dyDescent="0.3"/>
    <row r="660" spans="5:40" customFormat="1" x14ac:dyDescent="0.3"/>
    <row r="661" spans="5:40" customFormat="1" x14ac:dyDescent="0.3"/>
    <row r="662" spans="5:40" customFormat="1" x14ac:dyDescent="0.3"/>
    <row r="663" spans="5:40" customFormat="1" x14ac:dyDescent="0.3"/>
    <row r="664" spans="5:40" customFormat="1" x14ac:dyDescent="0.3"/>
    <row r="665" spans="5:40" customFormat="1" x14ac:dyDescent="0.3"/>
    <row r="666" spans="5:40" customFormat="1" x14ac:dyDescent="0.3"/>
    <row r="667" spans="5:40" customFormat="1" x14ac:dyDescent="0.3"/>
    <row r="668" spans="5:40" customFormat="1" x14ac:dyDescent="0.3"/>
    <row r="669" spans="5:40" customFormat="1" x14ac:dyDescent="0.3"/>
    <row r="670" spans="5:40" customFormat="1" x14ac:dyDescent="0.3">
      <c r="E670" s="251"/>
      <c r="M670" s="3816"/>
      <c r="N670" s="3816"/>
      <c r="Z670" s="3816"/>
      <c r="AA670" s="417"/>
      <c r="AB670" s="417"/>
      <c r="AN670" s="3816"/>
    </row>
    <row r="671" spans="5:40" customFormat="1" x14ac:dyDescent="0.3">
      <c r="E671" s="251"/>
      <c r="M671" s="3816"/>
      <c r="N671" s="3816"/>
      <c r="Z671" s="3816"/>
      <c r="AA671" s="417"/>
      <c r="AB671" s="417"/>
      <c r="AN671" s="3816"/>
    </row>
    <row r="672" spans="5:40" customFormat="1" x14ac:dyDescent="0.3">
      <c r="E672" s="251"/>
      <c r="M672" s="3816"/>
      <c r="N672" s="3816"/>
      <c r="Z672" s="3816"/>
      <c r="AA672" s="417"/>
      <c r="AB672" s="417"/>
      <c r="AN672" s="3816"/>
    </row>
  </sheetData>
  <mergeCells count="754">
    <mergeCell ref="AG89:AG91"/>
    <mergeCell ref="AI89:AI91"/>
    <mergeCell ref="AG93:AG95"/>
    <mergeCell ref="AI93:AI95"/>
    <mergeCell ref="AG97:AG99"/>
    <mergeCell ref="AI97:AI99"/>
    <mergeCell ref="AG336:AG444"/>
    <mergeCell ref="AU42:AU43"/>
    <mergeCell ref="AW42:AW43"/>
    <mergeCell ref="AU50:AU51"/>
    <mergeCell ref="AW50:AW51"/>
    <mergeCell ref="AU63:AU64"/>
    <mergeCell ref="AW63:AW64"/>
    <mergeCell ref="AU81:AU83"/>
    <mergeCell ref="AW81:AW83"/>
    <mergeCell ref="AU85:AU87"/>
    <mergeCell ref="AW85:AW87"/>
    <mergeCell ref="AU3:AV3"/>
    <mergeCell ref="AW3:AX3"/>
    <mergeCell ref="AU7:AU8"/>
    <mergeCell ref="AW7:AW8"/>
    <mergeCell ref="AU15:AU16"/>
    <mergeCell ref="AW15:AW16"/>
    <mergeCell ref="AU23:AU24"/>
    <mergeCell ref="AW23:AW24"/>
    <mergeCell ref="AU31:AU32"/>
    <mergeCell ref="AW31:AW32"/>
    <mergeCell ref="AU10:AU12"/>
    <mergeCell ref="AU18:AU20"/>
    <mergeCell ref="AU26:AU28"/>
    <mergeCell ref="AW10:AW12"/>
    <mergeCell ref="AW18:AW20"/>
    <mergeCell ref="AW26:AW28"/>
    <mergeCell ref="AS42:AS43"/>
    <mergeCell ref="AQ50:AQ51"/>
    <mergeCell ref="AS50:AS51"/>
    <mergeCell ref="AQ63:AQ64"/>
    <mergeCell ref="AS63:AS64"/>
    <mergeCell ref="AQ81:AQ83"/>
    <mergeCell ref="AS81:AS83"/>
    <mergeCell ref="AQ85:AQ87"/>
    <mergeCell ref="AS85:AS87"/>
    <mergeCell ref="AI50:AI51"/>
    <mergeCell ref="AG63:AG64"/>
    <mergeCell ref="AI63:AI64"/>
    <mergeCell ref="AG81:AG83"/>
    <mergeCell ref="AI81:AI83"/>
    <mergeCell ref="AG85:AG87"/>
    <mergeCell ref="AI85:AI87"/>
    <mergeCell ref="AQ3:AR3"/>
    <mergeCell ref="AS3:AT3"/>
    <mergeCell ref="AQ7:AQ8"/>
    <mergeCell ref="AS7:AS8"/>
    <mergeCell ref="AQ15:AQ16"/>
    <mergeCell ref="AS15:AS16"/>
    <mergeCell ref="AQ23:AQ24"/>
    <mergeCell ref="AS23:AS24"/>
    <mergeCell ref="AQ31:AQ32"/>
    <mergeCell ref="AS31:AS32"/>
    <mergeCell ref="AQ10:AQ12"/>
    <mergeCell ref="AQ18:AQ20"/>
    <mergeCell ref="AQ26:AQ28"/>
    <mergeCell ref="AS10:AS12"/>
    <mergeCell ref="AS18:AS20"/>
    <mergeCell ref="AS26:AS28"/>
    <mergeCell ref="AQ42:AQ43"/>
    <mergeCell ref="AC97:AC99"/>
    <mergeCell ref="AE97:AE99"/>
    <mergeCell ref="AC336:AC444"/>
    <mergeCell ref="AE336:AE444"/>
    <mergeCell ref="AG3:AH3"/>
    <mergeCell ref="AI3:AJ3"/>
    <mergeCell ref="AG7:AG8"/>
    <mergeCell ref="AI7:AI8"/>
    <mergeCell ref="AG15:AG16"/>
    <mergeCell ref="AI15:AI16"/>
    <mergeCell ref="AG23:AG24"/>
    <mergeCell ref="AI23:AI24"/>
    <mergeCell ref="AG31:AG32"/>
    <mergeCell ref="AI31:AI32"/>
    <mergeCell ref="AG10:AG12"/>
    <mergeCell ref="AG18:AG20"/>
    <mergeCell ref="AG26:AG28"/>
    <mergeCell ref="AI10:AI12"/>
    <mergeCell ref="AI18:AI20"/>
    <mergeCell ref="AI26:AI28"/>
    <mergeCell ref="AI336:AI444"/>
    <mergeCell ref="AG42:AG43"/>
    <mergeCell ref="AI42:AI43"/>
    <mergeCell ref="AG50:AG51"/>
    <mergeCell ref="AC63:AC64"/>
    <mergeCell ref="AE63:AE64"/>
    <mergeCell ref="AC81:AC83"/>
    <mergeCell ref="AE81:AE83"/>
    <mergeCell ref="AC85:AC87"/>
    <mergeCell ref="AE85:AE87"/>
    <mergeCell ref="AC89:AC91"/>
    <mergeCell ref="AE89:AE91"/>
    <mergeCell ref="AC93:AC95"/>
    <mergeCell ref="AE93:AE95"/>
    <mergeCell ref="AC3:AD3"/>
    <mergeCell ref="AE3:AF3"/>
    <mergeCell ref="AC7:AC8"/>
    <mergeCell ref="AE7:AE8"/>
    <mergeCell ref="AC15:AC16"/>
    <mergeCell ref="AE15:AE16"/>
    <mergeCell ref="AC23:AC24"/>
    <mergeCell ref="AE23:AE24"/>
    <mergeCell ref="AC31:AC32"/>
    <mergeCell ref="AE31:AE32"/>
    <mergeCell ref="AC10:AC12"/>
    <mergeCell ref="AC18:AC20"/>
    <mergeCell ref="AC26:AC28"/>
    <mergeCell ref="AE10:AE12"/>
    <mergeCell ref="AE18:AE20"/>
    <mergeCell ref="AE26:AE28"/>
    <mergeCell ref="W336:W444"/>
    <mergeCell ref="Y336:Y444"/>
    <mergeCell ref="Y102:Y259"/>
    <mergeCell ref="AA85:AA87"/>
    <mergeCell ref="AA89:AA91"/>
    <mergeCell ref="AA93:AA95"/>
    <mergeCell ref="AA97:AA99"/>
    <mergeCell ref="AA336:AA444"/>
    <mergeCell ref="AA3:AB3"/>
    <mergeCell ref="AA7:AA8"/>
    <mergeCell ref="AA15:AA16"/>
    <mergeCell ref="AA23:AA24"/>
    <mergeCell ref="AA31:AA32"/>
    <mergeCell ref="AA42:AA43"/>
    <mergeCell ref="AA50:AA51"/>
    <mergeCell ref="AA63:AA64"/>
    <mergeCell ref="AA81:AA83"/>
    <mergeCell ref="AA10:AA12"/>
    <mergeCell ref="AA18:AA20"/>
    <mergeCell ref="AA26:AA28"/>
    <mergeCell ref="Y26:Y28"/>
    <mergeCell ref="Z26:Z28"/>
    <mergeCell ref="Z31:Z32"/>
    <mergeCell ref="W42:W43"/>
    <mergeCell ref="Y42:Y43"/>
    <mergeCell ref="W50:W51"/>
    <mergeCell ref="Y50:Y51"/>
    <mergeCell ref="W63:W64"/>
    <mergeCell ref="Y63:Y64"/>
    <mergeCell ref="K447:K459"/>
    <mergeCell ref="M287:M326"/>
    <mergeCell ref="M329:M332"/>
    <mergeCell ref="M447:M459"/>
    <mergeCell ref="W3:X3"/>
    <mergeCell ref="Y3:Z3"/>
    <mergeCell ref="W7:W8"/>
    <mergeCell ref="Y7:Y8"/>
    <mergeCell ref="W15:W16"/>
    <mergeCell ref="Y15:Y16"/>
    <mergeCell ref="W23:W24"/>
    <mergeCell ref="Y23:Y24"/>
    <mergeCell ref="W31:W32"/>
    <mergeCell ref="Y31:Y32"/>
    <mergeCell ref="W10:W12"/>
    <mergeCell ref="W18:W20"/>
    <mergeCell ref="W26:W28"/>
    <mergeCell ref="Z7:Z8"/>
    <mergeCell ref="Y10:Y12"/>
    <mergeCell ref="Z10:Z12"/>
    <mergeCell ref="Z15:Z16"/>
    <mergeCell ref="Y18:Y20"/>
    <mergeCell ref="Z18:Z20"/>
    <mergeCell ref="Z23:Z24"/>
    <mergeCell ref="K336:K444"/>
    <mergeCell ref="M336:M444"/>
    <mergeCell ref="K50:K51"/>
    <mergeCell ref="M50:M51"/>
    <mergeCell ref="K63:K64"/>
    <mergeCell ref="M63:M64"/>
    <mergeCell ref="K81:K83"/>
    <mergeCell ref="M81:M83"/>
    <mergeCell ref="K85:K87"/>
    <mergeCell ref="M85:M87"/>
    <mergeCell ref="K89:K91"/>
    <mergeCell ref="M89:M91"/>
    <mergeCell ref="K287:K326"/>
    <mergeCell ref="K329:K332"/>
    <mergeCell ref="M3:N3"/>
    <mergeCell ref="K7:K8"/>
    <mergeCell ref="M7:M8"/>
    <mergeCell ref="K15:K16"/>
    <mergeCell ref="M15:M16"/>
    <mergeCell ref="K23:K24"/>
    <mergeCell ref="M23:M24"/>
    <mergeCell ref="K31:K32"/>
    <mergeCell ref="M31:M32"/>
    <mergeCell ref="D42:D43"/>
    <mergeCell ref="E7:E8"/>
    <mergeCell ref="E15:E16"/>
    <mergeCell ref="E23:E24"/>
    <mergeCell ref="I50:I51"/>
    <mergeCell ref="I63:I64"/>
    <mergeCell ref="I81:I83"/>
    <mergeCell ref="I85:I87"/>
    <mergeCell ref="K3:L3"/>
    <mergeCell ref="K42:K43"/>
    <mergeCell ref="I42:I43"/>
    <mergeCell ref="G15:G16"/>
    <mergeCell ref="G23:G24"/>
    <mergeCell ref="G31:G32"/>
    <mergeCell ref="A527:A534"/>
    <mergeCell ref="B538:B541"/>
    <mergeCell ref="D93:D95"/>
    <mergeCell ref="D97:D99"/>
    <mergeCell ref="B546:B549"/>
    <mergeCell ref="E336:E444"/>
    <mergeCell ref="B550:B553"/>
    <mergeCell ref="B542:B545"/>
    <mergeCell ref="E3:F3"/>
    <mergeCell ref="D3:D4"/>
    <mergeCell ref="E81:E83"/>
    <mergeCell ref="E89:E91"/>
    <mergeCell ref="E97:E99"/>
    <mergeCell ref="D50:D51"/>
    <mergeCell ref="D63:D64"/>
    <mergeCell ref="D81:D83"/>
    <mergeCell ref="B3:B4"/>
    <mergeCell ref="C3:C4"/>
    <mergeCell ref="D85:D87"/>
    <mergeCell ref="D89:D91"/>
    <mergeCell ref="D7:D8"/>
    <mergeCell ref="D15:D16"/>
    <mergeCell ref="D23:D24"/>
    <mergeCell ref="D31:D32"/>
    <mergeCell ref="G42:G43"/>
    <mergeCell ref="G50:G51"/>
    <mergeCell ref="G63:G64"/>
    <mergeCell ref="G1:H1"/>
    <mergeCell ref="I89:I91"/>
    <mergeCell ref="I93:I95"/>
    <mergeCell ref="I97:I99"/>
    <mergeCell ref="I336:I444"/>
    <mergeCell ref="I3:J3"/>
    <mergeCell ref="I7:I8"/>
    <mergeCell ref="I15:I16"/>
    <mergeCell ref="I23:I24"/>
    <mergeCell ref="I31:I32"/>
    <mergeCell ref="G89:G91"/>
    <mergeCell ref="G93:G95"/>
    <mergeCell ref="G97:G99"/>
    <mergeCell ref="G336:G444"/>
    <mergeCell ref="G3:H3"/>
    <mergeCell ref="G7:G8"/>
    <mergeCell ref="G81:G83"/>
    <mergeCell ref="G85:G87"/>
    <mergeCell ref="I10:I12"/>
    <mergeCell ref="I18:I20"/>
    <mergeCell ref="I26:I28"/>
    <mergeCell ref="O3:P3"/>
    <mergeCell ref="O7:O8"/>
    <mergeCell ref="O15:O16"/>
    <mergeCell ref="O23:O24"/>
    <mergeCell ref="O31:O32"/>
    <mergeCell ref="O10:O12"/>
    <mergeCell ref="O18:O20"/>
    <mergeCell ref="O26:O28"/>
    <mergeCell ref="O34:O36"/>
    <mergeCell ref="O447:O459"/>
    <mergeCell ref="Q102:Q259"/>
    <mergeCell ref="Q262:Q283"/>
    <mergeCell ref="Q287:Q326"/>
    <mergeCell ref="Q329:Q332"/>
    <mergeCell ref="Q447:Q459"/>
    <mergeCell ref="O42:O43"/>
    <mergeCell ref="O50:O51"/>
    <mergeCell ref="O63:O64"/>
    <mergeCell ref="O81:O83"/>
    <mergeCell ref="O85:O87"/>
    <mergeCell ref="O45:O47"/>
    <mergeCell ref="O53:O55"/>
    <mergeCell ref="O66:O68"/>
    <mergeCell ref="O89:O91"/>
    <mergeCell ref="O93:O95"/>
    <mergeCell ref="O97:O99"/>
    <mergeCell ref="O336:O444"/>
    <mergeCell ref="Q89:Q91"/>
    <mergeCell ref="Q93:Q95"/>
    <mergeCell ref="Q97:Q99"/>
    <mergeCell ref="Q336:Q444"/>
    <mergeCell ref="O102:O259"/>
    <mergeCell ref="O262:O283"/>
    <mergeCell ref="O287:O326"/>
    <mergeCell ref="O329:O332"/>
    <mergeCell ref="Q42:Q43"/>
    <mergeCell ref="Q50:Q51"/>
    <mergeCell ref="Q63:Q64"/>
    <mergeCell ref="Q81:Q83"/>
    <mergeCell ref="Q85:Q87"/>
    <mergeCell ref="Q3:R3"/>
    <mergeCell ref="Q7:Q8"/>
    <mergeCell ref="Q15:Q16"/>
    <mergeCell ref="Q23:Q24"/>
    <mergeCell ref="Q31:Q32"/>
    <mergeCell ref="Q10:Q12"/>
    <mergeCell ref="Q18:Q20"/>
    <mergeCell ref="Q26:Q28"/>
    <mergeCell ref="Q34:Q36"/>
    <mergeCell ref="Q45:Q47"/>
    <mergeCell ref="Q53:Q55"/>
    <mergeCell ref="Q66:Q68"/>
    <mergeCell ref="S3:T3"/>
    <mergeCell ref="U3:V3"/>
    <mergeCell ref="S7:S8"/>
    <mergeCell ref="U7:U8"/>
    <mergeCell ref="S15:S16"/>
    <mergeCell ref="U15:U16"/>
    <mergeCell ref="S23:S24"/>
    <mergeCell ref="U23:U24"/>
    <mergeCell ref="S31:S32"/>
    <mergeCell ref="U31:U32"/>
    <mergeCell ref="S10:S12"/>
    <mergeCell ref="S18:S20"/>
    <mergeCell ref="S26:S28"/>
    <mergeCell ref="U10:U12"/>
    <mergeCell ref="U18:U20"/>
    <mergeCell ref="U26:U28"/>
    <mergeCell ref="AK3:AL3"/>
    <mergeCell ref="AM3:AN3"/>
    <mergeCell ref="AK7:AK8"/>
    <mergeCell ref="AM7:AM8"/>
    <mergeCell ref="AK15:AK16"/>
    <mergeCell ref="AM15:AM16"/>
    <mergeCell ref="AK23:AK24"/>
    <mergeCell ref="AM23:AM24"/>
    <mergeCell ref="AK31:AK32"/>
    <mergeCell ref="AM31:AM32"/>
    <mergeCell ref="AK10:AK12"/>
    <mergeCell ref="AK18:AK20"/>
    <mergeCell ref="AK26:AK28"/>
    <mergeCell ref="AO3:AP3"/>
    <mergeCell ref="AO7:AO8"/>
    <mergeCell ref="AO15:AO16"/>
    <mergeCell ref="AO23:AO24"/>
    <mergeCell ref="AO31:AO32"/>
    <mergeCell ref="AO42:AO43"/>
    <mergeCell ref="AO50:AO51"/>
    <mergeCell ref="AO63:AO64"/>
    <mergeCell ref="AO81:AO83"/>
    <mergeCell ref="AO10:AO12"/>
    <mergeCell ref="AO18:AO20"/>
    <mergeCell ref="AO26:AO28"/>
    <mergeCell ref="AO34:AO36"/>
    <mergeCell ref="AO45:AO47"/>
    <mergeCell ref="AO53:AO55"/>
    <mergeCell ref="AO66:AO68"/>
    <mergeCell ref="AY3:AZ3"/>
    <mergeCell ref="BE3:BF3"/>
    <mergeCell ref="AY7:AY8"/>
    <mergeCell ref="BE7:BE8"/>
    <mergeCell ref="AY15:AY16"/>
    <mergeCell ref="BE15:BE16"/>
    <mergeCell ref="AY23:AY24"/>
    <mergeCell ref="BE23:BE24"/>
    <mergeCell ref="AY31:AY32"/>
    <mergeCell ref="BE31:BE32"/>
    <mergeCell ref="AY10:AY12"/>
    <mergeCell ref="AY18:AY20"/>
    <mergeCell ref="AY26:AY28"/>
    <mergeCell ref="BA10:BA12"/>
    <mergeCell ref="BA18:BA20"/>
    <mergeCell ref="BA26:BA28"/>
    <mergeCell ref="BE10:BE12"/>
    <mergeCell ref="BE18:BE20"/>
    <mergeCell ref="BE26:BE28"/>
    <mergeCell ref="BE42:BE43"/>
    <mergeCell ref="AY50:AY51"/>
    <mergeCell ref="BE50:BE51"/>
    <mergeCell ref="AY63:AY64"/>
    <mergeCell ref="BE63:BE64"/>
    <mergeCell ref="AY81:AY83"/>
    <mergeCell ref="BE81:BE83"/>
    <mergeCell ref="AY85:AY87"/>
    <mergeCell ref="BE85:BE87"/>
    <mergeCell ref="BA81:BA83"/>
    <mergeCell ref="BC81:BC83"/>
    <mergeCell ref="BA85:BA87"/>
    <mergeCell ref="BC85:BC87"/>
    <mergeCell ref="BE89:BE91"/>
    <mergeCell ref="AY93:AY95"/>
    <mergeCell ref="BE93:BE95"/>
    <mergeCell ref="AY97:AY99"/>
    <mergeCell ref="BE97:BE99"/>
    <mergeCell ref="AY336:AY444"/>
    <mergeCell ref="BE336:BE444"/>
    <mergeCell ref="BA3:BB3"/>
    <mergeCell ref="BC3:BD3"/>
    <mergeCell ref="BA7:BA8"/>
    <mergeCell ref="BC7:BC8"/>
    <mergeCell ref="BA15:BA16"/>
    <mergeCell ref="BC15:BC16"/>
    <mergeCell ref="BA23:BA24"/>
    <mergeCell ref="BC23:BC24"/>
    <mergeCell ref="BA31:BA32"/>
    <mergeCell ref="BC31:BC32"/>
    <mergeCell ref="BA42:BA43"/>
    <mergeCell ref="BC42:BC43"/>
    <mergeCell ref="BA50:BA51"/>
    <mergeCell ref="BC50:BC51"/>
    <mergeCell ref="BA63:BA64"/>
    <mergeCell ref="BC63:BC64"/>
    <mergeCell ref="AY42:AY43"/>
    <mergeCell ref="BA97:BA99"/>
    <mergeCell ref="BC97:BC99"/>
    <mergeCell ref="BA336:BA444"/>
    <mergeCell ref="BC336:BC444"/>
    <mergeCell ref="AY89:AY91"/>
    <mergeCell ref="AO85:AO87"/>
    <mergeCell ref="AO89:AO91"/>
    <mergeCell ref="AO93:AO95"/>
    <mergeCell ref="AO97:AO99"/>
    <mergeCell ref="AO336:AO444"/>
    <mergeCell ref="AU89:AU91"/>
    <mergeCell ref="AW89:AW91"/>
    <mergeCell ref="AU93:AU95"/>
    <mergeCell ref="AW93:AW95"/>
    <mergeCell ref="AU97:AU99"/>
    <mergeCell ref="AW97:AW99"/>
    <mergeCell ref="AU336:AU444"/>
    <mergeCell ref="AW336:AW444"/>
    <mergeCell ref="AQ89:AQ91"/>
    <mergeCell ref="AS89:AS91"/>
    <mergeCell ref="AQ93:AQ95"/>
    <mergeCell ref="AS93:AS95"/>
    <mergeCell ref="AQ97:AQ99"/>
    <mergeCell ref="AS97:AS99"/>
    <mergeCell ref="E18:E20"/>
    <mergeCell ref="E26:E28"/>
    <mergeCell ref="E34:E36"/>
    <mergeCell ref="E45:E47"/>
    <mergeCell ref="E53:E55"/>
    <mergeCell ref="E66:E68"/>
    <mergeCell ref="BA89:BA91"/>
    <mergeCell ref="BC89:BC91"/>
    <mergeCell ref="BA93:BA95"/>
    <mergeCell ref="BC93:BC95"/>
    <mergeCell ref="AK89:AK91"/>
    <mergeCell ref="AM89:AM91"/>
    <mergeCell ref="AK93:AK95"/>
    <mergeCell ref="AM93:AM95"/>
    <mergeCell ref="AK42:AK43"/>
    <mergeCell ref="AM42:AM43"/>
    <mergeCell ref="AK50:AK51"/>
    <mergeCell ref="AM50:AM51"/>
    <mergeCell ref="AK63:AK64"/>
    <mergeCell ref="AM63:AM64"/>
    <mergeCell ref="AK81:AK83"/>
    <mergeCell ref="AM81:AM83"/>
    <mergeCell ref="AK85:AK87"/>
    <mergeCell ref="AM85:AM87"/>
    <mergeCell ref="E85:E87"/>
    <mergeCell ref="E93:E95"/>
    <mergeCell ref="E102:E259"/>
    <mergeCell ref="E262:E283"/>
    <mergeCell ref="E287:E326"/>
    <mergeCell ref="E329:E332"/>
    <mergeCell ref="E447:E459"/>
    <mergeCell ref="G10:G12"/>
    <mergeCell ref="G18:G20"/>
    <mergeCell ref="G26:G28"/>
    <mergeCell ref="G34:G36"/>
    <mergeCell ref="G45:G47"/>
    <mergeCell ref="G53:G55"/>
    <mergeCell ref="G66:G68"/>
    <mergeCell ref="G102:G259"/>
    <mergeCell ref="G262:G283"/>
    <mergeCell ref="G287:G326"/>
    <mergeCell ref="G329:G332"/>
    <mergeCell ref="G447:G459"/>
    <mergeCell ref="E31:E32"/>
    <mergeCell ref="E42:E43"/>
    <mergeCell ref="E50:E51"/>
    <mergeCell ref="E63:E64"/>
    <mergeCell ref="E10:E12"/>
    <mergeCell ref="K10:K12"/>
    <mergeCell ref="K18:K20"/>
    <mergeCell ref="K26:K28"/>
    <mergeCell ref="K34:K36"/>
    <mergeCell ref="K45:K47"/>
    <mergeCell ref="K53:K55"/>
    <mergeCell ref="K66:K68"/>
    <mergeCell ref="K102:K259"/>
    <mergeCell ref="K262:K283"/>
    <mergeCell ref="K93:K95"/>
    <mergeCell ref="K97:K99"/>
    <mergeCell ref="S34:S36"/>
    <mergeCell ref="S45:S47"/>
    <mergeCell ref="S53:S55"/>
    <mergeCell ref="S66:S68"/>
    <mergeCell ref="S102:S259"/>
    <mergeCell ref="S262:S283"/>
    <mergeCell ref="S287:S326"/>
    <mergeCell ref="S329:S332"/>
    <mergeCell ref="S447:S459"/>
    <mergeCell ref="S89:S91"/>
    <mergeCell ref="S93:S95"/>
    <mergeCell ref="S97:S99"/>
    <mergeCell ref="S336:S444"/>
    <mergeCell ref="S42:S43"/>
    <mergeCell ref="S50:S51"/>
    <mergeCell ref="S63:S64"/>
    <mergeCell ref="S81:S83"/>
    <mergeCell ref="S85:S87"/>
    <mergeCell ref="AC66:AC68"/>
    <mergeCell ref="AC102:AC259"/>
    <mergeCell ref="AC262:AC283"/>
    <mergeCell ref="AC287:AC326"/>
    <mergeCell ref="AC329:AC332"/>
    <mergeCell ref="AC447:AC459"/>
    <mergeCell ref="W34:W36"/>
    <mergeCell ref="W45:W47"/>
    <mergeCell ref="W53:W55"/>
    <mergeCell ref="W66:W68"/>
    <mergeCell ref="W102:W259"/>
    <mergeCell ref="W262:W283"/>
    <mergeCell ref="W287:W326"/>
    <mergeCell ref="W329:W332"/>
    <mergeCell ref="W447:W459"/>
    <mergeCell ref="W81:W83"/>
    <mergeCell ref="Y81:Y83"/>
    <mergeCell ref="W85:W87"/>
    <mergeCell ref="Y85:Y87"/>
    <mergeCell ref="W89:W91"/>
    <mergeCell ref="Y89:Y91"/>
    <mergeCell ref="W93:W95"/>
    <mergeCell ref="Y93:Y95"/>
    <mergeCell ref="W97:W99"/>
    <mergeCell ref="AQ66:AQ68"/>
    <mergeCell ref="AQ102:AQ259"/>
    <mergeCell ref="AQ262:AQ283"/>
    <mergeCell ref="AQ287:AQ326"/>
    <mergeCell ref="AQ329:AQ332"/>
    <mergeCell ref="AQ447:AQ459"/>
    <mergeCell ref="AK34:AK36"/>
    <mergeCell ref="AK45:AK47"/>
    <mergeCell ref="AK53:AK55"/>
    <mergeCell ref="AK66:AK68"/>
    <mergeCell ref="AK102:AK259"/>
    <mergeCell ref="AK262:AK283"/>
    <mergeCell ref="AK287:AK326"/>
    <mergeCell ref="AK329:AK332"/>
    <mergeCell ref="AK447:AK459"/>
    <mergeCell ref="AK97:AK99"/>
    <mergeCell ref="AM97:AM99"/>
    <mergeCell ref="AK336:AK444"/>
    <mergeCell ref="AM336:AM444"/>
    <mergeCell ref="AQ336:AQ444"/>
    <mergeCell ref="AY34:AY36"/>
    <mergeCell ref="AY45:AY47"/>
    <mergeCell ref="AY53:AY55"/>
    <mergeCell ref="AY66:AY68"/>
    <mergeCell ref="AY102:AY259"/>
    <mergeCell ref="AY262:AY283"/>
    <mergeCell ref="AY287:AY326"/>
    <mergeCell ref="AY329:AY332"/>
    <mergeCell ref="AY447:AY459"/>
    <mergeCell ref="I34:I36"/>
    <mergeCell ref="I45:I47"/>
    <mergeCell ref="I53:I55"/>
    <mergeCell ref="I66:I68"/>
    <mergeCell ref="I102:I259"/>
    <mergeCell ref="I262:I283"/>
    <mergeCell ref="I287:I326"/>
    <mergeCell ref="I329:I332"/>
    <mergeCell ref="I447:I459"/>
    <mergeCell ref="M10:M12"/>
    <mergeCell ref="M18:M20"/>
    <mergeCell ref="M26:M28"/>
    <mergeCell ref="M34:M36"/>
    <mergeCell ref="M45:M47"/>
    <mergeCell ref="M53:M55"/>
    <mergeCell ref="M66:M68"/>
    <mergeCell ref="M102:M259"/>
    <mergeCell ref="M262:M283"/>
    <mergeCell ref="M42:M43"/>
    <mergeCell ref="M93:M95"/>
    <mergeCell ref="M97:M99"/>
    <mergeCell ref="U34:U36"/>
    <mergeCell ref="U45:U47"/>
    <mergeCell ref="U53:U55"/>
    <mergeCell ref="U66:U68"/>
    <mergeCell ref="U102:U259"/>
    <mergeCell ref="U262:U283"/>
    <mergeCell ref="U287:U326"/>
    <mergeCell ref="U329:U332"/>
    <mergeCell ref="U447:U459"/>
    <mergeCell ref="U89:U91"/>
    <mergeCell ref="U93:U95"/>
    <mergeCell ref="U97:U99"/>
    <mergeCell ref="U336:U444"/>
    <mergeCell ref="U42:U43"/>
    <mergeCell ref="U50:U51"/>
    <mergeCell ref="U63:U64"/>
    <mergeCell ref="U81:U83"/>
    <mergeCell ref="U85:U87"/>
    <mergeCell ref="AI66:AI68"/>
    <mergeCell ref="AI102:AI259"/>
    <mergeCell ref="AI262:AI283"/>
    <mergeCell ref="AI287:AI326"/>
    <mergeCell ref="AI329:AI332"/>
    <mergeCell ref="AI447:AI459"/>
    <mergeCell ref="AE34:AE36"/>
    <mergeCell ref="AE45:AE47"/>
    <mergeCell ref="AE53:AE55"/>
    <mergeCell ref="AE66:AE68"/>
    <mergeCell ref="AE102:AE259"/>
    <mergeCell ref="AE262:AE283"/>
    <mergeCell ref="AE287:AE326"/>
    <mergeCell ref="AE329:AE332"/>
    <mergeCell ref="AE447:AE459"/>
    <mergeCell ref="AG34:AG36"/>
    <mergeCell ref="AG45:AG47"/>
    <mergeCell ref="AG53:AG55"/>
    <mergeCell ref="AG66:AG68"/>
    <mergeCell ref="AG102:AG259"/>
    <mergeCell ref="AG262:AG283"/>
    <mergeCell ref="AG287:AG326"/>
    <mergeCell ref="AG329:AG332"/>
    <mergeCell ref="AG447:AG459"/>
    <mergeCell ref="AW66:AW68"/>
    <mergeCell ref="AW102:AW259"/>
    <mergeCell ref="AW262:AW283"/>
    <mergeCell ref="AW287:AW326"/>
    <mergeCell ref="AW329:AW332"/>
    <mergeCell ref="AW447:AW459"/>
    <mergeCell ref="AS34:AS36"/>
    <mergeCell ref="AS45:AS47"/>
    <mergeCell ref="AS53:AS55"/>
    <mergeCell ref="AS66:AS68"/>
    <mergeCell ref="AS102:AS259"/>
    <mergeCell ref="AS262:AS283"/>
    <mergeCell ref="AS287:AS326"/>
    <mergeCell ref="AS329:AS332"/>
    <mergeCell ref="AS447:AS459"/>
    <mergeCell ref="AU34:AU36"/>
    <mergeCell ref="AU45:AU47"/>
    <mergeCell ref="AU53:AU55"/>
    <mergeCell ref="AU66:AU68"/>
    <mergeCell ref="AU102:AU259"/>
    <mergeCell ref="AU262:AU283"/>
    <mergeCell ref="AU287:AU326"/>
    <mergeCell ref="AU329:AU332"/>
    <mergeCell ref="AU447:AU459"/>
    <mergeCell ref="Z42:Z43"/>
    <mergeCell ref="Y45:Y47"/>
    <mergeCell ref="Z45:Z47"/>
    <mergeCell ref="AA45:AA47"/>
    <mergeCell ref="Z50:Z51"/>
    <mergeCell ref="Y53:Y55"/>
    <mergeCell ref="Z53:Z55"/>
    <mergeCell ref="AA53:AA55"/>
    <mergeCell ref="AW34:AW36"/>
    <mergeCell ref="AW45:AW47"/>
    <mergeCell ref="AW53:AW55"/>
    <mergeCell ref="AI34:AI36"/>
    <mergeCell ref="AI45:AI47"/>
    <mergeCell ref="AI53:AI55"/>
    <mergeCell ref="AQ34:AQ36"/>
    <mergeCell ref="AQ45:AQ47"/>
    <mergeCell ref="AQ53:AQ55"/>
    <mergeCell ref="AC34:AC36"/>
    <mergeCell ref="AC45:AC47"/>
    <mergeCell ref="AC53:AC55"/>
    <mergeCell ref="AC42:AC43"/>
    <mergeCell ref="AE42:AE43"/>
    <mergeCell ref="AC50:AC51"/>
    <mergeCell ref="AE50:AE51"/>
    <mergeCell ref="Y329:Y332"/>
    <mergeCell ref="Z329:Z332"/>
    <mergeCell ref="AA329:AA332"/>
    <mergeCell ref="Z63:Z64"/>
    <mergeCell ref="Y66:Y68"/>
    <mergeCell ref="Z66:Z68"/>
    <mergeCell ref="AA66:AA68"/>
    <mergeCell ref="Z81:Z83"/>
    <mergeCell ref="Z85:Z87"/>
    <mergeCell ref="Z89:Z91"/>
    <mergeCell ref="Z93:Z95"/>
    <mergeCell ref="Z97:Z99"/>
    <mergeCell ref="Y97:Y99"/>
    <mergeCell ref="Z336:Z444"/>
    <mergeCell ref="Y447:Y459"/>
    <mergeCell ref="Z447:Z459"/>
    <mergeCell ref="AA447:AA459"/>
    <mergeCell ref="AM10:AM12"/>
    <mergeCell ref="AM18:AM20"/>
    <mergeCell ref="AM26:AM28"/>
    <mergeCell ref="AM34:AM36"/>
    <mergeCell ref="AM45:AM47"/>
    <mergeCell ref="AM53:AM55"/>
    <mergeCell ref="AM66:AM68"/>
    <mergeCell ref="AM102:AM259"/>
    <mergeCell ref="AM262:AM283"/>
    <mergeCell ref="AM287:AM326"/>
    <mergeCell ref="AM329:AM332"/>
    <mergeCell ref="AM447:AM459"/>
    <mergeCell ref="Z102:Z259"/>
    <mergeCell ref="AA102:AA259"/>
    <mergeCell ref="Y262:Y283"/>
    <mergeCell ref="Z262:Z283"/>
    <mergeCell ref="AA262:AA283"/>
    <mergeCell ref="Y287:Y326"/>
    <mergeCell ref="Z287:Z326"/>
    <mergeCell ref="AA287:AA326"/>
    <mergeCell ref="BE102:BE259"/>
    <mergeCell ref="BE262:BE283"/>
    <mergeCell ref="BE287:BE326"/>
    <mergeCell ref="BE329:BE332"/>
    <mergeCell ref="BE447:BE459"/>
    <mergeCell ref="AO102:AO259"/>
    <mergeCell ref="AO262:AO283"/>
    <mergeCell ref="AO287:AO326"/>
    <mergeCell ref="AO329:AO332"/>
    <mergeCell ref="AO447:AO459"/>
    <mergeCell ref="BC102:BC259"/>
    <mergeCell ref="BC262:BC283"/>
    <mergeCell ref="BC287:BC326"/>
    <mergeCell ref="BC329:BC332"/>
    <mergeCell ref="BC447:BC459"/>
    <mergeCell ref="BA102:BA259"/>
    <mergeCell ref="BA262:BA283"/>
    <mergeCell ref="BA287:BA326"/>
    <mergeCell ref="BA329:BA332"/>
    <mergeCell ref="BA447:BA459"/>
    <mergeCell ref="AS336:AS444"/>
    <mergeCell ref="D10:D12"/>
    <mergeCell ref="D18:D20"/>
    <mergeCell ref="D26:D28"/>
    <mergeCell ref="D34:D36"/>
    <mergeCell ref="D45:D47"/>
    <mergeCell ref="D66:D68"/>
    <mergeCell ref="BE34:BE36"/>
    <mergeCell ref="BE45:BE47"/>
    <mergeCell ref="BE53:BE55"/>
    <mergeCell ref="BE66:BE68"/>
    <mergeCell ref="BC10:BC12"/>
    <mergeCell ref="BC18:BC20"/>
    <mergeCell ref="BC26:BC28"/>
    <mergeCell ref="BC34:BC36"/>
    <mergeCell ref="BC45:BC47"/>
    <mergeCell ref="BC53:BC55"/>
    <mergeCell ref="BC66:BC68"/>
    <mergeCell ref="BA34:BA36"/>
    <mergeCell ref="BA45:BA47"/>
    <mergeCell ref="BA53:BA55"/>
    <mergeCell ref="BA66:BA68"/>
    <mergeCell ref="Y34:Y36"/>
    <mergeCell ref="Z34:Z36"/>
    <mergeCell ref="AA34:AA36"/>
  </mergeCells>
  <phoneticPr fontId="85" type="noConversion"/>
  <printOptions horizontalCentered="1" verticalCentered="1"/>
  <pageMargins left="0" right="0" top="0" bottom="0" header="0" footer="0"/>
  <pageSetup scale="45" orientation="landscape"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tabColor theme="4" tint="0.39997558519241921"/>
  </sheetPr>
  <dimension ref="B1:CB353"/>
  <sheetViews>
    <sheetView zoomScale="85" zoomScaleNormal="85" workbookViewId="0">
      <pane xSplit="3" ySplit="3" topLeftCell="D4" activePane="bottomRight" state="frozen"/>
      <selection pane="topRight" activeCell="D1" sqref="D1"/>
      <selection pane="bottomLeft" activeCell="A4" sqref="A4"/>
      <selection pane="bottomRight" activeCell="E81" sqref="E81"/>
    </sheetView>
  </sheetViews>
  <sheetFormatPr defaultRowHeight="14.4" x14ac:dyDescent="0.3"/>
  <cols>
    <col min="1" max="1" width="2.5546875" customWidth="1"/>
    <col min="2" max="2" width="45.109375" customWidth="1"/>
    <col min="3" max="3" width="46.109375" bestFit="1" customWidth="1"/>
    <col min="4" max="4" width="7.5546875" hidden="1" customWidth="1"/>
    <col min="5" max="5" width="15.33203125" customWidth="1"/>
    <col min="6" max="6" width="11.5546875" hidden="1" customWidth="1"/>
    <col min="7" max="7" width="13.33203125" customWidth="1"/>
    <col min="8" max="8" width="7.5546875" hidden="1" customWidth="1"/>
    <col min="9" max="9" width="9.44140625" customWidth="1"/>
    <col min="10" max="10" width="7.88671875" style="137" hidden="1" customWidth="1"/>
    <col min="11" max="11" width="10.33203125" style="137" hidden="1" customWidth="1"/>
    <col min="12" max="12" width="7.88671875" hidden="1" customWidth="1"/>
    <col min="13" max="13" width="11.44140625" hidden="1" customWidth="1"/>
    <col min="14" max="14" width="7.88671875" hidden="1" customWidth="1"/>
    <col min="15" max="15" width="11.33203125" hidden="1" customWidth="1"/>
    <col min="16" max="16" width="7.5546875" hidden="1" customWidth="1"/>
    <col min="17" max="17" width="9.44140625" hidden="1" customWidth="1"/>
    <col min="18" max="18" width="7.88671875" hidden="1" customWidth="1"/>
    <col min="19" max="19" width="10.33203125" hidden="1" customWidth="1"/>
    <col min="20" max="20" width="7.5546875" hidden="1" customWidth="1"/>
    <col min="21" max="21" width="9.44140625" hidden="1" customWidth="1"/>
    <col min="22" max="22" width="8" hidden="1" customWidth="1"/>
    <col min="23" max="23" width="10.33203125" hidden="1" customWidth="1"/>
    <col min="24" max="24" width="7.88671875" hidden="1" customWidth="1"/>
    <col min="25" max="25" width="11.44140625" hidden="1" customWidth="1"/>
    <col min="26" max="26" width="7.88671875" hidden="1" customWidth="1"/>
    <col min="27" max="27" width="11.5546875" hidden="1" customWidth="1"/>
    <col min="28" max="28" width="7.5546875" hidden="1" customWidth="1"/>
    <col min="29" max="30" width="9.109375" hidden="1" customWidth="1"/>
    <col min="31" max="31" width="9.109375" style="4619" hidden="1" customWidth="1"/>
    <col min="32" max="34" width="9.109375" hidden="1" customWidth="1"/>
    <col min="35" max="35" width="18.6640625" hidden="1" customWidth="1"/>
    <col min="36" max="37" width="9.109375" hidden="1" customWidth="1"/>
    <col min="38" max="38" width="7.5546875" hidden="1" customWidth="1"/>
    <col min="39" max="39" width="8.109375" hidden="1" customWidth="1"/>
    <col min="40" max="40" width="9.109375" hidden="1" customWidth="1"/>
    <col min="41" max="41" width="9.44140625" hidden="1" customWidth="1"/>
    <col min="42" max="44" width="9.109375" hidden="1" customWidth="1"/>
    <col min="45" max="45" width="9.44140625" hidden="1" customWidth="1"/>
    <col min="46" max="47" width="9.109375" hidden="1" customWidth="1"/>
    <col min="48" max="48" width="7.5546875" hidden="1" customWidth="1"/>
    <col min="49" max="53" width="9.109375" hidden="1" customWidth="1"/>
    <col min="54" max="54" width="7.5546875" hidden="1" customWidth="1"/>
    <col min="55" max="55" width="9.44140625" hidden="1" customWidth="1"/>
    <col min="56" max="56" width="9.109375" hidden="1" customWidth="1"/>
    <col min="57" max="57" width="9.44140625" hidden="1" customWidth="1"/>
    <col min="59" max="59" width="9.6640625" bestFit="1" customWidth="1"/>
    <col min="60" max="60" width="17" bestFit="1" customWidth="1"/>
  </cols>
  <sheetData>
    <row r="1" spans="2:80" ht="15" thickBot="1" x14ac:dyDescent="0.35">
      <c r="BE1" s="2410"/>
    </row>
    <row r="2" spans="2:80" ht="21.9" customHeight="1" x14ac:dyDescent="0.3">
      <c r="B2" s="1357"/>
      <c r="C2" s="1360"/>
      <c r="D2" s="6090">
        <v>46113</v>
      </c>
      <c r="E2" s="6091"/>
      <c r="F2" s="6092">
        <v>46143</v>
      </c>
      <c r="G2" s="6093"/>
      <c r="H2" s="6086" t="s">
        <v>624</v>
      </c>
      <c r="I2" s="6087"/>
      <c r="J2" s="6084">
        <v>45809</v>
      </c>
      <c r="K2" s="6094"/>
      <c r="L2" s="6095" t="s">
        <v>604</v>
      </c>
      <c r="M2" s="6096"/>
      <c r="N2" s="6084">
        <v>45839</v>
      </c>
      <c r="O2" s="6085"/>
      <c r="P2" s="6086" t="s">
        <v>617</v>
      </c>
      <c r="Q2" s="6087"/>
      <c r="R2" s="6084">
        <v>45870</v>
      </c>
      <c r="S2" s="6085"/>
      <c r="T2" s="6086" t="s">
        <v>794</v>
      </c>
      <c r="U2" s="6087"/>
      <c r="V2" s="6084">
        <v>45901</v>
      </c>
      <c r="W2" s="6085"/>
      <c r="X2" s="6095" t="s">
        <v>625</v>
      </c>
      <c r="Y2" s="6108"/>
      <c r="Z2" s="6089" t="s">
        <v>623</v>
      </c>
      <c r="AA2" s="6089"/>
      <c r="AB2" s="6084">
        <v>45931</v>
      </c>
      <c r="AC2" s="6085"/>
      <c r="AD2" s="6086" t="s">
        <v>1051</v>
      </c>
      <c r="AE2" s="6087"/>
      <c r="AF2" s="6084">
        <v>45962</v>
      </c>
      <c r="AG2" s="6085"/>
      <c r="AH2" s="6086" t="s">
        <v>1552</v>
      </c>
      <c r="AI2" s="6087"/>
      <c r="AJ2" s="6084">
        <v>45992</v>
      </c>
      <c r="AK2" s="6085"/>
      <c r="AL2" s="6095" t="s">
        <v>627</v>
      </c>
      <c r="AM2" s="6096"/>
      <c r="AN2" s="6086" t="s">
        <v>872</v>
      </c>
      <c r="AO2" s="6087"/>
      <c r="AP2" s="6084">
        <v>46023</v>
      </c>
      <c r="AQ2" s="6085"/>
      <c r="AR2" s="6086" t="s">
        <v>1583</v>
      </c>
      <c r="AS2" s="6087"/>
      <c r="AT2" s="6084">
        <v>46054</v>
      </c>
      <c r="AU2" s="6085"/>
      <c r="AV2" s="6086" t="s">
        <v>1589</v>
      </c>
      <c r="AW2" s="6087"/>
      <c r="AX2" s="6084">
        <v>46082</v>
      </c>
      <c r="AY2" s="6085"/>
      <c r="AZ2" s="6095" t="s">
        <v>628</v>
      </c>
      <c r="BA2" s="6108"/>
      <c r="BB2" s="6089" t="s">
        <v>634</v>
      </c>
      <c r="BC2" s="6089"/>
      <c r="BD2" s="6086" t="s">
        <v>1961</v>
      </c>
      <c r="BE2" s="6087"/>
    </row>
    <row r="3" spans="2:80" s="1241" customFormat="1" ht="21.9" customHeight="1" thickBot="1" x14ac:dyDescent="0.35">
      <c r="B3" s="1358"/>
      <c r="C3" s="1361"/>
      <c r="D3" s="1359" t="s">
        <v>1168</v>
      </c>
      <c r="E3" s="1356" t="s">
        <v>1169</v>
      </c>
      <c r="F3" s="1359" t="s">
        <v>1168</v>
      </c>
      <c r="G3" s="1356" t="s">
        <v>1169</v>
      </c>
      <c r="H3" s="1364" t="s">
        <v>1168</v>
      </c>
      <c r="I3" s="1363" t="s">
        <v>1169</v>
      </c>
      <c r="J3" s="1398" t="s">
        <v>1168</v>
      </c>
      <c r="K3" s="1956" t="s">
        <v>1169</v>
      </c>
      <c r="L3" s="1957" t="s">
        <v>1168</v>
      </c>
      <c r="M3" s="1958" t="s">
        <v>1169</v>
      </c>
      <c r="N3" s="1398" t="s">
        <v>1168</v>
      </c>
      <c r="O3" s="1399" t="s">
        <v>1169</v>
      </c>
      <c r="P3" s="1364" t="s">
        <v>1168</v>
      </c>
      <c r="Q3" s="1363" t="s">
        <v>1169</v>
      </c>
      <c r="R3" s="1398" t="s">
        <v>1168</v>
      </c>
      <c r="S3" s="1399" t="s">
        <v>1169</v>
      </c>
      <c r="T3" s="1364" t="s">
        <v>1168</v>
      </c>
      <c r="U3" s="1363" t="s">
        <v>1169</v>
      </c>
      <c r="V3" s="1398" t="s">
        <v>1168</v>
      </c>
      <c r="W3" s="1399" t="s">
        <v>1169</v>
      </c>
      <c r="X3" s="1957" t="s">
        <v>1168</v>
      </c>
      <c r="Y3" s="2448" t="s">
        <v>1169</v>
      </c>
      <c r="Z3" s="2449" t="s">
        <v>1168</v>
      </c>
      <c r="AA3" s="2449" t="s">
        <v>1169</v>
      </c>
      <c r="AB3" s="1398" t="s">
        <v>1168</v>
      </c>
      <c r="AC3" s="1399" t="s">
        <v>1169</v>
      </c>
      <c r="AD3" s="4620" t="s">
        <v>1168</v>
      </c>
      <c r="AE3" s="4643" t="s">
        <v>1169</v>
      </c>
      <c r="AF3" s="4635" t="s">
        <v>1168</v>
      </c>
      <c r="AG3" s="1399" t="s">
        <v>1169</v>
      </c>
      <c r="AH3" s="1364" t="s">
        <v>1168</v>
      </c>
      <c r="AI3" s="1363" t="s">
        <v>1169</v>
      </c>
      <c r="AJ3" s="1398" t="s">
        <v>1168</v>
      </c>
      <c r="AK3" s="1399" t="s">
        <v>1169</v>
      </c>
      <c r="AL3" s="1957" t="s">
        <v>1168</v>
      </c>
      <c r="AM3" s="1958" t="s">
        <v>1169</v>
      </c>
      <c r="AN3" s="1364" t="s">
        <v>1168</v>
      </c>
      <c r="AO3" s="1363" t="s">
        <v>1169</v>
      </c>
      <c r="AP3" s="1398" t="s">
        <v>1168</v>
      </c>
      <c r="AQ3" s="1399" t="s">
        <v>1169</v>
      </c>
      <c r="AR3" s="1364" t="s">
        <v>1168</v>
      </c>
      <c r="AS3" s="1363" t="s">
        <v>1169</v>
      </c>
      <c r="AT3" s="1398" t="s">
        <v>1168</v>
      </c>
      <c r="AU3" s="1399" t="s">
        <v>1169</v>
      </c>
      <c r="AV3" s="1364" t="s">
        <v>1168</v>
      </c>
      <c r="AW3" s="1363" t="s">
        <v>1169</v>
      </c>
      <c r="AX3" s="1398" t="s">
        <v>1168</v>
      </c>
      <c r="AY3" s="1399" t="s">
        <v>1169</v>
      </c>
      <c r="AZ3" s="1957" t="s">
        <v>1168</v>
      </c>
      <c r="BA3" s="2448" t="s">
        <v>1169</v>
      </c>
      <c r="BB3" s="2449" t="s">
        <v>1168</v>
      </c>
      <c r="BC3" s="2449" t="s">
        <v>1169</v>
      </c>
      <c r="BD3" s="1364" t="s">
        <v>1168</v>
      </c>
      <c r="BE3" s="1363" t="s">
        <v>1169</v>
      </c>
    </row>
    <row r="4" spans="2:80" ht="21.9" customHeight="1" thickBot="1" x14ac:dyDescent="0.35">
      <c r="B4" s="6078" t="s">
        <v>1170</v>
      </c>
      <c r="C4" s="1342" t="s">
        <v>970</v>
      </c>
      <c r="D4" s="1355">
        <v>7.6</v>
      </c>
      <c r="E4" s="1362">
        <v>29316.97</v>
      </c>
      <c r="F4" s="1355">
        <v>4.8</v>
      </c>
      <c r="G4" s="1362">
        <v>17409.45</v>
      </c>
      <c r="H4" s="1365">
        <f>+D4+F4</f>
        <v>12.399999999999999</v>
      </c>
      <c r="I4" s="1366">
        <f>+G4+E4</f>
        <v>46726.42</v>
      </c>
      <c r="J4" s="1355">
        <v>10.5</v>
      </c>
      <c r="K4" s="1362">
        <v>39920</v>
      </c>
      <c r="L4" s="4087">
        <f>+D4+F4+J4</f>
        <v>22.9</v>
      </c>
      <c r="M4" s="4139">
        <f>+E4+G4+K4</f>
        <v>86646.42</v>
      </c>
      <c r="N4" s="1355">
        <v>11.4</v>
      </c>
      <c r="O4" s="1362">
        <v>45986</v>
      </c>
      <c r="P4" s="1414">
        <f>L4+N4</f>
        <v>34.299999999999997</v>
      </c>
      <c r="Q4" s="1414">
        <f>+E4+G4+K4+O4</f>
        <v>132632.41999999998</v>
      </c>
      <c r="R4" s="1355">
        <v>10.7</v>
      </c>
      <c r="S4" s="1362">
        <v>41746.199999999997</v>
      </c>
      <c r="T4" s="1414">
        <f>P4+R4</f>
        <v>45</v>
      </c>
      <c r="U4" s="1414">
        <f>+E4+S4+O4+K4+G4</f>
        <v>174378.62</v>
      </c>
      <c r="V4" s="1355">
        <v>10.8</v>
      </c>
      <c r="W4" s="1362">
        <v>42309.4</v>
      </c>
      <c r="X4" s="4087">
        <f>+N4+R4+V4</f>
        <v>32.900000000000006</v>
      </c>
      <c r="Y4" s="4140">
        <f>+O4+S4+W4</f>
        <v>130041.60000000001</v>
      </c>
      <c r="Z4" s="4088">
        <f>L4+X4</f>
        <v>55.800000000000004</v>
      </c>
      <c r="AA4" s="4085">
        <f>+W4+S4+O4+K4+G4+E4</f>
        <v>216688.02000000002</v>
      </c>
      <c r="AB4" s="1355">
        <v>10.8</v>
      </c>
      <c r="AC4" s="1362">
        <v>41546.400000000001</v>
      </c>
      <c r="AD4" s="4621">
        <f>Z4+AB4</f>
        <v>66.600000000000009</v>
      </c>
      <c r="AE4" s="4595">
        <f>+AC4+W4+S4+O4+K4+G4+E4</f>
        <v>258234.42</v>
      </c>
      <c r="AF4" s="1355">
        <v>7.3</v>
      </c>
      <c r="AG4" s="1362">
        <v>28660.42</v>
      </c>
      <c r="AH4" s="1365">
        <f>AD4+AF4</f>
        <v>73.900000000000006</v>
      </c>
      <c r="AI4" s="1414">
        <f>+AG4+AC4+W4+S4+O4+K4+G4+E4</f>
        <v>286894.83999999997</v>
      </c>
      <c r="AJ4" s="1355">
        <v>6.4</v>
      </c>
      <c r="AK4" s="1362">
        <v>46095.09</v>
      </c>
      <c r="AL4" s="4087">
        <f>+AB4+AF4+AJ4</f>
        <v>24.5</v>
      </c>
      <c r="AM4" s="4139">
        <f>+AC4+AG4+AK4</f>
        <v>116301.91</v>
      </c>
      <c r="AN4" s="1365">
        <f>AH4+AJ4</f>
        <v>80.300000000000011</v>
      </c>
      <c r="AO4" s="1414">
        <f>+AK4+AG4+AC4+W4+S4+O4+K4+G4+E4</f>
        <v>332989.93000000005</v>
      </c>
      <c r="AP4" s="1355">
        <v>10.1</v>
      </c>
      <c r="AQ4" s="1362">
        <v>40797.53</v>
      </c>
      <c r="AR4" s="1365">
        <f>AN4+AP4</f>
        <v>90.4</v>
      </c>
      <c r="AS4" s="1414">
        <f>+AQ4+AK4+AG4+AC4+W4+S4+O4+K4+G4+E4</f>
        <v>373787.45999999996</v>
      </c>
      <c r="AT4" s="1355">
        <v>12.5</v>
      </c>
      <c r="AU4" s="1362">
        <v>47894.83</v>
      </c>
      <c r="AV4" s="1365">
        <f>AR4+AT4</f>
        <v>102.9</v>
      </c>
      <c r="AW4" s="1414">
        <f>+AU4+AQ4+AK4+AG4+AC4+W4+S4+O4+K4+G4+E4</f>
        <v>421682.29000000004</v>
      </c>
      <c r="AX4" s="1355">
        <v>14.5</v>
      </c>
      <c r="AY4" s="1362">
        <v>56660.94</v>
      </c>
      <c r="AZ4" s="4087">
        <f>+AP4+AT4+AX4</f>
        <v>37.1</v>
      </c>
      <c r="BA4" s="4140">
        <f>+AQ4+AU4+AY4</f>
        <v>145353.29999999999</v>
      </c>
      <c r="BB4" s="4088">
        <f>AL4+AZ4</f>
        <v>61.6</v>
      </c>
      <c r="BC4" s="4085">
        <f>AM4+BA4</f>
        <v>261655.21</v>
      </c>
      <c r="BD4" s="1365">
        <f>AV4+AX4</f>
        <v>117.4</v>
      </c>
      <c r="BE4" s="1414">
        <f>+BC4+AA4</f>
        <v>478343.23</v>
      </c>
      <c r="BF4" s="1111"/>
      <c r="BG4" s="1111"/>
      <c r="BH4" s="491"/>
      <c r="BI4" s="491"/>
      <c r="BJ4" s="491"/>
      <c r="BQ4" s="491"/>
      <c r="BR4" s="491"/>
      <c r="BS4" s="491"/>
      <c r="BT4" s="491"/>
      <c r="BU4" s="491"/>
      <c r="BV4" s="491"/>
      <c r="BW4" s="491"/>
      <c r="BX4" s="491"/>
      <c r="BY4" s="491"/>
      <c r="BZ4" s="491"/>
      <c r="CA4" s="491"/>
      <c r="CB4" s="491"/>
    </row>
    <row r="5" spans="2:80" ht="21.9" customHeight="1" thickBot="1" x14ac:dyDescent="0.35">
      <c r="B5" s="6079"/>
      <c r="C5" s="4141" t="s">
        <v>971</v>
      </c>
      <c r="D5" s="4142">
        <v>4</v>
      </c>
      <c r="E5" s="4143">
        <v>15934.9</v>
      </c>
      <c r="F5" s="4142">
        <v>7.8000000000000007</v>
      </c>
      <c r="G5" s="4143">
        <v>28705.800000000003</v>
      </c>
      <c r="H5" s="1365">
        <f t="shared" ref="H5:H76" si="0">+D5+F5</f>
        <v>11.8</v>
      </c>
      <c r="I5" s="1366">
        <f>+G5+E5</f>
        <v>44640.700000000004</v>
      </c>
      <c r="J5" s="4142">
        <v>10.6</v>
      </c>
      <c r="K5" s="4143">
        <v>40444</v>
      </c>
      <c r="L5" s="4087">
        <f>+D5+F5+J5</f>
        <v>22.4</v>
      </c>
      <c r="M5" s="4139">
        <f>+E5+G5+K5</f>
        <v>85084.700000000012</v>
      </c>
      <c r="N5" s="4142">
        <v>7.2</v>
      </c>
      <c r="O5" s="4143">
        <v>27251.599999999999</v>
      </c>
      <c r="P5" s="1414">
        <f t="shared" ref="P5:P18" si="1">L5+N5</f>
        <v>29.599999999999998</v>
      </c>
      <c r="Q5" s="1414">
        <f>+E5+G5+K5+O5</f>
        <v>112336.30000000002</v>
      </c>
      <c r="R5" s="4142">
        <v>10</v>
      </c>
      <c r="S5" s="4143">
        <v>40295.519999999997</v>
      </c>
      <c r="T5" s="1414">
        <f t="shared" ref="T5:T75" si="2">P5+R5</f>
        <v>39.599999999999994</v>
      </c>
      <c r="U5" s="1414">
        <f>+E5+S5+O5+K5+G5</f>
        <v>152631.82</v>
      </c>
      <c r="V5" s="4142">
        <v>12.3</v>
      </c>
      <c r="W5" s="4143">
        <v>49970.600000000006</v>
      </c>
      <c r="X5" s="4087">
        <f t="shared" ref="X5:X75" si="3">+N5+R5+V5</f>
        <v>29.5</v>
      </c>
      <c r="Y5" s="4140">
        <f t="shared" ref="Y5:Y75" si="4">+O5+S5+W5</f>
        <v>117517.72</v>
      </c>
      <c r="Z5" s="4088">
        <f t="shared" ref="Z5:Z75" si="5">L5+X5</f>
        <v>51.9</v>
      </c>
      <c r="AA5" s="4085">
        <f>+W5+S5+O5+K5+G5+E5</f>
        <v>202602.42</v>
      </c>
      <c r="AB5" s="4142">
        <v>8.6</v>
      </c>
      <c r="AC5" s="4143">
        <v>33378.6</v>
      </c>
      <c r="AD5" s="4621">
        <f t="shared" ref="AD5:AD75" si="6">Z5+AB5</f>
        <v>60.5</v>
      </c>
      <c r="AE5" s="4595">
        <f>+AC5+W5+S5+O5+K5+G5+E5</f>
        <v>235981.02</v>
      </c>
      <c r="AF5" s="4613">
        <v>6.8999999999999995</v>
      </c>
      <c r="AG5" s="4143">
        <v>27203.899999999998</v>
      </c>
      <c r="AH5" s="1365">
        <f t="shared" ref="AH5:AH6" si="7">AD5+AF5</f>
        <v>67.400000000000006</v>
      </c>
      <c r="AI5" s="1414">
        <f>+AG5+AC5+W5+S5+O5+K5+G5+E5</f>
        <v>263184.92000000004</v>
      </c>
      <c r="AJ5" s="4142">
        <v>4.0999999999999996</v>
      </c>
      <c r="AK5" s="4143">
        <v>35578.44</v>
      </c>
      <c r="AL5" s="4087">
        <f t="shared" ref="AL5:AL6" si="8">+AB5+AF5+AJ5</f>
        <v>19.600000000000001</v>
      </c>
      <c r="AM5" s="4139">
        <f t="shared" ref="AM5:AM75" si="9">+AC5+AG5+AK5</f>
        <v>96160.94</v>
      </c>
      <c r="AN5" s="1365">
        <f t="shared" ref="AN5:AN23" si="10">AH5+AJ5</f>
        <v>71.5</v>
      </c>
      <c r="AO5" s="1414">
        <f>+AK5+AG5+AC5+W5+S5+O5+K5+G5+E5</f>
        <v>298763.36000000004</v>
      </c>
      <c r="AP5" s="4142">
        <v>5</v>
      </c>
      <c r="AQ5" s="4143">
        <v>20550.02</v>
      </c>
      <c r="AR5" s="1365">
        <f t="shared" ref="AR5:AR6" si="11">AN5+AP5</f>
        <v>76.5</v>
      </c>
      <c r="AS5" s="1414">
        <f>+AQ5+AK5+AG5+AC5+W5+S5+O5+K5+G5+E5</f>
        <v>319313.38</v>
      </c>
      <c r="AT5" s="4142">
        <v>2.7</v>
      </c>
      <c r="AU5" s="4143">
        <v>11617.39</v>
      </c>
      <c r="AV5" s="1365">
        <f t="shared" ref="AV5:AV6" si="12">AR5+AT5</f>
        <v>79.2</v>
      </c>
      <c r="AW5" s="1414">
        <f>+AU5+AQ5+AK5+AG5+AC5+W5+S5+O5+K5+G5+E5</f>
        <v>330930.77</v>
      </c>
      <c r="AX5" s="4142">
        <v>1.9</v>
      </c>
      <c r="AY5" s="4143">
        <v>8290.2999999999993</v>
      </c>
      <c r="AZ5" s="4087">
        <f t="shared" ref="AZ5:AZ6" si="13">+AP5+AT5+AX5</f>
        <v>9.6</v>
      </c>
      <c r="BA5" s="4140">
        <f t="shared" ref="BA5:BA75" si="14">+AQ5+AU5+AY5</f>
        <v>40457.71</v>
      </c>
      <c r="BB5" s="4088">
        <f t="shared" ref="BB5:BB6" si="15">AL5+AZ5</f>
        <v>29.200000000000003</v>
      </c>
      <c r="BC5" s="4085">
        <f t="shared" ref="BC5:BC75" si="16">AM5+BA5</f>
        <v>136618.65</v>
      </c>
      <c r="BD5" s="1365">
        <f t="shared" ref="BD5:BD6" si="17">AV5+AX5</f>
        <v>81.100000000000009</v>
      </c>
      <c r="BE5" s="1414">
        <f t="shared" ref="BE5:BE75" si="18">+BC5+AA5</f>
        <v>339221.07</v>
      </c>
      <c r="BF5" s="1111"/>
      <c r="BG5" s="1111"/>
      <c r="BH5" s="491"/>
      <c r="BI5" s="491"/>
      <c r="BJ5" s="491"/>
      <c r="BQ5" s="491"/>
      <c r="BR5" s="491"/>
      <c r="BS5" s="491"/>
      <c r="BT5" s="491"/>
      <c r="BU5" s="491"/>
      <c r="BV5" s="491"/>
      <c r="BW5" s="491"/>
      <c r="BX5" s="491"/>
      <c r="BY5" s="491"/>
      <c r="BZ5" s="491"/>
      <c r="CA5" s="491"/>
      <c r="CB5" s="491"/>
    </row>
    <row r="6" spans="2:80" ht="21.9" customHeight="1" x14ac:dyDescent="0.3">
      <c r="B6" s="6079"/>
      <c r="C6" s="4141" t="s">
        <v>1171</v>
      </c>
      <c r="D6" s="4142">
        <v>0</v>
      </c>
      <c r="E6" s="4143">
        <v>0</v>
      </c>
      <c r="F6" s="4142">
        <v>0</v>
      </c>
      <c r="G6" s="4143">
        <v>0</v>
      </c>
      <c r="H6" s="1365">
        <f t="shared" si="0"/>
        <v>0</v>
      </c>
      <c r="I6" s="1366">
        <f>+G6+E6</f>
        <v>0</v>
      </c>
      <c r="J6" s="4142">
        <v>0</v>
      </c>
      <c r="K6" s="4143">
        <v>0</v>
      </c>
      <c r="L6" s="4087">
        <f t="shared" ref="L6:L76" si="19">+D6+F6+J6</f>
        <v>0</v>
      </c>
      <c r="M6" s="4139">
        <f>+E6+G6+K6</f>
        <v>0</v>
      </c>
      <c r="N6" s="4142">
        <v>0</v>
      </c>
      <c r="O6" s="4143">
        <v>0</v>
      </c>
      <c r="P6" s="1414">
        <f t="shared" si="1"/>
        <v>0</v>
      </c>
      <c r="Q6" s="1414">
        <f>+E6+G6+K6+O6</f>
        <v>0</v>
      </c>
      <c r="R6" s="4142">
        <v>0</v>
      </c>
      <c r="S6" s="4143">
        <v>0</v>
      </c>
      <c r="T6" s="1414">
        <f t="shared" si="2"/>
        <v>0</v>
      </c>
      <c r="U6" s="1414">
        <f>+E6+S6+O6+K6+G6</f>
        <v>0</v>
      </c>
      <c r="V6" s="4142">
        <v>0</v>
      </c>
      <c r="W6" s="4143">
        <v>0</v>
      </c>
      <c r="X6" s="4087">
        <f t="shared" si="3"/>
        <v>0</v>
      </c>
      <c r="Y6" s="4140">
        <f t="shared" si="4"/>
        <v>0</v>
      </c>
      <c r="Z6" s="4088">
        <f t="shared" si="5"/>
        <v>0</v>
      </c>
      <c r="AA6" s="4085">
        <f>+W6+S6+O6+K6+G6+E6</f>
        <v>0</v>
      </c>
      <c r="AB6" s="4142">
        <v>0</v>
      </c>
      <c r="AC6" s="4143">
        <v>0</v>
      </c>
      <c r="AD6" s="4621">
        <f t="shared" si="6"/>
        <v>0</v>
      </c>
      <c r="AE6" s="4595">
        <f>+AC6+W6+S6+O6+K6+G6+E6</f>
        <v>0</v>
      </c>
      <c r="AF6" s="4613">
        <v>0</v>
      </c>
      <c r="AG6" s="4143">
        <v>0</v>
      </c>
      <c r="AH6" s="1365">
        <f t="shared" si="7"/>
        <v>0</v>
      </c>
      <c r="AI6" s="1414">
        <f>+AG6+AC6+W6+S6+O6+K6+G6+E6</f>
        <v>0</v>
      </c>
      <c r="AJ6" s="4142">
        <v>0</v>
      </c>
      <c r="AK6" s="4143">
        <v>0</v>
      </c>
      <c r="AL6" s="4087">
        <f t="shared" si="8"/>
        <v>0</v>
      </c>
      <c r="AM6" s="4139">
        <f t="shared" si="9"/>
        <v>0</v>
      </c>
      <c r="AN6" s="1365">
        <f t="shared" si="10"/>
        <v>0</v>
      </c>
      <c r="AO6" s="1414">
        <f>+AK6+AG6+AC6+W6+S6+O6+K6+G6+E6</f>
        <v>0</v>
      </c>
      <c r="AP6" s="4142">
        <v>0</v>
      </c>
      <c r="AQ6" s="4143">
        <v>0</v>
      </c>
      <c r="AR6" s="1365">
        <f t="shared" si="11"/>
        <v>0</v>
      </c>
      <c r="AS6" s="1414">
        <f>+AQ6+AK6+AG6+AC6+W6+S6+O6+K6+G6+E6</f>
        <v>0</v>
      </c>
      <c r="AT6" s="4142">
        <v>0</v>
      </c>
      <c r="AU6" s="4143">
        <v>0</v>
      </c>
      <c r="AV6" s="1365">
        <f t="shared" si="12"/>
        <v>0</v>
      </c>
      <c r="AW6" s="1414">
        <f>+AU6+AQ6+AK6+AG6+AC6+W6+S6+O6+K6+G6+E6</f>
        <v>0</v>
      </c>
      <c r="AX6" s="4142">
        <v>0</v>
      </c>
      <c r="AY6" s="4143">
        <v>0</v>
      </c>
      <c r="AZ6" s="4087">
        <f t="shared" si="13"/>
        <v>0</v>
      </c>
      <c r="BA6" s="4140">
        <f t="shared" si="14"/>
        <v>0</v>
      </c>
      <c r="BB6" s="4088">
        <f t="shared" si="15"/>
        <v>0</v>
      </c>
      <c r="BC6" s="4085">
        <f t="shared" si="16"/>
        <v>0</v>
      </c>
      <c r="BD6" s="1365">
        <f t="shared" si="17"/>
        <v>0</v>
      </c>
      <c r="BE6" s="1414">
        <f t="shared" si="18"/>
        <v>0</v>
      </c>
      <c r="BF6" s="1111"/>
      <c r="BG6" s="1111"/>
      <c r="BH6" s="491"/>
      <c r="BI6" s="491"/>
      <c r="BJ6" s="491"/>
      <c r="BQ6" s="491"/>
      <c r="BR6" s="491"/>
      <c r="BS6" s="491"/>
      <c r="BT6" s="491"/>
      <c r="BU6" s="491"/>
      <c r="BV6" s="491"/>
      <c r="BW6" s="491"/>
      <c r="BX6" s="491"/>
      <c r="BY6" s="491"/>
      <c r="BZ6" s="491"/>
      <c r="CA6" s="491"/>
      <c r="CB6" s="491"/>
    </row>
    <row r="7" spans="2:80" ht="21.9" customHeight="1" thickBot="1" x14ac:dyDescent="0.35">
      <c r="B7" s="6079"/>
      <c r="C7" s="4144" t="s">
        <v>2</v>
      </c>
      <c r="D7" s="4145">
        <f t="shared" ref="D7" si="20">SUM(D4:D6)</f>
        <v>11.6</v>
      </c>
      <c r="E7" s="4145">
        <f>SUM(E4:E6)</f>
        <v>45251.87</v>
      </c>
      <c r="F7" s="4145">
        <f t="shared" ref="F7:BE7" si="21">SUM(F4:F6)</f>
        <v>12.600000000000001</v>
      </c>
      <c r="G7" s="4145">
        <f t="shared" si="21"/>
        <v>46115.25</v>
      </c>
      <c r="H7" s="4145">
        <f t="shared" si="21"/>
        <v>24.2</v>
      </c>
      <c r="I7" s="4145">
        <f t="shared" si="21"/>
        <v>91367.12</v>
      </c>
      <c r="J7" s="4145">
        <f t="shared" si="21"/>
        <v>21.1</v>
      </c>
      <c r="K7" s="4145">
        <f t="shared" si="21"/>
        <v>80364</v>
      </c>
      <c r="L7" s="4145">
        <f t="shared" si="21"/>
        <v>45.3</v>
      </c>
      <c r="M7" s="4145">
        <f t="shared" si="21"/>
        <v>171731.12</v>
      </c>
      <c r="N7" s="4145">
        <f t="shared" si="21"/>
        <v>18.600000000000001</v>
      </c>
      <c r="O7" s="4145">
        <f t="shared" si="21"/>
        <v>73237.600000000006</v>
      </c>
      <c r="P7" s="4145">
        <f t="shared" si="21"/>
        <v>63.899999999999991</v>
      </c>
      <c r="Q7" s="4145">
        <f t="shared" si="21"/>
        <v>244968.72</v>
      </c>
      <c r="R7" s="4145">
        <f t="shared" si="21"/>
        <v>20.7</v>
      </c>
      <c r="S7" s="4145">
        <f t="shared" si="21"/>
        <v>82041.72</v>
      </c>
      <c r="T7" s="4145">
        <f t="shared" si="21"/>
        <v>84.6</v>
      </c>
      <c r="U7" s="4145">
        <f t="shared" si="21"/>
        <v>327010.44</v>
      </c>
      <c r="V7" s="4145">
        <f t="shared" si="21"/>
        <v>23.1</v>
      </c>
      <c r="W7" s="4145">
        <f t="shared" si="21"/>
        <v>92280</v>
      </c>
      <c r="X7" s="4145">
        <f t="shared" si="21"/>
        <v>62.400000000000006</v>
      </c>
      <c r="Y7" s="4145">
        <f t="shared" si="21"/>
        <v>247559.32</v>
      </c>
      <c r="Z7" s="4145">
        <f t="shared" si="21"/>
        <v>107.7</v>
      </c>
      <c r="AA7" s="4145">
        <f t="shared" si="21"/>
        <v>419290.44000000006</v>
      </c>
      <c r="AB7" s="4145">
        <f t="shared" si="21"/>
        <v>19.399999999999999</v>
      </c>
      <c r="AC7" s="4145">
        <f t="shared" si="21"/>
        <v>74925</v>
      </c>
      <c r="AD7" s="4622">
        <f t="shared" si="21"/>
        <v>127.10000000000001</v>
      </c>
      <c r="AE7" s="4520">
        <f t="shared" si="21"/>
        <v>494215.44</v>
      </c>
      <c r="AF7" s="4598">
        <f t="shared" si="21"/>
        <v>14.2</v>
      </c>
      <c r="AG7" s="4145">
        <f t="shared" ref="AG7" si="22">SUM(AG4:AG6)</f>
        <v>55864.319999999992</v>
      </c>
      <c r="AH7" s="4145">
        <f t="shared" si="21"/>
        <v>141.30000000000001</v>
      </c>
      <c r="AI7" s="4145">
        <f t="shared" ref="AI7:AI75" si="23">+AG7+AC7+W7+S7+O7+K7+G7+E7</f>
        <v>550079.76</v>
      </c>
      <c r="AJ7" s="4145">
        <f t="shared" si="21"/>
        <v>10.5</v>
      </c>
      <c r="AK7" s="4145">
        <f t="shared" si="21"/>
        <v>81673.53</v>
      </c>
      <c r="AL7" s="4145">
        <f t="shared" si="21"/>
        <v>44.1</v>
      </c>
      <c r="AM7" s="4145">
        <f t="shared" si="21"/>
        <v>212462.85</v>
      </c>
      <c r="AN7" s="4145">
        <f t="shared" si="21"/>
        <v>151.80000000000001</v>
      </c>
      <c r="AO7" s="4145">
        <f t="shared" si="21"/>
        <v>631753.29</v>
      </c>
      <c r="AP7" s="4145">
        <f t="shared" ref="AP7:AQ7" si="24">SUM(AP4:AP6)</f>
        <v>15.1</v>
      </c>
      <c r="AQ7" s="4145">
        <f t="shared" si="24"/>
        <v>61347.55</v>
      </c>
      <c r="AR7" s="4145">
        <f t="shared" si="21"/>
        <v>166.9</v>
      </c>
      <c r="AS7" s="4145">
        <f t="shared" si="21"/>
        <v>693100.84</v>
      </c>
      <c r="AT7" s="4145">
        <f t="shared" si="21"/>
        <v>15.2</v>
      </c>
      <c r="AU7" s="4145">
        <f t="shared" si="21"/>
        <v>59512.22</v>
      </c>
      <c r="AV7" s="4145">
        <f t="shared" si="21"/>
        <v>182.10000000000002</v>
      </c>
      <c r="AW7" s="4145">
        <f t="shared" si="21"/>
        <v>752613.06</v>
      </c>
      <c r="AX7" s="4145">
        <f t="shared" ref="AX7:AY7" si="25">SUM(AX4:AX6)</f>
        <v>16.399999999999999</v>
      </c>
      <c r="AY7" s="4145">
        <f t="shared" si="25"/>
        <v>64951.240000000005</v>
      </c>
      <c r="AZ7" s="4145">
        <f t="shared" si="21"/>
        <v>46.7</v>
      </c>
      <c r="BA7" s="4145">
        <f t="shared" si="21"/>
        <v>185811.00999999998</v>
      </c>
      <c r="BB7" s="4145">
        <f t="shared" si="21"/>
        <v>90.800000000000011</v>
      </c>
      <c r="BC7" s="4145">
        <f t="shared" si="21"/>
        <v>398273.86</v>
      </c>
      <c r="BD7" s="4145">
        <f t="shared" si="21"/>
        <v>198.5</v>
      </c>
      <c r="BE7" s="4145">
        <f t="shared" si="21"/>
        <v>817564.3</v>
      </c>
      <c r="BF7" s="1111"/>
      <c r="BG7" s="1111"/>
      <c r="BH7" s="491"/>
      <c r="BI7" s="491"/>
      <c r="BJ7" s="491"/>
      <c r="BQ7" s="491"/>
      <c r="BR7" s="491"/>
      <c r="BS7" s="491"/>
      <c r="BT7" s="491"/>
      <c r="BU7" s="491"/>
      <c r="BV7" s="491"/>
      <c r="BW7" s="491"/>
      <c r="BX7" s="491"/>
      <c r="BY7" s="491"/>
      <c r="BZ7" s="491"/>
      <c r="CA7" s="491"/>
      <c r="CB7" s="491"/>
    </row>
    <row r="8" spans="2:80" ht="21.9" customHeight="1" thickBot="1" x14ac:dyDescent="0.35">
      <c r="B8" s="6079"/>
      <c r="C8" s="4141" t="s">
        <v>968</v>
      </c>
      <c r="D8" s="4142">
        <v>6.2</v>
      </c>
      <c r="E8" s="4143">
        <v>23665.3</v>
      </c>
      <c r="F8" s="4142">
        <v>4.5</v>
      </c>
      <c r="G8" s="4143">
        <v>16649.5</v>
      </c>
      <c r="H8" s="1365">
        <f t="shared" si="0"/>
        <v>10.7</v>
      </c>
      <c r="I8" s="1366">
        <f t="shared" ref="I8:I75" si="26">+G8+E8</f>
        <v>40314.800000000003</v>
      </c>
      <c r="J8" s="4142">
        <v>9.1</v>
      </c>
      <c r="K8" s="4143">
        <v>34541</v>
      </c>
      <c r="L8" s="4087">
        <f t="shared" si="19"/>
        <v>19.799999999999997</v>
      </c>
      <c r="M8" s="4139">
        <f t="shared" ref="M8:M75" si="27">+E8+G8+K8</f>
        <v>74855.8</v>
      </c>
      <c r="N8" s="4142">
        <v>10.1</v>
      </c>
      <c r="O8" s="4143">
        <v>38148.699999999997</v>
      </c>
      <c r="P8" s="1414">
        <f t="shared" si="1"/>
        <v>29.9</v>
      </c>
      <c r="Q8" s="1414">
        <f t="shared" ref="Q8:Q75" si="28">+E8+G8+K8+O8</f>
        <v>113004.5</v>
      </c>
      <c r="R8" s="4142">
        <v>6.5</v>
      </c>
      <c r="S8" s="4143">
        <v>24877.300000000003</v>
      </c>
      <c r="T8" s="1414">
        <f t="shared" si="2"/>
        <v>36.4</v>
      </c>
      <c r="U8" s="1414">
        <f t="shared" ref="U8:U75" si="29">+E8+S8+O8+K8+G8</f>
        <v>137881.79999999999</v>
      </c>
      <c r="V8" s="4142">
        <v>3</v>
      </c>
      <c r="W8" s="4143">
        <v>11483.900000000001</v>
      </c>
      <c r="X8" s="4087">
        <f t="shared" si="3"/>
        <v>19.600000000000001</v>
      </c>
      <c r="Y8" s="4140">
        <f t="shared" si="4"/>
        <v>74509.899999999994</v>
      </c>
      <c r="Z8" s="4088">
        <f t="shared" si="5"/>
        <v>39.4</v>
      </c>
      <c r="AA8" s="4085">
        <f t="shared" ref="AA8:AA75" si="30">+W8+S8+O8+K8+G8+E8</f>
        <v>149365.69999999998</v>
      </c>
      <c r="AB8" s="4142">
        <v>5.6</v>
      </c>
      <c r="AC8" s="4143">
        <v>20853.599999999999</v>
      </c>
      <c r="AD8" s="4621">
        <f t="shared" si="6"/>
        <v>45</v>
      </c>
      <c r="AE8" s="4595">
        <f t="shared" ref="AE8:AE75" si="31">+AC8+W8+S8+O8+K8+G8+E8</f>
        <v>170219.3</v>
      </c>
      <c r="AF8" s="4613">
        <v>3</v>
      </c>
      <c r="AG8" s="4143">
        <v>11370.2</v>
      </c>
      <c r="AH8" s="1365">
        <f t="shared" ref="AH8:AH12" si="32">AD8+AF8</f>
        <v>48</v>
      </c>
      <c r="AI8" s="1414">
        <f t="shared" si="23"/>
        <v>181589.5</v>
      </c>
      <c r="AJ8" s="4142">
        <v>7.6</v>
      </c>
      <c r="AK8" s="4143">
        <v>22193</v>
      </c>
      <c r="AL8" s="4087">
        <f t="shared" ref="AL8:AL12" si="33">+AB8+AF8+AJ8</f>
        <v>16.2</v>
      </c>
      <c r="AM8" s="4139">
        <f t="shared" si="9"/>
        <v>54416.800000000003</v>
      </c>
      <c r="AN8" s="1365">
        <f t="shared" si="10"/>
        <v>55.6</v>
      </c>
      <c r="AO8" s="1414">
        <f t="shared" ref="AO8:AO75" si="34">+AK8+AG8+AC8+W8+S8+O8+K8+G8+E8</f>
        <v>203782.5</v>
      </c>
      <c r="AP8" s="4142">
        <v>6.5</v>
      </c>
      <c r="AQ8" s="4143">
        <v>24690.5</v>
      </c>
      <c r="AR8" s="1365">
        <f t="shared" ref="AR8:AR12" si="35">AN8+AP8</f>
        <v>62.1</v>
      </c>
      <c r="AS8" s="1414">
        <f t="shared" ref="AS8:AS75" si="36">+AQ8+AK8+AG8+AC8+W8+S8+O8+K8+G8+E8</f>
        <v>228472.99999999997</v>
      </c>
      <c r="AT8" s="4142">
        <v>8.1</v>
      </c>
      <c r="AU8" s="4143">
        <v>31169.4</v>
      </c>
      <c r="AV8" s="1365">
        <f t="shared" ref="AV8:AV12" si="37">AR8+AT8</f>
        <v>70.2</v>
      </c>
      <c r="AW8" s="1414">
        <f t="shared" ref="AW8:AW75" si="38">+AU8+AQ8+AK8+AG8+AC8+W8+S8+O8+K8+G8+E8</f>
        <v>259642.39999999997</v>
      </c>
      <c r="AX8" s="4142">
        <v>6.8</v>
      </c>
      <c r="AY8" s="4143">
        <v>26191.21</v>
      </c>
      <c r="AZ8" s="4087">
        <f t="shared" ref="AZ8:AZ12" si="39">+AP8+AT8+AX8</f>
        <v>21.4</v>
      </c>
      <c r="BA8" s="4140">
        <f t="shared" si="14"/>
        <v>82051.11</v>
      </c>
      <c r="BB8" s="4088">
        <f t="shared" ref="BB8:BB12" si="40">AL8+AZ8</f>
        <v>37.599999999999994</v>
      </c>
      <c r="BC8" s="4085">
        <f t="shared" si="16"/>
        <v>136467.91</v>
      </c>
      <c r="BD8" s="1365">
        <f t="shared" ref="BD8:BD12" si="41">AV8+AX8</f>
        <v>77</v>
      </c>
      <c r="BE8" s="1414">
        <f t="shared" si="18"/>
        <v>285833.61</v>
      </c>
      <c r="BF8" s="1111"/>
      <c r="BG8" s="1111"/>
      <c r="BH8" s="491"/>
      <c r="BI8" s="491"/>
      <c r="BJ8" s="491"/>
      <c r="BQ8" s="491"/>
      <c r="BR8" s="491"/>
      <c r="BS8" s="491"/>
      <c r="BT8" s="491"/>
      <c r="BU8" s="491"/>
      <c r="BV8" s="491"/>
      <c r="BW8" s="491"/>
      <c r="BX8" s="491"/>
      <c r="BY8" s="491"/>
      <c r="BZ8" s="491"/>
      <c r="CA8" s="491"/>
      <c r="CB8" s="491"/>
    </row>
    <row r="9" spans="2:80" ht="21.9" customHeight="1" thickBot="1" x14ac:dyDescent="0.35">
      <c r="B9" s="6080"/>
      <c r="C9" s="1345" t="s">
        <v>969</v>
      </c>
      <c r="D9" s="4146">
        <v>5.4</v>
      </c>
      <c r="E9" s="4147">
        <v>21586.57</v>
      </c>
      <c r="F9" s="4146">
        <v>8.1</v>
      </c>
      <c r="G9" s="4147">
        <v>29465.75</v>
      </c>
      <c r="H9" s="1365">
        <f t="shared" si="0"/>
        <v>13.5</v>
      </c>
      <c r="I9" s="1366">
        <f t="shared" si="26"/>
        <v>51052.32</v>
      </c>
      <c r="J9" s="4146">
        <v>12</v>
      </c>
      <c r="K9" s="4147">
        <v>45824</v>
      </c>
      <c r="L9" s="4087">
        <f t="shared" si="19"/>
        <v>25.5</v>
      </c>
      <c r="M9" s="4139">
        <f t="shared" si="27"/>
        <v>96876.32</v>
      </c>
      <c r="N9" s="4146">
        <v>8.5</v>
      </c>
      <c r="O9" s="4147">
        <v>35089.1</v>
      </c>
      <c r="P9" s="1414">
        <f t="shared" si="1"/>
        <v>34</v>
      </c>
      <c r="Q9" s="1414">
        <f t="shared" si="28"/>
        <v>131965.42000000001</v>
      </c>
      <c r="R9" s="4146">
        <v>14.2</v>
      </c>
      <c r="S9" s="4147">
        <v>57164.42</v>
      </c>
      <c r="T9" s="1414">
        <f t="shared" si="2"/>
        <v>48.2</v>
      </c>
      <c r="U9" s="1414">
        <f t="shared" si="29"/>
        <v>189129.84</v>
      </c>
      <c r="V9" s="4146">
        <v>20.100000000000001</v>
      </c>
      <c r="W9" s="4147">
        <v>80796.100000000006</v>
      </c>
      <c r="X9" s="4087">
        <f t="shared" si="3"/>
        <v>42.8</v>
      </c>
      <c r="Y9" s="4140">
        <f t="shared" si="4"/>
        <v>173049.62</v>
      </c>
      <c r="Z9" s="4088">
        <f t="shared" si="5"/>
        <v>68.3</v>
      </c>
      <c r="AA9" s="4085">
        <f t="shared" si="30"/>
        <v>269925.94</v>
      </c>
      <c r="AB9" s="4146">
        <v>13.8</v>
      </c>
      <c r="AC9" s="4147">
        <v>54071.4</v>
      </c>
      <c r="AD9" s="4621">
        <f t="shared" si="6"/>
        <v>82.1</v>
      </c>
      <c r="AE9" s="4595">
        <f t="shared" si="31"/>
        <v>323997.34000000003</v>
      </c>
      <c r="AF9" s="4146">
        <v>11.2</v>
      </c>
      <c r="AG9" s="4147">
        <v>44494.119999999995</v>
      </c>
      <c r="AH9" s="1365">
        <f t="shared" si="32"/>
        <v>93.3</v>
      </c>
      <c r="AI9" s="1414">
        <f t="shared" si="23"/>
        <v>368491.45999999996</v>
      </c>
      <c r="AJ9" s="4146">
        <v>2.9</v>
      </c>
      <c r="AK9" s="4147">
        <v>59480.53</v>
      </c>
      <c r="AL9" s="4087">
        <f t="shared" si="33"/>
        <v>27.9</v>
      </c>
      <c r="AM9" s="4139">
        <f t="shared" si="9"/>
        <v>158046.04999999999</v>
      </c>
      <c r="AN9" s="1365">
        <f t="shared" si="10"/>
        <v>96.2</v>
      </c>
      <c r="AO9" s="1414">
        <f t="shared" si="34"/>
        <v>427971.99</v>
      </c>
      <c r="AP9" s="4146">
        <v>8.6</v>
      </c>
      <c r="AQ9" s="4147">
        <v>36657.050000000003</v>
      </c>
      <c r="AR9" s="1365">
        <f t="shared" si="35"/>
        <v>104.8</v>
      </c>
      <c r="AS9" s="1414">
        <f t="shared" si="36"/>
        <v>464629.04</v>
      </c>
      <c r="AT9" s="4146">
        <v>7.1000000000000005</v>
      </c>
      <c r="AU9" s="4147">
        <v>28342.82</v>
      </c>
      <c r="AV9" s="1365">
        <f t="shared" si="37"/>
        <v>111.89999999999999</v>
      </c>
      <c r="AW9" s="1414">
        <f t="shared" si="38"/>
        <v>492971.86</v>
      </c>
      <c r="AX9" s="4146">
        <v>9.6</v>
      </c>
      <c r="AY9" s="4147">
        <v>38760.03</v>
      </c>
      <c r="AZ9" s="4087">
        <f t="shared" si="39"/>
        <v>25.299999999999997</v>
      </c>
      <c r="BA9" s="4140">
        <f t="shared" si="14"/>
        <v>103759.9</v>
      </c>
      <c r="BB9" s="4088">
        <f t="shared" si="40"/>
        <v>53.199999999999996</v>
      </c>
      <c r="BC9" s="4085">
        <f t="shared" si="16"/>
        <v>261805.94999999998</v>
      </c>
      <c r="BD9" s="1365">
        <f t="shared" si="41"/>
        <v>121.49999999999999</v>
      </c>
      <c r="BE9" s="1414">
        <f t="shared" si="18"/>
        <v>531731.89</v>
      </c>
      <c r="BF9" s="1111"/>
      <c r="BG9" s="1111"/>
      <c r="BH9" s="491"/>
      <c r="BI9" s="491"/>
      <c r="BJ9" s="491"/>
      <c r="BQ9" s="491"/>
      <c r="BR9" s="491"/>
      <c r="BS9" s="491"/>
      <c r="BT9" s="491"/>
      <c r="BU9" s="491"/>
      <c r="BV9" s="491"/>
      <c r="BW9" s="491"/>
      <c r="BX9" s="491"/>
      <c r="BY9" s="491"/>
      <c r="BZ9" s="491"/>
      <c r="CA9" s="491"/>
      <c r="CB9" s="491"/>
    </row>
    <row r="10" spans="2:80" ht="21.9" customHeight="1" thickBot="1" x14ac:dyDescent="0.35">
      <c r="B10" s="6078" t="s">
        <v>1172</v>
      </c>
      <c r="C10" s="1342" t="s">
        <v>970</v>
      </c>
      <c r="D10" s="1355">
        <v>48.400000000000006</v>
      </c>
      <c r="E10" s="1362">
        <v>185561.78999999998</v>
      </c>
      <c r="F10" s="1355">
        <v>48.2</v>
      </c>
      <c r="G10" s="1362">
        <v>179617.45</v>
      </c>
      <c r="H10" s="1365">
        <f t="shared" si="0"/>
        <v>96.600000000000009</v>
      </c>
      <c r="I10" s="1366">
        <f t="shared" si="26"/>
        <v>365179.24</v>
      </c>
      <c r="J10" s="1355">
        <v>55.5</v>
      </c>
      <c r="K10" s="1362">
        <v>210544</v>
      </c>
      <c r="L10" s="4087">
        <f t="shared" si="19"/>
        <v>152.10000000000002</v>
      </c>
      <c r="M10" s="4139">
        <f t="shared" si="27"/>
        <v>575723.24</v>
      </c>
      <c r="N10" s="1355">
        <v>62.3</v>
      </c>
      <c r="O10" s="1362">
        <v>245889.94</v>
      </c>
      <c r="P10" s="1414">
        <f t="shared" si="1"/>
        <v>214.40000000000003</v>
      </c>
      <c r="Q10" s="1414">
        <f t="shared" si="28"/>
        <v>821613.17999999993</v>
      </c>
      <c r="R10" s="1355">
        <v>51.3</v>
      </c>
      <c r="S10" s="1362">
        <v>198519.24</v>
      </c>
      <c r="T10" s="1414">
        <f t="shared" si="2"/>
        <v>265.70000000000005</v>
      </c>
      <c r="U10" s="1414">
        <f t="shared" si="29"/>
        <v>1020132.4199999999</v>
      </c>
      <c r="V10" s="1355">
        <v>63.8</v>
      </c>
      <c r="W10" s="1362">
        <v>248966.46999999997</v>
      </c>
      <c r="X10" s="4087">
        <f t="shared" si="3"/>
        <v>177.39999999999998</v>
      </c>
      <c r="Y10" s="4140">
        <f t="shared" si="4"/>
        <v>693375.64999999991</v>
      </c>
      <c r="Z10" s="4088">
        <f t="shared" si="5"/>
        <v>329.5</v>
      </c>
      <c r="AA10" s="4085">
        <f t="shared" si="30"/>
        <v>1269098.8899999999</v>
      </c>
      <c r="AB10" s="1355">
        <v>63.199999999999996</v>
      </c>
      <c r="AC10" s="1362">
        <v>243474.99</v>
      </c>
      <c r="AD10" s="4621">
        <f t="shared" si="6"/>
        <v>392.7</v>
      </c>
      <c r="AE10" s="4595">
        <f t="shared" si="31"/>
        <v>1512573.88</v>
      </c>
      <c r="AF10" s="1355">
        <v>46.7</v>
      </c>
      <c r="AG10" s="1362">
        <v>184238.98</v>
      </c>
      <c r="AH10" s="1365">
        <f t="shared" si="32"/>
        <v>439.4</v>
      </c>
      <c r="AI10" s="1414">
        <f t="shared" si="23"/>
        <v>1696812.8599999999</v>
      </c>
      <c r="AJ10" s="1355">
        <v>60.6</v>
      </c>
      <c r="AK10" s="1362">
        <v>216130.47999999998</v>
      </c>
      <c r="AL10" s="4087">
        <f t="shared" si="33"/>
        <v>170.5</v>
      </c>
      <c r="AM10" s="4139">
        <f t="shared" si="9"/>
        <v>643844.44999999995</v>
      </c>
      <c r="AN10" s="1365">
        <f t="shared" si="10"/>
        <v>500</v>
      </c>
      <c r="AO10" s="1414">
        <f t="shared" si="34"/>
        <v>1912943.3399999999</v>
      </c>
      <c r="AP10" s="1355">
        <v>57.5</v>
      </c>
      <c r="AQ10" s="1362">
        <v>227045.12</v>
      </c>
      <c r="AR10" s="1365">
        <f t="shared" si="35"/>
        <v>557.5</v>
      </c>
      <c r="AS10" s="1414">
        <f t="shared" si="36"/>
        <v>2139988.46</v>
      </c>
      <c r="AT10" s="1355">
        <v>49.3</v>
      </c>
      <c r="AU10" s="1362">
        <v>190660.5</v>
      </c>
      <c r="AV10" s="1365">
        <f t="shared" si="37"/>
        <v>606.79999999999995</v>
      </c>
      <c r="AW10" s="1414">
        <f t="shared" si="38"/>
        <v>2330648.96</v>
      </c>
      <c r="AX10" s="1355">
        <v>58.5</v>
      </c>
      <c r="AY10" s="1362">
        <v>233633.87</v>
      </c>
      <c r="AZ10" s="4087">
        <f t="shared" si="39"/>
        <v>165.3</v>
      </c>
      <c r="BA10" s="4140">
        <f t="shared" si="14"/>
        <v>651339.49</v>
      </c>
      <c r="BB10" s="4088">
        <f t="shared" si="40"/>
        <v>335.8</v>
      </c>
      <c r="BC10" s="4085">
        <f t="shared" si="16"/>
        <v>1295183.94</v>
      </c>
      <c r="BD10" s="1365">
        <f t="shared" si="41"/>
        <v>665.3</v>
      </c>
      <c r="BE10" s="1414">
        <f t="shared" si="18"/>
        <v>2564282.83</v>
      </c>
      <c r="BF10" s="1111"/>
      <c r="BG10" s="1111"/>
      <c r="BH10" s="491"/>
      <c r="BI10" s="491"/>
      <c r="BJ10" s="491"/>
      <c r="BQ10" s="491"/>
      <c r="BR10" s="491"/>
      <c r="BS10" s="491"/>
      <c r="BT10" s="491"/>
      <c r="BU10" s="491"/>
      <c r="BV10" s="491"/>
      <c r="BW10" s="491"/>
      <c r="BX10" s="491"/>
      <c r="BY10" s="491"/>
      <c r="BZ10" s="491"/>
      <c r="CA10" s="491"/>
      <c r="CB10" s="491"/>
    </row>
    <row r="11" spans="2:80" ht="21.9" customHeight="1" thickBot="1" x14ac:dyDescent="0.35">
      <c r="B11" s="6079"/>
      <c r="C11" s="4141" t="s">
        <v>971</v>
      </c>
      <c r="D11" s="4142">
        <v>16</v>
      </c>
      <c r="E11" s="4148">
        <v>62457.100000000006</v>
      </c>
      <c r="F11" s="4142">
        <v>16.2</v>
      </c>
      <c r="G11" s="4148">
        <v>57665.3</v>
      </c>
      <c r="H11" s="1365">
        <f t="shared" si="0"/>
        <v>32.200000000000003</v>
      </c>
      <c r="I11" s="1366">
        <f t="shared" si="26"/>
        <v>120122.40000000001</v>
      </c>
      <c r="J11" s="4142">
        <v>11.4</v>
      </c>
      <c r="K11" s="4148">
        <v>43637</v>
      </c>
      <c r="L11" s="4087">
        <f t="shared" si="19"/>
        <v>43.6</v>
      </c>
      <c r="M11" s="4139">
        <f t="shared" si="27"/>
        <v>163759.40000000002</v>
      </c>
      <c r="N11" s="4142">
        <v>8.8000000000000007</v>
      </c>
      <c r="O11" s="4148">
        <v>33986.5</v>
      </c>
      <c r="P11" s="1414">
        <f t="shared" si="1"/>
        <v>52.400000000000006</v>
      </c>
      <c r="Q11" s="1414">
        <f t="shared" si="28"/>
        <v>197745.90000000002</v>
      </c>
      <c r="R11" s="4142">
        <v>15</v>
      </c>
      <c r="S11" s="4148">
        <v>59832.829999999994</v>
      </c>
      <c r="T11" s="1414">
        <f t="shared" si="2"/>
        <v>67.400000000000006</v>
      </c>
      <c r="U11" s="1414">
        <f t="shared" si="29"/>
        <v>257578.72999999998</v>
      </c>
      <c r="V11" s="4142">
        <v>15.7</v>
      </c>
      <c r="W11" s="4148">
        <v>64874.799999999996</v>
      </c>
      <c r="X11" s="4087">
        <f t="shared" si="3"/>
        <v>39.5</v>
      </c>
      <c r="Y11" s="4140">
        <f t="shared" si="4"/>
        <v>158694.12999999998</v>
      </c>
      <c r="Z11" s="4088">
        <f t="shared" si="5"/>
        <v>83.1</v>
      </c>
      <c r="AA11" s="4085">
        <f t="shared" si="30"/>
        <v>322453.53000000003</v>
      </c>
      <c r="AB11" s="4142">
        <v>13.4</v>
      </c>
      <c r="AC11" s="4148">
        <v>52192.4</v>
      </c>
      <c r="AD11" s="4621">
        <f t="shared" si="6"/>
        <v>96.5</v>
      </c>
      <c r="AE11" s="4595">
        <f t="shared" si="31"/>
        <v>374645.93000000005</v>
      </c>
      <c r="AF11" s="4613">
        <v>13.1</v>
      </c>
      <c r="AG11" s="4148">
        <v>52944.41</v>
      </c>
      <c r="AH11" s="1365">
        <f t="shared" si="32"/>
        <v>109.6</v>
      </c>
      <c r="AI11" s="1414">
        <f t="shared" si="23"/>
        <v>427590.33999999997</v>
      </c>
      <c r="AJ11" s="4142">
        <v>6.9</v>
      </c>
      <c r="AK11" s="4148">
        <v>70013.509999999995</v>
      </c>
      <c r="AL11" s="4087">
        <f t="shared" si="33"/>
        <v>33.4</v>
      </c>
      <c r="AM11" s="4139">
        <f t="shared" si="9"/>
        <v>175150.32</v>
      </c>
      <c r="AN11" s="1365">
        <f t="shared" si="10"/>
        <v>116.5</v>
      </c>
      <c r="AO11" s="1414">
        <f t="shared" si="34"/>
        <v>497603.85</v>
      </c>
      <c r="AP11" s="4142">
        <v>10</v>
      </c>
      <c r="AQ11" s="4148">
        <v>40538.5</v>
      </c>
      <c r="AR11" s="1365">
        <f t="shared" si="35"/>
        <v>126.5</v>
      </c>
      <c r="AS11" s="1414">
        <f t="shared" si="36"/>
        <v>538142.35</v>
      </c>
      <c r="AT11" s="4142">
        <v>12.3</v>
      </c>
      <c r="AU11" s="4148">
        <v>49612.18</v>
      </c>
      <c r="AV11" s="1365">
        <f t="shared" si="37"/>
        <v>138.80000000000001</v>
      </c>
      <c r="AW11" s="1414">
        <f t="shared" si="38"/>
        <v>587754.53</v>
      </c>
      <c r="AX11" s="4142">
        <v>8.1</v>
      </c>
      <c r="AY11" s="4148">
        <v>35511.549999999996</v>
      </c>
      <c r="AZ11" s="4087">
        <f t="shared" si="39"/>
        <v>30.4</v>
      </c>
      <c r="BA11" s="4140">
        <f t="shared" si="14"/>
        <v>125662.22999999998</v>
      </c>
      <c r="BB11" s="4088">
        <f t="shared" si="40"/>
        <v>63.8</v>
      </c>
      <c r="BC11" s="4085">
        <f t="shared" si="16"/>
        <v>300812.55</v>
      </c>
      <c r="BD11" s="1365">
        <f t="shared" si="41"/>
        <v>146.9</v>
      </c>
      <c r="BE11" s="1414">
        <f t="shared" si="18"/>
        <v>623266.08000000007</v>
      </c>
      <c r="BF11" s="1111"/>
      <c r="BG11" s="1111"/>
      <c r="BH11" s="491"/>
      <c r="BI11" s="491"/>
      <c r="BJ11" s="491"/>
      <c r="BQ11" s="491"/>
      <c r="BR11" s="491"/>
      <c r="BS11" s="491"/>
      <c r="BT11" s="491"/>
      <c r="BU11" s="491"/>
      <c r="BV11" s="491"/>
      <c r="BW11" s="491"/>
      <c r="BX11" s="491"/>
      <c r="BY11" s="491"/>
      <c r="BZ11" s="491"/>
      <c r="CA11" s="491"/>
      <c r="CB11" s="491"/>
    </row>
    <row r="12" spans="2:80" ht="21.9" customHeight="1" x14ac:dyDescent="0.3">
      <c r="B12" s="6079"/>
      <c r="C12" s="4141" t="s">
        <v>1171</v>
      </c>
      <c r="D12" s="4142">
        <v>1</v>
      </c>
      <c r="E12" s="4143">
        <v>3478.6</v>
      </c>
      <c r="F12" s="4142">
        <v>1</v>
      </c>
      <c r="G12" s="4143">
        <v>3501.8</v>
      </c>
      <c r="H12" s="1365">
        <f t="shared" si="0"/>
        <v>2</v>
      </c>
      <c r="I12" s="1366">
        <f t="shared" si="26"/>
        <v>6980.4</v>
      </c>
      <c r="J12" s="4142">
        <v>3</v>
      </c>
      <c r="K12" s="4143">
        <v>10570</v>
      </c>
      <c r="L12" s="4087">
        <f t="shared" si="19"/>
        <v>5</v>
      </c>
      <c r="M12" s="4139">
        <f t="shared" si="27"/>
        <v>17550.400000000001</v>
      </c>
      <c r="N12" s="4142">
        <v>5</v>
      </c>
      <c r="O12" s="4143">
        <v>17532.900000000001</v>
      </c>
      <c r="P12" s="1414">
        <f t="shared" si="1"/>
        <v>10</v>
      </c>
      <c r="Q12" s="1414">
        <f t="shared" si="28"/>
        <v>35083.300000000003</v>
      </c>
      <c r="R12" s="4142">
        <v>5</v>
      </c>
      <c r="S12" s="4143">
        <v>18020.079999999998</v>
      </c>
      <c r="T12" s="1414">
        <f t="shared" si="2"/>
        <v>15</v>
      </c>
      <c r="U12" s="1414">
        <f t="shared" si="29"/>
        <v>53103.380000000005</v>
      </c>
      <c r="V12" s="4142">
        <v>0</v>
      </c>
      <c r="W12" s="4143">
        <v>0</v>
      </c>
      <c r="X12" s="4087">
        <f t="shared" si="3"/>
        <v>10</v>
      </c>
      <c r="Y12" s="4140">
        <f t="shared" si="4"/>
        <v>35552.979999999996</v>
      </c>
      <c r="Z12" s="4088">
        <f t="shared" si="5"/>
        <v>15</v>
      </c>
      <c r="AA12" s="4085">
        <f t="shared" si="30"/>
        <v>53103.38</v>
      </c>
      <c r="AB12" s="4142">
        <v>1</v>
      </c>
      <c r="AC12" s="4143">
        <v>4012</v>
      </c>
      <c r="AD12" s="4621">
        <f t="shared" si="6"/>
        <v>16</v>
      </c>
      <c r="AE12" s="4595">
        <f t="shared" si="31"/>
        <v>57115.38</v>
      </c>
      <c r="AF12" s="4613">
        <v>0</v>
      </c>
      <c r="AG12" s="4143">
        <v>0</v>
      </c>
      <c r="AH12" s="1365">
        <f t="shared" si="32"/>
        <v>16</v>
      </c>
      <c r="AI12" s="1414">
        <f t="shared" si="23"/>
        <v>57115.38</v>
      </c>
      <c r="AJ12" s="4142">
        <v>1</v>
      </c>
      <c r="AK12" s="4143">
        <v>0</v>
      </c>
      <c r="AL12" s="4087">
        <f t="shared" si="33"/>
        <v>2</v>
      </c>
      <c r="AM12" s="4139">
        <f t="shared" si="9"/>
        <v>4012</v>
      </c>
      <c r="AN12" s="1365">
        <f t="shared" si="10"/>
        <v>17</v>
      </c>
      <c r="AO12" s="1414">
        <f t="shared" si="34"/>
        <v>57115.38</v>
      </c>
      <c r="AP12" s="4142">
        <v>0</v>
      </c>
      <c r="AQ12" s="4143">
        <v>0</v>
      </c>
      <c r="AR12" s="1365">
        <f t="shared" si="35"/>
        <v>17</v>
      </c>
      <c r="AS12" s="1414">
        <f t="shared" si="36"/>
        <v>57115.38</v>
      </c>
      <c r="AT12" s="4142">
        <v>0</v>
      </c>
      <c r="AU12" s="4143">
        <v>0</v>
      </c>
      <c r="AV12" s="1365">
        <f t="shared" si="37"/>
        <v>17</v>
      </c>
      <c r="AW12" s="1414">
        <f t="shared" si="38"/>
        <v>57115.38</v>
      </c>
      <c r="AX12" s="4142">
        <v>0</v>
      </c>
      <c r="AY12" s="4143">
        <v>0</v>
      </c>
      <c r="AZ12" s="4087">
        <f t="shared" si="39"/>
        <v>0</v>
      </c>
      <c r="BA12" s="4140">
        <f t="shared" si="14"/>
        <v>0</v>
      </c>
      <c r="BB12" s="4088">
        <f t="shared" si="40"/>
        <v>2</v>
      </c>
      <c r="BC12" s="4085">
        <f t="shared" si="16"/>
        <v>4012</v>
      </c>
      <c r="BD12" s="1365">
        <f t="shared" si="41"/>
        <v>17</v>
      </c>
      <c r="BE12" s="1414">
        <f t="shared" si="18"/>
        <v>57115.38</v>
      </c>
      <c r="BF12" s="1111"/>
      <c r="BG12" s="1111"/>
      <c r="BH12" s="491"/>
      <c r="BI12" s="491"/>
      <c r="BJ12" s="491"/>
      <c r="BQ12" s="491"/>
      <c r="BR12" s="491"/>
      <c r="BS12" s="491"/>
      <c r="BT12" s="491"/>
      <c r="BU12" s="491"/>
      <c r="BV12" s="491"/>
      <c r="BW12" s="491"/>
      <c r="BX12" s="491"/>
      <c r="BY12" s="491"/>
      <c r="BZ12" s="491"/>
      <c r="CA12" s="491"/>
      <c r="CB12" s="491"/>
    </row>
    <row r="13" spans="2:80" ht="21.9" customHeight="1" thickBot="1" x14ac:dyDescent="0.35">
      <c r="B13" s="6079"/>
      <c r="C13" s="4144" t="s">
        <v>2</v>
      </c>
      <c r="D13" s="4145">
        <f t="shared" ref="D13:E13" si="42">SUM(D10:D12)</f>
        <v>65.400000000000006</v>
      </c>
      <c r="E13" s="4145">
        <f t="shared" si="42"/>
        <v>251497.49</v>
      </c>
      <c r="F13" s="4145">
        <f t="shared" ref="F13:BE13" si="43">SUM(F10:F12)</f>
        <v>65.400000000000006</v>
      </c>
      <c r="G13" s="4145">
        <f t="shared" si="43"/>
        <v>240784.55</v>
      </c>
      <c r="H13" s="4145">
        <f t="shared" si="43"/>
        <v>130.80000000000001</v>
      </c>
      <c r="I13" s="4145">
        <f t="shared" si="43"/>
        <v>492282.04000000004</v>
      </c>
      <c r="J13" s="4145">
        <f t="shared" si="43"/>
        <v>69.900000000000006</v>
      </c>
      <c r="K13" s="4145">
        <f t="shared" si="43"/>
        <v>264751</v>
      </c>
      <c r="L13" s="4145">
        <f t="shared" si="43"/>
        <v>200.70000000000002</v>
      </c>
      <c r="M13" s="4145">
        <f t="shared" si="43"/>
        <v>757033.04</v>
      </c>
      <c r="N13" s="4145">
        <f t="shared" si="43"/>
        <v>76.099999999999994</v>
      </c>
      <c r="O13" s="4145">
        <f t="shared" si="43"/>
        <v>297409.34000000003</v>
      </c>
      <c r="P13" s="4145">
        <f t="shared" si="43"/>
        <v>276.80000000000007</v>
      </c>
      <c r="Q13" s="4145">
        <f t="shared" si="43"/>
        <v>1054442.3799999999</v>
      </c>
      <c r="R13" s="4145">
        <f t="shared" si="43"/>
        <v>71.3</v>
      </c>
      <c r="S13" s="4145">
        <f t="shared" si="43"/>
        <v>276372.14999999997</v>
      </c>
      <c r="T13" s="4145">
        <f t="shared" si="43"/>
        <v>348.1</v>
      </c>
      <c r="U13" s="4145">
        <f t="shared" si="43"/>
        <v>1330814.5299999998</v>
      </c>
      <c r="V13" s="4145">
        <f t="shared" si="43"/>
        <v>79.5</v>
      </c>
      <c r="W13" s="4145">
        <f t="shared" si="43"/>
        <v>313841.26999999996</v>
      </c>
      <c r="X13" s="4145">
        <f t="shared" si="43"/>
        <v>226.89999999999998</v>
      </c>
      <c r="Y13" s="4145">
        <f t="shared" si="43"/>
        <v>887622.75999999989</v>
      </c>
      <c r="Z13" s="4145">
        <f t="shared" si="43"/>
        <v>427.6</v>
      </c>
      <c r="AA13" s="4145">
        <f t="shared" si="43"/>
        <v>1644655.7999999998</v>
      </c>
      <c r="AB13" s="4145">
        <f t="shared" si="43"/>
        <v>77.599999999999994</v>
      </c>
      <c r="AC13" s="4145">
        <f t="shared" si="43"/>
        <v>299679.39</v>
      </c>
      <c r="AD13" s="4622">
        <f t="shared" si="43"/>
        <v>505.2</v>
      </c>
      <c r="AE13" s="4520">
        <f t="shared" si="43"/>
        <v>1944335.19</v>
      </c>
      <c r="AF13" s="4598">
        <f t="shared" si="43"/>
        <v>59.800000000000004</v>
      </c>
      <c r="AG13" s="4145">
        <f t="shared" ref="AG13" si="44">SUM(AG10:AG12)</f>
        <v>237183.39</v>
      </c>
      <c r="AH13" s="4145">
        <f t="shared" si="43"/>
        <v>565</v>
      </c>
      <c r="AI13" s="4145">
        <f t="shared" si="23"/>
        <v>2181518.58</v>
      </c>
      <c r="AJ13" s="4145">
        <f t="shared" si="43"/>
        <v>68.5</v>
      </c>
      <c r="AK13" s="4145">
        <f t="shared" si="43"/>
        <v>286143.99</v>
      </c>
      <c r="AL13" s="4145">
        <f t="shared" si="43"/>
        <v>205.9</v>
      </c>
      <c r="AM13" s="4145">
        <f t="shared" si="43"/>
        <v>823006.77</v>
      </c>
      <c r="AN13" s="4145">
        <f t="shared" si="43"/>
        <v>633.5</v>
      </c>
      <c r="AO13" s="4145">
        <f t="shared" si="43"/>
        <v>2467662.5699999998</v>
      </c>
      <c r="AP13" s="4145">
        <f t="shared" ref="AP13:AQ13" si="45">SUM(AP10:AP12)</f>
        <v>67.5</v>
      </c>
      <c r="AQ13" s="4145">
        <f t="shared" si="45"/>
        <v>267583.62</v>
      </c>
      <c r="AR13" s="4145">
        <f t="shared" si="43"/>
        <v>701</v>
      </c>
      <c r="AS13" s="4145">
        <f t="shared" si="43"/>
        <v>2735246.19</v>
      </c>
      <c r="AT13" s="4145">
        <f t="shared" si="43"/>
        <v>61.599999999999994</v>
      </c>
      <c r="AU13" s="4145">
        <f t="shared" si="43"/>
        <v>240272.68</v>
      </c>
      <c r="AV13" s="4145">
        <f t="shared" si="43"/>
        <v>762.59999999999991</v>
      </c>
      <c r="AW13" s="4145">
        <f t="shared" si="43"/>
        <v>2975518.87</v>
      </c>
      <c r="AX13" s="4145">
        <f t="shared" ref="AX13:AY13" si="46">SUM(AX10:AX12)</f>
        <v>66.599999999999994</v>
      </c>
      <c r="AY13" s="4145">
        <f t="shared" si="46"/>
        <v>269145.42</v>
      </c>
      <c r="AZ13" s="4145">
        <f t="shared" si="43"/>
        <v>195.70000000000002</v>
      </c>
      <c r="BA13" s="4145">
        <f t="shared" si="43"/>
        <v>777001.72</v>
      </c>
      <c r="BB13" s="4145">
        <f t="shared" si="43"/>
        <v>401.6</v>
      </c>
      <c r="BC13" s="4145">
        <f t="shared" si="43"/>
        <v>1600008.49</v>
      </c>
      <c r="BD13" s="4145">
        <f t="shared" si="43"/>
        <v>829.19999999999993</v>
      </c>
      <c r="BE13" s="4145">
        <f t="shared" si="43"/>
        <v>3244664.29</v>
      </c>
      <c r="BF13" s="1111"/>
      <c r="BG13" s="1111"/>
      <c r="BH13" s="491"/>
      <c r="BI13" s="491"/>
      <c r="BJ13" s="491"/>
      <c r="BQ13" s="491"/>
      <c r="BR13" s="491"/>
      <c r="BS13" s="491"/>
      <c r="BT13" s="491"/>
      <c r="BU13" s="491"/>
      <c r="BV13" s="491"/>
      <c r="BW13" s="491"/>
      <c r="BX13" s="491"/>
      <c r="BY13" s="491"/>
      <c r="BZ13" s="491"/>
      <c r="CA13" s="491"/>
      <c r="CB13" s="491"/>
    </row>
    <row r="14" spans="2:80" ht="21.9" customHeight="1" thickBot="1" x14ac:dyDescent="0.35">
      <c r="B14" s="6079"/>
      <c r="C14" s="4141" t="s">
        <v>968</v>
      </c>
      <c r="D14" s="4142">
        <v>33.799999999999997</v>
      </c>
      <c r="E14" s="4143">
        <v>128166.6</v>
      </c>
      <c r="F14" s="4142">
        <v>37.5</v>
      </c>
      <c r="G14" s="4143">
        <v>141713.29999999999</v>
      </c>
      <c r="H14" s="1365">
        <f t="shared" si="0"/>
        <v>71.3</v>
      </c>
      <c r="I14" s="1366">
        <f t="shared" si="26"/>
        <v>269879.90000000002</v>
      </c>
      <c r="J14" s="4142">
        <v>40.9</v>
      </c>
      <c r="K14" s="4143">
        <v>156519</v>
      </c>
      <c r="L14" s="4087">
        <f t="shared" si="19"/>
        <v>112.19999999999999</v>
      </c>
      <c r="M14" s="4139">
        <f t="shared" si="27"/>
        <v>426398.9</v>
      </c>
      <c r="N14" s="4142">
        <v>41.6</v>
      </c>
      <c r="O14" s="4143">
        <v>157151</v>
      </c>
      <c r="P14" s="1414">
        <f t="shared" si="1"/>
        <v>153.79999999999998</v>
      </c>
      <c r="Q14" s="1414">
        <f t="shared" si="28"/>
        <v>583549.9</v>
      </c>
      <c r="R14" s="4142">
        <v>31.5</v>
      </c>
      <c r="S14" s="4143">
        <v>118600.1</v>
      </c>
      <c r="T14" s="1414">
        <f t="shared" si="2"/>
        <v>185.29999999999998</v>
      </c>
      <c r="U14" s="1414">
        <f t="shared" si="29"/>
        <v>702150</v>
      </c>
      <c r="V14" s="4142">
        <v>18.8</v>
      </c>
      <c r="W14" s="4143">
        <v>71715.3</v>
      </c>
      <c r="X14" s="4087">
        <f t="shared" si="3"/>
        <v>91.899999999999991</v>
      </c>
      <c r="Y14" s="4140">
        <f t="shared" si="4"/>
        <v>347466.39999999997</v>
      </c>
      <c r="Z14" s="4088">
        <f t="shared" si="5"/>
        <v>204.09999999999997</v>
      </c>
      <c r="AA14" s="4085">
        <f t="shared" si="30"/>
        <v>773865.29999999993</v>
      </c>
      <c r="AB14" s="4142">
        <v>31.4</v>
      </c>
      <c r="AC14" s="4143">
        <v>118011</v>
      </c>
      <c r="AD14" s="4621">
        <f t="shared" si="6"/>
        <v>235.49999999999997</v>
      </c>
      <c r="AE14" s="4595">
        <f t="shared" si="31"/>
        <v>891876.29999999993</v>
      </c>
      <c r="AF14" s="4613">
        <v>21</v>
      </c>
      <c r="AG14" s="4143">
        <v>78525.400000000009</v>
      </c>
      <c r="AH14" s="1365">
        <f t="shared" ref="AH14:AH20" si="47">AD14+AF14</f>
        <v>256.5</v>
      </c>
      <c r="AI14" s="1414">
        <f t="shared" si="23"/>
        <v>970401.70000000007</v>
      </c>
      <c r="AJ14" s="4142">
        <v>59.4</v>
      </c>
      <c r="AK14" s="4143">
        <v>115965.5</v>
      </c>
      <c r="AL14" s="4087">
        <f t="shared" ref="AL14:AL20" si="48">+AB14+AF14+AJ14</f>
        <v>111.8</v>
      </c>
      <c r="AM14" s="4139">
        <f t="shared" si="9"/>
        <v>312501.90000000002</v>
      </c>
      <c r="AN14" s="1365">
        <f t="shared" si="10"/>
        <v>315.89999999999998</v>
      </c>
      <c r="AO14" s="1414">
        <f t="shared" si="34"/>
        <v>1086367.2000000002</v>
      </c>
      <c r="AP14" s="4142">
        <v>34.5</v>
      </c>
      <c r="AQ14" s="4143">
        <v>133030.20000000001</v>
      </c>
      <c r="AR14" s="1365">
        <f t="shared" ref="AR14:AR20" si="49">AN14+AP14</f>
        <v>350.4</v>
      </c>
      <c r="AS14" s="1414">
        <f t="shared" si="36"/>
        <v>1219397.4000000001</v>
      </c>
      <c r="AT14" s="4142">
        <v>29.9</v>
      </c>
      <c r="AU14" s="4143">
        <v>113945.5</v>
      </c>
      <c r="AV14" s="1365">
        <f t="shared" ref="AV14:AV20" si="50">AR14+AT14</f>
        <v>380.29999999999995</v>
      </c>
      <c r="AW14" s="1414">
        <f t="shared" si="38"/>
        <v>1333342.9000000001</v>
      </c>
      <c r="AX14" s="4142">
        <v>26.2</v>
      </c>
      <c r="AY14" s="4143">
        <v>101229.5</v>
      </c>
      <c r="AZ14" s="4087">
        <f t="shared" ref="AZ14:AZ20" si="51">+AP14+AT14+AX14</f>
        <v>90.600000000000009</v>
      </c>
      <c r="BA14" s="4140">
        <f t="shared" si="14"/>
        <v>348205.2</v>
      </c>
      <c r="BB14" s="4088">
        <f t="shared" ref="BB14:BB20" si="52">AL14+AZ14</f>
        <v>202.4</v>
      </c>
      <c r="BC14" s="4085">
        <f t="shared" si="16"/>
        <v>660707.10000000009</v>
      </c>
      <c r="BD14" s="1365">
        <f t="shared" ref="BD14:BD20" si="53">AV14+AX14</f>
        <v>406.49999999999994</v>
      </c>
      <c r="BE14" s="1414">
        <f t="shared" si="18"/>
        <v>1434572.4</v>
      </c>
      <c r="BF14" s="1111"/>
      <c r="BG14" s="1111"/>
      <c r="BH14" s="491"/>
      <c r="BI14" s="491"/>
      <c r="BJ14" s="491"/>
      <c r="BQ14" s="491"/>
      <c r="BR14" s="491"/>
      <c r="BS14" s="491"/>
      <c r="BT14" s="491"/>
      <c r="BU14" s="491"/>
      <c r="BV14" s="491"/>
      <c r="BW14" s="491"/>
      <c r="BX14" s="491"/>
      <c r="BY14" s="491"/>
      <c r="BZ14" s="491"/>
      <c r="CA14" s="491"/>
      <c r="CB14" s="491"/>
    </row>
    <row r="15" spans="2:80" ht="21.9" customHeight="1" thickBot="1" x14ac:dyDescent="0.35">
      <c r="B15" s="6080"/>
      <c r="C15" s="5521" t="s">
        <v>969</v>
      </c>
      <c r="D15" s="4637">
        <v>31.6</v>
      </c>
      <c r="E15" s="5522">
        <v>123330.89</v>
      </c>
      <c r="F15" s="4637">
        <v>27.9</v>
      </c>
      <c r="G15" s="5522">
        <v>99071.25</v>
      </c>
      <c r="H15" s="1365">
        <f t="shared" si="0"/>
        <v>59.5</v>
      </c>
      <c r="I15" s="1366">
        <f t="shared" si="26"/>
        <v>222402.14</v>
      </c>
      <c r="J15" s="4146">
        <v>29</v>
      </c>
      <c r="K15" s="4147">
        <v>108233</v>
      </c>
      <c r="L15" s="4087">
        <f t="shared" si="19"/>
        <v>88.5</v>
      </c>
      <c r="M15" s="4139">
        <f t="shared" si="27"/>
        <v>330635.14</v>
      </c>
      <c r="N15" s="4146">
        <v>34.5</v>
      </c>
      <c r="O15" s="4147">
        <v>140258.34</v>
      </c>
      <c r="P15" s="1414">
        <f t="shared" si="1"/>
        <v>123</v>
      </c>
      <c r="Q15" s="1414">
        <f t="shared" si="28"/>
        <v>470893.48</v>
      </c>
      <c r="R15" s="4146">
        <v>39.799999999999997</v>
      </c>
      <c r="S15" s="4147">
        <v>157772.05000000002</v>
      </c>
      <c r="T15" s="1414">
        <f t="shared" si="2"/>
        <v>162.80000000000001</v>
      </c>
      <c r="U15" s="1414">
        <f t="shared" si="29"/>
        <v>628665.53</v>
      </c>
      <c r="V15" s="4146">
        <v>60.7</v>
      </c>
      <c r="W15" s="4147">
        <v>242125.96999999997</v>
      </c>
      <c r="X15" s="4087">
        <f t="shared" si="3"/>
        <v>135</v>
      </c>
      <c r="Y15" s="4140">
        <f t="shared" si="4"/>
        <v>540156.36</v>
      </c>
      <c r="Z15" s="4088">
        <f t="shared" si="5"/>
        <v>223.5</v>
      </c>
      <c r="AA15" s="4085">
        <f t="shared" si="30"/>
        <v>870791.5</v>
      </c>
      <c r="AB15" s="4146">
        <v>46.199999999999996</v>
      </c>
      <c r="AC15" s="4147">
        <v>181668.38999999998</v>
      </c>
      <c r="AD15" s="4621">
        <f t="shared" si="6"/>
        <v>269.7</v>
      </c>
      <c r="AE15" s="4595">
        <f t="shared" si="31"/>
        <v>1052459.8899999999</v>
      </c>
      <c r="AF15" s="4146">
        <v>38.799999999999997</v>
      </c>
      <c r="AG15" s="4147">
        <v>158657.99</v>
      </c>
      <c r="AH15" s="1365">
        <f t="shared" si="47"/>
        <v>308.5</v>
      </c>
      <c r="AI15" s="1414">
        <f t="shared" si="23"/>
        <v>1211117.8799999999</v>
      </c>
      <c r="AJ15" s="4146">
        <v>9.1</v>
      </c>
      <c r="AK15" s="4147">
        <v>170178.49</v>
      </c>
      <c r="AL15" s="4087">
        <f t="shared" si="48"/>
        <v>94.1</v>
      </c>
      <c r="AM15" s="4139">
        <f t="shared" si="9"/>
        <v>510504.87</v>
      </c>
      <c r="AN15" s="1365">
        <f t="shared" si="10"/>
        <v>317.60000000000002</v>
      </c>
      <c r="AO15" s="1414">
        <f t="shared" si="34"/>
        <v>1381296.3699999999</v>
      </c>
      <c r="AP15" s="4146">
        <v>33</v>
      </c>
      <c r="AQ15" s="4147">
        <v>134553.41999999998</v>
      </c>
      <c r="AR15" s="1365">
        <f t="shared" si="49"/>
        <v>350.6</v>
      </c>
      <c r="AS15" s="1414">
        <f t="shared" si="36"/>
        <v>1515849.7899999998</v>
      </c>
      <c r="AT15" s="4146">
        <v>31.7</v>
      </c>
      <c r="AU15" s="4147">
        <v>126327.18000000001</v>
      </c>
      <c r="AV15" s="1365">
        <f t="shared" si="50"/>
        <v>382.3</v>
      </c>
      <c r="AW15" s="1414">
        <f t="shared" si="38"/>
        <v>1642176.97</v>
      </c>
      <c r="AX15" s="4146">
        <v>40.4</v>
      </c>
      <c r="AY15" s="4147">
        <v>167915.92</v>
      </c>
      <c r="AZ15" s="4087">
        <f t="shared" si="51"/>
        <v>105.1</v>
      </c>
      <c r="BA15" s="4140">
        <f t="shared" si="14"/>
        <v>428796.52</v>
      </c>
      <c r="BB15" s="4088">
        <f t="shared" si="52"/>
        <v>199.2</v>
      </c>
      <c r="BC15" s="4085">
        <f t="shared" si="16"/>
        <v>939301.39</v>
      </c>
      <c r="BD15" s="1365">
        <f t="shared" si="53"/>
        <v>422.7</v>
      </c>
      <c r="BE15" s="1414">
        <f t="shared" si="18"/>
        <v>1810092.8900000001</v>
      </c>
      <c r="BF15" s="1111"/>
      <c r="BG15" s="1111"/>
      <c r="BH15" s="491"/>
      <c r="BI15" s="491"/>
      <c r="BJ15" s="491"/>
      <c r="BQ15" s="491"/>
      <c r="BR15" s="491"/>
      <c r="BS15" s="491"/>
      <c r="BT15" s="491"/>
      <c r="BU15" s="491"/>
      <c r="BV15" s="491"/>
      <c r="BW15" s="491"/>
      <c r="BX15" s="491"/>
      <c r="BY15" s="491"/>
      <c r="BZ15" s="491"/>
      <c r="CA15" s="491"/>
      <c r="CB15" s="491"/>
    </row>
    <row r="16" spans="2:80" ht="21.9" customHeight="1" thickBot="1" x14ac:dyDescent="0.35">
      <c r="B16" s="6078" t="s">
        <v>1255</v>
      </c>
      <c r="C16" s="5523" t="s">
        <v>1962</v>
      </c>
      <c r="D16" s="5039">
        <v>21</v>
      </c>
      <c r="E16" s="5038">
        <v>89757.4</v>
      </c>
      <c r="F16" s="5039">
        <v>17</v>
      </c>
      <c r="G16" s="5038">
        <v>69093</v>
      </c>
      <c r="H16" s="1365">
        <f t="shared" si="0"/>
        <v>38</v>
      </c>
      <c r="I16" s="1366">
        <f t="shared" si="26"/>
        <v>158850.4</v>
      </c>
      <c r="J16" s="4369">
        <v>20</v>
      </c>
      <c r="K16" s="4370">
        <v>85063</v>
      </c>
      <c r="L16" s="4087">
        <f t="shared" ref="L16:L18" si="54">+D16+F16+J16</f>
        <v>58</v>
      </c>
      <c r="M16" s="4139">
        <f t="shared" si="27"/>
        <v>243913.4</v>
      </c>
      <c r="N16" s="4369">
        <v>22</v>
      </c>
      <c r="O16" s="4370">
        <v>90744.8</v>
      </c>
      <c r="P16" s="1414">
        <f t="shared" si="1"/>
        <v>80</v>
      </c>
      <c r="Q16" s="1414">
        <f t="shared" si="28"/>
        <v>334658.2</v>
      </c>
      <c r="R16" s="4369">
        <v>18</v>
      </c>
      <c r="S16" s="4370">
        <v>74831.399999999994</v>
      </c>
      <c r="T16" s="1414">
        <f t="shared" si="2"/>
        <v>98</v>
      </c>
      <c r="U16" s="1414">
        <f t="shared" si="29"/>
        <v>409489.6</v>
      </c>
      <c r="V16" s="4369">
        <v>18</v>
      </c>
      <c r="W16" s="4370">
        <v>73771.8</v>
      </c>
      <c r="X16" s="4087">
        <f t="shared" si="3"/>
        <v>58</v>
      </c>
      <c r="Y16" s="4140">
        <f t="shared" si="4"/>
        <v>239348</v>
      </c>
      <c r="Z16" s="4088">
        <f t="shared" si="5"/>
        <v>116</v>
      </c>
      <c r="AA16" s="4085">
        <f t="shared" si="30"/>
        <v>483261.4</v>
      </c>
      <c r="AB16" s="4369">
        <v>16</v>
      </c>
      <c r="AC16" s="4370">
        <v>67646.600000000006</v>
      </c>
      <c r="AD16" s="4621">
        <f t="shared" si="6"/>
        <v>132</v>
      </c>
      <c r="AE16" s="4595">
        <f t="shared" si="31"/>
        <v>550908</v>
      </c>
      <c r="AF16" s="4369">
        <v>18</v>
      </c>
      <c r="AG16" s="4370">
        <v>72568.2</v>
      </c>
      <c r="AH16" s="1365"/>
      <c r="AI16" s="1414">
        <f t="shared" si="23"/>
        <v>623476.20000000007</v>
      </c>
      <c r="AJ16" s="4369"/>
      <c r="AK16" s="4370">
        <v>74404.2</v>
      </c>
      <c r="AL16" s="4087"/>
      <c r="AM16" s="4139">
        <f t="shared" si="9"/>
        <v>214619</v>
      </c>
      <c r="AN16" s="1365"/>
      <c r="AO16" s="1414">
        <f t="shared" si="34"/>
        <v>697880.4</v>
      </c>
      <c r="AP16" s="4369">
        <v>18</v>
      </c>
      <c r="AQ16" s="4370">
        <v>75892</v>
      </c>
      <c r="AR16" s="1365"/>
      <c r="AS16" s="1414">
        <f t="shared" si="36"/>
        <v>773772.4</v>
      </c>
      <c r="AT16" s="4369">
        <v>17</v>
      </c>
      <c r="AU16" s="4370">
        <v>72020</v>
      </c>
      <c r="AV16" s="1365"/>
      <c r="AW16" s="1414">
        <f t="shared" si="38"/>
        <v>845792.4</v>
      </c>
      <c r="AX16" s="4369">
        <v>19</v>
      </c>
      <c r="AY16" s="4370">
        <v>81669.600000000006</v>
      </c>
      <c r="AZ16" s="4087"/>
      <c r="BA16" s="4140">
        <f t="shared" si="14"/>
        <v>229581.6</v>
      </c>
      <c r="BB16" s="4088"/>
      <c r="BC16" s="4085">
        <f t="shared" si="16"/>
        <v>444200.6</v>
      </c>
      <c r="BD16" s="1365"/>
      <c r="BE16" s="1414">
        <f t="shared" si="18"/>
        <v>927462</v>
      </c>
      <c r="BF16" s="1111"/>
      <c r="BG16" s="1111"/>
      <c r="BH16" s="491"/>
      <c r="BI16" s="491"/>
      <c r="BJ16" s="491"/>
      <c r="BQ16" s="491"/>
      <c r="BR16" s="491"/>
      <c r="BS16" s="491"/>
      <c r="BT16" s="491"/>
      <c r="BU16" s="491"/>
      <c r="BV16" s="491"/>
      <c r="BW16" s="491"/>
      <c r="BX16" s="491"/>
      <c r="BY16" s="491"/>
      <c r="BZ16" s="491"/>
      <c r="CA16" s="491"/>
      <c r="CB16" s="491"/>
    </row>
    <row r="17" spans="2:80" ht="21.9" customHeight="1" thickBot="1" x14ac:dyDescent="0.35">
      <c r="B17" s="6101"/>
      <c r="C17" s="5523" t="s">
        <v>1255</v>
      </c>
      <c r="D17" s="5039">
        <v>14</v>
      </c>
      <c r="E17" s="5038">
        <v>57486.470000000008</v>
      </c>
      <c r="F17" s="5039">
        <v>19</v>
      </c>
      <c r="G17" s="5038">
        <v>77824.490000000005</v>
      </c>
      <c r="H17" s="1365">
        <f t="shared" si="0"/>
        <v>33</v>
      </c>
      <c r="I17" s="1366">
        <f t="shared" si="26"/>
        <v>135310.96000000002</v>
      </c>
      <c r="J17" s="4369">
        <v>16</v>
      </c>
      <c r="K17" s="4370">
        <v>66375</v>
      </c>
      <c r="L17" s="4087">
        <f t="shared" si="54"/>
        <v>49</v>
      </c>
      <c r="M17" s="4139">
        <f t="shared" si="27"/>
        <v>201685.96000000002</v>
      </c>
      <c r="N17" s="4369">
        <v>16</v>
      </c>
      <c r="O17" s="4370">
        <v>65365.38</v>
      </c>
      <c r="P17" s="1414">
        <f t="shared" si="1"/>
        <v>65</v>
      </c>
      <c r="Q17" s="1414">
        <f t="shared" si="28"/>
        <v>267051.34000000003</v>
      </c>
      <c r="R17" s="4369">
        <v>20</v>
      </c>
      <c r="S17" s="4370">
        <v>82261.61</v>
      </c>
      <c r="T17" s="1414">
        <f t="shared" si="2"/>
        <v>85</v>
      </c>
      <c r="U17" s="1414">
        <f t="shared" si="29"/>
        <v>349312.95</v>
      </c>
      <c r="V17" s="4369">
        <v>14</v>
      </c>
      <c r="W17" s="4370">
        <v>58497.16</v>
      </c>
      <c r="X17" s="4087">
        <f t="shared" si="3"/>
        <v>50</v>
      </c>
      <c r="Y17" s="4140">
        <f t="shared" si="4"/>
        <v>206124.15</v>
      </c>
      <c r="Z17" s="4088">
        <f t="shared" si="5"/>
        <v>99</v>
      </c>
      <c r="AA17" s="4085">
        <f t="shared" si="30"/>
        <v>407810.11000000004</v>
      </c>
      <c r="AB17" s="4369">
        <v>16</v>
      </c>
      <c r="AC17" s="4370">
        <v>65790.649999999994</v>
      </c>
      <c r="AD17" s="4621">
        <f t="shared" si="6"/>
        <v>115</v>
      </c>
      <c r="AE17" s="4595">
        <f t="shared" si="31"/>
        <v>473600.76</v>
      </c>
      <c r="AF17" s="4369">
        <v>15</v>
      </c>
      <c r="AG17" s="4370">
        <v>61123.93</v>
      </c>
      <c r="AH17" s="1365"/>
      <c r="AI17" s="1414">
        <f t="shared" si="23"/>
        <v>534724.68999999994</v>
      </c>
      <c r="AJ17" s="4369"/>
      <c r="AK17" s="4370">
        <v>65777</v>
      </c>
      <c r="AL17" s="4087"/>
      <c r="AM17" s="4139">
        <f t="shared" si="9"/>
        <v>192691.58</v>
      </c>
      <c r="AN17" s="1365"/>
      <c r="AO17" s="1414">
        <f t="shared" si="34"/>
        <v>600501.68999999994</v>
      </c>
      <c r="AP17" s="4369">
        <v>14</v>
      </c>
      <c r="AQ17" s="4370">
        <v>56692.73</v>
      </c>
      <c r="AR17" s="1365"/>
      <c r="AS17" s="1414">
        <f t="shared" si="36"/>
        <v>657194.41999999993</v>
      </c>
      <c r="AT17" s="4369">
        <v>15</v>
      </c>
      <c r="AU17" s="4370">
        <v>61602.71</v>
      </c>
      <c r="AV17" s="1365"/>
      <c r="AW17" s="1414">
        <f t="shared" si="38"/>
        <v>718797.13</v>
      </c>
      <c r="AX17" s="4369">
        <v>15</v>
      </c>
      <c r="AY17" s="4370">
        <v>62110.96</v>
      </c>
      <c r="AZ17" s="4087"/>
      <c r="BA17" s="4140">
        <f t="shared" si="14"/>
        <v>180406.39999999999</v>
      </c>
      <c r="BB17" s="4088"/>
      <c r="BC17" s="4085">
        <f t="shared" si="16"/>
        <v>373097.98</v>
      </c>
      <c r="BD17" s="1365"/>
      <c r="BE17" s="1414">
        <f t="shared" si="18"/>
        <v>780908.09000000008</v>
      </c>
      <c r="BF17" s="1111"/>
      <c r="BG17" s="1111"/>
      <c r="BH17" s="491"/>
      <c r="BI17" s="491"/>
      <c r="BJ17" s="491"/>
      <c r="BQ17" s="491"/>
      <c r="BR17" s="491"/>
      <c r="BS17" s="491"/>
      <c r="BT17" s="491"/>
      <c r="BU17" s="491"/>
      <c r="BV17" s="491"/>
      <c r="BW17" s="491"/>
      <c r="BX17" s="491"/>
      <c r="BY17" s="491"/>
      <c r="BZ17" s="491"/>
      <c r="CA17" s="491"/>
      <c r="CB17" s="491"/>
    </row>
    <row r="18" spans="2:80" ht="21.9" customHeight="1" thickBot="1" x14ac:dyDescent="0.35">
      <c r="B18" s="4368"/>
      <c r="C18" s="4367"/>
      <c r="D18" s="4369"/>
      <c r="E18" s="4370"/>
      <c r="F18" s="4369"/>
      <c r="G18" s="4370"/>
      <c r="H18" s="1365"/>
      <c r="I18" s="1366">
        <f t="shared" si="26"/>
        <v>0</v>
      </c>
      <c r="J18" s="4369"/>
      <c r="K18" s="4370"/>
      <c r="L18" s="4087">
        <f t="shared" si="54"/>
        <v>0</v>
      </c>
      <c r="M18" s="4139">
        <f t="shared" si="27"/>
        <v>0</v>
      </c>
      <c r="N18" s="4369"/>
      <c r="O18" s="4370"/>
      <c r="P18" s="1414">
        <f t="shared" si="1"/>
        <v>0</v>
      </c>
      <c r="Q18" s="1414">
        <f t="shared" si="28"/>
        <v>0</v>
      </c>
      <c r="R18" s="4369"/>
      <c r="S18" s="4370"/>
      <c r="T18" s="1414">
        <f t="shared" si="2"/>
        <v>0</v>
      </c>
      <c r="U18" s="1414">
        <f t="shared" si="29"/>
        <v>0</v>
      </c>
      <c r="V18" s="4369"/>
      <c r="W18" s="4370"/>
      <c r="X18" s="4087">
        <f t="shared" si="3"/>
        <v>0</v>
      </c>
      <c r="Y18" s="4140">
        <f t="shared" si="4"/>
        <v>0</v>
      </c>
      <c r="Z18" s="4088">
        <f t="shared" si="5"/>
        <v>0</v>
      </c>
      <c r="AA18" s="4085">
        <f t="shared" si="30"/>
        <v>0</v>
      </c>
      <c r="AB18" s="4369"/>
      <c r="AC18" s="4370"/>
      <c r="AD18" s="4621">
        <f t="shared" si="6"/>
        <v>0</v>
      </c>
      <c r="AE18" s="4595">
        <f t="shared" si="31"/>
        <v>0</v>
      </c>
      <c r="AF18" s="4369"/>
      <c r="AG18" s="4370"/>
      <c r="AH18" s="1365"/>
      <c r="AI18" s="1414">
        <f t="shared" si="23"/>
        <v>0</v>
      </c>
      <c r="AJ18" s="4369"/>
      <c r="AK18" s="4370"/>
      <c r="AL18" s="4087"/>
      <c r="AM18" s="4139">
        <f t="shared" si="9"/>
        <v>0</v>
      </c>
      <c r="AN18" s="1365"/>
      <c r="AO18" s="1414">
        <f t="shared" si="34"/>
        <v>0</v>
      </c>
      <c r="AP18" s="4369"/>
      <c r="AQ18" s="4370"/>
      <c r="AR18" s="1365"/>
      <c r="AS18" s="1414">
        <f t="shared" si="36"/>
        <v>0</v>
      </c>
      <c r="AT18" s="4369"/>
      <c r="AU18" s="4370"/>
      <c r="AV18" s="1365"/>
      <c r="AW18" s="1414">
        <f t="shared" si="38"/>
        <v>0</v>
      </c>
      <c r="AX18" s="4369"/>
      <c r="AY18" s="4370"/>
      <c r="AZ18" s="4087"/>
      <c r="BA18" s="4140">
        <f t="shared" si="14"/>
        <v>0</v>
      </c>
      <c r="BB18" s="4088"/>
      <c r="BC18" s="4085">
        <f t="shared" si="16"/>
        <v>0</v>
      </c>
      <c r="BD18" s="1365"/>
      <c r="BE18" s="1414">
        <f t="shared" si="18"/>
        <v>0</v>
      </c>
      <c r="BF18" s="1111"/>
      <c r="BG18" s="1111"/>
      <c r="BH18" s="491"/>
      <c r="BI18" s="491"/>
      <c r="BJ18" s="491"/>
      <c r="BQ18" s="491"/>
      <c r="BR18" s="491"/>
      <c r="BS18" s="491"/>
      <c r="BT18" s="491"/>
      <c r="BU18" s="491"/>
      <c r="BV18" s="491"/>
      <c r="BW18" s="491"/>
      <c r="BX18" s="491"/>
      <c r="BY18" s="491"/>
      <c r="BZ18" s="491"/>
      <c r="CA18" s="491"/>
      <c r="CB18" s="491"/>
    </row>
    <row r="19" spans="2:80" ht="21.9" customHeight="1" thickBot="1" x14ac:dyDescent="0.35">
      <c r="B19" s="6081" t="s">
        <v>1173</v>
      </c>
      <c r="C19" s="1342" t="s">
        <v>973</v>
      </c>
      <c r="D19" s="1355">
        <v>12</v>
      </c>
      <c r="E19" s="1362">
        <v>49431.65</v>
      </c>
      <c r="F19" s="1355">
        <v>7</v>
      </c>
      <c r="G19" s="1362">
        <v>28744.45</v>
      </c>
      <c r="H19" s="1365">
        <f t="shared" si="0"/>
        <v>19</v>
      </c>
      <c r="I19" s="1366">
        <f t="shared" si="26"/>
        <v>78176.100000000006</v>
      </c>
      <c r="J19" s="1355">
        <v>5</v>
      </c>
      <c r="K19" s="1362">
        <v>20609</v>
      </c>
      <c r="L19" s="4087">
        <f t="shared" si="19"/>
        <v>24</v>
      </c>
      <c r="M19" s="4139">
        <f t="shared" si="27"/>
        <v>98785.1</v>
      </c>
      <c r="N19" s="1355">
        <v>10</v>
      </c>
      <c r="O19" s="1362">
        <v>41059.71</v>
      </c>
      <c r="P19" s="1414">
        <f t="shared" ref="P19:P76" si="55">L19+N19</f>
        <v>34</v>
      </c>
      <c r="Q19" s="1414">
        <f t="shared" si="28"/>
        <v>139844.81</v>
      </c>
      <c r="R19" s="1355">
        <v>8</v>
      </c>
      <c r="S19" s="1362">
        <v>33032.14</v>
      </c>
      <c r="T19" s="1414">
        <f t="shared" si="2"/>
        <v>42</v>
      </c>
      <c r="U19" s="1414">
        <f t="shared" si="29"/>
        <v>172876.95</v>
      </c>
      <c r="V19" s="1355">
        <v>8</v>
      </c>
      <c r="W19" s="1362">
        <v>32927.870000000003</v>
      </c>
      <c r="X19" s="4087">
        <f t="shared" si="3"/>
        <v>26</v>
      </c>
      <c r="Y19" s="4140">
        <f t="shared" si="4"/>
        <v>107019.72</v>
      </c>
      <c r="Z19" s="4088">
        <f t="shared" si="5"/>
        <v>50</v>
      </c>
      <c r="AA19" s="4085">
        <f t="shared" si="30"/>
        <v>205804.82</v>
      </c>
      <c r="AB19" s="1355">
        <v>8</v>
      </c>
      <c r="AC19" s="1362">
        <v>32841.440000000002</v>
      </c>
      <c r="AD19" s="4621">
        <f t="shared" si="6"/>
        <v>58</v>
      </c>
      <c r="AE19" s="4595">
        <f t="shared" si="31"/>
        <v>238646.26</v>
      </c>
      <c r="AF19" s="1355">
        <v>8</v>
      </c>
      <c r="AG19" s="1362">
        <v>32887.54</v>
      </c>
      <c r="AH19" s="1365">
        <f t="shared" si="47"/>
        <v>66</v>
      </c>
      <c r="AI19" s="1414">
        <f t="shared" si="23"/>
        <v>271533.8</v>
      </c>
      <c r="AJ19" s="1355">
        <v>4</v>
      </c>
      <c r="AK19" s="1362">
        <v>28692.639999999999</v>
      </c>
      <c r="AL19" s="4087">
        <f t="shared" si="48"/>
        <v>20</v>
      </c>
      <c r="AM19" s="4139">
        <f t="shared" si="9"/>
        <v>94421.62000000001</v>
      </c>
      <c r="AN19" s="1365">
        <f t="shared" si="10"/>
        <v>70</v>
      </c>
      <c r="AO19" s="1414">
        <f t="shared" si="34"/>
        <v>300226.44</v>
      </c>
      <c r="AP19" s="1355">
        <v>10</v>
      </c>
      <c r="AQ19" s="1362">
        <v>41215.269999999997</v>
      </c>
      <c r="AR19" s="1365">
        <f t="shared" si="49"/>
        <v>80</v>
      </c>
      <c r="AS19" s="1414">
        <f t="shared" si="36"/>
        <v>341441.71</v>
      </c>
      <c r="AT19" s="1355">
        <v>9</v>
      </c>
      <c r="AU19" s="1362">
        <v>37212.97</v>
      </c>
      <c r="AV19" s="1365">
        <f t="shared" si="50"/>
        <v>89</v>
      </c>
      <c r="AW19" s="1414">
        <f t="shared" si="38"/>
        <v>378654.68000000005</v>
      </c>
      <c r="AX19" s="1355">
        <v>10</v>
      </c>
      <c r="AY19" s="1362">
        <v>41136.76</v>
      </c>
      <c r="AZ19" s="4087">
        <f t="shared" si="51"/>
        <v>29</v>
      </c>
      <c r="BA19" s="4140">
        <f t="shared" si="14"/>
        <v>119565</v>
      </c>
      <c r="BB19" s="4088">
        <f t="shared" si="52"/>
        <v>49</v>
      </c>
      <c r="BC19" s="4085">
        <f t="shared" si="16"/>
        <v>213986.62</v>
      </c>
      <c r="BD19" s="1365">
        <f t="shared" si="53"/>
        <v>99</v>
      </c>
      <c r="BE19" s="1414">
        <f t="shared" si="18"/>
        <v>419791.44</v>
      </c>
      <c r="BF19" s="1111"/>
      <c r="BG19" s="1111"/>
      <c r="BH19" s="491"/>
      <c r="BI19" s="491"/>
      <c r="BJ19" s="491"/>
      <c r="BQ19" s="491"/>
      <c r="BR19" s="491"/>
      <c r="BS19" s="491"/>
      <c r="BT19" s="491"/>
      <c r="BU19" s="491"/>
      <c r="BV19" s="491"/>
      <c r="BW19" s="491"/>
      <c r="BX19" s="491"/>
      <c r="BY19" s="491"/>
      <c r="BZ19" s="491"/>
      <c r="CA19" s="491"/>
      <c r="CB19" s="491"/>
    </row>
    <row r="20" spans="2:80" ht="21.9" customHeight="1" x14ac:dyDescent="0.3">
      <c r="B20" s="6082"/>
      <c r="C20" s="4141" t="s">
        <v>974</v>
      </c>
      <c r="D20" s="4142">
        <v>1</v>
      </c>
      <c r="E20" s="4143">
        <v>3878.68</v>
      </c>
      <c r="F20" s="4142">
        <v>1</v>
      </c>
      <c r="G20" s="4143">
        <v>4111.3100000000004</v>
      </c>
      <c r="H20" s="1365">
        <f t="shared" si="0"/>
        <v>2</v>
      </c>
      <c r="I20" s="1366">
        <f t="shared" si="26"/>
        <v>7989.99</v>
      </c>
      <c r="J20" s="4142">
        <v>8</v>
      </c>
      <c r="K20" s="4143">
        <v>31490</v>
      </c>
      <c r="L20" s="4087">
        <f t="shared" si="19"/>
        <v>10</v>
      </c>
      <c r="M20" s="4139">
        <f t="shared" si="27"/>
        <v>39479.99</v>
      </c>
      <c r="N20" s="4142">
        <v>9</v>
      </c>
      <c r="O20" s="4143">
        <v>31875</v>
      </c>
      <c r="P20" s="1414">
        <f t="shared" si="55"/>
        <v>19</v>
      </c>
      <c r="Q20" s="1414">
        <f t="shared" si="28"/>
        <v>71354.989999999991</v>
      </c>
      <c r="R20" s="4142">
        <v>7</v>
      </c>
      <c r="S20" s="4143">
        <v>27437.95</v>
      </c>
      <c r="T20" s="1414">
        <f t="shared" si="2"/>
        <v>26</v>
      </c>
      <c r="U20" s="1414">
        <f t="shared" si="29"/>
        <v>98792.94</v>
      </c>
      <c r="V20" s="4142">
        <v>6</v>
      </c>
      <c r="W20" s="4143">
        <v>23636</v>
      </c>
      <c r="X20" s="4087">
        <f t="shared" si="3"/>
        <v>22</v>
      </c>
      <c r="Y20" s="4140">
        <f t="shared" si="4"/>
        <v>82948.95</v>
      </c>
      <c r="Z20" s="4088">
        <f t="shared" si="5"/>
        <v>32</v>
      </c>
      <c r="AA20" s="4085">
        <f t="shared" si="30"/>
        <v>122428.93999999999</v>
      </c>
      <c r="AB20" s="4142">
        <v>8</v>
      </c>
      <c r="AC20" s="4143">
        <v>30910.74</v>
      </c>
      <c r="AD20" s="4621">
        <f t="shared" si="6"/>
        <v>40</v>
      </c>
      <c r="AE20" s="4595">
        <f t="shared" si="31"/>
        <v>153339.68</v>
      </c>
      <c r="AF20" s="4613">
        <v>6</v>
      </c>
      <c r="AG20" s="4143">
        <v>23187.95</v>
      </c>
      <c r="AH20" s="1365">
        <f t="shared" si="47"/>
        <v>46</v>
      </c>
      <c r="AI20" s="1414">
        <f t="shared" si="23"/>
        <v>176527.63</v>
      </c>
      <c r="AJ20" s="4142">
        <v>9</v>
      </c>
      <c r="AK20" s="4143">
        <v>35326.54</v>
      </c>
      <c r="AL20" s="4087">
        <f t="shared" si="48"/>
        <v>23</v>
      </c>
      <c r="AM20" s="4139">
        <f t="shared" si="9"/>
        <v>89425.23000000001</v>
      </c>
      <c r="AN20" s="1365">
        <f t="shared" si="10"/>
        <v>55</v>
      </c>
      <c r="AO20" s="1414">
        <f t="shared" si="34"/>
        <v>211854.17</v>
      </c>
      <c r="AP20" s="4142">
        <v>8</v>
      </c>
      <c r="AQ20" s="4143">
        <v>31150.98</v>
      </c>
      <c r="AR20" s="1365">
        <f t="shared" si="49"/>
        <v>63</v>
      </c>
      <c r="AS20" s="1414">
        <f t="shared" si="36"/>
        <v>243005.15000000002</v>
      </c>
      <c r="AT20" s="4142">
        <v>6</v>
      </c>
      <c r="AU20" s="4143">
        <v>23018.82</v>
      </c>
      <c r="AV20" s="1365">
        <f t="shared" si="50"/>
        <v>69</v>
      </c>
      <c r="AW20" s="1414">
        <f t="shared" si="38"/>
        <v>266023.97000000003</v>
      </c>
      <c r="AX20" s="4142">
        <v>6</v>
      </c>
      <c r="AY20" s="4143">
        <v>22898.76</v>
      </c>
      <c r="AZ20" s="4087">
        <f t="shared" si="51"/>
        <v>20</v>
      </c>
      <c r="BA20" s="4140">
        <f t="shared" si="14"/>
        <v>77068.56</v>
      </c>
      <c r="BB20" s="4088">
        <f t="shared" si="52"/>
        <v>43</v>
      </c>
      <c r="BC20" s="4085">
        <f t="shared" si="16"/>
        <v>166493.79</v>
      </c>
      <c r="BD20" s="1365">
        <f t="shared" si="53"/>
        <v>75</v>
      </c>
      <c r="BE20" s="1414">
        <f t="shared" si="18"/>
        <v>288922.73</v>
      </c>
      <c r="BF20" s="1111"/>
      <c r="BG20" s="1111"/>
      <c r="BH20" s="491"/>
      <c r="BI20" s="491"/>
      <c r="BJ20" s="491"/>
      <c r="BQ20" s="491"/>
      <c r="BR20" s="491"/>
      <c r="BS20" s="491"/>
      <c r="BT20" s="491"/>
      <c r="BU20" s="491"/>
      <c r="BV20" s="491"/>
      <c r="BW20" s="491"/>
      <c r="BX20" s="491"/>
      <c r="BY20" s="491"/>
      <c r="BZ20" s="491"/>
      <c r="CA20" s="491"/>
      <c r="CB20" s="491"/>
    </row>
    <row r="21" spans="2:80" ht="21.9" customHeight="1" thickBot="1" x14ac:dyDescent="0.35">
      <c r="B21" s="6083"/>
      <c r="C21" s="4149" t="s">
        <v>2</v>
      </c>
      <c r="D21" s="4150">
        <f t="shared" ref="D21:E21" si="56">SUM(D19:D20)</f>
        <v>13</v>
      </c>
      <c r="E21" s="4150">
        <f t="shared" si="56"/>
        <v>53310.33</v>
      </c>
      <c r="F21" s="4150">
        <f t="shared" ref="F21:BE21" si="57">SUM(F19:F20)</f>
        <v>8</v>
      </c>
      <c r="G21" s="4150">
        <f t="shared" si="57"/>
        <v>32855.760000000002</v>
      </c>
      <c r="H21" s="4150">
        <f t="shared" si="57"/>
        <v>21</v>
      </c>
      <c r="I21" s="4150">
        <f t="shared" si="57"/>
        <v>86166.090000000011</v>
      </c>
      <c r="J21" s="4150">
        <f t="shared" si="57"/>
        <v>13</v>
      </c>
      <c r="K21" s="4150">
        <f t="shared" si="57"/>
        <v>52099</v>
      </c>
      <c r="L21" s="4150">
        <f t="shared" si="57"/>
        <v>34</v>
      </c>
      <c r="M21" s="4150">
        <f t="shared" si="57"/>
        <v>138265.09</v>
      </c>
      <c r="N21" s="4150">
        <f t="shared" si="57"/>
        <v>19</v>
      </c>
      <c r="O21" s="4150">
        <f t="shared" si="57"/>
        <v>72934.709999999992</v>
      </c>
      <c r="P21" s="4150">
        <f t="shared" si="57"/>
        <v>53</v>
      </c>
      <c r="Q21" s="4150">
        <f t="shared" si="57"/>
        <v>211199.8</v>
      </c>
      <c r="R21" s="4150">
        <f t="shared" si="57"/>
        <v>15</v>
      </c>
      <c r="S21" s="4150">
        <f t="shared" si="57"/>
        <v>60470.09</v>
      </c>
      <c r="T21" s="4150">
        <f t="shared" si="57"/>
        <v>68</v>
      </c>
      <c r="U21" s="4150">
        <f t="shared" si="57"/>
        <v>271669.89</v>
      </c>
      <c r="V21" s="4150">
        <f t="shared" si="57"/>
        <v>14</v>
      </c>
      <c r="W21" s="4150">
        <f t="shared" si="57"/>
        <v>56563.87</v>
      </c>
      <c r="X21" s="4150">
        <f t="shared" si="57"/>
        <v>48</v>
      </c>
      <c r="Y21" s="4150">
        <f t="shared" si="57"/>
        <v>189968.66999999998</v>
      </c>
      <c r="Z21" s="4150">
        <f t="shared" si="57"/>
        <v>82</v>
      </c>
      <c r="AA21" s="4150">
        <f t="shared" si="57"/>
        <v>328233.76</v>
      </c>
      <c r="AB21" s="4150">
        <f t="shared" si="57"/>
        <v>16</v>
      </c>
      <c r="AC21" s="4150">
        <f t="shared" si="57"/>
        <v>63752.180000000008</v>
      </c>
      <c r="AD21" s="4623">
        <f t="shared" si="57"/>
        <v>98</v>
      </c>
      <c r="AE21" s="4520">
        <f t="shared" si="57"/>
        <v>391985.94</v>
      </c>
      <c r="AF21" s="4636">
        <f t="shared" si="57"/>
        <v>14</v>
      </c>
      <c r="AG21" s="4150">
        <f t="shared" ref="AG21" si="58">SUM(AG19:AG20)</f>
        <v>56075.490000000005</v>
      </c>
      <c r="AH21" s="4150">
        <f t="shared" si="57"/>
        <v>112</v>
      </c>
      <c r="AI21" s="4150">
        <f t="shared" si="23"/>
        <v>448061.43</v>
      </c>
      <c r="AJ21" s="4150">
        <f t="shared" si="57"/>
        <v>13</v>
      </c>
      <c r="AK21" s="4150">
        <f t="shared" si="57"/>
        <v>64019.18</v>
      </c>
      <c r="AL21" s="4150">
        <f t="shared" si="57"/>
        <v>43</v>
      </c>
      <c r="AM21" s="4150">
        <f t="shared" si="57"/>
        <v>183846.85000000003</v>
      </c>
      <c r="AN21" s="4150">
        <f t="shared" si="57"/>
        <v>125</v>
      </c>
      <c r="AO21" s="4150">
        <f t="shared" si="57"/>
        <v>512080.61</v>
      </c>
      <c r="AP21" s="4150">
        <f t="shared" ref="AP21:AQ21" si="59">SUM(AP19:AP20)</f>
        <v>18</v>
      </c>
      <c r="AQ21" s="4150">
        <f t="shared" si="59"/>
        <v>72366.25</v>
      </c>
      <c r="AR21" s="4150">
        <f t="shared" si="57"/>
        <v>143</v>
      </c>
      <c r="AS21" s="4150">
        <f t="shared" si="57"/>
        <v>584446.8600000001</v>
      </c>
      <c r="AT21" s="4150">
        <f t="shared" si="57"/>
        <v>15</v>
      </c>
      <c r="AU21" s="4150">
        <f t="shared" si="57"/>
        <v>60231.79</v>
      </c>
      <c r="AV21" s="4150">
        <f t="shared" si="57"/>
        <v>158</v>
      </c>
      <c r="AW21" s="4150">
        <f t="shared" si="57"/>
        <v>644678.65000000014</v>
      </c>
      <c r="AX21" s="4150">
        <f t="shared" ref="AX21:AY21" si="60">SUM(AX19:AX20)</f>
        <v>16</v>
      </c>
      <c r="AY21" s="4150">
        <f t="shared" si="60"/>
        <v>64035.520000000004</v>
      </c>
      <c r="AZ21" s="4150">
        <f t="shared" si="57"/>
        <v>49</v>
      </c>
      <c r="BA21" s="4150">
        <f t="shared" si="57"/>
        <v>196633.56</v>
      </c>
      <c r="BB21" s="4150">
        <f t="shared" si="57"/>
        <v>92</v>
      </c>
      <c r="BC21" s="4150">
        <f t="shared" si="57"/>
        <v>380480.41000000003</v>
      </c>
      <c r="BD21" s="4150">
        <f t="shared" si="57"/>
        <v>174</v>
      </c>
      <c r="BE21" s="4150">
        <f t="shared" si="57"/>
        <v>708714.16999999993</v>
      </c>
      <c r="BF21" s="1111"/>
      <c r="BG21" s="1111"/>
      <c r="BH21" s="491"/>
      <c r="BI21" s="491"/>
      <c r="BJ21" s="491"/>
      <c r="BQ21" s="491"/>
      <c r="BR21" s="491"/>
      <c r="BS21" s="491"/>
      <c r="BT21" s="491"/>
      <c r="BU21" s="491"/>
      <c r="BV21" s="491"/>
      <c r="BW21" s="491"/>
      <c r="BX21" s="491"/>
      <c r="BY21" s="491"/>
      <c r="BZ21" s="491"/>
      <c r="CA21" s="491"/>
      <c r="CB21" s="491"/>
    </row>
    <row r="22" spans="2:80" ht="21.9" customHeight="1" thickBot="1" x14ac:dyDescent="0.35">
      <c r="B22" s="6081" t="s">
        <v>1174</v>
      </c>
      <c r="C22" s="1468" t="s">
        <v>973</v>
      </c>
      <c r="D22" s="1355">
        <v>0</v>
      </c>
      <c r="E22" s="1362">
        <v>0</v>
      </c>
      <c r="F22" s="1355">
        <v>0</v>
      </c>
      <c r="G22" s="1362">
        <v>0</v>
      </c>
      <c r="H22" s="1365">
        <f t="shared" si="0"/>
        <v>0</v>
      </c>
      <c r="I22" s="1366">
        <f t="shared" si="26"/>
        <v>0</v>
      </c>
      <c r="J22" s="1355">
        <v>0</v>
      </c>
      <c r="K22" s="1362">
        <v>0</v>
      </c>
      <c r="L22" s="4087">
        <f t="shared" si="19"/>
        <v>0</v>
      </c>
      <c r="M22" s="4139">
        <f t="shared" si="27"/>
        <v>0</v>
      </c>
      <c r="N22" s="1355"/>
      <c r="O22" s="1362"/>
      <c r="P22" s="1414">
        <f t="shared" si="55"/>
        <v>0</v>
      </c>
      <c r="Q22" s="1414">
        <f t="shared" si="28"/>
        <v>0</v>
      </c>
      <c r="R22" s="1355"/>
      <c r="S22" s="1362"/>
      <c r="T22" s="1414">
        <f t="shared" si="2"/>
        <v>0</v>
      </c>
      <c r="U22" s="1414">
        <f t="shared" si="29"/>
        <v>0</v>
      </c>
      <c r="V22" s="1355"/>
      <c r="W22" s="1362"/>
      <c r="X22" s="4087">
        <f t="shared" si="3"/>
        <v>0</v>
      </c>
      <c r="Y22" s="4140">
        <f t="shared" si="4"/>
        <v>0</v>
      </c>
      <c r="Z22" s="4088">
        <f t="shared" si="5"/>
        <v>0</v>
      </c>
      <c r="AA22" s="4085">
        <f t="shared" si="30"/>
        <v>0</v>
      </c>
      <c r="AB22" s="1355">
        <v>0</v>
      </c>
      <c r="AC22" s="1362">
        <v>0</v>
      </c>
      <c r="AD22" s="4624">
        <f t="shared" si="6"/>
        <v>0</v>
      </c>
      <c r="AE22" s="4595">
        <f t="shared" si="31"/>
        <v>0</v>
      </c>
      <c r="AF22" s="1355">
        <v>0</v>
      </c>
      <c r="AG22" s="1362">
        <v>0</v>
      </c>
      <c r="AH22" s="1902">
        <f t="shared" ref="AH22:AH25" si="61">AD22+AF22</f>
        <v>0</v>
      </c>
      <c r="AI22" s="1414">
        <f t="shared" si="23"/>
        <v>0</v>
      </c>
      <c r="AJ22" s="1355">
        <v>0</v>
      </c>
      <c r="AK22" s="1362"/>
      <c r="AL22" s="4087">
        <f t="shared" ref="AL22:AL25" si="62">+AB22+AF22+AJ22</f>
        <v>0</v>
      </c>
      <c r="AM22" s="4139">
        <f t="shared" si="9"/>
        <v>0</v>
      </c>
      <c r="AN22" s="1365">
        <f t="shared" si="10"/>
        <v>0</v>
      </c>
      <c r="AO22" s="1414">
        <f t="shared" si="34"/>
        <v>0</v>
      </c>
      <c r="AP22" s="1355">
        <v>0</v>
      </c>
      <c r="AQ22" s="1362">
        <v>0</v>
      </c>
      <c r="AR22" s="1902">
        <f t="shared" ref="AR22:AR25" si="63">AN22+AP22</f>
        <v>0</v>
      </c>
      <c r="AS22" s="1414">
        <f t="shared" si="36"/>
        <v>0</v>
      </c>
      <c r="AT22" s="1355">
        <v>0</v>
      </c>
      <c r="AU22" s="1362">
        <v>0</v>
      </c>
      <c r="AV22" s="1902">
        <f t="shared" ref="AV22:AV25" si="64">AR22+AT22</f>
        <v>0</v>
      </c>
      <c r="AW22" s="1414">
        <f t="shared" si="38"/>
        <v>0</v>
      </c>
      <c r="AX22" s="1355">
        <v>0</v>
      </c>
      <c r="AY22" s="1362">
        <v>0</v>
      </c>
      <c r="AZ22" s="4087">
        <f t="shared" ref="AZ22:AZ25" si="65">+AP22+AT22+AX22</f>
        <v>0</v>
      </c>
      <c r="BA22" s="4140">
        <f t="shared" si="14"/>
        <v>0</v>
      </c>
      <c r="BB22" s="4088">
        <f t="shared" ref="BB22:BB25" si="66">AL22+AZ22</f>
        <v>0</v>
      </c>
      <c r="BC22" s="4085">
        <f t="shared" si="16"/>
        <v>0</v>
      </c>
      <c r="BD22" s="1365">
        <f t="shared" ref="BD22:BD25" si="67">AV22+AX22</f>
        <v>0</v>
      </c>
      <c r="BE22" s="1414">
        <f t="shared" si="18"/>
        <v>0</v>
      </c>
      <c r="BF22" s="1111"/>
      <c r="BG22" s="1111"/>
      <c r="BH22" s="491"/>
      <c r="BI22" s="491"/>
      <c r="BJ22" s="491"/>
      <c r="BQ22" s="491"/>
      <c r="BR22" s="491"/>
      <c r="BS22" s="491"/>
      <c r="BT22" s="491"/>
      <c r="BU22" s="491"/>
      <c r="BV22" s="491"/>
      <c r="BW22" s="491"/>
      <c r="BX22" s="491"/>
      <c r="BY22" s="491"/>
      <c r="BZ22" s="491"/>
      <c r="CA22" s="491"/>
      <c r="CB22" s="491"/>
    </row>
    <row r="23" spans="2:80" ht="21.9" customHeight="1" thickBot="1" x14ac:dyDescent="0.35">
      <c r="B23" s="6082"/>
      <c r="C23" s="4151" t="s">
        <v>974</v>
      </c>
      <c r="D23" s="4142">
        <v>0</v>
      </c>
      <c r="E23" s="4143">
        <v>0</v>
      </c>
      <c r="F23" s="4142">
        <v>0</v>
      </c>
      <c r="G23" s="4143">
        <v>0</v>
      </c>
      <c r="H23" s="1365">
        <f t="shared" si="0"/>
        <v>0</v>
      </c>
      <c r="I23" s="1366">
        <f t="shared" si="26"/>
        <v>0</v>
      </c>
      <c r="J23" s="4142">
        <v>0</v>
      </c>
      <c r="K23" s="4143">
        <v>0</v>
      </c>
      <c r="L23" s="4087">
        <f t="shared" si="19"/>
        <v>0</v>
      </c>
      <c r="M23" s="4139">
        <f t="shared" si="27"/>
        <v>0</v>
      </c>
      <c r="N23" s="4142"/>
      <c r="O23" s="4143"/>
      <c r="P23" s="1414">
        <f t="shared" si="55"/>
        <v>0</v>
      </c>
      <c r="Q23" s="1414">
        <f t="shared" si="28"/>
        <v>0</v>
      </c>
      <c r="R23" s="4142"/>
      <c r="S23" s="4143"/>
      <c r="T23" s="1414">
        <f t="shared" si="2"/>
        <v>0</v>
      </c>
      <c r="U23" s="1414">
        <f t="shared" si="29"/>
        <v>0</v>
      </c>
      <c r="V23" s="4142"/>
      <c r="W23" s="4143"/>
      <c r="X23" s="4087">
        <f t="shared" si="3"/>
        <v>0</v>
      </c>
      <c r="Y23" s="4140">
        <f t="shared" si="4"/>
        <v>0</v>
      </c>
      <c r="Z23" s="4088">
        <f t="shared" si="5"/>
        <v>0</v>
      </c>
      <c r="AA23" s="4085">
        <f t="shared" si="30"/>
        <v>0</v>
      </c>
      <c r="AB23" s="4142">
        <v>0</v>
      </c>
      <c r="AC23" s="4143">
        <v>0</v>
      </c>
      <c r="AD23" s="4624">
        <f t="shared" si="6"/>
        <v>0</v>
      </c>
      <c r="AE23" s="4595">
        <f t="shared" si="31"/>
        <v>0</v>
      </c>
      <c r="AF23" s="4613">
        <v>0</v>
      </c>
      <c r="AG23" s="4143">
        <v>0</v>
      </c>
      <c r="AH23" s="1902">
        <f t="shared" si="61"/>
        <v>0</v>
      </c>
      <c r="AI23" s="1414">
        <f t="shared" si="23"/>
        <v>0</v>
      </c>
      <c r="AJ23" s="4142">
        <v>0</v>
      </c>
      <c r="AK23" s="4143"/>
      <c r="AL23" s="4087">
        <f t="shared" si="62"/>
        <v>0</v>
      </c>
      <c r="AM23" s="4139">
        <f t="shared" si="9"/>
        <v>0</v>
      </c>
      <c r="AN23" s="1365">
        <f t="shared" si="10"/>
        <v>0</v>
      </c>
      <c r="AO23" s="1414">
        <f t="shared" si="34"/>
        <v>0</v>
      </c>
      <c r="AP23" s="4142">
        <v>0</v>
      </c>
      <c r="AQ23" s="4143">
        <v>0</v>
      </c>
      <c r="AR23" s="1902">
        <f t="shared" si="63"/>
        <v>0</v>
      </c>
      <c r="AS23" s="1414">
        <f t="shared" si="36"/>
        <v>0</v>
      </c>
      <c r="AT23" s="4142">
        <v>0</v>
      </c>
      <c r="AU23" s="4143">
        <v>0</v>
      </c>
      <c r="AV23" s="1902">
        <f t="shared" si="64"/>
        <v>0</v>
      </c>
      <c r="AW23" s="1414">
        <f t="shared" si="38"/>
        <v>0</v>
      </c>
      <c r="AX23" s="4142">
        <v>0</v>
      </c>
      <c r="AY23" s="4143">
        <v>0</v>
      </c>
      <c r="AZ23" s="4087">
        <f t="shared" si="65"/>
        <v>0</v>
      </c>
      <c r="BA23" s="4140">
        <f t="shared" si="14"/>
        <v>0</v>
      </c>
      <c r="BB23" s="4088">
        <f t="shared" si="66"/>
        <v>0</v>
      </c>
      <c r="BC23" s="4085">
        <f t="shared" si="16"/>
        <v>0</v>
      </c>
      <c r="BD23" s="1365">
        <f t="shared" si="67"/>
        <v>0</v>
      </c>
      <c r="BE23" s="1414">
        <f t="shared" si="18"/>
        <v>0</v>
      </c>
      <c r="BF23" s="1111"/>
      <c r="BG23" s="1111"/>
      <c r="BH23" s="491"/>
      <c r="BI23" s="491"/>
      <c r="BJ23" s="491"/>
      <c r="BQ23" s="491"/>
      <c r="BR23" s="491"/>
      <c r="BS23" s="491"/>
      <c r="BT23" s="491"/>
      <c r="BU23" s="491"/>
      <c r="BV23" s="491"/>
      <c r="BW23" s="491"/>
      <c r="BX23" s="491"/>
      <c r="BY23" s="491"/>
      <c r="BZ23" s="491"/>
      <c r="CA23" s="491"/>
      <c r="CB23" s="491"/>
    </row>
    <row r="24" spans="2:80" ht="21.9" customHeight="1" thickBot="1" x14ac:dyDescent="0.35">
      <c r="B24" s="6082"/>
      <c r="C24" s="4151" t="s">
        <v>1077</v>
      </c>
      <c r="D24" s="4142">
        <v>0</v>
      </c>
      <c r="E24" s="4143">
        <v>0</v>
      </c>
      <c r="F24" s="4142">
        <v>0</v>
      </c>
      <c r="G24" s="4143">
        <v>0</v>
      </c>
      <c r="H24" s="1365">
        <f t="shared" si="0"/>
        <v>0</v>
      </c>
      <c r="I24" s="1366">
        <f t="shared" si="26"/>
        <v>0</v>
      </c>
      <c r="J24" s="4142">
        <v>0</v>
      </c>
      <c r="K24" s="4143">
        <v>0</v>
      </c>
      <c r="L24" s="4087">
        <f t="shared" si="19"/>
        <v>0</v>
      </c>
      <c r="M24" s="4139">
        <f t="shared" si="27"/>
        <v>0</v>
      </c>
      <c r="N24" s="4142">
        <v>0</v>
      </c>
      <c r="O24" s="4143">
        <v>0</v>
      </c>
      <c r="P24" s="1414">
        <f t="shared" si="55"/>
        <v>0</v>
      </c>
      <c r="Q24" s="1414">
        <f t="shared" si="28"/>
        <v>0</v>
      </c>
      <c r="R24" s="4142"/>
      <c r="S24" s="4143"/>
      <c r="T24" s="1414">
        <f t="shared" si="2"/>
        <v>0</v>
      </c>
      <c r="U24" s="1414">
        <f t="shared" si="29"/>
        <v>0</v>
      </c>
      <c r="V24" s="4142"/>
      <c r="W24" s="4143"/>
      <c r="X24" s="4087">
        <f t="shared" si="3"/>
        <v>0</v>
      </c>
      <c r="Y24" s="4140">
        <f t="shared" si="4"/>
        <v>0</v>
      </c>
      <c r="Z24" s="4088">
        <f t="shared" si="5"/>
        <v>0</v>
      </c>
      <c r="AA24" s="4085">
        <f t="shared" si="30"/>
        <v>0</v>
      </c>
      <c r="AB24" s="4142">
        <v>0</v>
      </c>
      <c r="AC24" s="4143">
        <v>0</v>
      </c>
      <c r="AD24" s="4625">
        <f t="shared" si="6"/>
        <v>0</v>
      </c>
      <c r="AE24" s="4595">
        <f t="shared" si="31"/>
        <v>0</v>
      </c>
      <c r="AF24" s="4613">
        <v>0</v>
      </c>
      <c r="AG24" s="4143">
        <v>0</v>
      </c>
      <c r="AH24" s="1903">
        <f t="shared" si="61"/>
        <v>0</v>
      </c>
      <c r="AI24" s="1414">
        <f t="shared" si="23"/>
        <v>0</v>
      </c>
      <c r="AJ24" s="4142">
        <v>0</v>
      </c>
      <c r="AK24" s="4143"/>
      <c r="AL24" s="4087">
        <f t="shared" si="62"/>
        <v>0</v>
      </c>
      <c r="AM24" s="4139">
        <f t="shared" si="9"/>
        <v>0</v>
      </c>
      <c r="AN24" s="1365">
        <f t="shared" ref="AN24:AN46" si="68">AH24+AJ24</f>
        <v>0</v>
      </c>
      <c r="AO24" s="1414">
        <f t="shared" si="34"/>
        <v>0</v>
      </c>
      <c r="AP24" s="4142">
        <v>0</v>
      </c>
      <c r="AQ24" s="4143">
        <v>0</v>
      </c>
      <c r="AR24" s="1903">
        <f t="shared" si="63"/>
        <v>0</v>
      </c>
      <c r="AS24" s="1414">
        <f t="shared" si="36"/>
        <v>0</v>
      </c>
      <c r="AT24" s="4142">
        <v>0</v>
      </c>
      <c r="AU24" s="4143">
        <v>0</v>
      </c>
      <c r="AV24" s="1903">
        <f t="shared" si="64"/>
        <v>0</v>
      </c>
      <c r="AW24" s="1414">
        <f t="shared" si="38"/>
        <v>0</v>
      </c>
      <c r="AX24" s="4142">
        <v>0</v>
      </c>
      <c r="AY24" s="4143">
        <v>0</v>
      </c>
      <c r="AZ24" s="4087">
        <f t="shared" si="65"/>
        <v>0</v>
      </c>
      <c r="BA24" s="4140">
        <f t="shared" si="14"/>
        <v>0</v>
      </c>
      <c r="BB24" s="4088">
        <f t="shared" si="66"/>
        <v>0</v>
      </c>
      <c r="BC24" s="4085">
        <f t="shared" si="16"/>
        <v>0</v>
      </c>
      <c r="BD24" s="1365">
        <f t="shared" si="67"/>
        <v>0</v>
      </c>
      <c r="BE24" s="1414">
        <f t="shared" si="18"/>
        <v>0</v>
      </c>
      <c r="BF24" s="1111"/>
      <c r="BG24" s="1111"/>
      <c r="BH24" s="491"/>
      <c r="BI24" s="491"/>
      <c r="BJ24" s="491"/>
      <c r="BQ24" s="491"/>
      <c r="BR24" s="491"/>
      <c r="BS24" s="491"/>
      <c r="BT24" s="491"/>
      <c r="BU24" s="491"/>
      <c r="BV24" s="491"/>
      <c r="BW24" s="491"/>
      <c r="BX24" s="491"/>
      <c r="BY24" s="491"/>
      <c r="BZ24" s="491"/>
      <c r="CA24" s="491"/>
      <c r="CB24" s="491"/>
    </row>
    <row r="25" spans="2:80" ht="21.9" customHeight="1" x14ac:dyDescent="0.3">
      <c r="B25" s="6083"/>
      <c r="C25" s="4152" t="s">
        <v>1227</v>
      </c>
      <c r="D25" s="4153">
        <v>0</v>
      </c>
      <c r="E25" s="4154">
        <v>0</v>
      </c>
      <c r="F25" s="4153">
        <v>0</v>
      </c>
      <c r="G25" s="4154">
        <v>0</v>
      </c>
      <c r="H25" s="1365">
        <f t="shared" si="0"/>
        <v>0</v>
      </c>
      <c r="I25" s="1366">
        <f t="shared" si="26"/>
        <v>0</v>
      </c>
      <c r="J25" s="4153">
        <v>0</v>
      </c>
      <c r="K25" s="4154">
        <v>0</v>
      </c>
      <c r="L25" s="4087">
        <f t="shared" si="19"/>
        <v>0</v>
      </c>
      <c r="M25" s="4139">
        <f t="shared" si="27"/>
        <v>0</v>
      </c>
      <c r="N25" s="4153">
        <v>1</v>
      </c>
      <c r="O25" s="4154">
        <v>4039.73</v>
      </c>
      <c r="P25" s="1414">
        <f t="shared" si="55"/>
        <v>1</v>
      </c>
      <c r="Q25" s="1414">
        <f t="shared" si="28"/>
        <v>4039.73</v>
      </c>
      <c r="R25" s="4153"/>
      <c r="S25" s="4154"/>
      <c r="T25" s="1414">
        <f t="shared" si="2"/>
        <v>1</v>
      </c>
      <c r="U25" s="1414">
        <f t="shared" si="29"/>
        <v>4039.73</v>
      </c>
      <c r="V25" s="4153"/>
      <c r="W25" s="4154"/>
      <c r="X25" s="4087">
        <f t="shared" si="3"/>
        <v>1</v>
      </c>
      <c r="Y25" s="4140">
        <f t="shared" si="4"/>
        <v>4039.73</v>
      </c>
      <c r="Z25" s="4088">
        <f t="shared" si="5"/>
        <v>1</v>
      </c>
      <c r="AA25" s="4085">
        <f t="shared" si="30"/>
        <v>4039.73</v>
      </c>
      <c r="AB25" s="4153">
        <v>1</v>
      </c>
      <c r="AC25" s="4154">
        <v>4139.5200000000004</v>
      </c>
      <c r="AD25" s="4626">
        <f t="shared" si="6"/>
        <v>2</v>
      </c>
      <c r="AE25" s="4595">
        <f t="shared" si="31"/>
        <v>8179.25</v>
      </c>
      <c r="AF25" s="4637">
        <v>1</v>
      </c>
      <c r="AG25" s="4154">
        <v>4143.88</v>
      </c>
      <c r="AH25" s="4089">
        <f t="shared" si="61"/>
        <v>3</v>
      </c>
      <c r="AI25" s="1414">
        <f t="shared" si="23"/>
        <v>12323.130000000001</v>
      </c>
      <c r="AJ25" s="4153">
        <v>1</v>
      </c>
      <c r="AK25" s="4154"/>
      <c r="AL25" s="4087">
        <f t="shared" si="62"/>
        <v>3</v>
      </c>
      <c r="AM25" s="4139">
        <f t="shared" si="9"/>
        <v>8283.4000000000015</v>
      </c>
      <c r="AN25" s="1365">
        <f t="shared" si="68"/>
        <v>4</v>
      </c>
      <c r="AO25" s="1414">
        <f t="shared" si="34"/>
        <v>12323.130000000001</v>
      </c>
      <c r="AP25" s="4153">
        <v>1</v>
      </c>
      <c r="AQ25" s="4154">
        <v>4013.23</v>
      </c>
      <c r="AR25" s="4089">
        <f t="shared" si="63"/>
        <v>5</v>
      </c>
      <c r="AS25" s="1414">
        <f t="shared" si="36"/>
        <v>16336.36</v>
      </c>
      <c r="AT25" s="4153">
        <v>0</v>
      </c>
      <c r="AU25" s="4154">
        <v>0</v>
      </c>
      <c r="AV25" s="4089">
        <f t="shared" si="64"/>
        <v>5</v>
      </c>
      <c r="AW25" s="1414">
        <f t="shared" si="38"/>
        <v>16336.36</v>
      </c>
      <c r="AX25" s="4153">
        <v>0</v>
      </c>
      <c r="AY25" s="4154">
        <v>0</v>
      </c>
      <c r="AZ25" s="4087">
        <f t="shared" si="65"/>
        <v>1</v>
      </c>
      <c r="BA25" s="4140">
        <f t="shared" si="14"/>
        <v>4013.23</v>
      </c>
      <c r="BB25" s="4088">
        <f t="shared" si="66"/>
        <v>4</v>
      </c>
      <c r="BC25" s="4085">
        <f t="shared" si="16"/>
        <v>12296.630000000001</v>
      </c>
      <c r="BD25" s="1365">
        <f t="shared" si="67"/>
        <v>5</v>
      </c>
      <c r="BE25" s="1414">
        <f t="shared" si="18"/>
        <v>16336.36</v>
      </c>
      <c r="BF25" s="1111"/>
      <c r="BG25" s="1111"/>
      <c r="BH25" s="491"/>
      <c r="BI25" s="491"/>
      <c r="BJ25" s="491"/>
      <c r="BQ25" s="491"/>
      <c r="BR25" s="491"/>
      <c r="BS25" s="491"/>
      <c r="BT25" s="491"/>
      <c r="BU25" s="491"/>
      <c r="BV25" s="491"/>
      <c r="BW25" s="491"/>
      <c r="BX25" s="491"/>
      <c r="BY25" s="491"/>
      <c r="BZ25" s="491"/>
      <c r="CA25" s="491"/>
      <c r="CB25" s="491"/>
    </row>
    <row r="26" spans="2:80" ht="21.9" customHeight="1" thickBot="1" x14ac:dyDescent="0.35">
      <c r="B26" s="6097"/>
      <c r="C26" s="1469" t="s">
        <v>2</v>
      </c>
      <c r="D26" s="4155">
        <f t="shared" ref="D26:E26" si="69">SUM(D22:D25)</f>
        <v>0</v>
      </c>
      <c r="E26" s="4155">
        <f t="shared" si="69"/>
        <v>0</v>
      </c>
      <c r="F26" s="4155">
        <f t="shared" ref="F26:BE26" si="70">SUM(F22:F25)</f>
        <v>0</v>
      </c>
      <c r="G26" s="4155">
        <f t="shared" si="70"/>
        <v>0</v>
      </c>
      <c r="H26" s="4155">
        <f t="shared" si="70"/>
        <v>0</v>
      </c>
      <c r="I26" s="4155">
        <f t="shared" si="70"/>
        <v>0</v>
      </c>
      <c r="J26" s="4155">
        <f t="shared" si="70"/>
        <v>0</v>
      </c>
      <c r="K26" s="4155">
        <f t="shared" si="70"/>
        <v>0</v>
      </c>
      <c r="L26" s="4155">
        <f t="shared" si="70"/>
        <v>0</v>
      </c>
      <c r="M26" s="4155">
        <f t="shared" si="70"/>
        <v>0</v>
      </c>
      <c r="N26" s="4155">
        <f t="shared" si="70"/>
        <v>1</v>
      </c>
      <c r="O26" s="4155">
        <f t="shared" si="70"/>
        <v>4039.73</v>
      </c>
      <c r="P26" s="4155">
        <f t="shared" si="70"/>
        <v>1</v>
      </c>
      <c r="Q26" s="4155">
        <f t="shared" si="70"/>
        <v>4039.73</v>
      </c>
      <c r="R26" s="4155">
        <f t="shared" si="70"/>
        <v>0</v>
      </c>
      <c r="S26" s="4155">
        <f t="shared" si="70"/>
        <v>0</v>
      </c>
      <c r="T26" s="4155">
        <f t="shared" si="70"/>
        <v>1</v>
      </c>
      <c r="U26" s="4155">
        <f t="shared" si="70"/>
        <v>4039.73</v>
      </c>
      <c r="V26" s="4155">
        <f t="shared" si="70"/>
        <v>0</v>
      </c>
      <c r="W26" s="4155">
        <f t="shared" si="70"/>
        <v>0</v>
      </c>
      <c r="X26" s="4155">
        <f t="shared" si="70"/>
        <v>1</v>
      </c>
      <c r="Y26" s="4155">
        <f t="shared" si="70"/>
        <v>4039.73</v>
      </c>
      <c r="Z26" s="4155">
        <f t="shared" si="70"/>
        <v>1</v>
      </c>
      <c r="AA26" s="4155">
        <f t="shared" si="70"/>
        <v>4039.73</v>
      </c>
      <c r="AB26" s="4155">
        <f t="shared" si="70"/>
        <v>1</v>
      </c>
      <c r="AC26" s="4155">
        <f t="shared" si="70"/>
        <v>4139.5200000000004</v>
      </c>
      <c r="AD26" s="4156">
        <f t="shared" si="70"/>
        <v>2</v>
      </c>
      <c r="AE26" s="4520">
        <f t="shared" si="70"/>
        <v>8179.25</v>
      </c>
      <c r="AF26" s="4155">
        <f t="shared" si="70"/>
        <v>1</v>
      </c>
      <c r="AG26" s="4155">
        <f t="shared" ref="AG26" si="71">SUM(AG22:AG25)</f>
        <v>4143.88</v>
      </c>
      <c r="AH26" s="4155">
        <f t="shared" si="70"/>
        <v>3</v>
      </c>
      <c r="AI26" s="4155">
        <f t="shared" si="23"/>
        <v>12323.130000000001</v>
      </c>
      <c r="AJ26" s="4155">
        <f t="shared" si="70"/>
        <v>1</v>
      </c>
      <c r="AK26" s="4155">
        <f t="shared" si="70"/>
        <v>0</v>
      </c>
      <c r="AL26" s="4155">
        <f t="shared" si="70"/>
        <v>3</v>
      </c>
      <c r="AM26" s="4155">
        <f t="shared" si="70"/>
        <v>8283.4000000000015</v>
      </c>
      <c r="AN26" s="4155">
        <f t="shared" si="70"/>
        <v>4</v>
      </c>
      <c r="AO26" s="4155">
        <f t="shared" si="70"/>
        <v>12323.130000000001</v>
      </c>
      <c r="AP26" s="4155">
        <f t="shared" ref="AP26:AQ26" si="72">SUM(AP22:AP25)</f>
        <v>1</v>
      </c>
      <c r="AQ26" s="4155">
        <f t="shared" si="72"/>
        <v>4013.23</v>
      </c>
      <c r="AR26" s="4155">
        <f t="shared" si="70"/>
        <v>5</v>
      </c>
      <c r="AS26" s="4155">
        <f t="shared" si="70"/>
        <v>16336.36</v>
      </c>
      <c r="AT26" s="4155">
        <f t="shared" si="70"/>
        <v>0</v>
      </c>
      <c r="AU26" s="4155">
        <f t="shared" si="70"/>
        <v>0</v>
      </c>
      <c r="AV26" s="4155">
        <f t="shared" si="70"/>
        <v>5</v>
      </c>
      <c r="AW26" s="4155">
        <f t="shared" si="70"/>
        <v>16336.36</v>
      </c>
      <c r="AX26" s="4155">
        <f t="shared" ref="AX26:AY26" si="73">SUM(AX22:AX25)</f>
        <v>0</v>
      </c>
      <c r="AY26" s="4155">
        <f t="shared" si="73"/>
        <v>0</v>
      </c>
      <c r="AZ26" s="4155">
        <f t="shared" si="70"/>
        <v>1</v>
      </c>
      <c r="BA26" s="4155">
        <f t="shared" si="70"/>
        <v>4013.23</v>
      </c>
      <c r="BB26" s="4155">
        <f t="shared" si="70"/>
        <v>4</v>
      </c>
      <c r="BC26" s="4155">
        <f t="shared" si="70"/>
        <v>12296.630000000001</v>
      </c>
      <c r="BD26" s="4155">
        <f t="shared" si="70"/>
        <v>5</v>
      </c>
      <c r="BE26" s="4155">
        <f t="shared" si="70"/>
        <v>16336.36</v>
      </c>
      <c r="BF26" s="1111"/>
      <c r="BG26" s="1111"/>
      <c r="BH26" s="491"/>
      <c r="BI26" s="491"/>
      <c r="BJ26" s="491"/>
      <c r="BQ26" s="491"/>
      <c r="BR26" s="491"/>
      <c r="BS26" s="491"/>
      <c r="BT26" s="491"/>
      <c r="BU26" s="491"/>
      <c r="BV26" s="491"/>
      <c r="BW26" s="491"/>
      <c r="BX26" s="491"/>
      <c r="BY26" s="491"/>
      <c r="BZ26" s="491"/>
      <c r="CA26" s="491"/>
      <c r="CB26" s="491"/>
    </row>
    <row r="27" spans="2:80" ht="21.9" customHeight="1" thickBot="1" x14ac:dyDescent="0.35">
      <c r="B27" s="6098" t="s">
        <v>1175</v>
      </c>
      <c r="C27" s="1470" t="s">
        <v>1176</v>
      </c>
      <c r="D27" s="1343">
        <v>1</v>
      </c>
      <c r="E27" s="1344">
        <v>3926.97</v>
      </c>
      <c r="F27" s="1343">
        <v>2</v>
      </c>
      <c r="G27" s="1344">
        <v>6127.2</v>
      </c>
      <c r="H27" s="1365">
        <f t="shared" si="0"/>
        <v>3</v>
      </c>
      <c r="I27" s="1366">
        <f t="shared" si="26"/>
        <v>10054.17</v>
      </c>
      <c r="J27" s="1343">
        <v>1</v>
      </c>
      <c r="K27" s="1344">
        <v>4115</v>
      </c>
      <c r="L27" s="4087">
        <f t="shared" si="19"/>
        <v>4</v>
      </c>
      <c r="M27" s="4139">
        <f t="shared" si="27"/>
        <v>14169.17</v>
      </c>
      <c r="N27" s="1343">
        <v>1</v>
      </c>
      <c r="O27" s="1344">
        <v>4030.11</v>
      </c>
      <c r="P27" s="1414">
        <f t="shared" si="55"/>
        <v>5</v>
      </c>
      <c r="Q27" s="1414">
        <f t="shared" si="28"/>
        <v>18199.28</v>
      </c>
      <c r="R27" s="1343">
        <v>2</v>
      </c>
      <c r="S27" s="1344">
        <v>7453.56</v>
      </c>
      <c r="T27" s="1414">
        <f t="shared" si="2"/>
        <v>7</v>
      </c>
      <c r="U27" s="1414">
        <f t="shared" si="29"/>
        <v>25652.84</v>
      </c>
      <c r="V27" s="1343">
        <v>1</v>
      </c>
      <c r="W27" s="1344">
        <v>3900.83</v>
      </c>
      <c r="X27" s="4087">
        <f t="shared" si="3"/>
        <v>4</v>
      </c>
      <c r="Y27" s="4140">
        <f t="shared" si="4"/>
        <v>15384.5</v>
      </c>
      <c r="Z27" s="4088">
        <f t="shared" si="5"/>
        <v>8</v>
      </c>
      <c r="AA27" s="4085">
        <f t="shared" si="30"/>
        <v>29553.670000000002</v>
      </c>
      <c r="AB27" s="1343">
        <v>1</v>
      </c>
      <c r="AC27" s="1344">
        <v>3992.12</v>
      </c>
      <c r="AD27" s="4621">
        <f t="shared" si="6"/>
        <v>9</v>
      </c>
      <c r="AE27" s="4595">
        <f t="shared" si="31"/>
        <v>33545.79</v>
      </c>
      <c r="AF27" s="1343">
        <v>1</v>
      </c>
      <c r="AG27" s="1344">
        <v>3364.78</v>
      </c>
      <c r="AH27" s="1365">
        <f t="shared" ref="AH27:AH31" si="74">AD27+AF27</f>
        <v>10</v>
      </c>
      <c r="AI27" s="1414">
        <f t="shared" si="23"/>
        <v>36910.57</v>
      </c>
      <c r="AJ27" s="1343">
        <v>1</v>
      </c>
      <c r="AK27" s="1344">
        <v>4059.37</v>
      </c>
      <c r="AL27" s="4087">
        <f t="shared" ref="AL27:AL31" si="75">+AB27+AF27+AJ27</f>
        <v>3</v>
      </c>
      <c r="AM27" s="4139">
        <f t="shared" si="9"/>
        <v>11416.27</v>
      </c>
      <c r="AN27" s="1365">
        <f t="shared" si="68"/>
        <v>11</v>
      </c>
      <c r="AO27" s="1414">
        <f t="shared" si="34"/>
        <v>40969.94</v>
      </c>
      <c r="AP27" s="1343">
        <v>0</v>
      </c>
      <c r="AQ27" s="1344">
        <v>0</v>
      </c>
      <c r="AR27" s="1365">
        <f t="shared" ref="AR27:AR31" si="76">AN27+AP27</f>
        <v>11</v>
      </c>
      <c r="AS27" s="1414">
        <f t="shared" si="36"/>
        <v>40969.94</v>
      </c>
      <c r="AT27" s="1343">
        <v>1</v>
      </c>
      <c r="AU27" s="1344">
        <v>3547.67</v>
      </c>
      <c r="AV27" s="1365">
        <f t="shared" ref="AV27:AV31" si="77">AR27+AT27</f>
        <v>12</v>
      </c>
      <c r="AW27" s="1414">
        <f t="shared" si="38"/>
        <v>44517.61</v>
      </c>
      <c r="AX27" s="1343">
        <v>0</v>
      </c>
      <c r="AY27" s="1344">
        <v>0</v>
      </c>
      <c r="AZ27" s="4087">
        <f t="shared" ref="AZ27:AZ31" si="78">+AP27+AT27+AX27</f>
        <v>1</v>
      </c>
      <c r="BA27" s="4140">
        <f t="shared" si="14"/>
        <v>3547.67</v>
      </c>
      <c r="BB27" s="4088">
        <f t="shared" ref="BB27:BB31" si="79">AL27+AZ27</f>
        <v>4</v>
      </c>
      <c r="BC27" s="4085">
        <f t="shared" si="16"/>
        <v>14963.94</v>
      </c>
      <c r="BD27" s="1365">
        <f t="shared" ref="BD27:BD31" si="80">AV27+AX27</f>
        <v>12</v>
      </c>
      <c r="BE27" s="1414">
        <f t="shared" si="18"/>
        <v>44517.61</v>
      </c>
      <c r="BF27" s="1111"/>
      <c r="BG27" s="1111"/>
      <c r="BH27" s="491"/>
      <c r="BI27" s="491"/>
      <c r="BJ27" s="491"/>
      <c r="BQ27" s="491"/>
      <c r="BR27" s="491"/>
      <c r="BS27" s="491"/>
      <c r="BT27" s="491"/>
      <c r="BU27" s="491"/>
      <c r="BV27" s="491"/>
      <c r="BW27" s="491"/>
      <c r="BX27" s="491"/>
      <c r="BY27" s="491"/>
      <c r="BZ27" s="491"/>
      <c r="CA27" s="491"/>
      <c r="CB27" s="491"/>
    </row>
    <row r="28" spans="2:80" ht="21.9" customHeight="1" thickBot="1" x14ac:dyDescent="0.35">
      <c r="B28" s="6099"/>
      <c r="C28" s="4151" t="s">
        <v>1177</v>
      </c>
      <c r="D28" s="4157">
        <v>0</v>
      </c>
      <c r="E28" s="4158">
        <v>0</v>
      </c>
      <c r="F28" s="4157">
        <v>0</v>
      </c>
      <c r="G28" s="4158">
        <v>0</v>
      </c>
      <c r="H28" s="1365">
        <f t="shared" si="0"/>
        <v>0</v>
      </c>
      <c r="I28" s="1366">
        <f t="shared" si="26"/>
        <v>0</v>
      </c>
      <c r="J28" s="4157"/>
      <c r="K28" s="4158"/>
      <c r="L28" s="4087">
        <f t="shared" si="19"/>
        <v>0</v>
      </c>
      <c r="M28" s="4139">
        <f t="shared" si="27"/>
        <v>0</v>
      </c>
      <c r="N28" s="4157"/>
      <c r="O28" s="4158"/>
      <c r="P28" s="1414">
        <f t="shared" si="55"/>
        <v>0</v>
      </c>
      <c r="Q28" s="1414">
        <f t="shared" si="28"/>
        <v>0</v>
      </c>
      <c r="R28" s="4157"/>
      <c r="S28" s="4158"/>
      <c r="T28" s="1414">
        <f t="shared" si="2"/>
        <v>0</v>
      </c>
      <c r="U28" s="1414">
        <f t="shared" si="29"/>
        <v>0</v>
      </c>
      <c r="V28" s="4157"/>
      <c r="W28" s="4158"/>
      <c r="X28" s="4087">
        <f t="shared" si="3"/>
        <v>0</v>
      </c>
      <c r="Y28" s="4140">
        <f t="shared" si="4"/>
        <v>0</v>
      </c>
      <c r="Z28" s="4088">
        <f t="shared" si="5"/>
        <v>0</v>
      </c>
      <c r="AA28" s="4085">
        <f t="shared" si="30"/>
        <v>0</v>
      </c>
      <c r="AB28" s="4157">
        <v>0</v>
      </c>
      <c r="AC28" s="4158">
        <v>0</v>
      </c>
      <c r="AD28" s="4621">
        <f t="shared" si="6"/>
        <v>0</v>
      </c>
      <c r="AE28" s="4595">
        <f t="shared" si="31"/>
        <v>0</v>
      </c>
      <c r="AF28" s="4638">
        <v>0</v>
      </c>
      <c r="AG28" s="4158">
        <v>0</v>
      </c>
      <c r="AH28" s="1365">
        <f t="shared" si="74"/>
        <v>0</v>
      </c>
      <c r="AI28" s="1414">
        <f t="shared" si="23"/>
        <v>0</v>
      </c>
      <c r="AJ28" s="4157"/>
      <c r="AK28" s="4158">
        <v>0</v>
      </c>
      <c r="AL28" s="4087">
        <f t="shared" si="75"/>
        <v>0</v>
      </c>
      <c r="AM28" s="4139">
        <f t="shared" si="9"/>
        <v>0</v>
      </c>
      <c r="AN28" s="1365">
        <f t="shared" si="68"/>
        <v>0</v>
      </c>
      <c r="AO28" s="1414">
        <f t="shared" si="34"/>
        <v>0</v>
      </c>
      <c r="AP28" s="4157">
        <v>0</v>
      </c>
      <c r="AQ28" s="4158">
        <v>0</v>
      </c>
      <c r="AR28" s="1365">
        <f t="shared" si="76"/>
        <v>0</v>
      </c>
      <c r="AS28" s="1414">
        <f t="shared" si="36"/>
        <v>0</v>
      </c>
      <c r="AT28" s="4157">
        <v>0</v>
      </c>
      <c r="AU28" s="4158">
        <v>0</v>
      </c>
      <c r="AV28" s="1365">
        <f t="shared" si="77"/>
        <v>0</v>
      </c>
      <c r="AW28" s="1414">
        <f t="shared" si="38"/>
        <v>0</v>
      </c>
      <c r="AX28" s="4157">
        <v>0</v>
      </c>
      <c r="AY28" s="4158">
        <v>0</v>
      </c>
      <c r="AZ28" s="4087">
        <f t="shared" si="78"/>
        <v>0</v>
      </c>
      <c r="BA28" s="4140">
        <f t="shared" si="14"/>
        <v>0</v>
      </c>
      <c r="BB28" s="4088">
        <f t="shared" si="79"/>
        <v>0</v>
      </c>
      <c r="BC28" s="4085">
        <f t="shared" si="16"/>
        <v>0</v>
      </c>
      <c r="BD28" s="1365">
        <f t="shared" si="80"/>
        <v>0</v>
      </c>
      <c r="BE28" s="1414">
        <f t="shared" si="18"/>
        <v>0</v>
      </c>
      <c r="BF28" s="1111"/>
      <c r="BG28" s="1111"/>
      <c r="BH28" s="491"/>
      <c r="BI28" s="491"/>
      <c r="BJ28" s="491"/>
      <c r="BQ28" s="491"/>
      <c r="BR28" s="491"/>
      <c r="BS28" s="491"/>
      <c r="BT28" s="491"/>
      <c r="BU28" s="491"/>
      <c r="BV28" s="491"/>
      <c r="BW28" s="491"/>
      <c r="BX28" s="491"/>
      <c r="BY28" s="491"/>
      <c r="BZ28" s="491"/>
      <c r="CA28" s="491"/>
      <c r="CB28" s="491"/>
    </row>
    <row r="29" spans="2:80" ht="21.9" customHeight="1" thickBot="1" x14ac:dyDescent="0.35">
      <c r="B29" s="6099"/>
      <c r="C29" s="4151" t="s">
        <v>972</v>
      </c>
      <c r="D29" s="4142">
        <v>3</v>
      </c>
      <c r="E29" s="4143">
        <v>11760.96</v>
      </c>
      <c r="F29" s="4142">
        <v>3</v>
      </c>
      <c r="G29" s="4143">
        <v>11701.29</v>
      </c>
      <c r="H29" s="1365">
        <f t="shared" si="0"/>
        <v>6</v>
      </c>
      <c r="I29" s="1366">
        <f t="shared" si="26"/>
        <v>23462.25</v>
      </c>
      <c r="J29" s="4142">
        <v>4</v>
      </c>
      <c r="K29" s="4143">
        <v>15764</v>
      </c>
      <c r="L29" s="4087">
        <f t="shared" si="19"/>
        <v>10</v>
      </c>
      <c r="M29" s="4139">
        <f t="shared" si="27"/>
        <v>39226.25</v>
      </c>
      <c r="N29" s="4142">
        <v>4</v>
      </c>
      <c r="O29" s="4143">
        <v>16007.35</v>
      </c>
      <c r="P29" s="1414">
        <f t="shared" si="55"/>
        <v>14</v>
      </c>
      <c r="Q29" s="1414">
        <f t="shared" si="28"/>
        <v>55233.599999999999</v>
      </c>
      <c r="R29" s="4142">
        <v>4</v>
      </c>
      <c r="S29" s="4143">
        <v>15772.76</v>
      </c>
      <c r="T29" s="1414">
        <f t="shared" si="2"/>
        <v>18</v>
      </c>
      <c r="U29" s="1414">
        <f t="shared" si="29"/>
        <v>71006.36</v>
      </c>
      <c r="V29" s="4142">
        <v>4</v>
      </c>
      <c r="W29" s="4143">
        <v>15524.81</v>
      </c>
      <c r="X29" s="4087">
        <f t="shared" si="3"/>
        <v>12</v>
      </c>
      <c r="Y29" s="4140">
        <f t="shared" si="4"/>
        <v>47304.92</v>
      </c>
      <c r="Z29" s="4088">
        <f t="shared" si="5"/>
        <v>22</v>
      </c>
      <c r="AA29" s="4085">
        <f t="shared" si="30"/>
        <v>86531.169999999984</v>
      </c>
      <c r="AB29" s="4142">
        <v>6</v>
      </c>
      <c r="AC29" s="4143">
        <v>23472.39</v>
      </c>
      <c r="AD29" s="4621">
        <f t="shared" si="6"/>
        <v>28</v>
      </c>
      <c r="AE29" s="4595">
        <f t="shared" si="31"/>
        <v>110003.56</v>
      </c>
      <c r="AF29" s="4613">
        <v>5</v>
      </c>
      <c r="AG29" s="4143">
        <v>19195.349999999999</v>
      </c>
      <c r="AH29" s="1365">
        <f t="shared" si="74"/>
        <v>33</v>
      </c>
      <c r="AI29" s="1414">
        <f t="shared" si="23"/>
        <v>129198.91</v>
      </c>
      <c r="AJ29" s="4142">
        <v>2</v>
      </c>
      <c r="AK29" s="4143">
        <v>31519.17</v>
      </c>
      <c r="AL29" s="4087">
        <f t="shared" si="75"/>
        <v>13</v>
      </c>
      <c r="AM29" s="4139">
        <f t="shared" si="9"/>
        <v>74186.91</v>
      </c>
      <c r="AN29" s="1365">
        <f t="shared" si="68"/>
        <v>35</v>
      </c>
      <c r="AO29" s="1414">
        <f t="shared" si="34"/>
        <v>160718.08000000002</v>
      </c>
      <c r="AP29" s="4142">
        <v>7</v>
      </c>
      <c r="AQ29" s="4143">
        <v>27528.880000000001</v>
      </c>
      <c r="AR29" s="1365">
        <f t="shared" si="76"/>
        <v>42</v>
      </c>
      <c r="AS29" s="1414">
        <f t="shared" si="36"/>
        <v>188246.96</v>
      </c>
      <c r="AT29" s="4142">
        <v>4</v>
      </c>
      <c r="AU29" s="4143">
        <v>15817.37</v>
      </c>
      <c r="AV29" s="1365">
        <f t="shared" si="77"/>
        <v>46</v>
      </c>
      <c r="AW29" s="1414">
        <f t="shared" si="38"/>
        <v>204064.33000000002</v>
      </c>
      <c r="AX29" s="4142">
        <v>5</v>
      </c>
      <c r="AY29" s="4143">
        <v>19523.439999999999</v>
      </c>
      <c r="AZ29" s="4087">
        <f t="shared" si="78"/>
        <v>16</v>
      </c>
      <c r="BA29" s="4140">
        <f t="shared" si="14"/>
        <v>62869.69</v>
      </c>
      <c r="BB29" s="4088">
        <f t="shared" si="79"/>
        <v>29</v>
      </c>
      <c r="BC29" s="4085">
        <f t="shared" si="16"/>
        <v>137056.6</v>
      </c>
      <c r="BD29" s="1365">
        <f t="shared" si="80"/>
        <v>51</v>
      </c>
      <c r="BE29" s="1414">
        <f t="shared" si="18"/>
        <v>223587.77</v>
      </c>
      <c r="BF29" s="1111"/>
      <c r="BG29" s="1111"/>
      <c r="BH29" s="491"/>
      <c r="BI29" s="491"/>
      <c r="BJ29" s="491"/>
      <c r="BQ29" s="491"/>
      <c r="BR29" s="491"/>
      <c r="BS29" s="491"/>
      <c r="BT29" s="491"/>
      <c r="BU29" s="491"/>
      <c r="BV29" s="491"/>
      <c r="BW29" s="491"/>
      <c r="BX29" s="491"/>
      <c r="BY29" s="491"/>
      <c r="BZ29" s="491"/>
      <c r="CA29" s="491"/>
      <c r="CB29" s="491"/>
    </row>
    <row r="30" spans="2:80" ht="21.9" customHeight="1" thickBot="1" x14ac:dyDescent="0.35">
      <c r="B30" s="6099"/>
      <c r="C30" s="4151" t="s">
        <v>1178</v>
      </c>
      <c r="D30" s="4142">
        <v>0</v>
      </c>
      <c r="E30" s="4143">
        <v>0</v>
      </c>
      <c r="F30" s="4142">
        <v>0</v>
      </c>
      <c r="G30" s="4143">
        <v>0</v>
      </c>
      <c r="H30" s="1365">
        <f t="shared" si="0"/>
        <v>0</v>
      </c>
      <c r="I30" s="1366">
        <f t="shared" si="26"/>
        <v>0</v>
      </c>
      <c r="J30" s="4142">
        <v>1</v>
      </c>
      <c r="K30" s="4143">
        <v>4048</v>
      </c>
      <c r="L30" s="4087">
        <f t="shared" si="19"/>
        <v>1</v>
      </c>
      <c r="M30" s="4139">
        <f t="shared" si="27"/>
        <v>4048</v>
      </c>
      <c r="N30" s="4142">
        <v>1</v>
      </c>
      <c r="O30" s="4143">
        <v>4083.64</v>
      </c>
      <c r="P30" s="1414">
        <f t="shared" si="55"/>
        <v>2</v>
      </c>
      <c r="Q30" s="1414">
        <f t="shared" si="28"/>
        <v>8131.6399999999994</v>
      </c>
      <c r="R30" s="4142">
        <v>0</v>
      </c>
      <c r="S30" s="4143">
        <v>0</v>
      </c>
      <c r="T30" s="1414">
        <f t="shared" si="2"/>
        <v>2</v>
      </c>
      <c r="U30" s="1414">
        <f t="shared" si="29"/>
        <v>8131.6399999999994</v>
      </c>
      <c r="V30" s="4142">
        <v>0</v>
      </c>
      <c r="W30" s="4143">
        <v>0</v>
      </c>
      <c r="X30" s="4087">
        <f t="shared" si="3"/>
        <v>1</v>
      </c>
      <c r="Y30" s="4140">
        <f t="shared" si="4"/>
        <v>4083.64</v>
      </c>
      <c r="Z30" s="4088">
        <f t="shared" si="5"/>
        <v>2</v>
      </c>
      <c r="AA30" s="4085">
        <f t="shared" si="30"/>
        <v>8131.6399999999994</v>
      </c>
      <c r="AB30" s="4142">
        <v>1</v>
      </c>
      <c r="AC30" s="4143">
        <v>4158.8</v>
      </c>
      <c r="AD30" s="4621">
        <f t="shared" si="6"/>
        <v>3</v>
      </c>
      <c r="AE30" s="4595">
        <f t="shared" si="31"/>
        <v>12290.44</v>
      </c>
      <c r="AF30" s="4613">
        <v>0</v>
      </c>
      <c r="AG30" s="4143">
        <v>0</v>
      </c>
      <c r="AH30" s="1365">
        <f t="shared" si="74"/>
        <v>3</v>
      </c>
      <c r="AI30" s="1414">
        <f t="shared" si="23"/>
        <v>12290.44</v>
      </c>
      <c r="AJ30" s="4142">
        <v>1</v>
      </c>
      <c r="AK30" s="4143">
        <v>4084.52</v>
      </c>
      <c r="AL30" s="4087">
        <f t="shared" si="75"/>
        <v>2</v>
      </c>
      <c r="AM30" s="4139">
        <f t="shared" si="9"/>
        <v>8243.32</v>
      </c>
      <c r="AN30" s="1365">
        <f t="shared" si="68"/>
        <v>4</v>
      </c>
      <c r="AO30" s="1414">
        <f t="shared" si="34"/>
        <v>16374.96</v>
      </c>
      <c r="AP30" s="4142">
        <v>1</v>
      </c>
      <c r="AQ30" s="4143">
        <v>3955.25</v>
      </c>
      <c r="AR30" s="1365">
        <f t="shared" si="76"/>
        <v>5</v>
      </c>
      <c r="AS30" s="1414">
        <f t="shared" si="36"/>
        <v>20330.21</v>
      </c>
      <c r="AT30" s="4142">
        <v>0</v>
      </c>
      <c r="AU30" s="4143">
        <v>0</v>
      </c>
      <c r="AV30" s="1365">
        <f t="shared" si="77"/>
        <v>5</v>
      </c>
      <c r="AW30" s="1414">
        <f t="shared" si="38"/>
        <v>20330.21</v>
      </c>
      <c r="AX30" s="4142">
        <v>0</v>
      </c>
      <c r="AY30" s="4143">
        <v>0</v>
      </c>
      <c r="AZ30" s="4087">
        <f t="shared" si="78"/>
        <v>1</v>
      </c>
      <c r="BA30" s="4140">
        <f t="shared" si="14"/>
        <v>3955.25</v>
      </c>
      <c r="BB30" s="4088">
        <f t="shared" si="79"/>
        <v>3</v>
      </c>
      <c r="BC30" s="4085">
        <f t="shared" si="16"/>
        <v>12198.57</v>
      </c>
      <c r="BD30" s="1365">
        <f t="shared" si="80"/>
        <v>5</v>
      </c>
      <c r="BE30" s="1414">
        <f t="shared" si="18"/>
        <v>20330.21</v>
      </c>
      <c r="BF30" s="1111"/>
      <c r="BG30" s="1111"/>
      <c r="BH30" s="491"/>
      <c r="BI30" s="491"/>
      <c r="BJ30" s="491"/>
      <c r="BQ30" s="491"/>
      <c r="BR30" s="491"/>
      <c r="BS30" s="491"/>
      <c r="BT30" s="491"/>
      <c r="BU30" s="491"/>
      <c r="BV30" s="491"/>
      <c r="BW30" s="491"/>
      <c r="BX30" s="491"/>
      <c r="BY30" s="491"/>
      <c r="BZ30" s="491"/>
      <c r="CA30" s="491"/>
      <c r="CB30" s="491"/>
    </row>
    <row r="31" spans="2:80" ht="21.9" customHeight="1" x14ac:dyDescent="0.3">
      <c r="B31" s="6099"/>
      <c r="C31" s="4151" t="s">
        <v>1179</v>
      </c>
      <c r="D31" s="4142">
        <v>1</v>
      </c>
      <c r="E31" s="4143">
        <v>3869.42</v>
      </c>
      <c r="F31" s="4142">
        <v>0</v>
      </c>
      <c r="G31" s="4143">
        <v>0</v>
      </c>
      <c r="H31" s="1365">
        <f t="shared" si="0"/>
        <v>1</v>
      </c>
      <c r="I31" s="1366">
        <f t="shared" si="26"/>
        <v>3869.42</v>
      </c>
      <c r="J31" s="4142">
        <v>0</v>
      </c>
      <c r="K31" s="4143">
        <v>0</v>
      </c>
      <c r="L31" s="4087">
        <f t="shared" si="19"/>
        <v>1</v>
      </c>
      <c r="M31" s="4139">
        <f t="shared" si="27"/>
        <v>3869.42</v>
      </c>
      <c r="N31" s="4142">
        <v>1</v>
      </c>
      <c r="O31" s="4143">
        <v>3850.4</v>
      </c>
      <c r="P31" s="1414">
        <f t="shared" si="55"/>
        <v>2</v>
      </c>
      <c r="Q31" s="1414">
        <f t="shared" si="28"/>
        <v>7719.82</v>
      </c>
      <c r="R31" s="4142">
        <v>1</v>
      </c>
      <c r="S31" s="4143">
        <v>3852.88</v>
      </c>
      <c r="T31" s="1414">
        <f t="shared" si="2"/>
        <v>3</v>
      </c>
      <c r="U31" s="1414">
        <f t="shared" si="29"/>
        <v>11572.7</v>
      </c>
      <c r="V31" s="4142">
        <v>0</v>
      </c>
      <c r="W31" s="4143">
        <v>0</v>
      </c>
      <c r="X31" s="4087">
        <f t="shared" si="3"/>
        <v>2</v>
      </c>
      <c r="Y31" s="4140">
        <f t="shared" si="4"/>
        <v>7703.2800000000007</v>
      </c>
      <c r="Z31" s="4088">
        <f t="shared" si="5"/>
        <v>3</v>
      </c>
      <c r="AA31" s="4085">
        <f t="shared" si="30"/>
        <v>11572.7</v>
      </c>
      <c r="AB31" s="4142">
        <v>0</v>
      </c>
      <c r="AC31" s="4143">
        <v>0</v>
      </c>
      <c r="AD31" s="4621">
        <f t="shared" si="6"/>
        <v>3</v>
      </c>
      <c r="AE31" s="4595">
        <f t="shared" si="31"/>
        <v>11572.7</v>
      </c>
      <c r="AF31" s="4613">
        <v>1</v>
      </c>
      <c r="AG31" s="4143">
        <v>3817.47</v>
      </c>
      <c r="AH31" s="1365">
        <f t="shared" si="74"/>
        <v>4</v>
      </c>
      <c r="AI31" s="1414">
        <f t="shared" si="23"/>
        <v>15390.17</v>
      </c>
      <c r="AJ31" s="4142">
        <v>0</v>
      </c>
      <c r="AK31" s="4143">
        <v>0</v>
      </c>
      <c r="AL31" s="4087">
        <f t="shared" si="75"/>
        <v>1</v>
      </c>
      <c r="AM31" s="4139">
        <f t="shared" si="9"/>
        <v>3817.47</v>
      </c>
      <c r="AN31" s="1365">
        <f t="shared" si="68"/>
        <v>4</v>
      </c>
      <c r="AO31" s="1414">
        <f t="shared" si="34"/>
        <v>15390.17</v>
      </c>
      <c r="AP31" s="4142">
        <v>0</v>
      </c>
      <c r="AQ31" s="4143">
        <v>0</v>
      </c>
      <c r="AR31" s="1365">
        <f t="shared" si="76"/>
        <v>4</v>
      </c>
      <c r="AS31" s="1414">
        <f t="shared" si="36"/>
        <v>15390.17</v>
      </c>
      <c r="AT31" s="4142">
        <v>0</v>
      </c>
      <c r="AU31" s="4143">
        <v>0</v>
      </c>
      <c r="AV31" s="1365">
        <f t="shared" si="77"/>
        <v>4</v>
      </c>
      <c r="AW31" s="1414">
        <f t="shared" si="38"/>
        <v>15390.17</v>
      </c>
      <c r="AX31" s="4142">
        <v>0</v>
      </c>
      <c r="AY31" s="4143">
        <v>0</v>
      </c>
      <c r="AZ31" s="4087">
        <f t="shared" si="78"/>
        <v>0</v>
      </c>
      <c r="BA31" s="4140">
        <f t="shared" si="14"/>
        <v>0</v>
      </c>
      <c r="BB31" s="4088">
        <f t="shared" si="79"/>
        <v>1</v>
      </c>
      <c r="BC31" s="4085">
        <f t="shared" si="16"/>
        <v>3817.47</v>
      </c>
      <c r="BD31" s="1365">
        <f t="shared" si="80"/>
        <v>4</v>
      </c>
      <c r="BE31" s="1414">
        <f t="shared" si="18"/>
        <v>15390.17</v>
      </c>
      <c r="BF31" s="1111"/>
      <c r="BG31" s="1111"/>
      <c r="BH31" s="491"/>
      <c r="BI31" s="491"/>
      <c r="BJ31" s="491"/>
      <c r="BQ31" s="491"/>
      <c r="BR31" s="491"/>
      <c r="BS31" s="491"/>
      <c r="BT31" s="491"/>
      <c r="BU31" s="491"/>
      <c r="BV31" s="491"/>
      <c r="BW31" s="491"/>
      <c r="BX31" s="491"/>
      <c r="BY31" s="491"/>
      <c r="BZ31" s="491"/>
      <c r="CA31" s="491"/>
      <c r="CB31" s="491"/>
    </row>
    <row r="32" spans="2:80" ht="21.9" customHeight="1" thickBot="1" x14ac:dyDescent="0.35">
      <c r="B32" s="6100"/>
      <c r="C32" s="1469" t="s">
        <v>2</v>
      </c>
      <c r="D32" s="4155">
        <f t="shared" ref="D32:E32" si="81">SUM(D27:D31)</f>
        <v>5</v>
      </c>
      <c r="E32" s="4155">
        <f t="shared" si="81"/>
        <v>19557.349999999999</v>
      </c>
      <c r="F32" s="4155">
        <f t="shared" ref="F32:BE32" si="82">SUM(F27:F31)</f>
        <v>5</v>
      </c>
      <c r="G32" s="4155">
        <f t="shared" si="82"/>
        <v>17828.490000000002</v>
      </c>
      <c r="H32" s="4155">
        <f t="shared" si="82"/>
        <v>10</v>
      </c>
      <c r="I32" s="4155">
        <f t="shared" si="82"/>
        <v>37385.839999999997</v>
      </c>
      <c r="J32" s="4155">
        <f t="shared" si="82"/>
        <v>6</v>
      </c>
      <c r="K32" s="4155">
        <f t="shared" si="82"/>
        <v>23927</v>
      </c>
      <c r="L32" s="4155">
        <f t="shared" si="82"/>
        <v>16</v>
      </c>
      <c r="M32" s="4155">
        <f t="shared" si="82"/>
        <v>61312.84</v>
      </c>
      <c r="N32" s="4155">
        <f t="shared" si="82"/>
        <v>7</v>
      </c>
      <c r="O32" s="4155">
        <f t="shared" si="82"/>
        <v>27971.5</v>
      </c>
      <c r="P32" s="4155">
        <f t="shared" si="82"/>
        <v>23</v>
      </c>
      <c r="Q32" s="4155">
        <f t="shared" si="82"/>
        <v>89284.34</v>
      </c>
      <c r="R32" s="4155">
        <f t="shared" si="82"/>
        <v>7</v>
      </c>
      <c r="S32" s="4155">
        <f t="shared" si="82"/>
        <v>27079.200000000001</v>
      </c>
      <c r="T32" s="4155">
        <f t="shared" si="82"/>
        <v>30</v>
      </c>
      <c r="U32" s="4155">
        <f t="shared" si="82"/>
        <v>116363.54</v>
      </c>
      <c r="V32" s="4155">
        <f t="shared" si="82"/>
        <v>5</v>
      </c>
      <c r="W32" s="4155">
        <f t="shared" si="82"/>
        <v>19425.64</v>
      </c>
      <c r="X32" s="4155">
        <f t="shared" si="82"/>
        <v>19</v>
      </c>
      <c r="Y32" s="4155">
        <f t="shared" si="82"/>
        <v>74476.34</v>
      </c>
      <c r="Z32" s="4155">
        <f t="shared" si="82"/>
        <v>35</v>
      </c>
      <c r="AA32" s="4155">
        <f t="shared" si="82"/>
        <v>135789.18</v>
      </c>
      <c r="AB32" s="4155">
        <f t="shared" si="82"/>
        <v>8</v>
      </c>
      <c r="AC32" s="4155">
        <f t="shared" si="82"/>
        <v>31623.309999999998</v>
      </c>
      <c r="AD32" s="4156">
        <f t="shared" si="82"/>
        <v>43</v>
      </c>
      <c r="AE32" s="4520">
        <f t="shared" si="82"/>
        <v>167412.49000000002</v>
      </c>
      <c r="AF32" s="4155">
        <f t="shared" si="82"/>
        <v>7</v>
      </c>
      <c r="AG32" s="4155">
        <f t="shared" ref="AG32" si="83">SUM(AG27:AG31)</f>
        <v>26377.599999999999</v>
      </c>
      <c r="AH32" s="4155">
        <f t="shared" si="82"/>
        <v>50</v>
      </c>
      <c r="AI32" s="4155">
        <f t="shared" si="23"/>
        <v>193790.09</v>
      </c>
      <c r="AJ32" s="4155">
        <f t="shared" si="82"/>
        <v>4</v>
      </c>
      <c r="AK32" s="4155">
        <f t="shared" si="82"/>
        <v>39663.06</v>
      </c>
      <c r="AL32" s="4155">
        <f t="shared" si="82"/>
        <v>19</v>
      </c>
      <c r="AM32" s="4155">
        <f t="shared" si="82"/>
        <v>97663.97</v>
      </c>
      <c r="AN32" s="4155">
        <f t="shared" si="82"/>
        <v>54</v>
      </c>
      <c r="AO32" s="4155">
        <f t="shared" si="82"/>
        <v>233453.15000000002</v>
      </c>
      <c r="AP32" s="4155">
        <f t="shared" ref="AP32:AQ32" si="84">SUM(AP27:AP31)</f>
        <v>8</v>
      </c>
      <c r="AQ32" s="4155">
        <f t="shared" si="84"/>
        <v>31484.13</v>
      </c>
      <c r="AR32" s="4155">
        <f t="shared" si="82"/>
        <v>62</v>
      </c>
      <c r="AS32" s="4155">
        <f t="shared" si="82"/>
        <v>264937.27999999997</v>
      </c>
      <c r="AT32" s="4155">
        <f t="shared" si="82"/>
        <v>5</v>
      </c>
      <c r="AU32" s="4155">
        <f t="shared" si="82"/>
        <v>19365.04</v>
      </c>
      <c r="AV32" s="4155">
        <f t="shared" si="82"/>
        <v>67</v>
      </c>
      <c r="AW32" s="4155">
        <f t="shared" si="82"/>
        <v>284302.32</v>
      </c>
      <c r="AX32" s="4155">
        <f t="shared" ref="AX32:AY32" si="85">SUM(AX27:AX31)</f>
        <v>5</v>
      </c>
      <c r="AY32" s="4155">
        <f t="shared" si="85"/>
        <v>19523.439999999999</v>
      </c>
      <c r="AZ32" s="4155">
        <f t="shared" si="82"/>
        <v>18</v>
      </c>
      <c r="BA32" s="4155">
        <f t="shared" si="82"/>
        <v>70372.61</v>
      </c>
      <c r="BB32" s="4155">
        <f t="shared" si="82"/>
        <v>37</v>
      </c>
      <c r="BC32" s="4155">
        <f t="shared" si="82"/>
        <v>168036.58000000002</v>
      </c>
      <c r="BD32" s="4155">
        <f t="shared" si="82"/>
        <v>72</v>
      </c>
      <c r="BE32" s="4155">
        <f t="shared" si="82"/>
        <v>303825.76</v>
      </c>
      <c r="BF32" s="1111"/>
      <c r="BG32" s="1111"/>
      <c r="BH32" s="491"/>
      <c r="BI32" s="491"/>
      <c r="BJ32" s="491"/>
      <c r="BQ32" s="491"/>
      <c r="BR32" s="491"/>
      <c r="BS32" s="491"/>
      <c r="BT32" s="491"/>
      <c r="BU32" s="491"/>
      <c r="BV32" s="491"/>
      <c r="BW32" s="491"/>
      <c r="BX32" s="491"/>
      <c r="BY32" s="491"/>
      <c r="BZ32" s="491"/>
      <c r="CA32" s="491"/>
      <c r="CB32" s="491"/>
    </row>
    <row r="33" spans="2:80" ht="21.9" customHeight="1" thickBot="1" x14ac:dyDescent="0.35">
      <c r="B33" s="6109" t="s">
        <v>1180</v>
      </c>
      <c r="C33" s="1468" t="s">
        <v>972</v>
      </c>
      <c r="D33" s="1355">
        <v>6</v>
      </c>
      <c r="E33" s="1362">
        <v>23334.78</v>
      </c>
      <c r="F33" s="1355">
        <v>3</v>
      </c>
      <c r="G33" s="1362">
        <v>11910.89</v>
      </c>
      <c r="H33" s="1365">
        <f t="shared" si="0"/>
        <v>9</v>
      </c>
      <c r="I33" s="1366">
        <f t="shared" si="26"/>
        <v>35245.67</v>
      </c>
      <c r="J33" s="1355">
        <v>5</v>
      </c>
      <c r="K33" s="1362">
        <v>19803</v>
      </c>
      <c r="L33" s="4087">
        <f t="shared" si="19"/>
        <v>14</v>
      </c>
      <c r="M33" s="4139">
        <f t="shared" si="27"/>
        <v>55048.67</v>
      </c>
      <c r="N33" s="1355">
        <v>4</v>
      </c>
      <c r="O33" s="1362">
        <v>15864.51</v>
      </c>
      <c r="P33" s="1414">
        <f t="shared" si="55"/>
        <v>18</v>
      </c>
      <c r="Q33" s="1414">
        <f t="shared" si="28"/>
        <v>70913.179999999993</v>
      </c>
      <c r="R33" s="1355">
        <v>6</v>
      </c>
      <c r="S33" s="1362">
        <v>23547.25</v>
      </c>
      <c r="T33" s="1414">
        <f t="shared" si="2"/>
        <v>24</v>
      </c>
      <c r="U33" s="1414">
        <f t="shared" si="29"/>
        <v>94460.430000000008</v>
      </c>
      <c r="V33" s="1355">
        <v>3</v>
      </c>
      <c r="W33" s="1362">
        <v>11744.630000000001</v>
      </c>
      <c r="X33" s="4087">
        <f t="shared" si="3"/>
        <v>13</v>
      </c>
      <c r="Y33" s="4140">
        <f t="shared" si="4"/>
        <v>51156.39</v>
      </c>
      <c r="Z33" s="4088">
        <f t="shared" si="5"/>
        <v>27</v>
      </c>
      <c r="AA33" s="4085">
        <f t="shared" si="30"/>
        <v>106205.06000000001</v>
      </c>
      <c r="AB33" s="1355">
        <v>4</v>
      </c>
      <c r="AC33" s="1362">
        <v>15678.11</v>
      </c>
      <c r="AD33" s="4621">
        <f t="shared" si="6"/>
        <v>31</v>
      </c>
      <c r="AE33" s="4595">
        <f t="shared" si="31"/>
        <v>121883.17</v>
      </c>
      <c r="AF33" s="1355">
        <v>4</v>
      </c>
      <c r="AG33" s="1362">
        <v>15705.72</v>
      </c>
      <c r="AH33" s="1365">
        <f t="shared" ref="AH33:AH35" si="86">AD33+AF33</f>
        <v>35</v>
      </c>
      <c r="AI33" s="1414">
        <f t="shared" si="23"/>
        <v>137588.89000000001</v>
      </c>
      <c r="AJ33" s="1355">
        <v>3</v>
      </c>
      <c r="AK33" s="1362"/>
      <c r="AL33" s="4087">
        <f t="shared" ref="AL33:AL35" si="87">+AB33+AF33+AJ33</f>
        <v>11</v>
      </c>
      <c r="AM33" s="4139">
        <f t="shared" si="9"/>
        <v>31383.83</v>
      </c>
      <c r="AN33" s="1365">
        <f t="shared" si="68"/>
        <v>38</v>
      </c>
      <c r="AO33" s="1414">
        <f t="shared" si="34"/>
        <v>137588.89000000001</v>
      </c>
      <c r="AP33" s="1355">
        <v>1</v>
      </c>
      <c r="AQ33" s="1362">
        <v>3917.27</v>
      </c>
      <c r="AR33" s="1365">
        <f t="shared" ref="AR33:AR35" si="88">AN33+AP33</f>
        <v>39</v>
      </c>
      <c r="AS33" s="1414">
        <f t="shared" si="36"/>
        <v>141506.15999999997</v>
      </c>
      <c r="AT33" s="1355">
        <v>4</v>
      </c>
      <c r="AU33" s="1362">
        <v>15560.09</v>
      </c>
      <c r="AV33" s="1365">
        <f t="shared" ref="AV33:AV35" si="89">AR33+AT33</f>
        <v>43</v>
      </c>
      <c r="AW33" s="1414">
        <f t="shared" si="38"/>
        <v>157066.25</v>
      </c>
      <c r="AX33" s="1355">
        <v>7</v>
      </c>
      <c r="AY33" s="1362">
        <v>27401.59</v>
      </c>
      <c r="AZ33" s="4087">
        <f t="shared" ref="AZ33:AZ35" si="90">+AP33+AT33+AX33</f>
        <v>12</v>
      </c>
      <c r="BA33" s="4140">
        <f t="shared" si="14"/>
        <v>46878.95</v>
      </c>
      <c r="BB33" s="4088">
        <f t="shared" ref="BB33:BB35" si="91">AL33+AZ33</f>
        <v>23</v>
      </c>
      <c r="BC33" s="4085">
        <f t="shared" si="16"/>
        <v>78262.78</v>
      </c>
      <c r="BD33" s="1365">
        <f t="shared" ref="BD33:BD35" si="92">AV33+AX33</f>
        <v>50</v>
      </c>
      <c r="BE33" s="1414">
        <f t="shared" si="18"/>
        <v>184467.84000000003</v>
      </c>
      <c r="BF33" s="1111"/>
      <c r="BG33" s="1111"/>
      <c r="BH33" s="491"/>
      <c r="BI33" s="491"/>
      <c r="BJ33" s="491"/>
      <c r="BQ33" s="491"/>
      <c r="BR33" s="491"/>
      <c r="BS33" s="491"/>
      <c r="BT33" s="491"/>
      <c r="BU33" s="491"/>
      <c r="BV33" s="491"/>
      <c r="BW33" s="491"/>
      <c r="BX33" s="491"/>
      <c r="BY33" s="491"/>
      <c r="BZ33" s="491"/>
      <c r="CA33" s="491"/>
      <c r="CB33" s="491"/>
    </row>
    <row r="34" spans="2:80" ht="21.9" customHeight="1" thickBot="1" x14ac:dyDescent="0.35">
      <c r="B34" s="6099"/>
      <c r="C34" s="4141" t="s">
        <v>1178</v>
      </c>
      <c r="D34" s="4142">
        <v>2</v>
      </c>
      <c r="E34" s="4143">
        <v>8173.7</v>
      </c>
      <c r="F34" s="4142">
        <v>0</v>
      </c>
      <c r="G34" s="4143">
        <v>0</v>
      </c>
      <c r="H34" s="1365">
        <f t="shared" si="0"/>
        <v>2</v>
      </c>
      <c r="I34" s="1366">
        <f t="shared" si="26"/>
        <v>8173.7</v>
      </c>
      <c r="J34" s="4142">
        <v>0</v>
      </c>
      <c r="K34" s="4143">
        <v>0</v>
      </c>
      <c r="L34" s="4087">
        <f t="shared" si="19"/>
        <v>2</v>
      </c>
      <c r="M34" s="4139">
        <f t="shared" si="27"/>
        <v>8173.7</v>
      </c>
      <c r="N34" s="4142">
        <v>1</v>
      </c>
      <c r="O34" s="4143">
        <v>4073.51</v>
      </c>
      <c r="P34" s="1414">
        <f t="shared" si="55"/>
        <v>3</v>
      </c>
      <c r="Q34" s="1414">
        <f t="shared" si="28"/>
        <v>12247.21</v>
      </c>
      <c r="R34" s="4142">
        <v>1</v>
      </c>
      <c r="S34" s="4143">
        <v>4102.3900000000003</v>
      </c>
      <c r="T34" s="1414">
        <f t="shared" si="2"/>
        <v>4</v>
      </c>
      <c r="U34" s="1414">
        <f t="shared" si="29"/>
        <v>16349.6</v>
      </c>
      <c r="V34" s="4142">
        <v>1</v>
      </c>
      <c r="W34" s="4143">
        <v>4138.8</v>
      </c>
      <c r="X34" s="4087">
        <f t="shared" si="3"/>
        <v>3</v>
      </c>
      <c r="Y34" s="4140">
        <f t="shared" si="4"/>
        <v>12314.7</v>
      </c>
      <c r="Z34" s="4088">
        <f t="shared" si="5"/>
        <v>5</v>
      </c>
      <c r="AA34" s="4085">
        <f t="shared" si="30"/>
        <v>20488.400000000001</v>
      </c>
      <c r="AB34" s="4142">
        <v>2</v>
      </c>
      <c r="AC34" s="4143">
        <v>8183.4</v>
      </c>
      <c r="AD34" s="4621">
        <f t="shared" si="6"/>
        <v>7</v>
      </c>
      <c r="AE34" s="4595">
        <f t="shared" si="31"/>
        <v>28671.8</v>
      </c>
      <c r="AF34" s="4613">
        <v>1</v>
      </c>
      <c r="AG34" s="4143">
        <v>4183.8999999999996</v>
      </c>
      <c r="AH34" s="1365">
        <f t="shared" si="86"/>
        <v>8</v>
      </c>
      <c r="AI34" s="1414">
        <f t="shared" si="23"/>
        <v>32855.699999999997</v>
      </c>
      <c r="AJ34" s="4142">
        <v>0</v>
      </c>
      <c r="AK34" s="4143"/>
      <c r="AL34" s="4087">
        <f t="shared" si="87"/>
        <v>3</v>
      </c>
      <c r="AM34" s="4139">
        <f t="shared" si="9"/>
        <v>12367.3</v>
      </c>
      <c r="AN34" s="1365">
        <f t="shared" si="68"/>
        <v>8</v>
      </c>
      <c r="AO34" s="1414">
        <f t="shared" si="34"/>
        <v>32855.699999999997</v>
      </c>
      <c r="AP34" s="4142">
        <v>1</v>
      </c>
      <c r="AQ34" s="4143">
        <v>4158.8999999999996</v>
      </c>
      <c r="AR34" s="1365">
        <f t="shared" si="88"/>
        <v>9</v>
      </c>
      <c r="AS34" s="1414">
        <f t="shared" si="36"/>
        <v>37014.599999999991</v>
      </c>
      <c r="AT34" s="4142">
        <v>1</v>
      </c>
      <c r="AU34" s="4143">
        <v>4176.68</v>
      </c>
      <c r="AV34" s="1365">
        <f t="shared" si="89"/>
        <v>10</v>
      </c>
      <c r="AW34" s="1414">
        <f t="shared" si="38"/>
        <v>41191.279999999992</v>
      </c>
      <c r="AX34" s="4142">
        <v>0</v>
      </c>
      <c r="AY34" s="4143">
        <v>0</v>
      </c>
      <c r="AZ34" s="4087">
        <f t="shared" si="90"/>
        <v>2</v>
      </c>
      <c r="BA34" s="4140">
        <f t="shared" si="14"/>
        <v>8335.58</v>
      </c>
      <c r="BB34" s="4088">
        <f t="shared" si="91"/>
        <v>5</v>
      </c>
      <c r="BC34" s="4085">
        <f t="shared" si="16"/>
        <v>20702.879999999997</v>
      </c>
      <c r="BD34" s="1365">
        <f t="shared" si="92"/>
        <v>10</v>
      </c>
      <c r="BE34" s="1414">
        <f t="shared" si="18"/>
        <v>41191.279999999999</v>
      </c>
      <c r="BF34" s="1111"/>
      <c r="BG34" s="1111"/>
      <c r="BH34" s="491"/>
      <c r="BI34" s="491"/>
      <c r="BJ34" s="491"/>
      <c r="BQ34" s="491"/>
      <c r="BR34" s="491"/>
      <c r="BS34" s="491"/>
      <c r="BT34" s="491"/>
      <c r="BU34" s="491"/>
      <c r="BV34" s="491"/>
      <c r="BW34" s="491"/>
      <c r="BX34" s="491"/>
      <c r="BY34" s="491"/>
      <c r="BZ34" s="491"/>
      <c r="CA34" s="491"/>
      <c r="CB34" s="491"/>
    </row>
    <row r="35" spans="2:80" ht="21.9" customHeight="1" thickBot="1" x14ac:dyDescent="0.35">
      <c r="B35" s="6110"/>
      <c r="C35" s="4151" t="s">
        <v>1179</v>
      </c>
      <c r="D35" s="4153">
        <v>0</v>
      </c>
      <c r="E35" s="4154">
        <v>0</v>
      </c>
      <c r="F35" s="4153">
        <v>0</v>
      </c>
      <c r="G35" s="4154">
        <v>0</v>
      </c>
      <c r="H35" s="1365">
        <f t="shared" si="0"/>
        <v>0</v>
      </c>
      <c r="I35" s="1366">
        <f t="shared" si="26"/>
        <v>0</v>
      </c>
      <c r="J35" s="4153">
        <v>0</v>
      </c>
      <c r="K35" s="4154">
        <v>0</v>
      </c>
      <c r="L35" s="4087">
        <f t="shared" si="19"/>
        <v>0</v>
      </c>
      <c r="M35" s="4139">
        <f t="shared" si="27"/>
        <v>0</v>
      </c>
      <c r="N35" s="4153">
        <v>0</v>
      </c>
      <c r="O35" s="4154">
        <v>0</v>
      </c>
      <c r="P35" s="1414">
        <f t="shared" si="55"/>
        <v>0</v>
      </c>
      <c r="Q35" s="1414">
        <f t="shared" si="28"/>
        <v>0</v>
      </c>
      <c r="R35" s="4153"/>
      <c r="S35" s="4154"/>
      <c r="T35" s="1414">
        <f t="shared" si="2"/>
        <v>0</v>
      </c>
      <c r="U35" s="1414">
        <f t="shared" si="29"/>
        <v>0</v>
      </c>
      <c r="V35" s="4153">
        <v>0</v>
      </c>
      <c r="W35" s="4154">
        <v>0</v>
      </c>
      <c r="X35" s="4087">
        <f t="shared" si="3"/>
        <v>0</v>
      </c>
      <c r="Y35" s="4140">
        <f t="shared" si="4"/>
        <v>0</v>
      </c>
      <c r="Z35" s="4088">
        <f t="shared" si="5"/>
        <v>0</v>
      </c>
      <c r="AA35" s="4085">
        <f t="shared" si="30"/>
        <v>0</v>
      </c>
      <c r="AB35" s="4153">
        <v>0</v>
      </c>
      <c r="AC35" s="4154">
        <v>0</v>
      </c>
      <c r="AD35" s="4621">
        <f t="shared" si="6"/>
        <v>0</v>
      </c>
      <c r="AE35" s="4595">
        <f t="shared" si="31"/>
        <v>0</v>
      </c>
      <c r="AF35" s="4637">
        <v>0</v>
      </c>
      <c r="AG35" s="4154">
        <v>0</v>
      </c>
      <c r="AH35" s="1365">
        <f t="shared" si="86"/>
        <v>0</v>
      </c>
      <c r="AI35" s="1414">
        <f t="shared" si="23"/>
        <v>0</v>
      </c>
      <c r="AJ35" s="4153">
        <v>0</v>
      </c>
      <c r="AK35" s="4154"/>
      <c r="AL35" s="4087">
        <f t="shared" si="87"/>
        <v>0</v>
      </c>
      <c r="AM35" s="4139">
        <f t="shared" si="9"/>
        <v>0</v>
      </c>
      <c r="AN35" s="1365">
        <f t="shared" si="68"/>
        <v>0</v>
      </c>
      <c r="AO35" s="1414">
        <f t="shared" si="34"/>
        <v>0</v>
      </c>
      <c r="AP35" s="4153">
        <v>0</v>
      </c>
      <c r="AQ35" s="4154">
        <v>0</v>
      </c>
      <c r="AR35" s="1365">
        <f t="shared" si="88"/>
        <v>0</v>
      </c>
      <c r="AS35" s="1414">
        <f t="shared" si="36"/>
        <v>0</v>
      </c>
      <c r="AT35" s="4153">
        <v>0</v>
      </c>
      <c r="AU35" s="4154">
        <v>0</v>
      </c>
      <c r="AV35" s="1365">
        <f t="shared" si="89"/>
        <v>0</v>
      </c>
      <c r="AW35" s="1414">
        <f t="shared" si="38"/>
        <v>0</v>
      </c>
      <c r="AX35" s="4153">
        <v>0</v>
      </c>
      <c r="AY35" s="4154">
        <v>0</v>
      </c>
      <c r="AZ35" s="4087">
        <f t="shared" si="90"/>
        <v>0</v>
      </c>
      <c r="BA35" s="4140">
        <f t="shared" si="14"/>
        <v>0</v>
      </c>
      <c r="BB35" s="4088">
        <f t="shared" si="91"/>
        <v>0</v>
      </c>
      <c r="BC35" s="4085">
        <f t="shared" si="16"/>
        <v>0</v>
      </c>
      <c r="BD35" s="1365">
        <f t="shared" si="92"/>
        <v>0</v>
      </c>
      <c r="BE35" s="1414">
        <f t="shared" si="18"/>
        <v>0</v>
      </c>
      <c r="BF35" s="1111"/>
      <c r="BG35" s="1111"/>
      <c r="BH35" s="491"/>
      <c r="BI35" s="491"/>
      <c r="BJ35" s="491"/>
      <c r="BQ35" s="491"/>
      <c r="BR35" s="491"/>
      <c r="BS35" s="491"/>
      <c r="BT35" s="491"/>
      <c r="BU35" s="491"/>
      <c r="BV35" s="491"/>
      <c r="BW35" s="491"/>
      <c r="BX35" s="491"/>
      <c r="BY35" s="491"/>
      <c r="BZ35" s="491"/>
      <c r="CA35" s="491"/>
      <c r="CB35" s="491"/>
    </row>
    <row r="36" spans="2:80" ht="21.9" customHeight="1" thickBot="1" x14ac:dyDescent="0.35">
      <c r="B36" s="6111"/>
      <c r="C36" s="4149" t="s">
        <v>2</v>
      </c>
      <c r="D36" s="4974">
        <f t="shared" ref="D36:E36" si="93">SUM(D33:D35)</f>
        <v>8</v>
      </c>
      <c r="E36" s="4974">
        <f t="shared" si="93"/>
        <v>31508.48</v>
      </c>
      <c r="F36" s="4974">
        <f t="shared" ref="F36:BE36" si="94">SUM(F33:F35)</f>
        <v>3</v>
      </c>
      <c r="G36" s="4974">
        <f t="shared" si="94"/>
        <v>11910.89</v>
      </c>
      <c r="H36" s="4974">
        <f t="shared" si="94"/>
        <v>11</v>
      </c>
      <c r="I36" s="1366">
        <f t="shared" si="94"/>
        <v>43419.369999999995</v>
      </c>
      <c r="J36" s="4974">
        <f t="shared" si="94"/>
        <v>5</v>
      </c>
      <c r="K36" s="4974">
        <f t="shared" si="94"/>
        <v>19803</v>
      </c>
      <c r="L36" s="4974">
        <f t="shared" si="94"/>
        <v>16</v>
      </c>
      <c r="M36" s="4974">
        <f t="shared" si="94"/>
        <v>63222.369999999995</v>
      </c>
      <c r="N36" s="4974">
        <f t="shared" si="94"/>
        <v>5</v>
      </c>
      <c r="O36" s="4974">
        <f t="shared" si="94"/>
        <v>19938.02</v>
      </c>
      <c r="P36" s="4974">
        <f t="shared" si="94"/>
        <v>21</v>
      </c>
      <c r="Q36" s="4974">
        <f t="shared" si="94"/>
        <v>83160.389999999985</v>
      </c>
      <c r="R36" s="4974">
        <f t="shared" si="94"/>
        <v>7</v>
      </c>
      <c r="S36" s="4974">
        <f t="shared" si="94"/>
        <v>27649.64</v>
      </c>
      <c r="T36" s="4974">
        <f t="shared" si="94"/>
        <v>28</v>
      </c>
      <c r="U36" s="4974">
        <f t="shared" si="94"/>
        <v>110810.03000000001</v>
      </c>
      <c r="V36" s="4974">
        <f t="shared" si="94"/>
        <v>4</v>
      </c>
      <c r="W36" s="4974">
        <f t="shared" si="94"/>
        <v>15883.43</v>
      </c>
      <c r="X36" s="4974">
        <f t="shared" si="94"/>
        <v>16</v>
      </c>
      <c r="Y36" s="4974">
        <f t="shared" si="94"/>
        <v>63471.09</v>
      </c>
      <c r="Z36" s="4974">
        <f t="shared" si="94"/>
        <v>32</v>
      </c>
      <c r="AA36" s="4974">
        <f t="shared" si="94"/>
        <v>126693.46000000002</v>
      </c>
      <c r="AB36" s="4974">
        <f t="shared" si="94"/>
        <v>6</v>
      </c>
      <c r="AC36" s="4974">
        <f t="shared" si="94"/>
        <v>23861.510000000002</v>
      </c>
      <c r="AD36" s="4623">
        <f t="shared" si="94"/>
        <v>38</v>
      </c>
      <c r="AE36" s="5030">
        <f t="shared" si="94"/>
        <v>150554.97</v>
      </c>
      <c r="AF36" s="4974">
        <f t="shared" si="94"/>
        <v>5</v>
      </c>
      <c r="AG36" s="4974">
        <f t="shared" ref="AG36" si="95">SUM(AG33:AG35)</f>
        <v>19889.62</v>
      </c>
      <c r="AH36" s="4974">
        <f t="shared" si="94"/>
        <v>43</v>
      </c>
      <c r="AI36" s="4974">
        <f t="shared" si="23"/>
        <v>170444.59000000003</v>
      </c>
      <c r="AJ36" s="4974">
        <f t="shared" si="94"/>
        <v>3</v>
      </c>
      <c r="AK36" s="4974">
        <f t="shared" si="94"/>
        <v>0</v>
      </c>
      <c r="AL36" s="4974">
        <f t="shared" si="94"/>
        <v>14</v>
      </c>
      <c r="AM36" s="4974">
        <f t="shared" si="94"/>
        <v>43751.130000000005</v>
      </c>
      <c r="AN36" s="4974">
        <f t="shared" si="94"/>
        <v>46</v>
      </c>
      <c r="AO36" s="4974">
        <f t="shared" si="94"/>
        <v>170444.59000000003</v>
      </c>
      <c r="AP36" s="4974">
        <f t="shared" ref="AP36:AQ36" si="96">SUM(AP33:AP35)</f>
        <v>2</v>
      </c>
      <c r="AQ36" s="4974">
        <f t="shared" si="96"/>
        <v>8076.17</v>
      </c>
      <c r="AR36" s="4974">
        <f t="shared" si="94"/>
        <v>48</v>
      </c>
      <c r="AS36" s="4974">
        <f t="shared" si="94"/>
        <v>178520.75999999995</v>
      </c>
      <c r="AT36" s="4974">
        <f t="shared" si="94"/>
        <v>5</v>
      </c>
      <c r="AU36" s="4974">
        <f t="shared" si="94"/>
        <v>19736.77</v>
      </c>
      <c r="AV36" s="4974">
        <f t="shared" si="94"/>
        <v>53</v>
      </c>
      <c r="AW36" s="4974">
        <f t="shared" si="94"/>
        <v>198257.53</v>
      </c>
      <c r="AX36" s="4974">
        <f t="shared" ref="AX36:AY36" si="97">SUM(AX33:AX35)</f>
        <v>7</v>
      </c>
      <c r="AY36" s="4974">
        <f t="shared" si="97"/>
        <v>27401.59</v>
      </c>
      <c r="AZ36" s="4974">
        <f t="shared" si="94"/>
        <v>14</v>
      </c>
      <c r="BA36" s="4974">
        <f t="shared" si="94"/>
        <v>55214.53</v>
      </c>
      <c r="BB36" s="4974">
        <f t="shared" si="94"/>
        <v>28</v>
      </c>
      <c r="BC36" s="4974">
        <f t="shared" si="94"/>
        <v>98965.66</v>
      </c>
      <c r="BD36" s="4974">
        <f t="shared" si="94"/>
        <v>60</v>
      </c>
      <c r="BE36" s="4974">
        <f t="shared" si="94"/>
        <v>225659.12000000002</v>
      </c>
      <c r="BF36" s="1111"/>
      <c r="BG36" s="1111"/>
      <c r="BH36" s="491"/>
      <c r="BI36" s="491"/>
      <c r="BJ36" s="491"/>
      <c r="BQ36" s="491"/>
      <c r="BR36" s="491"/>
      <c r="BS36" s="491"/>
      <c r="BT36" s="491"/>
      <c r="BU36" s="491"/>
      <c r="BV36" s="491"/>
      <c r="BW36" s="491"/>
      <c r="BX36" s="491"/>
      <c r="BY36" s="491"/>
      <c r="BZ36" s="491"/>
      <c r="CA36" s="491"/>
      <c r="CB36" s="491"/>
    </row>
    <row r="37" spans="2:80" ht="21.9" customHeight="1" thickBot="1" x14ac:dyDescent="0.35">
      <c r="B37" s="5036" t="s">
        <v>6</v>
      </c>
      <c r="C37" s="5037"/>
      <c r="D37" s="4975">
        <f t="shared" ref="D37:E37" si="98">+D41+D42</f>
        <v>0</v>
      </c>
      <c r="E37" s="4975">
        <f t="shared" si="98"/>
        <v>0</v>
      </c>
      <c r="F37" s="4975">
        <f t="shared" ref="F37:L37" si="99">+F41+F42</f>
        <v>0</v>
      </c>
      <c r="G37" s="4975">
        <f t="shared" si="99"/>
        <v>0</v>
      </c>
      <c r="H37" s="4975">
        <f t="shared" si="99"/>
        <v>0</v>
      </c>
      <c r="I37" s="1366">
        <f t="shared" si="99"/>
        <v>0</v>
      </c>
      <c r="J37" s="4975">
        <f t="shared" si="99"/>
        <v>0</v>
      </c>
      <c r="K37" s="4975">
        <f t="shared" si="99"/>
        <v>0</v>
      </c>
      <c r="L37" s="4975">
        <f t="shared" si="99"/>
        <v>0</v>
      </c>
      <c r="M37" s="4139">
        <f t="shared" si="27"/>
        <v>0</v>
      </c>
      <c r="N37" s="4975">
        <f t="shared" ref="N37:X37" si="100">+N41+N42</f>
        <v>0</v>
      </c>
      <c r="O37" s="4975">
        <f t="shared" si="100"/>
        <v>184.69</v>
      </c>
      <c r="P37" s="4975">
        <f t="shared" si="100"/>
        <v>0</v>
      </c>
      <c r="Q37" s="4975">
        <f t="shared" si="100"/>
        <v>184.69</v>
      </c>
      <c r="R37" s="4975">
        <f t="shared" si="100"/>
        <v>0</v>
      </c>
      <c r="S37" s="4975">
        <f t="shared" si="100"/>
        <v>4020</v>
      </c>
      <c r="T37" s="4975">
        <f t="shared" si="100"/>
        <v>0</v>
      </c>
      <c r="U37" s="4975">
        <f t="shared" si="100"/>
        <v>4204.6899999999996</v>
      </c>
      <c r="V37" s="4975">
        <f t="shared" si="100"/>
        <v>0</v>
      </c>
      <c r="W37" s="4975">
        <f t="shared" si="100"/>
        <v>4027.2</v>
      </c>
      <c r="X37" s="4975">
        <f t="shared" si="100"/>
        <v>0</v>
      </c>
      <c r="Y37" s="4140">
        <f t="shared" si="4"/>
        <v>8231.89</v>
      </c>
      <c r="Z37" s="4975">
        <f>+Z41+Z42</f>
        <v>0</v>
      </c>
      <c r="AA37" s="4085">
        <f t="shared" si="30"/>
        <v>8231.89</v>
      </c>
      <c r="AB37" s="4975">
        <f t="shared" ref="AB37:AL37" si="101">+AB41+AB42</f>
        <v>0</v>
      </c>
      <c r="AC37" s="4975">
        <f t="shared" si="101"/>
        <v>0</v>
      </c>
      <c r="AD37" s="4975">
        <f t="shared" si="101"/>
        <v>0</v>
      </c>
      <c r="AE37" s="4975">
        <f t="shared" si="101"/>
        <v>8231.89</v>
      </c>
      <c r="AF37" s="4975">
        <f t="shared" si="101"/>
        <v>0</v>
      </c>
      <c r="AG37" s="4975">
        <f t="shared" si="101"/>
        <v>0</v>
      </c>
      <c r="AH37" s="4975">
        <f t="shared" si="101"/>
        <v>0</v>
      </c>
      <c r="AI37" s="4975">
        <f t="shared" si="101"/>
        <v>8231.89</v>
      </c>
      <c r="AJ37" s="4975">
        <f t="shared" si="101"/>
        <v>0</v>
      </c>
      <c r="AK37" s="4975">
        <f t="shared" si="101"/>
        <v>0</v>
      </c>
      <c r="AL37" s="4975">
        <f t="shared" si="101"/>
        <v>0</v>
      </c>
      <c r="AM37" s="4139">
        <f t="shared" si="9"/>
        <v>0</v>
      </c>
      <c r="AN37" s="4975">
        <f t="shared" ref="AN37:AZ37" si="102">+AN41+AN42</f>
        <v>0</v>
      </c>
      <c r="AO37" s="4975">
        <f t="shared" si="102"/>
        <v>8231.89</v>
      </c>
      <c r="AP37" s="4975">
        <f t="shared" si="102"/>
        <v>0</v>
      </c>
      <c r="AQ37" s="4975">
        <f t="shared" si="102"/>
        <v>0</v>
      </c>
      <c r="AR37" s="4975">
        <f t="shared" si="102"/>
        <v>0</v>
      </c>
      <c r="AS37" s="4975">
        <f t="shared" si="102"/>
        <v>8231.89</v>
      </c>
      <c r="AT37" s="4975">
        <f t="shared" si="102"/>
        <v>0</v>
      </c>
      <c r="AU37" s="4975">
        <f t="shared" si="102"/>
        <v>3557.53</v>
      </c>
      <c r="AV37" s="4975">
        <f t="shared" si="102"/>
        <v>0</v>
      </c>
      <c r="AW37" s="4975">
        <f t="shared" si="102"/>
        <v>11789.42</v>
      </c>
      <c r="AX37" s="4975">
        <f t="shared" si="102"/>
        <v>0</v>
      </c>
      <c r="AY37" s="4975">
        <f t="shared" si="102"/>
        <v>136.72</v>
      </c>
      <c r="AZ37" s="4975">
        <f t="shared" si="102"/>
        <v>0</v>
      </c>
      <c r="BA37" s="4140">
        <f t="shared" si="14"/>
        <v>3694.25</v>
      </c>
      <c r="BB37" s="4975">
        <f>+BB41+BB42</f>
        <v>0</v>
      </c>
      <c r="BC37" s="4085">
        <f t="shared" si="16"/>
        <v>3694.25</v>
      </c>
      <c r="BD37" s="4975">
        <f>+BD41+BD42</f>
        <v>0</v>
      </c>
      <c r="BE37" s="1414">
        <f t="shared" si="18"/>
        <v>11926.14</v>
      </c>
      <c r="BF37" s="1111"/>
      <c r="BG37" s="1111"/>
      <c r="BH37" s="491"/>
      <c r="BI37" s="491"/>
      <c r="BJ37" s="491"/>
      <c r="BQ37" s="491"/>
      <c r="BR37" s="491"/>
      <c r="BS37" s="491"/>
      <c r="BT37" s="491"/>
      <c r="BU37" s="491"/>
      <c r="BV37" s="491"/>
      <c r="BW37" s="491"/>
      <c r="BX37" s="491"/>
      <c r="BY37" s="491"/>
      <c r="BZ37" s="491"/>
      <c r="CA37" s="491"/>
      <c r="CB37" s="491"/>
    </row>
    <row r="38" spans="2:80" ht="21.9" hidden="1" customHeight="1" thickBot="1" x14ac:dyDescent="0.35">
      <c r="B38" s="5037" t="s">
        <v>2176</v>
      </c>
      <c r="C38" s="5037"/>
      <c r="D38" s="4975"/>
      <c r="E38" s="4975"/>
      <c r="F38" s="4975"/>
      <c r="G38" s="4975"/>
      <c r="H38" s="5040"/>
      <c r="I38" s="1366"/>
      <c r="J38" s="4975"/>
      <c r="K38" s="4975">
        <v>0</v>
      </c>
      <c r="L38" s="5041"/>
      <c r="M38" s="4139">
        <f t="shared" si="27"/>
        <v>0</v>
      </c>
      <c r="N38" s="4975"/>
      <c r="O38" s="4975">
        <v>0</v>
      </c>
      <c r="P38" s="5040"/>
      <c r="Q38" s="5040"/>
      <c r="R38" s="4975"/>
      <c r="S38" s="4975">
        <v>4020</v>
      </c>
      <c r="T38" s="5040">
        <v>0</v>
      </c>
      <c r="U38" s="5040">
        <v>4020</v>
      </c>
      <c r="V38" s="4975"/>
      <c r="W38" s="4975">
        <v>4027.2</v>
      </c>
      <c r="X38" s="5041"/>
      <c r="Y38" s="4140">
        <f t="shared" si="4"/>
        <v>8047.2</v>
      </c>
      <c r="Z38" s="4975"/>
      <c r="AA38" s="4085">
        <f t="shared" si="30"/>
        <v>8047.2</v>
      </c>
      <c r="AB38" s="4975"/>
      <c r="AC38" s="5038">
        <v>0</v>
      </c>
      <c r="AD38" s="5043"/>
      <c r="AE38" s="4975"/>
      <c r="AF38" s="4975"/>
      <c r="AG38" s="5038">
        <v>0</v>
      </c>
      <c r="AH38" s="5040"/>
      <c r="AI38" s="5040"/>
      <c r="AJ38" s="4975"/>
      <c r="AK38" s="5038">
        <v>0</v>
      </c>
      <c r="AL38" s="5041"/>
      <c r="AM38" s="4139">
        <f t="shared" si="9"/>
        <v>0</v>
      </c>
      <c r="AN38" s="5040"/>
      <c r="AO38" s="5040"/>
      <c r="AP38" s="4975"/>
      <c r="AQ38" s="4975"/>
      <c r="AR38" s="5040"/>
      <c r="AS38" s="5040"/>
      <c r="AT38" s="4975"/>
      <c r="AU38" s="4975">
        <v>3481</v>
      </c>
      <c r="AV38" s="5040"/>
      <c r="AW38" s="5040"/>
      <c r="AX38" s="4975"/>
      <c r="AY38" s="4975">
        <v>0</v>
      </c>
      <c r="AZ38" s="5041"/>
      <c r="BA38" s="4140">
        <f t="shared" si="14"/>
        <v>3481</v>
      </c>
      <c r="BB38" s="4975"/>
      <c r="BC38" s="4085">
        <f t="shared" si="16"/>
        <v>3481</v>
      </c>
      <c r="BD38" s="5040"/>
      <c r="BE38" s="1414">
        <f t="shared" si="18"/>
        <v>11528.2</v>
      </c>
      <c r="BF38" s="1111"/>
      <c r="BG38" s="1111"/>
      <c r="BH38" s="491"/>
      <c r="BI38" s="491"/>
      <c r="BJ38" s="491"/>
      <c r="BQ38" s="491"/>
      <c r="BR38" s="491"/>
      <c r="BS38" s="491"/>
      <c r="BT38" s="491"/>
      <c r="BU38" s="491"/>
      <c r="BV38" s="491"/>
      <c r="BW38" s="491"/>
      <c r="BX38" s="491"/>
      <c r="BY38" s="491"/>
      <c r="BZ38" s="491"/>
      <c r="CA38" s="491"/>
      <c r="CB38" s="491"/>
    </row>
    <row r="39" spans="2:80" ht="21.9" hidden="1" customHeight="1" x14ac:dyDescent="0.3">
      <c r="B39" s="5037" t="s">
        <v>2177</v>
      </c>
      <c r="C39" s="5037"/>
      <c r="D39" s="4975"/>
      <c r="E39" s="4975"/>
      <c r="F39" s="4975"/>
      <c r="G39" s="4975"/>
      <c r="H39" s="5040"/>
      <c r="I39" s="1366"/>
      <c r="J39" s="4975"/>
      <c r="K39" s="4975">
        <v>0</v>
      </c>
      <c r="L39" s="5041"/>
      <c r="M39" s="4139">
        <f t="shared" si="27"/>
        <v>0</v>
      </c>
      <c r="N39" s="4975"/>
      <c r="O39" s="4975">
        <v>184.69</v>
      </c>
      <c r="P39" s="5040"/>
      <c r="Q39" s="5040"/>
      <c r="R39" s="4975"/>
      <c r="S39" s="4975">
        <v>0</v>
      </c>
      <c r="T39" s="5040"/>
      <c r="U39" s="5040"/>
      <c r="V39" s="4975"/>
      <c r="W39" s="4975">
        <v>0</v>
      </c>
      <c r="X39" s="5041"/>
      <c r="Y39" s="4140">
        <f t="shared" si="4"/>
        <v>184.69</v>
      </c>
      <c r="Z39" s="4975"/>
      <c r="AA39" s="4085">
        <f t="shared" si="30"/>
        <v>184.69</v>
      </c>
      <c r="AB39" s="4975"/>
      <c r="AC39" s="5038">
        <v>0</v>
      </c>
      <c r="AD39" s="5043"/>
      <c r="AE39" s="4975"/>
      <c r="AF39" s="4975"/>
      <c r="AG39" s="5038">
        <v>0</v>
      </c>
      <c r="AH39" s="5040"/>
      <c r="AI39" s="5040"/>
      <c r="AJ39" s="4975"/>
      <c r="AK39" s="5038">
        <v>0</v>
      </c>
      <c r="AL39" s="5041"/>
      <c r="AM39" s="4139">
        <f t="shared" si="9"/>
        <v>0</v>
      </c>
      <c r="AN39" s="5040"/>
      <c r="AO39" s="5040"/>
      <c r="AP39" s="4975"/>
      <c r="AQ39" s="4975"/>
      <c r="AR39" s="5040"/>
      <c r="AS39" s="5040"/>
      <c r="AT39" s="4975"/>
      <c r="AU39" s="4975">
        <v>76.5300000000002</v>
      </c>
      <c r="AV39" s="5040"/>
      <c r="AW39" s="5040"/>
      <c r="AX39" s="4975"/>
      <c r="AY39" s="4975">
        <v>136.72</v>
      </c>
      <c r="AZ39" s="5041"/>
      <c r="BA39" s="4140">
        <f t="shared" si="14"/>
        <v>213.2500000000002</v>
      </c>
      <c r="BB39" s="4975"/>
      <c r="BC39" s="4085">
        <f t="shared" si="16"/>
        <v>213.2500000000002</v>
      </c>
      <c r="BD39" s="5040"/>
      <c r="BE39" s="1414">
        <f t="shared" si="18"/>
        <v>397.94000000000017</v>
      </c>
      <c r="BF39" s="1111"/>
      <c r="BG39" s="1111"/>
      <c r="BH39" s="491"/>
      <c r="BI39" s="491"/>
      <c r="BJ39" s="491"/>
      <c r="BQ39" s="491"/>
      <c r="BR39" s="491"/>
      <c r="BS39" s="491"/>
      <c r="BT39" s="491"/>
      <c r="BU39" s="491"/>
      <c r="BV39" s="491"/>
      <c r="BW39" s="491"/>
      <c r="BX39" s="491"/>
      <c r="BY39" s="491"/>
      <c r="BZ39" s="491"/>
      <c r="CA39" s="491"/>
      <c r="CB39" s="491"/>
    </row>
    <row r="40" spans="2:80" ht="16.2" hidden="1" thickBot="1" x14ac:dyDescent="0.35">
      <c r="B40" s="5037"/>
      <c r="C40" s="5037"/>
      <c r="D40" s="4975"/>
      <c r="E40" s="4975"/>
      <c r="F40" s="4975"/>
      <c r="G40" s="4975"/>
      <c r="H40" s="5040"/>
      <c r="I40" s="1366"/>
      <c r="J40" s="4975"/>
      <c r="K40" s="4975"/>
      <c r="L40" s="5041"/>
      <c r="M40" s="5042"/>
      <c r="N40" s="4975"/>
      <c r="O40" s="4975"/>
      <c r="P40" s="5040"/>
      <c r="Q40" s="5040"/>
      <c r="R40" s="4975"/>
      <c r="S40" s="4975"/>
      <c r="T40" s="5040"/>
      <c r="U40" s="5040"/>
      <c r="V40" s="4975"/>
      <c r="W40" s="4975"/>
      <c r="X40" s="5041"/>
      <c r="Y40" s="5042"/>
      <c r="Z40" s="4975"/>
      <c r="AA40" s="4975"/>
      <c r="AB40" s="4975"/>
      <c r="AC40" s="4975"/>
      <c r="AD40" s="5043"/>
      <c r="AE40" s="4975"/>
      <c r="AF40" s="4975"/>
      <c r="AG40" s="4975"/>
      <c r="AH40" s="5040"/>
      <c r="AI40" s="5040"/>
      <c r="AJ40" s="4975"/>
      <c r="AK40" s="4975"/>
      <c r="AL40" s="5041"/>
      <c r="AM40" s="5042"/>
      <c r="AN40" s="5040"/>
      <c r="AO40" s="5040"/>
      <c r="AP40" s="4975"/>
      <c r="AQ40" s="4975"/>
      <c r="AR40" s="5040"/>
      <c r="AS40" s="5040"/>
      <c r="AT40" s="4975"/>
      <c r="AU40" s="4975"/>
      <c r="AV40" s="5040"/>
      <c r="AW40" s="5040"/>
      <c r="AX40" s="4975"/>
      <c r="AY40" s="4975"/>
      <c r="AZ40" s="5041"/>
      <c r="BA40" s="5042"/>
      <c r="BB40" s="4975"/>
      <c r="BC40" s="4975"/>
      <c r="BD40" s="5040"/>
      <c r="BE40" s="5040"/>
      <c r="BF40" s="1111"/>
      <c r="BG40" s="1111"/>
      <c r="BH40" s="491"/>
      <c r="BI40" s="491"/>
      <c r="BJ40" s="491"/>
      <c r="BQ40" s="491"/>
      <c r="BR40" s="491"/>
      <c r="BS40" s="491"/>
      <c r="BT40" s="491"/>
      <c r="BU40" s="491"/>
      <c r="BV40" s="491"/>
      <c r="BW40" s="491"/>
      <c r="BX40" s="491"/>
      <c r="BY40" s="491"/>
      <c r="BZ40" s="491"/>
      <c r="CA40" s="491"/>
      <c r="CB40" s="491"/>
    </row>
    <row r="41" spans="2:80" ht="21.9" hidden="1" customHeight="1" thickBot="1" x14ac:dyDescent="0.35">
      <c r="B41" s="5037" t="s">
        <v>657</v>
      </c>
      <c r="C41" s="5037"/>
      <c r="D41" s="5039"/>
      <c r="E41" s="5038">
        <v>0</v>
      </c>
      <c r="F41" s="5039"/>
      <c r="G41" s="5038"/>
      <c r="H41" s="1365">
        <f t="shared" ref="H41:H42" si="103">+D41+F41</f>
        <v>0</v>
      </c>
      <c r="I41" s="1366">
        <f t="shared" ref="I41:I42" si="104">+G41+E41</f>
        <v>0</v>
      </c>
      <c r="J41" s="5039"/>
      <c r="K41" s="5038">
        <v>0</v>
      </c>
      <c r="L41" s="4087">
        <f t="shared" ref="L41:L42" si="105">+D41+F41+J41</f>
        <v>0</v>
      </c>
      <c r="M41" s="4139">
        <f t="shared" ref="M41:M42" si="106">+E41+G41+K41</f>
        <v>0</v>
      </c>
      <c r="N41" s="5039"/>
      <c r="O41" s="5038">
        <v>0</v>
      </c>
      <c r="P41" s="1414">
        <f t="shared" ref="P41:P42" si="107">L41+N41</f>
        <v>0</v>
      </c>
      <c r="Q41" s="1414">
        <f t="shared" ref="Q41:Q42" si="108">+E41+G41+K41+O41</f>
        <v>0</v>
      </c>
      <c r="R41" s="5039"/>
      <c r="S41" s="5038">
        <v>4020</v>
      </c>
      <c r="T41" s="1414">
        <f t="shared" ref="T41:T42" si="109">P41+R41</f>
        <v>0</v>
      </c>
      <c r="U41" s="1414">
        <f t="shared" ref="U41:U42" si="110">+E41+S41+O41+K41+G41</f>
        <v>4020</v>
      </c>
      <c r="V41" s="5039"/>
      <c r="W41" s="5038">
        <v>4027.2</v>
      </c>
      <c r="X41" s="4087">
        <f t="shared" ref="X41:X42" si="111">+N41+R41+V41</f>
        <v>0</v>
      </c>
      <c r="Y41" s="4140">
        <f t="shared" ref="Y41:Y42" si="112">+O41+S41+W41</f>
        <v>8047.2</v>
      </c>
      <c r="Z41" s="4088">
        <f t="shared" ref="Z41:Z42" si="113">L41+X41</f>
        <v>0</v>
      </c>
      <c r="AA41" s="4085">
        <f t="shared" ref="AA41:AA42" si="114">+W41+S41+O41+K41+G41+E41</f>
        <v>8047.2</v>
      </c>
      <c r="AB41" s="5039"/>
      <c r="AC41" s="5038">
        <v>0</v>
      </c>
      <c r="AD41" s="4621">
        <f t="shared" ref="AD41:AD42" si="115">Z41+AB41</f>
        <v>0</v>
      </c>
      <c r="AE41" s="4595">
        <f t="shared" ref="AE41:AE42" si="116">+AC41+W41+S41+O41+K41+G41+E41</f>
        <v>8047.2</v>
      </c>
      <c r="AF41" s="5039"/>
      <c r="AG41" s="5038">
        <v>0</v>
      </c>
      <c r="AH41" s="1365">
        <f t="shared" ref="AH41:AH42" si="117">AD41+AF41</f>
        <v>0</v>
      </c>
      <c r="AI41" s="1414">
        <f t="shared" ref="AI41:AI42" si="118">+AG41+AC41+W41+S41+O41+K41+G41+E41</f>
        <v>8047.2</v>
      </c>
      <c r="AJ41" s="5039"/>
      <c r="AK41" s="5038">
        <v>0</v>
      </c>
      <c r="AL41" s="4087">
        <f t="shared" ref="AL41:AL42" si="119">+AB41+AF41+AJ41</f>
        <v>0</v>
      </c>
      <c r="AM41" s="4139">
        <f t="shared" ref="AM41:AM42" si="120">+AC41+AG41+AK41</f>
        <v>0</v>
      </c>
      <c r="AN41" s="1365">
        <f t="shared" ref="AN41:AN42" si="121">AH41+AJ41</f>
        <v>0</v>
      </c>
      <c r="AO41" s="1414">
        <f t="shared" ref="AO41:AO42" si="122">+AK41+AG41+AC41+W41+S41+O41+K41+G41+E41</f>
        <v>8047.2</v>
      </c>
      <c r="AP41" s="5039"/>
      <c r="AQ41" s="5038">
        <v>0</v>
      </c>
      <c r="AR41" s="1365">
        <f t="shared" ref="AR41:AR42" si="123">AN41+AP41</f>
        <v>0</v>
      </c>
      <c r="AS41" s="1414">
        <f t="shared" ref="AS41:AS42" si="124">+AQ41+AK41+AG41+AC41+W41+S41+O41+K41+G41+E41</f>
        <v>8047.2</v>
      </c>
      <c r="AT41" s="5039"/>
      <c r="AU41" s="5038">
        <v>0</v>
      </c>
      <c r="AV41" s="1365">
        <f t="shared" ref="AV41:AV42" si="125">AR41+AT41</f>
        <v>0</v>
      </c>
      <c r="AW41" s="1414">
        <f t="shared" ref="AW41:AW42" si="126">+AU41+AQ41+AK41+AG41+AC41+W41+S41+O41+K41+G41+E41</f>
        <v>8047.2</v>
      </c>
      <c r="AX41" s="5039"/>
      <c r="AY41" s="5038">
        <v>0</v>
      </c>
      <c r="AZ41" s="4087">
        <f t="shared" ref="AZ41:AZ42" si="127">+AP41+AT41+AX41</f>
        <v>0</v>
      </c>
      <c r="BA41" s="4140">
        <f t="shared" ref="BA41:BA42" si="128">+AQ41+AU41+AY41</f>
        <v>0</v>
      </c>
      <c r="BB41" s="4088">
        <f t="shared" ref="BB41:BB42" si="129">AL41+AZ41</f>
        <v>0</v>
      </c>
      <c r="BC41" s="4085">
        <f t="shared" ref="BC41:BC42" si="130">AM41+BA41</f>
        <v>0</v>
      </c>
      <c r="BD41" s="1365">
        <f t="shared" ref="BD41:BD42" si="131">AV41+AX41</f>
        <v>0</v>
      </c>
      <c r="BE41" s="1414">
        <f t="shared" ref="BE41:BE42" si="132">+BC41+AA41</f>
        <v>8047.2</v>
      </c>
      <c r="BF41" s="1111"/>
      <c r="BG41" s="1111"/>
      <c r="BH41" s="491"/>
      <c r="BI41" s="491"/>
      <c r="BJ41" s="491"/>
      <c r="BQ41" s="491"/>
      <c r="BR41" s="491"/>
      <c r="BS41" s="491"/>
      <c r="BT41" s="491"/>
      <c r="BU41" s="491"/>
      <c r="BV41" s="491"/>
      <c r="BW41" s="491"/>
      <c r="BX41" s="491"/>
      <c r="BY41" s="491"/>
      <c r="BZ41" s="491"/>
      <c r="CA41" s="491"/>
      <c r="CB41" s="491"/>
    </row>
    <row r="42" spans="2:80" ht="21.9" hidden="1" customHeight="1" x14ac:dyDescent="0.3">
      <c r="B42" s="5037" t="s">
        <v>77</v>
      </c>
      <c r="C42" s="5037"/>
      <c r="D42" s="5039">
        <f>+'Direct sales IPT details'!D229</f>
        <v>0</v>
      </c>
      <c r="E42" s="5038">
        <f>+'Direct sales IPT details'!E229</f>
        <v>0</v>
      </c>
      <c r="F42" s="5039">
        <f>+'Direct sales IPT details'!F229</f>
        <v>0</v>
      </c>
      <c r="G42" s="5038">
        <f>+'Direct sales IPT details'!G229</f>
        <v>0</v>
      </c>
      <c r="H42" s="1365">
        <f t="shared" si="103"/>
        <v>0</v>
      </c>
      <c r="I42" s="1366">
        <f t="shared" si="104"/>
        <v>0</v>
      </c>
      <c r="J42" s="5039">
        <f>+'Direct sales IPT details'!J229</f>
        <v>0</v>
      </c>
      <c r="K42" s="5038">
        <f>+'Direct sales IPT details'!K229</f>
        <v>0</v>
      </c>
      <c r="L42" s="4087">
        <f t="shared" si="105"/>
        <v>0</v>
      </c>
      <c r="M42" s="4139">
        <f t="shared" si="106"/>
        <v>0</v>
      </c>
      <c r="N42" s="5039">
        <f>+'Direct sales IPT details'!N229</f>
        <v>0</v>
      </c>
      <c r="O42" s="5038">
        <f>+'Direct sales IPT details'!O229</f>
        <v>184.69</v>
      </c>
      <c r="P42" s="1414">
        <f t="shared" si="107"/>
        <v>0</v>
      </c>
      <c r="Q42" s="1414">
        <f t="shared" si="108"/>
        <v>184.69</v>
      </c>
      <c r="R42" s="5039">
        <f>+'Direct sales IPT details'!R229</f>
        <v>0</v>
      </c>
      <c r="S42" s="5038">
        <f>+'Direct sales IPT details'!S229</f>
        <v>0</v>
      </c>
      <c r="T42" s="1414">
        <f t="shared" si="109"/>
        <v>0</v>
      </c>
      <c r="U42" s="1414">
        <f t="shared" si="110"/>
        <v>184.69</v>
      </c>
      <c r="V42" s="5039">
        <f>+'Direct sales IPT details'!V229</f>
        <v>0</v>
      </c>
      <c r="W42" s="5038">
        <f>+'Direct sales IPT details'!W229</f>
        <v>0</v>
      </c>
      <c r="X42" s="4087">
        <f t="shared" si="111"/>
        <v>0</v>
      </c>
      <c r="Y42" s="4140">
        <f t="shared" si="112"/>
        <v>184.69</v>
      </c>
      <c r="Z42" s="4088">
        <f t="shared" si="113"/>
        <v>0</v>
      </c>
      <c r="AA42" s="4085">
        <f t="shared" si="114"/>
        <v>184.69</v>
      </c>
      <c r="AB42" s="5039">
        <f>+'Direct sales IPT details'!AB229</f>
        <v>0</v>
      </c>
      <c r="AC42" s="5038">
        <f>+'Direct sales IPT details'!AC229</f>
        <v>0</v>
      </c>
      <c r="AD42" s="4621">
        <f t="shared" si="115"/>
        <v>0</v>
      </c>
      <c r="AE42" s="4595">
        <f t="shared" si="116"/>
        <v>184.69</v>
      </c>
      <c r="AF42" s="5039">
        <f>+'Direct sales IPT details'!AF229</f>
        <v>0</v>
      </c>
      <c r="AG42" s="5038">
        <f>+'Direct sales IPT details'!AG229</f>
        <v>0</v>
      </c>
      <c r="AH42" s="1365">
        <f t="shared" si="117"/>
        <v>0</v>
      </c>
      <c r="AI42" s="1414">
        <f t="shared" si="118"/>
        <v>184.69</v>
      </c>
      <c r="AJ42" s="5039">
        <f>+'Direct sales IPT details'!AJ229</f>
        <v>0</v>
      </c>
      <c r="AK42" s="5038">
        <f>+'Direct sales IPT details'!AK229</f>
        <v>0</v>
      </c>
      <c r="AL42" s="4087">
        <f t="shared" si="119"/>
        <v>0</v>
      </c>
      <c r="AM42" s="4139">
        <f t="shared" si="120"/>
        <v>0</v>
      </c>
      <c r="AN42" s="1365">
        <f t="shared" si="121"/>
        <v>0</v>
      </c>
      <c r="AO42" s="1414">
        <f t="shared" si="122"/>
        <v>184.69</v>
      </c>
      <c r="AP42" s="5039">
        <f>+'Direct sales IPT details'!AP229</f>
        <v>0</v>
      </c>
      <c r="AQ42" s="5038">
        <f>+'Direct sales IPT details'!AQ229</f>
        <v>0</v>
      </c>
      <c r="AR42" s="1365">
        <f t="shared" si="123"/>
        <v>0</v>
      </c>
      <c r="AS42" s="1414">
        <f t="shared" si="124"/>
        <v>184.69</v>
      </c>
      <c r="AT42" s="5039">
        <f>+'Direct sales IPT details'!AT229</f>
        <v>0</v>
      </c>
      <c r="AU42" s="5038">
        <f>+'Direct sales IPT details'!AU229</f>
        <v>3557.53</v>
      </c>
      <c r="AV42" s="1365">
        <f t="shared" si="125"/>
        <v>0</v>
      </c>
      <c r="AW42" s="1414">
        <f t="shared" si="126"/>
        <v>3742.2200000000003</v>
      </c>
      <c r="AX42" s="5039">
        <f>+'Direct sales IPT details'!AX229</f>
        <v>0</v>
      </c>
      <c r="AY42" s="5038">
        <f>+'Direct sales IPT details'!AY229</f>
        <v>136.72</v>
      </c>
      <c r="AZ42" s="4087">
        <f t="shared" si="127"/>
        <v>0</v>
      </c>
      <c r="BA42" s="4140">
        <f t="shared" si="128"/>
        <v>3694.25</v>
      </c>
      <c r="BB42" s="4088">
        <f t="shared" si="129"/>
        <v>0</v>
      </c>
      <c r="BC42" s="4085">
        <f t="shared" si="130"/>
        <v>3694.25</v>
      </c>
      <c r="BD42" s="1365">
        <f t="shared" si="131"/>
        <v>0</v>
      </c>
      <c r="BE42" s="1414">
        <f t="shared" si="132"/>
        <v>3878.94</v>
      </c>
      <c r="BF42" s="1111"/>
      <c r="BG42" s="1111"/>
      <c r="BH42" s="491"/>
      <c r="BI42" s="491"/>
      <c r="BJ42" s="491"/>
      <c r="BQ42" s="491"/>
      <c r="BR42" s="491"/>
      <c r="BS42" s="491"/>
      <c r="BT42" s="491"/>
      <c r="BU42" s="491"/>
      <c r="BV42" s="491"/>
      <c r="BW42" s="491"/>
      <c r="BX42" s="491"/>
      <c r="BY42" s="491"/>
      <c r="BZ42" s="491"/>
      <c r="CA42" s="491"/>
      <c r="CB42" s="491"/>
    </row>
    <row r="43" spans="2:80" ht="21.9" customHeight="1" thickBot="1" x14ac:dyDescent="0.35">
      <c r="B43" s="6075" t="s">
        <v>1181</v>
      </c>
      <c r="C43" s="4498" t="s">
        <v>1182</v>
      </c>
      <c r="D43" s="1343"/>
      <c r="E43" s="1344">
        <v>36952.69</v>
      </c>
      <c r="F43" s="1343">
        <v>10</v>
      </c>
      <c r="G43" s="1344">
        <v>39066.43</v>
      </c>
      <c r="H43" s="3470">
        <f t="shared" si="0"/>
        <v>10</v>
      </c>
      <c r="I43" s="1366">
        <f t="shared" si="26"/>
        <v>76019.12</v>
      </c>
      <c r="J43" s="1343">
        <v>10</v>
      </c>
      <c r="K43" s="1344">
        <v>39886</v>
      </c>
      <c r="L43" s="3471">
        <f t="shared" si="19"/>
        <v>20</v>
      </c>
      <c r="M43" s="5031">
        <f t="shared" si="27"/>
        <v>115905.12</v>
      </c>
      <c r="N43" s="1343">
        <v>13.5</v>
      </c>
      <c r="O43" s="1344">
        <v>50563.76</v>
      </c>
      <c r="P43" s="5032">
        <f t="shared" si="55"/>
        <v>33.5</v>
      </c>
      <c r="Q43" s="5032">
        <f t="shared" si="28"/>
        <v>166468.88</v>
      </c>
      <c r="R43" s="1343">
        <v>10</v>
      </c>
      <c r="S43" s="1344">
        <v>38128.58</v>
      </c>
      <c r="T43" s="5032">
        <f t="shared" si="2"/>
        <v>43.5</v>
      </c>
      <c r="U43" s="5032">
        <f t="shared" si="29"/>
        <v>204597.46</v>
      </c>
      <c r="V43" s="1343">
        <v>12.7</v>
      </c>
      <c r="W43" s="1344">
        <v>49886.91</v>
      </c>
      <c r="X43" s="3471">
        <f t="shared" si="3"/>
        <v>36.200000000000003</v>
      </c>
      <c r="Y43" s="5033">
        <f t="shared" si="4"/>
        <v>138579.25</v>
      </c>
      <c r="Z43" s="3472">
        <f t="shared" si="5"/>
        <v>56.2</v>
      </c>
      <c r="AA43" s="5034">
        <f t="shared" si="30"/>
        <v>254484.37</v>
      </c>
      <c r="AB43" s="1343">
        <v>11</v>
      </c>
      <c r="AC43" s="1344">
        <v>42469.22</v>
      </c>
      <c r="AD43" s="4630">
        <f t="shared" si="6"/>
        <v>67.2</v>
      </c>
      <c r="AE43" s="5035">
        <f t="shared" si="31"/>
        <v>296953.58999999997</v>
      </c>
      <c r="AF43" s="1343">
        <v>12</v>
      </c>
      <c r="AG43" s="1344">
        <v>46868.11</v>
      </c>
      <c r="AH43" s="3470">
        <f t="shared" ref="AH43:AH52" si="133">AD43+AF43</f>
        <v>79.2</v>
      </c>
      <c r="AI43" s="5032">
        <f t="shared" si="23"/>
        <v>343821.7</v>
      </c>
      <c r="AJ43" s="1343">
        <v>13.7</v>
      </c>
      <c r="AK43" s="1344">
        <v>48327.99</v>
      </c>
      <c r="AL43" s="3471">
        <f t="shared" ref="AL43:AL52" si="134">+AB43+AF43+AJ43</f>
        <v>36.700000000000003</v>
      </c>
      <c r="AM43" s="5031">
        <f t="shared" si="9"/>
        <v>137665.32</v>
      </c>
      <c r="AN43" s="3470">
        <f t="shared" si="68"/>
        <v>92.9</v>
      </c>
      <c r="AO43" s="5032">
        <f t="shared" si="34"/>
        <v>392149.69</v>
      </c>
      <c r="AP43" s="1343">
        <v>11.6</v>
      </c>
      <c r="AQ43" s="1344">
        <v>45893.46</v>
      </c>
      <c r="AR43" s="3470">
        <f t="shared" ref="AR43:AR52" si="135">AN43+AP43</f>
        <v>104.5</v>
      </c>
      <c r="AS43" s="5032">
        <f t="shared" si="36"/>
        <v>438043.15</v>
      </c>
      <c r="AT43" s="1343">
        <v>8.9</v>
      </c>
      <c r="AU43" s="1344">
        <v>34608.35</v>
      </c>
      <c r="AV43" s="3470">
        <f t="shared" ref="AV43:AV52" si="136">AR43+AT43</f>
        <v>113.4</v>
      </c>
      <c r="AW43" s="5032">
        <f t="shared" si="38"/>
        <v>472651.5</v>
      </c>
      <c r="AX43" s="1343">
        <v>12.1</v>
      </c>
      <c r="AY43" s="1344">
        <v>46699.24</v>
      </c>
      <c r="AZ43" s="3471">
        <f t="shared" ref="AZ43:AZ52" si="137">+AP43+AT43+AX43</f>
        <v>32.6</v>
      </c>
      <c r="BA43" s="5033">
        <f t="shared" si="14"/>
        <v>127201.04999999999</v>
      </c>
      <c r="BB43" s="3472">
        <f t="shared" ref="BB43:BB52" si="138">AL43+AZ43</f>
        <v>69.300000000000011</v>
      </c>
      <c r="BC43" s="5034">
        <f t="shared" si="16"/>
        <v>264866.37</v>
      </c>
      <c r="BD43" s="3470">
        <f t="shared" ref="BD43:BD52" si="139">AV43+AX43</f>
        <v>125.5</v>
      </c>
      <c r="BE43" s="5032">
        <f t="shared" si="18"/>
        <v>519350.74</v>
      </c>
      <c r="BF43" s="1111"/>
      <c r="BG43" s="1111"/>
      <c r="BH43" s="491"/>
      <c r="BI43" s="491"/>
      <c r="BJ43" s="491"/>
      <c r="BQ43" s="491"/>
      <c r="BR43" s="491"/>
      <c r="BS43" s="491"/>
      <c r="BT43" s="491"/>
      <c r="BU43" s="491"/>
      <c r="BV43" s="491"/>
      <c r="BW43" s="491"/>
      <c r="BX43" s="491"/>
      <c r="BY43" s="491"/>
      <c r="BZ43" s="491"/>
      <c r="CA43" s="491"/>
      <c r="CB43" s="491"/>
    </row>
    <row r="44" spans="2:80" ht="21.9" customHeight="1" thickBot="1" x14ac:dyDescent="0.35">
      <c r="B44" s="6075"/>
      <c r="C44" s="4498" t="s">
        <v>1997</v>
      </c>
      <c r="D44" s="1343"/>
      <c r="E44" s="1344">
        <v>11065.29</v>
      </c>
      <c r="F44" s="1343">
        <v>3</v>
      </c>
      <c r="G44" s="1344">
        <v>11355.25</v>
      </c>
      <c r="H44" s="1365"/>
      <c r="I44" s="1366">
        <f t="shared" si="26"/>
        <v>22420.54</v>
      </c>
      <c r="J44" s="1343"/>
      <c r="K44" s="1344"/>
      <c r="L44" s="4087"/>
      <c r="M44" s="4139">
        <f t="shared" si="27"/>
        <v>22420.54</v>
      </c>
      <c r="N44" s="1343">
        <v>3.8</v>
      </c>
      <c r="O44" s="1344">
        <v>13797.21</v>
      </c>
      <c r="P44" s="1414">
        <f t="shared" ref="P44" si="140">L44+N44</f>
        <v>3.8</v>
      </c>
      <c r="Q44" s="1414">
        <f t="shared" si="28"/>
        <v>36217.75</v>
      </c>
      <c r="R44" s="1343">
        <v>3</v>
      </c>
      <c r="S44" s="1344">
        <v>11960.6</v>
      </c>
      <c r="T44" s="1414">
        <f t="shared" si="2"/>
        <v>6.8</v>
      </c>
      <c r="U44" s="1414">
        <f t="shared" si="29"/>
        <v>48178.35</v>
      </c>
      <c r="V44" s="1343">
        <v>3.3</v>
      </c>
      <c r="W44" s="1344">
        <v>12937.04</v>
      </c>
      <c r="X44" s="4087">
        <f t="shared" si="3"/>
        <v>10.1</v>
      </c>
      <c r="Y44" s="4140">
        <f t="shared" si="4"/>
        <v>38694.85</v>
      </c>
      <c r="Z44" s="4499">
        <f t="shared" si="5"/>
        <v>10.1</v>
      </c>
      <c r="AA44" s="4085">
        <f t="shared" si="30"/>
        <v>61115.39</v>
      </c>
      <c r="AB44" s="1343">
        <v>4.5</v>
      </c>
      <c r="AC44" s="1344">
        <v>17165.080000000002</v>
      </c>
      <c r="AD44" s="4621">
        <f t="shared" si="6"/>
        <v>14.6</v>
      </c>
      <c r="AE44" s="4595">
        <f t="shared" si="31"/>
        <v>78280.47</v>
      </c>
      <c r="AF44" s="1343">
        <v>1</v>
      </c>
      <c r="AG44" s="1344">
        <v>3870.4</v>
      </c>
      <c r="AH44" s="1365"/>
      <c r="AI44" s="1414">
        <f t="shared" si="23"/>
        <v>82150.87</v>
      </c>
      <c r="AJ44" s="1343"/>
      <c r="AK44" s="1344">
        <v>0</v>
      </c>
      <c r="AL44" s="4087"/>
      <c r="AM44" s="4139">
        <f t="shared" si="9"/>
        <v>21035.480000000003</v>
      </c>
      <c r="AN44" s="1365"/>
      <c r="AO44" s="1414">
        <f t="shared" si="34"/>
        <v>82150.87</v>
      </c>
      <c r="AP44" s="1343">
        <v>3.4</v>
      </c>
      <c r="AQ44" s="1344">
        <v>13056.78</v>
      </c>
      <c r="AR44" s="1365"/>
      <c r="AS44" s="1414">
        <f t="shared" si="36"/>
        <v>95207.65</v>
      </c>
      <c r="AT44" s="1343">
        <v>2.1</v>
      </c>
      <c r="AU44" s="1344">
        <v>8159.41</v>
      </c>
      <c r="AV44" s="1365"/>
      <c r="AW44" s="1414">
        <f t="shared" si="38"/>
        <v>103367.06000000003</v>
      </c>
      <c r="AX44" s="1343">
        <v>0</v>
      </c>
      <c r="AY44" s="1344">
        <v>0</v>
      </c>
      <c r="AZ44" s="4087"/>
      <c r="BA44" s="4140">
        <f t="shared" si="14"/>
        <v>21216.190000000002</v>
      </c>
      <c r="BB44" s="4499"/>
      <c r="BC44" s="4085">
        <f t="shared" si="16"/>
        <v>42251.670000000006</v>
      </c>
      <c r="BD44" s="1365"/>
      <c r="BE44" s="1414">
        <f t="shared" si="18"/>
        <v>103367.06</v>
      </c>
      <c r="BF44" s="1111"/>
      <c r="BG44" s="1111"/>
      <c r="BH44" s="491"/>
      <c r="BI44" s="491"/>
      <c r="BJ44" s="491"/>
      <c r="BQ44" s="491"/>
      <c r="BR44" s="491"/>
      <c r="BS44" s="491"/>
      <c r="BT44" s="491"/>
      <c r="BU44" s="491"/>
      <c r="BV44" s="491"/>
      <c r="BW44" s="491"/>
      <c r="BX44" s="491"/>
      <c r="BY44" s="491"/>
      <c r="BZ44" s="491"/>
      <c r="CA44" s="491"/>
      <c r="CB44" s="491"/>
    </row>
    <row r="45" spans="2:80" ht="21.9" customHeight="1" thickBot="1" x14ac:dyDescent="0.35">
      <c r="B45" s="6076"/>
      <c r="C45" s="4141" t="s">
        <v>1183</v>
      </c>
      <c r="D45" s="4142"/>
      <c r="E45" s="4143">
        <v>4016.8</v>
      </c>
      <c r="F45" s="4142">
        <v>1</v>
      </c>
      <c r="G45" s="4143">
        <v>3754.23</v>
      </c>
      <c r="H45" s="1365">
        <f t="shared" si="0"/>
        <v>1</v>
      </c>
      <c r="I45" s="1366">
        <f t="shared" si="26"/>
        <v>7771.0300000000007</v>
      </c>
      <c r="J45" s="4142">
        <v>0</v>
      </c>
      <c r="K45" s="4143">
        <v>0</v>
      </c>
      <c r="L45" s="4087">
        <f t="shared" si="19"/>
        <v>1</v>
      </c>
      <c r="M45" s="4139">
        <f t="shared" si="27"/>
        <v>7771.0300000000007</v>
      </c>
      <c r="N45" s="4142">
        <v>1</v>
      </c>
      <c r="O45" s="4143">
        <v>3727.57</v>
      </c>
      <c r="P45" s="1414">
        <f t="shared" si="55"/>
        <v>2</v>
      </c>
      <c r="Q45" s="1414">
        <f t="shared" si="28"/>
        <v>11498.6</v>
      </c>
      <c r="R45" s="4142">
        <v>3</v>
      </c>
      <c r="S45" s="4143">
        <v>11163.08</v>
      </c>
      <c r="T45" s="1414">
        <f t="shared" si="2"/>
        <v>5</v>
      </c>
      <c r="U45" s="1414">
        <f t="shared" si="29"/>
        <v>22661.68</v>
      </c>
      <c r="V45" s="4142">
        <v>3</v>
      </c>
      <c r="W45" s="4143">
        <v>11682.16</v>
      </c>
      <c r="X45" s="4087">
        <f t="shared" si="3"/>
        <v>7</v>
      </c>
      <c r="Y45" s="4140">
        <f t="shared" si="4"/>
        <v>26572.809999999998</v>
      </c>
      <c r="Z45" s="4088">
        <f t="shared" si="5"/>
        <v>8</v>
      </c>
      <c r="AA45" s="4085">
        <f t="shared" si="30"/>
        <v>34343.839999999997</v>
      </c>
      <c r="AB45" s="4142">
        <v>3.5</v>
      </c>
      <c r="AC45" s="4143">
        <v>13042.07</v>
      </c>
      <c r="AD45" s="4621">
        <f t="shared" si="6"/>
        <v>11.5</v>
      </c>
      <c r="AE45" s="4595">
        <f t="shared" si="31"/>
        <v>47385.91</v>
      </c>
      <c r="AF45" s="4613">
        <v>3.1</v>
      </c>
      <c r="AG45" s="4143">
        <v>11346.39</v>
      </c>
      <c r="AH45" s="1365">
        <f t="shared" si="133"/>
        <v>14.6</v>
      </c>
      <c r="AI45" s="1414">
        <f t="shared" si="23"/>
        <v>58732.3</v>
      </c>
      <c r="AJ45" s="4142">
        <v>1.8</v>
      </c>
      <c r="AK45" s="4143">
        <v>0</v>
      </c>
      <c r="AL45" s="4087">
        <f t="shared" si="134"/>
        <v>8.4</v>
      </c>
      <c r="AM45" s="4139">
        <f t="shared" si="9"/>
        <v>24388.46</v>
      </c>
      <c r="AN45" s="1365">
        <f t="shared" si="68"/>
        <v>16.399999999999999</v>
      </c>
      <c r="AO45" s="1414">
        <f t="shared" si="34"/>
        <v>58732.3</v>
      </c>
      <c r="AP45" s="4142">
        <v>0</v>
      </c>
      <c r="AQ45" s="4143">
        <v>0</v>
      </c>
      <c r="AR45" s="1365">
        <f t="shared" si="135"/>
        <v>16.399999999999999</v>
      </c>
      <c r="AS45" s="1414">
        <f t="shared" si="36"/>
        <v>58732.3</v>
      </c>
      <c r="AT45" s="4142">
        <v>0</v>
      </c>
      <c r="AU45" s="4143">
        <v>0</v>
      </c>
      <c r="AV45" s="1365">
        <f t="shared" si="136"/>
        <v>16.399999999999999</v>
      </c>
      <c r="AW45" s="1414">
        <f t="shared" si="38"/>
        <v>58732.3</v>
      </c>
      <c r="AX45" s="4142">
        <v>1</v>
      </c>
      <c r="AY45" s="4143">
        <v>3808.63</v>
      </c>
      <c r="AZ45" s="4087">
        <f t="shared" si="137"/>
        <v>1</v>
      </c>
      <c r="BA45" s="4140">
        <f t="shared" si="14"/>
        <v>3808.63</v>
      </c>
      <c r="BB45" s="4088">
        <f t="shared" si="138"/>
        <v>9.4</v>
      </c>
      <c r="BC45" s="4085">
        <f t="shared" si="16"/>
        <v>28197.09</v>
      </c>
      <c r="BD45" s="1365">
        <f t="shared" si="139"/>
        <v>17.399999999999999</v>
      </c>
      <c r="BE45" s="1414">
        <f t="shared" si="18"/>
        <v>62540.929999999993</v>
      </c>
      <c r="BF45" s="1111"/>
      <c r="BG45" s="1111"/>
      <c r="BH45" s="491"/>
      <c r="BI45" s="491"/>
      <c r="BJ45" s="491"/>
      <c r="BQ45" s="491"/>
      <c r="BR45" s="491"/>
      <c r="BS45" s="491"/>
      <c r="BT45" s="491"/>
      <c r="BU45" s="491"/>
      <c r="BV45" s="491"/>
      <c r="BW45" s="491"/>
      <c r="BX45" s="491"/>
      <c r="BY45" s="491"/>
      <c r="BZ45" s="491"/>
      <c r="CA45" s="491"/>
      <c r="CB45" s="491"/>
    </row>
    <row r="46" spans="2:80" s="1242" customFormat="1" ht="21.9" customHeight="1" thickBot="1" x14ac:dyDescent="0.35">
      <c r="B46" s="6076"/>
      <c r="C46" s="4141" t="s">
        <v>1184</v>
      </c>
      <c r="D46" s="4142"/>
      <c r="E46" s="4143">
        <v>11688.4</v>
      </c>
      <c r="F46" s="4142">
        <v>3</v>
      </c>
      <c r="G46" s="4143">
        <v>12014.17</v>
      </c>
      <c r="H46" s="1365">
        <f t="shared" si="0"/>
        <v>3</v>
      </c>
      <c r="I46" s="1366">
        <f t="shared" si="26"/>
        <v>23702.57</v>
      </c>
      <c r="J46" s="4142">
        <v>0</v>
      </c>
      <c r="K46" s="4143">
        <v>0</v>
      </c>
      <c r="L46" s="4087">
        <f t="shared" si="19"/>
        <v>3</v>
      </c>
      <c r="M46" s="4139">
        <f t="shared" si="27"/>
        <v>23702.57</v>
      </c>
      <c r="N46" s="4142">
        <v>3</v>
      </c>
      <c r="O46" s="4143">
        <v>10982.12</v>
      </c>
      <c r="P46" s="1414">
        <f t="shared" si="55"/>
        <v>6</v>
      </c>
      <c r="Q46" s="1414">
        <f t="shared" si="28"/>
        <v>34684.69</v>
      </c>
      <c r="R46" s="4142">
        <v>0</v>
      </c>
      <c r="S46" s="4143">
        <v>0</v>
      </c>
      <c r="T46" s="1414">
        <f t="shared" si="2"/>
        <v>6</v>
      </c>
      <c r="U46" s="1414">
        <f t="shared" si="29"/>
        <v>34684.69</v>
      </c>
      <c r="V46" s="4142">
        <v>0</v>
      </c>
      <c r="W46" s="4143">
        <v>0</v>
      </c>
      <c r="X46" s="4087">
        <f t="shared" si="3"/>
        <v>3</v>
      </c>
      <c r="Y46" s="4140">
        <f t="shared" si="4"/>
        <v>10982.12</v>
      </c>
      <c r="Z46" s="4088">
        <f t="shared" si="5"/>
        <v>6</v>
      </c>
      <c r="AA46" s="4085">
        <f t="shared" si="30"/>
        <v>34684.69</v>
      </c>
      <c r="AB46" s="4142">
        <v>0</v>
      </c>
      <c r="AC46" s="4143">
        <v>0</v>
      </c>
      <c r="AD46" s="4621">
        <f t="shared" si="6"/>
        <v>6</v>
      </c>
      <c r="AE46" s="4595">
        <f t="shared" si="31"/>
        <v>34684.69</v>
      </c>
      <c r="AF46" s="4613">
        <v>0.9</v>
      </c>
      <c r="AG46" s="4143">
        <v>3483.25</v>
      </c>
      <c r="AH46" s="1365">
        <f t="shared" si="133"/>
        <v>6.9</v>
      </c>
      <c r="AI46" s="1414">
        <f t="shared" si="23"/>
        <v>38167.94</v>
      </c>
      <c r="AJ46" s="4142">
        <v>0</v>
      </c>
      <c r="AK46" s="4143">
        <v>10057.18</v>
      </c>
      <c r="AL46" s="4087">
        <f t="shared" si="134"/>
        <v>0.9</v>
      </c>
      <c r="AM46" s="4139">
        <f t="shared" si="9"/>
        <v>13540.43</v>
      </c>
      <c r="AN46" s="1365">
        <f t="shared" si="68"/>
        <v>6.9</v>
      </c>
      <c r="AO46" s="1414">
        <f t="shared" si="34"/>
        <v>48225.120000000003</v>
      </c>
      <c r="AP46" s="4142">
        <v>4</v>
      </c>
      <c r="AQ46" s="4143">
        <v>15887.06</v>
      </c>
      <c r="AR46" s="1365">
        <f t="shared" si="135"/>
        <v>10.9</v>
      </c>
      <c r="AS46" s="1414">
        <f t="shared" si="36"/>
        <v>64112.18</v>
      </c>
      <c r="AT46" s="4142">
        <v>3</v>
      </c>
      <c r="AU46" s="4143">
        <v>11959.79</v>
      </c>
      <c r="AV46" s="1365">
        <f t="shared" si="136"/>
        <v>13.9</v>
      </c>
      <c r="AW46" s="1414">
        <f t="shared" si="38"/>
        <v>76071.97</v>
      </c>
      <c r="AX46" s="4142">
        <v>3</v>
      </c>
      <c r="AY46" s="4143">
        <v>11238.87</v>
      </c>
      <c r="AZ46" s="4087">
        <f t="shared" si="137"/>
        <v>10</v>
      </c>
      <c r="BA46" s="4140">
        <f t="shared" si="14"/>
        <v>39085.72</v>
      </c>
      <c r="BB46" s="4088">
        <f t="shared" si="138"/>
        <v>10.9</v>
      </c>
      <c r="BC46" s="4085">
        <f t="shared" si="16"/>
        <v>52626.15</v>
      </c>
      <c r="BD46" s="1365">
        <f t="shared" si="139"/>
        <v>16.899999999999999</v>
      </c>
      <c r="BE46" s="1414">
        <f t="shared" si="18"/>
        <v>87310.84</v>
      </c>
      <c r="BF46" s="1111"/>
      <c r="BG46" s="1111"/>
      <c r="BH46" s="491"/>
      <c r="BI46" s="491"/>
      <c r="BJ46" s="491"/>
      <c r="BQ46" s="491"/>
      <c r="BR46" s="491"/>
      <c r="BS46" s="491"/>
      <c r="BT46" s="491"/>
      <c r="BU46" s="491"/>
      <c r="BV46" s="491"/>
      <c r="BW46" s="491"/>
      <c r="BX46" s="491"/>
      <c r="BY46" s="491"/>
      <c r="BZ46" s="491"/>
      <c r="CA46" s="491"/>
      <c r="CB46" s="491"/>
    </row>
    <row r="47" spans="2:80" s="1242" customFormat="1" ht="21.9" customHeight="1" thickBot="1" x14ac:dyDescent="0.35">
      <c r="B47" s="6076"/>
      <c r="C47" s="4151" t="s">
        <v>1228</v>
      </c>
      <c r="D47" s="4142"/>
      <c r="E47" s="4143">
        <v>0</v>
      </c>
      <c r="F47" s="4142">
        <v>0</v>
      </c>
      <c r="G47" s="4143">
        <v>0</v>
      </c>
      <c r="H47" s="1365">
        <f t="shared" si="0"/>
        <v>0</v>
      </c>
      <c r="I47" s="1366">
        <f t="shared" si="26"/>
        <v>0</v>
      </c>
      <c r="J47" s="4142">
        <v>1</v>
      </c>
      <c r="K47" s="4143">
        <v>3956</v>
      </c>
      <c r="L47" s="4087">
        <f t="shared" si="19"/>
        <v>1</v>
      </c>
      <c r="M47" s="4139">
        <f t="shared" si="27"/>
        <v>3956</v>
      </c>
      <c r="N47" s="4142">
        <v>0</v>
      </c>
      <c r="O47" s="4143">
        <v>0</v>
      </c>
      <c r="P47" s="1414">
        <f t="shared" si="55"/>
        <v>1</v>
      </c>
      <c r="Q47" s="1414">
        <f t="shared" si="28"/>
        <v>3956</v>
      </c>
      <c r="R47" s="4142">
        <v>0</v>
      </c>
      <c r="S47" s="4143">
        <v>0</v>
      </c>
      <c r="T47" s="1414">
        <f t="shared" si="2"/>
        <v>1</v>
      </c>
      <c r="U47" s="1414">
        <f t="shared" si="29"/>
        <v>3956</v>
      </c>
      <c r="V47" s="4142">
        <v>0</v>
      </c>
      <c r="W47" s="4143">
        <v>0</v>
      </c>
      <c r="X47" s="4087">
        <f t="shared" si="3"/>
        <v>0</v>
      </c>
      <c r="Y47" s="4140">
        <f t="shared" si="4"/>
        <v>0</v>
      </c>
      <c r="Z47" s="4088">
        <f t="shared" si="5"/>
        <v>1</v>
      </c>
      <c r="AA47" s="4085">
        <f t="shared" si="30"/>
        <v>3956</v>
      </c>
      <c r="AB47" s="4142">
        <v>0</v>
      </c>
      <c r="AC47" s="4143">
        <v>0</v>
      </c>
      <c r="AD47" s="4621">
        <f t="shared" si="6"/>
        <v>1</v>
      </c>
      <c r="AE47" s="4595">
        <f t="shared" si="31"/>
        <v>3956</v>
      </c>
      <c r="AF47" s="4613">
        <v>0</v>
      </c>
      <c r="AG47" s="4143">
        <v>0</v>
      </c>
      <c r="AH47" s="1365">
        <f t="shared" si="133"/>
        <v>1</v>
      </c>
      <c r="AI47" s="1414">
        <f t="shared" si="23"/>
        <v>3956</v>
      </c>
      <c r="AJ47" s="4142">
        <v>0</v>
      </c>
      <c r="AK47" s="4143">
        <v>0</v>
      </c>
      <c r="AL47" s="4087">
        <f t="shared" si="134"/>
        <v>0</v>
      </c>
      <c r="AM47" s="4139">
        <f t="shared" si="9"/>
        <v>0</v>
      </c>
      <c r="AN47" s="1365">
        <f t="shared" ref="AN47:AN64" si="141">AH47+AJ47</f>
        <v>1</v>
      </c>
      <c r="AO47" s="1414">
        <f t="shared" si="34"/>
        <v>3956</v>
      </c>
      <c r="AP47" s="4142">
        <v>0</v>
      </c>
      <c r="AQ47" s="4143">
        <v>0</v>
      </c>
      <c r="AR47" s="1365">
        <f t="shared" si="135"/>
        <v>1</v>
      </c>
      <c r="AS47" s="1414">
        <f t="shared" si="36"/>
        <v>3956</v>
      </c>
      <c r="AT47" s="4142">
        <v>0</v>
      </c>
      <c r="AU47" s="4143">
        <v>0</v>
      </c>
      <c r="AV47" s="1365">
        <f t="shared" si="136"/>
        <v>1</v>
      </c>
      <c r="AW47" s="1414">
        <f t="shared" si="38"/>
        <v>3956</v>
      </c>
      <c r="AX47" s="4142">
        <v>0</v>
      </c>
      <c r="AY47" s="4143">
        <v>0</v>
      </c>
      <c r="AZ47" s="4087">
        <f t="shared" si="137"/>
        <v>0</v>
      </c>
      <c r="BA47" s="4140">
        <f t="shared" si="14"/>
        <v>0</v>
      </c>
      <c r="BB47" s="4088">
        <f t="shared" si="138"/>
        <v>0</v>
      </c>
      <c r="BC47" s="4085">
        <f t="shared" si="16"/>
        <v>0</v>
      </c>
      <c r="BD47" s="1365">
        <f t="shared" si="139"/>
        <v>1</v>
      </c>
      <c r="BE47" s="1414">
        <f t="shared" si="18"/>
        <v>3956</v>
      </c>
      <c r="BF47" s="1111"/>
      <c r="BG47" s="1111"/>
      <c r="BH47" s="491"/>
      <c r="BI47" s="491"/>
      <c r="BJ47" s="491"/>
      <c r="BQ47" s="491"/>
      <c r="BR47" s="491"/>
      <c r="BS47" s="491"/>
      <c r="BT47" s="491"/>
      <c r="BU47" s="491"/>
      <c r="BV47" s="491"/>
      <c r="BW47" s="491"/>
      <c r="BX47" s="491"/>
      <c r="BY47" s="491"/>
      <c r="BZ47" s="491"/>
      <c r="CA47" s="491"/>
      <c r="CB47" s="491"/>
    </row>
    <row r="48" spans="2:80" s="1242" customFormat="1" ht="21.9" customHeight="1" thickBot="1" x14ac:dyDescent="0.35">
      <c r="B48" s="6076"/>
      <c r="C48" s="4151" t="s">
        <v>1185</v>
      </c>
      <c r="D48" s="4142"/>
      <c r="E48" s="4143">
        <v>4471.05</v>
      </c>
      <c r="F48" s="4142">
        <v>1</v>
      </c>
      <c r="G48" s="4143">
        <v>3803.21</v>
      </c>
      <c r="H48" s="1365">
        <f t="shared" si="0"/>
        <v>1</v>
      </c>
      <c r="I48" s="1366">
        <f t="shared" si="26"/>
        <v>8274.26</v>
      </c>
      <c r="J48" s="4142">
        <v>3.5</v>
      </c>
      <c r="K48" s="4143">
        <v>13254</v>
      </c>
      <c r="L48" s="4087">
        <f t="shared" si="19"/>
        <v>4.5</v>
      </c>
      <c r="M48" s="4139">
        <f t="shared" si="27"/>
        <v>21528.260000000002</v>
      </c>
      <c r="N48" s="4142">
        <v>1</v>
      </c>
      <c r="O48" s="4143">
        <v>3837.17</v>
      </c>
      <c r="P48" s="1414">
        <f t="shared" si="55"/>
        <v>5.5</v>
      </c>
      <c r="Q48" s="1414">
        <f t="shared" si="28"/>
        <v>25365.43</v>
      </c>
      <c r="R48" s="4142">
        <v>1</v>
      </c>
      <c r="S48" s="4143">
        <v>3854.78</v>
      </c>
      <c r="T48" s="1414">
        <f t="shared" si="2"/>
        <v>6.5</v>
      </c>
      <c r="U48" s="1414">
        <f t="shared" si="29"/>
        <v>29220.21</v>
      </c>
      <c r="V48" s="4142">
        <v>0</v>
      </c>
      <c r="W48" s="4143">
        <v>0</v>
      </c>
      <c r="X48" s="4087">
        <f t="shared" si="3"/>
        <v>2</v>
      </c>
      <c r="Y48" s="4140">
        <f t="shared" si="4"/>
        <v>7691.9500000000007</v>
      </c>
      <c r="Z48" s="4088">
        <f t="shared" si="5"/>
        <v>6.5</v>
      </c>
      <c r="AA48" s="4085">
        <f t="shared" si="30"/>
        <v>29220.21</v>
      </c>
      <c r="AB48" s="4142">
        <v>0</v>
      </c>
      <c r="AC48" s="4143">
        <v>0</v>
      </c>
      <c r="AD48" s="4621">
        <f t="shared" si="6"/>
        <v>6.5</v>
      </c>
      <c r="AE48" s="4595">
        <f t="shared" si="31"/>
        <v>29220.21</v>
      </c>
      <c r="AF48" s="4613">
        <v>2</v>
      </c>
      <c r="AG48" s="4143">
        <v>7638.88</v>
      </c>
      <c r="AH48" s="1365">
        <f t="shared" si="133"/>
        <v>8.5</v>
      </c>
      <c r="AI48" s="1414">
        <f t="shared" si="23"/>
        <v>36859.090000000004</v>
      </c>
      <c r="AJ48" s="4142">
        <v>2.5</v>
      </c>
      <c r="AK48" s="4143">
        <v>14219.22</v>
      </c>
      <c r="AL48" s="4087">
        <f t="shared" si="134"/>
        <v>4.5</v>
      </c>
      <c r="AM48" s="4139">
        <f t="shared" si="9"/>
        <v>21858.1</v>
      </c>
      <c r="AN48" s="1365">
        <f t="shared" si="141"/>
        <v>11</v>
      </c>
      <c r="AO48" s="1414">
        <f t="shared" si="34"/>
        <v>51078.31</v>
      </c>
      <c r="AP48" s="4142">
        <v>0</v>
      </c>
      <c r="AQ48" s="4143">
        <v>0</v>
      </c>
      <c r="AR48" s="1365">
        <f t="shared" si="135"/>
        <v>11</v>
      </c>
      <c r="AS48" s="1414">
        <f t="shared" si="36"/>
        <v>51078.31</v>
      </c>
      <c r="AT48" s="4142">
        <v>1.5</v>
      </c>
      <c r="AU48" s="4143">
        <v>5782.3</v>
      </c>
      <c r="AV48" s="1365">
        <f t="shared" si="136"/>
        <v>12.5</v>
      </c>
      <c r="AW48" s="1414">
        <f t="shared" si="38"/>
        <v>56860.61</v>
      </c>
      <c r="AX48" s="4142">
        <v>3</v>
      </c>
      <c r="AY48" s="4143">
        <v>11774.48</v>
      </c>
      <c r="AZ48" s="4087">
        <f t="shared" si="137"/>
        <v>4.5</v>
      </c>
      <c r="BA48" s="4140">
        <f t="shared" si="14"/>
        <v>17556.78</v>
      </c>
      <c r="BB48" s="4088">
        <f t="shared" si="138"/>
        <v>9</v>
      </c>
      <c r="BC48" s="4085">
        <f t="shared" si="16"/>
        <v>39414.879999999997</v>
      </c>
      <c r="BD48" s="1365">
        <f t="shared" si="139"/>
        <v>15.5</v>
      </c>
      <c r="BE48" s="1414">
        <f t="shared" si="18"/>
        <v>68635.09</v>
      </c>
      <c r="BF48" s="1111"/>
      <c r="BG48" s="1111"/>
      <c r="BH48" s="491"/>
      <c r="BI48" s="491"/>
      <c r="BJ48" s="491"/>
      <c r="BQ48" s="491"/>
      <c r="BR48" s="491"/>
      <c r="BS48" s="491"/>
      <c r="BT48" s="491"/>
      <c r="BU48" s="491"/>
      <c r="BV48" s="491"/>
      <c r="BW48" s="491"/>
      <c r="BX48" s="491"/>
      <c r="BY48" s="491"/>
      <c r="BZ48" s="491"/>
      <c r="CA48" s="491"/>
      <c r="CB48" s="491"/>
    </row>
    <row r="49" spans="2:80" s="1242" customFormat="1" ht="21.9" customHeight="1" thickBot="1" x14ac:dyDescent="0.35">
      <c r="B49" s="6076"/>
      <c r="C49" s="4151" t="s">
        <v>1186</v>
      </c>
      <c r="D49" s="4142"/>
      <c r="E49" s="4143">
        <v>14530.81</v>
      </c>
      <c r="F49" s="4142">
        <v>3</v>
      </c>
      <c r="G49" s="4143">
        <v>11996.22</v>
      </c>
      <c r="H49" s="1365">
        <f t="shared" si="0"/>
        <v>3</v>
      </c>
      <c r="I49" s="1366">
        <f t="shared" si="26"/>
        <v>26527.03</v>
      </c>
      <c r="J49" s="4142">
        <v>3.5</v>
      </c>
      <c r="K49" s="4143">
        <v>13724</v>
      </c>
      <c r="L49" s="4087">
        <f t="shared" si="19"/>
        <v>6.5</v>
      </c>
      <c r="M49" s="4139">
        <f t="shared" si="27"/>
        <v>40251.03</v>
      </c>
      <c r="N49" s="4142">
        <v>4.7</v>
      </c>
      <c r="O49" s="4143">
        <v>18259.91</v>
      </c>
      <c r="P49" s="1414">
        <f t="shared" si="55"/>
        <v>11.2</v>
      </c>
      <c r="Q49" s="1414">
        <f t="shared" si="28"/>
        <v>58510.94</v>
      </c>
      <c r="R49" s="4142">
        <v>4</v>
      </c>
      <c r="S49" s="4143">
        <v>15716.369999999999</v>
      </c>
      <c r="T49" s="1414">
        <f t="shared" si="2"/>
        <v>15.2</v>
      </c>
      <c r="U49" s="1414">
        <f t="shared" si="29"/>
        <v>74227.31</v>
      </c>
      <c r="V49" s="4142">
        <v>5</v>
      </c>
      <c r="W49" s="4143">
        <v>19564.97</v>
      </c>
      <c r="X49" s="4087">
        <f t="shared" si="3"/>
        <v>13.7</v>
      </c>
      <c r="Y49" s="4140">
        <f t="shared" si="4"/>
        <v>53541.25</v>
      </c>
      <c r="Z49" s="4088">
        <f t="shared" si="5"/>
        <v>20.2</v>
      </c>
      <c r="AA49" s="4085">
        <f t="shared" si="30"/>
        <v>93792.28</v>
      </c>
      <c r="AB49" s="4142">
        <v>3</v>
      </c>
      <c r="AC49" s="4143">
        <v>11850.81</v>
      </c>
      <c r="AD49" s="4621">
        <f t="shared" si="6"/>
        <v>23.2</v>
      </c>
      <c r="AE49" s="4595">
        <f t="shared" si="31"/>
        <v>105643.09</v>
      </c>
      <c r="AF49" s="4613">
        <v>4</v>
      </c>
      <c r="AG49" s="4143">
        <v>15487.1</v>
      </c>
      <c r="AH49" s="1365">
        <f t="shared" si="133"/>
        <v>27.2</v>
      </c>
      <c r="AI49" s="1414">
        <f t="shared" si="23"/>
        <v>121130.19</v>
      </c>
      <c r="AJ49" s="4142">
        <v>5</v>
      </c>
      <c r="AK49" s="4143">
        <v>27378.42</v>
      </c>
      <c r="AL49" s="4087">
        <f t="shared" si="134"/>
        <v>12</v>
      </c>
      <c r="AM49" s="4139">
        <f t="shared" si="9"/>
        <v>54716.33</v>
      </c>
      <c r="AN49" s="1365">
        <f t="shared" si="141"/>
        <v>32.200000000000003</v>
      </c>
      <c r="AO49" s="1414">
        <f t="shared" si="34"/>
        <v>148508.60999999999</v>
      </c>
      <c r="AP49" s="4142">
        <v>5</v>
      </c>
      <c r="AQ49" s="4143">
        <v>18888.54</v>
      </c>
      <c r="AR49" s="1365">
        <f t="shared" si="135"/>
        <v>37.200000000000003</v>
      </c>
      <c r="AS49" s="1414">
        <f t="shared" si="36"/>
        <v>167397.15</v>
      </c>
      <c r="AT49" s="4142">
        <v>5.5</v>
      </c>
      <c r="AU49" s="4143">
        <v>21894.34</v>
      </c>
      <c r="AV49" s="1365">
        <f t="shared" si="136"/>
        <v>42.7</v>
      </c>
      <c r="AW49" s="1414">
        <f t="shared" si="38"/>
        <v>189291.49</v>
      </c>
      <c r="AX49" s="4142">
        <v>5</v>
      </c>
      <c r="AY49" s="4143">
        <v>19354.45</v>
      </c>
      <c r="AZ49" s="4087">
        <f t="shared" si="137"/>
        <v>15.5</v>
      </c>
      <c r="BA49" s="4140">
        <f t="shared" si="14"/>
        <v>60137.33</v>
      </c>
      <c r="BB49" s="4088">
        <f t="shared" si="138"/>
        <v>27.5</v>
      </c>
      <c r="BC49" s="4085">
        <f t="shared" si="16"/>
        <v>114853.66</v>
      </c>
      <c r="BD49" s="1365">
        <f t="shared" si="139"/>
        <v>47.7</v>
      </c>
      <c r="BE49" s="1414">
        <f t="shared" si="18"/>
        <v>208645.94</v>
      </c>
      <c r="BF49" s="1111"/>
      <c r="BG49" s="1111"/>
      <c r="BH49" s="491"/>
      <c r="BI49" s="491"/>
      <c r="BJ49" s="491"/>
      <c r="BQ49" s="491"/>
      <c r="BR49" s="491"/>
      <c r="BS49" s="491"/>
      <c r="BT49" s="491"/>
      <c r="BU49" s="491"/>
      <c r="BV49" s="491"/>
      <c r="BW49" s="491"/>
      <c r="BX49" s="491"/>
      <c r="BY49" s="491"/>
      <c r="BZ49" s="491"/>
      <c r="CA49" s="491"/>
      <c r="CB49" s="491"/>
    </row>
    <row r="50" spans="2:80" s="1242" customFormat="1" ht="21.9" customHeight="1" thickBot="1" x14ac:dyDescent="0.35">
      <c r="B50" s="6076"/>
      <c r="C50" s="4151" t="s">
        <v>1187</v>
      </c>
      <c r="D50" s="4142"/>
      <c r="E50" s="4143">
        <v>0</v>
      </c>
      <c r="F50" s="4142">
        <v>0</v>
      </c>
      <c r="G50" s="4143">
        <v>0</v>
      </c>
      <c r="H50" s="1365">
        <f t="shared" si="0"/>
        <v>0</v>
      </c>
      <c r="I50" s="1366">
        <f t="shared" si="26"/>
        <v>0</v>
      </c>
      <c r="J50" s="4142"/>
      <c r="K50" s="4143"/>
      <c r="L50" s="4087">
        <f t="shared" si="19"/>
        <v>0</v>
      </c>
      <c r="M50" s="4139">
        <f t="shared" si="27"/>
        <v>0</v>
      </c>
      <c r="N50" s="4142">
        <v>1</v>
      </c>
      <c r="O50" s="4143">
        <v>3982.2</v>
      </c>
      <c r="P50" s="1414">
        <f t="shared" si="55"/>
        <v>1</v>
      </c>
      <c r="Q50" s="1414">
        <f t="shared" si="28"/>
        <v>3982.2</v>
      </c>
      <c r="R50" s="4142">
        <v>2</v>
      </c>
      <c r="S50" s="4143">
        <v>7945.68</v>
      </c>
      <c r="T50" s="1414">
        <f t="shared" si="2"/>
        <v>3</v>
      </c>
      <c r="U50" s="1414">
        <f t="shared" si="29"/>
        <v>11927.880000000001</v>
      </c>
      <c r="V50" s="4142">
        <v>0</v>
      </c>
      <c r="W50" s="4143">
        <v>0</v>
      </c>
      <c r="X50" s="4087">
        <f t="shared" si="3"/>
        <v>3</v>
      </c>
      <c r="Y50" s="4140">
        <f t="shared" si="4"/>
        <v>11927.880000000001</v>
      </c>
      <c r="Z50" s="4088">
        <f t="shared" si="5"/>
        <v>3</v>
      </c>
      <c r="AA50" s="4085">
        <f t="shared" si="30"/>
        <v>11927.880000000001</v>
      </c>
      <c r="AB50" s="4142">
        <v>0</v>
      </c>
      <c r="AC50" s="4143">
        <v>0</v>
      </c>
      <c r="AD50" s="4621">
        <f t="shared" si="6"/>
        <v>3</v>
      </c>
      <c r="AE50" s="4595">
        <f t="shared" si="31"/>
        <v>11927.880000000001</v>
      </c>
      <c r="AF50" s="4613">
        <v>0</v>
      </c>
      <c r="AG50" s="4143">
        <v>0</v>
      </c>
      <c r="AH50" s="1365">
        <f t="shared" si="133"/>
        <v>3</v>
      </c>
      <c r="AI50" s="1414">
        <f t="shared" si="23"/>
        <v>11927.880000000001</v>
      </c>
      <c r="AJ50" s="4142"/>
      <c r="AK50" s="4143">
        <v>0</v>
      </c>
      <c r="AL50" s="4087">
        <f t="shared" si="134"/>
        <v>0</v>
      </c>
      <c r="AM50" s="4139">
        <f t="shared" si="9"/>
        <v>0</v>
      </c>
      <c r="AN50" s="1365">
        <f t="shared" si="141"/>
        <v>3</v>
      </c>
      <c r="AO50" s="1414">
        <f t="shared" si="34"/>
        <v>11927.880000000001</v>
      </c>
      <c r="AP50" s="4142">
        <v>0</v>
      </c>
      <c r="AQ50" s="4143">
        <v>68.400000000000006</v>
      </c>
      <c r="AR50" s="1365">
        <f t="shared" si="135"/>
        <v>3</v>
      </c>
      <c r="AS50" s="1414">
        <f t="shared" si="36"/>
        <v>11996.279999999999</v>
      </c>
      <c r="AT50" s="4142">
        <v>0</v>
      </c>
      <c r="AU50" s="4143">
        <v>0</v>
      </c>
      <c r="AV50" s="1365">
        <f t="shared" si="136"/>
        <v>3</v>
      </c>
      <c r="AW50" s="1414">
        <f t="shared" si="38"/>
        <v>11996.279999999999</v>
      </c>
      <c r="AX50" s="4142">
        <v>0</v>
      </c>
      <c r="AY50" s="4143">
        <v>0</v>
      </c>
      <c r="AZ50" s="4087">
        <f t="shared" si="137"/>
        <v>0</v>
      </c>
      <c r="BA50" s="4140">
        <f t="shared" si="14"/>
        <v>68.400000000000006</v>
      </c>
      <c r="BB50" s="4088">
        <f t="shared" si="138"/>
        <v>0</v>
      </c>
      <c r="BC50" s="4085">
        <f t="shared" si="16"/>
        <v>68.400000000000006</v>
      </c>
      <c r="BD50" s="1365">
        <f t="shared" si="139"/>
        <v>3</v>
      </c>
      <c r="BE50" s="1414">
        <f t="shared" si="18"/>
        <v>11996.28</v>
      </c>
      <c r="BF50" s="1111"/>
      <c r="BG50" s="1111"/>
      <c r="BH50" s="491"/>
      <c r="BI50" s="491"/>
      <c r="BJ50" s="491"/>
      <c r="BQ50" s="491"/>
      <c r="BR50" s="491"/>
      <c r="BS50" s="491"/>
      <c r="BT50" s="491"/>
      <c r="BU50" s="491"/>
      <c r="BV50" s="491"/>
      <c r="BW50" s="491"/>
      <c r="BX50" s="491"/>
      <c r="BY50" s="491"/>
      <c r="BZ50" s="491"/>
      <c r="CA50" s="491"/>
      <c r="CB50" s="491"/>
    </row>
    <row r="51" spans="2:80" s="1242" customFormat="1" ht="21.9" customHeight="1" thickBot="1" x14ac:dyDescent="0.35">
      <c r="B51" s="6076"/>
      <c r="C51" s="4151" t="s">
        <v>1188</v>
      </c>
      <c r="D51" s="4142"/>
      <c r="E51" s="4143">
        <v>0</v>
      </c>
      <c r="F51" s="4142">
        <v>0</v>
      </c>
      <c r="G51" s="4143">
        <v>0</v>
      </c>
      <c r="H51" s="1365">
        <f t="shared" si="0"/>
        <v>0</v>
      </c>
      <c r="I51" s="1366">
        <f t="shared" si="26"/>
        <v>0</v>
      </c>
      <c r="J51" s="4142">
        <v>0</v>
      </c>
      <c r="K51" s="4143">
        <v>0</v>
      </c>
      <c r="L51" s="4087">
        <f t="shared" si="19"/>
        <v>0</v>
      </c>
      <c r="M51" s="4139">
        <f t="shared" si="27"/>
        <v>0</v>
      </c>
      <c r="N51" s="4142">
        <v>0</v>
      </c>
      <c r="O51" s="4143">
        <v>0</v>
      </c>
      <c r="P51" s="1414">
        <f t="shared" si="55"/>
        <v>0</v>
      </c>
      <c r="Q51" s="1414">
        <f t="shared" si="28"/>
        <v>0</v>
      </c>
      <c r="R51" s="4142">
        <v>0</v>
      </c>
      <c r="S51" s="4143">
        <v>0</v>
      </c>
      <c r="T51" s="1414">
        <f t="shared" si="2"/>
        <v>0</v>
      </c>
      <c r="U51" s="1414">
        <f t="shared" si="29"/>
        <v>0</v>
      </c>
      <c r="V51" s="4142">
        <v>0</v>
      </c>
      <c r="W51" s="4143">
        <v>0</v>
      </c>
      <c r="X51" s="4087">
        <f t="shared" si="3"/>
        <v>0</v>
      </c>
      <c r="Y51" s="4140">
        <f t="shared" si="4"/>
        <v>0</v>
      </c>
      <c r="Z51" s="4088">
        <f t="shared" si="5"/>
        <v>0</v>
      </c>
      <c r="AA51" s="4085">
        <f t="shared" si="30"/>
        <v>0</v>
      </c>
      <c r="AB51" s="4142">
        <v>0</v>
      </c>
      <c r="AC51" s="4143">
        <v>0</v>
      </c>
      <c r="AD51" s="4621">
        <f t="shared" si="6"/>
        <v>0</v>
      </c>
      <c r="AE51" s="4595">
        <f t="shared" si="31"/>
        <v>0</v>
      </c>
      <c r="AF51" s="4613">
        <v>0</v>
      </c>
      <c r="AG51" s="4143">
        <v>0</v>
      </c>
      <c r="AH51" s="1365">
        <f t="shared" si="133"/>
        <v>0</v>
      </c>
      <c r="AI51" s="1414">
        <f t="shared" si="23"/>
        <v>0</v>
      </c>
      <c r="AJ51" s="4142">
        <v>1</v>
      </c>
      <c r="AK51" s="4143">
        <v>0</v>
      </c>
      <c r="AL51" s="4087">
        <f t="shared" si="134"/>
        <v>1</v>
      </c>
      <c r="AM51" s="4139">
        <f t="shared" si="9"/>
        <v>0</v>
      </c>
      <c r="AN51" s="1365">
        <f t="shared" si="141"/>
        <v>1</v>
      </c>
      <c r="AO51" s="1414">
        <f t="shared" si="34"/>
        <v>0</v>
      </c>
      <c r="AP51" s="4142">
        <v>0</v>
      </c>
      <c r="AQ51" s="4143">
        <v>0</v>
      </c>
      <c r="AR51" s="1365">
        <f t="shared" si="135"/>
        <v>1</v>
      </c>
      <c r="AS51" s="1414">
        <f t="shared" si="36"/>
        <v>0</v>
      </c>
      <c r="AT51" s="4142">
        <v>0</v>
      </c>
      <c r="AU51" s="4143">
        <v>0</v>
      </c>
      <c r="AV51" s="1365">
        <f t="shared" si="136"/>
        <v>1</v>
      </c>
      <c r="AW51" s="1414">
        <f t="shared" si="38"/>
        <v>0</v>
      </c>
      <c r="AX51" s="4142">
        <v>0</v>
      </c>
      <c r="AY51" s="4143">
        <v>0</v>
      </c>
      <c r="AZ51" s="4087">
        <f t="shared" si="137"/>
        <v>0</v>
      </c>
      <c r="BA51" s="4140">
        <f t="shared" si="14"/>
        <v>0</v>
      </c>
      <c r="BB51" s="4088">
        <f t="shared" si="138"/>
        <v>1</v>
      </c>
      <c r="BC51" s="4085">
        <f t="shared" si="16"/>
        <v>0</v>
      </c>
      <c r="BD51" s="1365">
        <f t="shared" si="139"/>
        <v>1</v>
      </c>
      <c r="BE51" s="1414">
        <f t="shared" si="18"/>
        <v>0</v>
      </c>
      <c r="BF51" s="1111"/>
      <c r="BG51" s="1111"/>
      <c r="BH51" s="491"/>
      <c r="BI51" s="491"/>
      <c r="BJ51" s="491"/>
      <c r="BQ51" s="491"/>
      <c r="BR51" s="491"/>
      <c r="BS51" s="491"/>
      <c r="BT51" s="491"/>
      <c r="BU51" s="491"/>
      <c r="BV51" s="491"/>
      <c r="BW51" s="491"/>
      <c r="BX51" s="491"/>
      <c r="BY51" s="491"/>
      <c r="BZ51" s="491"/>
      <c r="CA51" s="491"/>
      <c r="CB51" s="491"/>
    </row>
    <row r="52" spans="2:80" s="1242" customFormat="1" ht="21.9" customHeight="1" x14ac:dyDescent="0.3">
      <c r="B52" s="6076"/>
      <c r="C52" s="4151" t="s">
        <v>1301</v>
      </c>
      <c r="D52" s="4142"/>
      <c r="E52" s="4143">
        <v>3750.8</v>
      </c>
      <c r="F52" s="4142">
        <v>3</v>
      </c>
      <c r="G52" s="4143">
        <v>11510.05</v>
      </c>
      <c r="H52" s="1365">
        <f t="shared" si="0"/>
        <v>3</v>
      </c>
      <c r="I52" s="1366">
        <f t="shared" si="26"/>
        <v>15260.849999999999</v>
      </c>
      <c r="J52" s="4142">
        <v>0</v>
      </c>
      <c r="K52" s="4143">
        <v>0</v>
      </c>
      <c r="L52" s="4087">
        <f t="shared" si="19"/>
        <v>3</v>
      </c>
      <c r="M52" s="4139">
        <f t="shared" si="27"/>
        <v>15260.849999999999</v>
      </c>
      <c r="N52" s="4142">
        <v>0</v>
      </c>
      <c r="O52" s="4143">
        <v>0</v>
      </c>
      <c r="P52" s="1414">
        <f t="shared" si="55"/>
        <v>3</v>
      </c>
      <c r="Q52" s="1414">
        <f t="shared" si="28"/>
        <v>15260.849999999999</v>
      </c>
      <c r="R52" s="4142">
        <v>0</v>
      </c>
      <c r="S52" s="4143">
        <v>0</v>
      </c>
      <c r="T52" s="1414">
        <f t="shared" si="2"/>
        <v>3</v>
      </c>
      <c r="U52" s="1414">
        <f t="shared" si="29"/>
        <v>15260.849999999999</v>
      </c>
      <c r="V52" s="4142">
        <v>2</v>
      </c>
      <c r="W52" s="4143">
        <v>7822</v>
      </c>
      <c r="X52" s="4087">
        <f t="shared" si="3"/>
        <v>2</v>
      </c>
      <c r="Y52" s="4140">
        <f t="shared" si="4"/>
        <v>7822</v>
      </c>
      <c r="Z52" s="4088">
        <f t="shared" si="5"/>
        <v>5</v>
      </c>
      <c r="AA52" s="4085">
        <f t="shared" si="30"/>
        <v>23082.85</v>
      </c>
      <c r="AB52" s="4142">
        <v>2</v>
      </c>
      <c r="AC52" s="4143">
        <v>7805.44</v>
      </c>
      <c r="AD52" s="4621">
        <f t="shared" si="6"/>
        <v>7</v>
      </c>
      <c r="AE52" s="4595">
        <f t="shared" si="31"/>
        <v>30888.289999999997</v>
      </c>
      <c r="AF52" s="4613">
        <v>2</v>
      </c>
      <c r="AG52" s="4143">
        <v>7726.35</v>
      </c>
      <c r="AH52" s="1365">
        <f t="shared" si="133"/>
        <v>9</v>
      </c>
      <c r="AI52" s="1414">
        <f t="shared" si="23"/>
        <v>38614.639999999999</v>
      </c>
      <c r="AJ52" s="4142">
        <v>0</v>
      </c>
      <c r="AK52" s="4143">
        <v>0</v>
      </c>
      <c r="AL52" s="4087">
        <f t="shared" si="134"/>
        <v>4</v>
      </c>
      <c r="AM52" s="4139">
        <f t="shared" si="9"/>
        <v>15531.79</v>
      </c>
      <c r="AN52" s="1365">
        <f t="shared" si="141"/>
        <v>9</v>
      </c>
      <c r="AO52" s="1414">
        <f t="shared" si="34"/>
        <v>38614.639999999999</v>
      </c>
      <c r="AP52" s="4142">
        <v>0</v>
      </c>
      <c r="AQ52" s="4143">
        <v>68</v>
      </c>
      <c r="AR52" s="1365">
        <f t="shared" si="135"/>
        <v>9</v>
      </c>
      <c r="AS52" s="1414">
        <f t="shared" si="36"/>
        <v>38682.639999999999</v>
      </c>
      <c r="AT52" s="4142">
        <v>1.5</v>
      </c>
      <c r="AU52" s="4143">
        <v>5710.8</v>
      </c>
      <c r="AV52" s="1365">
        <f t="shared" si="136"/>
        <v>10.5</v>
      </c>
      <c r="AW52" s="1414">
        <f t="shared" si="38"/>
        <v>44393.440000000002</v>
      </c>
      <c r="AX52" s="4142">
        <v>2.5</v>
      </c>
      <c r="AY52" s="4143">
        <v>9839.98</v>
      </c>
      <c r="AZ52" s="4087">
        <f t="shared" si="137"/>
        <v>4</v>
      </c>
      <c r="BA52" s="4140">
        <f t="shared" si="14"/>
        <v>15618.779999999999</v>
      </c>
      <c r="BB52" s="4088">
        <f t="shared" si="138"/>
        <v>8</v>
      </c>
      <c r="BC52" s="4085">
        <f t="shared" si="16"/>
        <v>31150.57</v>
      </c>
      <c r="BD52" s="1365">
        <f t="shared" si="139"/>
        <v>13</v>
      </c>
      <c r="BE52" s="1414">
        <f t="shared" si="18"/>
        <v>54233.42</v>
      </c>
      <c r="BF52" s="1111"/>
      <c r="BG52" s="1111"/>
      <c r="BH52" s="491"/>
      <c r="BI52" s="491"/>
      <c r="BJ52" s="491"/>
      <c r="BQ52" s="491"/>
      <c r="BR52" s="491"/>
      <c r="BS52" s="491"/>
      <c r="BT52" s="491"/>
      <c r="BU52" s="491"/>
      <c r="BV52" s="491"/>
      <c r="BW52" s="491"/>
      <c r="BX52" s="491"/>
      <c r="BY52" s="491"/>
      <c r="BZ52" s="491"/>
      <c r="CA52" s="491"/>
      <c r="CB52" s="491"/>
    </row>
    <row r="53" spans="2:80" s="1242" customFormat="1" ht="21.9" customHeight="1" thickBot="1" x14ac:dyDescent="0.35">
      <c r="B53" s="6076"/>
      <c r="C53" s="4159" t="s">
        <v>2</v>
      </c>
      <c r="D53" s="4160">
        <f t="shared" ref="D53:E53" si="142">SUM(D43:D52)</f>
        <v>0</v>
      </c>
      <c r="E53" s="4160">
        <f t="shared" si="142"/>
        <v>86475.840000000011</v>
      </c>
      <c r="F53" s="4160">
        <f t="shared" ref="F53:BE53" si="143">SUM(F43:F52)</f>
        <v>24</v>
      </c>
      <c r="G53" s="4160">
        <f t="shared" si="143"/>
        <v>93499.560000000012</v>
      </c>
      <c r="H53" s="4160">
        <f t="shared" si="143"/>
        <v>21</v>
      </c>
      <c r="I53" s="4160">
        <f t="shared" si="143"/>
        <v>179975.40000000002</v>
      </c>
      <c r="J53" s="4160">
        <f t="shared" si="143"/>
        <v>18</v>
      </c>
      <c r="K53" s="4160">
        <f t="shared" si="143"/>
        <v>70820</v>
      </c>
      <c r="L53" s="4160">
        <f t="shared" si="143"/>
        <v>39</v>
      </c>
      <c r="M53" s="4160">
        <f t="shared" si="143"/>
        <v>250795.40000000002</v>
      </c>
      <c r="N53" s="4160">
        <f t="shared" si="143"/>
        <v>28</v>
      </c>
      <c r="O53" s="4160">
        <f t="shared" si="143"/>
        <v>105149.94</v>
      </c>
      <c r="P53" s="4160">
        <f t="shared" si="143"/>
        <v>67</v>
      </c>
      <c r="Q53" s="4160">
        <f t="shared" si="143"/>
        <v>355945.34</v>
      </c>
      <c r="R53" s="4160">
        <f t="shared" si="143"/>
        <v>23</v>
      </c>
      <c r="S53" s="4160">
        <f t="shared" si="143"/>
        <v>88769.09</v>
      </c>
      <c r="T53" s="4160">
        <f t="shared" si="143"/>
        <v>90</v>
      </c>
      <c r="U53" s="4160">
        <f t="shared" si="143"/>
        <v>444714.43</v>
      </c>
      <c r="V53" s="4160">
        <f t="shared" si="143"/>
        <v>26</v>
      </c>
      <c r="W53" s="4160">
        <f t="shared" si="143"/>
        <v>101893.08</v>
      </c>
      <c r="X53" s="4160">
        <f t="shared" si="143"/>
        <v>77</v>
      </c>
      <c r="Y53" s="4160">
        <f t="shared" si="143"/>
        <v>295812.11</v>
      </c>
      <c r="Z53" s="4160">
        <f t="shared" si="143"/>
        <v>116</v>
      </c>
      <c r="AA53" s="4160">
        <f t="shared" si="143"/>
        <v>546607.51</v>
      </c>
      <c r="AB53" s="4160">
        <f t="shared" si="143"/>
        <v>24</v>
      </c>
      <c r="AC53" s="4160">
        <f t="shared" si="143"/>
        <v>92332.62</v>
      </c>
      <c r="AD53" s="4162">
        <f t="shared" si="143"/>
        <v>140</v>
      </c>
      <c r="AE53" s="4524">
        <f t="shared" si="143"/>
        <v>638940.13</v>
      </c>
      <c r="AF53" s="4611">
        <f t="shared" si="143"/>
        <v>25</v>
      </c>
      <c r="AG53" s="4160">
        <f t="shared" ref="AG53" si="144">SUM(AG43:AG52)</f>
        <v>96420.48000000001</v>
      </c>
      <c r="AH53" s="4160">
        <f t="shared" si="143"/>
        <v>149.4</v>
      </c>
      <c r="AI53" s="4160">
        <f t="shared" si="23"/>
        <v>735360.61</v>
      </c>
      <c r="AJ53" s="4160">
        <f t="shared" si="143"/>
        <v>24</v>
      </c>
      <c r="AK53" s="4160">
        <f t="shared" si="143"/>
        <v>99982.81</v>
      </c>
      <c r="AL53" s="4160">
        <f t="shared" si="143"/>
        <v>67.5</v>
      </c>
      <c r="AM53" s="4160">
        <f t="shared" si="143"/>
        <v>288735.90999999997</v>
      </c>
      <c r="AN53" s="4160">
        <f t="shared" si="143"/>
        <v>173.40000000000003</v>
      </c>
      <c r="AO53" s="4160">
        <f t="shared" si="143"/>
        <v>835343.42</v>
      </c>
      <c r="AP53" s="4160">
        <f t="shared" ref="AP53:AQ53" si="145">SUM(AP43:AP52)</f>
        <v>24</v>
      </c>
      <c r="AQ53" s="4160">
        <f t="shared" si="145"/>
        <v>93862.239999999991</v>
      </c>
      <c r="AR53" s="4160">
        <f t="shared" si="143"/>
        <v>194</v>
      </c>
      <c r="AS53" s="4160">
        <f t="shared" si="143"/>
        <v>929205.66000000015</v>
      </c>
      <c r="AT53" s="4160">
        <f t="shared" si="143"/>
        <v>22.5</v>
      </c>
      <c r="AU53" s="4160">
        <f t="shared" si="143"/>
        <v>88114.99</v>
      </c>
      <c r="AV53" s="4160">
        <f t="shared" si="143"/>
        <v>214.40000000000003</v>
      </c>
      <c r="AW53" s="4160">
        <f t="shared" si="143"/>
        <v>1017320.6500000001</v>
      </c>
      <c r="AX53" s="4160">
        <f t="shared" ref="AX53:AY53" si="146">SUM(AX43:AX52)</f>
        <v>26.6</v>
      </c>
      <c r="AY53" s="4160">
        <f t="shared" si="146"/>
        <v>102715.65</v>
      </c>
      <c r="AZ53" s="4160">
        <f t="shared" si="143"/>
        <v>67.599999999999994</v>
      </c>
      <c r="BA53" s="4160">
        <f t="shared" si="143"/>
        <v>284692.88</v>
      </c>
      <c r="BB53" s="4160">
        <f t="shared" si="143"/>
        <v>135.10000000000002</v>
      </c>
      <c r="BC53" s="4160">
        <f t="shared" si="143"/>
        <v>573428.79</v>
      </c>
      <c r="BD53" s="4160">
        <f t="shared" si="143"/>
        <v>241</v>
      </c>
      <c r="BE53" s="4160">
        <f t="shared" si="143"/>
        <v>1120036.2999999998</v>
      </c>
      <c r="BF53" s="1111"/>
      <c r="BG53" s="1111"/>
      <c r="BH53" s="491"/>
      <c r="BI53" s="491"/>
      <c r="BJ53" s="491"/>
      <c r="BQ53" s="491"/>
      <c r="BR53" s="491"/>
      <c r="BS53" s="491"/>
      <c r="BT53" s="491"/>
      <c r="BU53" s="491"/>
      <c r="BV53" s="491"/>
      <c r="BW53" s="491"/>
      <c r="BX53" s="491"/>
      <c r="BY53" s="491"/>
      <c r="BZ53" s="491"/>
      <c r="CA53" s="491"/>
      <c r="CB53" s="491"/>
    </row>
    <row r="54" spans="2:80" s="1242" customFormat="1" ht="21.9" customHeight="1" thickBot="1" x14ac:dyDescent="0.35">
      <c r="B54" s="6076"/>
      <c r="C54" s="4151" t="s">
        <v>1189</v>
      </c>
      <c r="D54" s="4142">
        <v>14</v>
      </c>
      <c r="E54" s="4143">
        <v>53905.440000000002</v>
      </c>
      <c r="F54" s="4142">
        <v>18</v>
      </c>
      <c r="G54" s="4143">
        <v>69661.16</v>
      </c>
      <c r="H54" s="1365">
        <f t="shared" si="0"/>
        <v>32</v>
      </c>
      <c r="I54" s="1366">
        <f t="shared" si="26"/>
        <v>123566.6</v>
      </c>
      <c r="J54" s="4142">
        <v>12</v>
      </c>
      <c r="K54" s="4143">
        <v>46825</v>
      </c>
      <c r="L54" s="4087">
        <f t="shared" si="19"/>
        <v>44</v>
      </c>
      <c r="M54" s="4139">
        <f t="shared" si="27"/>
        <v>170391.6</v>
      </c>
      <c r="N54" s="4142">
        <v>18</v>
      </c>
      <c r="O54" s="4143">
        <v>66738.19</v>
      </c>
      <c r="P54" s="1414">
        <f t="shared" si="55"/>
        <v>62</v>
      </c>
      <c r="Q54" s="1414">
        <f t="shared" si="28"/>
        <v>237129.79</v>
      </c>
      <c r="R54" s="4142">
        <v>11</v>
      </c>
      <c r="S54" s="4143">
        <v>42077</v>
      </c>
      <c r="T54" s="1414">
        <f t="shared" si="2"/>
        <v>73</v>
      </c>
      <c r="U54" s="1414">
        <f t="shared" si="29"/>
        <v>279206.79000000004</v>
      </c>
      <c r="V54" s="4142">
        <v>26</v>
      </c>
      <c r="W54" s="4143">
        <v>101893.08</v>
      </c>
      <c r="X54" s="4087">
        <f t="shared" si="3"/>
        <v>55</v>
      </c>
      <c r="Y54" s="4140">
        <f t="shared" si="4"/>
        <v>210708.27000000002</v>
      </c>
      <c r="Z54" s="4088">
        <f t="shared" si="5"/>
        <v>99</v>
      </c>
      <c r="AA54" s="4085">
        <f t="shared" si="30"/>
        <v>381099.87000000005</v>
      </c>
      <c r="AB54" s="4142">
        <v>18</v>
      </c>
      <c r="AC54" s="4143">
        <v>68402.7</v>
      </c>
      <c r="AD54" s="4621">
        <f t="shared" si="6"/>
        <v>117</v>
      </c>
      <c r="AE54" s="4595">
        <f t="shared" si="31"/>
        <v>449502.57</v>
      </c>
      <c r="AF54" s="4613">
        <v>20</v>
      </c>
      <c r="AG54" s="4143">
        <v>76185.75</v>
      </c>
      <c r="AH54" s="1365">
        <f t="shared" ref="AH54:AH70" si="147">AD54+AF54</f>
        <v>137</v>
      </c>
      <c r="AI54" s="1414">
        <f t="shared" si="23"/>
        <v>525688.32000000007</v>
      </c>
      <c r="AJ54" s="4142">
        <v>15</v>
      </c>
      <c r="AK54" s="4143">
        <v>68445.600000000006</v>
      </c>
      <c r="AL54" s="4087">
        <f t="shared" ref="AL54:AL70" si="148">+AB54+AF54+AJ54</f>
        <v>53</v>
      </c>
      <c r="AM54" s="4139">
        <f t="shared" si="9"/>
        <v>213034.05000000002</v>
      </c>
      <c r="AN54" s="1365">
        <f t="shared" si="141"/>
        <v>152</v>
      </c>
      <c r="AO54" s="1414">
        <f t="shared" si="34"/>
        <v>594133.91999999993</v>
      </c>
      <c r="AP54" s="4142">
        <v>16</v>
      </c>
      <c r="AQ54" s="4143">
        <v>61962.21</v>
      </c>
      <c r="AR54" s="1365">
        <f t="shared" ref="AR54:AR70" si="149">AN54+AP54</f>
        <v>168</v>
      </c>
      <c r="AS54" s="1414">
        <f t="shared" si="36"/>
        <v>656096.13000000012</v>
      </c>
      <c r="AT54" s="4142">
        <v>17.399999999999999</v>
      </c>
      <c r="AU54" s="4143">
        <v>68170.53</v>
      </c>
      <c r="AV54" s="1365">
        <f t="shared" ref="AV54:AV70" si="150">AR54+AT54</f>
        <v>185.4</v>
      </c>
      <c r="AW54" s="1414">
        <f t="shared" si="38"/>
        <v>724266.66000000015</v>
      </c>
      <c r="AX54" s="4142">
        <v>16</v>
      </c>
      <c r="AY54" s="4143">
        <v>61714.36</v>
      </c>
      <c r="AZ54" s="4087">
        <f t="shared" ref="AZ54:AZ70" si="151">+AP54+AT54+AX54</f>
        <v>49.4</v>
      </c>
      <c r="BA54" s="4140">
        <f t="shared" si="14"/>
        <v>191847.09999999998</v>
      </c>
      <c r="BB54" s="4088">
        <f t="shared" ref="BB54:BB70" si="152">AL54+AZ54</f>
        <v>102.4</v>
      </c>
      <c r="BC54" s="4085">
        <f t="shared" si="16"/>
        <v>404881.15</v>
      </c>
      <c r="BD54" s="1365">
        <f t="shared" ref="BD54:BD70" si="153">AV54+AX54</f>
        <v>201.4</v>
      </c>
      <c r="BE54" s="1414">
        <f t="shared" si="18"/>
        <v>785981.02</v>
      </c>
      <c r="BF54" s="1111"/>
      <c r="BG54" s="1111"/>
      <c r="BH54" s="491"/>
      <c r="BI54" s="491"/>
      <c r="BJ54" s="491"/>
      <c r="BQ54" s="491"/>
      <c r="BR54" s="491"/>
      <c r="BS54" s="491"/>
      <c r="BT54" s="491"/>
      <c r="BU54" s="491"/>
      <c r="BV54" s="491"/>
      <c r="BW54" s="491"/>
      <c r="BX54" s="491"/>
      <c r="BY54" s="491"/>
      <c r="BZ54" s="491"/>
      <c r="CA54" s="491"/>
      <c r="CB54" s="491"/>
    </row>
    <row r="55" spans="2:80" s="1242" customFormat="1" ht="21.9" customHeight="1" thickBot="1" x14ac:dyDescent="0.35">
      <c r="B55" s="6076"/>
      <c r="C55" s="4151" t="s">
        <v>1190</v>
      </c>
      <c r="D55" s="4142">
        <v>8</v>
      </c>
      <c r="E55" s="4143">
        <v>32570.400000000001</v>
      </c>
      <c r="F55" s="4142">
        <v>6</v>
      </c>
      <c r="G55" s="4143">
        <v>23838.400000000001</v>
      </c>
      <c r="H55" s="1365">
        <f t="shared" si="0"/>
        <v>14</v>
      </c>
      <c r="I55" s="1366">
        <f t="shared" si="26"/>
        <v>56408.800000000003</v>
      </c>
      <c r="J55" s="4142">
        <v>6</v>
      </c>
      <c r="K55" s="4143">
        <v>23996</v>
      </c>
      <c r="L55" s="4087">
        <f t="shared" si="19"/>
        <v>20</v>
      </c>
      <c r="M55" s="4139">
        <f t="shared" si="27"/>
        <v>80404.800000000003</v>
      </c>
      <c r="N55" s="4142">
        <v>10</v>
      </c>
      <c r="O55" s="4143">
        <v>38411.75</v>
      </c>
      <c r="P55" s="1414">
        <f t="shared" si="55"/>
        <v>30</v>
      </c>
      <c r="Q55" s="1414">
        <f t="shared" si="28"/>
        <v>118816.55</v>
      </c>
      <c r="R55" s="4142">
        <v>12</v>
      </c>
      <c r="S55" s="4143">
        <v>46692</v>
      </c>
      <c r="T55" s="1414">
        <f t="shared" si="2"/>
        <v>42</v>
      </c>
      <c r="U55" s="1414">
        <f t="shared" si="29"/>
        <v>165508.54999999999</v>
      </c>
      <c r="V55" s="4142">
        <v>11</v>
      </c>
      <c r="W55" s="4143">
        <v>41994.29</v>
      </c>
      <c r="X55" s="4087">
        <f t="shared" si="3"/>
        <v>33</v>
      </c>
      <c r="Y55" s="4140">
        <f t="shared" si="4"/>
        <v>127098.04000000001</v>
      </c>
      <c r="Z55" s="4088">
        <f t="shared" si="5"/>
        <v>53</v>
      </c>
      <c r="AA55" s="4085">
        <f t="shared" si="30"/>
        <v>207502.84</v>
      </c>
      <c r="AB55" s="4142">
        <v>6</v>
      </c>
      <c r="AC55" s="4143">
        <v>23929.919999999998</v>
      </c>
      <c r="AD55" s="4621">
        <f t="shared" si="6"/>
        <v>59</v>
      </c>
      <c r="AE55" s="4595">
        <f t="shared" si="31"/>
        <v>231432.75999999998</v>
      </c>
      <c r="AF55" s="4613">
        <v>5</v>
      </c>
      <c r="AG55" s="4143">
        <v>20234.73</v>
      </c>
      <c r="AH55" s="1365">
        <f t="shared" si="147"/>
        <v>64</v>
      </c>
      <c r="AI55" s="1414">
        <f t="shared" si="23"/>
        <v>251667.49</v>
      </c>
      <c r="AJ55" s="4142">
        <v>10</v>
      </c>
      <c r="AK55" s="4143">
        <v>31537.21</v>
      </c>
      <c r="AL55" s="4087">
        <f t="shared" si="148"/>
        <v>21</v>
      </c>
      <c r="AM55" s="4139">
        <f t="shared" si="9"/>
        <v>75701.859999999986</v>
      </c>
      <c r="AN55" s="1365">
        <f t="shared" si="141"/>
        <v>74</v>
      </c>
      <c r="AO55" s="1414">
        <f t="shared" si="34"/>
        <v>283204.7</v>
      </c>
      <c r="AP55" s="4142">
        <v>8</v>
      </c>
      <c r="AQ55" s="4143">
        <v>31900.03</v>
      </c>
      <c r="AR55" s="1365">
        <f t="shared" si="149"/>
        <v>82</v>
      </c>
      <c r="AS55" s="1414">
        <f t="shared" si="36"/>
        <v>315104.73000000004</v>
      </c>
      <c r="AT55" s="4142">
        <v>5</v>
      </c>
      <c r="AU55" s="4143">
        <v>19944.46</v>
      </c>
      <c r="AV55" s="1365">
        <f t="shared" si="150"/>
        <v>87</v>
      </c>
      <c r="AW55" s="1414">
        <f t="shared" si="38"/>
        <v>335049.19000000006</v>
      </c>
      <c r="AX55" s="4142">
        <v>10.6</v>
      </c>
      <c r="AY55" s="4143">
        <v>41001.29</v>
      </c>
      <c r="AZ55" s="4087">
        <f t="shared" si="151"/>
        <v>23.6</v>
      </c>
      <c r="BA55" s="4140">
        <f t="shared" si="14"/>
        <v>92845.78</v>
      </c>
      <c r="BB55" s="4088">
        <f t="shared" si="152"/>
        <v>44.6</v>
      </c>
      <c r="BC55" s="4085">
        <f t="shared" si="16"/>
        <v>168547.63999999998</v>
      </c>
      <c r="BD55" s="1365">
        <f t="shared" si="153"/>
        <v>97.6</v>
      </c>
      <c r="BE55" s="1414">
        <f t="shared" si="18"/>
        <v>376050.48</v>
      </c>
      <c r="BF55" s="1111"/>
      <c r="BG55" s="1111"/>
      <c r="BH55" s="491"/>
      <c r="BI55" s="491"/>
      <c r="BJ55" s="491"/>
      <c r="BQ55" s="491"/>
      <c r="BR55" s="491"/>
      <c r="BS55" s="491"/>
      <c r="BT55" s="491"/>
      <c r="BU55" s="491"/>
      <c r="BV55" s="491"/>
      <c r="BW55" s="491"/>
      <c r="BX55" s="491"/>
      <c r="BY55" s="491"/>
      <c r="BZ55" s="491"/>
      <c r="CA55" s="491"/>
      <c r="CB55" s="491"/>
    </row>
    <row r="56" spans="2:80" s="1242" customFormat="1" ht="21.9" customHeight="1" thickBot="1" x14ac:dyDescent="0.35">
      <c r="B56" s="6088"/>
      <c r="C56" s="1467" t="s">
        <v>1191</v>
      </c>
      <c r="D56" s="4146">
        <v>0</v>
      </c>
      <c r="E56" s="4147">
        <v>0</v>
      </c>
      <c r="F56" s="4146">
        <v>0</v>
      </c>
      <c r="G56" s="4147">
        <v>0</v>
      </c>
      <c r="H56" s="1365">
        <f t="shared" si="0"/>
        <v>0</v>
      </c>
      <c r="I56" s="1366">
        <f t="shared" si="26"/>
        <v>0</v>
      </c>
      <c r="J56" s="4146"/>
      <c r="K56" s="4147"/>
      <c r="L56" s="4087">
        <f t="shared" si="19"/>
        <v>0</v>
      </c>
      <c r="M56" s="4139">
        <f t="shared" si="27"/>
        <v>0</v>
      </c>
      <c r="N56" s="4146">
        <v>0</v>
      </c>
      <c r="O56" s="4147">
        <v>0</v>
      </c>
      <c r="P56" s="1414">
        <f t="shared" si="55"/>
        <v>0</v>
      </c>
      <c r="Q56" s="1414">
        <f t="shared" si="28"/>
        <v>0</v>
      </c>
      <c r="R56" s="4146">
        <v>0</v>
      </c>
      <c r="S56" s="4147">
        <v>0</v>
      </c>
      <c r="T56" s="1414">
        <f t="shared" si="2"/>
        <v>0</v>
      </c>
      <c r="U56" s="1414">
        <f t="shared" si="29"/>
        <v>0</v>
      </c>
      <c r="V56" s="4146">
        <v>0</v>
      </c>
      <c r="W56" s="4147">
        <v>0</v>
      </c>
      <c r="X56" s="4087">
        <f t="shared" si="3"/>
        <v>0</v>
      </c>
      <c r="Y56" s="4140">
        <f t="shared" si="4"/>
        <v>0</v>
      </c>
      <c r="Z56" s="4088">
        <f t="shared" si="5"/>
        <v>0</v>
      </c>
      <c r="AA56" s="4085">
        <f t="shared" si="30"/>
        <v>0</v>
      </c>
      <c r="AB56" s="4146">
        <v>0</v>
      </c>
      <c r="AC56" s="4147">
        <v>0</v>
      </c>
      <c r="AD56" s="4621">
        <f t="shared" si="6"/>
        <v>0</v>
      </c>
      <c r="AE56" s="4595">
        <f t="shared" si="31"/>
        <v>0</v>
      </c>
      <c r="AF56" s="4146">
        <v>0</v>
      </c>
      <c r="AG56" s="4147">
        <v>0</v>
      </c>
      <c r="AH56" s="1365">
        <f t="shared" si="147"/>
        <v>0</v>
      </c>
      <c r="AI56" s="1414">
        <f t="shared" si="23"/>
        <v>0</v>
      </c>
      <c r="AJ56" s="4146">
        <v>0</v>
      </c>
      <c r="AK56" s="4147">
        <v>0</v>
      </c>
      <c r="AL56" s="4087">
        <f t="shared" si="148"/>
        <v>0</v>
      </c>
      <c r="AM56" s="4139">
        <f t="shared" si="9"/>
        <v>0</v>
      </c>
      <c r="AN56" s="1365">
        <f t="shared" si="141"/>
        <v>0</v>
      </c>
      <c r="AO56" s="1414">
        <f t="shared" si="34"/>
        <v>0</v>
      </c>
      <c r="AP56" s="4146">
        <v>0</v>
      </c>
      <c r="AQ56" s="4147">
        <v>0</v>
      </c>
      <c r="AR56" s="1365">
        <f t="shared" si="149"/>
        <v>0</v>
      </c>
      <c r="AS56" s="1414">
        <f t="shared" si="36"/>
        <v>0</v>
      </c>
      <c r="AT56" s="4146">
        <v>0</v>
      </c>
      <c r="AU56" s="4147">
        <v>0</v>
      </c>
      <c r="AV56" s="1365">
        <f t="shared" si="150"/>
        <v>0</v>
      </c>
      <c r="AW56" s="1414">
        <f t="shared" si="38"/>
        <v>0</v>
      </c>
      <c r="AX56" s="4146">
        <v>0</v>
      </c>
      <c r="AY56" s="4147">
        <v>0</v>
      </c>
      <c r="AZ56" s="4087">
        <f t="shared" si="151"/>
        <v>0</v>
      </c>
      <c r="BA56" s="4140">
        <f t="shared" si="14"/>
        <v>0</v>
      </c>
      <c r="BB56" s="4088">
        <f t="shared" si="152"/>
        <v>0</v>
      </c>
      <c r="BC56" s="4085">
        <f t="shared" si="16"/>
        <v>0</v>
      </c>
      <c r="BD56" s="1365">
        <f t="shared" si="153"/>
        <v>0</v>
      </c>
      <c r="BE56" s="1414">
        <f t="shared" si="18"/>
        <v>0</v>
      </c>
      <c r="BF56" s="1111"/>
      <c r="BG56" s="1111"/>
      <c r="BH56" s="491"/>
      <c r="BI56" s="491"/>
      <c r="BJ56" s="491"/>
      <c r="BQ56" s="491"/>
      <c r="BR56" s="491"/>
      <c r="BS56" s="491"/>
      <c r="BT56" s="491"/>
      <c r="BU56" s="491"/>
      <c r="BV56" s="491"/>
      <c r="BW56" s="491"/>
      <c r="BX56" s="491"/>
      <c r="BY56" s="491"/>
      <c r="BZ56" s="491"/>
      <c r="CA56" s="491"/>
      <c r="CB56" s="491"/>
    </row>
    <row r="57" spans="2:80" s="1242" customFormat="1" ht="21.9" customHeight="1" thickBot="1" x14ac:dyDescent="0.35">
      <c r="B57" s="4905" t="s">
        <v>2153</v>
      </c>
      <c r="C57" s="3465" t="s">
        <v>975</v>
      </c>
      <c r="D57" s="2061">
        <v>1</v>
      </c>
      <c r="E57" s="2060">
        <v>4060</v>
      </c>
      <c r="F57" s="2061">
        <v>2</v>
      </c>
      <c r="G57" s="2060">
        <v>7490.68</v>
      </c>
      <c r="H57" s="1365">
        <f t="shared" si="0"/>
        <v>3</v>
      </c>
      <c r="I57" s="1366">
        <f t="shared" si="26"/>
        <v>11550.68</v>
      </c>
      <c r="J57" s="2061">
        <v>2</v>
      </c>
      <c r="K57" s="2060">
        <v>7189</v>
      </c>
      <c r="L57" s="4164">
        <f t="shared" si="19"/>
        <v>5</v>
      </c>
      <c r="M57" s="4139">
        <f t="shared" si="27"/>
        <v>18739.68</v>
      </c>
      <c r="N57" s="2061">
        <v>1</v>
      </c>
      <c r="O57" s="2060">
        <v>3551.31</v>
      </c>
      <c r="P57" s="1414">
        <f t="shared" si="55"/>
        <v>6</v>
      </c>
      <c r="Q57" s="1414">
        <f t="shared" si="28"/>
        <v>22290.99</v>
      </c>
      <c r="R57" s="2061">
        <v>1</v>
      </c>
      <c r="S57" s="2060">
        <v>4030.6</v>
      </c>
      <c r="T57" s="1414">
        <f t="shared" si="2"/>
        <v>7</v>
      </c>
      <c r="U57" s="1414">
        <f t="shared" si="29"/>
        <v>26321.59</v>
      </c>
      <c r="V57" s="2061">
        <v>2</v>
      </c>
      <c r="W57" s="2060">
        <v>7324.35</v>
      </c>
      <c r="X57" s="4164">
        <f t="shared" si="3"/>
        <v>4</v>
      </c>
      <c r="Y57" s="4140">
        <f t="shared" si="4"/>
        <v>14906.26</v>
      </c>
      <c r="Z57" s="4165">
        <f t="shared" si="5"/>
        <v>9</v>
      </c>
      <c r="AA57" s="4085">
        <f t="shared" si="30"/>
        <v>33645.94</v>
      </c>
      <c r="AB57" s="2061">
        <v>1</v>
      </c>
      <c r="AC57" s="2060">
        <v>3520</v>
      </c>
      <c r="AD57" s="4627">
        <f t="shared" si="6"/>
        <v>10</v>
      </c>
      <c r="AE57" s="4595">
        <f t="shared" si="31"/>
        <v>37165.94</v>
      </c>
      <c r="AF57" s="2061">
        <v>1</v>
      </c>
      <c r="AG57" s="2060">
        <v>3850.27</v>
      </c>
      <c r="AH57" s="2062">
        <f t="shared" si="147"/>
        <v>11</v>
      </c>
      <c r="AI57" s="1414">
        <f t="shared" si="23"/>
        <v>41016.210000000006</v>
      </c>
      <c r="AJ57" s="2061">
        <v>1</v>
      </c>
      <c r="AK57" s="2060">
        <v>8101.2</v>
      </c>
      <c r="AL57" s="4164">
        <f t="shared" si="148"/>
        <v>3</v>
      </c>
      <c r="AM57" s="4139">
        <f t="shared" si="9"/>
        <v>15471.470000000001</v>
      </c>
      <c r="AN57" s="2062">
        <f t="shared" si="141"/>
        <v>12</v>
      </c>
      <c r="AO57" s="1414">
        <f t="shared" si="34"/>
        <v>49117.409999999996</v>
      </c>
      <c r="AP57" s="2061">
        <v>1</v>
      </c>
      <c r="AQ57" s="2060">
        <v>3899.6</v>
      </c>
      <c r="AR57" s="2062">
        <f t="shared" si="149"/>
        <v>13</v>
      </c>
      <c r="AS57" s="1414">
        <f t="shared" si="36"/>
        <v>53017.009999999995</v>
      </c>
      <c r="AT57" s="2061">
        <v>2</v>
      </c>
      <c r="AU57" s="2060">
        <v>8090.87</v>
      </c>
      <c r="AV57" s="2062">
        <f t="shared" si="150"/>
        <v>15</v>
      </c>
      <c r="AW57" s="1414">
        <f t="shared" si="38"/>
        <v>61107.88</v>
      </c>
      <c r="AX57" s="2061">
        <v>0</v>
      </c>
      <c r="AY57" s="2060">
        <v>0</v>
      </c>
      <c r="AZ57" s="4164">
        <f t="shared" si="151"/>
        <v>3</v>
      </c>
      <c r="BA57" s="4140">
        <f t="shared" si="14"/>
        <v>11990.47</v>
      </c>
      <c r="BB57" s="4166">
        <f t="shared" si="152"/>
        <v>6</v>
      </c>
      <c r="BC57" s="4085">
        <f t="shared" si="16"/>
        <v>27461.940000000002</v>
      </c>
      <c r="BD57" s="1365">
        <f t="shared" si="153"/>
        <v>15</v>
      </c>
      <c r="BE57" s="1414">
        <f t="shared" si="18"/>
        <v>61107.880000000005</v>
      </c>
      <c r="BF57" s="1111"/>
      <c r="BG57" s="1111"/>
      <c r="BH57" s="491"/>
      <c r="BI57" s="491"/>
      <c r="BJ57" s="491"/>
      <c r="BQ57" s="491"/>
      <c r="BR57" s="491"/>
      <c r="BS57" s="491"/>
      <c r="BT57" s="491"/>
      <c r="BU57" s="491"/>
      <c r="BV57" s="491"/>
      <c r="BW57" s="491"/>
      <c r="BX57" s="491"/>
      <c r="BY57" s="491"/>
      <c r="BZ57" s="491"/>
      <c r="CA57" s="491"/>
      <c r="CB57" s="491"/>
    </row>
    <row r="58" spans="2:80" s="1242" customFormat="1" ht="21.9" customHeight="1" thickBot="1" x14ac:dyDescent="0.35">
      <c r="B58" s="6105" t="s">
        <v>1750</v>
      </c>
      <c r="C58" s="3478" t="s">
        <v>1192</v>
      </c>
      <c r="D58" s="3473">
        <v>4.4000000000000004</v>
      </c>
      <c r="E58" s="3474">
        <v>17226.830000000002</v>
      </c>
      <c r="F58" s="3473">
        <v>3</v>
      </c>
      <c r="G58" s="3474">
        <v>11924.2</v>
      </c>
      <c r="H58" s="1365">
        <f t="shared" si="0"/>
        <v>7.4</v>
      </c>
      <c r="I58" s="1366">
        <f t="shared" si="26"/>
        <v>29151.030000000002</v>
      </c>
      <c r="J58" s="3473">
        <v>13</v>
      </c>
      <c r="K58" s="3474">
        <v>48829</v>
      </c>
      <c r="L58" s="3476">
        <f t="shared" si="19"/>
        <v>20.399999999999999</v>
      </c>
      <c r="M58" s="4139">
        <f t="shared" si="27"/>
        <v>77980.03</v>
      </c>
      <c r="N58" s="3473">
        <v>11</v>
      </c>
      <c r="O58" s="3474">
        <v>41938</v>
      </c>
      <c r="P58" s="1414">
        <f t="shared" si="55"/>
        <v>31.4</v>
      </c>
      <c r="Q58" s="1414">
        <f t="shared" si="28"/>
        <v>119918.03</v>
      </c>
      <c r="R58" s="3473">
        <v>10</v>
      </c>
      <c r="S58" s="3474">
        <v>38260.080000000002</v>
      </c>
      <c r="T58" s="1414">
        <f t="shared" si="2"/>
        <v>41.4</v>
      </c>
      <c r="U58" s="1414">
        <f t="shared" si="29"/>
        <v>158178.11000000002</v>
      </c>
      <c r="V58" s="3473">
        <v>10</v>
      </c>
      <c r="W58" s="3474">
        <v>39261.86</v>
      </c>
      <c r="X58" s="3476">
        <f t="shared" si="3"/>
        <v>31</v>
      </c>
      <c r="Y58" s="4140">
        <f t="shared" si="4"/>
        <v>119459.94</v>
      </c>
      <c r="Z58" s="3611">
        <f t="shared" si="5"/>
        <v>51.4</v>
      </c>
      <c r="AA58" s="4085">
        <f t="shared" si="30"/>
        <v>197439.97000000003</v>
      </c>
      <c r="AB58" s="3473">
        <v>6</v>
      </c>
      <c r="AC58" s="3474">
        <v>22604</v>
      </c>
      <c r="AD58" s="4628">
        <f t="shared" si="6"/>
        <v>57.4</v>
      </c>
      <c r="AE58" s="4595">
        <f t="shared" si="31"/>
        <v>220043.97000000003</v>
      </c>
      <c r="AF58" s="4639">
        <v>10</v>
      </c>
      <c r="AG58" s="3474">
        <v>38771.83</v>
      </c>
      <c r="AH58" s="3475">
        <f t="shared" si="147"/>
        <v>67.400000000000006</v>
      </c>
      <c r="AI58" s="1414">
        <f t="shared" si="23"/>
        <v>258815.80000000005</v>
      </c>
      <c r="AJ58" s="3473">
        <v>8</v>
      </c>
      <c r="AK58" s="3474">
        <v>35304.04</v>
      </c>
      <c r="AL58" s="3476">
        <f t="shared" si="148"/>
        <v>24</v>
      </c>
      <c r="AM58" s="4139">
        <f t="shared" si="9"/>
        <v>96679.87</v>
      </c>
      <c r="AN58" s="3475">
        <f t="shared" si="141"/>
        <v>75.400000000000006</v>
      </c>
      <c r="AO58" s="1414">
        <f t="shared" si="34"/>
        <v>294119.84000000003</v>
      </c>
      <c r="AP58" s="3473">
        <v>10</v>
      </c>
      <c r="AQ58" s="3474">
        <v>39805.569999999992</v>
      </c>
      <c r="AR58" s="3475">
        <f t="shared" si="149"/>
        <v>85.4</v>
      </c>
      <c r="AS58" s="1414">
        <f t="shared" si="36"/>
        <v>333925.41000000003</v>
      </c>
      <c r="AT58" s="3473">
        <v>5.5</v>
      </c>
      <c r="AU58" s="3474">
        <v>20408.048947368421</v>
      </c>
      <c r="AV58" s="3475">
        <f t="shared" si="150"/>
        <v>90.9</v>
      </c>
      <c r="AW58" s="1414">
        <f t="shared" si="38"/>
        <v>354333.45894736843</v>
      </c>
      <c r="AX58" s="3473">
        <v>8.4</v>
      </c>
      <c r="AY58" s="3474">
        <v>33604.82</v>
      </c>
      <c r="AZ58" s="3476">
        <f t="shared" si="151"/>
        <v>23.9</v>
      </c>
      <c r="BA58" s="4140">
        <f t="shared" si="14"/>
        <v>93818.438947368413</v>
      </c>
      <c r="BB58" s="3477">
        <f t="shared" si="152"/>
        <v>47.9</v>
      </c>
      <c r="BC58" s="4085">
        <f t="shared" si="16"/>
        <v>190498.30894736841</v>
      </c>
      <c r="BD58" s="1365">
        <f t="shared" si="153"/>
        <v>99.300000000000011</v>
      </c>
      <c r="BE58" s="1414">
        <f t="shared" si="18"/>
        <v>387938.27894736844</v>
      </c>
      <c r="BF58" s="1111"/>
      <c r="BG58" s="1111"/>
      <c r="BH58" s="491"/>
      <c r="BI58" s="491"/>
      <c r="BJ58" s="491"/>
      <c r="BQ58" s="491"/>
      <c r="BR58" s="491"/>
      <c r="BS58" s="491"/>
      <c r="BT58" s="491"/>
      <c r="BU58" s="491"/>
      <c r="BV58" s="491"/>
      <c r="BW58" s="491"/>
      <c r="BX58" s="491"/>
      <c r="BY58" s="491"/>
      <c r="BZ58" s="491"/>
      <c r="CA58" s="491"/>
      <c r="CB58" s="491"/>
    </row>
    <row r="59" spans="2:80" s="1242" customFormat="1" ht="21.9" customHeight="1" thickBot="1" x14ac:dyDescent="0.35">
      <c r="B59" s="6106"/>
      <c r="C59" s="5200" t="s">
        <v>2238</v>
      </c>
      <c r="D59" s="5201">
        <v>2.6</v>
      </c>
      <c r="E59" s="5202">
        <v>9753.33</v>
      </c>
      <c r="F59" s="5201">
        <v>0</v>
      </c>
      <c r="G59" s="5202">
        <v>0</v>
      </c>
      <c r="H59" s="1365">
        <f t="shared" si="0"/>
        <v>2.6</v>
      </c>
      <c r="I59" s="1366">
        <f t="shared" si="26"/>
        <v>9753.33</v>
      </c>
      <c r="J59" s="5201"/>
      <c r="K59" s="5202"/>
      <c r="L59" s="5203"/>
      <c r="M59" s="4139"/>
      <c r="N59" s="5201"/>
      <c r="O59" s="5202"/>
      <c r="P59" s="1414"/>
      <c r="Q59" s="1414"/>
      <c r="R59" s="5201"/>
      <c r="S59" s="5202"/>
      <c r="T59" s="1414"/>
      <c r="U59" s="1414"/>
      <c r="V59" s="5201"/>
      <c r="W59" s="5202"/>
      <c r="X59" s="3476"/>
      <c r="Y59" s="5204"/>
      <c r="Z59" s="3611"/>
      <c r="AA59" s="5205"/>
      <c r="AB59" s="5201"/>
      <c r="AC59" s="5202"/>
      <c r="AD59" s="5206"/>
      <c r="AE59" s="5207"/>
      <c r="AF59" s="5208"/>
      <c r="AG59" s="5202"/>
      <c r="AH59" s="3475"/>
      <c r="AI59" s="1414"/>
      <c r="AJ59" s="5201"/>
      <c r="AK59" s="5202"/>
      <c r="AL59" s="3476"/>
      <c r="AM59" s="4139"/>
      <c r="AN59" s="3475"/>
      <c r="AO59" s="1414"/>
      <c r="AP59" s="5201"/>
      <c r="AQ59" s="5202"/>
      <c r="AR59" s="3475"/>
      <c r="AS59" s="1414"/>
      <c r="AT59" s="5201"/>
      <c r="AU59" s="5202"/>
      <c r="AV59" s="3475"/>
      <c r="AW59" s="1414"/>
      <c r="AX59" s="5201"/>
      <c r="AY59" s="5202"/>
      <c r="AZ59" s="3476"/>
      <c r="BA59" s="5204"/>
      <c r="BB59" s="3477"/>
      <c r="BC59" s="5205"/>
      <c r="BD59" s="1365"/>
      <c r="BE59" s="1414"/>
      <c r="BF59" s="1111"/>
      <c r="BG59" s="1111"/>
      <c r="BH59" s="491"/>
      <c r="BI59" s="491"/>
      <c r="BJ59" s="491"/>
      <c r="BQ59" s="491"/>
      <c r="BR59" s="491"/>
      <c r="BS59" s="491"/>
      <c r="BT59" s="491"/>
      <c r="BU59" s="491"/>
      <c r="BV59" s="491"/>
      <c r="BW59" s="491"/>
      <c r="BX59" s="491"/>
      <c r="BY59" s="491"/>
      <c r="BZ59" s="491"/>
      <c r="CA59" s="491"/>
      <c r="CB59" s="491"/>
    </row>
    <row r="60" spans="2:80" s="1242" customFormat="1" ht="21.9" customHeight="1" thickBot="1" x14ac:dyDescent="0.35">
      <c r="B60" s="6107"/>
      <c r="C60" s="4167" t="s">
        <v>1749</v>
      </c>
      <c r="D60" s="4168">
        <v>0</v>
      </c>
      <c r="E60" s="4169">
        <v>0</v>
      </c>
      <c r="F60" s="4168">
        <v>0</v>
      </c>
      <c r="G60" s="4169">
        <v>0</v>
      </c>
      <c r="H60" s="1365">
        <f t="shared" si="0"/>
        <v>0</v>
      </c>
      <c r="I60" s="1366">
        <f t="shared" si="26"/>
        <v>0</v>
      </c>
      <c r="J60" s="4168">
        <v>0</v>
      </c>
      <c r="K60" s="4169">
        <v>0</v>
      </c>
      <c r="L60" s="4170">
        <f t="shared" si="19"/>
        <v>0</v>
      </c>
      <c r="M60" s="4139">
        <f t="shared" si="27"/>
        <v>0</v>
      </c>
      <c r="N60" s="4168">
        <v>0</v>
      </c>
      <c r="O60" s="4169">
        <v>0</v>
      </c>
      <c r="P60" s="1414">
        <f t="shared" si="55"/>
        <v>0</v>
      </c>
      <c r="Q60" s="1414">
        <f t="shared" si="28"/>
        <v>0</v>
      </c>
      <c r="R60" s="4168">
        <v>0</v>
      </c>
      <c r="S60" s="4169">
        <v>0</v>
      </c>
      <c r="T60" s="1414">
        <f t="shared" si="2"/>
        <v>0</v>
      </c>
      <c r="U60" s="1414">
        <f t="shared" si="29"/>
        <v>0</v>
      </c>
      <c r="V60" s="4168">
        <v>0</v>
      </c>
      <c r="W60" s="4169">
        <v>0</v>
      </c>
      <c r="X60" s="3476">
        <f t="shared" si="3"/>
        <v>0</v>
      </c>
      <c r="Y60" s="4140">
        <f t="shared" si="4"/>
        <v>0</v>
      </c>
      <c r="Z60" s="3611">
        <f t="shared" si="5"/>
        <v>0</v>
      </c>
      <c r="AA60" s="4085">
        <f t="shared" si="30"/>
        <v>0</v>
      </c>
      <c r="AB60" s="4168">
        <v>0</v>
      </c>
      <c r="AC60" s="4169">
        <v>0</v>
      </c>
      <c r="AD60" s="4629">
        <f t="shared" si="6"/>
        <v>0</v>
      </c>
      <c r="AE60" s="4595">
        <f t="shared" si="31"/>
        <v>0</v>
      </c>
      <c r="AF60" s="4640">
        <v>0</v>
      </c>
      <c r="AG60" s="4169">
        <v>0</v>
      </c>
      <c r="AH60" s="3475">
        <f t="shared" si="147"/>
        <v>0</v>
      </c>
      <c r="AI60" s="1414">
        <f t="shared" si="23"/>
        <v>0</v>
      </c>
      <c r="AJ60" s="4168">
        <v>0</v>
      </c>
      <c r="AK60" s="4169">
        <v>0</v>
      </c>
      <c r="AL60" s="3476">
        <f t="shared" si="148"/>
        <v>0</v>
      </c>
      <c r="AM60" s="4139">
        <f t="shared" si="9"/>
        <v>0</v>
      </c>
      <c r="AN60" s="3475">
        <f t="shared" si="141"/>
        <v>0</v>
      </c>
      <c r="AO60" s="1414">
        <f t="shared" si="34"/>
        <v>0</v>
      </c>
      <c r="AP60" s="4168">
        <v>0</v>
      </c>
      <c r="AQ60" s="4169">
        <v>0</v>
      </c>
      <c r="AR60" s="3475">
        <f t="shared" si="149"/>
        <v>0</v>
      </c>
      <c r="AS60" s="1414">
        <f t="shared" si="36"/>
        <v>0</v>
      </c>
      <c r="AT60" s="4168">
        <v>0</v>
      </c>
      <c r="AU60" s="4169">
        <v>0</v>
      </c>
      <c r="AV60" s="3475">
        <f t="shared" si="150"/>
        <v>0</v>
      </c>
      <c r="AW60" s="1414">
        <f t="shared" si="38"/>
        <v>0</v>
      </c>
      <c r="AX60" s="4168">
        <v>0</v>
      </c>
      <c r="AY60" s="4169">
        <v>0</v>
      </c>
      <c r="AZ60" s="3476">
        <f t="shared" si="151"/>
        <v>0</v>
      </c>
      <c r="BA60" s="4140">
        <f t="shared" si="14"/>
        <v>0</v>
      </c>
      <c r="BB60" s="3477">
        <f t="shared" si="152"/>
        <v>0</v>
      </c>
      <c r="BC60" s="4085">
        <f t="shared" si="16"/>
        <v>0</v>
      </c>
      <c r="BD60" s="1365">
        <f t="shared" si="153"/>
        <v>0</v>
      </c>
      <c r="BE60" s="1414">
        <f t="shared" si="18"/>
        <v>0</v>
      </c>
      <c r="BF60" s="1111"/>
      <c r="BG60" s="1111"/>
      <c r="BH60" s="491"/>
      <c r="BI60" s="491"/>
      <c r="BJ60" s="491"/>
      <c r="BQ60" s="491"/>
      <c r="BR60" s="491"/>
      <c r="BS60" s="491"/>
      <c r="BT60" s="491"/>
      <c r="BU60" s="491"/>
      <c r="BV60" s="491"/>
      <c r="BW60" s="491"/>
      <c r="BX60" s="491"/>
      <c r="BY60" s="491"/>
      <c r="BZ60" s="491"/>
      <c r="CA60" s="491"/>
      <c r="CB60" s="491"/>
    </row>
    <row r="61" spans="2:80" s="1242" customFormat="1" ht="21.9" customHeight="1" thickBot="1" x14ac:dyDescent="0.35">
      <c r="B61" s="6075" t="s">
        <v>1193</v>
      </c>
      <c r="C61" s="3466" t="s">
        <v>1182</v>
      </c>
      <c r="D61" s="3467">
        <v>5</v>
      </c>
      <c r="E61" s="3468">
        <v>19130.7</v>
      </c>
      <c r="F61" s="3467">
        <v>7.5</v>
      </c>
      <c r="G61" s="3468">
        <v>29219.119999999999</v>
      </c>
      <c r="H61" s="1365">
        <f t="shared" si="0"/>
        <v>12.5</v>
      </c>
      <c r="I61" s="1366">
        <f t="shared" si="26"/>
        <v>48349.82</v>
      </c>
      <c r="J61" s="3467">
        <v>6.8</v>
      </c>
      <c r="K61" s="3468">
        <v>24848</v>
      </c>
      <c r="L61" s="3469">
        <f t="shared" si="19"/>
        <v>19.3</v>
      </c>
      <c r="M61" s="4139">
        <f t="shared" si="27"/>
        <v>73197.820000000007</v>
      </c>
      <c r="N61" s="3467">
        <v>6.4</v>
      </c>
      <c r="O61" s="3468">
        <v>24200.09</v>
      </c>
      <c r="P61" s="1414">
        <f t="shared" si="55"/>
        <v>25.700000000000003</v>
      </c>
      <c r="Q61" s="1414">
        <f t="shared" si="28"/>
        <v>97397.91</v>
      </c>
      <c r="R61" s="3467">
        <v>6</v>
      </c>
      <c r="S61" s="3468">
        <v>23022</v>
      </c>
      <c r="T61" s="1414">
        <f t="shared" si="2"/>
        <v>31.700000000000003</v>
      </c>
      <c r="U61" s="1414">
        <f t="shared" si="29"/>
        <v>120419.90999999999</v>
      </c>
      <c r="V61" s="3467">
        <v>7</v>
      </c>
      <c r="W61" s="3468">
        <v>26804.1</v>
      </c>
      <c r="X61" s="3471">
        <f t="shared" si="3"/>
        <v>19.399999999999999</v>
      </c>
      <c r="Y61" s="4140">
        <f t="shared" si="4"/>
        <v>74026.19</v>
      </c>
      <c r="Z61" s="3472">
        <f t="shared" si="5"/>
        <v>38.700000000000003</v>
      </c>
      <c r="AA61" s="4085">
        <f t="shared" si="30"/>
        <v>147224.01</v>
      </c>
      <c r="AB61" s="3467">
        <v>5.4</v>
      </c>
      <c r="AC61" s="3468">
        <v>20614.89</v>
      </c>
      <c r="AD61" s="4630">
        <f t="shared" si="6"/>
        <v>44.1</v>
      </c>
      <c r="AE61" s="4595">
        <f t="shared" si="31"/>
        <v>167838.9</v>
      </c>
      <c r="AF61" s="1343">
        <v>5.5</v>
      </c>
      <c r="AG61" s="3468">
        <v>20561.810000000001</v>
      </c>
      <c r="AH61" s="3470">
        <f t="shared" si="147"/>
        <v>49.6</v>
      </c>
      <c r="AI61" s="1414">
        <f t="shared" si="23"/>
        <v>188400.71</v>
      </c>
      <c r="AJ61" s="3467">
        <v>4.9000000000000004</v>
      </c>
      <c r="AK61" s="3468">
        <v>18806.89</v>
      </c>
      <c r="AL61" s="3471">
        <f t="shared" si="148"/>
        <v>15.8</v>
      </c>
      <c r="AM61" s="4139">
        <f t="shared" si="9"/>
        <v>59983.59</v>
      </c>
      <c r="AN61" s="3470">
        <f t="shared" si="141"/>
        <v>54.5</v>
      </c>
      <c r="AO61" s="1414">
        <f t="shared" si="34"/>
        <v>207207.6</v>
      </c>
      <c r="AP61" s="3467">
        <v>5.5</v>
      </c>
      <c r="AQ61" s="3468">
        <v>21318.38</v>
      </c>
      <c r="AR61" s="3470">
        <f t="shared" si="149"/>
        <v>60</v>
      </c>
      <c r="AS61" s="1414">
        <f t="shared" si="36"/>
        <v>228525.98</v>
      </c>
      <c r="AT61" s="3467">
        <v>7.2</v>
      </c>
      <c r="AU61" s="3468">
        <v>27361.57</v>
      </c>
      <c r="AV61" s="3470">
        <f t="shared" si="150"/>
        <v>67.2</v>
      </c>
      <c r="AW61" s="1414">
        <f t="shared" si="38"/>
        <v>255887.55</v>
      </c>
      <c r="AX61" s="3467">
        <v>5.5</v>
      </c>
      <c r="AY61" s="3468">
        <v>21284.87</v>
      </c>
      <c r="AZ61" s="3471">
        <f t="shared" si="151"/>
        <v>18.2</v>
      </c>
      <c r="BA61" s="4140">
        <f t="shared" si="14"/>
        <v>69964.819999999992</v>
      </c>
      <c r="BB61" s="3472">
        <f t="shared" si="152"/>
        <v>34</v>
      </c>
      <c r="BC61" s="4085">
        <f t="shared" si="16"/>
        <v>129948.40999999999</v>
      </c>
      <c r="BD61" s="1365">
        <f t="shared" si="153"/>
        <v>72.7</v>
      </c>
      <c r="BE61" s="1414">
        <f t="shared" si="18"/>
        <v>277172.42</v>
      </c>
      <c r="BF61" s="1111"/>
      <c r="BG61" s="1111"/>
      <c r="BH61" s="491"/>
      <c r="BI61" s="491"/>
      <c r="BJ61" s="491"/>
      <c r="BQ61" s="491"/>
      <c r="BR61" s="491"/>
      <c r="BS61" s="491"/>
      <c r="BT61" s="491"/>
      <c r="BU61" s="491"/>
      <c r="BV61" s="491"/>
      <c r="BW61" s="491"/>
      <c r="BX61" s="491"/>
      <c r="BY61" s="491"/>
      <c r="BZ61" s="491"/>
      <c r="CA61" s="491"/>
      <c r="CB61" s="491"/>
    </row>
    <row r="62" spans="2:80" s="1242" customFormat="1" ht="21.9" customHeight="1" thickBot="1" x14ac:dyDescent="0.35">
      <c r="B62" s="6075"/>
      <c r="C62" s="3466" t="s">
        <v>1997</v>
      </c>
      <c r="D62" s="3467">
        <v>2</v>
      </c>
      <c r="E62" s="3468">
        <v>7290.33</v>
      </c>
      <c r="F62" s="3467">
        <v>1</v>
      </c>
      <c r="G62" s="3468">
        <v>4058.86</v>
      </c>
      <c r="H62" s="1365">
        <f t="shared" si="0"/>
        <v>3</v>
      </c>
      <c r="I62" s="1366">
        <f t="shared" si="26"/>
        <v>11349.19</v>
      </c>
      <c r="J62" s="3467"/>
      <c r="K62" s="3468"/>
      <c r="L62" s="3469"/>
      <c r="M62" s="4139">
        <f t="shared" si="27"/>
        <v>11349.19</v>
      </c>
      <c r="N62" s="3467">
        <v>1</v>
      </c>
      <c r="O62" s="3468">
        <v>3959.9</v>
      </c>
      <c r="P62" s="1414">
        <f t="shared" ref="P62" si="154">L62+N62</f>
        <v>1</v>
      </c>
      <c r="Q62" s="1414">
        <f t="shared" si="28"/>
        <v>15309.09</v>
      </c>
      <c r="R62" s="3467">
        <v>2</v>
      </c>
      <c r="S62" s="3468">
        <v>7316</v>
      </c>
      <c r="T62" s="1414">
        <f t="shared" si="2"/>
        <v>3</v>
      </c>
      <c r="U62" s="1414">
        <f t="shared" si="29"/>
        <v>22625.09</v>
      </c>
      <c r="V62" s="3467">
        <v>0</v>
      </c>
      <c r="W62" s="3468">
        <v>0</v>
      </c>
      <c r="X62" s="3471">
        <f t="shared" si="3"/>
        <v>3</v>
      </c>
      <c r="Y62" s="4140">
        <f t="shared" si="4"/>
        <v>11275.9</v>
      </c>
      <c r="Z62" s="3472">
        <f t="shared" ref="Z62:Z70" si="155">L62+X62</f>
        <v>3</v>
      </c>
      <c r="AA62" s="4085">
        <f t="shared" si="30"/>
        <v>22625.09</v>
      </c>
      <c r="AB62" s="3467">
        <v>0</v>
      </c>
      <c r="AC62" s="3468">
        <v>0</v>
      </c>
      <c r="AD62" s="4630">
        <f t="shared" si="6"/>
        <v>3</v>
      </c>
      <c r="AE62" s="4595">
        <f t="shared" si="31"/>
        <v>22625.09</v>
      </c>
      <c r="AF62" s="1343">
        <v>0</v>
      </c>
      <c r="AG62" s="3468">
        <v>0</v>
      </c>
      <c r="AH62" s="3470"/>
      <c r="AI62" s="1414">
        <f t="shared" si="23"/>
        <v>22625.09</v>
      </c>
      <c r="AJ62" s="3467"/>
      <c r="AK62" s="3468">
        <v>0</v>
      </c>
      <c r="AL62" s="3471"/>
      <c r="AM62" s="4139">
        <f t="shared" si="9"/>
        <v>0</v>
      </c>
      <c r="AN62" s="3470"/>
      <c r="AO62" s="1414">
        <f t="shared" si="34"/>
        <v>22625.09</v>
      </c>
      <c r="AP62" s="3467">
        <v>0</v>
      </c>
      <c r="AQ62" s="3468">
        <v>0</v>
      </c>
      <c r="AR62" s="3470"/>
      <c r="AS62" s="1414">
        <f t="shared" si="36"/>
        <v>22625.09</v>
      </c>
      <c r="AT62" s="3467">
        <v>0</v>
      </c>
      <c r="AU62" s="3468">
        <v>0</v>
      </c>
      <c r="AV62" s="3470"/>
      <c r="AW62" s="1414">
        <f t="shared" si="38"/>
        <v>22625.09</v>
      </c>
      <c r="AX62" s="3467">
        <v>0</v>
      </c>
      <c r="AY62" s="3468">
        <v>0</v>
      </c>
      <c r="AZ62" s="3471"/>
      <c r="BA62" s="4140">
        <f t="shared" si="14"/>
        <v>0</v>
      </c>
      <c r="BB62" s="3472"/>
      <c r="BC62" s="4085">
        <f t="shared" si="16"/>
        <v>0</v>
      </c>
      <c r="BD62" s="1365"/>
      <c r="BE62" s="1414">
        <f t="shared" si="18"/>
        <v>22625.09</v>
      </c>
      <c r="BF62" s="1111"/>
      <c r="BG62" s="1111"/>
      <c r="BH62" s="491"/>
      <c r="BI62" s="491"/>
      <c r="BJ62" s="491"/>
      <c r="BQ62" s="491"/>
      <c r="BR62" s="491"/>
      <c r="BS62" s="491"/>
      <c r="BT62" s="491"/>
      <c r="BU62" s="491"/>
      <c r="BV62" s="491"/>
      <c r="BW62" s="491"/>
      <c r="BX62" s="491"/>
      <c r="BY62" s="491"/>
      <c r="BZ62" s="491"/>
      <c r="CA62" s="491"/>
      <c r="CB62" s="491"/>
    </row>
    <row r="63" spans="2:80" s="1242" customFormat="1" ht="21.9" customHeight="1" thickBot="1" x14ac:dyDescent="0.35">
      <c r="B63" s="6076"/>
      <c r="C63" s="4171" t="s">
        <v>1183</v>
      </c>
      <c r="D63" s="4081">
        <v>0</v>
      </c>
      <c r="E63" s="4083">
        <v>0</v>
      </c>
      <c r="F63" s="4081">
        <v>2</v>
      </c>
      <c r="G63" s="4083">
        <v>7926.75</v>
      </c>
      <c r="H63" s="1365">
        <f t="shared" si="0"/>
        <v>2</v>
      </c>
      <c r="I63" s="1366">
        <f t="shared" si="26"/>
        <v>7926.75</v>
      </c>
      <c r="J63" s="4081">
        <v>1.2</v>
      </c>
      <c r="K63" s="4083">
        <v>4510</v>
      </c>
      <c r="L63" s="4084">
        <f t="shared" si="19"/>
        <v>3.2</v>
      </c>
      <c r="M63" s="4139">
        <f t="shared" si="27"/>
        <v>12436.75</v>
      </c>
      <c r="N63" s="4081">
        <v>1</v>
      </c>
      <c r="O63" s="4083">
        <v>3313.04</v>
      </c>
      <c r="P63" s="1414">
        <f t="shared" si="55"/>
        <v>4.2</v>
      </c>
      <c r="Q63" s="1414">
        <f t="shared" si="28"/>
        <v>15749.79</v>
      </c>
      <c r="R63" s="4081">
        <v>1</v>
      </c>
      <c r="S63" s="4083">
        <v>3787</v>
      </c>
      <c r="T63" s="1414">
        <f t="shared" si="2"/>
        <v>5.2</v>
      </c>
      <c r="U63" s="1414">
        <f t="shared" si="29"/>
        <v>19536.79</v>
      </c>
      <c r="V63" s="4081">
        <v>1</v>
      </c>
      <c r="W63" s="4083">
        <v>3992.12</v>
      </c>
      <c r="X63" s="4087">
        <f t="shared" si="3"/>
        <v>3</v>
      </c>
      <c r="Y63" s="4140">
        <f t="shared" si="4"/>
        <v>11092.16</v>
      </c>
      <c r="Z63" s="3472">
        <f t="shared" si="155"/>
        <v>6.2</v>
      </c>
      <c r="AA63" s="4085">
        <f t="shared" si="30"/>
        <v>23528.91</v>
      </c>
      <c r="AB63" s="4081">
        <v>0</v>
      </c>
      <c r="AC63" s="4083">
        <v>0</v>
      </c>
      <c r="AD63" s="4621">
        <f t="shared" si="6"/>
        <v>6.2</v>
      </c>
      <c r="AE63" s="4595">
        <f t="shared" si="31"/>
        <v>23528.91</v>
      </c>
      <c r="AF63" s="4613">
        <v>0.5</v>
      </c>
      <c r="AG63" s="4083">
        <v>2095.94</v>
      </c>
      <c r="AH63" s="1365">
        <f t="shared" si="147"/>
        <v>6.7</v>
      </c>
      <c r="AI63" s="1414">
        <f t="shared" si="23"/>
        <v>25624.85</v>
      </c>
      <c r="AJ63" s="4081">
        <v>2</v>
      </c>
      <c r="AK63" s="4083">
        <v>0</v>
      </c>
      <c r="AL63" s="4087">
        <f t="shared" si="148"/>
        <v>2.5</v>
      </c>
      <c r="AM63" s="4139">
        <f t="shared" si="9"/>
        <v>2095.94</v>
      </c>
      <c r="AN63" s="1365">
        <f t="shared" si="141"/>
        <v>8.6999999999999993</v>
      </c>
      <c r="AO63" s="1414">
        <f t="shared" si="34"/>
        <v>25624.85</v>
      </c>
      <c r="AP63" s="4081">
        <v>0</v>
      </c>
      <c r="AQ63" s="4083">
        <v>0</v>
      </c>
      <c r="AR63" s="1365">
        <f t="shared" si="149"/>
        <v>8.6999999999999993</v>
      </c>
      <c r="AS63" s="1414">
        <f t="shared" si="36"/>
        <v>25624.85</v>
      </c>
      <c r="AT63" s="4081">
        <v>0</v>
      </c>
      <c r="AU63" s="4083">
        <v>0</v>
      </c>
      <c r="AV63" s="1365">
        <f t="shared" si="150"/>
        <v>8.6999999999999993</v>
      </c>
      <c r="AW63" s="1414">
        <f t="shared" si="38"/>
        <v>25624.85</v>
      </c>
      <c r="AX63" s="4081">
        <v>1</v>
      </c>
      <c r="AY63" s="4083">
        <v>3909.97</v>
      </c>
      <c r="AZ63" s="4087">
        <f t="shared" si="151"/>
        <v>1</v>
      </c>
      <c r="BA63" s="4140">
        <f t="shared" si="14"/>
        <v>3909.97</v>
      </c>
      <c r="BB63" s="4088">
        <f t="shared" si="152"/>
        <v>3.5</v>
      </c>
      <c r="BC63" s="4085">
        <f t="shared" si="16"/>
        <v>6005.91</v>
      </c>
      <c r="BD63" s="1365">
        <f t="shared" si="153"/>
        <v>9.6999999999999993</v>
      </c>
      <c r="BE63" s="1414">
        <f t="shared" si="18"/>
        <v>29534.82</v>
      </c>
      <c r="BF63" s="1111"/>
      <c r="BG63" s="1111"/>
      <c r="BH63" s="491"/>
      <c r="BI63" s="491"/>
      <c r="BJ63" s="491"/>
      <c r="BQ63" s="491"/>
      <c r="BR63" s="491"/>
      <c r="BS63" s="491"/>
      <c r="BT63" s="491"/>
      <c r="BU63" s="491"/>
      <c r="BV63" s="491"/>
      <c r="BW63" s="491"/>
      <c r="BX63" s="491"/>
      <c r="BY63" s="491"/>
      <c r="BZ63" s="491"/>
      <c r="CA63" s="491"/>
      <c r="CB63" s="491"/>
    </row>
    <row r="64" spans="2:80" s="1242" customFormat="1" ht="21.9" customHeight="1" thickBot="1" x14ac:dyDescent="0.35">
      <c r="B64" s="6076"/>
      <c r="C64" s="4171" t="s">
        <v>1184</v>
      </c>
      <c r="D64" s="4081">
        <v>1</v>
      </c>
      <c r="E64" s="4083">
        <v>3849.69</v>
      </c>
      <c r="F64" s="4081">
        <v>1</v>
      </c>
      <c r="G64" s="4083">
        <v>3726.09</v>
      </c>
      <c r="H64" s="1365">
        <f t="shared" si="0"/>
        <v>2</v>
      </c>
      <c r="I64" s="1366">
        <f t="shared" si="26"/>
        <v>7575.7800000000007</v>
      </c>
      <c r="J64" s="4081">
        <v>1</v>
      </c>
      <c r="K64" s="4083">
        <v>3625</v>
      </c>
      <c r="L64" s="4084">
        <f t="shared" si="19"/>
        <v>3</v>
      </c>
      <c r="M64" s="4139">
        <f t="shared" si="27"/>
        <v>11200.78</v>
      </c>
      <c r="N64" s="4081">
        <v>1</v>
      </c>
      <c r="O64" s="4083">
        <v>3739.07</v>
      </c>
      <c r="P64" s="1414">
        <f t="shared" si="55"/>
        <v>4</v>
      </c>
      <c r="Q64" s="1414">
        <f t="shared" si="28"/>
        <v>14939.85</v>
      </c>
      <c r="R64" s="4081">
        <v>0</v>
      </c>
      <c r="S64" s="4083">
        <v>0</v>
      </c>
      <c r="T64" s="1414">
        <f t="shared" si="2"/>
        <v>4</v>
      </c>
      <c r="U64" s="1414">
        <f t="shared" si="29"/>
        <v>14939.85</v>
      </c>
      <c r="V64" s="4081"/>
      <c r="W64" s="4083">
        <v>67.2</v>
      </c>
      <c r="X64" s="4087">
        <f t="shared" si="3"/>
        <v>1</v>
      </c>
      <c r="Y64" s="4140">
        <f t="shared" si="4"/>
        <v>3806.27</v>
      </c>
      <c r="Z64" s="3472">
        <f t="shared" si="155"/>
        <v>4</v>
      </c>
      <c r="AA64" s="4085">
        <f t="shared" si="30"/>
        <v>15007.050000000001</v>
      </c>
      <c r="AB64" s="4081">
        <v>2</v>
      </c>
      <c r="AC64" s="4083">
        <v>7686.42</v>
      </c>
      <c r="AD64" s="4621">
        <f t="shared" si="6"/>
        <v>6</v>
      </c>
      <c r="AE64" s="4595">
        <f t="shared" si="31"/>
        <v>22693.469999999998</v>
      </c>
      <c r="AF64" s="4613">
        <v>2</v>
      </c>
      <c r="AG64" s="4083">
        <v>7748.16</v>
      </c>
      <c r="AH64" s="1365">
        <f t="shared" si="147"/>
        <v>8</v>
      </c>
      <c r="AI64" s="1414">
        <f t="shared" si="23"/>
        <v>30441.63</v>
      </c>
      <c r="AJ64" s="4081">
        <v>0</v>
      </c>
      <c r="AK64" s="4083">
        <v>3998.8</v>
      </c>
      <c r="AL64" s="4087">
        <f t="shared" si="148"/>
        <v>4</v>
      </c>
      <c r="AM64" s="4139">
        <f t="shared" si="9"/>
        <v>19433.38</v>
      </c>
      <c r="AN64" s="1365">
        <f t="shared" si="141"/>
        <v>8</v>
      </c>
      <c r="AO64" s="1414">
        <f t="shared" si="34"/>
        <v>34440.43</v>
      </c>
      <c r="AP64" s="4081">
        <v>2</v>
      </c>
      <c r="AQ64" s="4083">
        <v>7915.72</v>
      </c>
      <c r="AR64" s="1365">
        <f t="shared" si="149"/>
        <v>10</v>
      </c>
      <c r="AS64" s="1414">
        <f t="shared" si="36"/>
        <v>42356.149999999994</v>
      </c>
      <c r="AT64" s="4081">
        <v>1.5</v>
      </c>
      <c r="AU64" s="4083">
        <v>5500.59</v>
      </c>
      <c r="AV64" s="1365">
        <f t="shared" si="150"/>
        <v>11.5</v>
      </c>
      <c r="AW64" s="1414">
        <f t="shared" si="38"/>
        <v>47856.740000000005</v>
      </c>
      <c r="AX64" s="4081">
        <v>1</v>
      </c>
      <c r="AY64" s="4083">
        <v>3797.69</v>
      </c>
      <c r="AZ64" s="4087">
        <f t="shared" si="151"/>
        <v>4.5</v>
      </c>
      <c r="BA64" s="4140">
        <f t="shared" si="14"/>
        <v>17214</v>
      </c>
      <c r="BB64" s="4088">
        <f t="shared" si="152"/>
        <v>8.5</v>
      </c>
      <c r="BC64" s="4085">
        <f t="shared" si="16"/>
        <v>36647.380000000005</v>
      </c>
      <c r="BD64" s="1365">
        <f t="shared" si="153"/>
        <v>12.5</v>
      </c>
      <c r="BE64" s="1414">
        <f t="shared" si="18"/>
        <v>51654.430000000008</v>
      </c>
      <c r="BF64" s="1111"/>
      <c r="BG64" s="1111"/>
      <c r="BH64" s="491"/>
      <c r="BI64" s="491"/>
      <c r="BJ64" s="491"/>
      <c r="BQ64" s="491"/>
      <c r="BR64" s="491"/>
      <c r="BS64" s="491"/>
      <c r="BT64" s="491"/>
      <c r="BU64" s="491"/>
      <c r="BV64" s="491"/>
      <c r="BW64" s="491"/>
      <c r="BX64" s="491"/>
      <c r="BY64" s="491"/>
      <c r="BZ64" s="491"/>
      <c r="CA64" s="491"/>
      <c r="CB64" s="491"/>
    </row>
    <row r="65" spans="2:80" s="1242" customFormat="1" ht="21.9" customHeight="1" thickBot="1" x14ac:dyDescent="0.35">
      <c r="B65" s="6076"/>
      <c r="C65" s="4171" t="s">
        <v>1228</v>
      </c>
      <c r="D65" s="4081">
        <v>0</v>
      </c>
      <c r="E65" s="4083">
        <v>0</v>
      </c>
      <c r="F65" s="4081">
        <v>0</v>
      </c>
      <c r="G65" s="4083">
        <v>0</v>
      </c>
      <c r="H65" s="1365">
        <f t="shared" si="0"/>
        <v>0</v>
      </c>
      <c r="I65" s="1366">
        <f t="shared" si="26"/>
        <v>0</v>
      </c>
      <c r="J65" s="4081"/>
      <c r="K65" s="4083"/>
      <c r="L65" s="4084">
        <f t="shared" si="19"/>
        <v>0</v>
      </c>
      <c r="M65" s="4139">
        <f t="shared" si="27"/>
        <v>0</v>
      </c>
      <c r="N65" s="4081">
        <v>0</v>
      </c>
      <c r="O65" s="4083">
        <v>0</v>
      </c>
      <c r="P65" s="1414">
        <f t="shared" si="55"/>
        <v>0</v>
      </c>
      <c r="Q65" s="1414">
        <f t="shared" si="28"/>
        <v>0</v>
      </c>
      <c r="R65" s="4081">
        <v>0</v>
      </c>
      <c r="S65" s="4083">
        <v>0</v>
      </c>
      <c r="T65" s="1414">
        <f t="shared" si="2"/>
        <v>0</v>
      </c>
      <c r="U65" s="1414">
        <f t="shared" si="29"/>
        <v>0</v>
      </c>
      <c r="V65" s="4081">
        <v>0</v>
      </c>
      <c r="W65" s="4083">
        <v>0</v>
      </c>
      <c r="X65" s="4087">
        <f t="shared" si="3"/>
        <v>0</v>
      </c>
      <c r="Y65" s="4140">
        <f t="shared" si="4"/>
        <v>0</v>
      </c>
      <c r="Z65" s="3472">
        <f t="shared" si="155"/>
        <v>0</v>
      </c>
      <c r="AA65" s="4085">
        <f t="shared" si="30"/>
        <v>0</v>
      </c>
      <c r="AB65" s="4081">
        <v>0</v>
      </c>
      <c r="AC65" s="4083">
        <v>0</v>
      </c>
      <c r="AD65" s="4621">
        <f t="shared" si="6"/>
        <v>0</v>
      </c>
      <c r="AE65" s="4595">
        <f t="shared" si="31"/>
        <v>0</v>
      </c>
      <c r="AF65" s="4613">
        <v>0</v>
      </c>
      <c r="AG65" s="4083">
        <v>0</v>
      </c>
      <c r="AH65" s="1365">
        <f t="shared" si="147"/>
        <v>0</v>
      </c>
      <c r="AI65" s="1414">
        <f t="shared" si="23"/>
        <v>0</v>
      </c>
      <c r="AJ65" s="4081">
        <v>0</v>
      </c>
      <c r="AK65" s="4083">
        <v>0</v>
      </c>
      <c r="AL65" s="4087">
        <f t="shared" si="148"/>
        <v>0</v>
      </c>
      <c r="AM65" s="4139">
        <f t="shared" si="9"/>
        <v>0</v>
      </c>
      <c r="AN65" s="1365">
        <f t="shared" ref="AN65:AN76" si="156">AH65+AJ65</f>
        <v>0</v>
      </c>
      <c r="AO65" s="1414">
        <f t="shared" si="34"/>
        <v>0</v>
      </c>
      <c r="AP65" s="4081">
        <v>0</v>
      </c>
      <c r="AQ65" s="4083">
        <v>0</v>
      </c>
      <c r="AR65" s="1365">
        <f t="shared" si="149"/>
        <v>0</v>
      </c>
      <c r="AS65" s="1414">
        <f t="shared" si="36"/>
        <v>0</v>
      </c>
      <c r="AT65" s="4081">
        <v>0</v>
      </c>
      <c r="AU65" s="4083">
        <v>0</v>
      </c>
      <c r="AV65" s="1365">
        <f t="shared" si="150"/>
        <v>0</v>
      </c>
      <c r="AW65" s="1414">
        <f t="shared" si="38"/>
        <v>0</v>
      </c>
      <c r="AX65" s="4081">
        <v>0</v>
      </c>
      <c r="AY65" s="4083">
        <v>0</v>
      </c>
      <c r="AZ65" s="4087">
        <f t="shared" si="151"/>
        <v>0</v>
      </c>
      <c r="BA65" s="4140">
        <f t="shared" si="14"/>
        <v>0</v>
      </c>
      <c r="BB65" s="4088">
        <f t="shared" si="152"/>
        <v>0</v>
      </c>
      <c r="BC65" s="4085">
        <f t="shared" si="16"/>
        <v>0</v>
      </c>
      <c r="BD65" s="1365">
        <f t="shared" si="153"/>
        <v>0</v>
      </c>
      <c r="BE65" s="1414">
        <f t="shared" si="18"/>
        <v>0</v>
      </c>
      <c r="BF65" s="1111"/>
      <c r="BG65" s="1111"/>
      <c r="BH65" s="491"/>
      <c r="BI65" s="491"/>
      <c r="BJ65" s="491"/>
      <c r="BQ65" s="491"/>
      <c r="BR65" s="491"/>
      <c r="BS65" s="491"/>
      <c r="BT65" s="491"/>
      <c r="BU65" s="491"/>
      <c r="BV65" s="491"/>
      <c r="BW65" s="491"/>
      <c r="BX65" s="491"/>
      <c r="BY65" s="491"/>
      <c r="BZ65" s="491"/>
      <c r="CA65" s="491"/>
      <c r="CB65" s="491"/>
    </row>
    <row r="66" spans="2:80" s="1242" customFormat="1" ht="21.9" customHeight="1" thickBot="1" x14ac:dyDescent="0.35">
      <c r="B66" s="6076"/>
      <c r="C66" s="4171" t="s">
        <v>1185</v>
      </c>
      <c r="D66" s="4081">
        <v>0</v>
      </c>
      <c r="E66" s="4083">
        <v>0</v>
      </c>
      <c r="F66" s="4081">
        <v>1</v>
      </c>
      <c r="G66" s="4083">
        <v>3701.68</v>
      </c>
      <c r="H66" s="1365">
        <f t="shared" si="0"/>
        <v>1</v>
      </c>
      <c r="I66" s="1366">
        <f t="shared" si="26"/>
        <v>3701.68</v>
      </c>
      <c r="J66" s="4081">
        <v>1.5</v>
      </c>
      <c r="K66" s="4083">
        <v>5747</v>
      </c>
      <c r="L66" s="4084">
        <f t="shared" si="19"/>
        <v>2.5</v>
      </c>
      <c r="M66" s="4139">
        <f t="shared" si="27"/>
        <v>9448.68</v>
      </c>
      <c r="N66" s="4081">
        <v>0.5</v>
      </c>
      <c r="O66" s="4083">
        <v>1959.58</v>
      </c>
      <c r="P66" s="1414">
        <f t="shared" si="55"/>
        <v>3</v>
      </c>
      <c r="Q66" s="1414">
        <f t="shared" si="28"/>
        <v>11408.26</v>
      </c>
      <c r="R66" s="4081">
        <v>1</v>
      </c>
      <c r="S66" s="4083">
        <v>3837</v>
      </c>
      <c r="T66" s="1414">
        <f t="shared" si="2"/>
        <v>4</v>
      </c>
      <c r="U66" s="1414">
        <f t="shared" si="29"/>
        <v>15245.26</v>
      </c>
      <c r="V66" s="4081">
        <v>1</v>
      </c>
      <c r="W66" s="4083">
        <v>3646.95</v>
      </c>
      <c r="X66" s="4087">
        <f t="shared" si="3"/>
        <v>2.5</v>
      </c>
      <c r="Y66" s="4140">
        <f t="shared" si="4"/>
        <v>9443.5299999999988</v>
      </c>
      <c r="Z66" s="3472">
        <f t="shared" si="155"/>
        <v>5</v>
      </c>
      <c r="AA66" s="4085">
        <f t="shared" si="30"/>
        <v>18892.21</v>
      </c>
      <c r="AB66" s="4081">
        <v>1.5</v>
      </c>
      <c r="AC66" s="4083">
        <v>5647.02</v>
      </c>
      <c r="AD66" s="4621">
        <f t="shared" si="6"/>
        <v>6.5</v>
      </c>
      <c r="AE66" s="4595">
        <f t="shared" si="31"/>
        <v>24539.230000000003</v>
      </c>
      <c r="AF66" s="4613">
        <v>1</v>
      </c>
      <c r="AG66" s="4083">
        <v>3919.79</v>
      </c>
      <c r="AH66" s="1365">
        <f t="shared" si="147"/>
        <v>7.5</v>
      </c>
      <c r="AI66" s="1414">
        <f t="shared" si="23"/>
        <v>28459.020000000004</v>
      </c>
      <c r="AJ66" s="4081">
        <v>1</v>
      </c>
      <c r="AK66" s="4083">
        <v>7977.24</v>
      </c>
      <c r="AL66" s="4087">
        <f t="shared" si="148"/>
        <v>3.5</v>
      </c>
      <c r="AM66" s="4139">
        <f t="shared" si="9"/>
        <v>17544.050000000003</v>
      </c>
      <c r="AN66" s="1365">
        <f t="shared" si="156"/>
        <v>8.5</v>
      </c>
      <c r="AO66" s="1414">
        <f t="shared" si="34"/>
        <v>36436.26</v>
      </c>
      <c r="AP66" s="4081">
        <v>1</v>
      </c>
      <c r="AQ66" s="4083">
        <v>3951.48</v>
      </c>
      <c r="AR66" s="1365">
        <f t="shared" si="149"/>
        <v>9.5</v>
      </c>
      <c r="AS66" s="1414">
        <f t="shared" si="36"/>
        <v>40387.74</v>
      </c>
      <c r="AT66" s="4081">
        <v>1</v>
      </c>
      <c r="AU66" s="4083">
        <v>3747.44</v>
      </c>
      <c r="AV66" s="1365">
        <f t="shared" si="150"/>
        <v>10.5</v>
      </c>
      <c r="AW66" s="1414">
        <f t="shared" si="38"/>
        <v>44135.18</v>
      </c>
      <c r="AX66" s="4081">
        <v>2</v>
      </c>
      <c r="AY66" s="4083">
        <v>7697.98</v>
      </c>
      <c r="AZ66" s="4087">
        <f t="shared" si="151"/>
        <v>4</v>
      </c>
      <c r="BA66" s="4140">
        <f t="shared" si="14"/>
        <v>15396.9</v>
      </c>
      <c r="BB66" s="4088">
        <f t="shared" si="152"/>
        <v>7.5</v>
      </c>
      <c r="BC66" s="4085">
        <f t="shared" si="16"/>
        <v>32940.950000000004</v>
      </c>
      <c r="BD66" s="1365">
        <f t="shared" si="153"/>
        <v>12.5</v>
      </c>
      <c r="BE66" s="1414">
        <f t="shared" si="18"/>
        <v>51833.16</v>
      </c>
      <c r="BF66" s="1111"/>
      <c r="BG66" s="1111"/>
      <c r="BH66" s="491"/>
      <c r="BI66" s="491"/>
      <c r="BJ66" s="491"/>
      <c r="BQ66" s="491"/>
      <c r="BR66" s="491"/>
      <c r="BS66" s="491"/>
      <c r="BT66" s="491"/>
      <c r="BU66" s="491"/>
      <c r="BV66" s="491"/>
      <c r="BW66" s="491"/>
      <c r="BX66" s="491"/>
      <c r="BY66" s="491"/>
      <c r="BZ66" s="491"/>
      <c r="CA66" s="491"/>
      <c r="CB66" s="491"/>
    </row>
    <row r="67" spans="2:80" s="1242" customFormat="1" ht="21.9" customHeight="1" thickBot="1" x14ac:dyDescent="0.35">
      <c r="B67" s="6076"/>
      <c r="C67" s="4172" t="s">
        <v>1186</v>
      </c>
      <c r="D67" s="4081">
        <v>2</v>
      </c>
      <c r="E67" s="4083">
        <v>6522.9</v>
      </c>
      <c r="F67" s="4081">
        <v>3.5</v>
      </c>
      <c r="G67" s="4083">
        <v>13647.63</v>
      </c>
      <c r="H67" s="1365">
        <f t="shared" si="0"/>
        <v>5.5</v>
      </c>
      <c r="I67" s="1366">
        <f t="shared" si="26"/>
        <v>20170.53</v>
      </c>
      <c r="J67" s="4081">
        <v>3.5</v>
      </c>
      <c r="K67" s="4083">
        <v>13444</v>
      </c>
      <c r="L67" s="4084">
        <f t="shared" si="19"/>
        <v>9</v>
      </c>
      <c r="M67" s="4139">
        <f t="shared" si="27"/>
        <v>33614.53</v>
      </c>
      <c r="N67" s="4081">
        <v>2.7</v>
      </c>
      <c r="O67" s="4083">
        <v>10099.59</v>
      </c>
      <c r="P67" s="1414">
        <f t="shared" si="55"/>
        <v>11.7</v>
      </c>
      <c r="Q67" s="1414">
        <f t="shared" si="28"/>
        <v>43714.119999999995</v>
      </c>
      <c r="R67" s="4081">
        <v>3</v>
      </c>
      <c r="S67" s="4083">
        <v>11501</v>
      </c>
      <c r="T67" s="1414">
        <f t="shared" si="2"/>
        <v>14.7</v>
      </c>
      <c r="U67" s="1414">
        <f t="shared" si="29"/>
        <v>55215.12</v>
      </c>
      <c r="V67" s="4081">
        <v>3</v>
      </c>
      <c r="W67" s="4083">
        <v>11708.05</v>
      </c>
      <c r="X67" s="4087">
        <f t="shared" si="3"/>
        <v>8.6999999999999993</v>
      </c>
      <c r="Y67" s="4140">
        <f t="shared" si="4"/>
        <v>33308.639999999999</v>
      </c>
      <c r="Z67" s="3472">
        <f t="shared" si="155"/>
        <v>17.7</v>
      </c>
      <c r="AA67" s="4085">
        <f t="shared" si="30"/>
        <v>66923.17</v>
      </c>
      <c r="AB67" s="4081">
        <v>3</v>
      </c>
      <c r="AC67" s="4083">
        <v>11400.75</v>
      </c>
      <c r="AD67" s="4621">
        <f t="shared" si="6"/>
        <v>20.7</v>
      </c>
      <c r="AE67" s="4595">
        <f t="shared" si="31"/>
        <v>78323.92</v>
      </c>
      <c r="AF67" s="4613">
        <v>3</v>
      </c>
      <c r="AG67" s="4083">
        <v>11799.42</v>
      </c>
      <c r="AH67" s="1365">
        <f t="shared" si="147"/>
        <v>23.7</v>
      </c>
      <c r="AI67" s="1414">
        <f t="shared" si="23"/>
        <v>90123.34</v>
      </c>
      <c r="AJ67" s="4081">
        <v>2.5</v>
      </c>
      <c r="AK67" s="4083">
        <v>11473.88</v>
      </c>
      <c r="AL67" s="4087">
        <f t="shared" si="148"/>
        <v>8.5</v>
      </c>
      <c r="AM67" s="4139">
        <f t="shared" si="9"/>
        <v>34674.049999999996</v>
      </c>
      <c r="AN67" s="1365">
        <f t="shared" si="156"/>
        <v>26.2</v>
      </c>
      <c r="AO67" s="1414">
        <f t="shared" si="34"/>
        <v>101597.22</v>
      </c>
      <c r="AP67" s="4081">
        <v>2.5</v>
      </c>
      <c r="AQ67" s="4083">
        <v>9850.5499999999993</v>
      </c>
      <c r="AR67" s="1365">
        <f t="shared" si="149"/>
        <v>28.7</v>
      </c>
      <c r="AS67" s="1414">
        <f t="shared" si="36"/>
        <v>111447.76999999999</v>
      </c>
      <c r="AT67" s="4081">
        <v>2</v>
      </c>
      <c r="AU67" s="4083">
        <v>7800.49</v>
      </c>
      <c r="AV67" s="1365">
        <f t="shared" si="150"/>
        <v>30.7</v>
      </c>
      <c r="AW67" s="1414">
        <f t="shared" si="38"/>
        <v>119248.26</v>
      </c>
      <c r="AX67" s="4081">
        <v>2</v>
      </c>
      <c r="AY67" s="4083">
        <v>7712.18</v>
      </c>
      <c r="AZ67" s="4087">
        <f t="shared" si="151"/>
        <v>6.5</v>
      </c>
      <c r="BA67" s="4140">
        <f t="shared" si="14"/>
        <v>25363.22</v>
      </c>
      <c r="BB67" s="4088">
        <f t="shared" si="152"/>
        <v>15</v>
      </c>
      <c r="BC67" s="4085">
        <f t="shared" si="16"/>
        <v>60037.27</v>
      </c>
      <c r="BD67" s="1365">
        <f t="shared" si="153"/>
        <v>32.700000000000003</v>
      </c>
      <c r="BE67" s="1414">
        <f t="shared" si="18"/>
        <v>126960.44</v>
      </c>
      <c r="BF67" s="1111"/>
      <c r="BG67" s="1111"/>
      <c r="BH67" s="491"/>
      <c r="BI67" s="491"/>
      <c r="BJ67" s="491"/>
      <c r="BQ67" s="491"/>
      <c r="BR67" s="491"/>
      <c r="BS67" s="491"/>
      <c r="BT67" s="491"/>
      <c r="BU67" s="491"/>
      <c r="BV67" s="491"/>
      <c r="BW67" s="491"/>
      <c r="BX67" s="491"/>
      <c r="BY67" s="491"/>
      <c r="BZ67" s="491"/>
      <c r="CA67" s="491"/>
      <c r="CB67" s="491"/>
    </row>
    <row r="68" spans="2:80" s="1242" customFormat="1" ht="21.9" customHeight="1" thickBot="1" x14ac:dyDescent="0.35">
      <c r="B68" s="6076"/>
      <c r="C68" s="4172" t="s">
        <v>1187</v>
      </c>
      <c r="D68" s="4081">
        <v>0</v>
      </c>
      <c r="E68" s="4083">
        <v>0</v>
      </c>
      <c r="F68" s="4081">
        <v>0</v>
      </c>
      <c r="G68" s="4083">
        <v>0</v>
      </c>
      <c r="H68" s="1365">
        <f t="shared" si="0"/>
        <v>0</v>
      </c>
      <c r="I68" s="1366">
        <f t="shared" si="26"/>
        <v>0</v>
      </c>
      <c r="J68" s="4081"/>
      <c r="K68" s="4083"/>
      <c r="L68" s="4084">
        <f t="shared" si="19"/>
        <v>0</v>
      </c>
      <c r="M68" s="4139">
        <f t="shared" si="27"/>
        <v>0</v>
      </c>
      <c r="N68" s="4081">
        <v>0.4</v>
      </c>
      <c r="O68" s="4083">
        <v>1487.75</v>
      </c>
      <c r="P68" s="1414">
        <f t="shared" si="55"/>
        <v>0.4</v>
      </c>
      <c r="Q68" s="1414">
        <f t="shared" si="28"/>
        <v>1487.75</v>
      </c>
      <c r="R68" s="4081">
        <v>1</v>
      </c>
      <c r="S68" s="4083">
        <v>3983</v>
      </c>
      <c r="T68" s="1414">
        <f t="shared" si="2"/>
        <v>1.4</v>
      </c>
      <c r="U68" s="1414">
        <f t="shared" si="29"/>
        <v>5470.75</v>
      </c>
      <c r="V68" s="4081">
        <v>0</v>
      </c>
      <c r="W68" s="4083">
        <v>0</v>
      </c>
      <c r="X68" s="4087">
        <f t="shared" si="3"/>
        <v>1.4</v>
      </c>
      <c r="Y68" s="4140">
        <f t="shared" si="4"/>
        <v>5470.75</v>
      </c>
      <c r="Z68" s="3472">
        <f t="shared" si="155"/>
        <v>1.4</v>
      </c>
      <c r="AA68" s="4085">
        <f t="shared" si="30"/>
        <v>5470.75</v>
      </c>
      <c r="AB68" s="4081">
        <v>0</v>
      </c>
      <c r="AC68" s="4083">
        <v>0</v>
      </c>
      <c r="AD68" s="4621">
        <f t="shared" si="6"/>
        <v>1.4</v>
      </c>
      <c r="AE68" s="4595">
        <f t="shared" si="31"/>
        <v>5470.75</v>
      </c>
      <c r="AF68" s="4613">
        <v>0</v>
      </c>
      <c r="AG68" s="4083">
        <v>0</v>
      </c>
      <c r="AH68" s="1365">
        <f t="shared" si="147"/>
        <v>1.4</v>
      </c>
      <c r="AI68" s="1414">
        <f t="shared" si="23"/>
        <v>5470.75</v>
      </c>
      <c r="AJ68" s="4081">
        <v>0</v>
      </c>
      <c r="AK68" s="4083">
        <v>0</v>
      </c>
      <c r="AL68" s="4087">
        <f t="shared" si="148"/>
        <v>0</v>
      </c>
      <c r="AM68" s="4139">
        <f t="shared" si="9"/>
        <v>0</v>
      </c>
      <c r="AN68" s="1365">
        <f t="shared" si="156"/>
        <v>1.4</v>
      </c>
      <c r="AO68" s="1414">
        <f t="shared" si="34"/>
        <v>5470.75</v>
      </c>
      <c r="AP68" s="4081">
        <v>0</v>
      </c>
      <c r="AQ68" s="4083">
        <v>0</v>
      </c>
      <c r="AR68" s="1365">
        <f t="shared" si="149"/>
        <v>1.4</v>
      </c>
      <c r="AS68" s="1414">
        <f t="shared" si="36"/>
        <v>5470.75</v>
      </c>
      <c r="AT68" s="4081">
        <v>0</v>
      </c>
      <c r="AU68" s="4083">
        <v>0</v>
      </c>
      <c r="AV68" s="1365">
        <f t="shared" si="150"/>
        <v>1.4</v>
      </c>
      <c r="AW68" s="1414">
        <f t="shared" si="38"/>
        <v>5470.75</v>
      </c>
      <c r="AX68" s="4081">
        <v>0</v>
      </c>
      <c r="AY68" s="4083">
        <v>0</v>
      </c>
      <c r="AZ68" s="4087">
        <f t="shared" si="151"/>
        <v>0</v>
      </c>
      <c r="BA68" s="4140">
        <f t="shared" si="14"/>
        <v>0</v>
      </c>
      <c r="BB68" s="4088">
        <f t="shared" si="152"/>
        <v>0</v>
      </c>
      <c r="BC68" s="4085">
        <f t="shared" si="16"/>
        <v>0</v>
      </c>
      <c r="BD68" s="1365">
        <f t="shared" si="153"/>
        <v>1.4</v>
      </c>
      <c r="BE68" s="1414">
        <f t="shared" si="18"/>
        <v>5470.75</v>
      </c>
      <c r="BF68" s="1111"/>
      <c r="BG68" s="1111"/>
      <c r="BH68" s="491"/>
      <c r="BI68" s="491"/>
      <c r="BJ68" s="491"/>
      <c r="BQ68" s="491"/>
      <c r="BR68" s="491"/>
      <c r="BS68" s="491"/>
      <c r="BT68" s="491"/>
      <c r="BU68" s="491"/>
      <c r="BV68" s="491"/>
      <c r="BW68" s="491"/>
      <c r="BX68" s="491"/>
      <c r="BY68" s="491"/>
      <c r="BZ68" s="491"/>
      <c r="CA68" s="491"/>
      <c r="CB68" s="491"/>
    </row>
    <row r="69" spans="2:80" s="1242" customFormat="1" ht="21.9" customHeight="1" thickBot="1" x14ac:dyDescent="0.35">
      <c r="B69" s="6076"/>
      <c r="C69" s="4172" t="s">
        <v>1301</v>
      </c>
      <c r="D69" s="4081">
        <v>2</v>
      </c>
      <c r="E69" s="4083">
        <v>7234.73</v>
      </c>
      <c r="F69" s="4081">
        <v>0</v>
      </c>
      <c r="G69" s="4083">
        <v>0</v>
      </c>
      <c r="H69" s="1365">
        <f t="shared" si="0"/>
        <v>2</v>
      </c>
      <c r="I69" s="1366">
        <f t="shared" si="26"/>
        <v>7234.73</v>
      </c>
      <c r="J69" s="4081">
        <v>1</v>
      </c>
      <c r="K69" s="4083">
        <v>3871</v>
      </c>
      <c r="L69" s="4084">
        <f t="shared" si="19"/>
        <v>3</v>
      </c>
      <c r="M69" s="4139">
        <f t="shared" si="27"/>
        <v>11105.73</v>
      </c>
      <c r="N69" s="4081">
        <v>0</v>
      </c>
      <c r="O69" s="4083">
        <v>0</v>
      </c>
      <c r="P69" s="1414">
        <f t="shared" si="55"/>
        <v>3</v>
      </c>
      <c r="Q69" s="1414">
        <f t="shared" si="28"/>
        <v>11105.73</v>
      </c>
      <c r="R69" s="4081">
        <v>0</v>
      </c>
      <c r="S69" s="4083">
        <v>0</v>
      </c>
      <c r="T69" s="1414">
        <f t="shared" si="2"/>
        <v>3</v>
      </c>
      <c r="U69" s="1414">
        <f t="shared" si="29"/>
        <v>11105.73</v>
      </c>
      <c r="V69" s="4081">
        <v>1</v>
      </c>
      <c r="W69" s="4083">
        <v>4044.42</v>
      </c>
      <c r="X69" s="4087">
        <f t="shared" si="3"/>
        <v>1</v>
      </c>
      <c r="Y69" s="4140">
        <f t="shared" si="4"/>
        <v>4044.42</v>
      </c>
      <c r="Z69" s="3472">
        <f t="shared" si="155"/>
        <v>4</v>
      </c>
      <c r="AA69" s="4085">
        <f t="shared" si="30"/>
        <v>15150.15</v>
      </c>
      <c r="AB69" s="4081">
        <v>2</v>
      </c>
      <c r="AC69" s="4083">
        <v>7694.52</v>
      </c>
      <c r="AD69" s="4621">
        <f t="shared" si="6"/>
        <v>6</v>
      </c>
      <c r="AE69" s="4595">
        <f t="shared" si="31"/>
        <v>22844.67</v>
      </c>
      <c r="AF69" s="4613">
        <v>1</v>
      </c>
      <c r="AG69" s="4083">
        <v>3950.91</v>
      </c>
      <c r="AH69" s="1365">
        <f t="shared" si="147"/>
        <v>7</v>
      </c>
      <c r="AI69" s="1414">
        <f t="shared" si="23"/>
        <v>26795.579999999998</v>
      </c>
      <c r="AJ69" s="4081">
        <v>0.5</v>
      </c>
      <c r="AK69" s="4083">
        <v>3822.69</v>
      </c>
      <c r="AL69" s="4087">
        <f t="shared" si="148"/>
        <v>3.5</v>
      </c>
      <c r="AM69" s="4139">
        <f t="shared" si="9"/>
        <v>15468.12</v>
      </c>
      <c r="AN69" s="1365">
        <f t="shared" si="156"/>
        <v>7.5</v>
      </c>
      <c r="AO69" s="1414">
        <f t="shared" si="34"/>
        <v>30618.27</v>
      </c>
      <c r="AP69" s="4081">
        <v>0</v>
      </c>
      <c r="AQ69" s="4083">
        <v>0</v>
      </c>
      <c r="AR69" s="1365">
        <f t="shared" si="149"/>
        <v>7.5</v>
      </c>
      <c r="AS69" s="1414">
        <f t="shared" si="36"/>
        <v>30618.27</v>
      </c>
      <c r="AT69" s="4081">
        <v>1.3</v>
      </c>
      <c r="AU69" s="4083">
        <v>5051.8900000000003</v>
      </c>
      <c r="AV69" s="1365">
        <f t="shared" si="150"/>
        <v>8.8000000000000007</v>
      </c>
      <c r="AW69" s="1414">
        <f t="shared" si="38"/>
        <v>35670.160000000003</v>
      </c>
      <c r="AX69" s="4081">
        <v>1.5</v>
      </c>
      <c r="AY69" s="4083">
        <v>5722.04</v>
      </c>
      <c r="AZ69" s="4087">
        <f t="shared" si="151"/>
        <v>2.8</v>
      </c>
      <c r="BA69" s="4140">
        <f t="shared" si="14"/>
        <v>10773.93</v>
      </c>
      <c r="BB69" s="4088">
        <f t="shared" si="152"/>
        <v>6.3</v>
      </c>
      <c r="BC69" s="4085">
        <f t="shared" si="16"/>
        <v>26242.050000000003</v>
      </c>
      <c r="BD69" s="1365">
        <f t="shared" si="153"/>
        <v>10.3</v>
      </c>
      <c r="BE69" s="1414">
        <f t="shared" si="18"/>
        <v>41392.200000000004</v>
      </c>
      <c r="BF69" s="1111"/>
      <c r="BG69" s="1111"/>
      <c r="BH69" s="491"/>
      <c r="BI69" s="491"/>
      <c r="BJ69" s="491"/>
      <c r="BQ69" s="491"/>
      <c r="BR69" s="491"/>
      <c r="BS69" s="491"/>
      <c r="BT69" s="491"/>
      <c r="BU69" s="491"/>
      <c r="BV69" s="491"/>
      <c r="BW69" s="491"/>
      <c r="BX69" s="491"/>
      <c r="BY69" s="491"/>
      <c r="BZ69" s="491"/>
      <c r="CA69" s="491"/>
      <c r="CB69" s="491"/>
    </row>
    <row r="70" spans="2:80" s="1242" customFormat="1" ht="21.9" customHeight="1" x14ac:dyDescent="0.3">
      <c r="B70" s="6076"/>
      <c r="C70" s="4172" t="s">
        <v>1188</v>
      </c>
      <c r="D70" s="4081">
        <v>0</v>
      </c>
      <c r="E70" s="4083">
        <v>0</v>
      </c>
      <c r="F70" s="4081">
        <v>0</v>
      </c>
      <c r="G70" s="4083">
        <v>0</v>
      </c>
      <c r="H70" s="1365">
        <f t="shared" si="0"/>
        <v>0</v>
      </c>
      <c r="I70" s="1366">
        <f t="shared" si="26"/>
        <v>0</v>
      </c>
      <c r="J70" s="4081">
        <v>0</v>
      </c>
      <c r="K70" s="4083">
        <v>0</v>
      </c>
      <c r="L70" s="4084">
        <f t="shared" si="19"/>
        <v>0</v>
      </c>
      <c r="M70" s="4139">
        <f t="shared" si="27"/>
        <v>0</v>
      </c>
      <c r="N70" s="4081">
        <v>0</v>
      </c>
      <c r="O70" s="4083">
        <v>0</v>
      </c>
      <c r="P70" s="1414">
        <f t="shared" si="55"/>
        <v>0</v>
      </c>
      <c r="Q70" s="1414">
        <f t="shared" si="28"/>
        <v>0</v>
      </c>
      <c r="R70" s="4081">
        <v>0</v>
      </c>
      <c r="S70" s="4083">
        <v>0</v>
      </c>
      <c r="T70" s="1414">
        <f t="shared" si="2"/>
        <v>0</v>
      </c>
      <c r="U70" s="1414">
        <f t="shared" si="29"/>
        <v>0</v>
      </c>
      <c r="V70" s="4081">
        <v>0</v>
      </c>
      <c r="W70" s="4083">
        <v>0</v>
      </c>
      <c r="X70" s="4087">
        <f t="shared" si="3"/>
        <v>0</v>
      </c>
      <c r="Y70" s="4140">
        <f t="shared" si="4"/>
        <v>0</v>
      </c>
      <c r="Z70" s="3472">
        <f t="shared" si="155"/>
        <v>0</v>
      </c>
      <c r="AA70" s="4085">
        <f t="shared" si="30"/>
        <v>0</v>
      </c>
      <c r="AB70" s="4081">
        <v>0</v>
      </c>
      <c r="AC70" s="4083">
        <v>0</v>
      </c>
      <c r="AD70" s="4621">
        <f t="shared" si="6"/>
        <v>0</v>
      </c>
      <c r="AE70" s="4595">
        <f t="shared" si="31"/>
        <v>0</v>
      </c>
      <c r="AF70" s="4613">
        <v>0</v>
      </c>
      <c r="AG70" s="4083">
        <v>0</v>
      </c>
      <c r="AH70" s="1365">
        <f t="shared" si="147"/>
        <v>0</v>
      </c>
      <c r="AI70" s="1414">
        <f t="shared" si="23"/>
        <v>0</v>
      </c>
      <c r="AJ70" s="4081">
        <v>0</v>
      </c>
      <c r="AK70" s="4083">
        <v>0</v>
      </c>
      <c r="AL70" s="4087">
        <f t="shared" si="148"/>
        <v>0</v>
      </c>
      <c r="AM70" s="4139">
        <f t="shared" si="9"/>
        <v>0</v>
      </c>
      <c r="AN70" s="1365">
        <f t="shared" si="156"/>
        <v>0</v>
      </c>
      <c r="AO70" s="1414">
        <f t="shared" si="34"/>
        <v>0</v>
      </c>
      <c r="AP70" s="4081">
        <v>0</v>
      </c>
      <c r="AQ70" s="4083">
        <v>0</v>
      </c>
      <c r="AR70" s="1365">
        <f t="shared" si="149"/>
        <v>0</v>
      </c>
      <c r="AS70" s="1414">
        <f t="shared" si="36"/>
        <v>0</v>
      </c>
      <c r="AT70" s="4081">
        <v>0</v>
      </c>
      <c r="AU70" s="4083">
        <v>0</v>
      </c>
      <c r="AV70" s="1365">
        <f t="shared" si="150"/>
        <v>0</v>
      </c>
      <c r="AW70" s="1414">
        <f t="shared" si="38"/>
        <v>0</v>
      </c>
      <c r="AX70" s="4081">
        <v>0</v>
      </c>
      <c r="AY70" s="4083">
        <v>0</v>
      </c>
      <c r="AZ70" s="4087">
        <f t="shared" si="151"/>
        <v>0</v>
      </c>
      <c r="BA70" s="4140">
        <f t="shared" si="14"/>
        <v>0</v>
      </c>
      <c r="BB70" s="4088">
        <f t="shared" si="152"/>
        <v>0</v>
      </c>
      <c r="BC70" s="4085">
        <f t="shared" si="16"/>
        <v>0</v>
      </c>
      <c r="BD70" s="1365">
        <f t="shared" si="153"/>
        <v>0</v>
      </c>
      <c r="BE70" s="1414">
        <f t="shared" si="18"/>
        <v>0</v>
      </c>
      <c r="BF70" s="1111"/>
      <c r="BG70" s="1111"/>
      <c r="BH70" s="491"/>
      <c r="BI70" s="491"/>
      <c r="BJ70" s="491"/>
      <c r="BQ70" s="491"/>
      <c r="BR70" s="491"/>
      <c r="BS70" s="491"/>
      <c r="BT70" s="491"/>
      <c r="BU70" s="491"/>
      <c r="BV70" s="491"/>
      <c r="BW70" s="491"/>
      <c r="BX70" s="491"/>
      <c r="BY70" s="491"/>
      <c r="BZ70" s="491"/>
      <c r="CA70" s="491"/>
      <c r="CB70" s="491"/>
    </row>
    <row r="71" spans="2:80" s="1242" customFormat="1" ht="21.9" customHeight="1" thickBot="1" x14ac:dyDescent="0.35">
      <c r="B71" s="6076"/>
      <c r="C71" s="4173" t="s">
        <v>2</v>
      </c>
      <c r="D71" s="4163">
        <f t="shared" ref="D71:E71" si="157">SUM(D61:D70)</f>
        <v>12</v>
      </c>
      <c r="E71" s="4163">
        <f t="shared" si="157"/>
        <v>44028.349999999991</v>
      </c>
      <c r="F71" s="4163">
        <f t="shared" ref="F71:BE71" si="158">SUM(F61:F70)</f>
        <v>16</v>
      </c>
      <c r="G71" s="4163">
        <f t="shared" si="158"/>
        <v>62280.12999999999</v>
      </c>
      <c r="H71" s="4163">
        <f t="shared" si="158"/>
        <v>28</v>
      </c>
      <c r="I71" s="4163">
        <f t="shared" si="158"/>
        <v>106308.48</v>
      </c>
      <c r="J71" s="4163">
        <f t="shared" si="158"/>
        <v>15</v>
      </c>
      <c r="K71" s="4163">
        <f t="shared" si="158"/>
        <v>56045</v>
      </c>
      <c r="L71" s="4163">
        <f t="shared" si="158"/>
        <v>40</v>
      </c>
      <c r="M71" s="4163">
        <f t="shared" si="158"/>
        <v>162353.48000000001</v>
      </c>
      <c r="N71" s="4163">
        <f t="shared" si="158"/>
        <v>13.000000000000002</v>
      </c>
      <c r="O71" s="4163">
        <f t="shared" si="158"/>
        <v>48759.020000000004</v>
      </c>
      <c r="P71" s="4163">
        <f t="shared" si="158"/>
        <v>53.000000000000007</v>
      </c>
      <c r="Q71" s="4163">
        <f t="shared" si="158"/>
        <v>211112.50000000003</v>
      </c>
      <c r="R71" s="4163">
        <f t="shared" si="158"/>
        <v>14</v>
      </c>
      <c r="S71" s="4163">
        <f t="shared" si="158"/>
        <v>53446</v>
      </c>
      <c r="T71" s="4163">
        <f t="shared" si="158"/>
        <v>67.000000000000014</v>
      </c>
      <c r="U71" s="4163">
        <f t="shared" si="158"/>
        <v>264558.5</v>
      </c>
      <c r="V71" s="4163">
        <f t="shared" si="158"/>
        <v>13</v>
      </c>
      <c r="W71" s="4163">
        <f t="shared" si="158"/>
        <v>50262.84</v>
      </c>
      <c r="X71" s="4163">
        <f t="shared" si="158"/>
        <v>39.999999999999993</v>
      </c>
      <c r="Y71" s="4163">
        <f t="shared" si="158"/>
        <v>152467.86000000002</v>
      </c>
      <c r="Z71" s="4163">
        <f t="shared" si="158"/>
        <v>80.000000000000014</v>
      </c>
      <c r="AA71" s="4163">
        <f t="shared" si="158"/>
        <v>314821.34000000003</v>
      </c>
      <c r="AB71" s="4163">
        <f t="shared" si="158"/>
        <v>13.9</v>
      </c>
      <c r="AC71" s="4163">
        <f t="shared" si="158"/>
        <v>53043.600000000006</v>
      </c>
      <c r="AD71" s="4631">
        <f t="shared" si="158"/>
        <v>93.90000000000002</v>
      </c>
      <c r="AE71" s="4524">
        <f t="shared" si="158"/>
        <v>367864.94</v>
      </c>
      <c r="AF71" s="4611">
        <f t="shared" si="158"/>
        <v>13</v>
      </c>
      <c r="AG71" s="4163">
        <f t="shared" ref="AG71" si="159">SUM(AG61:AG70)</f>
        <v>50076.03</v>
      </c>
      <c r="AH71" s="4163">
        <f t="shared" si="158"/>
        <v>103.90000000000002</v>
      </c>
      <c r="AI71" s="4163">
        <f t="shared" si="23"/>
        <v>417940.97</v>
      </c>
      <c r="AJ71" s="4163">
        <f t="shared" si="158"/>
        <v>10.9</v>
      </c>
      <c r="AK71" s="4163">
        <f t="shared" si="158"/>
        <v>46079.5</v>
      </c>
      <c r="AL71" s="4163">
        <f t="shared" si="158"/>
        <v>37.799999999999997</v>
      </c>
      <c r="AM71" s="4163">
        <f t="shared" si="158"/>
        <v>149199.13</v>
      </c>
      <c r="AN71" s="4163">
        <f t="shared" si="158"/>
        <v>114.80000000000001</v>
      </c>
      <c r="AO71" s="4163">
        <f t="shared" si="158"/>
        <v>464020.47000000009</v>
      </c>
      <c r="AP71" s="4163">
        <f t="shared" ref="AP71:AQ71" si="160">SUM(AP61:AP70)</f>
        <v>11</v>
      </c>
      <c r="AQ71" s="4163">
        <f t="shared" si="160"/>
        <v>43036.130000000005</v>
      </c>
      <c r="AR71" s="4163">
        <f t="shared" si="158"/>
        <v>125.80000000000001</v>
      </c>
      <c r="AS71" s="4163">
        <f t="shared" si="158"/>
        <v>507056.6</v>
      </c>
      <c r="AT71" s="4163">
        <f t="shared" si="158"/>
        <v>13</v>
      </c>
      <c r="AU71" s="4163">
        <f t="shared" si="158"/>
        <v>49461.98</v>
      </c>
      <c r="AV71" s="4163">
        <f t="shared" si="158"/>
        <v>138.80000000000001</v>
      </c>
      <c r="AW71" s="4163">
        <f t="shared" si="158"/>
        <v>556518.57999999996</v>
      </c>
      <c r="AX71" s="4163">
        <f t="shared" ref="AX71:AY71" si="161">SUM(AX61:AX70)</f>
        <v>13</v>
      </c>
      <c r="AY71" s="4163">
        <f t="shared" si="161"/>
        <v>50124.729999999996</v>
      </c>
      <c r="AZ71" s="4163">
        <f t="shared" si="158"/>
        <v>37</v>
      </c>
      <c r="BA71" s="4163">
        <f t="shared" si="158"/>
        <v>142622.83999999997</v>
      </c>
      <c r="BB71" s="4163">
        <f t="shared" si="158"/>
        <v>74.8</v>
      </c>
      <c r="BC71" s="4163">
        <f t="shared" si="158"/>
        <v>291821.96999999997</v>
      </c>
      <c r="BD71" s="4163">
        <f t="shared" si="158"/>
        <v>151.80000000000004</v>
      </c>
      <c r="BE71" s="4163">
        <f t="shared" si="158"/>
        <v>606643.31000000006</v>
      </c>
      <c r="BF71" s="1111"/>
      <c r="BG71" s="1111"/>
      <c r="BH71" s="491"/>
      <c r="BI71" s="491"/>
      <c r="BJ71" s="491"/>
      <c r="BQ71" s="491"/>
      <c r="BR71" s="491"/>
      <c r="BS71" s="491"/>
      <c r="BT71" s="491"/>
      <c r="BU71" s="491"/>
      <c r="BV71" s="491"/>
      <c r="BW71" s="491"/>
      <c r="BX71" s="491"/>
      <c r="BY71" s="491"/>
      <c r="BZ71" s="491"/>
      <c r="CA71" s="491"/>
      <c r="CB71" s="491"/>
    </row>
    <row r="72" spans="2:80" s="1242" customFormat="1" ht="21.9" customHeight="1" thickBot="1" x14ac:dyDescent="0.35">
      <c r="B72" s="6076"/>
      <c r="C72" s="4172" t="s">
        <v>1189</v>
      </c>
      <c r="D72" s="4081">
        <v>9</v>
      </c>
      <c r="E72" s="4082">
        <v>40361.949999999997</v>
      </c>
      <c r="F72" s="4081">
        <v>12</v>
      </c>
      <c r="G72" s="4082">
        <v>46902.98</v>
      </c>
      <c r="H72" s="1365">
        <f t="shared" si="0"/>
        <v>21</v>
      </c>
      <c r="I72" s="1366">
        <f t="shared" si="26"/>
        <v>87264.93</v>
      </c>
      <c r="J72" s="4081">
        <v>15</v>
      </c>
      <c r="K72" s="4083">
        <v>56046</v>
      </c>
      <c r="L72" s="4084">
        <f t="shared" si="19"/>
        <v>36</v>
      </c>
      <c r="M72" s="4139">
        <f t="shared" si="27"/>
        <v>143310.93</v>
      </c>
      <c r="N72" s="4081">
        <v>12</v>
      </c>
      <c r="O72" s="4083">
        <v>45011.32</v>
      </c>
      <c r="P72" s="1414">
        <f t="shared" si="55"/>
        <v>48</v>
      </c>
      <c r="Q72" s="1414">
        <f t="shared" si="28"/>
        <v>188322.25</v>
      </c>
      <c r="R72" s="4081">
        <v>13</v>
      </c>
      <c r="S72" s="4083">
        <v>49463</v>
      </c>
      <c r="T72" s="1414">
        <f t="shared" si="2"/>
        <v>61</v>
      </c>
      <c r="U72" s="1414">
        <f t="shared" si="29"/>
        <v>237785.25</v>
      </c>
      <c r="V72" s="4081">
        <v>13</v>
      </c>
      <c r="W72" s="4083">
        <v>50262.84</v>
      </c>
      <c r="X72" s="4087">
        <f t="shared" si="3"/>
        <v>38</v>
      </c>
      <c r="Y72" s="4140">
        <f t="shared" si="4"/>
        <v>144737.16</v>
      </c>
      <c r="Z72" s="4088">
        <f t="shared" si="5"/>
        <v>74</v>
      </c>
      <c r="AA72" s="4085">
        <f t="shared" si="30"/>
        <v>288048.09000000003</v>
      </c>
      <c r="AB72" s="4081">
        <v>13</v>
      </c>
      <c r="AC72" s="4083">
        <v>49019.6</v>
      </c>
      <c r="AD72" s="4621">
        <f t="shared" si="6"/>
        <v>87</v>
      </c>
      <c r="AE72" s="4595">
        <f t="shared" si="31"/>
        <v>337067.69</v>
      </c>
      <c r="AF72" s="4613">
        <v>12</v>
      </c>
      <c r="AG72" s="4083">
        <v>46055.03</v>
      </c>
      <c r="AH72" s="1365">
        <f t="shared" ref="AH72:AH76" si="162">AD72+AF72</f>
        <v>99</v>
      </c>
      <c r="AI72" s="1414">
        <f t="shared" si="23"/>
        <v>383122.72000000003</v>
      </c>
      <c r="AJ72" s="4081">
        <v>7</v>
      </c>
      <c r="AK72" s="4083">
        <v>42080.7</v>
      </c>
      <c r="AL72" s="4087">
        <f t="shared" ref="AL72:AL76" si="163">+AB72+AF72+AJ72</f>
        <v>32</v>
      </c>
      <c r="AM72" s="4139">
        <f t="shared" si="9"/>
        <v>137155.33000000002</v>
      </c>
      <c r="AN72" s="1365">
        <f t="shared" si="156"/>
        <v>106</v>
      </c>
      <c r="AO72" s="1414">
        <f t="shared" si="34"/>
        <v>425203.42</v>
      </c>
      <c r="AP72" s="4081">
        <v>10</v>
      </c>
      <c r="AQ72" s="4083">
        <v>39069.93</v>
      </c>
      <c r="AR72" s="1365">
        <f t="shared" ref="AR72:AR76" si="164">AN72+AP72</f>
        <v>116</v>
      </c>
      <c r="AS72" s="1414">
        <f t="shared" si="36"/>
        <v>464273.35</v>
      </c>
      <c r="AT72" s="4081">
        <v>12</v>
      </c>
      <c r="AU72" s="4083">
        <v>45560.98</v>
      </c>
      <c r="AV72" s="1365">
        <f t="shared" ref="AV72:AV76" si="165">AR72+AT72</f>
        <v>128</v>
      </c>
      <c r="AW72" s="1414">
        <f t="shared" si="38"/>
        <v>509834.33</v>
      </c>
      <c r="AX72" s="4081">
        <v>11</v>
      </c>
      <c r="AY72" s="4083">
        <v>42140.93</v>
      </c>
      <c r="AZ72" s="4087">
        <f t="shared" ref="AZ72:AZ76" si="166">+AP72+AT72+AX72</f>
        <v>33</v>
      </c>
      <c r="BA72" s="4140">
        <f t="shared" si="14"/>
        <v>126771.84</v>
      </c>
      <c r="BB72" s="4088">
        <f t="shared" ref="BB72:BB76" si="167">AL72+AZ72</f>
        <v>65</v>
      </c>
      <c r="BC72" s="4085">
        <f t="shared" si="16"/>
        <v>263927.17000000004</v>
      </c>
      <c r="BD72" s="1365">
        <f t="shared" ref="BD72:BD76" si="168">AV72+AX72</f>
        <v>139</v>
      </c>
      <c r="BE72" s="1414">
        <f t="shared" si="18"/>
        <v>551975.26</v>
      </c>
      <c r="BF72" s="1111"/>
      <c r="BG72" s="1111"/>
      <c r="BH72" s="491"/>
      <c r="BI72" s="491"/>
      <c r="BJ72" s="491"/>
      <c r="BQ72" s="491"/>
      <c r="BR72" s="491"/>
      <c r="BS72" s="491"/>
      <c r="BT72" s="491"/>
      <c r="BU72" s="491"/>
      <c r="BV72" s="491"/>
      <c r="BW72" s="491"/>
      <c r="BX72" s="491"/>
      <c r="BY72" s="491"/>
      <c r="BZ72" s="491"/>
      <c r="CA72" s="491"/>
      <c r="CB72" s="491"/>
    </row>
    <row r="73" spans="2:80" s="1242" customFormat="1" ht="21.9" customHeight="1" thickBot="1" x14ac:dyDescent="0.35">
      <c r="B73" s="6076"/>
      <c r="C73" s="4172" t="s">
        <v>1190</v>
      </c>
      <c r="D73" s="4081">
        <v>1</v>
      </c>
      <c r="E73" s="4082">
        <v>3666.4</v>
      </c>
      <c r="F73" s="4081">
        <v>4</v>
      </c>
      <c r="G73" s="4082">
        <v>15377.15</v>
      </c>
      <c r="H73" s="1365">
        <f t="shared" si="0"/>
        <v>5</v>
      </c>
      <c r="I73" s="1366">
        <f t="shared" si="26"/>
        <v>19043.55</v>
      </c>
      <c r="J73" s="4081">
        <v>0</v>
      </c>
      <c r="K73" s="4083">
        <v>0</v>
      </c>
      <c r="L73" s="4084">
        <f t="shared" si="19"/>
        <v>5</v>
      </c>
      <c r="M73" s="4139">
        <f t="shared" si="27"/>
        <v>19043.55</v>
      </c>
      <c r="N73" s="4081">
        <v>1</v>
      </c>
      <c r="O73" s="4083">
        <v>3747.7</v>
      </c>
      <c r="P73" s="1414">
        <f t="shared" si="55"/>
        <v>6</v>
      </c>
      <c r="Q73" s="1414">
        <f t="shared" si="28"/>
        <v>22791.25</v>
      </c>
      <c r="R73" s="4081">
        <v>1</v>
      </c>
      <c r="S73" s="4083">
        <v>3983</v>
      </c>
      <c r="T73" s="1414">
        <f t="shared" si="2"/>
        <v>7</v>
      </c>
      <c r="U73" s="1414">
        <f t="shared" si="29"/>
        <v>26774.25</v>
      </c>
      <c r="V73" s="4081">
        <v>0</v>
      </c>
      <c r="W73" s="4083">
        <v>0</v>
      </c>
      <c r="X73" s="4087">
        <f t="shared" si="3"/>
        <v>2</v>
      </c>
      <c r="Y73" s="4140">
        <f t="shared" si="4"/>
        <v>7730.7</v>
      </c>
      <c r="Z73" s="4088">
        <f t="shared" si="5"/>
        <v>7</v>
      </c>
      <c r="AA73" s="4085">
        <f t="shared" si="30"/>
        <v>26774.25</v>
      </c>
      <c r="AB73" s="4081">
        <v>1</v>
      </c>
      <c r="AC73" s="4083">
        <v>4024</v>
      </c>
      <c r="AD73" s="4621">
        <f t="shared" si="6"/>
        <v>8</v>
      </c>
      <c r="AE73" s="4595">
        <f t="shared" si="31"/>
        <v>30798.25</v>
      </c>
      <c r="AF73" s="4613">
        <v>1</v>
      </c>
      <c r="AG73" s="4083">
        <v>4021</v>
      </c>
      <c r="AH73" s="1365">
        <f t="shared" si="162"/>
        <v>9</v>
      </c>
      <c r="AI73" s="1414">
        <f t="shared" si="23"/>
        <v>34819.25</v>
      </c>
      <c r="AJ73" s="4081">
        <v>5</v>
      </c>
      <c r="AK73" s="4083">
        <v>3998.8</v>
      </c>
      <c r="AL73" s="4087">
        <f t="shared" si="163"/>
        <v>7</v>
      </c>
      <c r="AM73" s="4139">
        <f t="shared" si="9"/>
        <v>12043.8</v>
      </c>
      <c r="AN73" s="1365">
        <f t="shared" si="156"/>
        <v>14</v>
      </c>
      <c r="AO73" s="1414">
        <f t="shared" si="34"/>
        <v>38818.050000000003</v>
      </c>
      <c r="AP73" s="4081">
        <v>1</v>
      </c>
      <c r="AQ73" s="4083">
        <v>3966.2</v>
      </c>
      <c r="AR73" s="1365">
        <f t="shared" si="164"/>
        <v>15</v>
      </c>
      <c r="AS73" s="1414">
        <f t="shared" si="36"/>
        <v>42784.25</v>
      </c>
      <c r="AT73" s="4081">
        <v>1</v>
      </c>
      <c r="AU73" s="4083">
        <v>3901</v>
      </c>
      <c r="AV73" s="1365">
        <f t="shared" si="165"/>
        <v>16</v>
      </c>
      <c r="AW73" s="1414">
        <f t="shared" si="38"/>
        <v>46685.25</v>
      </c>
      <c r="AX73" s="4081">
        <v>2</v>
      </c>
      <c r="AY73" s="4083">
        <v>7984</v>
      </c>
      <c r="AZ73" s="4087">
        <f t="shared" si="166"/>
        <v>4</v>
      </c>
      <c r="BA73" s="4140">
        <f t="shared" si="14"/>
        <v>15851.2</v>
      </c>
      <c r="BB73" s="4088">
        <f t="shared" si="167"/>
        <v>11</v>
      </c>
      <c r="BC73" s="4085">
        <f t="shared" si="16"/>
        <v>27895</v>
      </c>
      <c r="BD73" s="1365">
        <f t="shared" si="168"/>
        <v>18</v>
      </c>
      <c r="BE73" s="1414">
        <f t="shared" si="18"/>
        <v>54669.25</v>
      </c>
      <c r="BF73" s="1111"/>
      <c r="BG73" s="1111"/>
      <c r="BH73" s="491"/>
      <c r="BI73" s="491"/>
      <c r="BJ73" s="491"/>
      <c r="BQ73" s="491"/>
      <c r="BR73" s="491"/>
      <c r="BS73" s="491"/>
      <c r="BT73" s="491"/>
      <c r="BU73" s="491"/>
      <c r="BV73" s="491"/>
      <c r="BW73" s="491"/>
      <c r="BX73" s="491"/>
      <c r="BY73" s="491"/>
      <c r="BZ73" s="491"/>
      <c r="CA73" s="491"/>
      <c r="CB73" s="491"/>
    </row>
    <row r="74" spans="2:80" s="1242" customFormat="1" ht="21.9" customHeight="1" thickBot="1" x14ac:dyDescent="0.35">
      <c r="B74" s="6077"/>
      <c r="C74" s="4172" t="s">
        <v>1191</v>
      </c>
      <c r="D74" s="4081">
        <v>0</v>
      </c>
      <c r="E74" s="4082">
        <v>0</v>
      </c>
      <c r="F74" s="4081">
        <v>0</v>
      </c>
      <c r="G74" s="4082">
        <v>0</v>
      </c>
      <c r="H74" s="1365">
        <f t="shared" si="0"/>
        <v>0</v>
      </c>
      <c r="I74" s="1366">
        <f t="shared" si="26"/>
        <v>0</v>
      </c>
      <c r="J74" s="4081"/>
      <c r="K74" s="4083"/>
      <c r="L74" s="4084">
        <f t="shared" si="19"/>
        <v>0</v>
      </c>
      <c r="M74" s="4139">
        <f t="shared" si="27"/>
        <v>0</v>
      </c>
      <c r="N74" s="4081"/>
      <c r="O74" s="4083"/>
      <c r="P74" s="1414">
        <f t="shared" si="55"/>
        <v>0</v>
      </c>
      <c r="Q74" s="1414">
        <f t="shared" si="28"/>
        <v>0</v>
      </c>
      <c r="R74" s="4081">
        <v>0</v>
      </c>
      <c r="S74" s="4083">
        <v>0</v>
      </c>
      <c r="T74" s="1414">
        <f t="shared" si="2"/>
        <v>0</v>
      </c>
      <c r="U74" s="1414">
        <f t="shared" si="29"/>
        <v>0</v>
      </c>
      <c r="V74" s="4081">
        <v>0</v>
      </c>
      <c r="W74" s="4083">
        <v>0</v>
      </c>
      <c r="X74" s="4087">
        <f t="shared" si="3"/>
        <v>0</v>
      </c>
      <c r="Y74" s="4140">
        <f t="shared" si="4"/>
        <v>0</v>
      </c>
      <c r="Z74" s="4088">
        <f t="shared" si="5"/>
        <v>0</v>
      </c>
      <c r="AA74" s="4085">
        <f t="shared" si="30"/>
        <v>0</v>
      </c>
      <c r="AB74" s="4081">
        <v>0</v>
      </c>
      <c r="AC74" s="4083">
        <v>0</v>
      </c>
      <c r="AD74" s="4621">
        <f t="shared" si="6"/>
        <v>0</v>
      </c>
      <c r="AE74" s="4595">
        <f t="shared" si="31"/>
        <v>0</v>
      </c>
      <c r="AF74" s="4613">
        <v>0</v>
      </c>
      <c r="AG74" s="4083">
        <v>0</v>
      </c>
      <c r="AH74" s="1365">
        <f t="shared" si="162"/>
        <v>0</v>
      </c>
      <c r="AI74" s="1414">
        <f t="shared" si="23"/>
        <v>0</v>
      </c>
      <c r="AJ74" s="4081">
        <v>0</v>
      </c>
      <c r="AK74" s="4083">
        <v>0</v>
      </c>
      <c r="AL74" s="4087">
        <f t="shared" si="163"/>
        <v>0</v>
      </c>
      <c r="AM74" s="4139">
        <f t="shared" si="9"/>
        <v>0</v>
      </c>
      <c r="AN74" s="1365">
        <f t="shared" si="156"/>
        <v>0</v>
      </c>
      <c r="AO74" s="1414">
        <f t="shared" si="34"/>
        <v>0</v>
      </c>
      <c r="AP74" s="4081">
        <v>0</v>
      </c>
      <c r="AQ74" s="4083">
        <v>0</v>
      </c>
      <c r="AR74" s="1365">
        <f t="shared" si="164"/>
        <v>0</v>
      </c>
      <c r="AS74" s="1414">
        <f t="shared" si="36"/>
        <v>0</v>
      </c>
      <c r="AT74" s="4081">
        <v>0</v>
      </c>
      <c r="AU74" s="4083">
        <v>0</v>
      </c>
      <c r="AV74" s="1365">
        <f t="shared" si="165"/>
        <v>0</v>
      </c>
      <c r="AW74" s="1414">
        <f t="shared" si="38"/>
        <v>0</v>
      </c>
      <c r="AX74" s="4081">
        <v>0</v>
      </c>
      <c r="AY74" s="4083">
        <v>0</v>
      </c>
      <c r="AZ74" s="4087">
        <f t="shared" si="166"/>
        <v>0</v>
      </c>
      <c r="BA74" s="4140">
        <f t="shared" si="14"/>
        <v>0</v>
      </c>
      <c r="BB74" s="4088">
        <f t="shared" si="167"/>
        <v>0</v>
      </c>
      <c r="BC74" s="4085">
        <f t="shared" si="16"/>
        <v>0</v>
      </c>
      <c r="BD74" s="1365">
        <f t="shared" si="168"/>
        <v>0</v>
      </c>
      <c r="BE74" s="1414">
        <f t="shared" si="18"/>
        <v>0</v>
      </c>
      <c r="BF74" s="1111"/>
      <c r="BG74" s="1111"/>
      <c r="BH74" s="491"/>
      <c r="BI74" s="491"/>
      <c r="BJ74" s="491"/>
      <c r="BQ74" s="491"/>
      <c r="BR74" s="491"/>
      <c r="BS74" s="491"/>
      <c r="BT74" s="491"/>
      <c r="BU74" s="491"/>
      <c r="BV74" s="491"/>
      <c r="BW74" s="491"/>
      <c r="BX74" s="491"/>
      <c r="BY74" s="491"/>
      <c r="BZ74" s="491"/>
      <c r="CA74" s="491"/>
      <c r="CB74" s="491"/>
    </row>
    <row r="75" spans="2:80" s="1242" customFormat="1" ht="21.9" customHeight="1" thickBot="1" x14ac:dyDescent="0.35">
      <c r="B75" s="4906" t="s">
        <v>2153</v>
      </c>
      <c r="C75" s="4076" t="s">
        <v>975</v>
      </c>
      <c r="D75" s="4077">
        <v>1</v>
      </c>
      <c r="E75" s="4080">
        <v>3842.55</v>
      </c>
      <c r="F75" s="4077">
        <v>1</v>
      </c>
      <c r="G75" s="4080">
        <v>3885.8</v>
      </c>
      <c r="H75" s="1365">
        <f t="shared" si="0"/>
        <v>2</v>
      </c>
      <c r="I75" s="1366">
        <f t="shared" si="26"/>
        <v>7728.35</v>
      </c>
      <c r="J75" s="4077">
        <v>1</v>
      </c>
      <c r="K75" s="4080">
        <v>4028</v>
      </c>
      <c r="L75" s="4079">
        <f t="shared" si="19"/>
        <v>3</v>
      </c>
      <c r="M75" s="4139">
        <f t="shared" si="27"/>
        <v>11756.35</v>
      </c>
      <c r="N75" s="4077">
        <v>1</v>
      </c>
      <c r="O75" s="4080">
        <v>4022.73</v>
      </c>
      <c r="P75" s="1414">
        <f t="shared" si="55"/>
        <v>4</v>
      </c>
      <c r="Q75" s="1414">
        <f t="shared" si="28"/>
        <v>15779.08</v>
      </c>
      <c r="R75" s="4077">
        <v>2</v>
      </c>
      <c r="S75" s="4080">
        <v>7987.9</v>
      </c>
      <c r="T75" s="1414">
        <f t="shared" si="2"/>
        <v>6</v>
      </c>
      <c r="U75" s="1414">
        <f t="shared" si="29"/>
        <v>23766.98</v>
      </c>
      <c r="V75" s="4077">
        <v>1</v>
      </c>
      <c r="W75" s="4080">
        <v>4000.69</v>
      </c>
      <c r="X75" s="4161">
        <f t="shared" si="3"/>
        <v>4</v>
      </c>
      <c r="Y75" s="4140">
        <f t="shared" si="4"/>
        <v>16011.32</v>
      </c>
      <c r="Z75" s="4174">
        <f t="shared" si="5"/>
        <v>7</v>
      </c>
      <c r="AA75" s="4085">
        <f t="shared" si="30"/>
        <v>27767.67</v>
      </c>
      <c r="AB75" s="4077">
        <v>1</v>
      </c>
      <c r="AC75" s="4080">
        <v>2628.27</v>
      </c>
      <c r="AD75" s="4627">
        <f t="shared" si="6"/>
        <v>8</v>
      </c>
      <c r="AE75" s="4595">
        <f t="shared" si="31"/>
        <v>30395.94</v>
      </c>
      <c r="AF75" s="4641">
        <v>2</v>
      </c>
      <c r="AG75" s="4080">
        <v>7426.31</v>
      </c>
      <c r="AH75" s="2062">
        <f t="shared" si="162"/>
        <v>10</v>
      </c>
      <c r="AI75" s="1414">
        <f t="shared" si="23"/>
        <v>37822.25</v>
      </c>
      <c r="AJ75" s="4077">
        <v>1</v>
      </c>
      <c r="AK75" s="4080">
        <v>8023.4</v>
      </c>
      <c r="AL75" s="4161">
        <f t="shared" si="163"/>
        <v>4</v>
      </c>
      <c r="AM75" s="4139">
        <f t="shared" si="9"/>
        <v>18077.98</v>
      </c>
      <c r="AN75" s="2062">
        <f t="shared" si="156"/>
        <v>11</v>
      </c>
      <c r="AO75" s="1414">
        <f t="shared" si="34"/>
        <v>45845.650000000009</v>
      </c>
      <c r="AP75" s="4077">
        <v>1</v>
      </c>
      <c r="AQ75" s="4080">
        <v>3692.97</v>
      </c>
      <c r="AR75" s="2062">
        <f t="shared" si="164"/>
        <v>12</v>
      </c>
      <c r="AS75" s="1414">
        <f t="shared" si="36"/>
        <v>49538.62000000001</v>
      </c>
      <c r="AT75" s="4077">
        <v>2</v>
      </c>
      <c r="AU75" s="4080">
        <v>7330.38</v>
      </c>
      <c r="AV75" s="2062">
        <f t="shared" si="165"/>
        <v>14</v>
      </c>
      <c r="AW75" s="1414">
        <f t="shared" si="38"/>
        <v>56869.000000000015</v>
      </c>
      <c r="AX75" s="4077">
        <v>1</v>
      </c>
      <c r="AY75" s="4080">
        <v>4055.3</v>
      </c>
      <c r="AZ75" s="4161">
        <f t="shared" si="166"/>
        <v>4</v>
      </c>
      <c r="BA75" s="4140">
        <f t="shared" si="14"/>
        <v>15078.650000000001</v>
      </c>
      <c r="BB75" s="4088">
        <f t="shared" si="167"/>
        <v>8</v>
      </c>
      <c r="BC75" s="4085">
        <f t="shared" si="16"/>
        <v>33156.630000000005</v>
      </c>
      <c r="BD75" s="1365">
        <f t="shared" si="168"/>
        <v>15</v>
      </c>
      <c r="BE75" s="1414">
        <f t="shared" si="18"/>
        <v>60924.3</v>
      </c>
      <c r="BF75" s="1111"/>
      <c r="BG75" s="1111"/>
      <c r="BH75" s="491"/>
      <c r="BI75" s="491"/>
      <c r="BJ75" s="491"/>
      <c r="BQ75" s="491"/>
      <c r="BR75" s="491"/>
      <c r="BS75" s="491"/>
      <c r="BT75" s="491"/>
      <c r="BU75" s="491"/>
      <c r="BV75" s="491"/>
      <c r="BW75" s="491"/>
      <c r="BX75" s="491"/>
      <c r="BY75" s="491"/>
      <c r="BZ75" s="491"/>
      <c r="CA75" s="491"/>
      <c r="CB75" s="491"/>
    </row>
    <row r="76" spans="2:80" s="5054" customFormat="1" ht="21.9" customHeight="1" thickBot="1" x14ac:dyDescent="0.35">
      <c r="B76" s="6102" t="s">
        <v>2018</v>
      </c>
      <c r="C76" s="4171" t="s">
        <v>1194</v>
      </c>
      <c r="D76" s="5044">
        <v>0</v>
      </c>
      <c r="E76" s="4163">
        <v>0</v>
      </c>
      <c r="F76" s="5044">
        <v>0</v>
      </c>
      <c r="G76" s="4163">
        <v>0</v>
      </c>
      <c r="H76" s="5045">
        <f t="shared" si="0"/>
        <v>0</v>
      </c>
      <c r="I76" s="5046">
        <f t="shared" ref="I76:I77" si="169">+G76+E76</f>
        <v>0</v>
      </c>
      <c r="J76" s="5044">
        <v>0</v>
      </c>
      <c r="K76" s="4163">
        <v>0</v>
      </c>
      <c r="L76" s="4163">
        <f t="shared" si="19"/>
        <v>0</v>
      </c>
      <c r="M76" s="4148">
        <f t="shared" ref="M76:M77" si="170">+E76+G76+K76</f>
        <v>0</v>
      </c>
      <c r="N76" s="5044"/>
      <c r="O76" s="4163"/>
      <c r="P76" s="5047">
        <f t="shared" si="55"/>
        <v>0</v>
      </c>
      <c r="Q76" s="5047">
        <f t="shared" ref="Q76:Q77" si="171">+E76+G76+K76+O76</f>
        <v>0</v>
      </c>
      <c r="R76" s="5044"/>
      <c r="S76" s="4163"/>
      <c r="T76" s="5047">
        <f t="shared" ref="T76:T91" si="172">P76+R76</f>
        <v>0</v>
      </c>
      <c r="U76" s="5047">
        <f t="shared" ref="U76:U77" si="173">+E76+S76+O76+K76+G76</f>
        <v>0</v>
      </c>
      <c r="V76" s="5044"/>
      <c r="W76" s="4163"/>
      <c r="X76" s="5048">
        <f t="shared" ref="X76:X77" si="174">+N76+R76+V76</f>
        <v>0</v>
      </c>
      <c r="Y76" s="5049">
        <f t="shared" ref="Y76:Y77" si="175">+O76+S76+W76</f>
        <v>0</v>
      </c>
      <c r="Z76" s="5044">
        <f t="shared" ref="Z76:Z77" si="176">L76+X76</f>
        <v>0</v>
      </c>
      <c r="AA76" s="4082">
        <f t="shared" ref="AA76:AA77" si="177">+W76+S76+O76+K76+G76+E76</f>
        <v>0</v>
      </c>
      <c r="AB76" s="5044">
        <v>0</v>
      </c>
      <c r="AC76" s="4163">
        <v>0</v>
      </c>
      <c r="AD76" s="5050">
        <f t="shared" ref="AD76:AD78" si="178">Z76+AB76</f>
        <v>0</v>
      </c>
      <c r="AE76" s="4524">
        <f t="shared" ref="AE76:AE77" si="179">+AC76+W76+S76+O76+K76+G76+E76</f>
        <v>0</v>
      </c>
      <c r="AF76" s="5051">
        <v>0</v>
      </c>
      <c r="AG76" s="4163">
        <v>0</v>
      </c>
      <c r="AH76" s="5052">
        <f t="shared" si="162"/>
        <v>0</v>
      </c>
      <c r="AI76" s="5047">
        <f t="shared" ref="AI76:AI77" si="180">+AG76+AC76+W76+S76+O76+K76+G76+E76</f>
        <v>0</v>
      </c>
      <c r="AJ76" s="5044">
        <v>0</v>
      </c>
      <c r="AK76" s="4163">
        <v>0</v>
      </c>
      <c r="AL76" s="5048">
        <f t="shared" si="163"/>
        <v>0</v>
      </c>
      <c r="AM76" s="4148">
        <f t="shared" ref="AM76:AM77" si="181">+AC76+AG76+AK76</f>
        <v>0</v>
      </c>
      <c r="AN76" s="5052">
        <f t="shared" si="156"/>
        <v>0</v>
      </c>
      <c r="AO76" s="5047">
        <f t="shared" ref="AO76:AO77" si="182">+AK76+AG76+AC76+W76+S76+O76+K76+G76+E76</f>
        <v>0</v>
      </c>
      <c r="AP76" s="5044">
        <v>0</v>
      </c>
      <c r="AQ76" s="4163">
        <v>0</v>
      </c>
      <c r="AR76" s="5052">
        <f t="shared" si="164"/>
        <v>0</v>
      </c>
      <c r="AS76" s="5047">
        <f t="shared" ref="AS76:AS77" si="183">+AQ76+AK76+AG76+AC76+W76+S76+O76+K76+G76+E76</f>
        <v>0</v>
      </c>
      <c r="AT76" s="5044">
        <v>0</v>
      </c>
      <c r="AU76" s="4163">
        <v>0</v>
      </c>
      <c r="AV76" s="5052">
        <f t="shared" si="165"/>
        <v>0</v>
      </c>
      <c r="AW76" s="5047">
        <f t="shared" ref="AW76:AW77" si="184">+AU76+AQ76+AK76+AG76+AC76+W76+S76+O76+K76+G76+E76</f>
        <v>0</v>
      </c>
      <c r="AX76" s="5044">
        <v>0</v>
      </c>
      <c r="AY76" s="4163">
        <v>0</v>
      </c>
      <c r="AZ76" s="5048">
        <f t="shared" si="166"/>
        <v>0</v>
      </c>
      <c r="BA76" s="5049">
        <f t="shared" ref="BA76:BA77" si="185">+AQ76+AU76+AY76</f>
        <v>0</v>
      </c>
      <c r="BB76" s="5053">
        <f t="shared" si="167"/>
        <v>0</v>
      </c>
      <c r="BC76" s="4082">
        <f t="shared" ref="BC76:BC77" si="186">AM76+BA76</f>
        <v>0</v>
      </c>
      <c r="BD76" s="5045">
        <f t="shared" si="168"/>
        <v>0</v>
      </c>
      <c r="BE76" s="5047">
        <f t="shared" ref="BE76:BE77" si="187">+BC76+AA76</f>
        <v>0</v>
      </c>
      <c r="BF76" s="5029"/>
      <c r="BG76" s="5029"/>
      <c r="BH76" s="4612"/>
      <c r="BI76" s="4612"/>
      <c r="BJ76" s="4612"/>
      <c r="BQ76" s="4612"/>
      <c r="BR76" s="4612"/>
      <c r="BS76" s="4612"/>
      <c r="BT76" s="4612"/>
      <c r="BU76" s="4612"/>
      <c r="BV76" s="4612"/>
      <c r="BW76" s="4612"/>
      <c r="BX76" s="4612"/>
      <c r="BY76" s="4612"/>
      <c r="BZ76" s="4612"/>
      <c r="CA76" s="4612"/>
      <c r="CB76" s="4612"/>
    </row>
    <row r="77" spans="2:80" s="5054" customFormat="1" ht="21.9" customHeight="1" x14ac:dyDescent="0.3">
      <c r="B77" s="6103"/>
      <c r="C77" s="5055" t="s">
        <v>1771</v>
      </c>
      <c r="D77" s="5044">
        <v>0</v>
      </c>
      <c r="E77" s="4163">
        <v>432</v>
      </c>
      <c r="F77" s="5044">
        <v>0</v>
      </c>
      <c r="G77" s="4163">
        <v>0</v>
      </c>
      <c r="H77" s="5045">
        <f>+D77+F77</f>
        <v>0</v>
      </c>
      <c r="I77" s="5046">
        <f t="shared" si="169"/>
        <v>432</v>
      </c>
      <c r="J77" s="5044"/>
      <c r="K77" s="4163">
        <v>683.15</v>
      </c>
      <c r="L77" s="4163">
        <f>+D77+F77+J77</f>
        <v>0</v>
      </c>
      <c r="M77" s="4148">
        <f t="shared" si="170"/>
        <v>1115.1500000000001</v>
      </c>
      <c r="N77" s="5044"/>
      <c r="O77" s="4163">
        <v>252.12</v>
      </c>
      <c r="P77" s="5047"/>
      <c r="Q77" s="5047">
        <f t="shared" si="171"/>
        <v>1367.27</v>
      </c>
      <c r="R77" s="5044"/>
      <c r="S77" s="4163">
        <v>497.27</v>
      </c>
      <c r="T77" s="5047">
        <f>P77+R77</f>
        <v>0</v>
      </c>
      <c r="U77" s="5047">
        <f t="shared" si="173"/>
        <v>1864.54</v>
      </c>
      <c r="V77" s="5044"/>
      <c r="W77" s="4163">
        <v>782.26</v>
      </c>
      <c r="X77" s="5056">
        <f t="shared" si="174"/>
        <v>0</v>
      </c>
      <c r="Y77" s="5049">
        <f t="shared" si="175"/>
        <v>1531.65</v>
      </c>
      <c r="Z77" s="5053">
        <f t="shared" si="176"/>
        <v>0</v>
      </c>
      <c r="AA77" s="4082">
        <f t="shared" si="177"/>
        <v>2646.8</v>
      </c>
      <c r="AB77" s="5044">
        <v>0</v>
      </c>
      <c r="AC77" s="4163">
        <v>647.98</v>
      </c>
      <c r="AD77" s="5049">
        <f t="shared" si="178"/>
        <v>0</v>
      </c>
      <c r="AE77" s="4524">
        <f t="shared" si="179"/>
        <v>3294.78</v>
      </c>
      <c r="AF77" s="5051">
        <v>0</v>
      </c>
      <c r="AG77" s="4163">
        <v>900.12</v>
      </c>
      <c r="AH77" s="4082"/>
      <c r="AI77" s="5047">
        <f t="shared" si="180"/>
        <v>4194.8999999999996</v>
      </c>
      <c r="AJ77" s="5044">
        <v>0</v>
      </c>
      <c r="AK77" s="4163">
        <v>490.04</v>
      </c>
      <c r="AL77" s="5057">
        <f>+AB77+AF77+AJ77</f>
        <v>0</v>
      </c>
      <c r="AM77" s="4148">
        <f t="shared" si="181"/>
        <v>2038.1399999999999</v>
      </c>
      <c r="AN77" s="4082"/>
      <c r="AO77" s="5047">
        <f t="shared" si="182"/>
        <v>4684.9399999999996</v>
      </c>
      <c r="AP77" s="5044">
        <v>0</v>
      </c>
      <c r="AQ77" s="4163">
        <v>408</v>
      </c>
      <c r="AR77" s="4082">
        <f>AN77+AP77</f>
        <v>0</v>
      </c>
      <c r="AS77" s="5047">
        <f t="shared" si="183"/>
        <v>5092.9399999999996</v>
      </c>
      <c r="AT77" s="5044">
        <v>0</v>
      </c>
      <c r="AU77" s="4163">
        <v>1681.78</v>
      </c>
      <c r="AV77" s="4082">
        <f>AR77+AT77</f>
        <v>0</v>
      </c>
      <c r="AW77" s="5047">
        <f t="shared" si="184"/>
        <v>6774.72</v>
      </c>
      <c r="AX77" s="5044">
        <v>0</v>
      </c>
      <c r="AY77" s="4163">
        <v>2093</v>
      </c>
      <c r="AZ77" s="4082">
        <f t="shared" ref="AZ77" si="188">AV77+AX77</f>
        <v>0</v>
      </c>
      <c r="BA77" s="5049">
        <f t="shared" si="185"/>
        <v>4182.78</v>
      </c>
      <c r="BB77" s="4082">
        <f t="shared" ref="BB77" si="189">AX77+AZ77</f>
        <v>0</v>
      </c>
      <c r="BC77" s="4082">
        <f t="shared" si="186"/>
        <v>6220.92</v>
      </c>
      <c r="BD77" s="5045">
        <f>AV77+AX77</f>
        <v>0</v>
      </c>
      <c r="BE77" s="5047">
        <f t="shared" si="187"/>
        <v>8867.7200000000012</v>
      </c>
      <c r="BF77" s="5029"/>
      <c r="BG77" s="5029"/>
      <c r="BH77" s="4612"/>
      <c r="BI77" s="4612"/>
      <c r="BJ77" s="4612"/>
      <c r="BQ77" s="4612"/>
      <c r="BR77" s="4612"/>
      <c r="BS77" s="4612"/>
      <c r="BT77" s="4612"/>
      <c r="BU77" s="4612"/>
      <c r="BV77" s="4612"/>
      <c r="BW77" s="4612"/>
      <c r="BX77" s="4612"/>
      <c r="BY77" s="4612"/>
      <c r="BZ77" s="4612"/>
      <c r="CA77" s="4612"/>
      <c r="CB77" s="4612"/>
    </row>
    <row r="78" spans="2:80" s="1240" customFormat="1" ht="21.9" customHeight="1" x14ac:dyDescent="0.3">
      <c r="B78" s="4528"/>
      <c r="C78"/>
      <c r="D78"/>
      <c r="E78" s="23"/>
      <c r="F78"/>
      <c r="G78" s="23"/>
      <c r="H78"/>
      <c r="I78"/>
      <c r="J78"/>
      <c r="K78"/>
      <c r="L78"/>
      <c r="M78"/>
      <c r="N78"/>
      <c r="O78"/>
      <c r="P78"/>
      <c r="Q78"/>
      <c r="R78"/>
      <c r="S78"/>
      <c r="T78"/>
      <c r="U78"/>
      <c r="V78"/>
      <c r="W78"/>
      <c r="X78"/>
      <c r="Y78"/>
      <c r="Z78"/>
      <c r="AA78"/>
      <c r="AB78"/>
      <c r="AC78"/>
      <c r="AD78">
        <f t="shared" si="178"/>
        <v>0</v>
      </c>
      <c r="AE78" s="4619">
        <f t="shared" ref="AE78" si="190">AA78+AC78</f>
        <v>0</v>
      </c>
      <c r="AF78"/>
      <c r="AG78"/>
      <c r="AH78"/>
      <c r="AI78"/>
      <c r="AJ78"/>
      <c r="AK78"/>
      <c r="AL78"/>
      <c r="AM78"/>
      <c r="AN78"/>
      <c r="AO78"/>
      <c r="AP78"/>
      <c r="AQ78"/>
      <c r="AR78"/>
      <c r="AS78"/>
      <c r="AT78"/>
      <c r="AU78"/>
      <c r="AV78"/>
      <c r="AW78"/>
      <c r="AX78"/>
      <c r="AY78"/>
      <c r="AZ78"/>
      <c r="BA78"/>
      <c r="BB78"/>
      <c r="BC78"/>
      <c r="BD78"/>
      <c r="BE78"/>
      <c r="BF78" s="1111"/>
      <c r="BG78" s="1111"/>
      <c r="BH78" s="491"/>
      <c r="BI78" s="491"/>
      <c r="BJ78" s="491"/>
      <c r="BQ78" s="491"/>
      <c r="BR78" s="491"/>
      <c r="BS78" s="491"/>
      <c r="BT78" s="491"/>
      <c r="BU78" s="491"/>
      <c r="BV78" s="491"/>
      <c r="BW78" s="491"/>
      <c r="BX78" s="491"/>
      <c r="BY78" s="491"/>
      <c r="BZ78" s="491"/>
      <c r="CA78" s="491"/>
      <c r="CB78" s="491"/>
    </row>
    <row r="79" spans="2:80" s="1240" customFormat="1" ht="21.9" customHeight="1" thickBot="1" x14ac:dyDescent="0.35">
      <c r="B79" s="6104"/>
      <c r="C79" s="4076" t="s">
        <v>1296</v>
      </c>
      <c r="D79"/>
      <c r="E79"/>
      <c r="F79"/>
      <c r="G79"/>
      <c r="H79"/>
      <c r="I79"/>
      <c r="J79"/>
      <c r="K79"/>
      <c r="L79"/>
      <c r="M79"/>
      <c r="N79"/>
      <c r="O79"/>
      <c r="P79"/>
      <c r="Q79"/>
      <c r="R79"/>
      <c r="S79"/>
      <c r="T79"/>
      <c r="U79"/>
      <c r="V79"/>
      <c r="W79"/>
      <c r="X79"/>
      <c r="Y79"/>
      <c r="Z79"/>
      <c r="AA79"/>
      <c r="AB79"/>
      <c r="AC79"/>
      <c r="AD79"/>
      <c r="AE79" s="4619"/>
      <c r="AF79"/>
      <c r="AG79"/>
      <c r="AH79"/>
      <c r="AI79"/>
      <c r="AJ79"/>
      <c r="AK79"/>
      <c r="AL79"/>
      <c r="AM79"/>
      <c r="AN79"/>
      <c r="AO79"/>
      <c r="AP79"/>
      <c r="AQ79"/>
      <c r="AR79"/>
      <c r="AS79"/>
      <c r="AT79"/>
      <c r="AU79"/>
      <c r="AV79"/>
      <c r="AW79"/>
      <c r="AX79"/>
      <c r="AY79"/>
      <c r="AZ79"/>
      <c r="BA79"/>
      <c r="BB79"/>
      <c r="BC79"/>
      <c r="BD79"/>
      <c r="BE79"/>
      <c r="BF79" s="1111"/>
      <c r="BG79" s="1111"/>
      <c r="BH79"/>
      <c r="BI79" s="491"/>
      <c r="BJ79" s="491"/>
      <c r="BQ79" s="491"/>
      <c r="BR79" s="491"/>
      <c r="BS79" s="491"/>
      <c r="BT79" s="491"/>
      <c r="BU79" s="491"/>
      <c r="BV79" s="491"/>
      <c r="BW79" s="491"/>
      <c r="BX79" s="491"/>
      <c r="BY79" s="491"/>
      <c r="BZ79" s="491"/>
      <c r="CA79" s="491"/>
      <c r="CB79" s="491"/>
    </row>
    <row r="80" spans="2:80" s="1240" customFormat="1" ht="21.9" customHeight="1" thickBot="1" x14ac:dyDescent="0.35">
      <c r="B80" s="6104"/>
      <c r="C80" s="4529" t="s">
        <v>1843</v>
      </c>
      <c r="D80" s="4082"/>
      <c r="E80" s="4082">
        <f>'Direct sales IPT details'!E210</f>
        <v>13558</v>
      </c>
      <c r="F80" s="4082">
        <v>6</v>
      </c>
      <c r="G80" s="4082">
        <v>13839.05</v>
      </c>
      <c r="H80" s="1365">
        <f t="shared" ref="H80:H91" si="191">+D80+F80</f>
        <v>6</v>
      </c>
      <c r="I80" s="4526">
        <f t="shared" ref="I80:I83" si="192">+G80+E80</f>
        <v>27397.05</v>
      </c>
      <c r="J80" s="4613"/>
      <c r="K80" s="4082">
        <f>'Direct sales IPT details'!K210</f>
        <v>0</v>
      </c>
      <c r="L80" s="4084"/>
      <c r="M80" s="4139">
        <f t="shared" ref="M80:M83" si="193">+E80+G80+K80</f>
        <v>27397.05</v>
      </c>
      <c r="N80" s="4081"/>
      <c r="O80" s="4082">
        <f>'Direct sales IPT details'!O210</f>
        <v>0</v>
      </c>
      <c r="P80" s="4082">
        <f>'Direct sales IPT details'!P210</f>
        <v>0</v>
      </c>
      <c r="Q80" s="4526">
        <f t="shared" ref="Q80:Q83" si="194">+E80+G80+K80+O80</f>
        <v>27397.05</v>
      </c>
      <c r="R80" s="4081"/>
      <c r="S80" s="4082">
        <f>'Direct sales IPT details'!S210</f>
        <v>0</v>
      </c>
      <c r="T80" s="1414">
        <f t="shared" si="172"/>
        <v>0</v>
      </c>
      <c r="U80" s="4526">
        <f t="shared" ref="U80:U83" si="195">+E80+S80+O80+K80+G80</f>
        <v>27397.05</v>
      </c>
      <c r="V80" s="4081"/>
      <c r="W80" s="4082">
        <f>'Direct sales IPT details'!W210</f>
        <v>0</v>
      </c>
      <c r="X80" s="4525"/>
      <c r="Y80" s="4140">
        <f t="shared" ref="Y80:Y83" si="196">+O80+S80+W80</f>
        <v>0</v>
      </c>
      <c r="Z80" s="4522"/>
      <c r="AA80" s="4085">
        <f t="shared" ref="AA80:AA83" si="197">+W80+S80+O80+K80+G80+E80</f>
        <v>27397.05</v>
      </c>
      <c r="AB80" s="4083"/>
      <c r="AC80" s="4082">
        <f>'Direct sales IPT details'!AC210</f>
        <v>4508.43</v>
      </c>
      <c r="AD80" s="4629"/>
      <c r="AE80" s="4595">
        <f t="shared" ref="AE80:AE83" si="198">+AC80+W80+S80+O80+K80+G80+E80</f>
        <v>31905.48</v>
      </c>
      <c r="AF80" s="4615">
        <v>7</v>
      </c>
      <c r="AG80" s="4082">
        <f>'Direct sales IPT details'!AG210</f>
        <v>15128.48</v>
      </c>
      <c r="AH80" s="4082">
        <f>'Direct sales IPT details'!AH210</f>
        <v>0</v>
      </c>
      <c r="AI80" s="4526">
        <f t="shared" ref="AI80:AI95" si="199">+AG80+AC80+W80+S80+O80+K80+G80+E80</f>
        <v>47033.96</v>
      </c>
      <c r="AJ80" s="4082">
        <f>'Direct sales IPT details'!AJ210</f>
        <v>0</v>
      </c>
      <c r="AK80" s="4082">
        <f>'Direct sales IPT details'!AK210</f>
        <v>10865.68</v>
      </c>
      <c r="AL80" s="4083">
        <f>'Direct sales IPT details'!AL210</f>
        <v>0</v>
      </c>
      <c r="AM80" s="4139">
        <f t="shared" ref="AM80:AM83" si="200">+AC80+AG80+AK80</f>
        <v>30502.59</v>
      </c>
      <c r="AN80" s="4083">
        <f>'Direct sales IPT details'!AN210</f>
        <v>0</v>
      </c>
      <c r="AO80" s="4526">
        <f t="shared" ref="AO80:AO83" si="201">+AK80+AG80+AC80+W80+S80+O80+K80+G80+E80</f>
        <v>57899.64</v>
      </c>
      <c r="AP80" s="4082">
        <v>6</v>
      </c>
      <c r="AQ80" s="4082">
        <f>'Direct sales IPT details'!AQ210</f>
        <v>13342.22</v>
      </c>
      <c r="AR80" s="4082">
        <f>'Direct sales IPT details'!AR210</f>
        <v>0</v>
      </c>
      <c r="AS80" s="4526">
        <f t="shared" ref="AS80:AS83" si="202">+AQ80+AK80+AG80+AC80+W80+S80+O80+K80+G80+E80</f>
        <v>71241.86</v>
      </c>
      <c r="AT80" s="4082">
        <v>6</v>
      </c>
      <c r="AU80" s="4082">
        <f>'Direct sales IPT details'!AU210</f>
        <v>13546.23</v>
      </c>
      <c r="AV80" s="4082">
        <f>'Direct sales IPT details'!AV210</f>
        <v>0</v>
      </c>
      <c r="AW80" s="4526">
        <f t="shared" ref="AW80:AW83" si="203">+AU80+AQ80+AK80+AG80+AC80+W80+S80+O80+K80+G80+E80</f>
        <v>84788.09</v>
      </c>
      <c r="AX80" s="4082"/>
      <c r="AY80" s="4082">
        <v>12646.78</v>
      </c>
      <c r="AZ80" s="4084">
        <f>'Direct sales IPT details'!AZ210</f>
        <v>0</v>
      </c>
      <c r="BA80" s="4140">
        <f t="shared" ref="BA80:BA83" si="204">+AQ80+AU80+AY80</f>
        <v>39535.229999999996</v>
      </c>
      <c r="BB80" s="4085">
        <f>'Direct sales IPT details'!BB210</f>
        <v>0</v>
      </c>
      <c r="BC80" s="4085">
        <f t="shared" ref="BC80:BC83" si="205">AM80+BA80</f>
        <v>70037.819999999992</v>
      </c>
      <c r="BD80" s="4086">
        <f>'Direct sales IPT details'!BD210</f>
        <v>0</v>
      </c>
      <c r="BE80" s="4526">
        <f t="shared" ref="BE80:BE83" si="206">+BC80+AA80</f>
        <v>97434.87</v>
      </c>
      <c r="BF80" s="1111"/>
      <c r="BG80" s="1111"/>
      <c r="BH80" s="491"/>
      <c r="BI80" s="491"/>
      <c r="BJ80" s="491"/>
      <c r="BQ80" s="491"/>
      <c r="BR80" s="491"/>
      <c r="BS80" s="491"/>
      <c r="BT80" s="491"/>
      <c r="BU80" s="491"/>
      <c r="BV80" s="491"/>
      <c r="BW80" s="491"/>
      <c r="BX80" s="491"/>
      <c r="BY80" s="491"/>
      <c r="BZ80" s="491"/>
      <c r="CA80" s="491"/>
      <c r="CB80" s="491"/>
    </row>
    <row r="81" spans="2:80" s="1240" customFormat="1" ht="21.9" customHeight="1" thickBot="1" x14ac:dyDescent="0.35">
      <c r="B81" s="6104"/>
      <c r="C81" s="4529" t="s">
        <v>1532</v>
      </c>
      <c r="D81" s="4082"/>
      <c r="E81" s="4082">
        <f>'Direct sales IPT details'!E211</f>
        <v>0</v>
      </c>
      <c r="F81" s="4082">
        <v>0</v>
      </c>
      <c r="G81" s="4082">
        <v>0</v>
      </c>
      <c r="H81" s="1365">
        <f t="shared" si="191"/>
        <v>0</v>
      </c>
      <c r="I81" s="4526">
        <f t="shared" si="192"/>
        <v>0</v>
      </c>
      <c r="J81" s="4613"/>
      <c r="K81" s="4082">
        <f>'Direct sales IPT details'!K211</f>
        <v>0</v>
      </c>
      <c r="L81" s="4084"/>
      <c r="M81" s="4139">
        <f t="shared" si="193"/>
        <v>0</v>
      </c>
      <c r="N81" s="4081"/>
      <c r="O81" s="4082">
        <f>'Direct sales IPT details'!O211</f>
        <v>0</v>
      </c>
      <c r="P81" s="4082">
        <f>'Direct sales IPT details'!P211</f>
        <v>0</v>
      </c>
      <c r="Q81" s="4526">
        <f t="shared" si="194"/>
        <v>0</v>
      </c>
      <c r="R81" s="4081"/>
      <c r="S81" s="4082">
        <f>'Direct sales IPT details'!S211</f>
        <v>0</v>
      </c>
      <c r="T81" s="1414">
        <f t="shared" si="172"/>
        <v>0</v>
      </c>
      <c r="U81" s="4526">
        <f t="shared" si="195"/>
        <v>0</v>
      </c>
      <c r="V81" s="4081"/>
      <c r="W81" s="4082">
        <f>'Direct sales IPT details'!W211</f>
        <v>4878.29</v>
      </c>
      <c r="X81" s="4525"/>
      <c r="Y81" s="4140">
        <f t="shared" si="196"/>
        <v>4878.29</v>
      </c>
      <c r="Z81" s="4522"/>
      <c r="AA81" s="4085">
        <f t="shared" si="197"/>
        <v>4878.29</v>
      </c>
      <c r="AB81" s="4083"/>
      <c r="AC81" s="4082">
        <f>'Direct sales IPT details'!AC211</f>
        <v>0</v>
      </c>
      <c r="AD81" s="4629"/>
      <c r="AE81" s="4595">
        <f t="shared" si="198"/>
        <v>4878.29</v>
      </c>
      <c r="AF81" s="4615">
        <f>'Direct sales IPT details'!AF211</f>
        <v>0</v>
      </c>
      <c r="AG81" s="4082">
        <f>'Direct sales IPT details'!AG211</f>
        <v>0</v>
      </c>
      <c r="AH81" s="4082">
        <f>'Direct sales IPT details'!AH211</f>
        <v>0</v>
      </c>
      <c r="AI81" s="4526">
        <f t="shared" si="199"/>
        <v>4878.29</v>
      </c>
      <c r="AJ81" s="4082">
        <f>'Direct sales IPT details'!AJ211</f>
        <v>0</v>
      </c>
      <c r="AK81" s="4082">
        <f>'Direct sales IPT details'!AK211</f>
        <v>9344.0400000000009</v>
      </c>
      <c r="AL81" s="4083">
        <f>'Direct sales IPT details'!AL211</f>
        <v>0</v>
      </c>
      <c r="AM81" s="4139">
        <f t="shared" si="200"/>
        <v>9344.0400000000009</v>
      </c>
      <c r="AN81" s="4083">
        <f>'Direct sales IPT details'!AN211</f>
        <v>0</v>
      </c>
      <c r="AO81" s="4526">
        <f t="shared" si="201"/>
        <v>14222.330000000002</v>
      </c>
      <c r="AP81" s="4082">
        <v>0</v>
      </c>
      <c r="AQ81" s="4082">
        <f>'Direct sales IPT details'!AQ211</f>
        <v>0</v>
      </c>
      <c r="AR81" s="4082">
        <f>'Direct sales IPT details'!AR211</f>
        <v>0</v>
      </c>
      <c r="AS81" s="4526">
        <f t="shared" si="202"/>
        <v>14222.330000000002</v>
      </c>
      <c r="AT81" s="4082">
        <v>0</v>
      </c>
      <c r="AU81" s="4082">
        <f>'Direct sales IPT details'!AU211</f>
        <v>0</v>
      </c>
      <c r="AV81" s="4082">
        <f>'Direct sales IPT details'!AV211</f>
        <v>0</v>
      </c>
      <c r="AW81" s="4526">
        <f t="shared" si="203"/>
        <v>14222.330000000002</v>
      </c>
      <c r="AX81" s="4082"/>
      <c r="AY81" s="4082">
        <f>'Direct sales IPT details'!AY211</f>
        <v>0</v>
      </c>
      <c r="AZ81" s="4084">
        <f>'Direct sales IPT details'!AZ211</f>
        <v>0</v>
      </c>
      <c r="BA81" s="4140">
        <f t="shared" si="204"/>
        <v>0</v>
      </c>
      <c r="BB81" s="4085">
        <f>'Direct sales IPT details'!BB211</f>
        <v>0</v>
      </c>
      <c r="BC81" s="4085">
        <f t="shared" si="205"/>
        <v>9344.0400000000009</v>
      </c>
      <c r="BD81" s="4086">
        <f>'Direct sales IPT details'!BD211</f>
        <v>0</v>
      </c>
      <c r="BE81" s="4526">
        <f t="shared" si="206"/>
        <v>14222.330000000002</v>
      </c>
      <c r="BF81" s="1111"/>
      <c r="BG81" s="1111"/>
      <c r="BH81" s="491"/>
      <c r="BI81" s="491"/>
      <c r="BJ81" s="491"/>
      <c r="BQ81" s="491"/>
      <c r="BR81" s="491"/>
      <c r="BS81" s="491"/>
      <c r="BT81" s="491"/>
      <c r="BU81" s="491"/>
      <c r="BV81" s="491"/>
      <c r="BW81" s="491"/>
      <c r="BX81" s="491"/>
      <c r="BY81" s="491"/>
      <c r="BZ81" s="491"/>
      <c r="CA81" s="491"/>
      <c r="CB81" s="491"/>
    </row>
    <row r="82" spans="2:80" s="1240" customFormat="1" ht="21.9" customHeight="1" thickBot="1" x14ac:dyDescent="0.35">
      <c r="B82" s="6104"/>
      <c r="C82" s="4529" t="s">
        <v>2042</v>
      </c>
      <c r="D82" s="4581"/>
      <c r="E82" s="4581">
        <f>'Direct sales IPT details'!E212</f>
        <v>0</v>
      </c>
      <c r="F82" s="4581">
        <v>0</v>
      </c>
      <c r="G82" s="4581">
        <v>0</v>
      </c>
      <c r="H82" s="1365">
        <f t="shared" si="191"/>
        <v>0</v>
      </c>
      <c r="I82" s="4526">
        <f t="shared" si="192"/>
        <v>0</v>
      </c>
      <c r="J82" s="4613"/>
      <c r="K82" s="4581">
        <v>0</v>
      </c>
      <c r="L82" s="4084"/>
      <c r="M82" s="4139">
        <f t="shared" si="193"/>
        <v>0</v>
      </c>
      <c r="N82" s="4580"/>
      <c r="O82" s="4581">
        <v>0</v>
      </c>
      <c r="P82" s="4581"/>
      <c r="Q82" s="4526">
        <f t="shared" si="194"/>
        <v>0</v>
      </c>
      <c r="R82" s="4580"/>
      <c r="S82" s="4581">
        <v>0</v>
      </c>
      <c r="T82" s="1414">
        <f t="shared" ref="T82" si="207">P82+R82</f>
        <v>0</v>
      </c>
      <c r="U82" s="4526">
        <f t="shared" si="195"/>
        <v>0</v>
      </c>
      <c r="V82" s="4580"/>
      <c r="W82" s="4581">
        <f>'Direct sales IPT details'!W212</f>
        <v>2391.88</v>
      </c>
      <c r="X82" s="4525"/>
      <c r="Y82" s="4140">
        <f t="shared" si="196"/>
        <v>2391.88</v>
      </c>
      <c r="Z82" s="4522"/>
      <c r="AA82" s="4085">
        <f t="shared" si="197"/>
        <v>2391.88</v>
      </c>
      <c r="AB82" s="4582"/>
      <c r="AC82" s="4581">
        <f>'Direct sales IPT details'!AC212</f>
        <v>0</v>
      </c>
      <c r="AD82" s="4629"/>
      <c r="AE82" s="4595">
        <f t="shared" si="198"/>
        <v>2391.88</v>
      </c>
      <c r="AF82" s="4615"/>
      <c r="AG82" s="4581">
        <f>'Direct sales IPT details'!AG212</f>
        <v>0</v>
      </c>
      <c r="AH82" s="4581"/>
      <c r="AI82" s="4526">
        <f t="shared" si="199"/>
        <v>2391.88</v>
      </c>
      <c r="AJ82" s="4581"/>
      <c r="AK82" s="4581">
        <f>'Direct sales IPT details'!AK212</f>
        <v>0</v>
      </c>
      <c r="AL82" s="4582"/>
      <c r="AM82" s="4139">
        <f t="shared" si="200"/>
        <v>0</v>
      </c>
      <c r="AN82" s="4582"/>
      <c r="AO82" s="4526">
        <f t="shared" si="201"/>
        <v>2391.88</v>
      </c>
      <c r="AP82" s="4581">
        <v>0</v>
      </c>
      <c r="AQ82" s="4581">
        <f>'Direct sales IPT details'!AQ212</f>
        <v>0</v>
      </c>
      <c r="AR82" s="4581"/>
      <c r="AS82" s="4526">
        <f t="shared" si="202"/>
        <v>2391.88</v>
      </c>
      <c r="AT82" s="4581">
        <v>0</v>
      </c>
      <c r="AU82" s="4581">
        <f>'Direct sales IPT details'!AU212</f>
        <v>0</v>
      </c>
      <c r="AV82" s="4581"/>
      <c r="AW82" s="4526">
        <f t="shared" si="203"/>
        <v>2391.88</v>
      </c>
      <c r="AX82" s="4581"/>
      <c r="AY82" s="4581">
        <f>'Direct sales IPT details'!AY212</f>
        <v>0</v>
      </c>
      <c r="AZ82" s="4527"/>
      <c r="BA82" s="4140">
        <f t="shared" si="204"/>
        <v>0</v>
      </c>
      <c r="BB82" s="4523"/>
      <c r="BC82" s="4085">
        <f t="shared" si="205"/>
        <v>0</v>
      </c>
      <c r="BD82" s="4526"/>
      <c r="BE82" s="4526">
        <f t="shared" si="206"/>
        <v>2391.88</v>
      </c>
      <c r="BF82" s="1111"/>
      <c r="BG82" s="1111"/>
      <c r="BH82" s="491"/>
      <c r="BI82" s="491"/>
      <c r="BJ82" s="491"/>
      <c r="BQ82" s="491"/>
      <c r="BR82" s="491"/>
      <c r="BS82" s="491"/>
      <c r="BT82" s="491"/>
      <c r="BU82" s="491"/>
      <c r="BV82" s="491"/>
      <c r="BW82" s="491"/>
      <c r="BX82" s="491"/>
      <c r="BY82" s="491"/>
      <c r="BZ82" s="491"/>
      <c r="CA82" s="491"/>
      <c r="CB82" s="491"/>
    </row>
    <row r="83" spans="2:80" s="1240" customFormat="1" ht="21.9" customHeight="1" x14ac:dyDescent="0.3">
      <c r="B83" s="6104"/>
      <c r="C83" s="4529" t="s">
        <v>2017</v>
      </c>
      <c r="D83" s="4082"/>
      <c r="E83" s="4082">
        <f>'Direct sales IPT details'!E213</f>
        <v>0</v>
      </c>
      <c r="F83" s="4082">
        <v>0</v>
      </c>
      <c r="G83" s="4082">
        <v>0</v>
      </c>
      <c r="H83" s="1365">
        <f t="shared" si="191"/>
        <v>0</v>
      </c>
      <c r="I83" s="4526">
        <f t="shared" si="192"/>
        <v>0</v>
      </c>
      <c r="J83" s="4613"/>
      <c r="K83" s="4082">
        <f>'Direct sales IPT details'!K212</f>
        <v>0</v>
      </c>
      <c r="L83" s="4084"/>
      <c r="M83" s="4139">
        <f t="shared" si="193"/>
        <v>0</v>
      </c>
      <c r="N83" s="4081"/>
      <c r="O83" s="4082">
        <f>'Direct sales IPT details'!O212</f>
        <v>0</v>
      </c>
      <c r="P83" s="4082">
        <f>'Direct sales IPT details'!P212</f>
        <v>0</v>
      </c>
      <c r="Q83" s="4526">
        <f t="shared" si="194"/>
        <v>0</v>
      </c>
      <c r="R83" s="4081"/>
      <c r="S83" s="4082">
        <f>'Direct sales IPT details'!S213</f>
        <v>2542.38</v>
      </c>
      <c r="T83" s="1414">
        <f t="shared" si="172"/>
        <v>0</v>
      </c>
      <c r="U83" s="4526">
        <f t="shared" si="195"/>
        <v>2542.38</v>
      </c>
      <c r="V83" s="4081"/>
      <c r="W83" s="4082">
        <f>'Direct sales IPT details'!W213</f>
        <v>2589.14</v>
      </c>
      <c r="X83" s="4525"/>
      <c r="Y83" s="4140">
        <f t="shared" si="196"/>
        <v>5131.5200000000004</v>
      </c>
      <c r="Z83" s="4522"/>
      <c r="AA83" s="4085">
        <f t="shared" si="197"/>
        <v>5131.5200000000004</v>
      </c>
      <c r="AB83" s="4083"/>
      <c r="AC83" s="4082">
        <f>'Direct sales IPT details'!AC213</f>
        <v>0</v>
      </c>
      <c r="AD83" s="4629"/>
      <c r="AE83" s="4595">
        <f t="shared" si="198"/>
        <v>5131.5200000000004</v>
      </c>
      <c r="AF83" s="4615">
        <v>1</v>
      </c>
      <c r="AG83" s="4082">
        <f>'Direct sales IPT details'!AG213</f>
        <v>2314.94</v>
      </c>
      <c r="AH83" s="4082">
        <f>'Direct sales IPT details'!AH212</f>
        <v>0</v>
      </c>
      <c r="AI83" s="4526">
        <f t="shared" si="199"/>
        <v>7446.46</v>
      </c>
      <c r="AJ83" s="4082">
        <f>'Direct sales IPT details'!AJ212</f>
        <v>0</v>
      </c>
      <c r="AK83" s="4082">
        <f>'Direct sales IPT details'!AK213</f>
        <v>2034.8</v>
      </c>
      <c r="AL83" s="4083">
        <f>'Direct sales IPT details'!AL212</f>
        <v>0</v>
      </c>
      <c r="AM83" s="4139">
        <f t="shared" si="200"/>
        <v>4349.74</v>
      </c>
      <c r="AN83" s="4083">
        <f>'Direct sales IPT details'!AN212</f>
        <v>0</v>
      </c>
      <c r="AO83" s="4526">
        <f t="shared" si="201"/>
        <v>9481.2599999999984</v>
      </c>
      <c r="AP83" s="4082">
        <v>0</v>
      </c>
      <c r="AQ83" s="4082">
        <f>'Direct sales IPT details'!AQ213</f>
        <v>0</v>
      </c>
      <c r="AR83" s="4082">
        <f>'Direct sales IPT details'!AR212</f>
        <v>0</v>
      </c>
      <c r="AS83" s="4526">
        <f t="shared" si="202"/>
        <v>9481.2599999999984</v>
      </c>
      <c r="AT83" s="4082">
        <v>1</v>
      </c>
      <c r="AU83" s="4082">
        <f>'Direct sales IPT details'!AU213</f>
        <v>2140.31</v>
      </c>
      <c r="AV83" s="4082">
        <f>'Direct sales IPT details'!AV212</f>
        <v>0</v>
      </c>
      <c r="AW83" s="4526">
        <f t="shared" si="203"/>
        <v>11621.57</v>
      </c>
      <c r="AX83" s="4082"/>
      <c r="AY83" s="4082">
        <f>'Direct sales IPT details'!AY213</f>
        <v>0</v>
      </c>
      <c r="AZ83" s="4084">
        <f>'Direct sales IPT details'!AZ212</f>
        <v>0</v>
      </c>
      <c r="BA83" s="4140">
        <f t="shared" si="204"/>
        <v>2140.31</v>
      </c>
      <c r="BB83" s="4085">
        <f>'Direct sales IPT details'!BB212</f>
        <v>0</v>
      </c>
      <c r="BC83" s="4085">
        <f t="shared" si="205"/>
        <v>6490.0499999999993</v>
      </c>
      <c r="BD83" s="4086">
        <f>'Direct sales IPT details'!BD212</f>
        <v>0</v>
      </c>
      <c r="BE83" s="4526">
        <f t="shared" si="206"/>
        <v>11621.57</v>
      </c>
      <c r="BF83" s="1111"/>
      <c r="BG83" s="1111"/>
      <c r="BH83" s="491"/>
      <c r="BI83" s="491"/>
      <c r="BJ83" s="491"/>
      <c r="BQ83" s="491"/>
      <c r="BR83" s="491"/>
      <c r="BS83" s="491"/>
      <c r="BT83" s="491"/>
      <c r="BU83" s="491"/>
      <c r="BV83" s="491"/>
      <c r="BW83" s="491"/>
      <c r="BX83" s="491"/>
      <c r="BY83" s="491"/>
      <c r="BZ83" s="491"/>
      <c r="CA83" s="491"/>
      <c r="CB83" s="491"/>
    </row>
    <row r="84" spans="2:80" s="1240" customFormat="1" ht="21.9" customHeight="1" x14ac:dyDescent="0.3">
      <c r="B84" s="6104"/>
      <c r="C84" s="4596" t="s">
        <v>1297</v>
      </c>
      <c r="D84" s="4597">
        <f t="shared" ref="D84:E84" si="208">SUM(D80:D83)</f>
        <v>0</v>
      </c>
      <c r="E84" s="4597">
        <f t="shared" si="208"/>
        <v>13558</v>
      </c>
      <c r="F84" s="4597">
        <f t="shared" ref="F84:G84" si="209">SUM(F80:F83)</f>
        <v>6</v>
      </c>
      <c r="G84" s="4597">
        <f t="shared" si="209"/>
        <v>13839.05</v>
      </c>
      <c r="H84" s="4597">
        <f t="shared" ref="H84:BE84" si="210">SUM(H80:H83)</f>
        <v>6</v>
      </c>
      <c r="I84" s="4597">
        <f t="shared" si="210"/>
        <v>27397.05</v>
      </c>
      <c r="J84" s="4597">
        <f t="shared" si="210"/>
        <v>0</v>
      </c>
      <c r="K84" s="4597">
        <f t="shared" si="210"/>
        <v>0</v>
      </c>
      <c r="L84" s="4597">
        <f t="shared" si="210"/>
        <v>0</v>
      </c>
      <c r="M84" s="4597">
        <f t="shared" si="210"/>
        <v>27397.05</v>
      </c>
      <c r="N84" s="4597">
        <f t="shared" si="210"/>
        <v>0</v>
      </c>
      <c r="O84" s="4597">
        <f t="shared" si="210"/>
        <v>0</v>
      </c>
      <c r="P84" s="4597">
        <f t="shared" si="210"/>
        <v>0</v>
      </c>
      <c r="Q84" s="4597">
        <f t="shared" si="210"/>
        <v>27397.05</v>
      </c>
      <c r="R84" s="4597">
        <f t="shared" si="210"/>
        <v>0</v>
      </c>
      <c r="S84" s="4597">
        <f t="shared" si="210"/>
        <v>2542.38</v>
      </c>
      <c r="T84" s="4597">
        <f t="shared" si="210"/>
        <v>0</v>
      </c>
      <c r="U84" s="4597">
        <f t="shared" si="210"/>
        <v>29939.43</v>
      </c>
      <c r="V84" s="4597">
        <f t="shared" si="210"/>
        <v>0</v>
      </c>
      <c r="W84" s="4597">
        <f t="shared" si="210"/>
        <v>9859.31</v>
      </c>
      <c r="X84" s="4597">
        <f t="shared" si="210"/>
        <v>0</v>
      </c>
      <c r="Y84" s="4597">
        <f t="shared" si="210"/>
        <v>12401.69</v>
      </c>
      <c r="Z84" s="4597">
        <f t="shared" si="210"/>
        <v>0</v>
      </c>
      <c r="AA84" s="4597">
        <f t="shared" si="210"/>
        <v>39798.740000000005</v>
      </c>
      <c r="AB84" s="4597">
        <f t="shared" si="210"/>
        <v>0</v>
      </c>
      <c r="AC84" s="4597">
        <f t="shared" si="210"/>
        <v>4508.43</v>
      </c>
      <c r="AD84" s="4632">
        <f t="shared" si="210"/>
        <v>0</v>
      </c>
      <c r="AE84" s="4603">
        <f t="shared" si="210"/>
        <v>44307.17</v>
      </c>
      <c r="AF84" s="4642">
        <f t="shared" si="210"/>
        <v>8</v>
      </c>
      <c r="AG84" s="4597">
        <f t="shared" ref="AG84" si="211">SUM(AG80:AG83)</f>
        <v>17443.419999999998</v>
      </c>
      <c r="AH84" s="4597">
        <f t="shared" si="210"/>
        <v>0</v>
      </c>
      <c r="AI84" s="4597">
        <f t="shared" si="199"/>
        <v>61750.59</v>
      </c>
      <c r="AJ84" s="4597">
        <f t="shared" si="210"/>
        <v>0</v>
      </c>
      <c r="AK84" s="4597">
        <f t="shared" si="210"/>
        <v>22244.52</v>
      </c>
      <c r="AL84" s="4597">
        <f t="shared" si="210"/>
        <v>0</v>
      </c>
      <c r="AM84" s="4597">
        <f t="shared" si="210"/>
        <v>44196.37</v>
      </c>
      <c r="AN84" s="4597">
        <f t="shared" si="210"/>
        <v>0</v>
      </c>
      <c r="AO84" s="4597">
        <f t="shared" si="210"/>
        <v>83995.11</v>
      </c>
      <c r="AP84" s="4597">
        <f t="shared" ref="AP84:AQ84" si="212">SUM(AP80:AP83)</f>
        <v>6</v>
      </c>
      <c r="AQ84" s="4597">
        <f t="shared" si="212"/>
        <v>13342.22</v>
      </c>
      <c r="AR84" s="4597">
        <f t="shared" si="210"/>
        <v>0</v>
      </c>
      <c r="AS84" s="4597">
        <f t="shared" si="210"/>
        <v>97337.33</v>
      </c>
      <c r="AT84" s="4597">
        <f t="shared" si="210"/>
        <v>7</v>
      </c>
      <c r="AU84" s="4597">
        <f t="shared" si="210"/>
        <v>15686.539999999999</v>
      </c>
      <c r="AV84" s="4597">
        <f t="shared" si="210"/>
        <v>0</v>
      </c>
      <c r="AW84" s="4597">
        <f t="shared" si="210"/>
        <v>113023.87</v>
      </c>
      <c r="AX84" s="4597">
        <f t="shared" ref="AX84:AY84" si="213">SUM(AX80:AX83)</f>
        <v>0</v>
      </c>
      <c r="AY84" s="4597">
        <f t="shared" si="213"/>
        <v>12646.78</v>
      </c>
      <c r="AZ84" s="4597">
        <f t="shared" si="210"/>
        <v>0</v>
      </c>
      <c r="BA84" s="4597">
        <f t="shared" si="210"/>
        <v>41675.539999999994</v>
      </c>
      <c r="BB84" s="4597">
        <f t="shared" si="210"/>
        <v>0</v>
      </c>
      <c r="BC84" s="4597">
        <f t="shared" si="210"/>
        <v>85871.909999999989</v>
      </c>
      <c r="BD84" s="4597">
        <f t="shared" si="210"/>
        <v>0</v>
      </c>
      <c r="BE84" s="4597">
        <f t="shared" si="210"/>
        <v>125670.65</v>
      </c>
      <c r="BF84" s="1111"/>
      <c r="BG84" s="1111"/>
      <c r="BH84" s="23"/>
      <c r="BI84" s="491"/>
      <c r="BJ84" s="491"/>
      <c r="BQ84" s="491"/>
      <c r="BR84" s="491"/>
      <c r="BS84" s="491"/>
      <c r="BT84" s="491"/>
      <c r="BU84" s="491"/>
      <c r="BV84" s="491"/>
      <c r="BW84" s="491"/>
      <c r="BX84" s="491"/>
      <c r="BY84" s="491"/>
      <c r="BZ84" s="491"/>
      <c r="CA84" s="491"/>
      <c r="CB84" s="491"/>
    </row>
    <row r="85" spans="2:80" ht="15.75" customHeight="1" x14ac:dyDescent="0.3">
      <c r="B85" s="6104"/>
      <c r="C85" s="4571"/>
      <c r="E85" s="4571"/>
      <c r="G85" s="4571"/>
      <c r="H85" s="4571"/>
      <c r="I85" s="4571"/>
      <c r="J85" s="4600"/>
      <c r="K85" s="4600"/>
      <c r="L85" s="4571"/>
      <c r="M85" s="4571"/>
      <c r="N85" s="4571"/>
      <c r="O85" s="4571"/>
      <c r="P85" s="4571"/>
      <c r="Q85" s="4571"/>
      <c r="R85" s="4571"/>
      <c r="S85" s="4571"/>
      <c r="T85" s="4571"/>
      <c r="U85" s="4571"/>
      <c r="V85" s="4571"/>
      <c r="W85" s="4571"/>
      <c r="X85" s="4571"/>
      <c r="Y85" s="4571"/>
      <c r="Z85" s="4571"/>
      <c r="AA85" s="4571"/>
      <c r="AB85" s="4571"/>
      <c r="AC85" s="4571"/>
      <c r="AD85" s="4633"/>
      <c r="AG85" s="4571"/>
      <c r="AK85" s="4571"/>
      <c r="AQ85" s="4571"/>
      <c r="AU85" s="4571"/>
      <c r="AY85" s="4571"/>
      <c r="BF85" s="1111"/>
      <c r="BG85" s="1111"/>
      <c r="BH85" s="491"/>
      <c r="BI85" s="491"/>
      <c r="BJ85" s="491"/>
      <c r="BQ85" s="491"/>
      <c r="BR85" s="491"/>
      <c r="BS85" s="491"/>
      <c r="BT85" s="491"/>
      <c r="BU85" s="491"/>
      <c r="BV85" s="491"/>
      <c r="BW85" s="491"/>
      <c r="BX85" s="491"/>
      <c r="BY85" s="491"/>
      <c r="BZ85" s="491"/>
      <c r="CA85" s="491"/>
      <c r="CB85" s="491"/>
    </row>
    <row r="86" spans="2:80" ht="16.2" thickBot="1" x14ac:dyDescent="0.35">
      <c r="B86" s="6104"/>
      <c r="C86" s="4606" t="s">
        <v>1844</v>
      </c>
      <c r="D86" s="4607">
        <f t="shared" ref="D86:E86" si="214">+SUM(D87:D88)</f>
        <v>0</v>
      </c>
      <c r="E86" s="4607">
        <f t="shared" si="214"/>
        <v>7173</v>
      </c>
      <c r="F86" s="4607">
        <f t="shared" ref="F86:G86" si="215">+SUM(F87:F88)</f>
        <v>0</v>
      </c>
      <c r="G86" s="4607">
        <f t="shared" si="215"/>
        <v>0</v>
      </c>
      <c r="H86" s="4607">
        <f t="shared" ref="H86:BE86" si="216">+SUM(H87:H88)</f>
        <v>0</v>
      </c>
      <c r="I86" s="4607">
        <f t="shared" si="216"/>
        <v>7173</v>
      </c>
      <c r="J86" s="4607">
        <f t="shared" si="216"/>
        <v>0</v>
      </c>
      <c r="K86" s="4607">
        <f t="shared" si="216"/>
        <v>0</v>
      </c>
      <c r="L86" s="4607">
        <f t="shared" si="216"/>
        <v>0</v>
      </c>
      <c r="M86" s="4607">
        <f t="shared" si="216"/>
        <v>7173</v>
      </c>
      <c r="N86" s="4607">
        <f t="shared" si="216"/>
        <v>0</v>
      </c>
      <c r="O86" s="4607">
        <f t="shared" si="216"/>
        <v>3764</v>
      </c>
      <c r="P86" s="4607">
        <f t="shared" si="216"/>
        <v>0</v>
      </c>
      <c r="Q86" s="4607">
        <f t="shared" si="216"/>
        <v>10937</v>
      </c>
      <c r="R86" s="4607">
        <f t="shared" si="216"/>
        <v>0</v>
      </c>
      <c r="S86" s="4607">
        <f t="shared" si="216"/>
        <v>0</v>
      </c>
      <c r="T86" s="4607">
        <f t="shared" si="216"/>
        <v>0</v>
      </c>
      <c r="U86" s="4607">
        <f t="shared" si="216"/>
        <v>10937</v>
      </c>
      <c r="V86" s="4607">
        <f t="shared" si="216"/>
        <v>0</v>
      </c>
      <c r="W86" s="4607">
        <f t="shared" si="216"/>
        <v>0</v>
      </c>
      <c r="X86" s="4607">
        <f t="shared" si="216"/>
        <v>0</v>
      </c>
      <c r="Y86" s="4607">
        <f t="shared" si="216"/>
        <v>3764</v>
      </c>
      <c r="Z86" s="4607">
        <f t="shared" si="216"/>
        <v>0</v>
      </c>
      <c r="AA86" s="4607">
        <f t="shared" si="216"/>
        <v>10937</v>
      </c>
      <c r="AB86" s="4607">
        <f t="shared" si="216"/>
        <v>0</v>
      </c>
      <c r="AC86" s="4607">
        <f t="shared" si="216"/>
        <v>3476.11</v>
      </c>
      <c r="AD86" s="4607">
        <f t="shared" si="216"/>
        <v>0</v>
      </c>
      <c r="AE86" s="4607">
        <f t="shared" si="216"/>
        <v>14413.11</v>
      </c>
      <c r="AF86" s="4609">
        <f t="shared" si="216"/>
        <v>1</v>
      </c>
      <c r="AG86" s="4607">
        <f t="shared" si="216"/>
        <v>3090.62</v>
      </c>
      <c r="AH86" s="4607">
        <f t="shared" si="216"/>
        <v>0</v>
      </c>
      <c r="AI86" s="4607">
        <f t="shared" si="216"/>
        <v>17503.73</v>
      </c>
      <c r="AJ86" s="4607">
        <f t="shared" si="216"/>
        <v>0</v>
      </c>
      <c r="AK86" s="4607">
        <f t="shared" ref="AK86" si="217">+SUM(AK87:AK88)</f>
        <v>3105.11</v>
      </c>
      <c r="AL86" s="4607">
        <f t="shared" si="216"/>
        <v>0</v>
      </c>
      <c r="AM86" s="4607">
        <f t="shared" si="216"/>
        <v>9671.84</v>
      </c>
      <c r="AN86" s="4607">
        <f t="shared" si="216"/>
        <v>0</v>
      </c>
      <c r="AO86" s="4607">
        <f t="shared" si="216"/>
        <v>20608.84</v>
      </c>
      <c r="AP86" s="4607">
        <f t="shared" ref="AP86" si="218">+SUM(AP87:AP88)</f>
        <v>2</v>
      </c>
      <c r="AQ86" s="4607">
        <f t="shared" ref="AQ86" si="219">+SUM(AQ87:AQ88)</f>
        <v>6210.87</v>
      </c>
      <c r="AR86" s="4607">
        <f t="shared" si="216"/>
        <v>0</v>
      </c>
      <c r="AS86" s="4607">
        <f t="shared" si="216"/>
        <v>26819.71</v>
      </c>
      <c r="AT86" s="4607">
        <f t="shared" ref="AT86:AU86" si="220">+SUM(AT87:AT88)</f>
        <v>0</v>
      </c>
      <c r="AU86" s="4607">
        <f t="shared" si="220"/>
        <v>0</v>
      </c>
      <c r="AV86" s="4607">
        <f t="shared" si="216"/>
        <v>0</v>
      </c>
      <c r="AW86" s="4607">
        <f t="shared" si="216"/>
        <v>26819.71</v>
      </c>
      <c r="AX86" s="4607">
        <f t="shared" ref="AX86:AY86" si="221">+SUM(AX87:AX88)</f>
        <v>0</v>
      </c>
      <c r="AY86" s="4607">
        <f t="shared" si="221"/>
        <v>3277.84</v>
      </c>
      <c r="AZ86" s="4607">
        <f t="shared" si="216"/>
        <v>0</v>
      </c>
      <c r="BA86" s="4607">
        <f t="shared" si="216"/>
        <v>9488.7099999999991</v>
      </c>
      <c r="BB86" s="4607">
        <f t="shared" si="216"/>
        <v>0</v>
      </c>
      <c r="BC86" s="4607">
        <f t="shared" si="216"/>
        <v>19160.55</v>
      </c>
      <c r="BD86" s="4607">
        <f t="shared" si="216"/>
        <v>0</v>
      </c>
      <c r="BE86" s="4607">
        <f t="shared" si="216"/>
        <v>30097.55</v>
      </c>
      <c r="BF86" s="1111"/>
      <c r="BG86" s="1111"/>
      <c r="BI86" s="491"/>
      <c r="BJ86" s="491"/>
      <c r="BQ86" s="491"/>
      <c r="BR86" s="491"/>
      <c r="BS86" s="491"/>
      <c r="BT86" s="491"/>
      <c r="BU86" s="491"/>
      <c r="BV86" s="491"/>
      <c r="BW86" s="491"/>
      <c r="BX86" s="491"/>
      <c r="BY86" s="491"/>
      <c r="BZ86" s="491"/>
      <c r="CA86" s="491"/>
      <c r="CB86" s="491"/>
    </row>
    <row r="87" spans="2:80" ht="18" x14ac:dyDescent="0.3">
      <c r="B87" s="6104"/>
      <c r="C87" s="4601" t="s">
        <v>1739</v>
      </c>
      <c r="D87" s="4083"/>
      <c r="E87" s="4581"/>
      <c r="F87" s="4083"/>
      <c r="G87" s="4582">
        <f>'Direct sales IPT details'!G212</f>
        <v>0</v>
      </c>
      <c r="H87" s="4593">
        <f t="shared" si="191"/>
        <v>0</v>
      </c>
      <c r="I87" s="4526">
        <f t="shared" ref="I87:I88" si="222">+G87+E87</f>
        <v>0</v>
      </c>
      <c r="J87" s="4520"/>
      <c r="K87" s="4581">
        <v>0</v>
      </c>
      <c r="L87" s="4521"/>
      <c r="M87" s="4139">
        <f t="shared" ref="M87:M88" si="223">+E87+G87+K87</f>
        <v>0</v>
      </c>
      <c r="N87" s="4520"/>
      <c r="O87" s="4581">
        <v>3764</v>
      </c>
      <c r="P87" s="4526">
        <f t="shared" ref="P87" si="224">L87+N87</f>
        <v>0</v>
      </c>
      <c r="Q87" s="4526">
        <f t="shared" ref="Q87:Q88" si="225">+E87+G87+K87+O87</f>
        <v>3764</v>
      </c>
      <c r="R87" s="4520"/>
      <c r="S87" s="4581">
        <v>0</v>
      </c>
      <c r="T87" s="4526">
        <f t="shared" si="172"/>
        <v>0</v>
      </c>
      <c r="U87" s="4526">
        <f t="shared" ref="U87:U88" si="226">+E87+S87+O87+K87+G87</f>
        <v>3764</v>
      </c>
      <c r="V87" s="4520"/>
      <c r="W87" s="4581">
        <v>0</v>
      </c>
      <c r="X87" s="4527"/>
      <c r="Y87" s="4140">
        <f t="shared" ref="Y87:Y88" si="227">+O87+S87+W87</f>
        <v>3764</v>
      </c>
      <c r="Z87" s="4604"/>
      <c r="AA87" s="4085">
        <f t="shared" ref="AA87:AA88" si="228">+W87+S87+O87+K87+G87+E87</f>
        <v>3764</v>
      </c>
      <c r="AB87" s="4520"/>
      <c r="AC87" s="4581">
        <v>0</v>
      </c>
      <c r="AD87" s="4626"/>
      <c r="AE87" s="4595">
        <f t="shared" ref="AE87:AE88" si="229">+AC87+W87+S87+O87+K87+G87+E87</f>
        <v>3764</v>
      </c>
      <c r="AF87" s="4599"/>
      <c r="AG87" s="4581"/>
      <c r="AH87" s="4089">
        <f t="shared" ref="AH87" si="230">AD87+AF87</f>
        <v>0</v>
      </c>
      <c r="AI87" s="4526">
        <f t="shared" si="199"/>
        <v>3764</v>
      </c>
      <c r="AJ87" s="4083"/>
      <c r="AK87" s="4581"/>
      <c r="AL87" s="4079">
        <f t="shared" ref="AL87:AM88" si="231">+AB87+AF87+AJ87</f>
        <v>0</v>
      </c>
      <c r="AM87" s="4139">
        <f t="shared" si="231"/>
        <v>0</v>
      </c>
      <c r="AN87" s="4078">
        <f t="shared" ref="AN87" si="232">AH87+AJ87</f>
        <v>0</v>
      </c>
      <c r="AO87" s="4526">
        <f t="shared" ref="AO87:AO95" si="233">+AK87+AG87+AC87+W87+S87+O87+K87+G87+E87</f>
        <v>3764</v>
      </c>
      <c r="AP87" s="4083">
        <v>0</v>
      </c>
      <c r="AQ87" s="4581">
        <v>0</v>
      </c>
      <c r="AR87" s="4086">
        <f t="shared" ref="AR87" si="234">AN87+AP87</f>
        <v>0</v>
      </c>
      <c r="AS87" s="4526">
        <f t="shared" ref="AS87:AS88" si="235">+AQ87+AK87+AG87+AC87+W87+S87+O87+K87+G87+E87</f>
        <v>3764</v>
      </c>
      <c r="AT87" s="4083"/>
      <c r="AU87" s="4581"/>
      <c r="AV87" s="4086">
        <f t="shared" ref="AV87" si="236">AR87+AT87</f>
        <v>0</v>
      </c>
      <c r="AW87" s="4526">
        <f t="shared" ref="AW87:AW88" si="237">+AU87+AQ87+AK87+AG87+AC87+W87+S87+O87+K87+G87+E87</f>
        <v>3764</v>
      </c>
      <c r="AX87" s="4083"/>
      <c r="AY87" s="4581"/>
      <c r="AZ87" s="4084">
        <f t="shared" ref="AZ87:BA88" si="238">+AP87+AT87+AX87</f>
        <v>0</v>
      </c>
      <c r="BA87" s="4140">
        <f t="shared" si="238"/>
        <v>0</v>
      </c>
      <c r="BB87" s="4088">
        <f t="shared" ref="BB87:BC88" si="239">AL87+AZ87</f>
        <v>0</v>
      </c>
      <c r="BC87" s="4085">
        <f t="shared" si="239"/>
        <v>0</v>
      </c>
      <c r="BD87" s="1365">
        <f t="shared" ref="BD87" si="240">AV87+AX87</f>
        <v>0</v>
      </c>
      <c r="BE87" s="4526">
        <f t="shared" ref="BE87:BE88" si="241">+BC87+AA87</f>
        <v>3764</v>
      </c>
      <c r="BF87" s="1111"/>
      <c r="BG87" s="1111"/>
      <c r="BI87" s="491"/>
      <c r="BJ87" s="491"/>
      <c r="BQ87" s="491"/>
      <c r="BR87" s="491"/>
      <c r="BS87" s="491"/>
      <c r="BT87" s="491"/>
      <c r="BU87" s="491"/>
      <c r="BV87" s="491"/>
      <c r="BW87" s="491"/>
      <c r="BX87" s="491"/>
      <c r="BY87" s="491"/>
      <c r="BZ87" s="491"/>
      <c r="CA87" s="491"/>
      <c r="CB87" s="491"/>
    </row>
    <row r="88" spans="2:80" ht="18" x14ac:dyDescent="0.3">
      <c r="B88" s="6104"/>
      <c r="C88" s="4601" t="s">
        <v>2056</v>
      </c>
      <c r="D88" s="4582"/>
      <c r="E88" s="4581">
        <v>7173</v>
      </c>
      <c r="F88" s="4582"/>
      <c r="G88" s="4582">
        <f>'Direct sales IPT details'!G213</f>
        <v>0</v>
      </c>
      <c r="H88" s="4593"/>
      <c r="I88" s="4526">
        <f t="shared" si="222"/>
        <v>7173</v>
      </c>
      <c r="J88" s="4520"/>
      <c r="K88" s="4581">
        <v>0</v>
      </c>
      <c r="L88" s="4521"/>
      <c r="M88" s="4139">
        <f t="shared" si="223"/>
        <v>7173</v>
      </c>
      <c r="N88" s="4520"/>
      <c r="O88" s="4581">
        <v>0</v>
      </c>
      <c r="P88" s="4526"/>
      <c r="Q88" s="4526">
        <f t="shared" si="225"/>
        <v>7173</v>
      </c>
      <c r="R88" s="4520"/>
      <c r="S88" s="4581">
        <v>0</v>
      </c>
      <c r="T88" s="4526"/>
      <c r="U88" s="4526">
        <f t="shared" si="226"/>
        <v>7173</v>
      </c>
      <c r="V88" s="4520"/>
      <c r="W88" s="4581">
        <v>0</v>
      </c>
      <c r="X88" s="4527"/>
      <c r="Y88" s="4140">
        <f t="shared" si="227"/>
        <v>0</v>
      </c>
      <c r="Z88" s="4604"/>
      <c r="AA88" s="4085">
        <f t="shared" si="228"/>
        <v>7173</v>
      </c>
      <c r="AB88" s="4520"/>
      <c r="AC88" s="4581">
        <v>3476.11</v>
      </c>
      <c r="AD88" s="4626"/>
      <c r="AE88" s="4595">
        <f t="shared" si="229"/>
        <v>10649.11</v>
      </c>
      <c r="AF88" s="4599">
        <v>1</v>
      </c>
      <c r="AG88" s="4581">
        <v>3090.62</v>
      </c>
      <c r="AH88" s="4593"/>
      <c r="AI88" s="4526">
        <f t="shared" si="199"/>
        <v>13739.73</v>
      </c>
      <c r="AJ88" s="4582"/>
      <c r="AK88" s="4581">
        <v>3105.11</v>
      </c>
      <c r="AL88" s="4521"/>
      <c r="AM88" s="4139">
        <f t="shared" si="231"/>
        <v>9671.84</v>
      </c>
      <c r="AN88" s="4594"/>
      <c r="AO88" s="4526">
        <f t="shared" si="233"/>
        <v>16844.84</v>
      </c>
      <c r="AP88" s="4582">
        <v>2</v>
      </c>
      <c r="AQ88" s="4581">
        <v>6210.87</v>
      </c>
      <c r="AR88" s="4526"/>
      <c r="AS88" s="4526">
        <f t="shared" si="235"/>
        <v>23055.71</v>
      </c>
      <c r="AT88" s="4582"/>
      <c r="AU88" s="4581"/>
      <c r="AV88" s="4526"/>
      <c r="AW88" s="4526">
        <f t="shared" si="237"/>
        <v>23055.71</v>
      </c>
      <c r="AX88" s="4582"/>
      <c r="AY88" s="4581">
        <v>3277.84</v>
      </c>
      <c r="AZ88" s="4527"/>
      <c r="BA88" s="4140">
        <f t="shared" si="238"/>
        <v>9488.7099999999991</v>
      </c>
      <c r="BB88" s="4522"/>
      <c r="BC88" s="4085">
        <f t="shared" si="239"/>
        <v>19160.55</v>
      </c>
      <c r="BD88" s="3470"/>
      <c r="BE88" s="4526">
        <f t="shared" si="241"/>
        <v>26333.55</v>
      </c>
      <c r="BF88" s="1111"/>
      <c r="BG88" s="1111"/>
      <c r="BI88" s="491"/>
      <c r="BJ88" s="491"/>
      <c r="BQ88" s="491"/>
      <c r="BR88" s="491"/>
      <c r="BS88" s="491"/>
      <c r="BT88" s="491"/>
      <c r="BU88" s="491"/>
      <c r="BV88" s="491"/>
      <c r="BW88" s="491"/>
      <c r="BX88" s="491"/>
      <c r="BY88" s="491"/>
      <c r="BZ88" s="491"/>
      <c r="CA88" s="491"/>
      <c r="CB88" s="491"/>
    </row>
    <row r="89" spans="2:80" ht="15.6" x14ac:dyDescent="0.3">
      <c r="B89" s="6104"/>
      <c r="C89" s="4606" t="s">
        <v>1845</v>
      </c>
      <c r="D89" s="4607">
        <f t="shared" ref="D89:F89" si="242">+D90+D91+D92</f>
        <v>0</v>
      </c>
      <c r="E89" s="4607">
        <f>+E90+E91+E92</f>
        <v>0</v>
      </c>
      <c r="F89" s="4607">
        <f t="shared" si="242"/>
        <v>0</v>
      </c>
      <c r="G89" s="4607">
        <f>+G90+G91+G92</f>
        <v>0</v>
      </c>
      <c r="H89" s="4607">
        <f t="shared" ref="H89:AJ89" si="243">+H90+H91+H92</f>
        <v>0</v>
      </c>
      <c r="I89" s="4607">
        <f t="shared" si="243"/>
        <v>0</v>
      </c>
      <c r="J89" s="4607">
        <f t="shared" si="243"/>
        <v>0</v>
      </c>
      <c r="K89" s="4607">
        <f t="shared" si="243"/>
        <v>0</v>
      </c>
      <c r="L89" s="4607">
        <f t="shared" si="243"/>
        <v>0</v>
      </c>
      <c r="M89" s="4607">
        <f t="shared" si="243"/>
        <v>0</v>
      </c>
      <c r="N89" s="4607">
        <f t="shared" si="243"/>
        <v>0</v>
      </c>
      <c r="O89" s="4607">
        <f t="shared" si="243"/>
        <v>2771.29</v>
      </c>
      <c r="P89" s="4607">
        <f t="shared" si="243"/>
        <v>0</v>
      </c>
      <c r="Q89" s="4607">
        <f t="shared" si="243"/>
        <v>2771.29</v>
      </c>
      <c r="R89" s="4607">
        <f t="shared" si="243"/>
        <v>0</v>
      </c>
      <c r="S89" s="4607">
        <f t="shared" si="243"/>
        <v>0</v>
      </c>
      <c r="T89" s="4607">
        <f t="shared" si="243"/>
        <v>0</v>
      </c>
      <c r="U89" s="4607">
        <f t="shared" si="243"/>
        <v>2771.29</v>
      </c>
      <c r="V89" s="4607">
        <f t="shared" si="243"/>
        <v>0</v>
      </c>
      <c r="W89" s="4607">
        <f t="shared" si="243"/>
        <v>3223</v>
      </c>
      <c r="X89" s="4607">
        <f t="shared" si="243"/>
        <v>0</v>
      </c>
      <c r="Y89" s="4607">
        <f t="shared" si="243"/>
        <v>5994.29</v>
      </c>
      <c r="Z89" s="4607">
        <f t="shared" si="243"/>
        <v>0</v>
      </c>
      <c r="AA89" s="4607">
        <f t="shared" si="243"/>
        <v>5994.29</v>
      </c>
      <c r="AB89" s="4607">
        <f t="shared" si="243"/>
        <v>0</v>
      </c>
      <c r="AC89" s="4607">
        <f t="shared" si="243"/>
        <v>0</v>
      </c>
      <c r="AD89" s="4634">
        <f t="shared" si="243"/>
        <v>0</v>
      </c>
      <c r="AE89" s="4607">
        <f t="shared" si="243"/>
        <v>5994.29</v>
      </c>
      <c r="AF89" s="4609">
        <f t="shared" si="243"/>
        <v>0</v>
      </c>
      <c r="AG89" s="4607">
        <f t="shared" si="243"/>
        <v>2863.49</v>
      </c>
      <c r="AH89" s="4607">
        <f t="shared" si="243"/>
        <v>0</v>
      </c>
      <c r="AI89" s="4607">
        <f t="shared" si="243"/>
        <v>8857.7799999999988</v>
      </c>
      <c r="AJ89" s="4607">
        <f t="shared" si="243"/>
        <v>0</v>
      </c>
      <c r="AK89" s="4607">
        <f>+AK90+AK91+AK92</f>
        <v>3698.75</v>
      </c>
      <c r="AL89" s="4607">
        <f t="shared" ref="AL89:BE89" si="244">+AL90+AL91+AL92</f>
        <v>0</v>
      </c>
      <c r="AM89" s="4607">
        <f t="shared" si="244"/>
        <v>6562.24</v>
      </c>
      <c r="AN89" s="4607">
        <f t="shared" si="244"/>
        <v>0</v>
      </c>
      <c r="AO89" s="4607">
        <f t="shared" si="244"/>
        <v>12556.53</v>
      </c>
      <c r="AP89" s="4607">
        <f t="shared" si="244"/>
        <v>1</v>
      </c>
      <c r="AQ89" s="4607">
        <f>+AQ90+AQ91+AQ92</f>
        <v>2673.7</v>
      </c>
      <c r="AR89" s="4607">
        <f t="shared" si="244"/>
        <v>0</v>
      </c>
      <c r="AS89" s="4607">
        <f t="shared" si="244"/>
        <v>15230.23</v>
      </c>
      <c r="AT89" s="4607">
        <f t="shared" ref="AT89" si="245">+AT90+AT91+AT92</f>
        <v>0</v>
      </c>
      <c r="AU89" s="4607">
        <f>+AU90+AU91+AU92</f>
        <v>0</v>
      </c>
      <c r="AV89" s="4607">
        <f t="shared" si="244"/>
        <v>0</v>
      </c>
      <c r="AW89" s="4607">
        <f t="shared" si="244"/>
        <v>15230.229999999998</v>
      </c>
      <c r="AX89" s="4607">
        <f t="shared" si="244"/>
        <v>0</v>
      </c>
      <c r="AY89" s="4607">
        <f>+AY90+AY91+AY92</f>
        <v>0</v>
      </c>
      <c r="AZ89" s="4607">
        <f t="shared" si="244"/>
        <v>0</v>
      </c>
      <c r="BA89" s="4607">
        <f t="shared" si="244"/>
        <v>2673.7</v>
      </c>
      <c r="BB89" s="4607">
        <f t="shared" si="244"/>
        <v>0</v>
      </c>
      <c r="BC89" s="4607">
        <f t="shared" si="244"/>
        <v>9235.9399999999987</v>
      </c>
      <c r="BD89" s="4607">
        <f t="shared" si="244"/>
        <v>0</v>
      </c>
      <c r="BE89" s="4607">
        <f t="shared" si="244"/>
        <v>15230.23</v>
      </c>
      <c r="BF89" s="1111"/>
      <c r="BG89" s="1111"/>
      <c r="BI89" s="491"/>
      <c r="BJ89" s="491"/>
      <c r="BQ89" s="491"/>
      <c r="BR89" s="491"/>
      <c r="BS89" s="491"/>
      <c r="BT89" s="491"/>
      <c r="BU89" s="491"/>
      <c r="BV89" s="491"/>
      <c r="BW89" s="491"/>
      <c r="BX89" s="491"/>
      <c r="BY89" s="491"/>
      <c r="BZ89" s="491"/>
      <c r="CA89" s="491"/>
      <c r="CB89" s="491"/>
    </row>
    <row r="90" spans="2:80" ht="15.6" hidden="1" x14ac:dyDescent="0.3">
      <c r="B90" s="6104"/>
      <c r="C90" s="4602" t="s">
        <v>1843</v>
      </c>
      <c r="D90" s="4083">
        <f>'Direct sales IPT details'!D215</f>
        <v>0</v>
      </c>
      <c r="E90" s="4582">
        <f>'Direct sales IPT details'!E215</f>
        <v>0</v>
      </c>
      <c r="F90" s="4083">
        <f>'Direct sales IPT details'!F215</f>
        <v>0</v>
      </c>
      <c r="G90" s="4582">
        <f>'Direct sales IPT details'!G215</f>
        <v>0</v>
      </c>
      <c r="H90" s="4593">
        <f t="shared" si="191"/>
        <v>0</v>
      </c>
      <c r="I90" s="4526">
        <f t="shared" ref="I90:I91" si="246">+G90+E90</f>
        <v>0</v>
      </c>
      <c r="J90" s="4520"/>
      <c r="K90" s="4582">
        <f>'Direct sales IPT details'!K215</f>
        <v>0</v>
      </c>
      <c r="L90" s="4521"/>
      <c r="M90" s="4139">
        <f t="shared" ref="M90:M91" si="247">+E90+G90+K90</f>
        <v>0</v>
      </c>
      <c r="N90" s="4520"/>
      <c r="O90" s="4582">
        <f>'Direct sales IPT details'!O215</f>
        <v>0</v>
      </c>
      <c r="P90" s="4526">
        <f>'Direct sales IPT details'!P215</f>
        <v>0</v>
      </c>
      <c r="Q90" s="4526">
        <f t="shared" ref="Q90:Q91" si="248">+E90+G90+K90+O90</f>
        <v>0</v>
      </c>
      <c r="R90" s="4520"/>
      <c r="S90" s="4582">
        <f>'Direct sales IPT details'!S215</f>
        <v>0</v>
      </c>
      <c r="T90" s="4526">
        <f t="shared" si="172"/>
        <v>0</v>
      </c>
      <c r="U90" s="4526">
        <f t="shared" ref="U90:U91" si="249">+E90+S90+O90+K90+G90</f>
        <v>0</v>
      </c>
      <c r="V90" s="4520"/>
      <c r="W90" s="4582">
        <f>'Direct sales IPT details'!W215</f>
        <v>0</v>
      </c>
      <c r="X90" s="4527"/>
      <c r="Y90" s="4140">
        <f t="shared" ref="Y90:Y91" si="250">+O90+S90+W90</f>
        <v>0</v>
      </c>
      <c r="Z90" s="4604"/>
      <c r="AA90" s="4085">
        <f t="shared" ref="AA90:AA91" si="251">+W90+S90+O90+K90+G90+E90</f>
        <v>0</v>
      </c>
      <c r="AB90" s="4520"/>
      <c r="AC90" s="4582">
        <f>'Direct sales IPT details'!AC215</f>
        <v>0</v>
      </c>
      <c r="AD90" s="4626"/>
      <c r="AE90" s="4595">
        <f t="shared" ref="AE90:AE91" si="252">+AC90+W90+S90+O90+K90+G90+E90</f>
        <v>0</v>
      </c>
      <c r="AF90" s="4599">
        <f>'Direct sales IPT details'!AF215</f>
        <v>0</v>
      </c>
      <c r="AG90" s="4582">
        <f>'Direct sales IPT details'!AG215</f>
        <v>0</v>
      </c>
      <c r="AH90" s="4089">
        <f>'Direct sales IPT details'!AH215</f>
        <v>0</v>
      </c>
      <c r="AI90" s="4526">
        <f t="shared" si="199"/>
        <v>0</v>
      </c>
      <c r="AJ90" s="4083">
        <f>'Direct sales IPT details'!AJ215</f>
        <v>0</v>
      </c>
      <c r="AK90" s="4582">
        <f>'Direct sales IPT details'!AK215</f>
        <v>0</v>
      </c>
      <c r="AL90" s="4079">
        <f>'Direct sales IPT details'!AL215</f>
        <v>0</v>
      </c>
      <c r="AM90" s="4139">
        <f t="shared" ref="AM90:AM91" si="253">+AC90+AG90+AK90</f>
        <v>0</v>
      </c>
      <c r="AN90" s="4078">
        <f>'Direct sales IPT details'!AN215</f>
        <v>0</v>
      </c>
      <c r="AO90" s="4526">
        <f t="shared" si="233"/>
        <v>0</v>
      </c>
      <c r="AP90" s="4083">
        <f>'Direct sales IPT details'!AP215</f>
        <v>0</v>
      </c>
      <c r="AQ90" s="4582">
        <f>'Direct sales IPT details'!AQ215</f>
        <v>0</v>
      </c>
      <c r="AR90" s="4086">
        <f>'Direct sales IPT details'!AR215</f>
        <v>0</v>
      </c>
      <c r="AS90" s="4526">
        <f t="shared" ref="AS90:AS91" si="254">+AQ90+AK90+AG90+AC90+W90+S90+O90+K90+G90+E90</f>
        <v>0</v>
      </c>
      <c r="AT90" s="4083">
        <f>'Direct sales IPT details'!AT215</f>
        <v>0</v>
      </c>
      <c r="AU90" s="4582">
        <f>'Direct sales IPT details'!AU215</f>
        <v>0</v>
      </c>
      <c r="AV90" s="4086">
        <f>'Direct sales IPT details'!AV215</f>
        <v>0</v>
      </c>
      <c r="AW90" s="4086">
        <f>'Direct sales IPT details'!AW215</f>
        <v>0</v>
      </c>
      <c r="AX90" s="4083">
        <f>'Direct sales IPT details'!AX215</f>
        <v>0</v>
      </c>
      <c r="AY90" s="4582">
        <f>'Direct sales IPT details'!AY215</f>
        <v>0</v>
      </c>
      <c r="AZ90" s="4084">
        <f>'Direct sales IPT details'!AZ215</f>
        <v>0</v>
      </c>
      <c r="BA90" s="4140">
        <f t="shared" ref="BA90:BA91" si="255">+AQ90+AU90+AY90</f>
        <v>0</v>
      </c>
      <c r="BB90" s="4088">
        <f>'Direct sales IPT details'!BB215</f>
        <v>0</v>
      </c>
      <c r="BC90" s="4085">
        <f t="shared" ref="BC90:BC91" si="256">AM90+BA90</f>
        <v>0</v>
      </c>
      <c r="BD90" s="4078">
        <f>'Direct sales IPT details'!BD215</f>
        <v>0</v>
      </c>
      <c r="BE90" s="4526">
        <f t="shared" ref="BE90:BE91" si="257">+BC90+AA90</f>
        <v>0</v>
      </c>
      <c r="BF90" s="1111"/>
      <c r="BG90" s="1111"/>
      <c r="BI90" s="491"/>
      <c r="BJ90" s="491"/>
      <c r="BQ90" s="491"/>
      <c r="BR90" s="491"/>
      <c r="BS90" s="491"/>
      <c r="BT90" s="491"/>
      <c r="BU90" s="491"/>
      <c r="BV90" s="491"/>
      <c r="BW90" s="491"/>
      <c r="BX90" s="491"/>
      <c r="BY90" s="491"/>
      <c r="BZ90" s="491"/>
      <c r="CA90" s="491"/>
      <c r="CB90" s="491"/>
    </row>
    <row r="91" spans="2:80" ht="15.6" x14ac:dyDescent="0.3">
      <c r="B91" s="6104"/>
      <c r="C91" s="4602" t="s">
        <v>1532</v>
      </c>
      <c r="D91" s="4083">
        <f>'Direct sales IPT details'!D216</f>
        <v>0</v>
      </c>
      <c r="E91" s="4582">
        <f>'Direct sales IPT details'!E216</f>
        <v>0</v>
      </c>
      <c r="F91" s="4083">
        <f>'Direct sales IPT details'!F216</f>
        <v>0</v>
      </c>
      <c r="G91" s="4582">
        <f>'Direct sales IPT details'!G216</f>
        <v>0</v>
      </c>
      <c r="H91" s="4593">
        <f t="shared" si="191"/>
        <v>0</v>
      </c>
      <c r="I91" s="4526">
        <f t="shared" si="246"/>
        <v>0</v>
      </c>
      <c r="J91" s="4520"/>
      <c r="K91" s="4582">
        <f>'Direct sales IPT details'!K216</f>
        <v>0</v>
      </c>
      <c r="L91" s="4521"/>
      <c r="M91" s="4139">
        <f t="shared" si="247"/>
        <v>0</v>
      </c>
      <c r="N91" s="4520"/>
      <c r="O91" s="4582">
        <f>'Direct sales IPT details'!O216</f>
        <v>2771.29</v>
      </c>
      <c r="P91" s="4526">
        <f>'Direct sales IPT details'!P216</f>
        <v>0</v>
      </c>
      <c r="Q91" s="4526">
        <f t="shared" si="248"/>
        <v>2771.29</v>
      </c>
      <c r="R91" s="4520"/>
      <c r="S91" s="4582">
        <f>'Direct sales IPT details'!S216</f>
        <v>0</v>
      </c>
      <c r="T91" s="4526">
        <f t="shared" si="172"/>
        <v>0</v>
      </c>
      <c r="U91" s="4526">
        <f t="shared" si="249"/>
        <v>2771.29</v>
      </c>
      <c r="V91" s="4520"/>
      <c r="W91" s="4582">
        <f>'Direct sales IPT details'!W216</f>
        <v>3223</v>
      </c>
      <c r="X91" s="4527"/>
      <c r="Y91" s="4140">
        <f t="shared" si="250"/>
        <v>5994.29</v>
      </c>
      <c r="Z91" s="4604"/>
      <c r="AA91" s="4085">
        <f t="shared" si="251"/>
        <v>5994.29</v>
      </c>
      <c r="AB91" s="4520"/>
      <c r="AC91" s="4582">
        <f>'Direct sales IPT details'!AC216</f>
        <v>0</v>
      </c>
      <c r="AD91" s="4626"/>
      <c r="AE91" s="4595">
        <f t="shared" si="252"/>
        <v>5994.29</v>
      </c>
      <c r="AF91" s="4599">
        <f>'Direct sales IPT details'!AF216</f>
        <v>0</v>
      </c>
      <c r="AG91" s="4582">
        <f>'Direct sales IPT details'!AG216</f>
        <v>2863.49</v>
      </c>
      <c r="AH91" s="4089">
        <f>'Direct sales IPT details'!AH216</f>
        <v>0</v>
      </c>
      <c r="AI91" s="4526">
        <f t="shared" si="199"/>
        <v>8857.7799999999988</v>
      </c>
      <c r="AJ91" s="4083">
        <f>'Direct sales IPT details'!AJ216</f>
        <v>0</v>
      </c>
      <c r="AK91" s="4582">
        <f>'Direct sales IPT details'!AK216</f>
        <v>262.06</v>
      </c>
      <c r="AL91" s="4079">
        <f>'Direct sales IPT details'!AL216</f>
        <v>0</v>
      </c>
      <c r="AM91" s="4139">
        <f t="shared" si="253"/>
        <v>3125.5499999999997</v>
      </c>
      <c r="AN91" s="4078">
        <f>'Direct sales IPT details'!AN216</f>
        <v>0</v>
      </c>
      <c r="AO91" s="4526">
        <f t="shared" si="233"/>
        <v>9119.84</v>
      </c>
      <c r="AP91" s="4083">
        <f>'Direct sales IPT details'!AP216</f>
        <v>0</v>
      </c>
      <c r="AQ91" s="4582">
        <f>'Direct sales IPT details'!AQ216</f>
        <v>0</v>
      </c>
      <c r="AR91" s="4086">
        <f>'Direct sales IPT details'!AR216</f>
        <v>0</v>
      </c>
      <c r="AS91" s="4526">
        <f t="shared" si="254"/>
        <v>9119.84</v>
      </c>
      <c r="AT91" s="4083">
        <f>'Direct sales IPT details'!AT216</f>
        <v>0</v>
      </c>
      <c r="AU91" s="4582">
        <f>'Direct sales IPT details'!AU216</f>
        <v>0</v>
      </c>
      <c r="AV91" s="4086">
        <f>'Direct sales IPT details'!AV216</f>
        <v>0</v>
      </c>
      <c r="AW91" s="4086">
        <f>'Direct sales IPT details'!AW216</f>
        <v>9119.8399999999983</v>
      </c>
      <c r="AX91" s="4083">
        <f>'Direct sales IPT details'!AX216</f>
        <v>0</v>
      </c>
      <c r="AY91" s="4582">
        <f>'Direct sales IPT details'!AY216</f>
        <v>0</v>
      </c>
      <c r="AZ91" s="4084">
        <f>'Direct sales IPT details'!AZ216</f>
        <v>0</v>
      </c>
      <c r="BA91" s="4140">
        <f t="shared" si="255"/>
        <v>0</v>
      </c>
      <c r="BB91" s="4088">
        <f>'Direct sales IPT details'!BB216</f>
        <v>0</v>
      </c>
      <c r="BC91" s="4085">
        <f t="shared" si="256"/>
        <v>3125.5499999999997</v>
      </c>
      <c r="BD91" s="4078">
        <f>'Direct sales IPT details'!BD216</f>
        <v>0</v>
      </c>
      <c r="BE91" s="4526">
        <f t="shared" si="257"/>
        <v>9119.84</v>
      </c>
      <c r="BF91" s="1111"/>
      <c r="BG91" s="1111"/>
      <c r="BI91" s="491"/>
      <c r="BJ91" s="491"/>
      <c r="BQ91" s="491"/>
      <c r="BR91" s="491"/>
      <c r="BS91" s="491"/>
      <c r="BT91" s="491"/>
      <c r="BU91" s="491"/>
      <c r="BV91" s="491"/>
      <c r="BW91" s="491"/>
      <c r="BX91" s="491"/>
      <c r="BY91" s="491"/>
      <c r="BZ91" s="491"/>
      <c r="CA91" s="491"/>
      <c r="CB91" s="491"/>
    </row>
    <row r="92" spans="2:80" s="137" customFormat="1" ht="15.6" x14ac:dyDescent="0.3">
      <c r="B92" s="6104"/>
      <c r="C92" s="4614" t="s">
        <v>1066</v>
      </c>
      <c r="D92" s="4083"/>
      <c r="E92" s="4582">
        <f>'Direct sales IPT details'!E217</f>
        <v>0</v>
      </c>
      <c r="F92" s="4083"/>
      <c r="G92" s="4582">
        <f>'Direct sales IPT details'!G217</f>
        <v>0</v>
      </c>
      <c r="H92" s="4593">
        <f t="shared" ref="H92" si="258">+D92+F92</f>
        <v>0</v>
      </c>
      <c r="I92" s="4526">
        <f t="shared" ref="I92" si="259">+G92+E92</f>
        <v>0</v>
      </c>
      <c r="J92" s="4520"/>
      <c r="K92" s="4582">
        <f>'Direct sales IPT details'!K217</f>
        <v>0</v>
      </c>
      <c r="L92" s="4521"/>
      <c r="M92" s="4139">
        <f t="shared" ref="M92" si="260">+E92+G92+K92</f>
        <v>0</v>
      </c>
      <c r="N92" s="4520"/>
      <c r="O92" s="4582">
        <f>'Direct sales IPT details'!O217</f>
        <v>0</v>
      </c>
      <c r="P92" s="4526">
        <f>'Direct sales IPT details'!P217</f>
        <v>0</v>
      </c>
      <c r="Q92" s="4526">
        <f t="shared" ref="Q92" si="261">+E92+G92+K92+O92</f>
        <v>0</v>
      </c>
      <c r="R92" s="4520"/>
      <c r="S92" s="4582">
        <f>'Direct sales IPT details'!S217</f>
        <v>0</v>
      </c>
      <c r="T92" s="4526">
        <f t="shared" ref="T92" si="262">P92+R92</f>
        <v>0</v>
      </c>
      <c r="U92" s="4526">
        <f t="shared" ref="U92" si="263">+E92+S92+O92+K92+G92</f>
        <v>0</v>
      </c>
      <c r="V92" s="4520"/>
      <c r="W92" s="4582">
        <f>'Direct sales IPT details'!W217</f>
        <v>0</v>
      </c>
      <c r="X92" s="4527"/>
      <c r="Y92" s="4140">
        <f t="shared" ref="Y92" si="264">+O92+S92+W92</f>
        <v>0</v>
      </c>
      <c r="Z92" s="4604"/>
      <c r="AA92" s="4085">
        <f t="shared" ref="AA92" si="265">+W92+S92+O92+K92+G92+E92</f>
        <v>0</v>
      </c>
      <c r="AB92" s="4520"/>
      <c r="AC92" s="4582">
        <f>'Direct sales IPT details'!AC217</f>
        <v>0</v>
      </c>
      <c r="AD92" s="4626"/>
      <c r="AE92" s="4595">
        <f t="shared" ref="AE92" si="266">+AC92+W92+S92+O92+K92+G92+E92</f>
        <v>0</v>
      </c>
      <c r="AF92" s="4599">
        <f>'Direct sales IPT details'!AF217</f>
        <v>0</v>
      </c>
      <c r="AG92" s="4582">
        <f>'Direct sales IPT details'!AG217</f>
        <v>0</v>
      </c>
      <c r="AH92" s="4089">
        <f>'Direct sales IPT details'!AH217</f>
        <v>0</v>
      </c>
      <c r="AI92" s="4526">
        <f t="shared" ref="AI92" si="267">+AG92+AC92+W92+S92+O92+K92+G92+E92</f>
        <v>0</v>
      </c>
      <c r="AJ92" s="4083">
        <f>'Direct sales IPT details'!AJ217</f>
        <v>0</v>
      </c>
      <c r="AK92" s="4582">
        <f>'Direct sales IPT details'!AK217</f>
        <v>3436.69</v>
      </c>
      <c r="AL92" s="4079">
        <f>'Direct sales IPT details'!AL217</f>
        <v>0</v>
      </c>
      <c r="AM92" s="4139">
        <f t="shared" ref="AM92" si="268">+AC92+AG92+AK92</f>
        <v>3436.69</v>
      </c>
      <c r="AN92" s="4078">
        <f>'Direct sales IPT details'!AN217</f>
        <v>0</v>
      </c>
      <c r="AO92" s="4526">
        <f t="shared" ref="AO92" si="269">+AK92+AG92+AC92+W92+S92+O92+K92+G92+E92</f>
        <v>3436.69</v>
      </c>
      <c r="AP92" s="4083">
        <v>1</v>
      </c>
      <c r="AQ92" s="4582">
        <f>'Direct sales IPT details'!AQ217</f>
        <v>2673.7</v>
      </c>
      <c r="AR92" s="4086">
        <f>'Direct sales IPT details'!AR217</f>
        <v>0</v>
      </c>
      <c r="AS92" s="4526">
        <f t="shared" ref="AS92" si="270">+AQ92+AK92+AG92+AC92+W92+S92+O92+K92+G92+E92</f>
        <v>6110.3899999999994</v>
      </c>
      <c r="AT92" s="4083"/>
      <c r="AU92" s="4582">
        <f>'Direct sales IPT details'!AU217</f>
        <v>0</v>
      </c>
      <c r="AV92" s="4086">
        <f>'Direct sales IPT details'!AV217</f>
        <v>0</v>
      </c>
      <c r="AW92" s="4086">
        <f>'Direct sales IPT details'!AW217</f>
        <v>6110.3899999999994</v>
      </c>
      <c r="AX92" s="4083"/>
      <c r="AY92" s="4582">
        <f>'Direct sales IPT details'!AY217</f>
        <v>0</v>
      </c>
      <c r="AZ92" s="4084">
        <f>'Direct sales IPT details'!AZ217</f>
        <v>0</v>
      </c>
      <c r="BA92" s="4140">
        <f t="shared" ref="BA92" si="271">+AQ92+AU92+AY92</f>
        <v>2673.7</v>
      </c>
      <c r="BB92" s="4088">
        <f>'Direct sales IPT details'!BB217</f>
        <v>0</v>
      </c>
      <c r="BC92" s="4085">
        <f t="shared" ref="BC92" si="272">AM92+BA92</f>
        <v>6110.3899999999994</v>
      </c>
      <c r="BD92" s="4078">
        <f>'Direct sales IPT details'!BD217</f>
        <v>0</v>
      </c>
      <c r="BE92" s="4526">
        <f t="shared" ref="BE92" si="273">+BC92+AA92</f>
        <v>6110.3899999999994</v>
      </c>
      <c r="BF92" s="1111"/>
      <c r="BG92" s="1111"/>
      <c r="BH92"/>
      <c r="BI92" s="491"/>
      <c r="BJ92" s="491" t="s">
        <v>2240</v>
      </c>
      <c r="BK92"/>
      <c r="BL92"/>
      <c r="BQ92" s="4612"/>
      <c r="BR92" s="4612"/>
      <c r="BS92" s="4612"/>
      <c r="BT92" s="4612"/>
      <c r="BU92" s="4612"/>
      <c r="BV92" s="4612"/>
      <c r="BW92" s="4612"/>
      <c r="BX92" s="4612"/>
      <c r="BY92" s="4612"/>
      <c r="BZ92" s="4612"/>
      <c r="CA92" s="4612"/>
      <c r="CB92" s="4612"/>
    </row>
    <row r="93" spans="2:80" ht="15.6" x14ac:dyDescent="0.3">
      <c r="B93" s="6104"/>
      <c r="C93" s="4606" t="s">
        <v>2063</v>
      </c>
      <c r="D93" s="4607"/>
      <c r="E93" s="4607">
        <v>0</v>
      </c>
      <c r="F93" s="4607"/>
      <c r="G93" s="4607"/>
      <c r="H93" s="4607"/>
      <c r="I93" s="4608">
        <f t="shared" ref="I93" si="274">+G93+E93</f>
        <v>0</v>
      </c>
      <c r="J93" s="4607"/>
      <c r="K93" s="4607">
        <v>0</v>
      </c>
      <c r="L93" s="4607"/>
      <c r="M93" s="4616">
        <f t="shared" ref="M93" si="275">+E93+G93+K93</f>
        <v>0</v>
      </c>
      <c r="N93" s="4607"/>
      <c r="O93" s="4607">
        <v>1462.73</v>
      </c>
      <c r="P93" s="4607"/>
      <c r="Q93" s="4608">
        <f t="shared" ref="Q93" si="276">+E93+G93+K93+O93</f>
        <v>1462.73</v>
      </c>
      <c r="R93" s="4607"/>
      <c r="S93" s="4607">
        <v>0</v>
      </c>
      <c r="T93" s="4607"/>
      <c r="U93" s="4608">
        <f t="shared" ref="U93" si="277">+E93+S93+O93+K93+G93</f>
        <v>1462.73</v>
      </c>
      <c r="V93" s="4607"/>
      <c r="W93" s="4607">
        <v>0</v>
      </c>
      <c r="X93" s="4607"/>
      <c r="Y93" s="4617">
        <f t="shared" ref="Y93" si="278">+O93+S93+W93</f>
        <v>1462.73</v>
      </c>
      <c r="Z93" s="4607"/>
      <c r="AA93" s="4618">
        <f t="shared" ref="AA93" si="279">+W93+S93+O93+K93+G93+E93</f>
        <v>1462.73</v>
      </c>
      <c r="AB93" s="4607"/>
      <c r="AC93" s="4607">
        <v>0</v>
      </c>
      <c r="AD93" s="4634"/>
      <c r="AE93" s="4607">
        <f t="shared" ref="AE93" si="280">+AC93+W93+S93+O93+K93+G93+E93</f>
        <v>1462.73</v>
      </c>
      <c r="AF93" s="4609"/>
      <c r="AG93" s="4607">
        <v>0</v>
      </c>
      <c r="AH93" s="4607"/>
      <c r="AI93" s="4608">
        <f t="shared" si="199"/>
        <v>1462.73</v>
      </c>
      <c r="AJ93" s="4607"/>
      <c r="AK93" s="4607">
        <v>0</v>
      </c>
      <c r="AL93" s="4607"/>
      <c r="AM93" s="4616">
        <f t="shared" ref="AM93" si="281">+AC93+AG93+AK93</f>
        <v>0</v>
      </c>
      <c r="AN93" s="4607"/>
      <c r="AO93" s="4608">
        <f t="shared" si="233"/>
        <v>1462.73</v>
      </c>
      <c r="AP93" s="4607"/>
      <c r="AQ93" s="4607">
        <v>0</v>
      </c>
      <c r="AR93" s="4607"/>
      <c r="AS93" s="4608">
        <f t="shared" ref="AS93" si="282">+AQ93+AK93+AG93+AC93+W93+S93+O93+K93+G93+E93</f>
        <v>1462.73</v>
      </c>
      <c r="AT93" s="4607"/>
      <c r="AU93" s="4607">
        <v>0</v>
      </c>
      <c r="AV93" s="4607"/>
      <c r="AW93" s="4608">
        <f t="shared" ref="AW93" si="283">+AU93+AQ93+AK93+AG93+AC93+W93+S93+O93+K93+G93+E93</f>
        <v>1462.73</v>
      </c>
      <c r="AX93" s="4607"/>
      <c r="AY93" s="4607">
        <v>0</v>
      </c>
      <c r="AZ93" s="4607"/>
      <c r="BA93" s="4617">
        <f t="shared" ref="BA93" si="284">+AQ93+AU93+AY93</f>
        <v>0</v>
      </c>
      <c r="BB93" s="4607"/>
      <c r="BC93" s="4618">
        <f t="shared" ref="BC93" si="285">AM93+BA93</f>
        <v>0</v>
      </c>
      <c r="BD93" s="4607"/>
      <c r="BE93" s="4608">
        <f t="shared" ref="BE93" si="286">+BC93+AA93</f>
        <v>1462.73</v>
      </c>
      <c r="BF93" s="1111"/>
      <c r="BG93" s="1111"/>
      <c r="BI93" s="491"/>
      <c r="BJ93" s="491"/>
      <c r="BQ93" s="491"/>
      <c r="BR93" s="491"/>
      <c r="BS93" s="491"/>
      <c r="BT93" s="491"/>
      <c r="BU93" s="491"/>
      <c r="BV93" s="491"/>
      <c r="BW93" s="491"/>
      <c r="BX93" s="491"/>
      <c r="BY93" s="491"/>
      <c r="BZ93" s="491"/>
      <c r="CA93" s="491"/>
      <c r="CB93" s="491"/>
    </row>
    <row r="94" spans="2:80" s="137" customFormat="1" ht="15.6" x14ac:dyDescent="0.3">
      <c r="B94" s="6104"/>
      <c r="C94" s="4610"/>
      <c r="D94" s="4524"/>
      <c r="E94" s="4524"/>
      <c r="F94" s="4524"/>
      <c r="G94" s="4524"/>
      <c r="H94" s="4524"/>
      <c r="I94" s="4524"/>
      <c r="J94" s="4524"/>
      <c r="K94" s="4524"/>
      <c r="L94" s="4524"/>
      <c r="M94" s="4524"/>
      <c r="N94" s="4524"/>
      <c r="O94" s="4524"/>
      <c r="P94" s="4524"/>
      <c r="Q94" s="4524"/>
      <c r="R94" s="4524"/>
      <c r="S94" s="4524"/>
      <c r="T94" s="4524"/>
      <c r="U94" s="4524"/>
      <c r="V94" s="4524"/>
      <c r="W94" s="4524"/>
      <c r="X94" s="4524"/>
      <c r="Y94" s="4524"/>
      <c r="Z94" s="4524"/>
      <c r="AA94" s="4524"/>
      <c r="AB94" s="4524"/>
      <c r="AC94" s="4524"/>
      <c r="AD94" s="4631"/>
      <c r="AE94" s="4524"/>
      <c r="AF94" s="4611"/>
      <c r="AG94" s="4524"/>
      <c r="AH94" s="4524"/>
      <c r="AI94" s="4524"/>
      <c r="AJ94" s="4524"/>
      <c r="AK94" s="4524"/>
      <c r="AL94" s="4524"/>
      <c r="AM94" s="4524"/>
      <c r="AN94" s="4524"/>
      <c r="AO94" s="4524"/>
      <c r="AP94" s="4524"/>
      <c r="AQ94" s="4524"/>
      <c r="AR94" s="4524"/>
      <c r="AS94" s="4524"/>
      <c r="AT94" s="4524"/>
      <c r="AU94" s="4524"/>
      <c r="AV94" s="4524"/>
      <c r="AW94" s="4524"/>
      <c r="AX94" s="4524"/>
      <c r="AY94" s="4524"/>
      <c r="AZ94" s="4524"/>
      <c r="BA94" s="4524"/>
      <c r="BB94" s="4524"/>
      <c r="BC94" s="4524"/>
      <c r="BD94" s="4524"/>
      <c r="BE94" s="4524"/>
      <c r="BF94" s="1111"/>
      <c r="BG94" s="1111"/>
      <c r="BH94"/>
      <c r="BI94" s="491"/>
      <c r="BJ94" s="491"/>
      <c r="BK94"/>
      <c r="BL94"/>
      <c r="BQ94" s="4612"/>
      <c r="BR94" s="4612"/>
      <c r="BS94" s="4612"/>
      <c r="BT94" s="4612"/>
      <c r="BU94" s="4612"/>
      <c r="BV94" s="4612"/>
      <c r="BW94" s="4612"/>
      <c r="BX94" s="4612"/>
      <c r="BY94" s="4612"/>
      <c r="BZ94" s="4612"/>
      <c r="CA94" s="4612"/>
      <c r="CB94" s="4612"/>
    </row>
    <row r="95" spans="2:80" ht="17.399999999999999" x14ac:dyDescent="0.3">
      <c r="B95" s="6104"/>
      <c r="C95" s="4605" t="s">
        <v>142</v>
      </c>
      <c r="D95" s="4603">
        <f t="shared" ref="D95:E95" si="287">+D86+D89+D93</f>
        <v>0</v>
      </c>
      <c r="E95" s="4603">
        <f t="shared" si="287"/>
        <v>7173</v>
      </c>
      <c r="F95" s="4603">
        <f t="shared" ref="F95:G95" si="288">+F86+F89+F93</f>
        <v>0</v>
      </c>
      <c r="G95" s="4603">
        <f t="shared" si="288"/>
        <v>0</v>
      </c>
      <c r="H95" s="4603">
        <f t="shared" ref="H95:BE95" si="289">+H86+H89+H93</f>
        <v>0</v>
      </c>
      <c r="I95" s="4603">
        <f t="shared" si="289"/>
        <v>7173</v>
      </c>
      <c r="J95" s="4603">
        <f t="shared" si="289"/>
        <v>0</v>
      </c>
      <c r="K95" s="4603">
        <f t="shared" si="289"/>
        <v>0</v>
      </c>
      <c r="L95" s="4603">
        <f t="shared" si="289"/>
        <v>0</v>
      </c>
      <c r="M95" s="4603">
        <f t="shared" si="289"/>
        <v>7173</v>
      </c>
      <c r="N95" s="4603">
        <f t="shared" si="289"/>
        <v>0</v>
      </c>
      <c r="O95" s="4603">
        <f t="shared" si="289"/>
        <v>7998.02</v>
      </c>
      <c r="P95" s="4603">
        <f t="shared" si="289"/>
        <v>0</v>
      </c>
      <c r="Q95" s="4603">
        <f t="shared" si="289"/>
        <v>15171.02</v>
      </c>
      <c r="R95" s="4603">
        <f t="shared" si="289"/>
        <v>0</v>
      </c>
      <c r="S95" s="4603">
        <f t="shared" si="289"/>
        <v>0</v>
      </c>
      <c r="T95" s="4603">
        <f t="shared" si="289"/>
        <v>0</v>
      </c>
      <c r="U95" s="4603">
        <f t="shared" si="289"/>
        <v>15171.02</v>
      </c>
      <c r="V95" s="4603">
        <f t="shared" si="289"/>
        <v>0</v>
      </c>
      <c r="W95" s="4603">
        <f t="shared" si="289"/>
        <v>3223</v>
      </c>
      <c r="X95" s="4603">
        <f t="shared" si="289"/>
        <v>0</v>
      </c>
      <c r="Y95" s="4603">
        <f t="shared" si="289"/>
        <v>11221.02</v>
      </c>
      <c r="Z95" s="4603">
        <f t="shared" si="289"/>
        <v>0</v>
      </c>
      <c r="AA95" s="4603">
        <f t="shared" si="289"/>
        <v>18394.02</v>
      </c>
      <c r="AB95" s="4603">
        <f t="shared" si="289"/>
        <v>0</v>
      </c>
      <c r="AC95" s="4603">
        <f t="shared" si="289"/>
        <v>3476.11</v>
      </c>
      <c r="AD95" s="4632">
        <f t="shared" si="289"/>
        <v>0</v>
      </c>
      <c r="AE95" s="4603">
        <f t="shared" si="289"/>
        <v>21870.13</v>
      </c>
      <c r="AF95" s="4642">
        <f t="shared" si="289"/>
        <v>1</v>
      </c>
      <c r="AG95" s="4603">
        <f t="shared" ref="AG95" si="290">+AG86+AG89+AG93</f>
        <v>5954.11</v>
      </c>
      <c r="AH95" s="4603">
        <f t="shared" si="289"/>
        <v>0</v>
      </c>
      <c r="AI95" s="4603">
        <f t="shared" si="199"/>
        <v>27824.239999999998</v>
      </c>
      <c r="AJ95" s="4603">
        <f t="shared" si="289"/>
        <v>0</v>
      </c>
      <c r="AK95" s="4603">
        <f t="shared" si="289"/>
        <v>6803.8600000000006</v>
      </c>
      <c r="AL95" s="4603">
        <f t="shared" si="289"/>
        <v>0</v>
      </c>
      <c r="AM95" s="4603">
        <f t="shared" si="289"/>
        <v>16234.08</v>
      </c>
      <c r="AN95" s="4603">
        <f t="shared" si="289"/>
        <v>0</v>
      </c>
      <c r="AO95" s="4603">
        <f t="shared" si="233"/>
        <v>34628.100000000006</v>
      </c>
      <c r="AP95" s="4603">
        <f t="shared" ref="AP95:AQ95" si="291">+AP86+AP89+AP93</f>
        <v>3</v>
      </c>
      <c r="AQ95" s="4603">
        <f t="shared" si="291"/>
        <v>8884.57</v>
      </c>
      <c r="AR95" s="4603">
        <f t="shared" si="289"/>
        <v>0</v>
      </c>
      <c r="AS95" s="4603">
        <f t="shared" si="289"/>
        <v>43512.670000000006</v>
      </c>
      <c r="AT95" s="4603">
        <f t="shared" si="289"/>
        <v>0</v>
      </c>
      <c r="AU95" s="4603">
        <f t="shared" si="289"/>
        <v>0</v>
      </c>
      <c r="AV95" s="4603">
        <f t="shared" si="289"/>
        <v>0</v>
      </c>
      <c r="AW95" s="4603">
        <f>+AW86+AW89+AW93</f>
        <v>43512.67</v>
      </c>
      <c r="AX95" s="4603">
        <f t="shared" ref="AX95:AY95" si="292">+AX86+AX89+AX93</f>
        <v>0</v>
      </c>
      <c r="AY95" s="4603">
        <f t="shared" si="292"/>
        <v>3277.84</v>
      </c>
      <c r="AZ95" s="4603">
        <f t="shared" si="289"/>
        <v>0</v>
      </c>
      <c r="BA95" s="4603">
        <f t="shared" si="289"/>
        <v>12162.41</v>
      </c>
      <c r="BB95" s="4603">
        <f t="shared" si="289"/>
        <v>0</v>
      </c>
      <c r="BC95" s="4603">
        <f t="shared" si="289"/>
        <v>28396.489999999998</v>
      </c>
      <c r="BD95" s="4603">
        <f t="shared" si="289"/>
        <v>0</v>
      </c>
      <c r="BE95" s="4603">
        <f t="shared" si="289"/>
        <v>46790.51</v>
      </c>
      <c r="BF95" s="1111"/>
      <c r="BG95" s="1111"/>
      <c r="BH95" s="23"/>
      <c r="BI95" s="491"/>
      <c r="BJ95" s="491"/>
      <c r="BQ95" s="491"/>
      <c r="BR95" s="491"/>
      <c r="BS95" s="491"/>
      <c r="BT95" s="491"/>
      <c r="BU95" s="491"/>
      <c r="BV95" s="491"/>
      <c r="BW95" s="491"/>
      <c r="BX95" s="491"/>
      <c r="BY95" s="491"/>
      <c r="BZ95" s="491"/>
      <c r="CA95" s="491"/>
      <c r="CB95" s="491"/>
    </row>
    <row r="96" spans="2:80" x14ac:dyDescent="0.3">
      <c r="J96"/>
      <c r="K96"/>
      <c r="AE96"/>
      <c r="BF96" s="1111"/>
      <c r="BG96" s="1111"/>
    </row>
    <row r="97" spans="2:59" ht="23.4" x14ac:dyDescent="0.45">
      <c r="B97" s="4090" t="s">
        <v>1848</v>
      </c>
      <c r="J97"/>
      <c r="K97"/>
      <c r="AE97"/>
      <c r="BF97" s="1111"/>
      <c r="BG97" s="1111"/>
    </row>
    <row r="98" spans="2:59" x14ac:dyDescent="0.3">
      <c r="J98"/>
      <c r="K98"/>
      <c r="AE98"/>
      <c r="AQ98" s="23"/>
      <c r="BF98" s="1111"/>
      <c r="BG98" s="1111"/>
    </row>
    <row r="99" spans="2:59" x14ac:dyDescent="0.3">
      <c r="J99"/>
      <c r="K99"/>
      <c r="AE99"/>
      <c r="AQ99" s="23"/>
      <c r="AY99" s="23"/>
      <c r="BF99" s="1111"/>
      <c r="BG99" s="1111"/>
    </row>
    <row r="100" spans="2:59" x14ac:dyDescent="0.3">
      <c r="J100"/>
      <c r="K100"/>
      <c r="AE100"/>
      <c r="BF100" s="1111"/>
      <c r="BG100" s="1111"/>
    </row>
    <row r="101" spans="2:59" x14ac:dyDescent="0.3">
      <c r="J101"/>
      <c r="K101"/>
      <c r="AE101"/>
      <c r="AQ101" s="23"/>
      <c r="BF101" s="1111"/>
      <c r="BG101" s="1111"/>
    </row>
    <row r="102" spans="2:59" x14ac:dyDescent="0.3">
      <c r="J102"/>
      <c r="K102"/>
      <c r="AE102"/>
      <c r="BF102" s="1111"/>
      <c r="BG102" s="1111"/>
    </row>
    <row r="103" spans="2:59" x14ac:dyDescent="0.3">
      <c r="J103"/>
      <c r="K103"/>
      <c r="AE103"/>
      <c r="BF103" s="1111"/>
      <c r="BG103" s="1111"/>
    </row>
    <row r="104" spans="2:59" x14ac:dyDescent="0.3">
      <c r="J104"/>
      <c r="K104"/>
      <c r="AE104"/>
      <c r="BF104" s="1111"/>
      <c r="BG104" s="1111"/>
    </row>
    <row r="105" spans="2:59" x14ac:dyDescent="0.3">
      <c r="J105"/>
      <c r="K105"/>
      <c r="AE105"/>
      <c r="BF105" s="1111"/>
      <c r="BG105" s="1111"/>
    </row>
    <row r="106" spans="2:59" x14ac:dyDescent="0.3">
      <c r="J106"/>
      <c r="K106"/>
      <c r="AE106"/>
      <c r="BF106" s="1111"/>
      <c r="BG106" s="1111"/>
    </row>
    <row r="107" spans="2:59" x14ac:dyDescent="0.3">
      <c r="J107"/>
      <c r="K107"/>
      <c r="AE107"/>
      <c r="BF107" s="1111"/>
      <c r="BG107" s="1111"/>
    </row>
    <row r="108" spans="2:59" x14ac:dyDescent="0.3">
      <c r="J108"/>
      <c r="K108"/>
      <c r="AE108"/>
      <c r="BF108" s="1111"/>
      <c r="BG108" s="1111"/>
    </row>
    <row r="109" spans="2:59" x14ac:dyDescent="0.3">
      <c r="J109"/>
      <c r="K109"/>
      <c r="AE109"/>
      <c r="BF109" s="1111"/>
      <c r="BG109" s="1111"/>
    </row>
    <row r="110" spans="2:59" x14ac:dyDescent="0.3">
      <c r="J110"/>
      <c r="K110"/>
      <c r="AE110"/>
      <c r="BF110" s="1111"/>
      <c r="BG110" s="1111"/>
    </row>
    <row r="111" spans="2:59" x14ac:dyDescent="0.3">
      <c r="J111"/>
      <c r="K111"/>
      <c r="AE111"/>
      <c r="BF111" s="1111"/>
      <c r="BG111" s="1111"/>
    </row>
    <row r="112" spans="2:59" x14ac:dyDescent="0.3">
      <c r="J112"/>
      <c r="K112"/>
      <c r="AE112"/>
      <c r="BF112" s="1111"/>
      <c r="BG112" s="1111"/>
    </row>
    <row r="113" spans="10:59" x14ac:dyDescent="0.3">
      <c r="J113"/>
      <c r="K113"/>
      <c r="AE113"/>
      <c r="BF113" s="1111"/>
      <c r="BG113" s="1111"/>
    </row>
    <row r="114" spans="10:59" x14ac:dyDescent="0.3">
      <c r="J114"/>
      <c r="K114"/>
      <c r="AE114"/>
      <c r="BF114" s="1111"/>
      <c r="BG114" s="1111"/>
    </row>
    <row r="115" spans="10:59" x14ac:dyDescent="0.3">
      <c r="J115"/>
      <c r="K115"/>
      <c r="AE115"/>
      <c r="BF115" s="1111"/>
      <c r="BG115" s="1111"/>
    </row>
    <row r="116" spans="10:59" x14ac:dyDescent="0.3">
      <c r="J116"/>
      <c r="K116"/>
      <c r="AE116"/>
      <c r="BF116" s="1111"/>
      <c r="BG116" s="1111"/>
    </row>
    <row r="117" spans="10:59" x14ac:dyDescent="0.3">
      <c r="J117"/>
      <c r="K117"/>
      <c r="AE117"/>
      <c r="BF117" s="1111"/>
      <c r="BG117" s="1111"/>
    </row>
    <row r="118" spans="10:59" x14ac:dyDescent="0.3">
      <c r="J118"/>
      <c r="K118"/>
      <c r="AE118"/>
      <c r="BF118" s="1111"/>
      <c r="BG118" s="1111"/>
    </row>
    <row r="119" spans="10:59" x14ac:dyDescent="0.3">
      <c r="J119"/>
      <c r="K119"/>
      <c r="AE119"/>
      <c r="BF119" s="1111"/>
      <c r="BG119" s="1111"/>
    </row>
    <row r="120" spans="10:59" x14ac:dyDescent="0.3">
      <c r="J120"/>
      <c r="K120"/>
      <c r="AE120"/>
      <c r="BF120" s="1111"/>
      <c r="BG120" s="1111"/>
    </row>
    <row r="121" spans="10:59" x14ac:dyDescent="0.3">
      <c r="J121"/>
      <c r="K121"/>
      <c r="AE121"/>
      <c r="BF121" s="1111"/>
      <c r="BG121" s="1111"/>
    </row>
    <row r="122" spans="10:59" x14ac:dyDescent="0.3">
      <c r="AE122"/>
      <c r="BF122" s="1111"/>
      <c r="BG122" s="1111"/>
    </row>
    <row r="123" spans="10:59" x14ac:dyDescent="0.3">
      <c r="AE123"/>
      <c r="BF123" s="1111"/>
      <c r="BG123" s="1111"/>
    </row>
    <row r="124" spans="10:59" x14ac:dyDescent="0.3">
      <c r="AE124"/>
      <c r="BF124" s="1111"/>
      <c r="BG124" s="1111"/>
    </row>
    <row r="125" spans="10:59" x14ac:dyDescent="0.3">
      <c r="AE125"/>
      <c r="BF125" s="1111"/>
      <c r="BG125" s="1111"/>
    </row>
    <row r="126" spans="10:59" x14ac:dyDescent="0.3">
      <c r="AE126"/>
      <c r="BF126" s="1111"/>
      <c r="BG126" s="1111"/>
    </row>
    <row r="127" spans="10:59" x14ac:dyDescent="0.3">
      <c r="AE127"/>
      <c r="BF127" s="1111"/>
      <c r="BG127" s="1111"/>
    </row>
    <row r="128" spans="10:59" x14ac:dyDescent="0.3">
      <c r="AE128"/>
      <c r="BF128" s="1111"/>
      <c r="BG128" s="1111"/>
    </row>
    <row r="129" spans="10:59" x14ac:dyDescent="0.3">
      <c r="AE129"/>
      <c r="BF129" s="1111"/>
      <c r="BG129" s="1111"/>
    </row>
    <row r="130" spans="10:59" x14ac:dyDescent="0.3">
      <c r="AE130"/>
      <c r="BF130" s="1111"/>
      <c r="BG130" s="1111"/>
    </row>
    <row r="131" spans="10:59" x14ac:dyDescent="0.3">
      <c r="AE131"/>
      <c r="BF131" s="1111"/>
      <c r="BG131" s="1111"/>
    </row>
    <row r="132" spans="10:59" x14ac:dyDescent="0.3">
      <c r="AE132"/>
      <c r="BF132" s="1111"/>
      <c r="BG132" s="1111"/>
    </row>
    <row r="133" spans="10:59" x14ac:dyDescent="0.3">
      <c r="AE133"/>
      <c r="BF133" s="1111"/>
      <c r="BG133" s="1111"/>
    </row>
    <row r="134" spans="10:59" x14ac:dyDescent="0.3">
      <c r="AE134"/>
      <c r="BF134" s="1111"/>
      <c r="BG134" s="1111"/>
    </row>
    <row r="135" spans="10:59" x14ac:dyDescent="0.3">
      <c r="AE135"/>
      <c r="BF135" s="1111"/>
      <c r="BG135" s="1111"/>
    </row>
    <row r="136" spans="10:59" x14ac:dyDescent="0.3">
      <c r="J136"/>
      <c r="K136"/>
      <c r="AE136"/>
      <c r="BF136" s="1111"/>
      <c r="BG136" s="1111"/>
    </row>
    <row r="137" spans="10:59" x14ac:dyDescent="0.3">
      <c r="J137"/>
      <c r="K137"/>
      <c r="AE137"/>
      <c r="BF137" s="1111"/>
      <c r="BG137" s="1111"/>
    </row>
    <row r="138" spans="10:59" x14ac:dyDescent="0.3">
      <c r="J138"/>
      <c r="K138"/>
      <c r="AE138"/>
      <c r="BF138" s="1111"/>
      <c r="BG138" s="1111"/>
    </row>
    <row r="139" spans="10:59" x14ac:dyDescent="0.3">
      <c r="J139"/>
      <c r="K139"/>
      <c r="AE139"/>
      <c r="BF139" s="1111"/>
      <c r="BG139" s="1111"/>
    </row>
    <row r="140" spans="10:59" x14ac:dyDescent="0.3">
      <c r="J140"/>
      <c r="K140"/>
      <c r="AE140"/>
      <c r="BF140" s="1111"/>
      <c r="BG140" s="1111"/>
    </row>
    <row r="141" spans="10:59" x14ac:dyDescent="0.3">
      <c r="J141"/>
      <c r="K141"/>
      <c r="AE141"/>
      <c r="BF141" s="1111"/>
      <c r="BG141" s="1111"/>
    </row>
    <row r="142" spans="10:59" x14ac:dyDescent="0.3">
      <c r="J142"/>
      <c r="K142"/>
      <c r="AE142"/>
      <c r="BF142" s="1111"/>
      <c r="BG142" s="1111"/>
    </row>
    <row r="143" spans="10:59" x14ac:dyDescent="0.3">
      <c r="J143"/>
      <c r="K143"/>
      <c r="AE143"/>
      <c r="BF143" s="1111"/>
      <c r="BG143" s="1111"/>
    </row>
    <row r="144" spans="10:59" x14ac:dyDescent="0.3">
      <c r="J144"/>
      <c r="K144"/>
      <c r="AE144"/>
      <c r="BF144" s="1111"/>
      <c r="BG144" s="1111"/>
    </row>
    <row r="145" spans="10:59" x14ac:dyDescent="0.3">
      <c r="J145"/>
      <c r="K145"/>
      <c r="AE145"/>
      <c r="BF145" s="1111"/>
      <c r="BG145" s="1111"/>
    </row>
    <row r="146" spans="10:59" x14ac:dyDescent="0.3">
      <c r="J146"/>
      <c r="K146"/>
      <c r="AE146"/>
      <c r="BF146" s="1111"/>
      <c r="BG146" s="1111"/>
    </row>
    <row r="147" spans="10:59" x14ac:dyDescent="0.3">
      <c r="J147"/>
      <c r="K147"/>
      <c r="AE147"/>
      <c r="BF147" s="1111"/>
      <c r="BG147" s="1111"/>
    </row>
    <row r="148" spans="10:59" x14ac:dyDescent="0.3">
      <c r="J148"/>
      <c r="K148"/>
      <c r="AE148"/>
      <c r="BF148" s="1111"/>
      <c r="BG148" s="1111"/>
    </row>
    <row r="149" spans="10:59" x14ac:dyDescent="0.3">
      <c r="J149"/>
      <c r="K149"/>
      <c r="AE149"/>
      <c r="BF149" s="1111"/>
      <c r="BG149" s="1111"/>
    </row>
    <row r="150" spans="10:59" x14ac:dyDescent="0.3">
      <c r="J150"/>
      <c r="K150"/>
      <c r="AE150"/>
      <c r="BF150" s="1111"/>
      <c r="BG150" s="1111"/>
    </row>
    <row r="151" spans="10:59" x14ac:dyDescent="0.3">
      <c r="J151"/>
      <c r="K151"/>
      <c r="AE151"/>
    </row>
    <row r="152" spans="10:59" x14ac:dyDescent="0.3">
      <c r="J152"/>
      <c r="K152"/>
      <c r="AE152"/>
    </row>
    <row r="153" spans="10:59" x14ac:dyDescent="0.3">
      <c r="J153"/>
      <c r="K153"/>
      <c r="AE153"/>
    </row>
    <row r="154" spans="10:59" x14ac:dyDescent="0.3">
      <c r="J154"/>
      <c r="K154"/>
      <c r="AE154"/>
    </row>
    <row r="155" spans="10:59" x14ac:dyDescent="0.3">
      <c r="J155"/>
      <c r="K155"/>
      <c r="AE155"/>
    </row>
    <row r="156" spans="10:59" x14ac:dyDescent="0.3">
      <c r="J156"/>
      <c r="K156"/>
      <c r="AE156"/>
    </row>
    <row r="157" spans="10:59" x14ac:dyDescent="0.3">
      <c r="J157"/>
      <c r="K157"/>
      <c r="AE157"/>
    </row>
    <row r="158" spans="10:59" x14ac:dyDescent="0.3">
      <c r="J158"/>
      <c r="K158"/>
      <c r="AE158"/>
    </row>
    <row r="159" spans="10:59" x14ac:dyDescent="0.3">
      <c r="J159"/>
      <c r="K159"/>
      <c r="AE159"/>
    </row>
    <row r="160" spans="10:59" x14ac:dyDescent="0.3">
      <c r="J160"/>
      <c r="K160"/>
      <c r="AE160"/>
    </row>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customFormat="1" x14ac:dyDescent="0.3"/>
    <row r="178" customFormat="1" x14ac:dyDescent="0.3"/>
    <row r="179" customFormat="1" x14ac:dyDescent="0.3"/>
    <row r="180" customFormat="1" x14ac:dyDescent="0.3"/>
    <row r="181" customFormat="1" x14ac:dyDescent="0.3"/>
    <row r="182" customFormat="1" x14ac:dyDescent="0.3"/>
    <row r="183" customFormat="1" x14ac:dyDescent="0.3"/>
    <row r="184" customFormat="1" x14ac:dyDescent="0.3"/>
    <row r="185" customFormat="1" x14ac:dyDescent="0.3"/>
    <row r="186" customFormat="1" x14ac:dyDescent="0.3"/>
    <row r="187" customFormat="1" x14ac:dyDescent="0.3"/>
    <row r="188" customFormat="1" x14ac:dyDescent="0.3"/>
    <row r="189" customFormat="1" x14ac:dyDescent="0.3"/>
    <row r="190" customFormat="1" x14ac:dyDescent="0.3"/>
    <row r="191" customFormat="1" x14ac:dyDescent="0.3"/>
    <row r="192" customFormat="1" x14ac:dyDescent="0.3"/>
    <row r="193" customFormat="1" x14ac:dyDescent="0.3"/>
    <row r="194" customFormat="1" x14ac:dyDescent="0.3"/>
    <row r="195" customFormat="1" x14ac:dyDescent="0.3"/>
    <row r="196" customFormat="1" x14ac:dyDescent="0.3"/>
    <row r="197" customFormat="1" x14ac:dyDescent="0.3"/>
    <row r="198" customFormat="1" x14ac:dyDescent="0.3"/>
    <row r="199" customFormat="1" x14ac:dyDescent="0.3"/>
    <row r="200" customFormat="1" x14ac:dyDescent="0.3"/>
    <row r="201" customFormat="1" x14ac:dyDescent="0.3"/>
    <row r="202" customFormat="1" x14ac:dyDescent="0.3"/>
    <row r="203" customFormat="1" x14ac:dyDescent="0.3"/>
    <row r="204" customFormat="1" x14ac:dyDescent="0.3"/>
    <row r="205" customFormat="1" x14ac:dyDescent="0.3"/>
    <row r="206" customFormat="1" x14ac:dyDescent="0.3"/>
    <row r="207" customFormat="1" x14ac:dyDescent="0.3"/>
    <row r="208" customFormat="1" x14ac:dyDescent="0.3"/>
    <row r="209" customFormat="1" x14ac:dyDescent="0.3"/>
    <row r="210" customFormat="1" x14ac:dyDescent="0.3"/>
    <row r="211" customFormat="1" x14ac:dyDescent="0.3"/>
    <row r="212" customFormat="1" x14ac:dyDescent="0.3"/>
    <row r="213" customFormat="1" x14ac:dyDescent="0.3"/>
    <row r="214" customFormat="1" x14ac:dyDescent="0.3"/>
    <row r="215" customFormat="1" x14ac:dyDescent="0.3"/>
    <row r="216" customFormat="1" x14ac:dyDescent="0.3"/>
    <row r="217" customFormat="1" x14ac:dyDescent="0.3"/>
    <row r="218" customFormat="1" x14ac:dyDescent="0.3"/>
    <row r="219" customFormat="1" x14ac:dyDescent="0.3"/>
    <row r="220" customFormat="1" x14ac:dyDescent="0.3"/>
    <row r="221" customFormat="1" x14ac:dyDescent="0.3"/>
    <row r="222" customFormat="1" x14ac:dyDescent="0.3"/>
    <row r="223" customFormat="1" x14ac:dyDescent="0.3"/>
    <row r="224" customFormat="1" x14ac:dyDescent="0.3"/>
    <row r="225" customFormat="1" x14ac:dyDescent="0.3"/>
    <row r="226" customFormat="1" x14ac:dyDescent="0.3"/>
    <row r="227" customFormat="1" x14ac:dyDescent="0.3"/>
    <row r="228" customFormat="1" x14ac:dyDescent="0.3"/>
    <row r="229" customFormat="1" x14ac:dyDescent="0.3"/>
    <row r="230" customFormat="1" x14ac:dyDescent="0.3"/>
    <row r="231" customFormat="1" x14ac:dyDescent="0.3"/>
    <row r="232" customFormat="1" x14ac:dyDescent="0.3"/>
    <row r="233" customFormat="1" x14ac:dyDescent="0.3"/>
    <row r="234" customFormat="1" x14ac:dyDescent="0.3"/>
    <row r="235" customFormat="1" x14ac:dyDescent="0.3"/>
    <row r="236" customFormat="1" x14ac:dyDescent="0.3"/>
    <row r="237" customFormat="1" x14ac:dyDescent="0.3"/>
    <row r="238" customFormat="1" x14ac:dyDescent="0.3"/>
    <row r="239" customFormat="1" x14ac:dyDescent="0.3"/>
    <row r="240" customFormat="1" x14ac:dyDescent="0.3"/>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sheetData>
  <mergeCells count="39">
    <mergeCell ref="B76:B77"/>
    <mergeCell ref="B79:B95"/>
    <mergeCell ref="B58:B60"/>
    <mergeCell ref="AX2:AY2"/>
    <mergeCell ref="BD2:BE2"/>
    <mergeCell ref="AZ2:BA2"/>
    <mergeCell ref="BB2:BC2"/>
    <mergeCell ref="AP2:AQ2"/>
    <mergeCell ref="AR2:AS2"/>
    <mergeCell ref="AJ2:AK2"/>
    <mergeCell ref="AL2:AM2"/>
    <mergeCell ref="AN2:AO2"/>
    <mergeCell ref="AF2:AG2"/>
    <mergeCell ref="AH2:AI2"/>
    <mergeCell ref="B33:B36"/>
    <mergeCell ref="X2:Y2"/>
    <mergeCell ref="AV2:AW2"/>
    <mergeCell ref="B43:B56"/>
    <mergeCell ref="Z2:AA2"/>
    <mergeCell ref="D2:E2"/>
    <mergeCell ref="F2:G2"/>
    <mergeCell ref="H2:I2"/>
    <mergeCell ref="J2:K2"/>
    <mergeCell ref="L2:M2"/>
    <mergeCell ref="B22:B26"/>
    <mergeCell ref="B27:B32"/>
    <mergeCell ref="B16:B17"/>
    <mergeCell ref="AB2:AC2"/>
    <mergeCell ref="AD2:AE2"/>
    <mergeCell ref="N2:O2"/>
    <mergeCell ref="P2:Q2"/>
    <mergeCell ref="R2:S2"/>
    <mergeCell ref="B61:B74"/>
    <mergeCell ref="B4:B9"/>
    <mergeCell ref="B10:B15"/>
    <mergeCell ref="B19:B21"/>
    <mergeCell ref="AT2:AU2"/>
    <mergeCell ref="T2:U2"/>
    <mergeCell ref="V2:W2"/>
  </mergeCells>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tabColor theme="6" tint="-0.249977111117893"/>
    <pageSetUpPr fitToPage="1"/>
  </sheetPr>
  <dimension ref="A1:BT244"/>
  <sheetViews>
    <sheetView zoomScaleNormal="100" workbookViewId="0">
      <pane xSplit="4" ySplit="4" topLeftCell="E182" activePane="bottomRight" state="frozen"/>
      <selection pane="topRight" activeCell="E1" sqref="E1"/>
      <selection pane="bottomLeft" activeCell="A5" sqref="A5"/>
      <selection pane="bottomRight" activeCell="B190" sqref="B190"/>
    </sheetView>
  </sheetViews>
  <sheetFormatPr defaultRowHeight="14.4" x14ac:dyDescent="0.3"/>
  <cols>
    <col min="1" max="1" width="3" style="135" customWidth="1"/>
    <col min="2" max="2" width="78.33203125" bestFit="1" customWidth="1"/>
    <col min="3" max="3" width="12.33203125" bestFit="1" customWidth="1"/>
    <col min="4" max="4" width="13.6640625" style="88" customWidth="1"/>
    <col min="5" max="5" width="12" style="82" customWidth="1"/>
    <col min="6" max="6" width="13.6640625" style="88" customWidth="1"/>
    <col min="7" max="7" width="16.44140625" style="82" bestFit="1" customWidth="1"/>
    <col min="8" max="8" width="10.5546875" style="88" customWidth="1"/>
    <col min="9" max="9" width="9.5546875" style="82" customWidth="1"/>
    <col min="10" max="10" width="9.6640625" style="88" customWidth="1"/>
    <col min="11" max="11" width="8.88671875" style="82" hidden="1" customWidth="1"/>
    <col min="12" max="12" width="8.6640625" style="88" hidden="1" customWidth="1"/>
    <col min="13" max="13" width="9" style="82" hidden="1" customWidth="1"/>
    <col min="14" max="14" width="9" style="88" hidden="1" customWidth="1"/>
    <col min="15" max="15" width="10.44140625" style="190" hidden="1" customWidth="1"/>
    <col min="16" max="16" width="10.44140625" style="88" hidden="1" customWidth="1"/>
    <col min="17" max="17" width="12.33203125" style="82" hidden="1" customWidth="1"/>
    <col min="18" max="18" width="10.6640625" style="88" hidden="1" customWidth="1"/>
    <col min="19" max="19" width="10.44140625" style="82" hidden="1" customWidth="1"/>
    <col min="20" max="20" width="10.44140625" hidden="1" customWidth="1"/>
    <col min="21" max="21" width="12.33203125" style="82" hidden="1" customWidth="1"/>
    <col min="22" max="22" width="10.6640625" hidden="1" customWidth="1"/>
    <col min="23" max="23" width="8.88671875" hidden="1" customWidth="1"/>
    <col min="24" max="24" width="8.6640625" hidden="1" customWidth="1"/>
    <col min="25" max="28" width="9" hidden="1" customWidth="1"/>
    <col min="29" max="29" width="10.88671875" hidden="1" customWidth="1"/>
    <col min="30" max="30" width="10.44140625" hidden="1" customWidth="1"/>
    <col min="31" max="33" width="9.109375" hidden="1" customWidth="1"/>
    <col min="34" max="34" width="10.44140625" hidden="1" customWidth="1"/>
    <col min="35" max="36" width="9.109375" hidden="1" customWidth="1"/>
    <col min="37" max="38" width="10.44140625" hidden="1" customWidth="1"/>
    <col min="39" max="42" width="9.109375" hidden="1" customWidth="1"/>
    <col min="43" max="44" width="10.44140625" hidden="1" customWidth="1"/>
    <col min="45" max="46" width="9.109375" hidden="1" customWidth="1"/>
    <col min="47" max="48" width="10.6640625" hidden="1" customWidth="1"/>
    <col min="49" max="49" width="9.109375" hidden="1" customWidth="1"/>
    <col min="50" max="50" width="10.109375" hidden="1" customWidth="1"/>
    <col min="51" max="51" width="13.33203125" hidden="1" customWidth="1"/>
    <col min="52" max="52" width="14" hidden="1" customWidth="1"/>
    <col min="53" max="58" width="10.109375" hidden="1" customWidth="1"/>
    <col min="59" max="60" width="11.5546875" customWidth="1"/>
    <col min="61" max="62" width="10.33203125" customWidth="1"/>
    <col min="63" max="64" width="10.6640625" customWidth="1"/>
    <col min="65" max="67" width="9.109375" customWidth="1"/>
    <col min="16384" max="16384" width="9.109375" customWidth="1"/>
  </cols>
  <sheetData>
    <row r="1" spans="1:66" ht="22.8" x14ac:dyDescent="0.4">
      <c r="A1" s="88"/>
      <c r="B1" s="357" t="s">
        <v>4</v>
      </c>
      <c r="C1" s="41"/>
      <c r="D1" s="41"/>
      <c r="E1" s="41"/>
      <c r="F1" s="41"/>
      <c r="G1" s="41"/>
      <c r="H1" s="41"/>
      <c r="I1" s="41"/>
      <c r="J1" s="41"/>
      <c r="K1" s="41"/>
      <c r="L1" s="41"/>
      <c r="M1" s="41"/>
      <c r="N1" s="41"/>
      <c r="O1" s="486"/>
      <c r="P1" s="41"/>
      <c r="Q1" s="41"/>
      <c r="R1" s="41"/>
      <c r="S1" s="88"/>
      <c r="T1" s="88"/>
      <c r="U1" s="88"/>
      <c r="V1" s="88"/>
      <c r="W1" s="88"/>
      <c r="X1" s="88"/>
      <c r="Y1" s="88"/>
      <c r="Z1" s="88"/>
      <c r="AA1" s="88"/>
      <c r="AB1" s="88"/>
      <c r="AC1" s="88"/>
      <c r="AD1" s="88"/>
      <c r="AE1" s="88"/>
      <c r="AF1" s="88"/>
      <c r="AG1" s="88"/>
      <c r="AH1" s="88"/>
      <c r="AI1" s="88"/>
      <c r="AJ1" s="88"/>
      <c r="AK1" s="88"/>
      <c r="AL1" s="88"/>
      <c r="AM1" s="88"/>
      <c r="AN1" s="88"/>
      <c r="AO1" s="88"/>
      <c r="AP1" s="88"/>
      <c r="AQ1" s="88"/>
      <c r="AR1" s="88"/>
      <c r="AS1" s="88"/>
      <c r="AT1" s="88"/>
      <c r="AU1" s="88"/>
      <c r="AV1" s="88"/>
      <c r="AW1" s="88"/>
      <c r="AX1" s="88"/>
      <c r="AY1" s="88"/>
      <c r="AZ1" s="88"/>
      <c r="BA1" s="88"/>
      <c r="BB1" s="88"/>
      <c r="BC1" s="88"/>
      <c r="BD1" s="88"/>
      <c r="BE1" s="88"/>
      <c r="BF1" s="88"/>
    </row>
    <row r="2" spans="1:66" ht="15" thickBot="1" x14ac:dyDescent="0.35">
      <c r="A2" s="88"/>
      <c r="B2" s="41"/>
      <c r="C2" s="41"/>
      <c r="D2" s="2965">
        <v>365</v>
      </c>
      <c r="E2" s="28">
        <v>30</v>
      </c>
      <c r="F2" s="28">
        <v>30</v>
      </c>
      <c r="G2" s="28">
        <v>31</v>
      </c>
      <c r="H2" s="28">
        <v>31</v>
      </c>
      <c r="I2" s="28">
        <f>+E2+G2</f>
        <v>61</v>
      </c>
      <c r="J2" s="28">
        <f>+F2+H2</f>
        <v>61</v>
      </c>
      <c r="K2" s="28">
        <v>30</v>
      </c>
      <c r="L2" s="28">
        <v>30</v>
      </c>
      <c r="M2" s="28">
        <f>+I2+K2</f>
        <v>91</v>
      </c>
      <c r="N2" s="28">
        <f>+J2+L2</f>
        <v>91</v>
      </c>
      <c r="O2" s="1420">
        <v>31</v>
      </c>
      <c r="P2" s="28">
        <v>31</v>
      </c>
      <c r="Q2" s="28">
        <f>+M2+O2</f>
        <v>122</v>
      </c>
      <c r="R2" s="28">
        <f>+N2+P2</f>
        <v>122</v>
      </c>
      <c r="S2" s="28">
        <v>31</v>
      </c>
      <c r="T2" s="28">
        <v>31</v>
      </c>
      <c r="U2" s="28">
        <f>+Q2+S2</f>
        <v>153</v>
      </c>
      <c r="V2" s="28">
        <f>+R2+T2</f>
        <v>153</v>
      </c>
      <c r="W2" s="28">
        <v>30</v>
      </c>
      <c r="X2" s="28">
        <v>30</v>
      </c>
      <c r="Y2" s="28">
        <f>+O2+S2+W2</f>
        <v>92</v>
      </c>
      <c r="Z2" s="28">
        <f>+P2+T2+X2</f>
        <v>92</v>
      </c>
      <c r="AA2" s="91">
        <f>+U2+W2</f>
        <v>183</v>
      </c>
      <c r="AB2" s="28">
        <f>+V2+X2</f>
        <v>183</v>
      </c>
      <c r="AC2" s="28">
        <v>31</v>
      </c>
      <c r="AD2" s="28">
        <v>31</v>
      </c>
      <c r="AE2" s="28">
        <f>+AA2+AC2</f>
        <v>214</v>
      </c>
      <c r="AF2" s="28">
        <f>+AB2+AD2</f>
        <v>214</v>
      </c>
      <c r="AG2" s="28">
        <v>30</v>
      </c>
      <c r="AH2" s="28">
        <v>30</v>
      </c>
      <c r="AI2" s="28">
        <f>+AE2+AG2</f>
        <v>244</v>
      </c>
      <c r="AJ2" s="28">
        <f>+AF2+AH2</f>
        <v>244</v>
      </c>
      <c r="AK2" s="28">
        <v>31</v>
      </c>
      <c r="AL2" s="28">
        <v>31</v>
      </c>
      <c r="AM2" s="28">
        <f>+AC2+AG2+AK2</f>
        <v>92</v>
      </c>
      <c r="AN2" s="28">
        <f>+AD2+AH2+AL2</f>
        <v>92</v>
      </c>
      <c r="AO2" s="28">
        <f>AI2+AK2</f>
        <v>275</v>
      </c>
      <c r="AP2" s="28">
        <f>AJ2+AL2</f>
        <v>275</v>
      </c>
      <c r="AQ2" s="28">
        <v>31</v>
      </c>
      <c r="AR2" s="28">
        <v>31</v>
      </c>
      <c r="AS2" s="28">
        <f>+AO2+AQ2</f>
        <v>306</v>
      </c>
      <c r="AT2" s="28">
        <f>+AP2+AR2</f>
        <v>306</v>
      </c>
      <c r="AU2" s="28">
        <v>28</v>
      </c>
      <c r="AV2" s="28">
        <v>28</v>
      </c>
      <c r="AW2" s="28">
        <f>+AS2+AU2</f>
        <v>334</v>
      </c>
      <c r="AX2" s="28">
        <f>+AT2+AV2</f>
        <v>334</v>
      </c>
      <c r="AY2" s="28">
        <v>31</v>
      </c>
      <c r="AZ2" s="28">
        <v>31</v>
      </c>
      <c r="BA2" s="28">
        <f>+AQ2+AU2+AY2</f>
        <v>90</v>
      </c>
      <c r="BB2" s="28">
        <f>+AR2+AV2+AZ2</f>
        <v>90</v>
      </c>
      <c r="BC2" s="91">
        <f>+AM2+BA2</f>
        <v>182</v>
      </c>
      <c r="BD2" s="91">
        <f>+AN2+BB2</f>
        <v>182</v>
      </c>
      <c r="BE2" s="28">
        <f>+AW2+AY2</f>
        <v>365</v>
      </c>
      <c r="BF2" s="28">
        <f>+AX2+AZ2</f>
        <v>365</v>
      </c>
    </row>
    <row r="3" spans="1:66" ht="15" thickBot="1" x14ac:dyDescent="0.35">
      <c r="A3" s="88"/>
      <c r="B3" s="6117" t="s">
        <v>170</v>
      </c>
      <c r="C3" s="5837" t="s">
        <v>171</v>
      </c>
      <c r="D3" s="6123" t="s">
        <v>2212</v>
      </c>
      <c r="E3" s="6121" t="s">
        <v>2211</v>
      </c>
      <c r="F3" s="6122"/>
      <c r="G3" s="5880" t="s">
        <v>2260</v>
      </c>
      <c r="H3" s="5880"/>
      <c r="I3" s="5878" t="s">
        <v>14</v>
      </c>
      <c r="J3" s="5879"/>
      <c r="K3" s="5892" t="s">
        <v>1963</v>
      </c>
      <c r="L3" s="5889"/>
      <c r="M3" s="6119" t="s">
        <v>604</v>
      </c>
      <c r="N3" s="6120"/>
      <c r="O3" s="5880" t="s">
        <v>1985</v>
      </c>
      <c r="P3" s="5880"/>
      <c r="Q3" s="5878" t="s">
        <v>17</v>
      </c>
      <c r="R3" s="5879"/>
      <c r="S3" s="5880" t="s">
        <v>1988</v>
      </c>
      <c r="T3" s="5880"/>
      <c r="U3" s="5878" t="s">
        <v>18</v>
      </c>
      <c r="V3" s="5879"/>
      <c r="W3" s="5880" t="s">
        <v>2019</v>
      </c>
      <c r="X3" s="5880"/>
      <c r="Y3" s="5881" t="s">
        <v>625</v>
      </c>
      <c r="Z3" s="5882"/>
      <c r="AA3" s="5883" t="s">
        <v>623</v>
      </c>
      <c r="AB3" s="5884"/>
      <c r="AC3" s="5880" t="s">
        <v>2043</v>
      </c>
      <c r="AD3" s="5880"/>
      <c r="AE3" s="5878" t="s">
        <v>24</v>
      </c>
      <c r="AF3" s="5879"/>
      <c r="AG3" s="5880" t="s">
        <v>2064</v>
      </c>
      <c r="AH3" s="5880"/>
      <c r="AI3" s="5878" t="s">
        <v>27</v>
      </c>
      <c r="AJ3" s="5879"/>
      <c r="AK3" s="5880" t="s">
        <v>2088</v>
      </c>
      <c r="AL3" s="5880"/>
      <c r="AM3" s="5881" t="s">
        <v>627</v>
      </c>
      <c r="AN3" s="5882"/>
      <c r="AO3" s="5878" t="s">
        <v>1565</v>
      </c>
      <c r="AP3" s="5879"/>
      <c r="AQ3" s="5880" t="s">
        <v>2099</v>
      </c>
      <c r="AR3" s="5880"/>
      <c r="AS3" s="5878" t="s">
        <v>28</v>
      </c>
      <c r="AT3" s="5879"/>
      <c r="AU3" s="5880" t="s">
        <v>2136</v>
      </c>
      <c r="AV3" s="5880"/>
      <c r="AW3" s="5878" t="s">
        <v>30</v>
      </c>
      <c r="AX3" s="5879"/>
      <c r="AY3" s="5880" t="s">
        <v>2154</v>
      </c>
      <c r="AZ3" s="5880"/>
      <c r="BA3" s="5881" t="s">
        <v>628</v>
      </c>
      <c r="BB3" s="5882"/>
      <c r="BC3" s="5883" t="s">
        <v>634</v>
      </c>
      <c r="BD3" s="5884"/>
      <c r="BE3" s="5878" t="s">
        <v>1961</v>
      </c>
      <c r="BF3" s="5879"/>
    </row>
    <row r="4" spans="1:66" ht="15" thickBot="1" x14ac:dyDescent="0.35">
      <c r="A4" s="88"/>
      <c r="B4" s="6118"/>
      <c r="C4" s="5838"/>
      <c r="D4" s="6124"/>
      <c r="E4" s="3428" t="s">
        <v>172</v>
      </c>
      <c r="F4" s="3429" t="s">
        <v>173</v>
      </c>
      <c r="G4" s="3420" t="s">
        <v>172</v>
      </c>
      <c r="H4" s="3430" t="s">
        <v>173</v>
      </c>
      <c r="I4" s="3431" t="s">
        <v>172</v>
      </c>
      <c r="J4" s="3432" t="s">
        <v>173</v>
      </c>
      <c r="K4" s="3420" t="s">
        <v>172</v>
      </c>
      <c r="L4" s="3430" t="s">
        <v>173</v>
      </c>
      <c r="M4" s="3433" t="s">
        <v>172</v>
      </c>
      <c r="N4" s="3434" t="s">
        <v>173</v>
      </c>
      <c r="O4" s="208" t="s">
        <v>172</v>
      </c>
      <c r="P4" s="148" t="s">
        <v>173</v>
      </c>
      <c r="Q4" s="505" t="s">
        <v>172</v>
      </c>
      <c r="R4" s="150" t="s">
        <v>173</v>
      </c>
      <c r="S4" s="208" t="s">
        <v>172</v>
      </c>
      <c r="T4" s="148" t="s">
        <v>173</v>
      </c>
      <c r="U4" s="505" t="s">
        <v>172</v>
      </c>
      <c r="V4" s="150" t="s">
        <v>173</v>
      </c>
      <c r="W4" s="504" t="s">
        <v>172</v>
      </c>
      <c r="X4" s="148" t="s">
        <v>173</v>
      </c>
      <c r="Y4" s="648" t="s">
        <v>172</v>
      </c>
      <c r="Z4" s="157" t="s">
        <v>173</v>
      </c>
      <c r="AA4" s="2128" t="s">
        <v>172</v>
      </c>
      <c r="AB4" s="431" t="s">
        <v>173</v>
      </c>
      <c r="AC4" s="208" t="s">
        <v>172</v>
      </c>
      <c r="AD4" s="148" t="s">
        <v>173</v>
      </c>
      <c r="AE4" s="505" t="s">
        <v>172</v>
      </c>
      <c r="AF4" s="150" t="s">
        <v>173</v>
      </c>
      <c r="AG4" s="208" t="s">
        <v>172</v>
      </c>
      <c r="AH4" s="148" t="s">
        <v>173</v>
      </c>
      <c r="AI4" s="505" t="s">
        <v>172</v>
      </c>
      <c r="AJ4" s="150" t="s">
        <v>173</v>
      </c>
      <c r="AK4" s="504" t="s">
        <v>172</v>
      </c>
      <c r="AL4" s="148" t="s">
        <v>173</v>
      </c>
      <c r="AM4" s="648" t="s">
        <v>172</v>
      </c>
      <c r="AN4" s="157" t="s">
        <v>173</v>
      </c>
      <c r="AO4" s="505" t="s">
        <v>172</v>
      </c>
      <c r="AP4" s="150" t="s">
        <v>173</v>
      </c>
      <c r="AQ4" s="208" t="s">
        <v>172</v>
      </c>
      <c r="AR4" s="148" t="s">
        <v>173</v>
      </c>
      <c r="AS4" s="505" t="s">
        <v>172</v>
      </c>
      <c r="AT4" s="150" t="s">
        <v>173</v>
      </c>
      <c r="AU4" s="208" t="s">
        <v>172</v>
      </c>
      <c r="AV4" s="148" t="s">
        <v>173</v>
      </c>
      <c r="AW4" s="505" t="s">
        <v>172</v>
      </c>
      <c r="AX4" s="150" t="s">
        <v>173</v>
      </c>
      <c r="AY4" s="208" t="s">
        <v>172</v>
      </c>
      <c r="AZ4" s="148" t="s">
        <v>173</v>
      </c>
      <c r="BA4" s="648" t="s">
        <v>172</v>
      </c>
      <c r="BB4" s="157" t="s">
        <v>173</v>
      </c>
      <c r="BC4" s="2128" t="s">
        <v>172</v>
      </c>
      <c r="BD4" s="431" t="s">
        <v>173</v>
      </c>
      <c r="BE4" s="505" t="s">
        <v>172</v>
      </c>
      <c r="BF4" s="150" t="s">
        <v>173</v>
      </c>
    </row>
    <row r="5" spans="1:66" x14ac:dyDescent="0.3">
      <c r="B5" s="1609" t="s">
        <v>1740</v>
      </c>
      <c r="C5" s="750" t="s">
        <v>168</v>
      </c>
      <c r="D5" s="1331">
        <v>96.509589041095893</v>
      </c>
      <c r="E5" s="1331">
        <v>98</v>
      </c>
      <c r="F5" s="1331">
        <f>+'Maj Production Summ'!F6</f>
        <v>98</v>
      </c>
      <c r="G5" s="1331">
        <v>98</v>
      </c>
      <c r="H5" s="1331">
        <f>+'Maj Production Summ'!H6</f>
        <v>97.064516129032256</v>
      </c>
      <c r="I5" s="1332">
        <f>+'Maj Production Summ'!I6</f>
        <v>98</v>
      </c>
      <c r="J5" s="1332">
        <f>+'Maj Production Summ'!J6</f>
        <v>97.52459016393442</v>
      </c>
      <c r="K5" s="1331">
        <v>94</v>
      </c>
      <c r="L5" s="1331">
        <f>+'Maj Production Summ'!L6</f>
        <v>96.066666666666663</v>
      </c>
      <c r="M5" s="1409">
        <f>+'Maj Production Summ'!M6</f>
        <v>96.681318681318686</v>
      </c>
      <c r="N5" s="161">
        <f>+'Maj Production Summ'!N6</f>
        <v>97.043956043956044</v>
      </c>
      <c r="O5" s="1331">
        <v>94</v>
      </c>
      <c r="P5" s="1331">
        <f>+'Maj Production Summ'!P6</f>
        <v>95.41935483870968</v>
      </c>
      <c r="Q5" s="317">
        <f>+'Maj Production Summ'!Q6</f>
        <v>96</v>
      </c>
      <c r="R5" s="317">
        <f>+'Maj Production Summ'!R6</f>
        <v>96.631147540983605</v>
      </c>
      <c r="S5" s="1331">
        <v>94</v>
      </c>
      <c r="T5" s="1331">
        <f>+'Maj Production Summ'!T6</f>
        <v>98</v>
      </c>
      <c r="U5" s="317">
        <f>+'Maj Production Summ'!U6</f>
        <v>95.59477124183006</v>
      </c>
      <c r="V5" s="317">
        <f>+'Maj Production Summ'!V6</f>
        <v>96.908496732026137</v>
      </c>
      <c r="W5" s="1331">
        <v>92.1</v>
      </c>
      <c r="X5" s="1331">
        <f>+'Maj Production Summ'!X6</f>
        <v>98</v>
      </c>
      <c r="Y5" s="416">
        <f>+'Maj Production Summ'!Y6</f>
        <v>93.380434782608702</v>
      </c>
      <c r="Z5" s="416">
        <f>+'Maj Production Summ'!Z6</f>
        <v>97.130434782608702</v>
      </c>
      <c r="AA5" s="436">
        <f>+'Maj Production Summ'!AA6</f>
        <v>95.021857923497265</v>
      </c>
      <c r="AB5" s="436">
        <f>+'Maj Production Summ'!AB6</f>
        <v>97.087431693989075</v>
      </c>
      <c r="AC5" s="1331">
        <v>94</v>
      </c>
      <c r="AD5" s="1331">
        <f>+'Maj Production Summ'!AD6</f>
        <v>96.548387096774192</v>
      </c>
      <c r="AE5" s="317">
        <f>+'Maj Production Summ'!AE6</f>
        <v>94.873831775700936</v>
      </c>
      <c r="AF5" s="317">
        <f>+'Maj Production Summ'!AF6</f>
        <v>97.00934579439253</v>
      </c>
      <c r="AG5" s="1331">
        <v>94</v>
      </c>
      <c r="AH5" s="1331">
        <f>+'Maj Production Summ'!AH6</f>
        <v>94.233333333333334</v>
      </c>
      <c r="AI5" s="317">
        <f>+'Maj Production Summ'!AI6</f>
        <v>94.766393442622956</v>
      </c>
      <c r="AJ5" s="317">
        <f>+'Maj Production Summ'!AJ6</f>
        <v>96.668032786885249</v>
      </c>
      <c r="AK5" s="1331">
        <v>94</v>
      </c>
      <c r="AL5" s="1331">
        <f>+'Maj Production Summ'!AL6</f>
        <v>94.096774193548384</v>
      </c>
      <c r="AM5" s="416">
        <f>+'Maj Production Summ'!AM6</f>
        <v>94</v>
      </c>
      <c r="AN5" s="416">
        <f>+'Maj Production Summ'!AN6</f>
        <v>94.967391304347828</v>
      </c>
      <c r="AO5" s="317">
        <f>+'Maj Production Summ'!AO6</f>
        <v>94.68</v>
      </c>
      <c r="AP5" s="317">
        <f>+'Maj Production Summ'!AP6</f>
        <v>96.378181818181815</v>
      </c>
      <c r="AQ5" s="1331">
        <v>94</v>
      </c>
      <c r="AR5" s="1331">
        <f>+'Maj Production Summ'!AR6</f>
        <v>94.838709677419359</v>
      </c>
      <c r="AS5" s="317">
        <f>+'Maj Production Summ'!AS6</f>
        <v>94.611111111111128</v>
      </c>
      <c r="AT5" s="317">
        <f>+'Maj Production Summ'!AT6</f>
        <v>96.222222222222229</v>
      </c>
      <c r="AU5" s="1331">
        <v>94</v>
      </c>
      <c r="AV5" s="1331">
        <f>+'Maj Production Summ'!AV6</f>
        <v>94.428571428571431</v>
      </c>
      <c r="AW5" s="317">
        <f>+'Maj Production Summ'!AW6</f>
        <v>94.559880239520965</v>
      </c>
      <c r="AX5" s="317">
        <f>+'Maj Production Summ'!AX6</f>
        <v>96.071856287425163</v>
      </c>
      <c r="AY5" s="1331">
        <v>94</v>
      </c>
      <c r="AZ5" s="1331">
        <f>+'Maj Production Summ'!AZ6</f>
        <v>98</v>
      </c>
      <c r="BA5" s="416">
        <f>+'Maj Production Summ'!BA6</f>
        <v>94</v>
      </c>
      <c r="BB5" s="416">
        <f>+'Maj Production Summ'!BB6</f>
        <v>95.8</v>
      </c>
      <c r="BC5" s="436">
        <f>+'Maj Production Summ'!BC6</f>
        <v>94</v>
      </c>
      <c r="BD5" s="436">
        <f>+'Maj Production Summ'!BD6</f>
        <v>95.379120879120876</v>
      </c>
      <c r="BE5" s="317">
        <f>+'Maj Production Summ'!BE6</f>
        <v>94.512328767123293</v>
      </c>
      <c r="BF5" s="317">
        <f>+'Maj Production Summ'!BF6</f>
        <v>96.235616438356161</v>
      </c>
      <c r="BG5" s="1111"/>
      <c r="BH5" s="1111"/>
      <c r="BI5" s="3464"/>
      <c r="BJ5" s="491"/>
    </row>
    <row r="6" spans="1:66" ht="15" thickBot="1" x14ac:dyDescent="0.35">
      <c r="B6" s="1608" t="s">
        <v>1741</v>
      </c>
      <c r="C6" s="2356" t="s">
        <v>168</v>
      </c>
      <c r="D6" s="2580">
        <v>97.71761643835616</v>
      </c>
      <c r="E6" s="2580">
        <v>96.6</v>
      </c>
      <c r="F6" s="2580">
        <f>+'Maj Production Summ'!F7</f>
        <v>98.433333333333337</v>
      </c>
      <c r="G6" s="2580">
        <v>96.03</v>
      </c>
      <c r="H6" s="2580">
        <f>+'Maj Production Summ'!H7</f>
        <v>93.677419354838705</v>
      </c>
      <c r="I6" s="2817">
        <f>+'Maj Production Summ'!I7</f>
        <v>96.310327868852468</v>
      </c>
      <c r="J6" s="2817">
        <f>+'Maj Production Summ'!J7</f>
        <v>96.016393442622956</v>
      </c>
      <c r="K6" s="2580">
        <v>98</v>
      </c>
      <c r="L6" s="2580">
        <f>+'Maj Production Summ'!L7</f>
        <v>98.466666666666669</v>
      </c>
      <c r="M6" s="3029">
        <f>+'Maj Production Summ'!M7</f>
        <v>96.867362637362646</v>
      </c>
      <c r="N6" s="107">
        <f>+'Maj Production Summ'!N7</f>
        <v>96.824175824175825</v>
      </c>
      <c r="O6" s="2580">
        <v>98</v>
      </c>
      <c r="P6" s="2580">
        <f>+'Maj Production Summ'!P7</f>
        <v>99</v>
      </c>
      <c r="Q6" s="1290">
        <f>+'Maj Production Summ'!Q7</f>
        <v>97.155163934426227</v>
      </c>
      <c r="R6" s="1290">
        <f>+'Maj Production Summ'!R7</f>
        <v>97.377049180327873</v>
      </c>
      <c r="S6" s="2580">
        <v>98</v>
      </c>
      <c r="T6" s="2580">
        <f>+'Maj Production Summ'!T7</f>
        <v>98.516129032258064</v>
      </c>
      <c r="U6" s="1290">
        <f>+'Maj Production Summ'!U7</f>
        <v>97.326339869281043</v>
      </c>
      <c r="V6" s="1290">
        <f>+'Maj Production Summ'!V7</f>
        <v>97.607843137254903</v>
      </c>
      <c r="W6" s="2580">
        <v>93.5</v>
      </c>
      <c r="X6" s="2580">
        <f>+'Maj Production Summ'!X7</f>
        <v>98.766666666666666</v>
      </c>
      <c r="Y6" s="416">
        <f>+'Maj Production Summ'!Y7</f>
        <v>96.532608695652172</v>
      </c>
      <c r="Z6" s="416">
        <f>+'Maj Production Summ'!Z7</f>
        <v>98.760869565217391</v>
      </c>
      <c r="AA6" s="436">
        <f>+'Maj Production Summ'!AA7</f>
        <v>96.699071038251361</v>
      </c>
      <c r="AB6" s="436">
        <f>+'Maj Production Summ'!AB7</f>
        <v>97.797814207650276</v>
      </c>
      <c r="AC6" s="2580">
        <v>98</v>
      </c>
      <c r="AD6" s="2580">
        <f>+'Maj Production Summ'!AD7</f>
        <v>97.193548387096769</v>
      </c>
      <c r="AE6" s="1290">
        <f>+'Maj Production Summ'!AE7</f>
        <v>96.887523364485986</v>
      </c>
      <c r="AF6" s="1290">
        <f>+'Maj Production Summ'!AF7</f>
        <v>97.710280373831779</v>
      </c>
      <c r="AG6" s="2580">
        <v>98</v>
      </c>
      <c r="AH6" s="2580">
        <f>+'Maj Production Summ'!AH7</f>
        <v>98.666666666666671</v>
      </c>
      <c r="AI6" s="1290">
        <f>+'Maj Production Summ'!AI7</f>
        <v>97.024303278688521</v>
      </c>
      <c r="AJ6" s="1290">
        <f>+'Maj Production Summ'!AJ7</f>
        <v>97.827868852459019</v>
      </c>
      <c r="AK6" s="2580">
        <v>98</v>
      </c>
      <c r="AL6" s="2580">
        <f>+'Maj Production Summ'!AL7</f>
        <v>98.741935483870961</v>
      </c>
      <c r="AM6" s="416">
        <f>+'Maj Production Summ'!AM7</f>
        <v>98</v>
      </c>
      <c r="AN6" s="416">
        <f>+'Maj Production Summ'!AN7</f>
        <v>98.195652173913047</v>
      </c>
      <c r="AO6" s="1290">
        <f>+'Maj Production Summ'!AO7</f>
        <v>97.134290909090907</v>
      </c>
      <c r="AP6" s="1290">
        <f>+'Maj Production Summ'!AP7</f>
        <v>97.930909090909097</v>
      </c>
      <c r="AQ6" s="2580">
        <v>98</v>
      </c>
      <c r="AR6" s="2580">
        <f>+'Maj Production Summ'!AR7</f>
        <v>97.870967741935488</v>
      </c>
      <c r="AS6" s="1290">
        <f>+'Maj Production Summ'!AS7</f>
        <v>97.221993464052289</v>
      </c>
      <c r="AT6" s="1290">
        <f>+'Maj Production Summ'!AT7</f>
        <v>97.924836601307192</v>
      </c>
      <c r="AU6" s="2580">
        <v>98</v>
      </c>
      <c r="AV6" s="2580">
        <f>+'Maj Production Summ'!AV7</f>
        <v>98.035714285714292</v>
      </c>
      <c r="AW6" s="1290">
        <f>+'Maj Production Summ'!AW7</f>
        <v>97.28721556886228</v>
      </c>
      <c r="AX6" s="1290">
        <f>+'Maj Production Summ'!AX7</f>
        <v>97.93413173652695</v>
      </c>
      <c r="AY6" s="2580">
        <v>98</v>
      </c>
      <c r="AZ6" s="2580">
        <f>+'Maj Production Summ'!AZ7</f>
        <v>98.677419354838705</v>
      </c>
      <c r="BA6" s="416">
        <f>+'Maj Production Summ'!BA7</f>
        <v>98</v>
      </c>
      <c r="BB6" s="416">
        <f>+'Maj Production Summ'!BB7</f>
        <v>98.2</v>
      </c>
      <c r="BC6" s="436">
        <f>+'Maj Production Summ'!BC7</f>
        <v>98</v>
      </c>
      <c r="BD6" s="436">
        <f>+'Maj Production Summ'!BD7</f>
        <v>98.197802197802204</v>
      </c>
      <c r="BE6" s="317">
        <f>+'Maj Production Summ'!BE7</f>
        <v>97.34775342465754</v>
      </c>
      <c r="BF6" s="317">
        <f>+'Maj Production Summ'!BF7</f>
        <v>97.9972602739726</v>
      </c>
      <c r="BG6" s="1111"/>
      <c r="BH6" s="1111"/>
      <c r="BI6" s="3464"/>
      <c r="BJ6" s="491"/>
    </row>
    <row r="7" spans="1:66" ht="15" thickBot="1" x14ac:dyDescent="0.35">
      <c r="A7" s="135" t="s">
        <v>445</v>
      </c>
      <c r="B7" s="2657" t="s">
        <v>1742</v>
      </c>
      <c r="C7" s="2356" t="s">
        <v>169</v>
      </c>
      <c r="D7" s="3042">
        <f>D5+(D6*1.8343023255814)</f>
        <v>275.7532401242438</v>
      </c>
      <c r="E7" s="3042">
        <f>E5+(E6*1.8343023255814)</f>
        <v>275.19360465116324</v>
      </c>
      <c r="F7" s="3042">
        <f>F5+(F6*1.8343023255814)</f>
        <v>278.55649224806245</v>
      </c>
      <c r="G7" s="3042">
        <f>G5+(G6*1.8343023255814)</f>
        <v>274.14805232558183</v>
      </c>
      <c r="H7" s="3042">
        <f>H5+(H6*1.8343023255814)</f>
        <v>268.89722430607696</v>
      </c>
      <c r="I7" s="3044">
        <f t="shared" ref="I7:N7" si="0">I5+(I6*1.8343023255814)</f>
        <v>274.66225838734317</v>
      </c>
      <c r="J7" s="3044">
        <f t="shared" si="0"/>
        <v>273.64768394967638</v>
      </c>
      <c r="K7" s="3042">
        <f>K5+(K6*1.8343023255814)</f>
        <v>273.7616279069772</v>
      </c>
      <c r="L7" s="3042">
        <f>L5+(L6*1.8343023255814)</f>
        <v>276.68430232558183</v>
      </c>
      <c r="M7" s="3043">
        <f t="shared" si="0"/>
        <v>274.36534723996976</v>
      </c>
      <c r="N7" s="3437">
        <f t="shared" si="0"/>
        <v>274.6487669307441</v>
      </c>
      <c r="O7" s="3042">
        <f>O5+(O6*1.8343023255814)</f>
        <v>273.7616279069772</v>
      </c>
      <c r="P7" s="3042">
        <f>P5+(P6*1.8343023255814)</f>
        <v>277.01528507126829</v>
      </c>
      <c r="Q7" s="685">
        <f t="shared" ref="Q7:R7" si="1">Q5+(Q6*1.8343023255814)</f>
        <v>274.21194314716018</v>
      </c>
      <c r="R7" s="59">
        <f t="shared" si="1"/>
        <v>275.25009531071339</v>
      </c>
      <c r="S7" s="3042">
        <f>S5+(S6*1.8343023255814)</f>
        <v>273.7616279069772</v>
      </c>
      <c r="T7" s="3042">
        <f>T5+(T6*1.8343023255814)</f>
        <v>278.70836459114821</v>
      </c>
      <c r="U7" s="685">
        <f t="shared" ref="U7:V7" si="2">U5+(U6*1.8343023255814)</f>
        <v>274.12070280437803</v>
      </c>
      <c r="V7" s="59">
        <f t="shared" si="2"/>
        <v>275.95079039367727</v>
      </c>
      <c r="W7" s="3042">
        <f>W5+(W6*1.8343023255814)</f>
        <v>263.60726744186093</v>
      </c>
      <c r="X7" s="3042">
        <f>X5+(X6*1.8343023255814)</f>
        <v>279.16792635658959</v>
      </c>
      <c r="Y7" s="684">
        <f t="shared" ref="Y7:AB7" si="3">Y5+(Y6*1.8343023255814)</f>
        <v>270.45042340748273</v>
      </c>
      <c r="Z7" s="66">
        <f t="shared" si="3"/>
        <v>278.28772750252824</v>
      </c>
      <c r="AA7" s="1934">
        <f t="shared" si="3"/>
        <v>272.39718881052272</v>
      </c>
      <c r="AB7" s="1249">
        <f t="shared" si="3"/>
        <v>276.47818973185963</v>
      </c>
      <c r="AC7" s="3042">
        <f>AC5+(AC6*1.8343023255814)</f>
        <v>273.7616279069772</v>
      </c>
      <c r="AD7" s="3042">
        <f>AD5+(AD6*1.8343023255814)</f>
        <v>274.83073893473414</v>
      </c>
      <c r="AE7" s="685">
        <f t="shared" ref="AE7:AF7" si="4">+AE5+(AE6*(31.55/17.2))</f>
        <v>272.59484120299936</v>
      </c>
      <c r="AF7" s="59">
        <f t="shared" si="4"/>
        <v>276.23954031732234</v>
      </c>
      <c r="AG7" s="3042">
        <f>AG5+(AG6*1.8343023255814)</f>
        <v>273.7616279069772</v>
      </c>
      <c r="AH7" s="3042">
        <f>AH5+(AH6*1.8343023255814)</f>
        <v>275.21782945736481</v>
      </c>
      <c r="AI7" s="685">
        <f t="shared" ref="AI7:AJ7" si="5">+AI5+(AI6*(31.55/17.2))</f>
        <v>272.73829858463591</v>
      </c>
      <c r="AJ7" s="59">
        <f t="shared" si="5"/>
        <v>276.11392012962256</v>
      </c>
      <c r="AK7" s="3042">
        <f>AK5+(AK6*1.8343023255814)</f>
        <v>273.7616279069772</v>
      </c>
      <c r="AL7" s="3042">
        <f>AL5+(AL6*1.8343023255814)</f>
        <v>275.21933608402145</v>
      </c>
      <c r="AM7" s="684">
        <f t="shared" ref="AM7:AN7" si="6">AM5+(AM6*1.8343023255814)</f>
        <v>273.7616279069772</v>
      </c>
      <c r="AN7" s="66">
        <f t="shared" si="6"/>
        <v>275.08790444893879</v>
      </c>
      <c r="AO7" s="685">
        <f t="shared" ref="AO7:AT7" si="7">+AO5+(AO6*(31.55/17.2))</f>
        <v>272.85365570824524</v>
      </c>
      <c r="AP7" s="59">
        <f t="shared" si="7"/>
        <v>276.01307610993661</v>
      </c>
      <c r="AQ7" s="3042">
        <f>AQ5+(AQ6*1.8343023255814)</f>
        <v>273.7616279069772</v>
      </c>
      <c r="AR7" s="3042">
        <f>AR5+(AR6*1.8343023255814)</f>
        <v>274.3636534133538</v>
      </c>
      <c r="AS7" s="685">
        <f t="shared" si="7"/>
        <v>272.94563981988148</v>
      </c>
      <c r="AT7" s="59">
        <f t="shared" si="7"/>
        <v>275.8459777321782</v>
      </c>
      <c r="AU7" s="3042">
        <f>AU5+(AU6*1.8343023255814)</f>
        <v>273.7616279069772</v>
      </c>
      <c r="AV7" s="3042">
        <f>AV5+(AV6*1.8343023255814)</f>
        <v>274.25571013289084</v>
      </c>
      <c r="AW7" s="685">
        <f t="shared" ref="AW7:AX7" si="8">+AW5+(AW6*(31.55/17.2))</f>
        <v>273.01404600682361</v>
      </c>
      <c r="AX7" s="59">
        <f t="shared" si="8"/>
        <v>275.7126618855313</v>
      </c>
      <c r="AY7" s="3042">
        <f>AY5+(AY6*1.8343023255814)</f>
        <v>273.7616279069772</v>
      </c>
      <c r="AZ7" s="3042">
        <f>AZ5+(AZ6*1.8343023255814)</f>
        <v>279.00421980495167</v>
      </c>
      <c r="BA7" s="684">
        <f t="shared" ref="BA7:BD7" si="9">BA5+(BA6*1.8343023255814)</f>
        <v>273.7616279069772</v>
      </c>
      <c r="BB7" s="66">
        <f t="shared" si="9"/>
        <v>275.92848837209345</v>
      </c>
      <c r="BC7" s="1934">
        <f t="shared" si="9"/>
        <v>273.7616279069772</v>
      </c>
      <c r="BD7" s="1249">
        <f t="shared" si="9"/>
        <v>275.50357781753178</v>
      </c>
      <c r="BE7" s="685">
        <f t="shared" ref="BE7:BF7" si="10">+BE5+(BE6*(31.55/17.2))</f>
        <v>273.07753926409686</v>
      </c>
      <c r="BF7" s="59">
        <f t="shared" si="10"/>
        <v>275.99221885950942</v>
      </c>
      <c r="BG7" s="1111"/>
      <c r="BH7" s="1111"/>
      <c r="BI7" s="3464"/>
      <c r="BJ7" s="491"/>
    </row>
    <row r="8" spans="1:66" x14ac:dyDescent="0.3">
      <c r="B8" s="3438" t="s">
        <v>1743</v>
      </c>
      <c r="C8" s="2356" t="s">
        <v>643</v>
      </c>
      <c r="D8" s="2348">
        <f>+'Maj Production Summ'!D9</f>
        <v>35226</v>
      </c>
      <c r="E8" s="2348">
        <f>+'Maj Production Summ'!E9</f>
        <v>2940</v>
      </c>
      <c r="F8" s="2348">
        <f>+'Maj Production Summ'!F9</f>
        <v>2940</v>
      </c>
      <c r="G8" s="2348">
        <f>+'Maj Production Summ'!G9</f>
        <v>3038</v>
      </c>
      <c r="H8" s="2348">
        <f>+'Maj Production Summ'!H9</f>
        <v>3009</v>
      </c>
      <c r="I8" s="2349">
        <f>+'Maj Production Summ'!I9</f>
        <v>5978</v>
      </c>
      <c r="J8" s="2349">
        <f>+'Maj Production Summ'!J9</f>
        <v>5949</v>
      </c>
      <c r="K8" s="2348">
        <f>+'Maj Production Summ'!K9</f>
        <v>2820</v>
      </c>
      <c r="L8" s="2348">
        <f>+'Maj Production Summ'!L9</f>
        <v>2882</v>
      </c>
      <c r="M8" s="2350">
        <f>+'Maj Production Summ'!M9</f>
        <v>8798</v>
      </c>
      <c r="N8" s="65">
        <f>+'Maj Production Summ'!N9</f>
        <v>8831</v>
      </c>
      <c r="O8" s="2348">
        <f>+'Maj Production Summ'!O9</f>
        <v>2914</v>
      </c>
      <c r="P8" s="2348">
        <f>+'Maj Production Summ'!P9</f>
        <v>2958</v>
      </c>
      <c r="Q8" s="2045">
        <f>+'Maj Production Summ'!Q9</f>
        <v>11712</v>
      </c>
      <c r="R8" s="2045">
        <f>+'Maj Production Summ'!R9</f>
        <v>11789</v>
      </c>
      <c r="S8" s="2348">
        <f>+'Maj Production Summ'!S9</f>
        <v>2914</v>
      </c>
      <c r="T8" s="2348">
        <f>+'Maj Production Summ'!T9</f>
        <v>3038</v>
      </c>
      <c r="U8" s="2045">
        <f>+'Maj Production Summ'!U9</f>
        <v>14626</v>
      </c>
      <c r="V8" s="2045">
        <f>+'Maj Production Summ'!V9</f>
        <v>14827</v>
      </c>
      <c r="W8" s="2348">
        <f>+'Maj Production Summ'!W9</f>
        <v>2763</v>
      </c>
      <c r="X8" s="2348">
        <f>+'Maj Production Summ'!X9</f>
        <v>2940</v>
      </c>
      <c r="Y8" s="451">
        <f>+'Maj Production Summ'!Y9</f>
        <v>8591</v>
      </c>
      <c r="Z8" s="451">
        <f>+'Maj Production Summ'!Z9</f>
        <v>8936</v>
      </c>
      <c r="AA8" s="1471">
        <f>+'Maj Production Summ'!AA9</f>
        <v>17389</v>
      </c>
      <c r="AB8" s="1471">
        <f>+'Maj Production Summ'!AB9</f>
        <v>17767</v>
      </c>
      <c r="AC8" s="2348">
        <f>+'Maj Production Summ'!AC9</f>
        <v>2914</v>
      </c>
      <c r="AD8" s="2348">
        <f>+'Maj Production Summ'!AD9</f>
        <v>2993</v>
      </c>
      <c r="AE8" s="2045">
        <f>+'Maj Production Summ'!AE9</f>
        <v>20303</v>
      </c>
      <c r="AF8" s="2045">
        <f>+'Maj Production Summ'!AF9</f>
        <v>20760</v>
      </c>
      <c r="AG8" s="2348">
        <f>+'Maj Production Summ'!AG9</f>
        <v>2820</v>
      </c>
      <c r="AH8" s="2348">
        <f>+'Maj Production Summ'!AH9</f>
        <v>2827</v>
      </c>
      <c r="AI8" s="2045">
        <f>+'Maj Production Summ'!AI9</f>
        <v>23123</v>
      </c>
      <c r="AJ8" s="2045">
        <f>+'Maj Production Summ'!AJ9</f>
        <v>23587</v>
      </c>
      <c r="AK8" s="2348">
        <f>+'Maj Production Summ'!AK9</f>
        <v>2914</v>
      </c>
      <c r="AL8" s="2348">
        <f>+'Maj Production Summ'!AL9</f>
        <v>2917</v>
      </c>
      <c r="AM8" s="451">
        <f>+'Maj Production Summ'!AM9</f>
        <v>8648</v>
      </c>
      <c r="AN8" s="451">
        <f>+'Maj Production Summ'!AN9</f>
        <v>8737</v>
      </c>
      <c r="AO8" s="2045">
        <f>+'Maj Production Summ'!AO9</f>
        <v>26037</v>
      </c>
      <c r="AP8" s="2045">
        <f>+'Maj Production Summ'!AP9</f>
        <v>26504</v>
      </c>
      <c r="AQ8" s="2348">
        <f>+'Maj Production Summ'!AQ9</f>
        <v>2914</v>
      </c>
      <c r="AR8" s="2348">
        <f>+'Maj Production Summ'!AR9</f>
        <v>2940</v>
      </c>
      <c r="AS8" s="2045">
        <f>+'Maj Production Summ'!AS9</f>
        <v>28951.000000000004</v>
      </c>
      <c r="AT8" s="2045">
        <f>+'Maj Production Summ'!AT9</f>
        <v>29444</v>
      </c>
      <c r="AU8" s="2348">
        <f>+'Maj Production Summ'!AU9</f>
        <v>2632</v>
      </c>
      <c r="AV8" s="2348">
        <f>+'Maj Production Summ'!AV9</f>
        <v>2644</v>
      </c>
      <c r="AW8" s="2045">
        <f>+'Maj Production Summ'!AW9</f>
        <v>31583.000000000004</v>
      </c>
      <c r="AX8" s="2045">
        <f>+'Maj Production Summ'!AX9</f>
        <v>32088</v>
      </c>
      <c r="AY8" s="2348">
        <f>+'Maj Production Summ'!AY9</f>
        <v>2914</v>
      </c>
      <c r="AZ8" s="2348">
        <f>+'Maj Production Summ'!AZ9</f>
        <v>3038</v>
      </c>
      <c r="BA8" s="451">
        <f>+'Maj Production Summ'!BA9</f>
        <v>8460</v>
      </c>
      <c r="BB8" s="451">
        <f>+'Maj Production Summ'!BB9</f>
        <v>8622</v>
      </c>
      <c r="BC8" s="1471">
        <f>+'Maj Production Summ'!BC9</f>
        <v>17108</v>
      </c>
      <c r="BD8" s="1471">
        <f>+'Maj Production Summ'!BD9</f>
        <v>17359</v>
      </c>
      <c r="BE8" s="2045">
        <f>+'Maj Production Summ'!BE9</f>
        <v>34497</v>
      </c>
      <c r="BF8" s="2045">
        <f>+'Maj Production Summ'!BF9</f>
        <v>35126</v>
      </c>
      <c r="BG8" s="1111"/>
      <c r="BH8" s="1111"/>
      <c r="BI8" s="1111"/>
      <c r="BJ8" s="1111"/>
      <c r="BK8" s="1111"/>
      <c r="BL8" s="23"/>
      <c r="BM8" s="23"/>
      <c r="BN8" s="23"/>
    </row>
    <row r="9" spans="1:66" ht="15" thickBot="1" x14ac:dyDescent="0.35">
      <c r="B9" s="3438" t="s">
        <v>1744</v>
      </c>
      <c r="C9" s="2356" t="s">
        <v>643</v>
      </c>
      <c r="D9" s="2348">
        <f>+'Maj Production Summ'!D10</f>
        <v>35666.93</v>
      </c>
      <c r="E9" s="2348">
        <f>+'Maj Production Summ'!E10</f>
        <v>2898</v>
      </c>
      <c r="F9" s="2348">
        <f>+'Maj Production Summ'!F10</f>
        <v>2953</v>
      </c>
      <c r="G9" s="2348">
        <f>+'Maj Production Summ'!G10</f>
        <v>2976.93</v>
      </c>
      <c r="H9" s="2348">
        <f>+'Maj Production Summ'!H10</f>
        <v>2904</v>
      </c>
      <c r="I9" s="2349">
        <f>+'Maj Production Summ'!I10</f>
        <v>5874.93</v>
      </c>
      <c r="J9" s="2349">
        <f>+'Maj Production Summ'!J10</f>
        <v>5857</v>
      </c>
      <c r="K9" s="2348">
        <f>+'Maj Production Summ'!K10</f>
        <v>2940</v>
      </c>
      <c r="L9" s="2348">
        <f>+'Maj Production Summ'!L10</f>
        <v>2954</v>
      </c>
      <c r="M9" s="2350">
        <f>+'Maj Production Summ'!M10</f>
        <v>8814.93</v>
      </c>
      <c r="N9" s="65">
        <f>+'Maj Production Summ'!N10</f>
        <v>8811</v>
      </c>
      <c r="O9" s="2348">
        <f>+'Maj Production Summ'!O10</f>
        <v>3038</v>
      </c>
      <c r="P9" s="2348">
        <f>+'Maj Production Summ'!P10</f>
        <v>3069</v>
      </c>
      <c r="Q9" s="3155">
        <f>+'Maj Production Summ'!Q10</f>
        <v>11852.93</v>
      </c>
      <c r="R9" s="3155">
        <f>+'Maj Production Summ'!R10</f>
        <v>11880</v>
      </c>
      <c r="S9" s="2348">
        <f>+'Maj Production Summ'!S10</f>
        <v>3038</v>
      </c>
      <c r="T9" s="2348">
        <f>+'Maj Production Summ'!T10</f>
        <v>3054</v>
      </c>
      <c r="U9" s="3155">
        <f>+'Maj Production Summ'!U10</f>
        <v>14890.93</v>
      </c>
      <c r="V9" s="3155">
        <f>+'Maj Production Summ'!V10</f>
        <v>14934</v>
      </c>
      <c r="W9" s="2348">
        <f>+'Maj Production Summ'!W10</f>
        <v>2805</v>
      </c>
      <c r="X9" s="2348">
        <f>+'Maj Production Summ'!X10</f>
        <v>2963</v>
      </c>
      <c r="Y9" s="451">
        <f>+'Maj Production Summ'!Y10</f>
        <v>8881</v>
      </c>
      <c r="Z9" s="451">
        <f>+'Maj Production Summ'!Z10</f>
        <v>9086</v>
      </c>
      <c r="AA9" s="1471">
        <f>+'Maj Production Summ'!AA10</f>
        <v>17695.93</v>
      </c>
      <c r="AB9" s="1471">
        <f>+'Maj Production Summ'!AB10</f>
        <v>17897</v>
      </c>
      <c r="AC9" s="2348">
        <f>+'Maj Production Summ'!AC10</f>
        <v>3038</v>
      </c>
      <c r="AD9" s="2348">
        <f>+'Maj Production Summ'!AD10</f>
        <v>3013</v>
      </c>
      <c r="AE9" s="3155">
        <f>+'Maj Production Summ'!AE10</f>
        <v>20733.93</v>
      </c>
      <c r="AF9" s="3155">
        <f>+'Maj Production Summ'!AF10</f>
        <v>20910</v>
      </c>
      <c r="AG9" s="2348">
        <f>+'Maj Production Summ'!AG10</f>
        <v>2940</v>
      </c>
      <c r="AH9" s="2348">
        <f>+'Maj Production Summ'!AH10</f>
        <v>2960</v>
      </c>
      <c r="AI9" s="3155">
        <f>+'Maj Production Summ'!AI10</f>
        <v>23673.93</v>
      </c>
      <c r="AJ9" s="3155">
        <f>+'Maj Production Summ'!AJ10</f>
        <v>23870</v>
      </c>
      <c r="AK9" s="2348">
        <f>+'Maj Production Summ'!AK10</f>
        <v>3038</v>
      </c>
      <c r="AL9" s="2348">
        <f>+'Maj Production Summ'!AL10</f>
        <v>3061</v>
      </c>
      <c r="AM9" s="451">
        <f>+'Maj Production Summ'!AM10</f>
        <v>9016</v>
      </c>
      <c r="AN9" s="451">
        <f>+'Maj Production Summ'!AN10</f>
        <v>9034</v>
      </c>
      <c r="AO9" s="3155">
        <f>+'Maj Production Summ'!AO10</f>
        <v>26711.93</v>
      </c>
      <c r="AP9" s="3155">
        <f>+'Maj Production Summ'!AP10</f>
        <v>26931</v>
      </c>
      <c r="AQ9" s="2348">
        <f>+'Maj Production Summ'!AQ10</f>
        <v>3038</v>
      </c>
      <c r="AR9" s="2348">
        <f>+'Maj Production Summ'!AR10</f>
        <v>3034</v>
      </c>
      <c r="AS9" s="3155">
        <f>+'Maj Production Summ'!AS10</f>
        <v>29749.93</v>
      </c>
      <c r="AT9" s="3155">
        <f>+'Maj Production Summ'!AT10</f>
        <v>29965</v>
      </c>
      <c r="AU9" s="2348">
        <f>+'Maj Production Summ'!AU10</f>
        <v>2744</v>
      </c>
      <c r="AV9" s="2348">
        <f>+'Maj Production Summ'!AV10</f>
        <v>2745</v>
      </c>
      <c r="AW9" s="3155">
        <f>+'Maj Production Summ'!AW10</f>
        <v>32493.93</v>
      </c>
      <c r="AX9" s="3155">
        <f>+'Maj Production Summ'!AX10</f>
        <v>32710</v>
      </c>
      <c r="AY9" s="2348">
        <f>+'Maj Production Summ'!AY10</f>
        <v>3038</v>
      </c>
      <c r="AZ9" s="2348">
        <f>+'Maj Production Summ'!AZ10</f>
        <v>3059</v>
      </c>
      <c r="BA9" s="451">
        <f>+'Maj Production Summ'!BA10</f>
        <v>8820</v>
      </c>
      <c r="BB9" s="451">
        <f>+'Maj Production Summ'!BB10</f>
        <v>8838</v>
      </c>
      <c r="BC9" s="1471">
        <f>+'Maj Production Summ'!BC10</f>
        <v>17836</v>
      </c>
      <c r="BD9" s="1471">
        <f>+'Maj Production Summ'!BD10</f>
        <v>17872</v>
      </c>
      <c r="BE9" s="2045">
        <f>+'Maj Production Summ'!BE10</f>
        <v>35531.93</v>
      </c>
      <c r="BF9" s="2045">
        <f>+'Maj Production Summ'!BF10</f>
        <v>35769</v>
      </c>
      <c r="BG9" s="1111"/>
      <c r="BH9" s="1111"/>
      <c r="BI9" s="1111"/>
      <c r="BJ9" s="1111"/>
      <c r="BK9" s="1111"/>
      <c r="BL9" s="23"/>
      <c r="BM9" s="23"/>
      <c r="BN9" s="23"/>
    </row>
    <row r="10" spans="1:66" ht="15" thickBot="1" x14ac:dyDescent="0.35">
      <c r="B10" s="2657" t="str">
        <f>+'Maj Production Summ'!B11</f>
        <v>Overall Equiv. Ovens Pushed</v>
      </c>
      <c r="C10" s="2356" t="s">
        <v>643</v>
      </c>
      <c r="D10" s="2348">
        <f>+'Maj Production Summ'!D11</f>
        <v>100649.93264534885</v>
      </c>
      <c r="E10" s="2998">
        <f>+'Maj Production Summ'!E11</f>
        <v>8255.8081395348854</v>
      </c>
      <c r="F10" s="2998">
        <f>+'Maj Production Summ'!F11</f>
        <v>8356.6947674418607</v>
      </c>
      <c r="G10" s="2998">
        <f>+'Maj Production Summ'!G11</f>
        <v>8498.5896220930226</v>
      </c>
      <c r="H10" s="2998">
        <f>+'Maj Production Summ'!H11</f>
        <v>8335.8139534883721</v>
      </c>
      <c r="I10" s="2999">
        <f>+'Maj Production Summ'!I11</f>
        <v>16754.397761627908</v>
      </c>
      <c r="J10" s="2999">
        <f>+'Maj Production Summ'!J11</f>
        <v>16692.508720930233</v>
      </c>
      <c r="K10" s="2998">
        <f>+'Maj Production Summ'!K11</f>
        <v>8212.8488372093016</v>
      </c>
      <c r="L10" s="2998">
        <f>+'Maj Production Summ'!L11</f>
        <v>8300.5290697674427</v>
      </c>
      <c r="M10" s="3000">
        <f>+'Maj Production Summ'!M11</f>
        <v>24967.246598837213</v>
      </c>
      <c r="N10" s="1839">
        <f>+'Maj Production Summ'!N11</f>
        <v>24993.037790697676</v>
      </c>
      <c r="O10" s="2998">
        <f>+'Maj Production Summ'!O11</f>
        <v>8486.6104651162786</v>
      </c>
      <c r="P10" s="2998">
        <f>+'Maj Production Summ'!P11</f>
        <v>8587.4738372093016</v>
      </c>
      <c r="Q10" s="683">
        <f>+'Maj Production Summ'!Q11</f>
        <v>33453.857063953488</v>
      </c>
      <c r="R10" s="1026">
        <f>+'Maj Production Summ'!R11</f>
        <v>33580.511627906977</v>
      </c>
      <c r="S10" s="2998">
        <f>+'Maj Production Summ'!S11</f>
        <v>8486.6104651162786</v>
      </c>
      <c r="T10" s="2998">
        <f>+'Maj Production Summ'!T11</f>
        <v>8639.959302325582</v>
      </c>
      <c r="U10" s="683">
        <f>+'Maj Production Summ'!U11</f>
        <v>41940.467529069771</v>
      </c>
      <c r="V10" s="1026">
        <f>+'Maj Production Summ'!V11</f>
        <v>42220.470930232565</v>
      </c>
      <c r="W10" s="2998">
        <f>+'Maj Production Summ'!W11</f>
        <v>7908.2180232558139</v>
      </c>
      <c r="X10" s="2998">
        <f>+'Maj Production Summ'!X11</f>
        <v>8375.0377906976755</v>
      </c>
      <c r="Y10" s="686">
        <f>+'Maj Production Summ'!Y11</f>
        <v>24881.438953488374</v>
      </c>
      <c r="Z10" s="159">
        <f>+'Maj Production Summ'!Z11</f>
        <v>25602.470930232557</v>
      </c>
      <c r="AA10" s="2145">
        <f>+'Maj Production Summ'!AA11</f>
        <v>49848.68555232558</v>
      </c>
      <c r="AB10" s="437">
        <f>+'Maj Production Summ'!AB11</f>
        <v>50595.508720930229</v>
      </c>
      <c r="AC10" s="2998">
        <f>+'Maj Production Summ'!AC11</f>
        <v>8486.6104651162786</v>
      </c>
      <c r="AD10" s="2998">
        <f>+'Maj Production Summ'!AD11</f>
        <v>8519.7529069767443</v>
      </c>
      <c r="AE10" s="683">
        <f>+'Maj Production Summ'!AE11</f>
        <v>58335.296017441862</v>
      </c>
      <c r="AF10" s="1026">
        <f>+'Maj Production Summ'!AF11</f>
        <v>59115.261627906977</v>
      </c>
      <c r="AG10" s="2998">
        <f>+'Maj Production Summ'!AG11</f>
        <v>8212.8488372093016</v>
      </c>
      <c r="AH10" s="2998">
        <f>+'Maj Production Summ'!AH11</f>
        <v>8256.5348837209312</v>
      </c>
      <c r="AI10" s="683">
        <f>+'Maj Production Summ'!AI11</f>
        <v>66548.144854651167</v>
      </c>
      <c r="AJ10" s="1026">
        <f>+'Maj Production Summ'!AJ11</f>
        <v>67371.796511627908</v>
      </c>
      <c r="AK10" s="2998">
        <f>+'Maj Production Summ'!AK11</f>
        <v>8486.6104651162786</v>
      </c>
      <c r="AL10" s="2998">
        <f>+'Maj Production Summ'!AL11</f>
        <v>8531.7994186046526</v>
      </c>
      <c r="AM10" s="686">
        <f>+'Maj Production Summ'!AM11</f>
        <v>25186.069767441859</v>
      </c>
      <c r="AN10" s="159">
        <f>+'Maj Production Summ'!AN11</f>
        <v>25308.087209302328</v>
      </c>
      <c r="AO10" s="683">
        <f>+'Maj Production Summ'!AO11</f>
        <v>75034.755319767457</v>
      </c>
      <c r="AP10" s="1026">
        <f>+'Maj Production Summ'!AP11</f>
        <v>75903.595930232565</v>
      </c>
      <c r="AQ10" s="2998">
        <f>+'Maj Production Summ'!AQ11</f>
        <v>8486.6104651162786</v>
      </c>
      <c r="AR10" s="2998">
        <f>+'Maj Production Summ'!AR11</f>
        <v>8505.2732558139542</v>
      </c>
      <c r="AS10" s="683">
        <f>+'Maj Production Summ'!AS11</f>
        <v>83521.365784883732</v>
      </c>
      <c r="AT10" s="1026">
        <f>+'Maj Production Summ'!AT11</f>
        <v>84408.869186046519</v>
      </c>
      <c r="AU10" s="2998">
        <f>+'Maj Production Summ'!AU11</f>
        <v>7665.3255813953492</v>
      </c>
      <c r="AV10" s="2998">
        <f>+'Maj Production Summ'!AV11</f>
        <v>7679.1598837209303</v>
      </c>
      <c r="AW10" s="683">
        <f>+'Maj Production Summ'!AW11</f>
        <v>91186.691366279076</v>
      </c>
      <c r="AX10" s="1026">
        <f>+'Maj Production Summ'!AX11</f>
        <v>92088.02906976745</v>
      </c>
      <c r="AY10" s="2998">
        <f>+'Maj Production Summ'!AY11</f>
        <v>8486.6104651162786</v>
      </c>
      <c r="AZ10" s="2998">
        <f>+'Maj Production Summ'!AZ11</f>
        <v>8649.1308139534885</v>
      </c>
      <c r="BA10" s="686">
        <f>+'Maj Production Summ'!BA11</f>
        <v>24638.546511627908</v>
      </c>
      <c r="BB10" s="159">
        <f>+'Maj Production Summ'!BB11</f>
        <v>24833.563953488374</v>
      </c>
      <c r="BC10" s="2145">
        <f>+'Maj Production Summ'!BC11</f>
        <v>49824.616279069771</v>
      </c>
      <c r="BD10" s="437">
        <f>+'Maj Production Summ'!BD11</f>
        <v>50141.651162790695</v>
      </c>
      <c r="BE10" s="683">
        <f>+'Maj Production Summ'!BE11</f>
        <v>99673.301831395365</v>
      </c>
      <c r="BF10" s="1026">
        <f>+'Maj Production Summ'!BF11</f>
        <v>100737.15988372093</v>
      </c>
      <c r="BG10" s="1111"/>
      <c r="BH10" s="1111"/>
      <c r="BI10" s="1111"/>
      <c r="BJ10" s="1111"/>
      <c r="BK10" s="1111"/>
      <c r="BL10" s="23"/>
      <c r="BM10" s="23"/>
      <c r="BN10" s="23"/>
    </row>
    <row r="11" spans="1:66" x14ac:dyDescent="0.3">
      <c r="B11" s="3438"/>
      <c r="C11" s="2862"/>
      <c r="D11" s="3042"/>
      <c r="E11" s="3042"/>
      <c r="F11" s="3042"/>
      <c r="G11" s="3042"/>
      <c r="H11" s="3042"/>
      <c r="I11" s="3044"/>
      <c r="J11" s="3044"/>
      <c r="K11" s="3042"/>
      <c r="L11" s="3042"/>
      <c r="M11" s="3043"/>
      <c r="N11" s="3437"/>
      <c r="O11" s="3042"/>
      <c r="P11" s="3042"/>
      <c r="Q11" s="3421"/>
      <c r="R11" s="3422"/>
      <c r="S11" s="3042"/>
      <c r="T11" s="3042"/>
      <c r="U11" s="3421"/>
      <c r="V11" s="3422"/>
      <c r="W11" s="3042"/>
      <c r="X11" s="3042"/>
      <c r="Y11" s="3423"/>
      <c r="Z11" s="3424"/>
      <c r="AA11" s="3425"/>
      <c r="AB11" s="3426"/>
      <c r="AC11" s="3042"/>
      <c r="AD11" s="3042"/>
      <c r="AE11" s="3421"/>
      <c r="AF11" s="3422"/>
      <c r="AG11" s="3042"/>
      <c r="AH11" s="3042"/>
      <c r="AI11" s="3421"/>
      <c r="AJ11" s="3422"/>
      <c r="AK11" s="3042"/>
      <c r="AL11" s="3042"/>
      <c r="AM11" s="3423"/>
      <c r="AN11" s="3424"/>
      <c r="AO11" s="3421"/>
      <c r="AP11" s="3422"/>
      <c r="AQ11" s="3042"/>
      <c r="AR11" s="3042"/>
      <c r="AS11" s="3421"/>
      <c r="AT11" s="3422"/>
      <c r="AU11" s="3042"/>
      <c r="AV11" s="3042"/>
      <c r="AW11" s="3421"/>
      <c r="AX11" s="3422"/>
      <c r="AY11" s="3042"/>
      <c r="AZ11" s="3042"/>
      <c r="BA11" s="3423"/>
      <c r="BB11" s="3424"/>
      <c r="BC11" s="3425"/>
      <c r="BD11" s="3426"/>
      <c r="BE11" s="3421"/>
      <c r="BF11" s="3422"/>
      <c r="BG11" s="1111"/>
      <c r="BH11" s="1111"/>
      <c r="BI11" s="1111"/>
      <c r="BJ11" s="1111"/>
      <c r="BK11" s="1111"/>
      <c r="BL11" s="23"/>
      <c r="BM11" s="23"/>
      <c r="BN11" s="23"/>
    </row>
    <row r="12" spans="1:66" x14ac:dyDescent="0.3">
      <c r="A12" s="135" t="s">
        <v>445</v>
      </c>
      <c r="B12" s="1608" t="s">
        <v>131</v>
      </c>
      <c r="C12" s="2356" t="s">
        <v>174</v>
      </c>
      <c r="D12" s="2580">
        <v>75.92</v>
      </c>
      <c r="E12" s="2580">
        <v>77.7</v>
      </c>
      <c r="F12" s="2583">
        <v>77.83</v>
      </c>
      <c r="G12" s="2580">
        <v>77.7</v>
      </c>
      <c r="H12" s="2583">
        <v>77.7</v>
      </c>
      <c r="I12" s="2817">
        <f>+((E12*E$2)+(G12*G$2))/I$2</f>
        <v>77.700000000000017</v>
      </c>
      <c r="J12" s="2817">
        <f>+((F12*F$2)+(H12*H$2))/J$2</f>
        <v>77.763934426229511</v>
      </c>
      <c r="K12" s="2580">
        <v>74</v>
      </c>
      <c r="L12" s="2583">
        <v>76</v>
      </c>
      <c r="M12" s="107">
        <f>+((E12*E$2)+(G12*G$2)+(K12*K$2))/M$2</f>
        <v>76.480219780219784</v>
      </c>
      <c r="N12" s="107">
        <f>+((F12*F$2)+(H12*H$2)+(L12*L$2))/N$2</f>
        <v>77.182417582417585</v>
      </c>
      <c r="O12" s="2580">
        <v>74</v>
      </c>
      <c r="P12" s="2583">
        <v>74.930000000000007</v>
      </c>
      <c r="Q12" s="2817">
        <f>+((M12*M$2)+(O12*O$2))/Q$2</f>
        <v>75.850000000000009</v>
      </c>
      <c r="R12" s="2817">
        <f>+((N12*N$2)+(P12*P$2))/R$2</f>
        <v>76.610081967213119</v>
      </c>
      <c r="S12" s="2580">
        <v>74</v>
      </c>
      <c r="T12" s="2583">
        <v>77.7</v>
      </c>
      <c r="U12" s="2817">
        <f>+((Q12*Q$2)+(S12*S$2))/U$2</f>
        <v>75.475163398692814</v>
      </c>
      <c r="V12" s="2817">
        <f>+((R12*R$2)+(T12*T$2))/V$2</f>
        <v>76.830915032679741</v>
      </c>
      <c r="W12" s="2580">
        <v>74</v>
      </c>
      <c r="X12" s="2583">
        <v>77.8</v>
      </c>
      <c r="Y12" s="107">
        <f>+((O12*O$2)+(S12*S$2)+(W12*W$2))/Y$2</f>
        <v>74</v>
      </c>
      <c r="Z12" s="107">
        <f>+((P12*P$2)+(T12*T$2)+(X12*X$2))/Z$2</f>
        <v>76.799239130434785</v>
      </c>
      <c r="AA12" s="438">
        <f>+((M12*M$2)+(Y12*Y$2))/AA$2</f>
        <v>75.233333333333334</v>
      </c>
      <c r="AB12" s="438">
        <f>+((N12*N$2)+(Z12*Z$2))/AB$2</f>
        <v>76.989781420765027</v>
      </c>
      <c r="AC12" s="2580">
        <v>74</v>
      </c>
      <c r="AD12" s="2583">
        <v>77.58</v>
      </c>
      <c r="AE12" s="117">
        <f>+((AA12*AA$2)+(AC12*AC$2))/AE$2</f>
        <v>75.054672897196269</v>
      </c>
      <c r="AF12" s="117">
        <f>+((AB12*AB$2)+(AD12*AD$2))/AF$2</f>
        <v>77.075280373831774</v>
      </c>
      <c r="AG12" s="2580">
        <v>74</v>
      </c>
      <c r="AH12" s="2583">
        <v>73.66</v>
      </c>
      <c r="AI12" s="117">
        <f>+((AE12*AE$2)+(AG12*AG$2))/AI$2</f>
        <v>74.924999999999997</v>
      </c>
      <c r="AJ12" s="117">
        <f>+((AF12*AF$2)+(AH12*AH$2))/AJ$2</f>
        <v>76.65536885245902</v>
      </c>
      <c r="AK12" s="2580">
        <v>74</v>
      </c>
      <c r="AL12" s="2583">
        <v>75.09</v>
      </c>
      <c r="AM12" s="107">
        <f>+((AC12*AC$2)+(AG12*AG$2)+(AK12*AK$2))/AM$2</f>
        <v>74</v>
      </c>
      <c r="AN12" s="107">
        <f>+((AD12*AD$2)+(AH12*AH$2)+(AL12*AL$2))/AN$2</f>
        <v>75.462717391304338</v>
      </c>
      <c r="AO12" s="117">
        <f>+((AK12*AK$2)+(AI12*AI$2))/AO$2</f>
        <v>74.820727272727282</v>
      </c>
      <c r="AP12" s="117">
        <f>+((AL12*AL$2)+(AJ12*AJ$2))/AP$2</f>
        <v>76.478909090909099</v>
      </c>
      <c r="AQ12" s="2580">
        <v>74</v>
      </c>
      <c r="AR12" s="2583">
        <v>75.58</v>
      </c>
      <c r="AS12" s="117">
        <f>+((AO12*AO$2)+(AQ12*AQ$2))/AS$2</f>
        <v>74.737581699346421</v>
      </c>
      <c r="AT12" s="117">
        <f>+((AP12*AP$2)+(AR12*AR$2))/AT$2</f>
        <v>76.387843137254904</v>
      </c>
      <c r="AU12" s="2580">
        <v>74</v>
      </c>
      <c r="AV12" s="2583">
        <v>74.709999999999994</v>
      </c>
      <c r="AW12" s="117">
        <f>+((AS12*AS$2)+(AU12*AU$2))/AW$2</f>
        <v>74.675748502994026</v>
      </c>
      <c r="AX12" s="117">
        <f>+((AT12*AT$2)+(AV12*AV$2))/AX$2</f>
        <v>76.247185628742514</v>
      </c>
      <c r="AY12" s="2580">
        <v>74</v>
      </c>
      <c r="AZ12" s="2583">
        <v>77.739999999999995</v>
      </c>
      <c r="BA12" s="107">
        <f>+((AQ12*AQ$2)+(AU12*AU$2)+(AY12*AY$2))/BA$2</f>
        <v>74</v>
      </c>
      <c r="BB12" s="107">
        <f>+((AR12*AR$2)+(AV12*AV$2)+(AZ12*AZ$2))/BB$2</f>
        <v>76.053333333333327</v>
      </c>
      <c r="BC12" s="438">
        <f>+((AM12*AM$2)+(BA12*BA$2))/BC$2</f>
        <v>74</v>
      </c>
      <c r="BD12" s="4307">
        <f>+((AN12*AN$2)+(BB12*BB$2))/BD$2</f>
        <v>75.754780219780216</v>
      </c>
      <c r="BE12" s="4279">
        <f>+((AW12*AW$2)+(AY12*AY$2))/BE$2</f>
        <v>74.61835616438357</v>
      </c>
      <c r="BF12" s="4279">
        <f>+((AX12*AX$2)+(AZ12*AZ$2))/BF$2</f>
        <v>76.373972602739727</v>
      </c>
      <c r="BG12" s="1111"/>
      <c r="BH12" s="1111"/>
      <c r="BI12" s="1111"/>
      <c r="BJ12" s="1111"/>
      <c r="BK12" s="1111"/>
      <c r="BL12" s="23"/>
      <c r="BM12" s="23"/>
      <c r="BN12" s="23"/>
    </row>
    <row r="13" spans="1:66" ht="15.9" customHeight="1" thickBot="1" x14ac:dyDescent="0.35">
      <c r="A13" s="135" t="s">
        <v>445</v>
      </c>
      <c r="B13" s="3439" t="s">
        <v>132</v>
      </c>
      <c r="C13" s="821" t="s">
        <v>174</v>
      </c>
      <c r="D13" s="1333">
        <v>73.5</v>
      </c>
      <c r="E13" s="1333">
        <v>73.5</v>
      </c>
      <c r="F13" s="179">
        <v>74</v>
      </c>
      <c r="G13" s="1333">
        <v>73.5</v>
      </c>
      <c r="H13" s="179">
        <v>74</v>
      </c>
      <c r="I13" s="550">
        <f>+((E13*E$2)+(G13*G$2))/I$2</f>
        <v>73.5</v>
      </c>
      <c r="J13" s="550">
        <f>+((F13*F$2)+(H13*H$2))/J$2</f>
        <v>74</v>
      </c>
      <c r="K13" s="1333">
        <v>73.3</v>
      </c>
      <c r="L13" s="179">
        <v>74</v>
      </c>
      <c r="M13" s="164">
        <f>+((E13*E$2)+(G13*G$2)+(K13*K$2))/M$2</f>
        <v>73.434065934065927</v>
      </c>
      <c r="N13" s="164">
        <f>+((F13*F$2)+(H13*H$2)+(L13*L$2))/N$2</f>
        <v>74</v>
      </c>
      <c r="O13" s="1333">
        <v>73.3</v>
      </c>
      <c r="P13" s="179">
        <v>74</v>
      </c>
      <c r="Q13" s="550">
        <f>+((M13*M$2)+(O13*O$2))/Q$2</f>
        <v>73.399999999999991</v>
      </c>
      <c r="R13" s="550">
        <f>+((N13*N$2)+(P13*P$2))/R$2</f>
        <v>74</v>
      </c>
      <c r="S13" s="1333">
        <v>73.3</v>
      </c>
      <c r="T13" s="179">
        <v>74</v>
      </c>
      <c r="U13" s="550">
        <f>+((Q13*Q$2)+(S13*S$2))/U$2</f>
        <v>73.379738562091489</v>
      </c>
      <c r="V13" s="550">
        <f>+((R13*R$2)+(T13*T$2))/V$2</f>
        <v>74</v>
      </c>
      <c r="W13" s="1333">
        <v>73.3</v>
      </c>
      <c r="X13" s="179">
        <v>74</v>
      </c>
      <c r="Y13" s="107">
        <f>+((O13*O$2)+(S13*S$2)+(W13*W$2))/Y$2</f>
        <v>73.3</v>
      </c>
      <c r="Z13" s="107">
        <f>+((P13*P$2)+(T13*T$2)+(X13*X$2))/Z$2</f>
        <v>74</v>
      </c>
      <c r="AA13" s="438">
        <f>+((M13*M$2)+(Y13*Y$2))/AA$2</f>
        <v>73.36666666666666</v>
      </c>
      <c r="AB13" s="438">
        <f>+((N13*N$2)+(Z13*Z$2))/AB$2</f>
        <v>74</v>
      </c>
      <c r="AC13" s="1333">
        <v>73.3</v>
      </c>
      <c r="AD13" s="179">
        <v>74</v>
      </c>
      <c r="AE13" s="102">
        <f>+((AA13*AA$2)+(AC13*AC$2))/AE$2</f>
        <v>73.357009345794381</v>
      </c>
      <c r="AF13" s="102">
        <f>+((AB13*AB$2)+(AD13*AD$2))/AF$2</f>
        <v>74</v>
      </c>
      <c r="AG13" s="1333">
        <v>73.3</v>
      </c>
      <c r="AH13" s="179">
        <v>74</v>
      </c>
      <c r="AI13" s="102">
        <f>+((AE13*AE$2)+(AG13*AG$2))/AI$2</f>
        <v>73.349999999999994</v>
      </c>
      <c r="AJ13" s="102">
        <f>+((AF13*AF$2)+(AH13*AH$2))/AJ$2</f>
        <v>74</v>
      </c>
      <c r="AK13" s="1333">
        <v>73.3</v>
      </c>
      <c r="AL13" s="179">
        <v>74</v>
      </c>
      <c r="AM13" s="107">
        <f>+((AC13*AC$2)+(AG13*AG$2)+(AK13*AK$2))/AM$2</f>
        <v>73.299999999999983</v>
      </c>
      <c r="AN13" s="107">
        <f>+((AD13*AD$2)+(AH13*AH$2)+(AL13*AL$2))/AN$2</f>
        <v>74</v>
      </c>
      <c r="AO13" s="102">
        <f>+((AK13*AK$2)+(AI13*AI$2))/AO$2</f>
        <v>73.344363636363624</v>
      </c>
      <c r="AP13" s="102">
        <f>+((AL13*AL$2)+(AJ13*AJ$2))/AP$2</f>
        <v>74</v>
      </c>
      <c r="AQ13" s="1333">
        <v>73.3</v>
      </c>
      <c r="AR13" s="179">
        <v>74</v>
      </c>
      <c r="AS13" s="102">
        <f>+((AO13*AO$2)+(AQ13*AQ$2))/AS$2</f>
        <v>73.339869281045736</v>
      </c>
      <c r="AT13" s="102">
        <f>+((AP13*AP$2)+(AR13*AR$2))/AT$2</f>
        <v>74</v>
      </c>
      <c r="AU13" s="1333">
        <v>73.3</v>
      </c>
      <c r="AV13" s="179">
        <v>74</v>
      </c>
      <c r="AW13" s="102">
        <f>+((AS13*AS$2)+(AU13*AU$2))/AW$2</f>
        <v>73.336526946107782</v>
      </c>
      <c r="AX13" s="102">
        <f>+((AT13*AT$2)+(AV13*AV$2))/AX$2</f>
        <v>74</v>
      </c>
      <c r="AY13" s="1333">
        <v>73.3</v>
      </c>
      <c r="AZ13" s="179">
        <v>74</v>
      </c>
      <c r="BA13" s="107">
        <f>+((AQ13*AQ$2)+(AU13*AU$2)+(AY13*AY$2))/BA$2</f>
        <v>73.3</v>
      </c>
      <c r="BB13" s="107">
        <f>+((AR13*AR$2)+(AV13*AV$2)+(AZ13*AZ$2))/BB$2</f>
        <v>74</v>
      </c>
      <c r="BC13" s="438">
        <f>+((AM13*AM$2)+(BA13*BA$2))/BC$2</f>
        <v>73.3</v>
      </c>
      <c r="BD13" s="438">
        <f>+((AN13*AN$2)+(BB13*BB$2))/BD$2</f>
        <v>74</v>
      </c>
      <c r="BE13" s="102">
        <f>+((AW13*AW$2)+(AY13*AY$2))/BE$2</f>
        <v>73.333424657534238</v>
      </c>
      <c r="BF13" s="102">
        <f>+((AX13*AX$2)+(AZ13*AZ$2))/BF$2</f>
        <v>74</v>
      </c>
      <c r="BG13" s="1111"/>
      <c r="BH13" s="1111"/>
      <c r="BI13" s="1111"/>
      <c r="BJ13" s="1111"/>
      <c r="BK13" s="1111"/>
      <c r="BL13" s="23"/>
      <c r="BM13" s="23"/>
      <c r="BN13" s="23"/>
    </row>
    <row r="14" spans="1:66" ht="15.6" x14ac:dyDescent="0.3">
      <c r="A14" s="136" t="s">
        <v>445</v>
      </c>
      <c r="B14" s="3435" t="s">
        <v>147</v>
      </c>
      <c r="C14" s="3436"/>
      <c r="D14" s="239"/>
      <c r="E14" s="1533"/>
      <c r="F14" s="1534"/>
      <c r="G14" s="1533"/>
      <c r="H14" s="1534"/>
      <c r="I14" s="239"/>
      <c r="J14" s="1534"/>
      <c r="K14" s="1533"/>
      <c r="L14" s="1534"/>
      <c r="M14" s="1533"/>
      <c r="N14" s="1534"/>
      <c r="O14" s="1533"/>
      <c r="P14" s="1534"/>
      <c r="Q14" s="215"/>
      <c r="R14" s="566"/>
      <c r="S14" s="1533"/>
      <c r="T14" s="1534"/>
      <c r="U14" s="215"/>
      <c r="V14" s="566"/>
      <c r="W14" s="1533"/>
      <c r="X14" s="1534"/>
      <c r="Y14" s="215"/>
      <c r="Z14" s="215"/>
      <c r="AA14" s="2144"/>
      <c r="AB14" s="215"/>
      <c r="AC14" s="1533"/>
      <c r="AD14" s="1534"/>
      <c r="AE14" s="215"/>
      <c r="AF14" s="566"/>
      <c r="AG14" s="1533"/>
      <c r="AH14" s="1534"/>
      <c r="AI14" s="215"/>
      <c r="AJ14" s="566"/>
      <c r="AK14" s="1533"/>
      <c r="AL14" s="1534"/>
      <c r="AM14" s="215"/>
      <c r="AN14" s="215"/>
      <c r="AO14" s="215"/>
      <c r="AP14" s="566"/>
      <c r="AQ14" s="1533"/>
      <c r="AR14" s="1534"/>
      <c r="AS14" s="215"/>
      <c r="AT14" s="566"/>
      <c r="AU14" s="1533"/>
      <c r="AV14" s="1534"/>
      <c r="AW14" s="215"/>
      <c r="AX14" s="566"/>
      <c r="AY14" s="1533"/>
      <c r="AZ14" s="1534"/>
      <c r="BA14" s="215"/>
      <c r="BB14" s="215"/>
      <c r="BC14" s="2144"/>
      <c r="BD14" s="215"/>
      <c r="BE14" s="215"/>
      <c r="BF14" s="566"/>
      <c r="BG14" s="1111"/>
      <c r="BH14" s="1111"/>
      <c r="BI14" s="1111"/>
      <c r="BJ14" s="1111"/>
      <c r="BK14" s="1111"/>
      <c r="BL14" s="23"/>
      <c r="BM14" s="23"/>
      <c r="BN14" s="23"/>
    </row>
    <row r="15" spans="1:66" x14ac:dyDescent="0.3">
      <c r="A15" s="88"/>
      <c r="B15" s="1276" t="s">
        <v>145</v>
      </c>
      <c r="C15" s="1277" t="s">
        <v>175</v>
      </c>
      <c r="D15" s="1317">
        <f t="shared" ref="D15:AI15" si="11">+D5/D12</f>
        <v>1.2712011201408837</v>
      </c>
      <c r="E15" s="688">
        <f t="shared" si="11"/>
        <v>1.2612612612612613</v>
      </c>
      <c r="F15" s="508">
        <f t="shared" si="11"/>
        <v>1.2591545676474367</v>
      </c>
      <c r="G15" s="688">
        <f t="shared" ref="G15:H15" si="12">+G5/G12</f>
        <v>1.2612612612612613</v>
      </c>
      <c r="H15" s="508">
        <f t="shared" si="12"/>
        <v>1.2492215718022168</v>
      </c>
      <c r="I15" s="689">
        <f t="shared" si="11"/>
        <v>1.261261261261261</v>
      </c>
      <c r="J15" s="92">
        <f t="shared" si="11"/>
        <v>1.2541108019225904</v>
      </c>
      <c r="K15" s="688">
        <f t="shared" si="11"/>
        <v>1.2702702702702702</v>
      </c>
      <c r="L15" s="508">
        <f t="shared" si="11"/>
        <v>1.2640350877192983</v>
      </c>
      <c r="M15" s="453">
        <f t="shared" si="11"/>
        <v>1.2641349483454747</v>
      </c>
      <c r="N15" s="85">
        <f t="shared" si="11"/>
        <v>1.2573324221197106</v>
      </c>
      <c r="O15" s="688">
        <f t="shared" ref="O15:P15" si="13">+O5/O12</f>
        <v>1.2702702702702702</v>
      </c>
      <c r="P15" s="508">
        <f t="shared" si="13"/>
        <v>1.2734466146898396</v>
      </c>
      <c r="Q15" s="689">
        <f t="shared" si="11"/>
        <v>1.2656558998022411</v>
      </c>
      <c r="R15" s="92">
        <f t="shared" si="11"/>
        <v>1.2613372164559087</v>
      </c>
      <c r="S15" s="688">
        <f t="shared" si="11"/>
        <v>1.2702702702702702</v>
      </c>
      <c r="T15" s="508">
        <f t="shared" si="11"/>
        <v>1.2612612612612613</v>
      </c>
      <c r="U15" s="689">
        <f t="shared" ref="U15:X15" si="14">+U5/U12</f>
        <v>1.2665725642335701</v>
      </c>
      <c r="V15" s="92">
        <f t="shared" si="14"/>
        <v>1.2613216527592632</v>
      </c>
      <c r="W15" s="688">
        <f t="shared" si="14"/>
        <v>1.2445945945945944</v>
      </c>
      <c r="X15" s="508">
        <f t="shared" si="14"/>
        <v>1.2596401028277635</v>
      </c>
      <c r="Y15" s="453">
        <f t="shared" si="11"/>
        <v>1.26189776733255</v>
      </c>
      <c r="Z15" s="85">
        <f t="shared" si="11"/>
        <v>1.2647317327928691</v>
      </c>
      <c r="AA15" s="690">
        <f t="shared" si="11"/>
        <v>1.2630286830770572</v>
      </c>
      <c r="AB15" s="439">
        <f t="shared" si="11"/>
        <v>1.2610430878272825</v>
      </c>
      <c r="AC15" s="688">
        <f t="shared" si="11"/>
        <v>1.2702702702702702</v>
      </c>
      <c r="AD15" s="508">
        <f t="shared" si="11"/>
        <v>1.2445009937712579</v>
      </c>
      <c r="AE15" s="689">
        <f t="shared" si="11"/>
        <v>1.2640629572212156</v>
      </c>
      <c r="AF15" s="92">
        <f t="shared" si="11"/>
        <v>1.2586311113482329</v>
      </c>
      <c r="AG15" s="688">
        <f t="shared" ref="AG15:AH15" si="15">+AG5/AG12</f>
        <v>1.2702702702702702</v>
      </c>
      <c r="AH15" s="508">
        <f t="shared" si="15"/>
        <v>1.2793012942347723</v>
      </c>
      <c r="AI15" s="689">
        <f t="shared" si="11"/>
        <v>1.2648167292976038</v>
      </c>
      <c r="AJ15" s="92">
        <f t="shared" ref="AJ15:BF15" si="16">+AJ5/AJ12</f>
        <v>1.2610732194498369</v>
      </c>
      <c r="AK15" s="688">
        <f t="shared" si="16"/>
        <v>1.2702702702702702</v>
      </c>
      <c r="AL15" s="508">
        <f t="shared" si="16"/>
        <v>1.2531199120195549</v>
      </c>
      <c r="AM15" s="453">
        <f t="shared" si="16"/>
        <v>1.2702702702702702</v>
      </c>
      <c r="AN15" s="85">
        <f t="shared" si="16"/>
        <v>1.2584676855976966</v>
      </c>
      <c r="AO15" s="689">
        <f t="shared" si="16"/>
        <v>1.2654247486112258</v>
      </c>
      <c r="AP15" s="92">
        <f t="shared" si="16"/>
        <v>1.2601929468373929</v>
      </c>
      <c r="AQ15" s="688">
        <f t="shared" ref="AQ15:AR15" si="17">+AQ5/AQ12</f>
        <v>1.2702702702702702</v>
      </c>
      <c r="AR15" s="508">
        <f t="shared" si="17"/>
        <v>1.2548122476504282</v>
      </c>
      <c r="AS15" s="689">
        <f t="shared" si="16"/>
        <v>1.2659107902596012</v>
      </c>
      <c r="AT15" s="92">
        <f t="shared" si="16"/>
        <v>1.259653608092175</v>
      </c>
      <c r="AU15" s="688">
        <f t="shared" si="16"/>
        <v>1.2702702702702702</v>
      </c>
      <c r="AV15" s="508">
        <f t="shared" si="16"/>
        <v>1.2639348337380731</v>
      </c>
      <c r="AW15" s="689">
        <f t="shared" ref="AW15:AZ15" si="18">+AW5/AW12</f>
        <v>1.266272948515939</v>
      </c>
      <c r="AX15" s="92">
        <f t="shared" si="18"/>
        <v>1.260005277509016</v>
      </c>
      <c r="AY15" s="688">
        <f t="shared" si="18"/>
        <v>1.2702702702702702</v>
      </c>
      <c r="AZ15" s="508">
        <f t="shared" si="18"/>
        <v>1.2606122974015952</v>
      </c>
      <c r="BA15" s="453">
        <f t="shared" si="16"/>
        <v>1.2702702702702702</v>
      </c>
      <c r="BB15" s="85">
        <f t="shared" si="16"/>
        <v>1.2596423562412342</v>
      </c>
      <c r="BC15" s="690">
        <f t="shared" si="16"/>
        <v>1.2702702702702702</v>
      </c>
      <c r="BD15" s="439">
        <f t="shared" si="16"/>
        <v>1.259050855964553</v>
      </c>
      <c r="BE15" s="689">
        <f t="shared" si="16"/>
        <v>1.2666096336793253</v>
      </c>
      <c r="BF15" s="92">
        <f t="shared" si="16"/>
        <v>1.2600577547396552</v>
      </c>
      <c r="BG15" s="1111"/>
      <c r="BH15" s="1111"/>
      <c r="BI15" s="1111"/>
      <c r="BJ15" s="1111"/>
      <c r="BK15" s="1111"/>
      <c r="BL15" s="23"/>
      <c r="BM15" s="23"/>
      <c r="BN15" s="23"/>
    </row>
    <row r="16" spans="1:66" ht="15" thickBot="1" x14ac:dyDescent="0.35">
      <c r="A16" s="88"/>
      <c r="B16" s="1295" t="s">
        <v>146</v>
      </c>
      <c r="C16" s="1296" t="s">
        <v>175</v>
      </c>
      <c r="D16" s="1318">
        <f t="shared" ref="D16:AI16" si="19">+D6/D13</f>
        <v>1.3294913801136892</v>
      </c>
      <c r="E16" s="691">
        <f t="shared" si="19"/>
        <v>1.3142857142857143</v>
      </c>
      <c r="F16" s="124">
        <f t="shared" si="19"/>
        <v>1.3301801801801802</v>
      </c>
      <c r="G16" s="691">
        <f t="shared" ref="G16:H16" si="20">+G6/G13</f>
        <v>1.3065306122448981</v>
      </c>
      <c r="H16" s="124">
        <f t="shared" si="20"/>
        <v>1.2659110723626852</v>
      </c>
      <c r="I16" s="692">
        <f t="shared" si="19"/>
        <v>1.3103445968551357</v>
      </c>
      <c r="J16" s="151">
        <f t="shared" si="19"/>
        <v>1.2975188303057157</v>
      </c>
      <c r="K16" s="691">
        <f t="shared" si="19"/>
        <v>1.3369713506139154</v>
      </c>
      <c r="L16" s="124">
        <f t="shared" si="19"/>
        <v>1.3306306306306306</v>
      </c>
      <c r="M16" s="693">
        <f t="shared" si="19"/>
        <v>1.3191066217732887</v>
      </c>
      <c r="N16" s="158">
        <f t="shared" si="19"/>
        <v>1.3084348084348085</v>
      </c>
      <c r="O16" s="691">
        <f t="shared" ref="O16:P16" si="21">+O6/O13</f>
        <v>1.3369713506139154</v>
      </c>
      <c r="P16" s="124">
        <f t="shared" si="21"/>
        <v>1.3378378378378379</v>
      </c>
      <c r="Q16" s="692">
        <f t="shared" si="19"/>
        <v>1.3236398356188861</v>
      </c>
      <c r="R16" s="151">
        <f t="shared" si="19"/>
        <v>1.3159060700044307</v>
      </c>
      <c r="S16" s="691">
        <f t="shared" si="19"/>
        <v>1.3369713506139154</v>
      </c>
      <c r="T16" s="124">
        <f t="shared" si="19"/>
        <v>1.3312990409764602</v>
      </c>
      <c r="U16" s="692">
        <f t="shared" ref="U16:X16" si="22">+U6/U13</f>
        <v>1.3263380570227399</v>
      </c>
      <c r="V16" s="151">
        <f t="shared" si="22"/>
        <v>1.3190249072602014</v>
      </c>
      <c r="W16" s="691">
        <f t="shared" si="22"/>
        <v>1.2755798090040928</v>
      </c>
      <c r="X16" s="124">
        <f t="shared" si="22"/>
        <v>1.3346846846846847</v>
      </c>
      <c r="Y16" s="693">
        <f t="shared" si="19"/>
        <v>1.3169523696541907</v>
      </c>
      <c r="Z16" s="158">
        <f t="shared" si="19"/>
        <v>1.3346063454759107</v>
      </c>
      <c r="AA16" s="694">
        <f t="shared" si="19"/>
        <v>1.3180245938880242</v>
      </c>
      <c r="AB16" s="440">
        <f t="shared" si="19"/>
        <v>1.321592083887166</v>
      </c>
      <c r="AC16" s="691">
        <f t="shared" si="19"/>
        <v>1.3369713506139154</v>
      </c>
      <c r="AD16" s="124">
        <f t="shared" si="19"/>
        <v>1.3134263295553616</v>
      </c>
      <c r="AE16" s="692">
        <f t="shared" si="19"/>
        <v>1.3207670845436481</v>
      </c>
      <c r="AF16" s="151">
        <f t="shared" si="19"/>
        <v>1.3204091942409699</v>
      </c>
      <c r="AG16" s="691">
        <f t="shared" ref="AG16:AH16" si="23">+AG6/AG13</f>
        <v>1.3369713506139154</v>
      </c>
      <c r="AH16" s="124">
        <f t="shared" si="23"/>
        <v>1.3333333333333335</v>
      </c>
      <c r="AI16" s="692">
        <f t="shared" si="19"/>
        <v>1.3227580542425157</v>
      </c>
      <c r="AJ16" s="151">
        <f t="shared" ref="AJ16:BF16" si="24">+AJ6/AJ13</f>
        <v>1.3219982277359328</v>
      </c>
      <c r="AK16" s="691">
        <f t="shared" si="24"/>
        <v>1.3369713506139154</v>
      </c>
      <c r="AL16" s="124">
        <f t="shared" si="24"/>
        <v>1.3343504795117698</v>
      </c>
      <c r="AM16" s="693">
        <f t="shared" si="24"/>
        <v>1.3369713506139158</v>
      </c>
      <c r="AN16" s="158">
        <f t="shared" si="24"/>
        <v>1.3269682726204466</v>
      </c>
      <c r="AO16" s="692">
        <f t="shared" si="24"/>
        <v>1.3243593112440941</v>
      </c>
      <c r="AP16" s="151">
        <f t="shared" si="24"/>
        <v>1.3233906633906636</v>
      </c>
      <c r="AQ16" s="691">
        <f t="shared" ref="AQ16:AR16" si="25">+AQ6/AQ13</f>
        <v>1.3369713506139154</v>
      </c>
      <c r="AR16" s="124">
        <f t="shared" si="25"/>
        <v>1.3225806451612905</v>
      </c>
      <c r="AS16" s="692">
        <f t="shared" si="24"/>
        <v>1.3256363069245167</v>
      </c>
      <c r="AT16" s="151">
        <f t="shared" si="24"/>
        <v>1.3233086027203675</v>
      </c>
      <c r="AU16" s="691">
        <f t="shared" si="24"/>
        <v>1.3369713506139154</v>
      </c>
      <c r="AV16" s="124">
        <f t="shared" si="24"/>
        <v>1.3248069498069499</v>
      </c>
      <c r="AW16" s="692">
        <f t="shared" ref="AW16:AZ16" si="26">+AW6/AW13</f>
        <v>1.3265860768175584</v>
      </c>
      <c r="AX16" s="151">
        <f t="shared" si="26"/>
        <v>1.3234342126557697</v>
      </c>
      <c r="AY16" s="691">
        <f t="shared" si="26"/>
        <v>1.3369713506139154</v>
      </c>
      <c r="AZ16" s="124">
        <f t="shared" si="26"/>
        <v>1.3334786399302527</v>
      </c>
      <c r="BA16" s="693">
        <f t="shared" si="24"/>
        <v>1.3369713506139154</v>
      </c>
      <c r="BB16" s="158">
        <f t="shared" si="24"/>
        <v>1.327027027027027</v>
      </c>
      <c r="BC16" s="694">
        <f t="shared" si="24"/>
        <v>1.3369713506139154</v>
      </c>
      <c r="BD16" s="440">
        <f t="shared" si="24"/>
        <v>1.326997326997327</v>
      </c>
      <c r="BE16" s="692">
        <f t="shared" si="24"/>
        <v>1.3274677117463118</v>
      </c>
      <c r="BF16" s="151">
        <f t="shared" si="24"/>
        <v>1.3242873009996297</v>
      </c>
      <c r="BG16" s="1111"/>
      <c r="BH16" s="1111"/>
      <c r="BI16" s="1111"/>
      <c r="BJ16" s="1111"/>
      <c r="BK16" s="1111"/>
      <c r="BL16" s="23"/>
      <c r="BM16" s="23"/>
      <c r="BN16" s="23"/>
    </row>
    <row r="17" spans="1:66" ht="15" thickBot="1" x14ac:dyDescent="0.35">
      <c r="A17" s="135" t="s">
        <v>445</v>
      </c>
      <c r="B17" s="1598" t="s">
        <v>165</v>
      </c>
      <c r="C17" s="1291" t="s">
        <v>50</v>
      </c>
      <c r="D17" s="1201">
        <f>(D5)*17.2*D2</f>
        <v>605887.19999999995</v>
      </c>
      <c r="E17" s="1019">
        <f>(E5)*17.2*E2</f>
        <v>50568</v>
      </c>
      <c r="F17" s="25">
        <f>F5*17.2*F2</f>
        <v>50568</v>
      </c>
      <c r="G17" s="1019">
        <f>(G5)*17.2*G2</f>
        <v>52253.599999999999</v>
      </c>
      <c r="H17" s="25">
        <f>H5*17.2*H2</f>
        <v>51754.8</v>
      </c>
      <c r="I17" s="697">
        <f>+E17+G17</f>
        <v>102821.6</v>
      </c>
      <c r="J17" s="58">
        <f>+F17+H17</f>
        <v>102322.8</v>
      </c>
      <c r="K17" s="1019">
        <f>(K5)*17.2*K2</f>
        <v>48504</v>
      </c>
      <c r="L17" s="25">
        <f>L5*17.2*L2</f>
        <v>49570.399999999994</v>
      </c>
      <c r="M17" s="1020">
        <f>+E17+G17+K17</f>
        <v>151325.6</v>
      </c>
      <c r="N17" s="79">
        <f>+F17+H17+L17</f>
        <v>151893.20000000001</v>
      </c>
      <c r="O17" s="1019">
        <f>(O5)*17.2*O2</f>
        <v>50120.799999999996</v>
      </c>
      <c r="P17" s="25">
        <f>P5*17.2*P2</f>
        <v>50877.599999999999</v>
      </c>
      <c r="Q17" s="697">
        <f>+M17+O17</f>
        <v>201446.39999999999</v>
      </c>
      <c r="R17" s="58">
        <f>+N17+P17</f>
        <v>202770.80000000002</v>
      </c>
      <c r="S17" s="1019">
        <f>(S5)*17.2*S2</f>
        <v>50120.799999999996</v>
      </c>
      <c r="T17" s="25">
        <f>T5*17.2*T2</f>
        <v>52253.599999999999</v>
      </c>
      <c r="U17" s="697">
        <f>+Q17+S17</f>
        <v>251567.19999999998</v>
      </c>
      <c r="V17" s="58">
        <f>+R17+T17</f>
        <v>255024.40000000002</v>
      </c>
      <c r="W17" s="1019">
        <f>(W5)*17.2*W2</f>
        <v>47523.6</v>
      </c>
      <c r="X17" s="25">
        <f>X5*17.2*X2</f>
        <v>50568</v>
      </c>
      <c r="Y17" s="451">
        <f>+O17+S17+W17</f>
        <v>147765.19999999998</v>
      </c>
      <c r="Z17" s="451">
        <f>+P17+T17+X17</f>
        <v>153699.20000000001</v>
      </c>
      <c r="AA17" s="696">
        <f>+M17+Y17</f>
        <v>299090.8</v>
      </c>
      <c r="AB17" s="696">
        <f>+N17+Z17</f>
        <v>305592.40000000002</v>
      </c>
      <c r="AC17" s="1019">
        <f>(AC5)*17.2*AC2</f>
        <v>50120.799999999996</v>
      </c>
      <c r="AD17" s="25">
        <f>AD5*17.2*AD2</f>
        <v>51479.6</v>
      </c>
      <c r="AE17" s="697">
        <f>+AA17+AC17</f>
        <v>349211.6</v>
      </c>
      <c r="AF17" s="58">
        <f>+AB17+AD17</f>
        <v>357072</v>
      </c>
      <c r="AG17" s="1019">
        <f>(AG5)*17.2*AG2</f>
        <v>48504</v>
      </c>
      <c r="AH17" s="25">
        <f>AH5*17.2*AH2</f>
        <v>48624.4</v>
      </c>
      <c r="AI17" s="697">
        <f>+AE17+AG17</f>
        <v>397715.6</v>
      </c>
      <c r="AJ17" s="58">
        <f>+AF17+AH17</f>
        <v>405696.4</v>
      </c>
      <c r="AK17" s="1019">
        <f>(AK5)*17.2*AK2</f>
        <v>50120.799999999996</v>
      </c>
      <c r="AL17" s="25">
        <f>AL5*17.2*AL2</f>
        <v>50172.399999999994</v>
      </c>
      <c r="AM17" s="451">
        <f>+AC17+AG17+AK17</f>
        <v>148745.59999999998</v>
      </c>
      <c r="AN17" s="451">
        <f>+AD17+AH17+AL17</f>
        <v>150276.4</v>
      </c>
      <c r="AO17" s="697">
        <f>AI17+AK17</f>
        <v>447836.39999999997</v>
      </c>
      <c r="AP17" s="697">
        <f>AJ17+AL17</f>
        <v>455868.80000000005</v>
      </c>
      <c r="AQ17" s="1019">
        <f>(AQ5)*17.2*AQ2</f>
        <v>50120.799999999996</v>
      </c>
      <c r="AR17" s="25">
        <f>AR5*17.2*AR2</f>
        <v>50568</v>
      </c>
      <c r="AS17" s="697">
        <f>+AO17+AQ17</f>
        <v>497957.19999999995</v>
      </c>
      <c r="AT17" s="58">
        <f>+AP17+AR17</f>
        <v>506436.80000000005</v>
      </c>
      <c r="AU17" s="1019">
        <f>(AU5)*17.2*AU2</f>
        <v>45270.400000000001</v>
      </c>
      <c r="AV17" s="25">
        <f>AV5*17.2*AV2</f>
        <v>45476.800000000003</v>
      </c>
      <c r="AW17" s="697">
        <f>+AS17+AU17</f>
        <v>543227.6</v>
      </c>
      <c r="AX17" s="58">
        <f>+AT17+AV17</f>
        <v>551913.60000000009</v>
      </c>
      <c r="AY17" s="1019">
        <f>(AY5)*17.2*AY2</f>
        <v>50120.799999999996</v>
      </c>
      <c r="AZ17" s="25">
        <f>AZ5*17.2*AZ2</f>
        <v>52253.599999999999</v>
      </c>
      <c r="BA17" s="451">
        <f>+AQ17+AU17+AY17</f>
        <v>145512</v>
      </c>
      <c r="BB17" s="451">
        <f>+AR17+AV17+AZ17</f>
        <v>148298.4</v>
      </c>
      <c r="BC17" s="696">
        <f>+AM17+BA17</f>
        <v>294257.59999999998</v>
      </c>
      <c r="BD17" s="696">
        <f>+AN17+BB17</f>
        <v>298574.8</v>
      </c>
      <c r="BE17" s="697">
        <f>+AW17+AY17</f>
        <v>593348.4</v>
      </c>
      <c r="BF17" s="58">
        <f>+AX17+AZ17</f>
        <v>604167.20000000007</v>
      </c>
      <c r="BG17" s="1111"/>
      <c r="BH17" s="1111"/>
      <c r="BI17" s="1111"/>
      <c r="BJ17" s="1111"/>
      <c r="BK17" s="1111"/>
      <c r="BL17" s="23"/>
      <c r="BM17" s="23"/>
      <c r="BN17" s="23"/>
    </row>
    <row r="18" spans="1:66" ht="15" thickBot="1" x14ac:dyDescent="0.35">
      <c r="A18" s="135" t="s">
        <v>445</v>
      </c>
      <c r="B18" s="1599" t="s">
        <v>166</v>
      </c>
      <c r="C18" s="1288" t="s">
        <v>50</v>
      </c>
      <c r="D18" s="1319">
        <f>+D6*31.55*D2</f>
        <v>1125291.6414999999</v>
      </c>
      <c r="E18" s="669">
        <f>+E6*31.55*E2</f>
        <v>91431.9</v>
      </c>
      <c r="F18" s="116">
        <f>+F6*31.55*F2</f>
        <v>93167.15</v>
      </c>
      <c r="G18" s="669">
        <f>+G6*31.55*G2</f>
        <v>93922.141500000012</v>
      </c>
      <c r="H18" s="116">
        <f>+H6*31.55*H2</f>
        <v>91621.2</v>
      </c>
      <c r="I18" s="1297">
        <f>+E18+G18</f>
        <v>185354.04149999999</v>
      </c>
      <c r="J18" s="493">
        <f>+F18+H18</f>
        <v>184788.34999999998</v>
      </c>
      <c r="K18" s="669">
        <f>+K6*31.55*K2</f>
        <v>92757</v>
      </c>
      <c r="L18" s="116">
        <f>+L6*31.55*L2</f>
        <v>93198.7</v>
      </c>
      <c r="M18" s="1429">
        <f>+E18+G18+K18</f>
        <v>278111.04149999999</v>
      </c>
      <c r="N18" s="160">
        <f>+F18+H18+L18</f>
        <v>277987.05</v>
      </c>
      <c r="O18" s="669">
        <f>+O6*31.55*O2</f>
        <v>95848.900000000009</v>
      </c>
      <c r="P18" s="116">
        <f>+P6*31.55*P2</f>
        <v>96826.950000000012</v>
      </c>
      <c r="Q18" s="1297">
        <f>+M18+O18</f>
        <v>373959.94150000002</v>
      </c>
      <c r="R18" s="493">
        <f>+N18+P18</f>
        <v>374814</v>
      </c>
      <c r="S18" s="669">
        <f>+S6*31.55*S2</f>
        <v>95848.900000000009</v>
      </c>
      <c r="T18" s="116">
        <f>+T6*31.55*T2</f>
        <v>96353.7</v>
      </c>
      <c r="U18" s="1297">
        <f>+Q18+S18</f>
        <v>469808.84150000004</v>
      </c>
      <c r="V18" s="493">
        <f>+R18+T18</f>
        <v>471167.7</v>
      </c>
      <c r="W18" s="669">
        <f>+W6*31.55*W2</f>
        <v>88497.75</v>
      </c>
      <c r="X18" s="116">
        <f>+X6*31.55*X2</f>
        <v>93482.650000000009</v>
      </c>
      <c r="Y18" s="452">
        <f>+O18+S18+W18</f>
        <v>280195.55000000005</v>
      </c>
      <c r="Z18" s="452">
        <f>+P18+T18+X18</f>
        <v>286663.30000000005</v>
      </c>
      <c r="AA18" s="696">
        <f>+M18+Y18</f>
        <v>558306.5915000001</v>
      </c>
      <c r="AB18" s="696">
        <f>+N18+Z18</f>
        <v>564650.35000000009</v>
      </c>
      <c r="AC18" s="669">
        <f>+AC6*31.55*AC2</f>
        <v>95848.900000000009</v>
      </c>
      <c r="AD18" s="116">
        <f>+AD6*31.55*AD2</f>
        <v>95060.15</v>
      </c>
      <c r="AE18" s="1297">
        <f>+AA18+AC18</f>
        <v>654155.49150000012</v>
      </c>
      <c r="AF18" s="493">
        <f>+AB18+AD18</f>
        <v>659710.50000000012</v>
      </c>
      <c r="AG18" s="669">
        <f>+AG6*31.55*AG2</f>
        <v>92757</v>
      </c>
      <c r="AH18" s="116">
        <f>+AH6*31.55*AH2</f>
        <v>93388</v>
      </c>
      <c r="AI18" s="1297">
        <f>+AE18+AG18</f>
        <v>746912.49150000012</v>
      </c>
      <c r="AJ18" s="493">
        <f>+AF18+AH18</f>
        <v>753098.50000000012</v>
      </c>
      <c r="AK18" s="669">
        <f>+AK6*31.55*AK2</f>
        <v>95848.900000000009</v>
      </c>
      <c r="AL18" s="116">
        <f>+AL6*31.55*AL2</f>
        <v>96574.55</v>
      </c>
      <c r="AM18" s="452">
        <f>+AC18+AG18+AK18</f>
        <v>284454.80000000005</v>
      </c>
      <c r="AN18" s="452">
        <f>+AD18+AH18+AL18</f>
        <v>285022.7</v>
      </c>
      <c r="AO18" s="697">
        <f>AI18+AK18</f>
        <v>842761.39150000014</v>
      </c>
      <c r="AP18" s="697">
        <f>AJ18+AL18</f>
        <v>849673.05000000016</v>
      </c>
      <c r="AQ18" s="669">
        <f>+AQ6*31.55*AQ2</f>
        <v>95848.900000000009</v>
      </c>
      <c r="AR18" s="116">
        <f>+AR6*31.55*AR2</f>
        <v>95722.700000000012</v>
      </c>
      <c r="AS18" s="1297">
        <f>+AO18+AQ18</f>
        <v>938610.29150000017</v>
      </c>
      <c r="AT18" s="493">
        <f>+AP18+AR18</f>
        <v>945395.75000000023</v>
      </c>
      <c r="AU18" s="669">
        <f>+AU6*31.55*AU2</f>
        <v>86573.2</v>
      </c>
      <c r="AV18" s="116">
        <f>+AV6*31.55*AV2</f>
        <v>86604.75</v>
      </c>
      <c r="AW18" s="1297">
        <f>+AS18+AU18</f>
        <v>1025183.4915000001</v>
      </c>
      <c r="AX18" s="493">
        <f>+AT18+AV18</f>
        <v>1032000.5000000002</v>
      </c>
      <c r="AY18" s="669">
        <f>+AY6*31.55*AY2</f>
        <v>95848.900000000009</v>
      </c>
      <c r="AZ18" s="116">
        <f>+AZ6*31.55*AZ2</f>
        <v>96511.45</v>
      </c>
      <c r="BA18" s="452">
        <f>+AQ18+AU18+AY18</f>
        <v>278271</v>
      </c>
      <c r="BB18" s="452">
        <f>+AR18+AV18+AZ18</f>
        <v>278838.90000000002</v>
      </c>
      <c r="BC18" s="696">
        <f t="shared" ref="BC18:BD18" si="27">+AM18+BA18</f>
        <v>562725.80000000005</v>
      </c>
      <c r="BD18" s="696">
        <f t="shared" si="27"/>
        <v>563861.60000000009</v>
      </c>
      <c r="BE18" s="1297">
        <f>+AW18+AY18</f>
        <v>1121032.3915000001</v>
      </c>
      <c r="BF18" s="493">
        <f>+AX18+AZ18</f>
        <v>1128511.9500000002</v>
      </c>
      <c r="BG18" s="1111"/>
      <c r="BH18" s="1111"/>
      <c r="BI18" s="1111"/>
      <c r="BJ18" s="1111"/>
      <c r="BK18" s="1111"/>
      <c r="BL18" s="23"/>
      <c r="BM18" s="23"/>
      <c r="BN18" s="23"/>
    </row>
    <row r="19" spans="1:66" ht="15" thickBot="1" x14ac:dyDescent="0.35">
      <c r="A19" s="135" t="s">
        <v>445</v>
      </c>
      <c r="B19" s="1275" t="s">
        <v>167</v>
      </c>
      <c r="C19" s="1293" t="s">
        <v>50</v>
      </c>
      <c r="D19" s="1320">
        <f t="shared" ref="D19:J19" si="28">SUM(D17:D18)</f>
        <v>1731178.8414999999</v>
      </c>
      <c r="E19" s="185">
        <f t="shared" si="28"/>
        <v>141999.9</v>
      </c>
      <c r="F19" s="129">
        <f t="shared" si="28"/>
        <v>143735.15</v>
      </c>
      <c r="G19" s="185">
        <f t="shared" ref="G19:H19" si="29">SUM(G17:G18)</f>
        <v>146175.7415</v>
      </c>
      <c r="H19" s="129">
        <f t="shared" si="29"/>
        <v>143376</v>
      </c>
      <c r="I19" s="1431">
        <f t="shared" si="28"/>
        <v>288175.64150000003</v>
      </c>
      <c r="J19" s="1432">
        <f t="shared" si="28"/>
        <v>287111.14999999997</v>
      </c>
      <c r="K19" s="185">
        <f t="shared" ref="K19:L19" si="30">SUM(K17:K18)</f>
        <v>141261</v>
      </c>
      <c r="L19" s="129">
        <f t="shared" si="30"/>
        <v>142769.09999999998</v>
      </c>
      <c r="M19" s="1434">
        <f t="shared" ref="M19:R19" si="31">SUM(M17:M18)</f>
        <v>429436.64150000003</v>
      </c>
      <c r="N19" s="1435">
        <f t="shared" si="31"/>
        <v>429880.25</v>
      </c>
      <c r="O19" s="185">
        <f t="shared" si="31"/>
        <v>145969.70000000001</v>
      </c>
      <c r="P19" s="129">
        <f t="shared" si="31"/>
        <v>147704.55000000002</v>
      </c>
      <c r="Q19" s="1431">
        <f t="shared" si="31"/>
        <v>575406.34149999998</v>
      </c>
      <c r="R19" s="1432">
        <f t="shared" si="31"/>
        <v>577584.80000000005</v>
      </c>
      <c r="S19" s="185">
        <f t="shared" ref="S19:T19" si="32">SUM(S17:S18)</f>
        <v>145969.70000000001</v>
      </c>
      <c r="T19" s="129">
        <f t="shared" si="32"/>
        <v>148607.29999999999</v>
      </c>
      <c r="U19" s="1431">
        <f t="shared" ref="U19:X19" si="33">SUM(U17:U18)</f>
        <v>721376.04150000005</v>
      </c>
      <c r="V19" s="1432">
        <f t="shared" si="33"/>
        <v>726192.10000000009</v>
      </c>
      <c r="W19" s="185">
        <f t="shared" si="33"/>
        <v>136021.35</v>
      </c>
      <c r="X19" s="129">
        <f t="shared" si="33"/>
        <v>144050.65000000002</v>
      </c>
      <c r="Y19" s="699">
        <f t="shared" ref="Y19:Z19" si="34">SUM(Y17:Y18)</f>
        <v>427960.75</v>
      </c>
      <c r="Z19" s="450">
        <f t="shared" si="34"/>
        <v>440362.50000000006</v>
      </c>
      <c r="AA19" s="2145">
        <f t="shared" ref="AA19:AF19" si="35">SUM(AA17:AA18)</f>
        <v>857397.39150000014</v>
      </c>
      <c r="AB19" s="437">
        <f t="shared" si="35"/>
        <v>870242.75000000012</v>
      </c>
      <c r="AC19" s="185">
        <f t="shared" si="35"/>
        <v>145969.70000000001</v>
      </c>
      <c r="AD19" s="129">
        <f t="shared" si="35"/>
        <v>146539.75</v>
      </c>
      <c r="AE19" s="1431">
        <f t="shared" si="35"/>
        <v>1003367.0915000001</v>
      </c>
      <c r="AF19" s="1432">
        <f t="shared" si="35"/>
        <v>1016782.5000000001</v>
      </c>
      <c r="AG19" s="185">
        <f t="shared" ref="AG19:AH19" si="36">SUM(AG17:AG18)</f>
        <v>141261</v>
      </c>
      <c r="AH19" s="129">
        <f t="shared" si="36"/>
        <v>142012.4</v>
      </c>
      <c r="AI19" s="1431">
        <f t="shared" ref="AI19:AN19" si="37">SUM(AI17:AI18)</f>
        <v>1144628.0915000001</v>
      </c>
      <c r="AJ19" s="1432">
        <f t="shared" si="37"/>
        <v>1158794.9000000001</v>
      </c>
      <c r="AK19" s="185">
        <f t="shared" si="37"/>
        <v>145969.70000000001</v>
      </c>
      <c r="AL19" s="129">
        <f t="shared" si="37"/>
        <v>146746.95000000001</v>
      </c>
      <c r="AM19" s="699">
        <f t="shared" si="37"/>
        <v>433200.4</v>
      </c>
      <c r="AN19" s="450">
        <f t="shared" si="37"/>
        <v>435299.1</v>
      </c>
      <c r="AO19" s="1431">
        <f t="shared" ref="AO19:AT19" si="38">SUM(AO17:AO18)</f>
        <v>1290597.7915000001</v>
      </c>
      <c r="AP19" s="1432">
        <f t="shared" si="38"/>
        <v>1305541.8500000001</v>
      </c>
      <c r="AQ19" s="185">
        <f t="shared" si="38"/>
        <v>145969.70000000001</v>
      </c>
      <c r="AR19" s="129">
        <f t="shared" si="38"/>
        <v>146290.70000000001</v>
      </c>
      <c r="AS19" s="1431">
        <f t="shared" si="38"/>
        <v>1436567.4915</v>
      </c>
      <c r="AT19" s="1432">
        <f t="shared" si="38"/>
        <v>1451832.5500000003</v>
      </c>
      <c r="AU19" s="185">
        <f t="shared" ref="AU19:AV19" si="39">SUM(AU17:AU18)</f>
        <v>131843.6</v>
      </c>
      <c r="AV19" s="129">
        <f t="shared" si="39"/>
        <v>132081.54999999999</v>
      </c>
      <c r="AW19" s="1431">
        <f t="shared" ref="AW19:AZ19" si="40">SUM(AW17:AW18)</f>
        <v>1568411.0915000001</v>
      </c>
      <c r="AX19" s="1432">
        <f t="shared" si="40"/>
        <v>1583914.1000000003</v>
      </c>
      <c r="AY19" s="185">
        <f t="shared" si="40"/>
        <v>145969.70000000001</v>
      </c>
      <c r="AZ19" s="129">
        <f t="shared" si="40"/>
        <v>148765.04999999999</v>
      </c>
      <c r="BA19" s="699">
        <f t="shared" ref="BA19:BF19" si="41">SUM(BA17:BA18)</f>
        <v>423783</v>
      </c>
      <c r="BB19" s="450">
        <f t="shared" si="41"/>
        <v>427137.30000000005</v>
      </c>
      <c r="BC19" s="2145">
        <f t="shared" si="41"/>
        <v>856983.4</v>
      </c>
      <c r="BD19" s="437">
        <f t="shared" si="41"/>
        <v>862436.40000000014</v>
      </c>
      <c r="BE19" s="1431">
        <f t="shared" si="41"/>
        <v>1714380.7915000003</v>
      </c>
      <c r="BF19" s="1432">
        <f t="shared" si="41"/>
        <v>1732679.1500000004</v>
      </c>
      <c r="BG19" s="1111"/>
      <c r="BH19" s="1111"/>
      <c r="BI19" s="1111"/>
      <c r="BJ19" s="1111"/>
      <c r="BK19" s="1111"/>
      <c r="BL19" s="23"/>
      <c r="BM19" s="23"/>
      <c r="BN19" s="23"/>
    </row>
    <row r="20" spans="1:66" ht="16.2" thickBot="1" x14ac:dyDescent="0.35">
      <c r="A20" s="136" t="s">
        <v>445</v>
      </c>
      <c r="B20" s="1298" t="s">
        <v>477</v>
      </c>
      <c r="C20" s="1612"/>
      <c r="D20" s="1299"/>
      <c r="E20" s="1299"/>
      <c r="F20" s="1299"/>
      <c r="G20" s="1299"/>
      <c r="H20" s="1299"/>
      <c r="I20" s="1613"/>
      <c r="J20" s="1613"/>
      <c r="K20" s="1299"/>
      <c r="L20" s="1299"/>
      <c r="M20" s="1613"/>
      <c r="N20" s="1613"/>
      <c r="O20" s="1299"/>
      <c r="P20" s="1299"/>
      <c r="Q20" s="1613"/>
      <c r="R20" s="1613"/>
      <c r="S20" s="1299"/>
      <c r="T20" s="1299"/>
      <c r="U20" s="1613"/>
      <c r="V20" s="1613"/>
      <c r="W20" s="1299"/>
      <c r="X20" s="1299"/>
      <c r="Y20" s="454"/>
      <c r="Z20" s="454"/>
      <c r="AA20" s="2146"/>
      <c r="AB20" s="454"/>
      <c r="AC20" s="1299"/>
      <c r="AD20" s="1299"/>
      <c r="AE20" s="1613"/>
      <c r="AF20" s="1613"/>
      <c r="AG20" s="1299"/>
      <c r="AH20" s="1299"/>
      <c r="AI20" s="1613"/>
      <c r="AJ20" s="1613"/>
      <c r="AK20" s="1299"/>
      <c r="AL20" s="1299"/>
      <c r="AM20" s="454"/>
      <c r="AN20" s="454"/>
      <c r="AO20" s="1613"/>
      <c r="AP20" s="1613"/>
      <c r="AQ20" s="1299"/>
      <c r="AR20" s="1299"/>
      <c r="AS20" s="1613"/>
      <c r="AT20" s="1613"/>
      <c r="AU20" s="1299"/>
      <c r="AV20" s="1299"/>
      <c r="AW20" s="1613"/>
      <c r="AX20" s="1613"/>
      <c r="AY20" s="1299"/>
      <c r="AZ20" s="1299"/>
      <c r="BA20" s="454"/>
      <c r="BB20" s="454"/>
      <c r="BC20" s="2146"/>
      <c r="BD20" s="454"/>
      <c r="BE20" s="1613"/>
      <c r="BF20" s="1613"/>
      <c r="BG20" s="1111"/>
      <c r="BH20" s="1111"/>
      <c r="BI20" s="1111"/>
      <c r="BJ20" s="1111"/>
      <c r="BK20" s="1111"/>
      <c r="BL20" s="23"/>
      <c r="BM20" s="23"/>
      <c r="BN20" s="23"/>
    </row>
    <row r="21" spans="1:66" ht="15" thickBot="1" x14ac:dyDescent="0.35">
      <c r="A21" s="135" t="s">
        <v>445</v>
      </c>
      <c r="B21" s="1600" t="s">
        <v>148</v>
      </c>
      <c r="C21" s="1216" t="s">
        <v>50</v>
      </c>
      <c r="D21" s="1321">
        <f>+D17*D37/100</f>
        <v>421091.60400000005</v>
      </c>
      <c r="E21" s="1022">
        <f>+E17*E37/100</f>
        <v>35144.76</v>
      </c>
      <c r="F21" s="1022">
        <v>35144.759999999995</v>
      </c>
      <c r="G21" s="1022">
        <f>+G17*G37/100</f>
        <v>36316.252</v>
      </c>
      <c r="H21" s="1022">
        <v>35969.585999999996</v>
      </c>
      <c r="I21" s="623">
        <f>+E21+G21</f>
        <v>71461.012000000002</v>
      </c>
      <c r="J21" s="39">
        <f>+F21+H21</f>
        <v>71114.34599999999</v>
      </c>
      <c r="K21" s="1022">
        <f>+K17*K37/100</f>
        <v>33952.800000000003</v>
      </c>
      <c r="L21" s="1022">
        <v>34699.279999999999</v>
      </c>
      <c r="M21" s="658">
        <f>+E21+G21+K21</f>
        <v>105413.81200000001</v>
      </c>
      <c r="N21" s="69">
        <f>+F21+H21+L21</f>
        <v>105813.62599999999</v>
      </c>
      <c r="O21" s="1022">
        <f>+O17*O37/100</f>
        <v>35084.559999999998</v>
      </c>
      <c r="P21" s="1022">
        <v>35614.32</v>
      </c>
      <c r="Q21" s="623">
        <f>+M21+O21</f>
        <v>140498.372</v>
      </c>
      <c r="R21" s="39">
        <f>+N21+P21</f>
        <v>141427.946</v>
      </c>
      <c r="S21" s="1022">
        <f>+S17*S37/100</f>
        <v>35084.559999999998</v>
      </c>
      <c r="T21" s="1022">
        <v>36577.519999999997</v>
      </c>
      <c r="U21" s="623">
        <f>+Q21+S21</f>
        <v>175582.932</v>
      </c>
      <c r="V21" s="39">
        <f>+R21+T21</f>
        <v>178005.46599999999</v>
      </c>
      <c r="W21" s="1022">
        <f>+W17*W37/100</f>
        <v>33266.519999999997</v>
      </c>
      <c r="X21" s="1022">
        <v>35397.599999999999</v>
      </c>
      <c r="Y21" s="698">
        <f>+O21+S21+W21</f>
        <v>103435.63999999998</v>
      </c>
      <c r="Z21" s="79">
        <f>+P21+T21+X21</f>
        <v>107589.44</v>
      </c>
      <c r="AA21" s="696">
        <f>+M21+Y21</f>
        <v>208849.45199999999</v>
      </c>
      <c r="AB21" s="696">
        <f>+N21+Z21</f>
        <v>213403.06599999999</v>
      </c>
      <c r="AC21" s="1022">
        <f>+AC17*AC37/100</f>
        <v>35084.559999999998</v>
      </c>
      <c r="AD21" s="1022">
        <v>35881.281200000005</v>
      </c>
      <c r="AE21" s="623">
        <f>+AA21+AC21</f>
        <v>243934.01199999999</v>
      </c>
      <c r="AF21" s="39">
        <f>+AB21+AD21</f>
        <v>249284.34719999999</v>
      </c>
      <c r="AG21" s="1022">
        <f>+AG17*AG37/100</f>
        <v>33952.800000000003</v>
      </c>
      <c r="AH21" s="1022">
        <v>33793.957999999999</v>
      </c>
      <c r="AI21" s="623">
        <f>+AE21+AG21</f>
        <v>277886.81199999998</v>
      </c>
      <c r="AJ21" s="39">
        <f>+AF21+AH21</f>
        <v>283078.3052</v>
      </c>
      <c r="AK21" s="1022">
        <f>+AK17*AK37/100</f>
        <v>35084.559999999998</v>
      </c>
      <c r="AL21" s="1022">
        <v>34869.817999999999</v>
      </c>
      <c r="AM21" s="698">
        <f>+AC21+AG21+AK21</f>
        <v>104121.92</v>
      </c>
      <c r="AN21" s="79">
        <f>+AD21+AH21+AL21</f>
        <v>104545.05720000001</v>
      </c>
      <c r="AO21" s="697">
        <f>AI21+AK21</f>
        <v>312971.37199999997</v>
      </c>
      <c r="AP21" s="697">
        <f>AJ21+AL21</f>
        <v>317948.12320000003</v>
      </c>
      <c r="AQ21" s="1022">
        <f>+AQ17*AQ37/100</f>
        <v>35084.559999999998</v>
      </c>
      <c r="AR21" s="1022">
        <v>35144.759999999995</v>
      </c>
      <c r="AS21" s="623">
        <f>+AO21+AQ21</f>
        <v>348055.93199999997</v>
      </c>
      <c r="AT21" s="39">
        <f>+AP21+AR21</f>
        <v>353092.88320000004</v>
      </c>
      <c r="AU21" s="1022">
        <f>+AU17*AU37/100</f>
        <v>31689.279999999999</v>
      </c>
      <c r="AV21" s="1022">
        <v>31606.375999999993</v>
      </c>
      <c r="AW21" s="623">
        <f>+AS21+AU21</f>
        <v>379745.21199999994</v>
      </c>
      <c r="AX21" s="39">
        <f>+AT21+AV21</f>
        <v>384699.25920000003</v>
      </c>
      <c r="AY21" s="1022">
        <f>+AY17*AY37/100</f>
        <v>35084.559999999998</v>
      </c>
      <c r="AZ21" s="1022">
        <v>36316.251999999993</v>
      </c>
      <c r="BA21" s="698">
        <f>+AQ21+AU21+AY21</f>
        <v>101858.4</v>
      </c>
      <c r="BB21" s="79">
        <f>+AR21+AV21+AZ21</f>
        <v>103067.38799999998</v>
      </c>
      <c r="BC21" s="696">
        <f t="shared" ref="BC21:BC22" si="42">+AM21+BA21</f>
        <v>205980.32</v>
      </c>
      <c r="BD21" s="696">
        <f t="shared" ref="BD21:BD22" si="43">+AN21+BB21</f>
        <v>207612.44519999999</v>
      </c>
      <c r="BE21" s="623">
        <f>+AW21+AY21</f>
        <v>414829.77199999994</v>
      </c>
      <c r="BF21" s="39">
        <f>+AX21+AZ21</f>
        <v>421015.51120000001</v>
      </c>
      <c r="BG21" s="1111"/>
      <c r="BH21" s="1111"/>
      <c r="BI21" s="1111"/>
      <c r="BJ21" s="1111"/>
      <c r="BK21" s="1111"/>
      <c r="BL21" s="23"/>
      <c r="BM21" s="23"/>
      <c r="BN21" s="23"/>
    </row>
    <row r="22" spans="1:66" ht="15" thickBot="1" x14ac:dyDescent="0.35">
      <c r="A22" s="135" t="s">
        <v>445</v>
      </c>
      <c r="B22" s="1601" t="s">
        <v>149</v>
      </c>
      <c r="C22" s="1277" t="s">
        <v>50</v>
      </c>
      <c r="D22" s="1603">
        <f>+D18*D37/100</f>
        <v>782077.69084250007</v>
      </c>
      <c r="E22" s="1196">
        <f>+E18*E37/100</f>
        <v>63545.1705</v>
      </c>
      <c r="F22" s="1196">
        <v>64751.169249999999</v>
      </c>
      <c r="G22" s="1196">
        <f>+G18*G37/100</f>
        <v>65275.888342500009</v>
      </c>
      <c r="H22" s="1196">
        <v>63676.733999999997</v>
      </c>
      <c r="I22" s="701">
        <f>+E22+G22</f>
        <v>128821.0588425</v>
      </c>
      <c r="J22" s="40">
        <f>+F22+H22</f>
        <v>128427.90325</v>
      </c>
      <c r="K22" s="1196">
        <f>+K18*K37/100</f>
        <v>64929.9</v>
      </c>
      <c r="L22" s="1196">
        <v>65239.09</v>
      </c>
      <c r="M22" s="1602">
        <f>+E22+G22+K22</f>
        <v>193750.9588425</v>
      </c>
      <c r="N22" s="1436">
        <f>+F22+H22+L22</f>
        <v>193666.99325</v>
      </c>
      <c r="O22" s="1196">
        <f>+O18*O37/100</f>
        <v>67094.23000000001</v>
      </c>
      <c r="P22" s="1196">
        <v>67778.864999999991</v>
      </c>
      <c r="Q22" s="701">
        <f>+M22+O22</f>
        <v>260845.18884250001</v>
      </c>
      <c r="R22" s="40">
        <f>+N22+P22</f>
        <v>261445.85824999999</v>
      </c>
      <c r="S22" s="1196">
        <f>+S18*S37/100</f>
        <v>67094.23000000001</v>
      </c>
      <c r="T22" s="1196">
        <v>67447.59</v>
      </c>
      <c r="U22" s="701">
        <f>+Q22+S22</f>
        <v>327939.41884250002</v>
      </c>
      <c r="V22" s="40">
        <f>+R22+T22</f>
        <v>328893.44825000002</v>
      </c>
      <c r="W22" s="1196">
        <f>+W18*W37/100</f>
        <v>61948.425000000003</v>
      </c>
      <c r="X22" s="1196">
        <v>64963.855000000003</v>
      </c>
      <c r="Y22" s="698">
        <f>+O22+S22+W22</f>
        <v>196136.88500000001</v>
      </c>
      <c r="Z22" s="79">
        <f>+P22+T22+X22</f>
        <v>200190.31</v>
      </c>
      <c r="AA22" s="696">
        <f>+M22+Y22</f>
        <v>389887.84384250001</v>
      </c>
      <c r="AB22" s="696">
        <f>+N22+Z22</f>
        <v>393857.30325</v>
      </c>
      <c r="AC22" s="1196">
        <f>+AC18*AC37/100</f>
        <v>67094.23000000001</v>
      </c>
      <c r="AD22" s="1196">
        <v>66256.924550000011</v>
      </c>
      <c r="AE22" s="701">
        <f>+AA22+AC22</f>
        <v>456982.07384249999</v>
      </c>
      <c r="AF22" s="40">
        <f>+AB22+AD22</f>
        <v>460114.22779999999</v>
      </c>
      <c r="AG22" s="1196">
        <f>+AG18*AG37/100</f>
        <v>64929.9</v>
      </c>
      <c r="AH22" s="1196">
        <v>64904.659999999996</v>
      </c>
      <c r="AI22" s="701">
        <f>+AE22+AG22</f>
        <v>521911.97384250001</v>
      </c>
      <c r="AJ22" s="40">
        <f>+AF22+AH22</f>
        <v>525018.88780000003</v>
      </c>
      <c r="AK22" s="1196">
        <f>+AK18*AK37/100</f>
        <v>67094.23000000001</v>
      </c>
      <c r="AL22" s="1196">
        <v>67119.312250000003</v>
      </c>
      <c r="AM22" s="698">
        <f>+AC22+AG22+AK22</f>
        <v>199118.36000000002</v>
      </c>
      <c r="AN22" s="79">
        <f>+AD22+AH22+AL22</f>
        <v>198280.89679999999</v>
      </c>
      <c r="AO22" s="697">
        <f>AI22+AK22</f>
        <v>589006.20384249999</v>
      </c>
      <c r="AP22" s="697">
        <f>AJ22+AL22</f>
        <v>592138.20004999998</v>
      </c>
      <c r="AQ22" s="1196">
        <f>+AQ18*AQ37/100</f>
        <v>67094.23000000001</v>
      </c>
      <c r="AR22" s="1196">
        <v>66527.276499999993</v>
      </c>
      <c r="AS22" s="701">
        <f>+AO22+AQ22</f>
        <v>656100.43384249997</v>
      </c>
      <c r="AT22" s="40">
        <f>+AP22+AR22</f>
        <v>658665.47655000002</v>
      </c>
      <c r="AU22" s="1196">
        <f>+AU18*AU37/100</f>
        <v>60601.24</v>
      </c>
      <c r="AV22" s="1196">
        <v>60190.301249999997</v>
      </c>
      <c r="AW22" s="701">
        <f>+AS22+AU22</f>
        <v>716701.67384249996</v>
      </c>
      <c r="AX22" s="40">
        <f>+AT22+AV22</f>
        <v>718855.77780000004</v>
      </c>
      <c r="AY22" s="1196">
        <f>+AY18*AY37/100</f>
        <v>67094.23000000001</v>
      </c>
      <c r="AZ22" s="1196">
        <v>67075.457749999987</v>
      </c>
      <c r="BA22" s="698">
        <f>+AQ22+AU22+AY22</f>
        <v>194789.7</v>
      </c>
      <c r="BB22" s="79">
        <f>+AR22+AV22+AZ22</f>
        <v>193793.0355</v>
      </c>
      <c r="BC22" s="696">
        <f t="shared" si="42"/>
        <v>393908.06000000006</v>
      </c>
      <c r="BD22" s="696">
        <f t="shared" si="43"/>
        <v>392073.93229999999</v>
      </c>
      <c r="BE22" s="701">
        <f>+AW22+AY22</f>
        <v>783795.90384249995</v>
      </c>
      <c r="BF22" s="40">
        <f>+AX22+AZ22</f>
        <v>785931.23554999998</v>
      </c>
      <c r="BG22" s="1111"/>
      <c r="BH22" s="1111"/>
      <c r="BI22" s="1111"/>
      <c r="BJ22" s="1111"/>
      <c r="BK22" s="1111"/>
      <c r="BL22" s="23"/>
      <c r="BM22" s="23"/>
      <c r="BN22" s="23"/>
    </row>
    <row r="23" spans="1:66" ht="15" thickBot="1" x14ac:dyDescent="0.35">
      <c r="A23" s="135" t="s">
        <v>445</v>
      </c>
      <c r="B23" s="1275" t="s">
        <v>78</v>
      </c>
      <c r="C23" s="1278" t="s">
        <v>50</v>
      </c>
      <c r="D23" s="1320">
        <f t="shared" ref="D23:J23" si="44">SUM(D21:D22)</f>
        <v>1203169.2948425002</v>
      </c>
      <c r="E23" s="185">
        <f t="shared" si="44"/>
        <v>98689.930500000002</v>
      </c>
      <c r="F23" s="185">
        <f t="shared" si="44"/>
        <v>99895.929249999986</v>
      </c>
      <c r="G23" s="185">
        <f t="shared" ref="G23:H23" si="45">SUM(G21:G22)</f>
        <v>101592.1403425</v>
      </c>
      <c r="H23" s="185">
        <f t="shared" si="45"/>
        <v>99646.319999999992</v>
      </c>
      <c r="I23" s="683">
        <f t="shared" si="44"/>
        <v>200282.07084250002</v>
      </c>
      <c r="J23" s="1026">
        <f t="shared" si="44"/>
        <v>199542.24924999999</v>
      </c>
      <c r="K23" s="185">
        <f t="shared" ref="K23:L23" si="46">SUM(K21:K22)</f>
        <v>98882.700000000012</v>
      </c>
      <c r="L23" s="185">
        <f t="shared" si="46"/>
        <v>99938.37</v>
      </c>
      <c r="M23" s="703">
        <f t="shared" ref="M23:R23" si="47">SUM(M21:M22)</f>
        <v>299164.77084250003</v>
      </c>
      <c r="N23" s="159">
        <f t="shared" si="47"/>
        <v>299480.61924999999</v>
      </c>
      <c r="O23" s="185">
        <f t="shared" si="47"/>
        <v>102178.79000000001</v>
      </c>
      <c r="P23" s="185">
        <f t="shared" si="47"/>
        <v>103393.185</v>
      </c>
      <c r="Q23" s="683">
        <f t="shared" si="47"/>
        <v>401343.56084250001</v>
      </c>
      <c r="R23" s="1026">
        <f t="shared" si="47"/>
        <v>402873.80424999999</v>
      </c>
      <c r="S23" s="185">
        <f t="shared" ref="S23:T23" si="48">SUM(S21:S22)</f>
        <v>102178.79000000001</v>
      </c>
      <c r="T23" s="185">
        <f t="shared" si="48"/>
        <v>104025.10999999999</v>
      </c>
      <c r="U23" s="683">
        <f t="shared" ref="U23:X23" si="49">SUM(U21:U22)</f>
        <v>503522.35084249999</v>
      </c>
      <c r="V23" s="1026">
        <f t="shared" si="49"/>
        <v>506898.91425000003</v>
      </c>
      <c r="W23" s="185">
        <f t="shared" si="49"/>
        <v>95214.945000000007</v>
      </c>
      <c r="X23" s="185">
        <f t="shared" si="49"/>
        <v>100361.455</v>
      </c>
      <c r="Y23" s="686">
        <f t="shared" ref="Y23:Z23" si="50">SUM(Y21:Y22)</f>
        <v>299572.52500000002</v>
      </c>
      <c r="Z23" s="159">
        <f t="shared" si="50"/>
        <v>307779.75</v>
      </c>
      <c r="AA23" s="2145">
        <f t="shared" ref="AA23:AF23" si="51">SUM(AA21:AA22)</f>
        <v>598737.29584249994</v>
      </c>
      <c r="AB23" s="437">
        <f t="shared" si="51"/>
        <v>607260.36924999999</v>
      </c>
      <c r="AC23" s="185">
        <f t="shared" si="51"/>
        <v>102178.79000000001</v>
      </c>
      <c r="AD23" s="185">
        <f t="shared" si="51"/>
        <v>102138.20575000002</v>
      </c>
      <c r="AE23" s="683">
        <f t="shared" si="51"/>
        <v>700916.08584249998</v>
      </c>
      <c r="AF23" s="1026">
        <f t="shared" si="51"/>
        <v>709398.57499999995</v>
      </c>
      <c r="AG23" s="185">
        <f t="shared" ref="AG23:AH23" si="52">SUM(AG21:AG22)</f>
        <v>98882.700000000012</v>
      </c>
      <c r="AH23" s="185">
        <f t="shared" si="52"/>
        <v>98698.617999999988</v>
      </c>
      <c r="AI23" s="683">
        <f t="shared" ref="AI23:AN23" si="53">SUM(AI21:AI22)</f>
        <v>799798.78584249993</v>
      </c>
      <c r="AJ23" s="1026">
        <f t="shared" si="53"/>
        <v>808097.19299999997</v>
      </c>
      <c r="AK23" s="185">
        <f t="shared" si="53"/>
        <v>102178.79000000001</v>
      </c>
      <c r="AL23" s="185">
        <f t="shared" si="53"/>
        <v>101989.13025</v>
      </c>
      <c r="AM23" s="686">
        <f t="shared" si="53"/>
        <v>303240.28000000003</v>
      </c>
      <c r="AN23" s="159">
        <f t="shared" si="53"/>
        <v>302825.95400000003</v>
      </c>
      <c r="AO23" s="683">
        <f t="shared" ref="AO23:AT23" si="54">SUM(AO21:AO22)</f>
        <v>901977.57584249997</v>
      </c>
      <c r="AP23" s="1026">
        <f t="shared" si="54"/>
        <v>910086.32325000002</v>
      </c>
      <c r="AQ23" s="185">
        <f t="shared" si="54"/>
        <v>102178.79000000001</v>
      </c>
      <c r="AR23" s="185">
        <f t="shared" si="54"/>
        <v>101672.03649999999</v>
      </c>
      <c r="AS23" s="683">
        <f t="shared" si="54"/>
        <v>1004156.3658425</v>
      </c>
      <c r="AT23" s="1026">
        <f t="shared" si="54"/>
        <v>1011758.3597500001</v>
      </c>
      <c r="AU23" s="185">
        <f t="shared" ref="AU23:AV23" si="55">SUM(AU21:AU22)</f>
        <v>92290.51999999999</v>
      </c>
      <c r="AV23" s="185">
        <f t="shared" si="55"/>
        <v>91796.677249999993</v>
      </c>
      <c r="AW23" s="683">
        <f t="shared" ref="AW23:AZ23" si="56">SUM(AW21:AW22)</f>
        <v>1096446.8858424998</v>
      </c>
      <c r="AX23" s="1026">
        <f t="shared" si="56"/>
        <v>1103555.037</v>
      </c>
      <c r="AY23" s="185">
        <f t="shared" si="56"/>
        <v>102178.79000000001</v>
      </c>
      <c r="AZ23" s="185">
        <f t="shared" si="56"/>
        <v>103391.70974999998</v>
      </c>
      <c r="BA23" s="686">
        <f t="shared" ref="BA23:BF23" si="57">SUM(BA21:BA22)</f>
        <v>296648.09999999998</v>
      </c>
      <c r="BB23" s="159">
        <f t="shared" si="57"/>
        <v>296860.42349999998</v>
      </c>
      <c r="BC23" s="2145">
        <f t="shared" si="57"/>
        <v>599888.38000000012</v>
      </c>
      <c r="BD23" s="437">
        <f t="shared" si="57"/>
        <v>599686.37749999994</v>
      </c>
      <c r="BE23" s="683">
        <f t="shared" si="57"/>
        <v>1198625.6758424998</v>
      </c>
      <c r="BF23" s="1026">
        <f t="shared" si="57"/>
        <v>1206946.7467499999</v>
      </c>
      <c r="BG23" s="1111"/>
      <c r="BH23" s="1111"/>
      <c r="BI23" s="1111"/>
      <c r="BJ23" s="1111"/>
      <c r="BK23" s="1111"/>
      <c r="BL23" s="23"/>
      <c r="BM23" s="23"/>
      <c r="BN23" s="23"/>
    </row>
    <row r="24" spans="1:66" ht="15" thickBot="1" x14ac:dyDescent="0.35">
      <c r="A24" s="135" t="s">
        <v>445</v>
      </c>
      <c r="B24" s="1598" t="s">
        <v>151</v>
      </c>
      <c r="C24" s="1277" t="s">
        <v>50</v>
      </c>
      <c r="D24" s="1201">
        <f>+D17*D38/100</f>
        <v>9088.3079999999991</v>
      </c>
      <c r="E24" s="1019">
        <f>+E17*E38/100</f>
        <v>758.52</v>
      </c>
      <c r="F24" s="1019">
        <v>505.68</v>
      </c>
      <c r="G24" s="1019">
        <f>+G17*G38/100</f>
        <v>783.80399999999997</v>
      </c>
      <c r="H24" s="1019">
        <v>517.548</v>
      </c>
      <c r="I24" s="697">
        <f>+E24+G24</f>
        <v>1542.3240000000001</v>
      </c>
      <c r="J24" s="58">
        <f>+F24+H24</f>
        <v>1023.2280000000001</v>
      </c>
      <c r="K24" s="1019">
        <f>+K17*K38/100</f>
        <v>727.56</v>
      </c>
      <c r="L24" s="1019">
        <v>743.55600000000004</v>
      </c>
      <c r="M24" s="1020">
        <f>+E24+G24+K24</f>
        <v>2269.884</v>
      </c>
      <c r="N24" s="79">
        <f>+F24+H24+L24</f>
        <v>1766.7840000000001</v>
      </c>
      <c r="O24" s="1019">
        <f>+O17*O38/100</f>
        <v>751.81200000000001</v>
      </c>
      <c r="P24" s="1019">
        <v>763.16399999999999</v>
      </c>
      <c r="Q24" s="697">
        <f>+M24+O24</f>
        <v>3021.6959999999999</v>
      </c>
      <c r="R24" s="58">
        <f>+N24+P24</f>
        <v>2529.9480000000003</v>
      </c>
      <c r="S24" s="1019">
        <f>+S17*S38/100</f>
        <v>751.81200000000001</v>
      </c>
      <c r="T24" s="1019">
        <v>783.80399999999997</v>
      </c>
      <c r="U24" s="697">
        <f>+Q24+S24</f>
        <v>3773.5079999999998</v>
      </c>
      <c r="V24" s="58">
        <f>+R24+T24</f>
        <v>3313.7520000000004</v>
      </c>
      <c r="W24" s="1019">
        <f>+W17*W38/100</f>
        <v>712.85399999999993</v>
      </c>
      <c r="X24" s="1019">
        <v>758.52</v>
      </c>
      <c r="Y24" s="698">
        <f>+O24+S24+W24</f>
        <v>2216.4780000000001</v>
      </c>
      <c r="Z24" s="79">
        <f>+P24+T24+X24</f>
        <v>2305.4879999999998</v>
      </c>
      <c r="AA24" s="696">
        <f>+M24+Y24</f>
        <v>4486.3620000000001</v>
      </c>
      <c r="AB24" s="696">
        <f>+N24+Z24</f>
        <v>4072.2719999999999</v>
      </c>
      <c r="AC24" s="1019">
        <f>+AC17*AC38/100</f>
        <v>751.81200000000001</v>
      </c>
      <c r="AD24" s="1019">
        <v>772.19399999999996</v>
      </c>
      <c r="AE24" s="697">
        <f>+AA24+AC24</f>
        <v>5238.174</v>
      </c>
      <c r="AF24" s="58">
        <f>+AB24+AD24</f>
        <v>4844.4660000000003</v>
      </c>
      <c r="AG24" s="1019">
        <f>+AG17*AG38/100</f>
        <v>727.56</v>
      </c>
      <c r="AH24" s="1019">
        <v>486.24400000000003</v>
      </c>
      <c r="AI24" s="697">
        <f>+AE24+AG24</f>
        <v>5965.7340000000004</v>
      </c>
      <c r="AJ24" s="58">
        <f>+AF24+AH24</f>
        <v>5330.71</v>
      </c>
      <c r="AK24" s="1019">
        <f>+AK17*AK38/100</f>
        <v>751.81200000000001</v>
      </c>
      <c r="AL24" s="1019">
        <v>501.72400000000005</v>
      </c>
      <c r="AM24" s="698">
        <f>+AC24+AG24+AK24</f>
        <v>2231.1839999999997</v>
      </c>
      <c r="AN24" s="79">
        <f>+AD24+AH24+AL24</f>
        <v>1760.1620000000003</v>
      </c>
      <c r="AO24" s="697">
        <f>AI24+AK24</f>
        <v>6717.5460000000003</v>
      </c>
      <c r="AP24" s="697">
        <f>AJ24+AL24</f>
        <v>5832.4340000000002</v>
      </c>
      <c r="AQ24" s="1019">
        <f>+AQ17*AQ38/100</f>
        <v>751.81200000000001</v>
      </c>
      <c r="AR24" s="1019">
        <v>505.68</v>
      </c>
      <c r="AS24" s="697">
        <f>+AO24+AQ24</f>
        <v>7469.3580000000002</v>
      </c>
      <c r="AT24" s="58">
        <f>+AP24+AR24</f>
        <v>6338.1140000000005</v>
      </c>
      <c r="AU24" s="1019">
        <f>+AU17*AU38/100</f>
        <v>679.05600000000004</v>
      </c>
      <c r="AV24" s="1019">
        <v>454.76799999999997</v>
      </c>
      <c r="AW24" s="697">
        <f>+AS24+AU24</f>
        <v>8148.4140000000007</v>
      </c>
      <c r="AX24" s="58">
        <f>+AT24+AV24</f>
        <v>6792.8820000000005</v>
      </c>
      <c r="AY24" s="1019">
        <f>+AY17*AY38/100</f>
        <v>751.81200000000001</v>
      </c>
      <c r="AZ24" s="1019">
        <v>522.53599999999994</v>
      </c>
      <c r="BA24" s="698">
        <f>+AQ24+AU24+AY24</f>
        <v>2182.6799999999998</v>
      </c>
      <c r="BB24" s="79">
        <f>+AR24+AV24+AZ24</f>
        <v>1482.9839999999999</v>
      </c>
      <c r="BC24" s="696">
        <f t="shared" ref="BC24:BC25" si="58">+AM24+BA24</f>
        <v>4413.8639999999996</v>
      </c>
      <c r="BD24" s="696">
        <f t="shared" ref="BD24:BD25" si="59">+AN24+BB24</f>
        <v>3243.1460000000002</v>
      </c>
      <c r="BE24" s="697">
        <f>+AW24+AY24</f>
        <v>8900.2260000000006</v>
      </c>
      <c r="BF24" s="58">
        <f>+AX24+AZ24</f>
        <v>7315.4180000000006</v>
      </c>
      <c r="BG24" s="1111"/>
      <c r="BH24" s="1111"/>
      <c r="BI24" s="1111"/>
      <c r="BJ24" s="1111"/>
      <c r="BK24" s="1111"/>
      <c r="BL24" s="23"/>
      <c r="BM24" s="23"/>
      <c r="BN24" s="23"/>
    </row>
    <row r="25" spans="1:66" ht="15" thickBot="1" x14ac:dyDescent="0.35">
      <c r="A25" s="135" t="s">
        <v>445</v>
      </c>
      <c r="B25" s="1599" t="s">
        <v>152</v>
      </c>
      <c r="C25" s="1277" t="s">
        <v>50</v>
      </c>
      <c r="D25" s="1319">
        <f>+D18*D38/100</f>
        <v>16879.3746225</v>
      </c>
      <c r="E25" s="669">
        <f>+E18*E38/100</f>
        <v>1371.4784999999997</v>
      </c>
      <c r="F25" s="669">
        <v>931.67150000000015</v>
      </c>
      <c r="G25" s="669">
        <f>+G18*G38/100</f>
        <v>1408.8321225000002</v>
      </c>
      <c r="H25" s="669">
        <v>916.21199999999999</v>
      </c>
      <c r="I25" s="702">
        <f>+E25+G25</f>
        <v>2780.3106225000001</v>
      </c>
      <c r="J25" s="58">
        <f>+F25+H25</f>
        <v>1847.8835000000001</v>
      </c>
      <c r="K25" s="669">
        <f>+K18*K38/100</f>
        <v>1391.355</v>
      </c>
      <c r="L25" s="669">
        <v>1397.9804999999999</v>
      </c>
      <c r="M25" s="1429">
        <f>+E25+G25+K25</f>
        <v>4171.6656225000006</v>
      </c>
      <c r="N25" s="79">
        <f>+F25+H25+L25</f>
        <v>3245.864</v>
      </c>
      <c r="O25" s="669">
        <f>+O18*O38/100</f>
        <v>1437.7335</v>
      </c>
      <c r="P25" s="669">
        <v>1452.4042499999998</v>
      </c>
      <c r="Q25" s="702">
        <f>+M25+O25</f>
        <v>5609.3991225000009</v>
      </c>
      <c r="R25" s="58">
        <f>+N25+P25</f>
        <v>4698.2682500000001</v>
      </c>
      <c r="S25" s="669">
        <f>+S18*S38/100</f>
        <v>1437.7335</v>
      </c>
      <c r="T25" s="669">
        <v>1445.3054999999999</v>
      </c>
      <c r="U25" s="702">
        <f>+Q25+S25</f>
        <v>7047.1326225000012</v>
      </c>
      <c r="V25" s="58">
        <f>+R25+T25</f>
        <v>6143.5737499999996</v>
      </c>
      <c r="W25" s="669">
        <f>+W18*W38/100</f>
        <v>1327.4662499999999</v>
      </c>
      <c r="X25" s="669">
        <v>1402.2397500000002</v>
      </c>
      <c r="Y25" s="698">
        <f>+O25+S25+W25</f>
        <v>4202.93325</v>
      </c>
      <c r="Z25" s="79">
        <f>+P25+T25+X25</f>
        <v>4299.9495000000006</v>
      </c>
      <c r="AA25" s="696">
        <f>+M25+Y25</f>
        <v>8374.5988725000007</v>
      </c>
      <c r="AB25" s="696">
        <f>+N25+Z25</f>
        <v>7545.8135000000002</v>
      </c>
      <c r="AC25" s="669">
        <f>+AC18*AC38/100</f>
        <v>1437.7335</v>
      </c>
      <c r="AD25" s="669">
        <v>1425.9022500000001</v>
      </c>
      <c r="AE25" s="702">
        <f>+AA25+AC25</f>
        <v>9812.3323725000009</v>
      </c>
      <c r="AF25" s="58">
        <f>+AB25+AD25</f>
        <v>8971.7157499999994</v>
      </c>
      <c r="AG25" s="669">
        <f>+AG18*AG38/100</f>
        <v>1391.355</v>
      </c>
      <c r="AH25" s="669">
        <v>933.88</v>
      </c>
      <c r="AI25" s="702">
        <f>+AE25+AG25</f>
        <v>11203.6873725</v>
      </c>
      <c r="AJ25" s="58">
        <f>+AF25+AH25</f>
        <v>9905.5957499999986</v>
      </c>
      <c r="AK25" s="669">
        <f>+AK18*AK38/100</f>
        <v>1437.7335</v>
      </c>
      <c r="AL25" s="669">
        <v>965.74549999999999</v>
      </c>
      <c r="AM25" s="698">
        <f>+AC25+AG25+AK25</f>
        <v>4266.8220000000001</v>
      </c>
      <c r="AN25" s="79">
        <f>+AD25+AH25+AL25</f>
        <v>3325.5277500000002</v>
      </c>
      <c r="AO25" s="697">
        <f>AI25+AK25</f>
        <v>12641.420872500001</v>
      </c>
      <c r="AP25" s="697">
        <f>AJ25+AL25</f>
        <v>10871.341249999998</v>
      </c>
      <c r="AQ25" s="669">
        <f>+AQ18*AQ38/100</f>
        <v>1437.7335</v>
      </c>
      <c r="AR25" s="669">
        <v>957.22699999999998</v>
      </c>
      <c r="AS25" s="702">
        <f>+AO25+AQ25</f>
        <v>14079.154372500001</v>
      </c>
      <c r="AT25" s="58">
        <f>+AP25+AR25</f>
        <v>11828.568249999998</v>
      </c>
      <c r="AU25" s="669">
        <f>+AU18*AU38/100</f>
        <v>1298.598</v>
      </c>
      <c r="AV25" s="669">
        <v>866.04750000000001</v>
      </c>
      <c r="AW25" s="702">
        <f>+AS25+AU25</f>
        <v>15377.752372500001</v>
      </c>
      <c r="AX25" s="58">
        <f>+AT25+AV25</f>
        <v>12694.615749999999</v>
      </c>
      <c r="AY25" s="669">
        <f>+AY18*AY38/100</f>
        <v>1437.7335</v>
      </c>
      <c r="AZ25" s="669">
        <v>965.11450000000002</v>
      </c>
      <c r="BA25" s="698">
        <f>+AQ25+AU25+AY25</f>
        <v>4174.0650000000005</v>
      </c>
      <c r="BB25" s="79">
        <f>+AR25+AV25+AZ25</f>
        <v>2788.3890000000001</v>
      </c>
      <c r="BC25" s="696">
        <f t="shared" si="58"/>
        <v>8440.8870000000006</v>
      </c>
      <c r="BD25" s="696">
        <f t="shared" si="59"/>
        <v>6113.9167500000003</v>
      </c>
      <c r="BE25" s="702">
        <f>+AW25+AY25</f>
        <v>16815.485872500001</v>
      </c>
      <c r="BF25" s="58">
        <f>+AX25+AZ25</f>
        <v>13659.730249999999</v>
      </c>
      <c r="BG25" s="1111"/>
      <c r="BH25" s="1111"/>
      <c r="BI25" s="1111"/>
      <c r="BJ25" s="1111"/>
      <c r="BK25" s="1111"/>
      <c r="BL25" s="23"/>
      <c r="BM25" s="23"/>
      <c r="BN25" s="23"/>
    </row>
    <row r="26" spans="1:66" ht="15" thickBot="1" x14ac:dyDescent="0.35">
      <c r="A26" s="135" t="s">
        <v>445</v>
      </c>
      <c r="B26" s="1275" t="s">
        <v>141</v>
      </c>
      <c r="C26" s="1278" t="s">
        <v>50</v>
      </c>
      <c r="D26" s="1320">
        <f t="shared" ref="D26:J26" si="60">SUM(D24:D25)</f>
        <v>25967.682622499997</v>
      </c>
      <c r="E26" s="185">
        <f t="shared" si="60"/>
        <v>2129.9984999999997</v>
      </c>
      <c r="F26" s="185">
        <f t="shared" si="60"/>
        <v>1437.3515000000002</v>
      </c>
      <c r="G26" s="185">
        <f t="shared" ref="G26:H26" si="61">SUM(G24:G25)</f>
        <v>2192.6361225000001</v>
      </c>
      <c r="H26" s="185">
        <f t="shared" si="61"/>
        <v>1433.76</v>
      </c>
      <c r="I26" s="683">
        <f t="shared" si="60"/>
        <v>4322.6346224999998</v>
      </c>
      <c r="J26" s="1026">
        <f t="shared" si="60"/>
        <v>2871.1115</v>
      </c>
      <c r="K26" s="185">
        <f t="shared" ref="K26:L26" si="62">SUM(K24:K25)</f>
        <v>2118.915</v>
      </c>
      <c r="L26" s="185">
        <f t="shared" si="62"/>
        <v>2141.5365000000002</v>
      </c>
      <c r="M26" s="703">
        <f t="shared" ref="M26:R26" si="63">SUM(M24:M25)</f>
        <v>6441.5496225000006</v>
      </c>
      <c r="N26" s="159">
        <f t="shared" si="63"/>
        <v>5012.6480000000001</v>
      </c>
      <c r="O26" s="185">
        <f t="shared" si="63"/>
        <v>2189.5455000000002</v>
      </c>
      <c r="P26" s="185">
        <f t="shared" si="63"/>
        <v>2215.5682499999998</v>
      </c>
      <c r="Q26" s="683">
        <f>SUM(Q24:Q25)</f>
        <v>8631.0951225000008</v>
      </c>
      <c r="R26" s="1026">
        <f t="shared" si="63"/>
        <v>7228.2162500000004</v>
      </c>
      <c r="S26" s="185">
        <f t="shared" ref="S26:T26" si="64">SUM(S24:S25)</f>
        <v>2189.5455000000002</v>
      </c>
      <c r="T26" s="185">
        <f t="shared" si="64"/>
        <v>2229.1095</v>
      </c>
      <c r="U26" s="683">
        <f>SUM(U24:U25)</f>
        <v>10820.640622500001</v>
      </c>
      <c r="V26" s="1026">
        <f t="shared" ref="V26:X26" si="65">SUM(V24:V25)</f>
        <v>9457.32575</v>
      </c>
      <c r="W26" s="185">
        <f t="shared" si="65"/>
        <v>2040.3202499999998</v>
      </c>
      <c r="X26" s="185">
        <f t="shared" si="65"/>
        <v>2160.7597500000002</v>
      </c>
      <c r="Y26" s="686">
        <f t="shared" ref="Y26:Z26" si="66">SUM(Y24:Y25)</f>
        <v>6419.4112500000001</v>
      </c>
      <c r="Z26" s="159">
        <f t="shared" si="66"/>
        <v>6605.4375</v>
      </c>
      <c r="AA26" s="2145">
        <f t="shared" ref="AA26:AF26" si="67">SUM(AA24:AA25)</f>
        <v>12860.9608725</v>
      </c>
      <c r="AB26" s="437">
        <f t="shared" si="67"/>
        <v>11618.085500000001</v>
      </c>
      <c r="AC26" s="185">
        <f t="shared" si="67"/>
        <v>2189.5455000000002</v>
      </c>
      <c r="AD26" s="185">
        <f t="shared" si="67"/>
        <v>2198.0962500000001</v>
      </c>
      <c r="AE26" s="683">
        <f t="shared" si="67"/>
        <v>15050.5063725</v>
      </c>
      <c r="AF26" s="1026">
        <f t="shared" si="67"/>
        <v>13816.18175</v>
      </c>
      <c r="AG26" s="185">
        <f t="shared" ref="AG26:AH26" si="68">SUM(AG24:AG25)</f>
        <v>2118.915</v>
      </c>
      <c r="AH26" s="185">
        <f t="shared" si="68"/>
        <v>1420.124</v>
      </c>
      <c r="AI26" s="683">
        <f t="shared" ref="AI26:AN26" si="69">SUM(AI24:AI25)</f>
        <v>17169.421372500001</v>
      </c>
      <c r="AJ26" s="1026">
        <f t="shared" si="69"/>
        <v>15236.30575</v>
      </c>
      <c r="AK26" s="185">
        <f t="shared" si="69"/>
        <v>2189.5455000000002</v>
      </c>
      <c r="AL26" s="185">
        <f t="shared" si="69"/>
        <v>1467.4695000000002</v>
      </c>
      <c r="AM26" s="686">
        <f t="shared" si="69"/>
        <v>6498.0059999999994</v>
      </c>
      <c r="AN26" s="159">
        <f t="shared" si="69"/>
        <v>5085.6897500000005</v>
      </c>
      <c r="AO26" s="683">
        <f t="shared" ref="AO26:AT26" si="70">SUM(AO24:AO25)</f>
        <v>19358.966872500001</v>
      </c>
      <c r="AP26" s="1026">
        <f t="shared" si="70"/>
        <v>16703.775249999999</v>
      </c>
      <c r="AQ26" s="185">
        <f t="shared" si="70"/>
        <v>2189.5455000000002</v>
      </c>
      <c r="AR26" s="185">
        <f t="shared" si="70"/>
        <v>1462.9069999999999</v>
      </c>
      <c r="AS26" s="683">
        <f t="shared" si="70"/>
        <v>21548.512372500001</v>
      </c>
      <c r="AT26" s="1026">
        <f t="shared" si="70"/>
        <v>18166.682249999998</v>
      </c>
      <c r="AU26" s="185">
        <f t="shared" ref="AU26:AV26" si="71">SUM(AU24:AU25)</f>
        <v>1977.654</v>
      </c>
      <c r="AV26" s="185">
        <f t="shared" si="71"/>
        <v>1320.8154999999999</v>
      </c>
      <c r="AW26" s="683">
        <f t="shared" ref="AW26:AZ26" si="72">SUM(AW24:AW25)</f>
        <v>23526.166372500003</v>
      </c>
      <c r="AX26" s="1026">
        <f t="shared" si="72"/>
        <v>19487.497749999999</v>
      </c>
      <c r="AY26" s="185">
        <f t="shared" si="72"/>
        <v>2189.5455000000002</v>
      </c>
      <c r="AZ26" s="185">
        <f t="shared" si="72"/>
        <v>1487.6505</v>
      </c>
      <c r="BA26" s="686">
        <f t="shared" ref="BA26:BF26" si="73">SUM(BA24:BA25)</f>
        <v>6356.7450000000008</v>
      </c>
      <c r="BB26" s="159">
        <f t="shared" si="73"/>
        <v>4271.3729999999996</v>
      </c>
      <c r="BC26" s="2145">
        <f t="shared" si="73"/>
        <v>12854.751</v>
      </c>
      <c r="BD26" s="437">
        <f t="shared" si="73"/>
        <v>9357.062750000001</v>
      </c>
      <c r="BE26" s="683">
        <f t="shared" si="73"/>
        <v>25715.711872500004</v>
      </c>
      <c r="BF26" s="1026">
        <f t="shared" si="73"/>
        <v>20975.148249999998</v>
      </c>
      <c r="BG26" s="1111"/>
      <c r="BH26" s="1111"/>
      <c r="BI26" s="1111"/>
      <c r="BJ26" s="1111"/>
      <c r="BK26" s="1111"/>
      <c r="BL26" s="23"/>
      <c r="BM26" s="23"/>
      <c r="BN26" s="23"/>
    </row>
    <row r="27" spans="1:66" ht="15" thickBot="1" x14ac:dyDescent="0.35">
      <c r="A27" s="135" t="s">
        <v>445</v>
      </c>
      <c r="B27" s="1598" t="s">
        <v>153</v>
      </c>
      <c r="C27" s="1277" t="s">
        <v>50</v>
      </c>
      <c r="D27" s="1201">
        <f>+D17*D39/100</f>
        <v>21206.051999999996</v>
      </c>
      <c r="E27" s="1019">
        <f>+E17*E39/100</f>
        <v>1769.88</v>
      </c>
      <c r="F27" s="1019">
        <v>1517.04</v>
      </c>
      <c r="G27" s="1019">
        <f>+G17*G39/100</f>
        <v>1828.876</v>
      </c>
      <c r="H27" s="1019">
        <v>1552.6439999999998</v>
      </c>
      <c r="I27" s="663">
        <f>+E27+G27</f>
        <v>3598.7560000000003</v>
      </c>
      <c r="J27" s="58">
        <f>+F27+H27</f>
        <v>3069.6839999999997</v>
      </c>
      <c r="K27" s="1019">
        <f>+K17*K39/100</f>
        <v>1697.64</v>
      </c>
      <c r="L27" s="1019">
        <v>1487.1120000000001</v>
      </c>
      <c r="M27" s="1020">
        <f>+E27+G27+K27</f>
        <v>5296.3960000000006</v>
      </c>
      <c r="N27" s="79">
        <f>+F27+H27+L27</f>
        <v>4556.7960000000003</v>
      </c>
      <c r="O27" s="1019">
        <f>+O17*O39/100</f>
        <v>1754.2279999999998</v>
      </c>
      <c r="P27" s="1019">
        <v>1526.328</v>
      </c>
      <c r="Q27" s="663">
        <f>+M27+O27</f>
        <v>7050.6240000000007</v>
      </c>
      <c r="R27" s="58">
        <f>+N27+P27</f>
        <v>6083.1239999999998</v>
      </c>
      <c r="S27" s="1019">
        <f>+S17*S39/100</f>
        <v>1754.2279999999998</v>
      </c>
      <c r="T27" s="1019">
        <v>1567.6079999999999</v>
      </c>
      <c r="U27" s="663">
        <f>+Q27+S27</f>
        <v>8804.8520000000008</v>
      </c>
      <c r="V27" s="58">
        <f>+R27+T27</f>
        <v>7650.732</v>
      </c>
      <c r="W27" s="1019">
        <f>+W17*W39/100</f>
        <v>1663.326</v>
      </c>
      <c r="X27" s="1019">
        <v>1517.04</v>
      </c>
      <c r="Y27" s="698">
        <f>+O27+S27+W27</f>
        <v>5171.7819999999992</v>
      </c>
      <c r="Z27" s="79">
        <f>+P27+T27+X27</f>
        <v>4610.9759999999997</v>
      </c>
      <c r="AA27" s="696">
        <f>+M27+Y27</f>
        <v>10468.178</v>
      </c>
      <c r="AB27" s="696">
        <f>+N27+Z27</f>
        <v>9167.7720000000008</v>
      </c>
      <c r="AC27" s="1019">
        <f>+AC17*AC39/100</f>
        <v>1754.2279999999998</v>
      </c>
      <c r="AD27" s="1019">
        <v>1698.8268</v>
      </c>
      <c r="AE27" s="663">
        <f>+AA27+AC27</f>
        <v>12222.405999999999</v>
      </c>
      <c r="AF27" s="58">
        <f>+AB27+AD27</f>
        <v>10866.598800000002</v>
      </c>
      <c r="AG27" s="1019">
        <f>+AG17*AG39/100</f>
        <v>1697.64</v>
      </c>
      <c r="AH27" s="1019">
        <v>1458.732</v>
      </c>
      <c r="AI27" s="663">
        <f>+AE27+AG27</f>
        <v>13920.045999999998</v>
      </c>
      <c r="AJ27" s="58">
        <f>+AF27+AH27</f>
        <v>12325.330800000002</v>
      </c>
      <c r="AK27" s="1019">
        <f>+AK17*AK39/100</f>
        <v>1754.2279999999998</v>
      </c>
      <c r="AL27" s="1019">
        <v>1505.172</v>
      </c>
      <c r="AM27" s="698">
        <f>+AC27+AG27+AK27</f>
        <v>5206.0959999999995</v>
      </c>
      <c r="AN27" s="79">
        <f>+AD27+AH27+AL27</f>
        <v>4662.7307999999994</v>
      </c>
      <c r="AO27" s="697">
        <f>AI27+AK27</f>
        <v>15674.273999999998</v>
      </c>
      <c r="AP27" s="697">
        <f>AJ27+AL27</f>
        <v>13830.502800000002</v>
      </c>
      <c r="AQ27" s="1019">
        <f>+AQ17*AQ39/100</f>
        <v>1754.2279999999998</v>
      </c>
      <c r="AR27" s="1019">
        <v>1517.04</v>
      </c>
      <c r="AS27" s="663">
        <f>+AO27+AQ27</f>
        <v>17428.501999999997</v>
      </c>
      <c r="AT27" s="58">
        <f>+AP27+AR27</f>
        <v>15347.542800000003</v>
      </c>
      <c r="AU27" s="1019">
        <f>+AU17*AU39/100</f>
        <v>1584.4639999999999</v>
      </c>
      <c r="AV27" s="1019">
        <v>1364.3039999999999</v>
      </c>
      <c r="AW27" s="663">
        <f>+AS27+AU27</f>
        <v>19012.965999999997</v>
      </c>
      <c r="AX27" s="58">
        <f>+AT27+AV27</f>
        <v>16711.846800000003</v>
      </c>
      <c r="AY27" s="1019">
        <f>+AY17*AY39/100</f>
        <v>1754.2279999999998</v>
      </c>
      <c r="AZ27" s="1019">
        <v>1567.6079999999999</v>
      </c>
      <c r="BA27" s="698">
        <f>+AQ27+AU27+AY27</f>
        <v>5092.92</v>
      </c>
      <c r="BB27" s="79">
        <f>+AR27+AV27+AZ27</f>
        <v>4448.9520000000002</v>
      </c>
      <c r="BC27" s="696">
        <f t="shared" ref="BC27:BC28" si="74">+AM27+BA27</f>
        <v>10299.016</v>
      </c>
      <c r="BD27" s="696">
        <f t="shared" ref="BD27:BD28" si="75">+AN27+BB27</f>
        <v>9111.6827999999987</v>
      </c>
      <c r="BE27" s="663">
        <f>+AW27+AY27</f>
        <v>20767.193999999996</v>
      </c>
      <c r="BF27" s="58">
        <f>+AX27+AZ27</f>
        <v>18279.454800000003</v>
      </c>
      <c r="BG27" s="1111"/>
      <c r="BH27" s="1111"/>
      <c r="BI27" s="1111"/>
      <c r="BJ27" s="1111"/>
      <c r="BK27" s="1111"/>
      <c r="BL27" s="23"/>
      <c r="BM27" s="23"/>
      <c r="BN27" s="23"/>
    </row>
    <row r="28" spans="1:66" ht="15" thickBot="1" x14ac:dyDescent="0.35">
      <c r="A28" s="135" t="s">
        <v>445</v>
      </c>
      <c r="B28" s="1599" t="s">
        <v>154</v>
      </c>
      <c r="C28" s="1277" t="s">
        <v>50</v>
      </c>
      <c r="D28" s="1319">
        <f>+D18*D39/100</f>
        <v>39385.207452499999</v>
      </c>
      <c r="E28" s="669">
        <f>+E18*E39/100</f>
        <v>3200.1164999999996</v>
      </c>
      <c r="F28" s="669">
        <v>2795.0145000000002</v>
      </c>
      <c r="G28" s="669">
        <f>+G18*G39/100</f>
        <v>3287.2749525000004</v>
      </c>
      <c r="H28" s="669">
        <v>2748.636</v>
      </c>
      <c r="I28" s="1021">
        <f>+E28+G28</f>
        <v>6487.3914525</v>
      </c>
      <c r="J28" s="152">
        <f>+F28+H28</f>
        <v>5543.6504999999997</v>
      </c>
      <c r="K28" s="669">
        <f>+K18*K39/100</f>
        <v>3246.4949999999999</v>
      </c>
      <c r="L28" s="669">
        <v>2795.9609999999998</v>
      </c>
      <c r="M28" s="1429">
        <f>+E28+G28+K28</f>
        <v>9733.886452499999</v>
      </c>
      <c r="N28" s="79">
        <f>+F28+H28+L28</f>
        <v>8339.6114999999991</v>
      </c>
      <c r="O28" s="669">
        <f>+O18*O39/100</f>
        <v>3354.7115000000003</v>
      </c>
      <c r="P28" s="669">
        <v>2904.8084999999996</v>
      </c>
      <c r="Q28" s="1021">
        <f>+M28+O28</f>
        <v>13088.5979525</v>
      </c>
      <c r="R28" s="152">
        <f>+N28+P28</f>
        <v>11244.419999999998</v>
      </c>
      <c r="S28" s="669">
        <f>+S18*S39/100</f>
        <v>3354.7115000000003</v>
      </c>
      <c r="T28" s="669">
        <v>2890.6109999999999</v>
      </c>
      <c r="U28" s="1021">
        <f>+Q28+S28</f>
        <v>16443.309452500001</v>
      </c>
      <c r="V28" s="152">
        <f>+R28+T28</f>
        <v>14135.030999999999</v>
      </c>
      <c r="W28" s="669">
        <f>+W18*W39/100</f>
        <v>3097.4212499999999</v>
      </c>
      <c r="X28" s="669">
        <v>3278.4795000000004</v>
      </c>
      <c r="Y28" s="698">
        <f>+O28+S28+W28</f>
        <v>9806.8442500000001</v>
      </c>
      <c r="Z28" s="79">
        <f>+P28+T28+X28</f>
        <v>9073.8990000000013</v>
      </c>
      <c r="AA28" s="696">
        <f>+M28+Y28</f>
        <v>19540.730702499997</v>
      </c>
      <c r="AB28" s="696">
        <f>+N28+Z28</f>
        <v>17413.5105</v>
      </c>
      <c r="AC28" s="669">
        <f>+AC18*AC39/100</f>
        <v>3354.7115000000003</v>
      </c>
      <c r="AD28" s="669">
        <v>3136.9849500000005</v>
      </c>
      <c r="AE28" s="1021">
        <f>+AA28+AC28</f>
        <v>22895.442202499999</v>
      </c>
      <c r="AF28" s="152">
        <f>+AB28+AD28</f>
        <v>20550.495450000002</v>
      </c>
      <c r="AG28" s="669">
        <f>+AG18*AG39/100</f>
        <v>3246.4949999999999</v>
      </c>
      <c r="AH28" s="669">
        <v>2801.64</v>
      </c>
      <c r="AI28" s="1021">
        <f>+AE28+AG28</f>
        <v>26141.937202499998</v>
      </c>
      <c r="AJ28" s="152">
        <f>+AF28+AH28</f>
        <v>23352.135450000002</v>
      </c>
      <c r="AK28" s="669">
        <f>+AK18*AK39/100</f>
        <v>3354.7115000000003</v>
      </c>
      <c r="AL28" s="669">
        <v>2897.2365</v>
      </c>
      <c r="AM28" s="698">
        <f>+AC28+AG28+AK28</f>
        <v>9955.9180000000015</v>
      </c>
      <c r="AN28" s="79">
        <f>+AD28+AH28+AL28</f>
        <v>8835.8614500000003</v>
      </c>
      <c r="AO28" s="697">
        <f>AI28+AK28</f>
        <v>29496.648702499999</v>
      </c>
      <c r="AP28" s="697">
        <f>AJ28+AL28</f>
        <v>26249.371950000001</v>
      </c>
      <c r="AQ28" s="669">
        <f>+AQ18*AQ39/100</f>
        <v>3354.7115000000003</v>
      </c>
      <c r="AR28" s="669">
        <v>2871.6809999999996</v>
      </c>
      <c r="AS28" s="1021">
        <f>+AO28+AQ28</f>
        <v>32851.3602025</v>
      </c>
      <c r="AT28" s="152">
        <f>+AP28+AR28</f>
        <v>29121.052950000001</v>
      </c>
      <c r="AU28" s="669">
        <f>+AU18*AU39/100</f>
        <v>3030.0619999999999</v>
      </c>
      <c r="AV28" s="669">
        <v>2598.1424999999999</v>
      </c>
      <c r="AW28" s="1021">
        <f>+AS28+AU28</f>
        <v>35881.422202499998</v>
      </c>
      <c r="AX28" s="152">
        <f>+AT28+AV28</f>
        <v>31719.195449999999</v>
      </c>
      <c r="AY28" s="669">
        <f>+AY18*AY39/100</f>
        <v>3354.7115000000003</v>
      </c>
      <c r="AZ28" s="669">
        <v>2895.3434999999999</v>
      </c>
      <c r="BA28" s="698">
        <f>+AQ28+AU28+AY28</f>
        <v>9739.4850000000006</v>
      </c>
      <c r="BB28" s="79">
        <f>+AR28+AV28+AZ28</f>
        <v>8365.1669999999995</v>
      </c>
      <c r="BC28" s="696">
        <f t="shared" si="74"/>
        <v>19695.403000000002</v>
      </c>
      <c r="BD28" s="696">
        <f t="shared" si="75"/>
        <v>17201.028449999998</v>
      </c>
      <c r="BE28" s="1021">
        <f>+AW28+AY28</f>
        <v>39236.133702499996</v>
      </c>
      <c r="BF28" s="152">
        <f>+AX28+AZ28</f>
        <v>34614.538950000002</v>
      </c>
      <c r="BG28" s="1111"/>
      <c r="BH28" s="1111"/>
      <c r="BI28" s="1111"/>
      <c r="BJ28" s="1111"/>
      <c r="BK28" s="1111"/>
      <c r="BL28" s="23"/>
      <c r="BM28" s="23"/>
      <c r="BN28" s="23"/>
    </row>
    <row r="29" spans="1:66" ht="15" thickBot="1" x14ac:dyDescent="0.35">
      <c r="A29" s="135" t="s">
        <v>445</v>
      </c>
      <c r="B29" s="1275" t="s">
        <v>142</v>
      </c>
      <c r="C29" s="1278" t="s">
        <v>50</v>
      </c>
      <c r="D29" s="1320">
        <f t="shared" ref="D29:J29" si="76">SUM(D27:D28)</f>
        <v>60591.259452499995</v>
      </c>
      <c r="E29" s="185">
        <f t="shared" si="76"/>
        <v>4969.9964999999993</v>
      </c>
      <c r="F29" s="185">
        <f t="shared" si="76"/>
        <v>4312.0545000000002</v>
      </c>
      <c r="G29" s="185">
        <f t="shared" ref="G29:H29" si="77">SUM(G27:G28)</f>
        <v>5116.1509525000001</v>
      </c>
      <c r="H29" s="185">
        <f t="shared" si="77"/>
        <v>4301.28</v>
      </c>
      <c r="I29" s="1025">
        <f t="shared" si="76"/>
        <v>10086.147452500001</v>
      </c>
      <c r="J29" s="1026">
        <f t="shared" si="76"/>
        <v>8613.334499999999</v>
      </c>
      <c r="K29" s="185">
        <f t="shared" ref="K29:L29" si="78">SUM(K27:K28)</f>
        <v>4944.1350000000002</v>
      </c>
      <c r="L29" s="185">
        <f t="shared" si="78"/>
        <v>4283.0730000000003</v>
      </c>
      <c r="M29" s="703">
        <f t="shared" ref="M29:R29" si="79">SUM(M27:M28)</f>
        <v>15030.2824525</v>
      </c>
      <c r="N29" s="159">
        <f t="shared" si="79"/>
        <v>12896.407499999999</v>
      </c>
      <c r="O29" s="185">
        <f t="shared" si="79"/>
        <v>5108.9395000000004</v>
      </c>
      <c r="P29" s="185">
        <f t="shared" si="79"/>
        <v>4431.1364999999996</v>
      </c>
      <c r="Q29" s="1025">
        <f t="shared" si="79"/>
        <v>20139.2219525</v>
      </c>
      <c r="R29" s="1026">
        <f t="shared" si="79"/>
        <v>17327.543999999998</v>
      </c>
      <c r="S29" s="185">
        <f t="shared" ref="S29:T29" si="80">SUM(S27:S28)</f>
        <v>5108.9395000000004</v>
      </c>
      <c r="T29" s="185">
        <f t="shared" si="80"/>
        <v>4458.2190000000001</v>
      </c>
      <c r="U29" s="1025">
        <f t="shared" ref="U29:X29" si="81">SUM(U27:U28)</f>
        <v>25248.161452500004</v>
      </c>
      <c r="V29" s="1026">
        <f t="shared" si="81"/>
        <v>21785.762999999999</v>
      </c>
      <c r="W29" s="185">
        <f t="shared" si="81"/>
        <v>4760.7472500000003</v>
      </c>
      <c r="X29" s="185">
        <f t="shared" si="81"/>
        <v>4795.5195000000003</v>
      </c>
      <c r="Y29" s="703">
        <f t="shared" ref="Y29:Z29" si="82">SUM(Y27:Y28)</f>
        <v>14978.626249999999</v>
      </c>
      <c r="Z29" s="159">
        <f t="shared" si="82"/>
        <v>13684.875</v>
      </c>
      <c r="AA29" s="2147">
        <f t="shared" ref="AA29:AF29" si="83">SUM(AA27:AA28)</f>
        <v>30008.908702499997</v>
      </c>
      <c r="AB29" s="437">
        <f t="shared" si="83"/>
        <v>26581.282500000001</v>
      </c>
      <c r="AC29" s="185">
        <f t="shared" si="83"/>
        <v>5108.9395000000004</v>
      </c>
      <c r="AD29" s="185">
        <f t="shared" si="83"/>
        <v>4835.8117500000008</v>
      </c>
      <c r="AE29" s="1025">
        <f t="shared" si="83"/>
        <v>35117.848202499998</v>
      </c>
      <c r="AF29" s="1026">
        <f t="shared" si="83"/>
        <v>31417.094250000002</v>
      </c>
      <c r="AG29" s="185">
        <f t="shared" ref="AG29:AH29" si="84">SUM(AG27:AG28)</f>
        <v>4944.1350000000002</v>
      </c>
      <c r="AH29" s="185">
        <f t="shared" si="84"/>
        <v>4260.3719999999994</v>
      </c>
      <c r="AI29" s="1025">
        <f t="shared" ref="AI29:AN29" si="85">SUM(AI27:AI28)</f>
        <v>40061.983202499992</v>
      </c>
      <c r="AJ29" s="1026">
        <f t="shared" si="85"/>
        <v>35677.466250000005</v>
      </c>
      <c r="AK29" s="185">
        <f t="shared" si="85"/>
        <v>5108.9395000000004</v>
      </c>
      <c r="AL29" s="185">
        <f t="shared" si="85"/>
        <v>4402.4084999999995</v>
      </c>
      <c r="AM29" s="703">
        <f t="shared" si="85"/>
        <v>15162.014000000001</v>
      </c>
      <c r="AN29" s="159">
        <f t="shared" si="85"/>
        <v>13498.59225</v>
      </c>
      <c r="AO29" s="1025">
        <f t="shared" ref="AO29:AT29" si="86">SUM(AO27:AO28)</f>
        <v>45170.9227025</v>
      </c>
      <c r="AP29" s="1026">
        <f t="shared" si="86"/>
        <v>40079.874750000003</v>
      </c>
      <c r="AQ29" s="185">
        <f t="shared" si="86"/>
        <v>5108.9395000000004</v>
      </c>
      <c r="AR29" s="185">
        <f t="shared" si="86"/>
        <v>4388.7209999999995</v>
      </c>
      <c r="AS29" s="1025">
        <f t="shared" si="86"/>
        <v>50279.862202499993</v>
      </c>
      <c r="AT29" s="1026">
        <f t="shared" si="86"/>
        <v>44468.595750000008</v>
      </c>
      <c r="AU29" s="185">
        <f t="shared" ref="AU29:AV29" si="87">SUM(AU27:AU28)</f>
        <v>4614.5259999999998</v>
      </c>
      <c r="AV29" s="185">
        <f t="shared" si="87"/>
        <v>3962.4465</v>
      </c>
      <c r="AW29" s="1025">
        <f t="shared" ref="AW29:AZ29" si="88">SUM(AW27:AW28)</f>
        <v>54894.388202499991</v>
      </c>
      <c r="AX29" s="1026">
        <f t="shared" si="88"/>
        <v>48431.042249999999</v>
      </c>
      <c r="AY29" s="185">
        <f t="shared" si="88"/>
        <v>5108.9395000000004</v>
      </c>
      <c r="AZ29" s="185">
        <f t="shared" si="88"/>
        <v>4462.9515000000001</v>
      </c>
      <c r="BA29" s="703">
        <f t="shared" ref="BA29:BF29" si="89">SUM(BA27:BA28)</f>
        <v>14832.405000000001</v>
      </c>
      <c r="BB29" s="159">
        <f t="shared" si="89"/>
        <v>12814.118999999999</v>
      </c>
      <c r="BC29" s="2147">
        <f t="shared" si="89"/>
        <v>29994.419000000002</v>
      </c>
      <c r="BD29" s="437">
        <f t="shared" si="89"/>
        <v>26312.711249999997</v>
      </c>
      <c r="BE29" s="1025">
        <f t="shared" si="89"/>
        <v>60003.327702499992</v>
      </c>
      <c r="BF29" s="1026">
        <f t="shared" si="89"/>
        <v>52893.993750000009</v>
      </c>
      <c r="BG29" s="1111"/>
      <c r="BH29" s="1111"/>
      <c r="BI29" s="1111"/>
      <c r="BJ29" s="1111"/>
      <c r="BK29" s="1111"/>
      <c r="BL29" s="23"/>
      <c r="BM29" s="23"/>
      <c r="BN29" s="23"/>
    </row>
    <row r="30" spans="1:66" ht="15" thickBot="1" x14ac:dyDescent="0.35">
      <c r="A30" s="135" t="s">
        <v>445</v>
      </c>
      <c r="B30" s="1598" t="s">
        <v>155</v>
      </c>
      <c r="C30" s="1277" t="s">
        <v>50</v>
      </c>
      <c r="D30" s="1201">
        <f>+D17*D40/100</f>
        <v>6058.8719999999994</v>
      </c>
      <c r="E30" s="1019">
        <f>+E17*E40/100</f>
        <v>505.68</v>
      </c>
      <c r="F30" s="1019">
        <v>505.68</v>
      </c>
      <c r="G30" s="1019">
        <f>+G17*G40/100</f>
        <v>522.53599999999994</v>
      </c>
      <c r="H30" s="1019">
        <v>517.548</v>
      </c>
      <c r="I30" s="663">
        <f>+E30+G30</f>
        <v>1028.2159999999999</v>
      </c>
      <c r="J30" s="58">
        <f>+F30+H30</f>
        <v>1023.2280000000001</v>
      </c>
      <c r="K30" s="1019">
        <f>+K17*K40/100</f>
        <v>485.04</v>
      </c>
      <c r="L30" s="1019">
        <v>495.70400000000001</v>
      </c>
      <c r="M30" s="1020">
        <f>+E30+G30+K30</f>
        <v>1513.2559999999999</v>
      </c>
      <c r="N30" s="79">
        <f>+F30+H30+L30</f>
        <v>1518.932</v>
      </c>
      <c r="O30" s="1019">
        <f>+O17*O40/100</f>
        <v>501.20799999999997</v>
      </c>
      <c r="P30" s="1019">
        <v>508.77600000000001</v>
      </c>
      <c r="Q30" s="663">
        <f>+M30+O30</f>
        <v>2014.4639999999999</v>
      </c>
      <c r="R30" s="58">
        <f>+N30+P30</f>
        <v>2027.7080000000001</v>
      </c>
      <c r="S30" s="1019">
        <f>+S17*S40/100</f>
        <v>501.20799999999997</v>
      </c>
      <c r="T30" s="1019">
        <v>522.53599999999994</v>
      </c>
      <c r="U30" s="663">
        <f>+Q30+S30</f>
        <v>2515.672</v>
      </c>
      <c r="V30" s="58">
        <f>+R30+T30</f>
        <v>2550.2440000000001</v>
      </c>
      <c r="W30" s="1019">
        <f>+W17*W40/100</f>
        <v>475.23599999999999</v>
      </c>
      <c r="X30" s="1019">
        <v>505.68</v>
      </c>
      <c r="Y30" s="698">
        <f>+O30+S30+W30</f>
        <v>1477.652</v>
      </c>
      <c r="Z30" s="79">
        <f>+P30+T30+X30</f>
        <v>1536.992</v>
      </c>
      <c r="AA30" s="696">
        <f>+M30+Y30</f>
        <v>2990.9079999999999</v>
      </c>
      <c r="AB30" s="696">
        <f>+N30+Z30</f>
        <v>3055.924</v>
      </c>
      <c r="AC30" s="1019">
        <f>+AC17*AC40/100</f>
        <v>501.20799999999997</v>
      </c>
      <c r="AD30" s="1019">
        <v>514.79600000000005</v>
      </c>
      <c r="AE30" s="663">
        <f>+AA30+AC30</f>
        <v>3492.116</v>
      </c>
      <c r="AF30" s="58">
        <f>+AB30+AD30</f>
        <v>3570.7200000000003</v>
      </c>
      <c r="AG30" s="1019">
        <f>+AG17*AG40/100</f>
        <v>485.04</v>
      </c>
      <c r="AH30" s="1019">
        <v>486.24400000000003</v>
      </c>
      <c r="AI30" s="663">
        <f>+AE30+AG30</f>
        <v>3977.1559999999999</v>
      </c>
      <c r="AJ30" s="58">
        <f>+AF30+AH30</f>
        <v>4056.9640000000004</v>
      </c>
      <c r="AK30" s="1019">
        <f>+AK17*AK40/100</f>
        <v>501.20799999999997</v>
      </c>
      <c r="AL30" s="1019">
        <v>501.72400000000005</v>
      </c>
      <c r="AM30" s="698">
        <f>+AC30+AG30+AK30</f>
        <v>1487.4560000000001</v>
      </c>
      <c r="AN30" s="79">
        <f>+AD30+AH30+AL30</f>
        <v>1502.7640000000001</v>
      </c>
      <c r="AO30" s="697">
        <f>AI30+AK30</f>
        <v>4478.3639999999996</v>
      </c>
      <c r="AP30" s="697">
        <f>AJ30+AL30</f>
        <v>4558.6880000000001</v>
      </c>
      <c r="AQ30" s="1019">
        <f>+AQ17*AQ40/100</f>
        <v>501.20799999999997</v>
      </c>
      <c r="AR30" s="1019">
        <v>505.68</v>
      </c>
      <c r="AS30" s="663">
        <f>+AO30+AQ30</f>
        <v>4979.5719999999992</v>
      </c>
      <c r="AT30" s="58">
        <f>+AP30+AR30</f>
        <v>5064.3680000000004</v>
      </c>
      <c r="AU30" s="1019">
        <f>+AU17*AU40/100</f>
        <v>452.70400000000001</v>
      </c>
      <c r="AV30" s="1019">
        <v>454.76799999999997</v>
      </c>
      <c r="AW30" s="663">
        <f>+AS30+AU30</f>
        <v>5432.2759999999989</v>
      </c>
      <c r="AX30" s="58">
        <f>+AT30+AV30</f>
        <v>5519.1360000000004</v>
      </c>
      <c r="AY30" s="1019">
        <f>+AY17*AY40/100</f>
        <v>501.20799999999997</v>
      </c>
      <c r="AZ30" s="1019">
        <v>522.53599999999994</v>
      </c>
      <c r="BA30" s="698">
        <f>+AQ30+AU30+AY30</f>
        <v>1455.12</v>
      </c>
      <c r="BB30" s="79">
        <f>+AR30+AV30+AZ30</f>
        <v>1482.9839999999999</v>
      </c>
      <c r="BC30" s="696">
        <f t="shared" ref="BC30:BC31" si="90">+AM30+BA30</f>
        <v>2942.576</v>
      </c>
      <c r="BD30" s="696">
        <f t="shared" ref="BD30:BD31" si="91">+AN30+BB30</f>
        <v>2985.748</v>
      </c>
      <c r="BE30" s="663">
        <f>+AW30+AY30</f>
        <v>5933.4839999999986</v>
      </c>
      <c r="BF30" s="58">
        <f>+AX30+AZ30</f>
        <v>6041.6720000000005</v>
      </c>
      <c r="BG30" s="1111"/>
      <c r="BH30" s="1111"/>
      <c r="BI30" s="1111"/>
      <c r="BJ30" s="1111"/>
      <c r="BK30" s="1111"/>
      <c r="BL30" s="23"/>
      <c r="BM30" s="23"/>
      <c r="BN30" s="23"/>
    </row>
    <row r="31" spans="1:66" ht="15" thickBot="1" x14ac:dyDescent="0.35">
      <c r="A31" s="135" t="s">
        <v>445</v>
      </c>
      <c r="B31" s="1599" t="s">
        <v>156</v>
      </c>
      <c r="C31" s="1277" t="s">
        <v>50</v>
      </c>
      <c r="D31" s="1319">
        <f>+D18*D40/100</f>
        <v>11252.916415</v>
      </c>
      <c r="E31" s="669">
        <f>+E18*E40/100</f>
        <v>914.31899999999996</v>
      </c>
      <c r="F31" s="669">
        <v>931.67150000000015</v>
      </c>
      <c r="G31" s="669">
        <f>+G18*G40/100</f>
        <v>939.22141500000009</v>
      </c>
      <c r="H31" s="669">
        <v>916.21199999999999</v>
      </c>
      <c r="I31" s="663">
        <f>+E31+G31</f>
        <v>1853.5404149999999</v>
      </c>
      <c r="J31" s="152">
        <f>+F31+H31</f>
        <v>1847.8835000000001</v>
      </c>
      <c r="K31" s="669">
        <f>+K18*K40/100</f>
        <v>927.57</v>
      </c>
      <c r="L31" s="669">
        <v>931.98699999999997</v>
      </c>
      <c r="M31" s="1429">
        <f>+E31+G31+K31</f>
        <v>2781.1104150000001</v>
      </c>
      <c r="N31" s="79">
        <f>+F31+H31+L31</f>
        <v>2779.8705</v>
      </c>
      <c r="O31" s="669">
        <f>+O18*O40/100</f>
        <v>958.48900000000003</v>
      </c>
      <c r="P31" s="669">
        <v>968.26949999999999</v>
      </c>
      <c r="Q31" s="663">
        <f>+M31+O31</f>
        <v>3739.5994150000001</v>
      </c>
      <c r="R31" s="152">
        <f>+N31+P31</f>
        <v>3748.14</v>
      </c>
      <c r="S31" s="669">
        <f>+S18*S40/100</f>
        <v>958.48900000000003</v>
      </c>
      <c r="T31" s="669">
        <v>963.53700000000003</v>
      </c>
      <c r="U31" s="663">
        <f>+Q31+S31</f>
        <v>4698.0884150000002</v>
      </c>
      <c r="V31" s="152">
        <f>+R31+T31</f>
        <v>4711.6769999999997</v>
      </c>
      <c r="W31" s="669">
        <f>+W18*W40/100</f>
        <v>884.97749999999996</v>
      </c>
      <c r="X31" s="669">
        <v>934.82650000000012</v>
      </c>
      <c r="Y31" s="698">
        <f>+O31+S31+W31</f>
        <v>2801.9555</v>
      </c>
      <c r="Z31" s="79">
        <f>+P31+T31+X31</f>
        <v>2866.6330000000003</v>
      </c>
      <c r="AA31" s="696">
        <f>+M31+Y31</f>
        <v>5583.0659150000001</v>
      </c>
      <c r="AB31" s="696">
        <f>+N31+Z31</f>
        <v>5646.5035000000007</v>
      </c>
      <c r="AC31" s="669">
        <f>+AC18*AC40/100</f>
        <v>958.48900000000003</v>
      </c>
      <c r="AD31" s="669">
        <v>950.6015000000001</v>
      </c>
      <c r="AE31" s="663">
        <f>+AA31+AC31</f>
        <v>6541.5549150000006</v>
      </c>
      <c r="AF31" s="152">
        <f>+AB31+AD31</f>
        <v>6597.1050000000005</v>
      </c>
      <c r="AG31" s="669">
        <f>+AG18*AG40/100</f>
        <v>927.57</v>
      </c>
      <c r="AH31" s="669">
        <v>933.88</v>
      </c>
      <c r="AI31" s="663">
        <f>+AE31+AG31</f>
        <v>7469.1249150000003</v>
      </c>
      <c r="AJ31" s="152">
        <f>+AF31+AH31</f>
        <v>7530.9850000000006</v>
      </c>
      <c r="AK31" s="669">
        <f>+AK18*AK40/100</f>
        <v>958.48900000000003</v>
      </c>
      <c r="AL31" s="669">
        <v>965.74549999999999</v>
      </c>
      <c r="AM31" s="698">
        <f>+AC31+AG31+AK31</f>
        <v>2844.5480000000002</v>
      </c>
      <c r="AN31" s="79">
        <f>+AD31+AH31+AL31</f>
        <v>2850.2269999999999</v>
      </c>
      <c r="AO31" s="697">
        <f>AI31+AK31</f>
        <v>8427.6139149999999</v>
      </c>
      <c r="AP31" s="697">
        <f>AJ31+AL31</f>
        <v>8496.7305000000015</v>
      </c>
      <c r="AQ31" s="669">
        <f>+AQ18*AQ40/100</f>
        <v>958.48900000000003</v>
      </c>
      <c r="AR31" s="669">
        <v>957.22699999999998</v>
      </c>
      <c r="AS31" s="663">
        <f>+AO31+AQ31</f>
        <v>9386.1029149999995</v>
      </c>
      <c r="AT31" s="152">
        <f>+AP31+AR31</f>
        <v>9453.9575000000023</v>
      </c>
      <c r="AU31" s="669">
        <f>+AU18*AU40/100</f>
        <v>865.73199999999997</v>
      </c>
      <c r="AV31" s="669">
        <v>866.04750000000001</v>
      </c>
      <c r="AW31" s="663">
        <f>+AS31+AU31</f>
        <v>10251.834914999999</v>
      </c>
      <c r="AX31" s="152">
        <f>+AT31+AV31</f>
        <v>10320.005000000003</v>
      </c>
      <c r="AY31" s="669">
        <f>+AY18*AY40/100</f>
        <v>958.48900000000003</v>
      </c>
      <c r="AZ31" s="669">
        <v>965.11450000000002</v>
      </c>
      <c r="BA31" s="698">
        <f>+AQ31+AU31+AY31</f>
        <v>2782.71</v>
      </c>
      <c r="BB31" s="79">
        <f>+AR31+AV31+AZ31</f>
        <v>2788.3890000000001</v>
      </c>
      <c r="BC31" s="696">
        <f t="shared" si="90"/>
        <v>5627.2579999999998</v>
      </c>
      <c r="BD31" s="696">
        <f t="shared" si="91"/>
        <v>5638.616</v>
      </c>
      <c r="BE31" s="663">
        <f>+AW31+AY31</f>
        <v>11210.323914999999</v>
      </c>
      <c r="BF31" s="152">
        <f>+AX31+AZ31</f>
        <v>11285.119500000003</v>
      </c>
      <c r="BG31" s="1111"/>
      <c r="BH31" s="1111"/>
      <c r="BI31" s="1111"/>
      <c r="BJ31" s="1111"/>
      <c r="BK31" s="1111"/>
      <c r="BL31" s="23"/>
      <c r="BM31" s="23"/>
      <c r="BN31" s="23"/>
    </row>
    <row r="32" spans="1:66" ht="15" thickBot="1" x14ac:dyDescent="0.35">
      <c r="A32" s="135" t="s">
        <v>445</v>
      </c>
      <c r="B32" s="1275" t="s">
        <v>143</v>
      </c>
      <c r="C32" s="1278" t="s">
        <v>50</v>
      </c>
      <c r="D32" s="1320">
        <f t="shared" ref="D32:J32" si="92">SUM(D30:D31)</f>
        <v>17311.788414999999</v>
      </c>
      <c r="E32" s="185">
        <f t="shared" si="92"/>
        <v>1419.999</v>
      </c>
      <c r="F32" s="185">
        <f t="shared" si="92"/>
        <v>1437.3515000000002</v>
      </c>
      <c r="G32" s="185">
        <f t="shared" ref="G32:H32" si="93">SUM(G30:G31)</f>
        <v>1461.757415</v>
      </c>
      <c r="H32" s="185">
        <f t="shared" si="93"/>
        <v>1433.76</v>
      </c>
      <c r="I32" s="1025">
        <f t="shared" si="92"/>
        <v>2881.7564149999998</v>
      </c>
      <c r="J32" s="1026">
        <f t="shared" si="92"/>
        <v>2871.1115</v>
      </c>
      <c r="K32" s="185">
        <f t="shared" ref="K32:L32" si="94">SUM(K30:K31)</f>
        <v>1412.6100000000001</v>
      </c>
      <c r="L32" s="185">
        <f t="shared" si="94"/>
        <v>1427.691</v>
      </c>
      <c r="M32" s="703">
        <f t="shared" ref="M32:R32" si="95">SUM(M30:M31)</f>
        <v>4294.3664150000004</v>
      </c>
      <c r="N32" s="159">
        <f t="shared" si="95"/>
        <v>4298.8024999999998</v>
      </c>
      <c r="O32" s="185">
        <f t="shared" si="95"/>
        <v>1459.6970000000001</v>
      </c>
      <c r="P32" s="185">
        <f t="shared" si="95"/>
        <v>1477.0454999999999</v>
      </c>
      <c r="Q32" s="1025">
        <f t="shared" si="95"/>
        <v>5754.0634150000005</v>
      </c>
      <c r="R32" s="1026">
        <f t="shared" si="95"/>
        <v>5775.848</v>
      </c>
      <c r="S32" s="185">
        <f t="shared" ref="S32:T32" si="96">SUM(S30:S31)</f>
        <v>1459.6970000000001</v>
      </c>
      <c r="T32" s="185">
        <f t="shared" si="96"/>
        <v>1486.0729999999999</v>
      </c>
      <c r="U32" s="1025">
        <f t="shared" ref="U32:X32" si="97">SUM(U30:U31)</f>
        <v>7213.7604150000006</v>
      </c>
      <c r="V32" s="1026">
        <f t="shared" si="97"/>
        <v>7261.9210000000003</v>
      </c>
      <c r="W32" s="185">
        <f t="shared" si="97"/>
        <v>1360.2134999999998</v>
      </c>
      <c r="X32" s="185">
        <f t="shared" si="97"/>
        <v>1440.5065000000002</v>
      </c>
      <c r="Y32" s="703">
        <f t="shared" ref="Y32:Z32" si="98">SUM(Y30:Y31)</f>
        <v>4279.6075000000001</v>
      </c>
      <c r="Z32" s="159">
        <f t="shared" si="98"/>
        <v>4403.625</v>
      </c>
      <c r="AA32" s="2147">
        <f t="shared" ref="AA32:AF32" si="99">SUM(AA30:AA31)</f>
        <v>8573.9739150000005</v>
      </c>
      <c r="AB32" s="437">
        <f t="shared" si="99"/>
        <v>8702.4275000000016</v>
      </c>
      <c r="AC32" s="185">
        <f t="shared" si="99"/>
        <v>1459.6970000000001</v>
      </c>
      <c r="AD32" s="185">
        <f t="shared" si="99"/>
        <v>1465.3975</v>
      </c>
      <c r="AE32" s="1025">
        <f t="shared" si="99"/>
        <v>10033.670915000001</v>
      </c>
      <c r="AF32" s="1026">
        <f t="shared" si="99"/>
        <v>10167.825000000001</v>
      </c>
      <c r="AG32" s="185">
        <f t="shared" ref="AG32:AH32" si="100">SUM(AG30:AG31)</f>
        <v>1412.6100000000001</v>
      </c>
      <c r="AH32" s="185">
        <f t="shared" si="100"/>
        <v>1420.124</v>
      </c>
      <c r="AI32" s="1025">
        <f t="shared" ref="AI32:AN32" si="101">SUM(AI30:AI31)</f>
        <v>11446.280914999999</v>
      </c>
      <c r="AJ32" s="1026">
        <f t="shared" si="101"/>
        <v>11587.949000000001</v>
      </c>
      <c r="AK32" s="185">
        <f t="shared" si="101"/>
        <v>1459.6970000000001</v>
      </c>
      <c r="AL32" s="185">
        <f t="shared" si="101"/>
        <v>1467.4695000000002</v>
      </c>
      <c r="AM32" s="703">
        <f t="shared" si="101"/>
        <v>4332.0040000000008</v>
      </c>
      <c r="AN32" s="159">
        <f t="shared" si="101"/>
        <v>4352.991</v>
      </c>
      <c r="AO32" s="1025">
        <f t="shared" ref="AO32:AT32" si="102">SUM(AO30:AO31)</f>
        <v>12905.977914999999</v>
      </c>
      <c r="AP32" s="1026">
        <f t="shared" si="102"/>
        <v>13055.418500000002</v>
      </c>
      <c r="AQ32" s="185">
        <f t="shared" si="102"/>
        <v>1459.6970000000001</v>
      </c>
      <c r="AR32" s="185">
        <f t="shared" si="102"/>
        <v>1462.9069999999999</v>
      </c>
      <c r="AS32" s="1025">
        <f t="shared" si="102"/>
        <v>14365.674915</v>
      </c>
      <c r="AT32" s="1026">
        <f t="shared" si="102"/>
        <v>14518.325500000003</v>
      </c>
      <c r="AU32" s="185">
        <f t="shared" ref="AU32:AV32" si="103">SUM(AU30:AU31)</f>
        <v>1318.4359999999999</v>
      </c>
      <c r="AV32" s="185">
        <f t="shared" si="103"/>
        <v>1320.8154999999999</v>
      </c>
      <c r="AW32" s="1025">
        <f t="shared" ref="AW32:AZ32" si="104">SUM(AW30:AW31)</f>
        <v>15684.110914999997</v>
      </c>
      <c r="AX32" s="1026">
        <f t="shared" si="104"/>
        <v>15839.141000000003</v>
      </c>
      <c r="AY32" s="185">
        <f t="shared" si="104"/>
        <v>1459.6970000000001</v>
      </c>
      <c r="AZ32" s="185">
        <f t="shared" si="104"/>
        <v>1487.6505</v>
      </c>
      <c r="BA32" s="703">
        <f t="shared" ref="BA32:BF32" si="105">SUM(BA30:BA31)</f>
        <v>4237.83</v>
      </c>
      <c r="BB32" s="159">
        <f t="shared" si="105"/>
        <v>4271.3729999999996</v>
      </c>
      <c r="BC32" s="2147">
        <f t="shared" si="105"/>
        <v>8569.8339999999989</v>
      </c>
      <c r="BD32" s="437">
        <f t="shared" si="105"/>
        <v>8624.3639999999996</v>
      </c>
      <c r="BE32" s="1025">
        <f t="shared" si="105"/>
        <v>17143.807914999998</v>
      </c>
      <c r="BF32" s="1026">
        <f t="shared" si="105"/>
        <v>17326.791500000003</v>
      </c>
      <c r="BG32" s="1111"/>
      <c r="BH32" s="1111"/>
      <c r="BI32" s="1111"/>
      <c r="BJ32" s="1111"/>
      <c r="BK32" s="1111"/>
      <c r="BL32" s="23"/>
      <c r="BM32" s="23"/>
      <c r="BN32" s="23"/>
    </row>
    <row r="33" spans="1:66" ht="15" thickBot="1" x14ac:dyDescent="0.35">
      <c r="A33" s="167" t="s">
        <v>445</v>
      </c>
      <c r="B33" s="1598" t="s">
        <v>157</v>
      </c>
      <c r="C33" s="1277" t="s">
        <v>50</v>
      </c>
      <c r="D33" s="1321">
        <f t="shared" ref="D33:F34" si="106">+D21+D24+D27+D30</f>
        <v>457444.83600000001</v>
      </c>
      <c r="E33" s="1022">
        <f t="shared" si="106"/>
        <v>38178.839999999997</v>
      </c>
      <c r="F33" s="1022">
        <f t="shared" si="106"/>
        <v>37673.159999999996</v>
      </c>
      <c r="G33" s="1022">
        <f t="shared" ref="G33:H33" si="107">+G21+G24+G27+G30</f>
        <v>39451.467999999993</v>
      </c>
      <c r="H33" s="1022">
        <f t="shared" si="107"/>
        <v>38557.326000000001</v>
      </c>
      <c r="I33" s="697">
        <f>+E33+G33</f>
        <v>77630.30799999999</v>
      </c>
      <c r="J33" s="58">
        <f>+F33+H33</f>
        <v>76230.486000000004</v>
      </c>
      <c r="K33" s="1022">
        <f t="shared" ref="K33:L33" si="108">+K21+K24+K27+K30</f>
        <v>36863.040000000001</v>
      </c>
      <c r="L33" s="1022">
        <f t="shared" si="108"/>
        <v>37425.651999999995</v>
      </c>
      <c r="M33" s="658">
        <f>+E33+G33+K33</f>
        <v>114493.348</v>
      </c>
      <c r="N33" s="69">
        <f>+F33+H33+L33</f>
        <v>113656.13800000001</v>
      </c>
      <c r="O33" s="1022">
        <f t="shared" ref="O33:P33" si="109">+O21+O24+O27+O30</f>
        <v>38091.807999999997</v>
      </c>
      <c r="P33" s="1022">
        <f t="shared" si="109"/>
        <v>38412.587999999996</v>
      </c>
      <c r="Q33" s="697">
        <f>+M33+O33</f>
        <v>152585.15599999999</v>
      </c>
      <c r="R33" s="58">
        <f>+N33+P33</f>
        <v>152068.726</v>
      </c>
      <c r="S33" s="1022">
        <f t="shared" ref="S33:T33" si="110">+S21+S24+S27+S30</f>
        <v>38091.807999999997</v>
      </c>
      <c r="T33" s="1022">
        <f t="shared" si="110"/>
        <v>39451.467999999993</v>
      </c>
      <c r="U33" s="697">
        <f>+Q33+S33</f>
        <v>190676.96399999998</v>
      </c>
      <c r="V33" s="58">
        <f>+R33+T33</f>
        <v>191520.19399999999</v>
      </c>
      <c r="W33" s="1022">
        <f t="shared" ref="W33:X33" si="111">+W21+W24+W27+W30</f>
        <v>36117.935999999994</v>
      </c>
      <c r="X33" s="1022">
        <f t="shared" si="111"/>
        <v>38178.839999999997</v>
      </c>
      <c r="Y33" s="698">
        <f>+O33+S33+W33</f>
        <v>112301.552</v>
      </c>
      <c r="Z33" s="79">
        <f>+P33+T33+X33</f>
        <v>116042.89599999998</v>
      </c>
      <c r="AA33" s="696">
        <f>+M33+Y33</f>
        <v>226794.9</v>
      </c>
      <c r="AB33" s="696">
        <f>+N33+Z33</f>
        <v>229699.03399999999</v>
      </c>
      <c r="AC33" s="1022">
        <f t="shared" ref="AC33:AD33" si="112">+AC21+AC24+AC27+AC30</f>
        <v>38091.807999999997</v>
      </c>
      <c r="AD33" s="1022">
        <f t="shared" si="112"/>
        <v>38867.098000000013</v>
      </c>
      <c r="AE33" s="697">
        <f>+AA33+AC33</f>
        <v>264886.70799999998</v>
      </c>
      <c r="AF33" s="58">
        <f>+AB33+AD33</f>
        <v>268566.13199999998</v>
      </c>
      <c r="AG33" s="1022">
        <f t="shared" ref="AG33:AH33" si="113">+AG21+AG24+AG27+AG30</f>
        <v>36863.040000000001</v>
      </c>
      <c r="AH33" s="1022">
        <f t="shared" si="113"/>
        <v>36225.177999999993</v>
      </c>
      <c r="AI33" s="697">
        <f>+AE33+AG33</f>
        <v>301749.74799999996</v>
      </c>
      <c r="AJ33" s="58">
        <f>+AF33+AH33</f>
        <v>304791.31</v>
      </c>
      <c r="AK33" s="1022">
        <f t="shared" ref="AK33:AL33" si="114">+AK21+AK24+AK27+AK30</f>
        <v>38091.807999999997</v>
      </c>
      <c r="AL33" s="1022">
        <f t="shared" si="114"/>
        <v>37378.438000000002</v>
      </c>
      <c r="AM33" s="698">
        <f>+AC33+AG33+AK33</f>
        <v>113046.65599999999</v>
      </c>
      <c r="AN33" s="79">
        <f>+AD33+AH33+AL33</f>
        <v>112470.71400000001</v>
      </c>
      <c r="AO33" s="697">
        <f>AI33+AK33</f>
        <v>339841.55599999998</v>
      </c>
      <c r="AP33" s="697">
        <f>AJ33+AL33</f>
        <v>342169.74800000002</v>
      </c>
      <c r="AQ33" s="1022">
        <f t="shared" ref="AQ33:AR33" si="115">+AQ21+AQ24+AQ27+AQ30</f>
        <v>38091.807999999997</v>
      </c>
      <c r="AR33" s="1022">
        <f t="shared" si="115"/>
        <v>37673.159999999996</v>
      </c>
      <c r="AS33" s="697">
        <f>+AO33+AQ33</f>
        <v>377933.364</v>
      </c>
      <c r="AT33" s="58">
        <f>+AP33+AR33</f>
        <v>379842.908</v>
      </c>
      <c r="AU33" s="1022">
        <f t="shared" ref="AU33:AV33" si="116">+AU21+AU24+AU27+AU30</f>
        <v>34405.504000000001</v>
      </c>
      <c r="AV33" s="1022">
        <f t="shared" si="116"/>
        <v>33880.215999999986</v>
      </c>
      <c r="AW33" s="697">
        <f>+AS33+AU33</f>
        <v>412338.86800000002</v>
      </c>
      <c r="AX33" s="58">
        <f>+AT33+AV33</f>
        <v>413723.12399999995</v>
      </c>
      <c r="AY33" s="1022">
        <f t="shared" ref="AY33:AZ33" si="117">+AY21+AY24+AY27+AY30</f>
        <v>38091.807999999997</v>
      </c>
      <c r="AZ33" s="1022">
        <f t="shared" si="117"/>
        <v>38928.931999999993</v>
      </c>
      <c r="BA33" s="698">
        <f>+AQ33+AU33+AY33</f>
        <v>110589.12</v>
      </c>
      <c r="BB33" s="79">
        <f>+AR33+AV33+AZ33</f>
        <v>110482.30799999999</v>
      </c>
      <c r="BC33" s="696">
        <f t="shared" ref="BC33:BC34" si="118">+AM33+BA33</f>
        <v>223635.77599999998</v>
      </c>
      <c r="BD33" s="696">
        <f t="shared" ref="BD33:BD34" si="119">+AN33+BB33</f>
        <v>222953.022</v>
      </c>
      <c r="BE33" s="697">
        <f>+AW33+AY33</f>
        <v>450430.67600000004</v>
      </c>
      <c r="BF33" s="58">
        <f>+AX33+AZ33</f>
        <v>452652.05599999992</v>
      </c>
      <c r="BG33" s="1111"/>
      <c r="BH33" s="1111"/>
      <c r="BI33" s="1111"/>
      <c r="BJ33" s="1111"/>
      <c r="BK33" s="1111"/>
      <c r="BL33" s="23"/>
      <c r="BM33" s="23"/>
      <c r="BN33" s="23"/>
    </row>
    <row r="34" spans="1:66" ht="15" thickBot="1" x14ac:dyDescent="0.35">
      <c r="A34" s="167" t="s">
        <v>445</v>
      </c>
      <c r="B34" s="1599" t="s">
        <v>158</v>
      </c>
      <c r="C34" s="1277" t="s">
        <v>50</v>
      </c>
      <c r="D34" s="1201">
        <f t="shared" si="106"/>
        <v>849595.1893325001</v>
      </c>
      <c r="E34" s="1019">
        <f t="shared" si="106"/>
        <v>69031.084499999997</v>
      </c>
      <c r="F34" s="1019">
        <f t="shared" si="106"/>
        <v>69409.526750000005</v>
      </c>
      <c r="G34" s="1019">
        <f t="shared" ref="G34:H34" si="120">+G22+G25+G28+G31</f>
        <v>70911.216832500009</v>
      </c>
      <c r="H34" s="1019">
        <f t="shared" si="120"/>
        <v>68257.793999999994</v>
      </c>
      <c r="I34" s="702">
        <f>+E34+G34</f>
        <v>139942.30133250001</v>
      </c>
      <c r="J34" s="152">
        <f>+F34+H34</f>
        <v>137667.32075000001</v>
      </c>
      <c r="K34" s="1019">
        <f t="shared" ref="K34:L34" si="121">+K22+K25+K28+K31</f>
        <v>70495.320000000007</v>
      </c>
      <c r="L34" s="1019">
        <f t="shared" si="121"/>
        <v>70365.018499999991</v>
      </c>
      <c r="M34" s="1020">
        <f>+E34+G34+K34</f>
        <v>210437.62133250001</v>
      </c>
      <c r="N34" s="79">
        <f>+F34+H34+L34</f>
        <v>208032.33925000002</v>
      </c>
      <c r="O34" s="1019">
        <f t="shared" ref="O34:P34" si="122">+O22+O25+O28+O31</f>
        <v>72845.164000000019</v>
      </c>
      <c r="P34" s="1019">
        <f t="shared" si="122"/>
        <v>73104.347249999992</v>
      </c>
      <c r="Q34" s="702">
        <f>+M34+O34</f>
        <v>283282.7853325</v>
      </c>
      <c r="R34" s="152">
        <f>+N34+P34</f>
        <v>281136.68650000001</v>
      </c>
      <c r="S34" s="1019">
        <f t="shared" ref="S34:T34" si="123">+S22+S25+S28+S31</f>
        <v>72845.164000000019</v>
      </c>
      <c r="T34" s="1019">
        <f t="shared" si="123"/>
        <v>72747.0435</v>
      </c>
      <c r="U34" s="702">
        <f>+Q34+S34</f>
        <v>356127.94933249999</v>
      </c>
      <c r="V34" s="152">
        <f>+R34+T34</f>
        <v>353883.73</v>
      </c>
      <c r="W34" s="1019">
        <f t="shared" ref="W34:X34" si="124">+W22+W25+W28+W31</f>
        <v>67258.289999999994</v>
      </c>
      <c r="X34" s="1019">
        <f t="shared" si="124"/>
        <v>70579.400750000001</v>
      </c>
      <c r="Y34" s="698">
        <f>+O34+S34+W34</f>
        <v>212948.61800000002</v>
      </c>
      <c r="Z34" s="79">
        <f>+P34+T34+X34</f>
        <v>216430.79149999999</v>
      </c>
      <c r="AA34" s="696">
        <f>+M34+Y34</f>
        <v>423386.23933250003</v>
      </c>
      <c r="AB34" s="696">
        <f>+N34+Z34</f>
        <v>424463.13075000001</v>
      </c>
      <c r="AC34" s="1019">
        <f t="shared" ref="AC34:AD34" si="125">+AC22+AC25+AC28+AC31</f>
        <v>72845.164000000019</v>
      </c>
      <c r="AD34" s="1019">
        <f t="shared" si="125"/>
        <v>71770.413250000012</v>
      </c>
      <c r="AE34" s="702">
        <f>+AA34+AC34</f>
        <v>496231.40333250002</v>
      </c>
      <c r="AF34" s="152">
        <f>+AB34+AD34</f>
        <v>496233.54399999999</v>
      </c>
      <c r="AG34" s="1019">
        <f t="shared" ref="AG34:AH34" si="126">+AG22+AG25+AG28+AG31</f>
        <v>70495.320000000007</v>
      </c>
      <c r="AH34" s="1019">
        <f t="shared" si="126"/>
        <v>69574.06</v>
      </c>
      <c r="AI34" s="702">
        <f>+AE34+AG34</f>
        <v>566726.72333250009</v>
      </c>
      <c r="AJ34" s="152">
        <f>+AF34+AH34</f>
        <v>565807.60400000005</v>
      </c>
      <c r="AK34" s="1019">
        <f t="shared" ref="AK34:AL34" si="127">+AK22+AK25+AK28+AK31</f>
        <v>72845.164000000019</v>
      </c>
      <c r="AL34" s="1019">
        <f t="shared" si="127"/>
        <v>71948.039750000011</v>
      </c>
      <c r="AM34" s="698">
        <f>+AC34+AG34+AK34</f>
        <v>216185.64800000004</v>
      </c>
      <c r="AN34" s="79">
        <f>+AD34+AH34+AL34</f>
        <v>213292.51300000004</v>
      </c>
      <c r="AO34" s="697">
        <f>AI34+AK34</f>
        <v>639571.88733250007</v>
      </c>
      <c r="AP34" s="697">
        <f>AJ34+AL34</f>
        <v>637755.64375000005</v>
      </c>
      <c r="AQ34" s="1019">
        <f t="shared" ref="AQ34:AR34" si="128">+AQ22+AQ25+AQ28+AQ31</f>
        <v>72845.164000000019</v>
      </c>
      <c r="AR34" s="1019">
        <f t="shared" si="128"/>
        <v>71313.411499999987</v>
      </c>
      <c r="AS34" s="702">
        <f>+AO34+AQ34</f>
        <v>712417.05133250006</v>
      </c>
      <c r="AT34" s="152">
        <f>+AP34+AR34</f>
        <v>709069.05524999998</v>
      </c>
      <c r="AU34" s="1019">
        <f t="shared" ref="AU34:AV34" si="129">+AU22+AU25+AU28+AU31</f>
        <v>65795.631999999998</v>
      </c>
      <c r="AV34" s="1019">
        <f t="shared" si="129"/>
        <v>64520.53875</v>
      </c>
      <c r="AW34" s="702">
        <f>+AS34+AU34</f>
        <v>778212.68333250005</v>
      </c>
      <c r="AX34" s="152">
        <f>+AT34+AV34</f>
        <v>773589.59399999992</v>
      </c>
      <c r="AY34" s="1019">
        <f t="shared" ref="AY34:AZ34" si="130">+AY22+AY25+AY28+AY31</f>
        <v>72845.164000000019</v>
      </c>
      <c r="AZ34" s="1019">
        <f t="shared" si="130"/>
        <v>71901.030249999982</v>
      </c>
      <c r="BA34" s="698">
        <f>+AQ34+AU34+AY34</f>
        <v>211485.96000000005</v>
      </c>
      <c r="BB34" s="79">
        <f>+AR34+AV34+AZ34</f>
        <v>207734.98049999998</v>
      </c>
      <c r="BC34" s="696">
        <f t="shared" si="118"/>
        <v>427671.60800000012</v>
      </c>
      <c r="BD34" s="696">
        <f t="shared" si="119"/>
        <v>421027.49349999998</v>
      </c>
      <c r="BE34" s="702">
        <f>+AW34+AY34</f>
        <v>851057.84733250004</v>
      </c>
      <c r="BF34" s="152">
        <f>+AX34+AZ34</f>
        <v>845490.62424999988</v>
      </c>
      <c r="BG34" s="1111"/>
      <c r="BH34" s="1111"/>
      <c r="BI34" s="1111"/>
      <c r="BJ34" s="1111"/>
      <c r="BK34" s="1111"/>
      <c r="BL34" s="23"/>
      <c r="BM34" s="23"/>
      <c r="BN34" s="23"/>
    </row>
    <row r="35" spans="1:66" ht="15" thickBot="1" x14ac:dyDescent="0.35">
      <c r="A35" s="167" t="s">
        <v>445</v>
      </c>
      <c r="B35" s="1275" t="s">
        <v>144</v>
      </c>
      <c r="C35" s="1604" t="s">
        <v>50</v>
      </c>
      <c r="D35" s="1320">
        <f t="shared" ref="D35:J35" si="131">SUM(D33:D34)</f>
        <v>1307040.0253325002</v>
      </c>
      <c r="E35" s="185">
        <f t="shared" si="131"/>
        <v>107209.92449999999</v>
      </c>
      <c r="F35" s="185">
        <f t="shared" si="131"/>
        <v>107082.68674999999</v>
      </c>
      <c r="G35" s="185">
        <f t="shared" ref="G35:H35" si="132">SUM(G33:G34)</f>
        <v>110362.6848325</v>
      </c>
      <c r="H35" s="185">
        <f t="shared" si="132"/>
        <v>106815.12</v>
      </c>
      <c r="I35" s="683">
        <f t="shared" si="131"/>
        <v>217572.6093325</v>
      </c>
      <c r="J35" s="1026">
        <f t="shared" si="131"/>
        <v>213897.80675000002</v>
      </c>
      <c r="K35" s="185">
        <f t="shared" ref="K35:L35" si="133">SUM(K33:K34)</f>
        <v>107358.36000000002</v>
      </c>
      <c r="L35" s="185">
        <f t="shared" si="133"/>
        <v>107790.67049999998</v>
      </c>
      <c r="M35" s="703">
        <f t="shared" ref="M35:R35" si="134">SUM(M33:M34)</f>
        <v>324930.96933250001</v>
      </c>
      <c r="N35" s="159">
        <f t="shared" si="134"/>
        <v>321688.47725</v>
      </c>
      <c r="O35" s="185">
        <f t="shared" si="134"/>
        <v>110936.97200000001</v>
      </c>
      <c r="P35" s="185">
        <f t="shared" si="134"/>
        <v>111516.93524999998</v>
      </c>
      <c r="Q35" s="683">
        <f t="shared" si="134"/>
        <v>435867.94133249996</v>
      </c>
      <c r="R35" s="1026">
        <f t="shared" si="134"/>
        <v>433205.41249999998</v>
      </c>
      <c r="S35" s="185">
        <f t="shared" ref="S35:T35" si="135">SUM(S33:S34)</f>
        <v>110936.97200000001</v>
      </c>
      <c r="T35" s="185">
        <f t="shared" si="135"/>
        <v>112198.51149999999</v>
      </c>
      <c r="U35" s="683">
        <f t="shared" ref="U35:X35" si="136">SUM(U33:U34)</f>
        <v>546804.91333250003</v>
      </c>
      <c r="V35" s="1026">
        <f t="shared" si="136"/>
        <v>545403.924</v>
      </c>
      <c r="W35" s="185">
        <f t="shared" si="136"/>
        <v>103376.226</v>
      </c>
      <c r="X35" s="185">
        <f t="shared" si="136"/>
        <v>108758.24075</v>
      </c>
      <c r="Y35" s="686">
        <f t="shared" ref="Y35:Z35" si="137">SUM(Y33:Y34)</f>
        <v>325250.17000000004</v>
      </c>
      <c r="Z35" s="159">
        <f t="shared" si="137"/>
        <v>332473.6875</v>
      </c>
      <c r="AA35" s="2145">
        <f t="shared" ref="AA35:AF35" si="138">SUM(AA33:AA34)</f>
        <v>650181.13933250005</v>
      </c>
      <c r="AB35" s="437">
        <f t="shared" si="138"/>
        <v>654162.16475</v>
      </c>
      <c r="AC35" s="185">
        <f t="shared" si="138"/>
        <v>110936.97200000001</v>
      </c>
      <c r="AD35" s="185">
        <f t="shared" si="138"/>
        <v>110637.51125000003</v>
      </c>
      <c r="AE35" s="683">
        <f t="shared" si="138"/>
        <v>761118.1113325</v>
      </c>
      <c r="AF35" s="1026">
        <f t="shared" si="138"/>
        <v>764799.67599999998</v>
      </c>
      <c r="AG35" s="185">
        <f t="shared" ref="AG35:AH35" si="139">SUM(AG33:AG34)</f>
        <v>107358.36000000002</v>
      </c>
      <c r="AH35" s="185">
        <f t="shared" si="139"/>
        <v>105799.23799999998</v>
      </c>
      <c r="AI35" s="683">
        <f t="shared" ref="AI35:AN35" si="140">SUM(AI33:AI34)</f>
        <v>868476.47133249999</v>
      </c>
      <c r="AJ35" s="1026">
        <f t="shared" si="140"/>
        <v>870598.91400000011</v>
      </c>
      <c r="AK35" s="185">
        <f t="shared" si="140"/>
        <v>110936.97200000001</v>
      </c>
      <c r="AL35" s="185">
        <f t="shared" si="140"/>
        <v>109326.47775000002</v>
      </c>
      <c r="AM35" s="686">
        <f t="shared" si="140"/>
        <v>329232.304</v>
      </c>
      <c r="AN35" s="159">
        <f t="shared" si="140"/>
        <v>325763.22700000007</v>
      </c>
      <c r="AO35" s="683">
        <f t="shared" ref="AO35:AT35" si="141">SUM(AO33:AO34)</f>
        <v>979413.44333250006</v>
      </c>
      <c r="AP35" s="1026">
        <f t="shared" si="141"/>
        <v>979925.39175000007</v>
      </c>
      <c r="AQ35" s="185">
        <f t="shared" si="141"/>
        <v>110936.97200000001</v>
      </c>
      <c r="AR35" s="185">
        <f t="shared" si="141"/>
        <v>108986.57149999999</v>
      </c>
      <c r="AS35" s="683">
        <f t="shared" si="141"/>
        <v>1090350.4153325001</v>
      </c>
      <c r="AT35" s="1026">
        <f t="shared" si="141"/>
        <v>1088911.96325</v>
      </c>
      <c r="AU35" s="185">
        <f t="shared" ref="AU35:AV35" si="142">SUM(AU33:AU34)</f>
        <v>100201.136</v>
      </c>
      <c r="AV35" s="185">
        <f t="shared" si="142"/>
        <v>98400.754749999993</v>
      </c>
      <c r="AW35" s="683">
        <f t="shared" ref="AW35:AZ35" si="143">SUM(AW33:AW34)</f>
        <v>1190551.5513325001</v>
      </c>
      <c r="AX35" s="1026">
        <f t="shared" si="143"/>
        <v>1187312.7179999999</v>
      </c>
      <c r="AY35" s="185">
        <f t="shared" si="143"/>
        <v>110936.97200000001</v>
      </c>
      <c r="AZ35" s="185">
        <f t="shared" si="143"/>
        <v>110829.96224999998</v>
      </c>
      <c r="BA35" s="686">
        <f t="shared" ref="BA35:BF35" si="144">SUM(BA33:BA34)</f>
        <v>322075.08000000007</v>
      </c>
      <c r="BB35" s="159">
        <f t="shared" si="144"/>
        <v>318217.28849999997</v>
      </c>
      <c r="BC35" s="2145">
        <f t="shared" si="144"/>
        <v>651307.38400000008</v>
      </c>
      <c r="BD35" s="437">
        <f t="shared" si="144"/>
        <v>643980.51549999998</v>
      </c>
      <c r="BE35" s="683">
        <f t="shared" si="144"/>
        <v>1301488.5233325001</v>
      </c>
      <c r="BF35" s="1026">
        <f t="shared" si="144"/>
        <v>1298142.6802499997</v>
      </c>
      <c r="BG35" s="1111"/>
      <c r="BH35" s="1111"/>
      <c r="BI35" s="1111"/>
      <c r="BJ35" s="1111"/>
      <c r="BK35" s="1111"/>
      <c r="BL35" s="23"/>
      <c r="BM35" s="23"/>
      <c r="BN35" s="23"/>
    </row>
    <row r="36" spans="1:66" ht="16.2" thickBot="1" x14ac:dyDescent="0.35">
      <c r="A36" s="136" t="s">
        <v>445</v>
      </c>
      <c r="B36" s="1298" t="s">
        <v>406</v>
      </c>
      <c r="C36" s="1612"/>
      <c r="D36" s="1299"/>
      <c r="E36" s="1614"/>
      <c r="F36" s="1615"/>
      <c r="G36" s="1614"/>
      <c r="H36" s="1615"/>
      <c r="I36" s="1299"/>
      <c r="J36" s="1299"/>
      <c r="K36" s="1614"/>
      <c r="L36" s="1615"/>
      <c r="M36" s="1614"/>
      <c r="N36" s="1615"/>
      <c r="O36" s="1614"/>
      <c r="P36" s="1615"/>
      <c r="Q36" s="1299"/>
      <c r="R36" s="1299"/>
      <c r="S36" s="1614"/>
      <c r="T36" s="1615"/>
      <c r="U36" s="1299"/>
      <c r="V36" s="1299"/>
      <c r="W36" s="1614"/>
      <c r="X36" s="1615"/>
      <c r="Y36" s="454"/>
      <c r="Z36" s="454"/>
      <c r="AA36" s="2146"/>
      <c r="AB36" s="454"/>
      <c r="AC36" s="1614"/>
      <c r="AD36" s="1615"/>
      <c r="AE36" s="1299"/>
      <c r="AF36" s="1299"/>
      <c r="AG36" s="1614"/>
      <c r="AH36" s="1615"/>
      <c r="AI36" s="1299"/>
      <c r="AJ36" s="1299"/>
      <c r="AK36" s="1614"/>
      <c r="AL36" s="1615"/>
      <c r="AM36" s="454"/>
      <c r="AN36" s="454"/>
      <c r="AO36" s="1299"/>
      <c r="AP36" s="1299"/>
      <c r="AQ36" s="1614"/>
      <c r="AR36" s="1615"/>
      <c r="AS36" s="1299"/>
      <c r="AT36" s="1299"/>
      <c r="AU36" s="1614"/>
      <c r="AV36" s="1615"/>
      <c r="AW36" s="1299"/>
      <c r="AX36" s="1299"/>
      <c r="AY36" s="1614"/>
      <c r="AZ36" s="1615"/>
      <c r="BA36" s="454"/>
      <c r="BB36" s="454"/>
      <c r="BC36" s="2146"/>
      <c r="BD36" s="454"/>
      <c r="BE36" s="1299"/>
      <c r="BF36" s="1299"/>
      <c r="BG36" s="1111"/>
      <c r="BH36" s="1111"/>
      <c r="BI36" s="1111"/>
      <c r="BJ36" s="1111"/>
      <c r="BK36" s="1111"/>
      <c r="BL36" s="23"/>
      <c r="BM36" s="23"/>
      <c r="BN36" s="23"/>
    </row>
    <row r="37" spans="1:66" x14ac:dyDescent="0.3">
      <c r="A37" s="135" t="s">
        <v>445</v>
      </c>
      <c r="B37" s="1609" t="s">
        <v>25</v>
      </c>
      <c r="C37" s="750" t="s">
        <v>49</v>
      </c>
      <c r="D37" s="1331">
        <v>69.500000000000014</v>
      </c>
      <c r="E37" s="1331">
        <v>69.5</v>
      </c>
      <c r="F37" s="1331">
        <f>+F23/F19*100</f>
        <v>69.5</v>
      </c>
      <c r="G37" s="1331">
        <v>69.5</v>
      </c>
      <c r="H37" s="1331">
        <f>+H23/H19*100</f>
        <v>69.5</v>
      </c>
      <c r="I37" s="1332">
        <f>+$D$37</f>
        <v>69.500000000000014</v>
      </c>
      <c r="J37" s="153">
        <f>+J23/J19*100</f>
        <v>69.5</v>
      </c>
      <c r="K37" s="1331">
        <v>70</v>
      </c>
      <c r="L37" s="1331">
        <f>+L23/L19*100</f>
        <v>70</v>
      </c>
      <c r="M37" s="1409">
        <f>+$D$37</f>
        <v>69.500000000000014</v>
      </c>
      <c r="N37" s="1409">
        <f>+N23/N19*100</f>
        <v>69.666056826290585</v>
      </c>
      <c r="O37" s="1331">
        <v>70</v>
      </c>
      <c r="P37" s="1331">
        <f>+P23/P19*100</f>
        <v>70</v>
      </c>
      <c r="Q37" s="1332">
        <f>+$D$37</f>
        <v>69.500000000000014</v>
      </c>
      <c r="R37" s="1332">
        <f>+R23/R19*100</f>
        <v>69.751455413992886</v>
      </c>
      <c r="S37" s="1331">
        <v>70</v>
      </c>
      <c r="T37" s="1331">
        <f>+T23/T19*100</f>
        <v>70</v>
      </c>
      <c r="U37" s="1332">
        <f>+$D$37</f>
        <v>69.500000000000014</v>
      </c>
      <c r="V37" s="1332">
        <f>+V23/V19*100</f>
        <v>69.802317355146101</v>
      </c>
      <c r="W37" s="1331">
        <v>70</v>
      </c>
      <c r="X37" s="1331">
        <f>+X23/X19*100</f>
        <v>69.67094907242695</v>
      </c>
      <c r="Y37" s="1437">
        <f>+$D$37</f>
        <v>69.500000000000014</v>
      </c>
      <c r="Z37" s="161">
        <f>+Z23/Z19*100</f>
        <v>69.89236140679553</v>
      </c>
      <c r="AA37" s="1474">
        <f>+$D$37</f>
        <v>69.500000000000014</v>
      </c>
      <c r="AB37" s="442">
        <f>+AB23/AB19*100</f>
        <v>69.780572058773245</v>
      </c>
      <c r="AC37" s="1331">
        <v>70</v>
      </c>
      <c r="AD37" s="1331">
        <f>+AD23/AD19*100</f>
        <v>69.700000000000017</v>
      </c>
      <c r="AE37" s="705">
        <f>+$D$37</f>
        <v>69.500000000000014</v>
      </c>
      <c r="AF37" s="153">
        <f>+AF23/AF19*100</f>
        <v>69.768959929975182</v>
      </c>
      <c r="AG37" s="1331">
        <v>70</v>
      </c>
      <c r="AH37" s="1331">
        <f>+AH23/AH19*100</f>
        <v>69.5</v>
      </c>
      <c r="AI37" s="705">
        <f>+$D$37</f>
        <v>69.500000000000014</v>
      </c>
      <c r="AJ37" s="153">
        <f>+AJ23/AJ19*100</f>
        <v>69.735998406620524</v>
      </c>
      <c r="AK37" s="1331">
        <v>70</v>
      </c>
      <c r="AL37" s="1331">
        <f>+AL23/AL19*100</f>
        <v>69.5</v>
      </c>
      <c r="AM37" s="1437">
        <f>+$D$37</f>
        <v>69.500000000000014</v>
      </c>
      <c r="AN37" s="161">
        <f>+AN23/AN19*100</f>
        <v>69.567328303688214</v>
      </c>
      <c r="AO37" s="705">
        <f>+$D$37</f>
        <v>69.500000000000014</v>
      </c>
      <c r="AP37" s="4813">
        <f>+AP23/AP19*100</f>
        <v>69.709471454323733</v>
      </c>
      <c r="AQ37" s="1331">
        <v>70</v>
      </c>
      <c r="AR37" s="1331">
        <f>+AR23/AR19*100</f>
        <v>69.499999999999986</v>
      </c>
      <c r="AS37" s="705">
        <f>+$D$37</f>
        <v>69.500000000000014</v>
      </c>
      <c r="AT37" s="4813">
        <f>+AT23/AT19*100</f>
        <v>69.688364525922765</v>
      </c>
      <c r="AU37" s="1331">
        <v>70</v>
      </c>
      <c r="AV37" s="1331">
        <f>+AV23/AV19*100</f>
        <v>69.5</v>
      </c>
      <c r="AW37" s="705">
        <f>+$D$37</f>
        <v>69.500000000000014</v>
      </c>
      <c r="AX37" s="153">
        <f>+AX23/AX19*100</f>
        <v>69.672656932595004</v>
      </c>
      <c r="AY37" s="1331">
        <v>70</v>
      </c>
      <c r="AZ37" s="1331">
        <f>+AZ23/AZ19*100</f>
        <v>69.5</v>
      </c>
      <c r="BA37" s="1437">
        <f>+$D$37</f>
        <v>69.500000000000014</v>
      </c>
      <c r="BB37" s="161">
        <f>+BB23/BB19*100</f>
        <v>69.499999999999986</v>
      </c>
      <c r="BC37" s="1474">
        <f>+$D$37</f>
        <v>69.500000000000014</v>
      </c>
      <c r="BD37" s="442">
        <f>+BD23/BD19*100</f>
        <v>69.533982737741567</v>
      </c>
      <c r="BE37" s="705">
        <f>+$D$37</f>
        <v>69.500000000000014</v>
      </c>
      <c r="BF37" s="153">
        <f>+BF23/BF19*100</f>
        <v>69.657832885563352</v>
      </c>
      <c r="BG37" s="1111"/>
      <c r="BH37" s="1111"/>
      <c r="BI37" s="1111"/>
      <c r="BJ37" s="1111"/>
      <c r="BK37" s="1111"/>
      <c r="BL37" s="23"/>
      <c r="BM37" s="23"/>
      <c r="BN37" s="23"/>
    </row>
    <row r="38" spans="1:66" x14ac:dyDescent="0.3">
      <c r="A38" s="135" t="s">
        <v>445</v>
      </c>
      <c r="B38" s="1608" t="s">
        <v>1</v>
      </c>
      <c r="C38" s="2356" t="s">
        <v>49</v>
      </c>
      <c r="D38" s="2580">
        <v>1.5</v>
      </c>
      <c r="E38" s="2580">
        <v>1.5</v>
      </c>
      <c r="F38" s="2580">
        <f>+F26/F19*100</f>
        <v>1.0000000000000002</v>
      </c>
      <c r="G38" s="2580">
        <v>1.5</v>
      </c>
      <c r="H38" s="2580">
        <f>+H26/H19*100</f>
        <v>1</v>
      </c>
      <c r="I38" s="2817">
        <f>+$D$38</f>
        <v>1.5</v>
      </c>
      <c r="J38" s="101">
        <f>+J26/J19*100</f>
        <v>1.0000000000000002</v>
      </c>
      <c r="K38" s="2580">
        <v>1.5</v>
      </c>
      <c r="L38" s="2580">
        <f>+L26/L19*100</f>
        <v>1.5000000000000002</v>
      </c>
      <c r="M38" s="322">
        <f>+$D$38</f>
        <v>1.5</v>
      </c>
      <c r="N38" s="322">
        <f>+N26/N19*100</f>
        <v>1.1660568262905775</v>
      </c>
      <c r="O38" s="2580">
        <v>1.5</v>
      </c>
      <c r="P38" s="2580">
        <f>+P26/P19*100</f>
        <v>1.4999999999999998</v>
      </c>
      <c r="Q38" s="240">
        <f>+$D$38</f>
        <v>1.5</v>
      </c>
      <c r="R38" s="240">
        <f>+R26/R19*100</f>
        <v>1.2514554139928891</v>
      </c>
      <c r="S38" s="2580">
        <v>1.5</v>
      </c>
      <c r="T38" s="2580">
        <f>+T26/T19*100</f>
        <v>1.5000000000000002</v>
      </c>
      <c r="U38" s="240">
        <f>+$D$38</f>
        <v>1.5</v>
      </c>
      <c r="V38" s="240">
        <f>+V26/V19*100</f>
        <v>1.3023173551461107</v>
      </c>
      <c r="W38" s="2580">
        <v>1.5</v>
      </c>
      <c r="X38" s="2580">
        <f>+X26/X19*100</f>
        <v>1.5</v>
      </c>
      <c r="Y38" s="73">
        <f>+$D$38</f>
        <v>1.5</v>
      </c>
      <c r="Z38" s="107">
        <f>+Z26/Z19*100</f>
        <v>1.4999999999999998</v>
      </c>
      <c r="AA38" s="622">
        <f>+$D$38</f>
        <v>1.5</v>
      </c>
      <c r="AB38" s="438">
        <f>+AB26/AB19*100</f>
        <v>1.3350396196923215</v>
      </c>
      <c r="AC38" s="2580">
        <v>1.5</v>
      </c>
      <c r="AD38" s="2580">
        <f>+AD26/AD19*100</f>
        <v>1.5000000000000002</v>
      </c>
      <c r="AE38" s="49">
        <f>+$D$38</f>
        <v>1.5</v>
      </c>
      <c r="AF38" s="101">
        <f>+AF26/AF19*100</f>
        <v>1.3588138810414221</v>
      </c>
      <c r="AG38" s="2580">
        <v>1.5</v>
      </c>
      <c r="AH38" s="2580">
        <f>+AH26/AH19*100</f>
        <v>1</v>
      </c>
      <c r="AI38" s="49">
        <f>+$D$38</f>
        <v>1.5</v>
      </c>
      <c r="AJ38" s="101">
        <f>+AJ26/AJ19*100</f>
        <v>1.3148405943105201</v>
      </c>
      <c r="AK38" s="2580">
        <v>1.5</v>
      </c>
      <c r="AL38" s="2580">
        <f>+AL26/AL19*100</f>
        <v>1</v>
      </c>
      <c r="AM38" s="73">
        <f>+$D$38</f>
        <v>1.5</v>
      </c>
      <c r="AN38" s="107">
        <f>+AN26/AN19*100</f>
        <v>1.1683207592204994</v>
      </c>
      <c r="AO38" s="49">
        <f>+$D$38</f>
        <v>1.5</v>
      </c>
      <c r="AP38" s="101">
        <f>+AP26/AP19*100</f>
        <v>1.2794515357742073</v>
      </c>
      <c r="AQ38" s="2580">
        <v>1.5</v>
      </c>
      <c r="AR38" s="2580">
        <f>+AR26/AR19*100</f>
        <v>0.99999999999999989</v>
      </c>
      <c r="AS38" s="49">
        <f>+$D$38</f>
        <v>1.5</v>
      </c>
      <c r="AT38" s="101">
        <f>+AT26/AT19*100</f>
        <v>1.2512932190423747</v>
      </c>
      <c r="AU38" s="2580">
        <v>1.5</v>
      </c>
      <c r="AV38" s="2580">
        <f>+AV26/AV19*100</f>
        <v>1</v>
      </c>
      <c r="AW38" s="49">
        <f>+$D$38</f>
        <v>1.5</v>
      </c>
      <c r="AX38" s="101">
        <f>+AX26/AX19*100</f>
        <v>1.2303380435845601</v>
      </c>
      <c r="AY38" s="2580">
        <v>1.5</v>
      </c>
      <c r="AZ38" s="2580">
        <f>+AZ26/AZ19*100</f>
        <v>1</v>
      </c>
      <c r="BA38" s="73">
        <f>+$D$38</f>
        <v>1.5</v>
      </c>
      <c r="BB38" s="107">
        <f>+BB26/BB19*100</f>
        <v>0.99999999999999989</v>
      </c>
      <c r="BC38" s="622">
        <f>+$D$38</f>
        <v>1.5</v>
      </c>
      <c r="BD38" s="438">
        <f>+BD26/BD19*100</f>
        <v>1.0849568443539719</v>
      </c>
      <c r="BE38" s="49">
        <f>+$D$38</f>
        <v>1.5</v>
      </c>
      <c r="BF38" s="101">
        <f>+BF26/BF19*100</f>
        <v>1.2105615889704677</v>
      </c>
      <c r="BG38" s="1111"/>
      <c r="BH38" s="1111"/>
      <c r="BI38" s="1111"/>
      <c r="BJ38" s="1111"/>
      <c r="BK38" s="1111"/>
      <c r="BL38" s="23"/>
      <c r="BM38" s="23"/>
      <c r="BN38" s="23"/>
    </row>
    <row r="39" spans="1:66" x14ac:dyDescent="0.3">
      <c r="A39" s="135" t="s">
        <v>445</v>
      </c>
      <c r="B39" s="1608" t="s">
        <v>26</v>
      </c>
      <c r="C39" s="2356" t="s">
        <v>49</v>
      </c>
      <c r="D39" s="2580">
        <v>3.5</v>
      </c>
      <c r="E39" s="2580">
        <v>3.5</v>
      </c>
      <c r="F39" s="2580">
        <f>+F29/F19*100</f>
        <v>3.0000000000000004</v>
      </c>
      <c r="G39" s="2580">
        <v>3.5</v>
      </c>
      <c r="H39" s="2580">
        <f>+H29/H19*100</f>
        <v>3</v>
      </c>
      <c r="I39" s="2817">
        <f>+$D$39</f>
        <v>3.5</v>
      </c>
      <c r="J39" s="101">
        <f>+J29/J19*100</f>
        <v>3</v>
      </c>
      <c r="K39" s="2580">
        <v>3.5</v>
      </c>
      <c r="L39" s="2580">
        <f>+L29/L19*100</f>
        <v>3.0000000000000004</v>
      </c>
      <c r="M39" s="322">
        <f>+$D$39</f>
        <v>3.5</v>
      </c>
      <c r="N39" s="322">
        <f>+N29/N19*100</f>
        <v>3</v>
      </c>
      <c r="O39" s="2580">
        <v>3.5</v>
      </c>
      <c r="P39" s="2580">
        <f>+P29/P19*100</f>
        <v>2.9999999999999996</v>
      </c>
      <c r="Q39" s="240">
        <f>+$D$39</f>
        <v>3.5</v>
      </c>
      <c r="R39" s="240">
        <f>+R29/R19*100</f>
        <v>2.9999999999999996</v>
      </c>
      <c r="S39" s="2580">
        <v>3.5</v>
      </c>
      <c r="T39" s="2580">
        <f>+T29/T19*100</f>
        <v>3.0000000000000004</v>
      </c>
      <c r="U39" s="240">
        <f>+$D$39</f>
        <v>3.5</v>
      </c>
      <c r="V39" s="240">
        <f>+V29/V19*100</f>
        <v>2.9999999999999996</v>
      </c>
      <c r="W39" s="2580">
        <v>3.5</v>
      </c>
      <c r="X39" s="2580">
        <f>+X29/X19*100</f>
        <v>3.3290509275730442</v>
      </c>
      <c r="Y39" s="73">
        <f>+$D$39</f>
        <v>3.5</v>
      </c>
      <c r="Z39" s="107">
        <f>+Z29/Z19*100</f>
        <v>3.1076385932044617</v>
      </c>
      <c r="AA39" s="622">
        <f>+$D$39</f>
        <v>3.5</v>
      </c>
      <c r="AB39" s="438">
        <f>+AB29/AB19*100</f>
        <v>3.0544675609190648</v>
      </c>
      <c r="AC39" s="2580">
        <v>3.5</v>
      </c>
      <c r="AD39" s="2580">
        <f>+AD29/AD19*100</f>
        <v>3.3000000000000007</v>
      </c>
      <c r="AE39" s="49">
        <f>+$D$39</f>
        <v>3.5</v>
      </c>
      <c r="AF39" s="101">
        <f>+AF29/AF19*100</f>
        <v>3.0898539510662308</v>
      </c>
      <c r="AG39" s="2580">
        <v>3.5</v>
      </c>
      <c r="AH39" s="2580">
        <f>+AH29/AH19*100</f>
        <v>2.9999999999999996</v>
      </c>
      <c r="AI39" s="49">
        <f>+$D$39</f>
        <v>3.5</v>
      </c>
      <c r="AJ39" s="101">
        <f>+AJ29/AJ19*100</f>
        <v>3.0788421876899874</v>
      </c>
      <c r="AK39" s="2580">
        <v>3.5</v>
      </c>
      <c r="AL39" s="2580">
        <f>+AL29/AL19*100</f>
        <v>2.9999999999999996</v>
      </c>
      <c r="AM39" s="73">
        <f>+$D$39</f>
        <v>3.5</v>
      </c>
      <c r="AN39" s="107">
        <f>+AN29/AN19*100</f>
        <v>3.1009924555322996</v>
      </c>
      <c r="AO39" s="49">
        <f>+$D$39</f>
        <v>3.5</v>
      </c>
      <c r="AP39" s="101">
        <f>+AP29/AP19*100</f>
        <v>3.0699800814504719</v>
      </c>
      <c r="AQ39" s="2580">
        <v>3.5</v>
      </c>
      <c r="AR39" s="2580">
        <f>+AR29/AR19*100</f>
        <v>2.9999999999999996</v>
      </c>
      <c r="AS39" s="49">
        <f>+$D$39</f>
        <v>3.5</v>
      </c>
      <c r="AT39" s="101">
        <f>+AT29/AT19*100</f>
        <v>3.0629286931196025</v>
      </c>
      <c r="AU39" s="2580">
        <v>3.5</v>
      </c>
      <c r="AV39" s="2580">
        <f>+AV29/AV19*100</f>
        <v>3.0000000000000004</v>
      </c>
      <c r="AW39" s="49">
        <f>+$D$39</f>
        <v>3.5</v>
      </c>
      <c r="AX39" s="101">
        <f>+AX29/AX19*100</f>
        <v>3.0576811109895412</v>
      </c>
      <c r="AY39" s="2580">
        <v>3.5</v>
      </c>
      <c r="AZ39" s="2580">
        <f>+AZ29/AZ19*100</f>
        <v>3.0000000000000004</v>
      </c>
      <c r="BA39" s="73">
        <f>+$D$39</f>
        <v>3.5</v>
      </c>
      <c r="BB39" s="107">
        <f>+BB29/BB19*100</f>
        <v>2.9999999999999996</v>
      </c>
      <c r="BC39" s="622">
        <f>+$D$39</f>
        <v>3.5</v>
      </c>
      <c r="BD39" s="438">
        <f>+BD29/BD19*100</f>
        <v>3.0509741066123826</v>
      </c>
      <c r="BE39" s="49">
        <f>+$D$39</f>
        <v>3.5</v>
      </c>
      <c r="BF39" s="101">
        <f>+BF29/BF19*100</f>
        <v>3.0527287034070905</v>
      </c>
      <c r="BG39" s="1111"/>
      <c r="BH39" s="1111"/>
      <c r="BI39" s="1111"/>
      <c r="BJ39" s="1111"/>
      <c r="BK39" s="1111"/>
      <c r="BL39" s="23"/>
      <c r="BM39" s="23"/>
      <c r="BN39" s="23"/>
    </row>
    <row r="40" spans="1:66" ht="15.9" customHeight="1" thickBot="1" x14ac:dyDescent="0.35">
      <c r="A40" s="135" t="s">
        <v>445</v>
      </c>
      <c r="B40" s="1610" t="s">
        <v>176</v>
      </c>
      <c r="C40" s="2625" t="s">
        <v>49</v>
      </c>
      <c r="D40" s="2878">
        <v>1</v>
      </c>
      <c r="E40" s="2878">
        <v>1</v>
      </c>
      <c r="F40" s="2878">
        <f>+F32/F19*100</f>
        <v>1.0000000000000002</v>
      </c>
      <c r="G40" s="2878">
        <v>1</v>
      </c>
      <c r="H40" s="2878">
        <f>+H32/H19*100</f>
        <v>1</v>
      </c>
      <c r="I40" s="2825">
        <f>+$D$40</f>
        <v>1</v>
      </c>
      <c r="J40" s="102">
        <f>+J32/J19*100</f>
        <v>1.0000000000000002</v>
      </c>
      <c r="K40" s="2878">
        <v>1</v>
      </c>
      <c r="L40" s="2878">
        <f>+L32/L19*100</f>
        <v>1.0000000000000002</v>
      </c>
      <c r="M40" s="911">
        <f>+$D$40</f>
        <v>1</v>
      </c>
      <c r="N40" s="911">
        <f>+N32/N19*100</f>
        <v>1</v>
      </c>
      <c r="O40" s="2878">
        <v>1</v>
      </c>
      <c r="P40" s="2878">
        <f>+P32/P19*100</f>
        <v>0.99999999999999989</v>
      </c>
      <c r="Q40" s="559">
        <f>+$D$40</f>
        <v>1</v>
      </c>
      <c r="R40" s="559">
        <f>+R32/R19*100</f>
        <v>0.99999999999999989</v>
      </c>
      <c r="S40" s="2878">
        <v>1</v>
      </c>
      <c r="T40" s="2878">
        <f>+T32/T19*100</f>
        <v>1</v>
      </c>
      <c r="U40" s="559">
        <f>+$D$40</f>
        <v>1</v>
      </c>
      <c r="V40" s="559">
        <f>+V32/V19*100</f>
        <v>0.99999999999999989</v>
      </c>
      <c r="W40" s="2878">
        <v>1</v>
      </c>
      <c r="X40" s="2878">
        <f>+X32/X19*100</f>
        <v>1</v>
      </c>
      <c r="Y40" s="1438">
        <f>+$D$40</f>
        <v>1</v>
      </c>
      <c r="Z40" s="108">
        <f>+Z32/Z19*100</f>
        <v>0.99999999999999989</v>
      </c>
      <c r="AA40" s="1475">
        <f>+$D$40</f>
        <v>1</v>
      </c>
      <c r="AB40" s="443">
        <f>+AB32/AB19*100</f>
        <v>1</v>
      </c>
      <c r="AC40" s="2878">
        <v>1</v>
      </c>
      <c r="AD40" s="2878">
        <f>+AD32/AD19*100</f>
        <v>1</v>
      </c>
      <c r="AE40" s="707">
        <f>+$D$40</f>
        <v>1</v>
      </c>
      <c r="AF40" s="102">
        <f>+AF32/AF19*100</f>
        <v>1</v>
      </c>
      <c r="AG40" s="2878">
        <v>1</v>
      </c>
      <c r="AH40" s="2878">
        <f>+AH32/AH19*100</f>
        <v>1</v>
      </c>
      <c r="AI40" s="707">
        <f>+$D$40</f>
        <v>1</v>
      </c>
      <c r="AJ40" s="102">
        <f>+AJ32/AJ19*100</f>
        <v>0.99999999999999989</v>
      </c>
      <c r="AK40" s="2878">
        <v>1</v>
      </c>
      <c r="AL40" s="2878">
        <f>+AL32/AL19*100</f>
        <v>1</v>
      </c>
      <c r="AM40" s="1438">
        <f>+$D$40</f>
        <v>1</v>
      </c>
      <c r="AN40" s="108">
        <f>+AN32/AN19*100</f>
        <v>1</v>
      </c>
      <c r="AO40" s="707">
        <f>+$D$40</f>
        <v>1</v>
      </c>
      <c r="AP40" s="102">
        <f>+AP32/AP19*100</f>
        <v>1</v>
      </c>
      <c r="AQ40" s="2878">
        <v>1</v>
      </c>
      <c r="AR40" s="2878">
        <f>+AR32/AR19*100</f>
        <v>0.99999999999999989</v>
      </c>
      <c r="AS40" s="707">
        <f>+$D$40</f>
        <v>1</v>
      </c>
      <c r="AT40" s="102">
        <f>+AT32/AT19*100</f>
        <v>1</v>
      </c>
      <c r="AU40" s="2878">
        <v>1</v>
      </c>
      <c r="AV40" s="2878">
        <f>+AV32/AV19*100</f>
        <v>1</v>
      </c>
      <c r="AW40" s="707">
        <f>+$D$40</f>
        <v>1</v>
      </c>
      <c r="AX40" s="102">
        <f>+AX32/AX19*100</f>
        <v>1</v>
      </c>
      <c r="AY40" s="2878">
        <v>1</v>
      </c>
      <c r="AZ40" s="2878">
        <f>+AZ32/AZ19*100</f>
        <v>1</v>
      </c>
      <c r="BA40" s="1438">
        <f>+$D$40</f>
        <v>1</v>
      </c>
      <c r="BB40" s="108">
        <f>+BB32/BB19*100</f>
        <v>0.99999999999999989</v>
      </c>
      <c r="BC40" s="1475">
        <f>+$D$40</f>
        <v>1</v>
      </c>
      <c r="BD40" s="443">
        <f>+BD32/BD19*100</f>
        <v>0.99999999999999989</v>
      </c>
      <c r="BE40" s="707">
        <f>+$D$40</f>
        <v>1</v>
      </c>
      <c r="BF40" s="102">
        <f>+BF32/BF19*100</f>
        <v>1</v>
      </c>
      <c r="BG40" s="1111"/>
      <c r="BH40" s="1111"/>
      <c r="BI40" s="1111"/>
      <c r="BJ40" s="1111"/>
      <c r="BK40" s="1111"/>
      <c r="BL40" s="23"/>
      <c r="BM40" s="23"/>
      <c r="BN40" s="23"/>
    </row>
    <row r="41" spans="1:66" ht="16.2" thickBot="1" x14ac:dyDescent="0.35">
      <c r="A41" s="135" t="s">
        <v>445</v>
      </c>
      <c r="B41" s="1611" t="s">
        <v>177</v>
      </c>
      <c r="C41" s="1078" t="s">
        <v>49</v>
      </c>
      <c r="D41" s="104">
        <f t="shared" ref="D41:J41" si="145">SUM(D37:D40)</f>
        <v>75.500000000000014</v>
      </c>
      <c r="E41" s="104">
        <f t="shared" si="145"/>
        <v>75.5</v>
      </c>
      <c r="F41" s="104">
        <f t="shared" si="145"/>
        <v>74.5</v>
      </c>
      <c r="G41" s="104">
        <f t="shared" ref="G41:H41" si="146">SUM(G37:G40)</f>
        <v>75.5</v>
      </c>
      <c r="H41" s="104">
        <f t="shared" si="146"/>
        <v>74.5</v>
      </c>
      <c r="I41" s="1079">
        <f t="shared" si="145"/>
        <v>75.500000000000014</v>
      </c>
      <c r="J41" s="38">
        <f t="shared" si="145"/>
        <v>74.5</v>
      </c>
      <c r="K41" s="104">
        <f t="shared" ref="K41:L41" si="147">SUM(K37:K40)</f>
        <v>76</v>
      </c>
      <c r="L41" s="104">
        <f t="shared" si="147"/>
        <v>75.5</v>
      </c>
      <c r="M41" s="1430">
        <f t="shared" ref="M41:R41" si="148">SUM(M37:M40)</f>
        <v>75.500000000000014</v>
      </c>
      <c r="N41" s="1430">
        <f t="shared" si="148"/>
        <v>74.832113652581157</v>
      </c>
      <c r="O41" s="104">
        <f t="shared" si="148"/>
        <v>76</v>
      </c>
      <c r="P41" s="104">
        <f t="shared" si="148"/>
        <v>75.5</v>
      </c>
      <c r="Q41" s="1079">
        <f t="shared" si="148"/>
        <v>75.500000000000014</v>
      </c>
      <c r="R41" s="1079">
        <f t="shared" si="148"/>
        <v>75.002910827985772</v>
      </c>
      <c r="S41" s="104">
        <f t="shared" ref="S41:T41" si="149">SUM(S37:S40)</f>
        <v>76</v>
      </c>
      <c r="T41" s="104">
        <f t="shared" si="149"/>
        <v>75.5</v>
      </c>
      <c r="U41" s="1079">
        <f t="shared" ref="U41:X41" si="150">SUM(U37:U40)</f>
        <v>75.500000000000014</v>
      </c>
      <c r="V41" s="1079">
        <f t="shared" si="150"/>
        <v>75.104634710292217</v>
      </c>
      <c r="W41" s="104">
        <f t="shared" si="150"/>
        <v>76</v>
      </c>
      <c r="X41" s="104">
        <f t="shared" si="150"/>
        <v>75.5</v>
      </c>
      <c r="Y41" s="709">
        <f t="shared" ref="Y41:Z41" si="151">SUM(Y37:Y40)</f>
        <v>75.500000000000014</v>
      </c>
      <c r="Z41" s="67">
        <f t="shared" si="151"/>
        <v>75.499999999999986</v>
      </c>
      <c r="AA41" s="2148">
        <f t="shared" ref="AA41:AF41" si="152">SUM(AA37:AA40)</f>
        <v>75.500000000000014</v>
      </c>
      <c r="AB41" s="425">
        <f t="shared" si="152"/>
        <v>75.170079239384634</v>
      </c>
      <c r="AC41" s="104">
        <f t="shared" si="152"/>
        <v>76</v>
      </c>
      <c r="AD41" s="104">
        <f t="shared" si="152"/>
        <v>75.500000000000014</v>
      </c>
      <c r="AE41" s="708">
        <f t="shared" si="152"/>
        <v>75.500000000000014</v>
      </c>
      <c r="AF41" s="38">
        <f t="shared" si="152"/>
        <v>75.217627762082842</v>
      </c>
      <c r="AG41" s="104">
        <f t="shared" ref="AG41:AH41" si="153">SUM(AG37:AG40)</f>
        <v>76</v>
      </c>
      <c r="AH41" s="104">
        <f t="shared" si="153"/>
        <v>74.5</v>
      </c>
      <c r="AI41" s="708">
        <f t="shared" ref="AI41:AN41" si="154">SUM(AI37:AI40)</f>
        <v>75.500000000000014</v>
      </c>
      <c r="AJ41" s="38">
        <f t="shared" si="154"/>
        <v>75.129681188621035</v>
      </c>
      <c r="AK41" s="104">
        <f t="shared" si="154"/>
        <v>76</v>
      </c>
      <c r="AL41" s="104">
        <f t="shared" si="154"/>
        <v>74.5</v>
      </c>
      <c r="AM41" s="709">
        <f t="shared" si="154"/>
        <v>75.500000000000014</v>
      </c>
      <c r="AN41" s="67">
        <f t="shared" si="154"/>
        <v>74.836641518441013</v>
      </c>
      <c r="AO41" s="708">
        <f t="shared" ref="AO41:AT41" si="155">SUM(AO37:AO40)</f>
        <v>75.500000000000014</v>
      </c>
      <c r="AP41" s="38">
        <f t="shared" si="155"/>
        <v>75.058903071548414</v>
      </c>
      <c r="AQ41" s="104">
        <f t="shared" si="155"/>
        <v>76</v>
      </c>
      <c r="AR41" s="104">
        <f t="shared" si="155"/>
        <v>74.499999999999986</v>
      </c>
      <c r="AS41" s="708">
        <f t="shared" si="155"/>
        <v>75.500000000000014</v>
      </c>
      <c r="AT41" s="38">
        <f t="shared" si="155"/>
        <v>75.002586438084748</v>
      </c>
      <c r="AU41" s="104">
        <f t="shared" ref="AU41:AV41" si="156">SUM(AU37:AU40)</f>
        <v>76</v>
      </c>
      <c r="AV41" s="104">
        <f t="shared" si="156"/>
        <v>74.5</v>
      </c>
      <c r="AW41" s="708">
        <f t="shared" ref="AW41:AZ41" si="157">SUM(AW37:AW40)</f>
        <v>75.500000000000014</v>
      </c>
      <c r="AX41" s="38">
        <f t="shared" si="157"/>
        <v>74.960676087169105</v>
      </c>
      <c r="AY41" s="104">
        <f t="shared" si="157"/>
        <v>76</v>
      </c>
      <c r="AZ41" s="104">
        <f t="shared" si="157"/>
        <v>74.5</v>
      </c>
      <c r="BA41" s="709">
        <f t="shared" ref="BA41:BF41" si="158">SUM(BA37:BA40)</f>
        <v>75.500000000000014</v>
      </c>
      <c r="BB41" s="67">
        <f t="shared" si="158"/>
        <v>74.499999999999986</v>
      </c>
      <c r="BC41" s="2148">
        <f t="shared" si="158"/>
        <v>75.500000000000014</v>
      </c>
      <c r="BD41" s="425">
        <f t="shared" si="158"/>
        <v>74.669913688707922</v>
      </c>
      <c r="BE41" s="708">
        <f t="shared" si="158"/>
        <v>75.500000000000014</v>
      </c>
      <c r="BF41" s="38">
        <f t="shared" si="158"/>
        <v>74.921123177940899</v>
      </c>
      <c r="BG41" s="1111"/>
      <c r="BH41" s="1111"/>
      <c r="BI41" s="1111"/>
      <c r="BJ41" s="1111"/>
      <c r="BK41" s="1111"/>
      <c r="BL41" s="23"/>
      <c r="BM41" s="23"/>
      <c r="BN41" s="23"/>
    </row>
    <row r="42" spans="1:66" ht="16.5" customHeight="1" thickBot="1" x14ac:dyDescent="0.35">
      <c r="B42" s="1643" t="s">
        <v>1453</v>
      </c>
      <c r="C42" s="491"/>
      <c r="D42" s="491"/>
      <c r="E42" s="491"/>
      <c r="F42" s="491"/>
      <c r="G42" s="491"/>
      <c r="H42" s="491"/>
      <c r="I42" s="491"/>
      <c r="J42" s="491"/>
      <c r="K42" s="491"/>
      <c r="L42" s="491"/>
      <c r="M42" s="491"/>
      <c r="N42" s="491"/>
      <c r="O42" s="491"/>
      <c r="P42" s="491"/>
      <c r="Q42" s="491"/>
      <c r="R42" s="491"/>
      <c r="S42" s="491"/>
      <c r="T42" s="491"/>
      <c r="U42" s="491"/>
      <c r="V42" s="491"/>
      <c r="W42" s="491"/>
      <c r="X42" s="491"/>
      <c r="Y42" s="491"/>
      <c r="Z42" s="491"/>
      <c r="AA42" s="491"/>
      <c r="AB42" s="491"/>
      <c r="AC42" s="491"/>
      <c r="AD42" s="491"/>
      <c r="AE42" s="491"/>
      <c r="AF42" s="491"/>
      <c r="AG42" s="491"/>
      <c r="AH42" s="491"/>
      <c r="AI42" s="491"/>
      <c r="AJ42" s="491"/>
      <c r="AK42" s="491"/>
      <c r="AL42" s="491"/>
      <c r="AM42" s="491"/>
      <c r="AN42" s="491"/>
      <c r="AO42" s="491"/>
      <c r="AP42" s="491"/>
      <c r="AQ42" s="491"/>
      <c r="AR42" s="491"/>
      <c r="AS42" s="491"/>
      <c r="AT42" s="491"/>
      <c r="AU42" s="491"/>
      <c r="AV42" s="491"/>
      <c r="AW42" s="491"/>
      <c r="AX42" s="491"/>
      <c r="AY42" s="491"/>
      <c r="AZ42" s="491"/>
      <c r="BA42" s="491"/>
      <c r="BB42" s="491"/>
      <c r="BC42" s="491"/>
      <c r="BD42" s="491"/>
      <c r="BE42" s="491"/>
      <c r="BF42" s="491"/>
      <c r="BG42" s="1111"/>
      <c r="BH42" s="1111"/>
      <c r="BI42" s="1111"/>
      <c r="BJ42" s="1111"/>
      <c r="BK42" s="1111"/>
      <c r="BL42" s="23"/>
      <c r="BM42" s="23"/>
      <c r="BN42" s="23"/>
    </row>
    <row r="43" spans="1:66" ht="15.75" customHeight="1" x14ac:dyDescent="0.3">
      <c r="B43" s="1641" t="s">
        <v>148</v>
      </c>
      <c r="C43" s="750" t="s">
        <v>50</v>
      </c>
      <c r="D43" s="5157">
        <v>421091.60400000005</v>
      </c>
      <c r="E43" s="5157">
        <v>35144.76</v>
      </c>
      <c r="F43" s="145">
        <v>36172.046109510084</v>
      </c>
      <c r="G43" s="5157">
        <v>36316.252</v>
      </c>
      <c r="H43" s="145">
        <v>37363.23465253973</v>
      </c>
      <c r="I43" s="1606"/>
      <c r="J43" s="2957">
        <f>F43+H43</f>
        <v>73535.280762049806</v>
      </c>
      <c r="K43" s="1605"/>
      <c r="L43" s="145">
        <v>35835.257668078077</v>
      </c>
      <c r="M43" s="1607"/>
      <c r="N43" s="574">
        <f>SUM(F43,H43,L43)</f>
        <v>109370.53843012788</v>
      </c>
      <c r="O43" s="1605"/>
      <c r="P43" s="145">
        <v>36734.729241877256</v>
      </c>
      <c r="Q43" s="1606"/>
      <c r="R43" s="341">
        <f>+N43+P43</f>
        <v>146105.26767200514</v>
      </c>
      <c r="S43" s="1605"/>
      <c r="T43" s="145">
        <v>37732.122962657311</v>
      </c>
      <c r="U43" s="1606"/>
      <c r="V43" s="341">
        <f>+R43+T43</f>
        <v>183837.39063466244</v>
      </c>
      <c r="W43" s="1605"/>
      <c r="X43" s="145">
        <v>36769.086942972885</v>
      </c>
      <c r="Y43" s="1607"/>
      <c r="Z43" s="574">
        <f>SUM(P43,T43,X43)</f>
        <v>111235.93914750745</v>
      </c>
      <c r="AA43" s="2149"/>
      <c r="AB43" s="1904">
        <f>SUM(N43,Z43)</f>
        <v>220606.47757763532</v>
      </c>
      <c r="AC43" s="1605"/>
      <c r="AD43" s="145">
        <v>37345.21357202332</v>
      </c>
      <c r="AE43" s="1606"/>
      <c r="AF43" s="341">
        <f>+AB43+AD43</f>
        <v>257951.69114965864</v>
      </c>
      <c r="AG43" s="1605"/>
      <c r="AH43" s="145">
        <v>34853.504537953799</v>
      </c>
      <c r="AI43" s="1606"/>
      <c r="AJ43" s="341">
        <f>+AF43+AH43</f>
        <v>292805.19568761246</v>
      </c>
      <c r="AK43" s="1605"/>
      <c r="AL43" s="145">
        <v>35966.805569881377</v>
      </c>
      <c r="AM43" s="1607"/>
      <c r="AN43" s="574">
        <f>SUM(AD43,AH43,AL43)</f>
        <v>108165.52367985848</v>
      </c>
      <c r="AO43" s="1606"/>
      <c r="AP43" s="697">
        <f>AJ43+AL43</f>
        <v>328772.00125749386</v>
      </c>
      <c r="AQ43" s="1605"/>
      <c r="AR43" s="145">
        <v>36272.845494891109</v>
      </c>
      <c r="AS43" s="1606"/>
      <c r="AT43" s="341">
        <f>+AP43+AR43</f>
        <v>365044.84675238497</v>
      </c>
      <c r="AU43" s="1605"/>
      <c r="AV43" s="145">
        <v>32607.42391416485</v>
      </c>
      <c r="AW43" s="1606"/>
      <c r="AX43" s="341">
        <f>+AT43+AV43</f>
        <v>397652.2706665498</v>
      </c>
      <c r="AY43" s="1605"/>
      <c r="AZ43" s="145">
        <v>37408.582612278529</v>
      </c>
      <c r="BA43" s="1607"/>
      <c r="BB43" s="574">
        <f>SUM(AR43,AV43,AZ43)</f>
        <v>106288.85202133449</v>
      </c>
      <c r="BC43" s="2149"/>
      <c r="BD43" s="1904">
        <f>SUM(AN43,BB43)</f>
        <v>214454.37570119297</v>
      </c>
      <c r="BE43" s="1606"/>
      <c r="BF43" s="341">
        <f>+AX43+AZ43</f>
        <v>435060.85327882832</v>
      </c>
      <c r="BG43" s="1111"/>
      <c r="BH43" s="1111"/>
      <c r="BI43" s="1111"/>
      <c r="BJ43" s="1111"/>
      <c r="BK43" s="1111"/>
      <c r="BL43" s="23"/>
      <c r="BM43" s="23"/>
      <c r="BN43" s="23"/>
    </row>
    <row r="44" spans="1:66" ht="16.5" customHeight="1" thickBot="1" x14ac:dyDescent="0.35">
      <c r="B44" s="2130" t="s">
        <v>149</v>
      </c>
      <c r="C44" s="147" t="s">
        <v>50</v>
      </c>
      <c r="D44" s="188">
        <v>782077.69084249996</v>
      </c>
      <c r="E44" s="188">
        <v>63545.170500000007</v>
      </c>
      <c r="F44" s="1108">
        <v>65135.46851423398</v>
      </c>
      <c r="G44" s="188">
        <v>65275.888342500002</v>
      </c>
      <c r="H44" s="1108">
        <v>64054.656473191826</v>
      </c>
      <c r="I44" s="2132"/>
      <c r="J44" s="817">
        <f t="shared" ref="J44:J57" si="159">F44+H44</f>
        <v>129190.12498742581</v>
      </c>
      <c r="K44" s="2131"/>
      <c r="L44" s="1108">
        <v>65487.944187914065</v>
      </c>
      <c r="M44" s="2133"/>
      <c r="N44" s="1096">
        <f t="shared" ref="N44:N57" si="160">SUM(F44,H44,L44)</f>
        <v>194678.06917533989</v>
      </c>
      <c r="O44" s="2131"/>
      <c r="P44" s="1108">
        <v>68140.007037297662</v>
      </c>
      <c r="Q44" s="2132"/>
      <c r="R44" s="248">
        <f>+N44+P44</f>
        <v>262818.07621263753</v>
      </c>
      <c r="S44" s="2131"/>
      <c r="T44" s="1108">
        <v>67861.545427105346</v>
      </c>
      <c r="U44" s="2132"/>
      <c r="V44" s="248">
        <f>+R44+T44</f>
        <v>330679.62163974287</v>
      </c>
      <c r="W44" s="2131"/>
      <c r="X44" s="1108">
        <v>65325.023230020102</v>
      </c>
      <c r="Y44" s="2133"/>
      <c r="Z44" s="1096">
        <f>SUM(P44,T44,X44)</f>
        <v>201326.57569442311</v>
      </c>
      <c r="AA44" s="2150"/>
      <c r="AB44" s="2134">
        <f>SUM(N44,Z44)</f>
        <v>396004.644869763</v>
      </c>
      <c r="AC44" s="2131"/>
      <c r="AD44" s="1108">
        <v>66682.357994001752</v>
      </c>
      <c r="AE44" s="2132"/>
      <c r="AF44" s="248">
        <f>+AB44+AD44</f>
        <v>462687.00286376476</v>
      </c>
      <c r="AG44" s="2131"/>
      <c r="AH44" s="1108">
        <v>65282.917161849997</v>
      </c>
      <c r="AI44" s="2132"/>
      <c r="AJ44" s="248">
        <f>+AF44+AH44</f>
        <v>527969.92002561479</v>
      </c>
      <c r="AK44" s="2131"/>
      <c r="AL44" s="1108">
        <v>67503.832693644625</v>
      </c>
      <c r="AM44" s="2133"/>
      <c r="AN44" s="1096">
        <f>SUM(AD44,AH44,AL44)</f>
        <v>199469.10784949636</v>
      </c>
      <c r="AO44" s="2132"/>
      <c r="AP44" s="697">
        <f>AJ44+AL44</f>
        <v>595473.75271925936</v>
      </c>
      <c r="AQ44" s="2131"/>
      <c r="AR44" s="1108">
        <v>66935.583559714243</v>
      </c>
      <c r="AS44" s="2132"/>
      <c r="AT44" s="248">
        <f>+AP44+AR44</f>
        <v>662409.33627897361</v>
      </c>
      <c r="AU44" s="2131"/>
      <c r="AV44" s="1108">
        <v>60559.715514639298</v>
      </c>
      <c r="AW44" s="2132"/>
      <c r="AX44" s="248">
        <f>+AT44+AV44</f>
        <v>722969.05179361289</v>
      </c>
      <c r="AY44" s="2131"/>
      <c r="AZ44" s="1108">
        <v>67453.195645615429</v>
      </c>
      <c r="BA44" s="2133"/>
      <c r="BB44" s="1096">
        <f>SUM(AR44,AV44,AZ44)</f>
        <v>194948.49471996896</v>
      </c>
      <c r="BC44" s="2150"/>
      <c r="BD44" s="2134">
        <f>SUM(AN44,BB44)</f>
        <v>394417.60256946529</v>
      </c>
      <c r="BE44" s="2132"/>
      <c r="BF44" s="248">
        <f>+AX44+AZ44</f>
        <v>790422.24743922835</v>
      </c>
      <c r="BG44" s="1111"/>
      <c r="BH44" s="1111"/>
      <c r="BI44" s="1111"/>
      <c r="BJ44" s="1111"/>
      <c r="BK44" s="1111"/>
      <c r="BL44" s="23"/>
      <c r="BM44" s="23"/>
      <c r="BN44" s="23"/>
    </row>
    <row r="45" spans="1:66" ht="16.5" customHeight="1" thickBot="1" x14ac:dyDescent="0.35">
      <c r="B45" s="2139" t="s">
        <v>78</v>
      </c>
      <c r="C45" s="2140" t="s">
        <v>50</v>
      </c>
      <c r="D45" s="2081">
        <f>SUM(D43:D44)</f>
        <v>1203169.2948425</v>
      </c>
      <c r="E45" s="2141">
        <f>SUM(E43:E44)</f>
        <v>98689.930500000017</v>
      </c>
      <c r="F45" s="2141">
        <f>SUM(F43:F44)</f>
        <v>101307.51462374406</v>
      </c>
      <c r="G45" s="2141">
        <f>SUM(G43:G44)</f>
        <v>101592.1403425</v>
      </c>
      <c r="H45" s="2141">
        <f>SUM(H43:H44)</f>
        <v>101417.89112573155</v>
      </c>
      <c r="I45" s="1079"/>
      <c r="J45" s="1080">
        <f t="shared" si="159"/>
        <v>202725.40574947561</v>
      </c>
      <c r="K45" s="104"/>
      <c r="L45" s="2141">
        <f>SUM(L43:L44)</f>
        <v>101323.20185599214</v>
      </c>
      <c r="M45" s="1430"/>
      <c r="N45" s="2142">
        <f t="shared" si="160"/>
        <v>304048.60760546778</v>
      </c>
      <c r="O45" s="104"/>
      <c r="P45" s="2141">
        <f>SUM(P43:P44)</f>
        <v>104874.73627917492</v>
      </c>
      <c r="Q45" s="1079"/>
      <c r="R45" s="2143">
        <f t="shared" ref="R45" si="161">SUM(R43:R44)</f>
        <v>408923.3438846427</v>
      </c>
      <c r="S45" s="104"/>
      <c r="T45" s="2141">
        <f>SUM(T43:T44)</f>
        <v>105593.66838976266</v>
      </c>
      <c r="U45" s="1079"/>
      <c r="V45" s="2143">
        <f t="shared" ref="V45" si="162">SUM(V43:V44)</f>
        <v>514517.01227440534</v>
      </c>
      <c r="W45" s="104"/>
      <c r="X45" s="2141">
        <f>SUM(X43:X44)</f>
        <v>102094.11017299298</v>
      </c>
      <c r="Y45" s="1430"/>
      <c r="Z45" s="2142">
        <f>SUM(Z43:Z44)</f>
        <v>312562.51484193059</v>
      </c>
      <c r="AA45" s="2151"/>
      <c r="AB45" s="1905">
        <f>SUM(AB43:AB44)</f>
        <v>616611.12244739826</v>
      </c>
      <c r="AC45" s="104"/>
      <c r="AD45" s="2141">
        <f>SUM(AD43:AD44)</f>
        <v>104027.57156602507</v>
      </c>
      <c r="AE45" s="1079"/>
      <c r="AF45" s="2143">
        <f t="shared" ref="AF45" si="163">SUM(AF43:AF44)</f>
        <v>720638.6940134234</v>
      </c>
      <c r="AG45" s="104"/>
      <c r="AH45" s="2141">
        <f>SUM(AH43:AH44)</f>
        <v>100136.42169980379</v>
      </c>
      <c r="AI45" s="1079"/>
      <c r="AJ45" s="2143">
        <f t="shared" ref="AJ45" si="164">SUM(AJ43:AJ44)</f>
        <v>820775.11571322731</v>
      </c>
      <c r="AK45" s="104"/>
      <c r="AL45" s="2141">
        <f>SUM(AL43:AL44)</f>
        <v>103470.63826352599</v>
      </c>
      <c r="AM45" s="1430"/>
      <c r="AN45" s="2142">
        <f>SUM(AN43:AN44)</f>
        <v>307634.63152935484</v>
      </c>
      <c r="AO45" s="1079"/>
      <c r="AP45" s="2143">
        <f t="shared" ref="AP45" si="165">SUM(AP43:AP44)</f>
        <v>924245.75397675321</v>
      </c>
      <c r="AQ45" s="104"/>
      <c r="AR45" s="2141">
        <f>SUM(AR43:AR44)</f>
        <v>103208.42905460535</v>
      </c>
      <c r="AS45" s="1079"/>
      <c r="AT45" s="2143">
        <f t="shared" ref="AT45" si="166">SUM(AT43:AT44)</f>
        <v>1027454.1830313585</v>
      </c>
      <c r="AU45" s="104"/>
      <c r="AV45" s="2141">
        <f>SUM(AV43:AV44)</f>
        <v>93167.139428804148</v>
      </c>
      <c r="AW45" s="1079"/>
      <c r="AX45" s="2143">
        <f t="shared" ref="AX45" si="167">SUM(AX43:AX44)</f>
        <v>1120621.3224601627</v>
      </c>
      <c r="AY45" s="104"/>
      <c r="AZ45" s="2141">
        <f>SUM(AZ43:AZ44)</f>
        <v>104861.77825789395</v>
      </c>
      <c r="BA45" s="1430"/>
      <c r="BB45" s="2142">
        <f>SUM(BB43:BB44)</f>
        <v>301237.34674130345</v>
      </c>
      <c r="BC45" s="2151"/>
      <c r="BD45" s="1905">
        <f>SUM(BD43:BD44)</f>
        <v>608871.97827065829</v>
      </c>
      <c r="BE45" s="1079"/>
      <c r="BF45" s="2143">
        <f t="shared" ref="BF45" si="168">SUM(BF43:BF44)</f>
        <v>1225483.1007180568</v>
      </c>
      <c r="BG45" s="1111"/>
      <c r="BH45" s="1111"/>
      <c r="BI45" s="1111"/>
      <c r="BJ45" s="1111"/>
      <c r="BK45" s="1111"/>
      <c r="BL45" s="23"/>
      <c r="BM45" s="23"/>
      <c r="BN45" s="23"/>
    </row>
    <row r="46" spans="1:66" ht="15.75" customHeight="1" x14ac:dyDescent="0.3">
      <c r="B46" s="2135" t="s">
        <v>151</v>
      </c>
      <c r="C46" s="727" t="s">
        <v>50</v>
      </c>
      <c r="D46" s="5158">
        <v>9088.3079999999991</v>
      </c>
      <c r="E46" s="5158">
        <v>758.52</v>
      </c>
      <c r="F46" s="1197">
        <v>520.46109510086455</v>
      </c>
      <c r="G46" s="5158">
        <v>783.80399999999997</v>
      </c>
      <c r="H46" s="1197">
        <v>537.60049859769401</v>
      </c>
      <c r="I46" s="2137"/>
      <c r="J46" s="2958">
        <f t="shared" si="159"/>
        <v>1058.0615936985587</v>
      </c>
      <c r="K46" s="2136"/>
      <c r="L46" s="1197">
        <v>767.89837860167313</v>
      </c>
      <c r="M46" s="2138"/>
      <c r="N46" s="451">
        <f t="shared" si="160"/>
        <v>1825.9599723002318</v>
      </c>
      <c r="O46" s="2136"/>
      <c r="P46" s="1197">
        <v>787.17276946879826</v>
      </c>
      <c r="Q46" s="2137"/>
      <c r="R46" s="2045">
        <f>+N46+P46</f>
        <v>2613.13274176903</v>
      </c>
      <c r="S46" s="2136"/>
      <c r="T46" s="1197">
        <v>808.54549205694252</v>
      </c>
      <c r="U46" s="2137"/>
      <c r="V46" s="2045">
        <f>+R46+T46</f>
        <v>3421.6782338259727</v>
      </c>
      <c r="W46" s="2136"/>
      <c r="X46" s="1197">
        <v>787.90900592084756</v>
      </c>
      <c r="Y46" s="2138"/>
      <c r="Z46" s="451">
        <f>SUM(P46,T46,X46)</f>
        <v>2383.6272674465881</v>
      </c>
      <c r="AA46" s="2152"/>
      <c r="AB46" s="1906">
        <f>SUM(N46,Z46)</f>
        <v>4209.5872397468202</v>
      </c>
      <c r="AC46" s="2136"/>
      <c r="AD46" s="1197">
        <v>803.6990008326394</v>
      </c>
      <c r="AE46" s="2137"/>
      <c r="AF46" s="2045">
        <f>+AB46+AD46</f>
        <v>5013.2862405794594</v>
      </c>
      <c r="AG46" s="2136"/>
      <c r="AH46" s="1197">
        <v>501.48927392739284</v>
      </c>
      <c r="AI46" s="2137"/>
      <c r="AJ46" s="2045">
        <f>+AF46+AH46</f>
        <v>5514.7755145068522</v>
      </c>
      <c r="AK46" s="2136"/>
      <c r="AL46" s="1197">
        <v>517.50799381124295</v>
      </c>
      <c r="AM46" s="2138"/>
      <c r="AN46" s="451">
        <f>SUM(AD46,AH46,AL46)</f>
        <v>1822.6962685712751</v>
      </c>
      <c r="AO46" s="2137"/>
      <c r="AP46" s="697">
        <f>AJ46+AL46</f>
        <v>6032.2835083180953</v>
      </c>
      <c r="AQ46" s="2136"/>
      <c r="AR46" s="1197">
        <v>521.91144596965637</v>
      </c>
      <c r="AS46" s="2137"/>
      <c r="AT46" s="2045">
        <f>+AP46+AR46</f>
        <v>6554.1949542877519</v>
      </c>
      <c r="AU46" s="2136"/>
      <c r="AV46" s="1197">
        <v>469.17156711028571</v>
      </c>
      <c r="AW46" s="2137"/>
      <c r="AX46" s="2045">
        <f>+AT46+AV46</f>
        <v>7023.3665213980375</v>
      </c>
      <c r="AY46" s="2136"/>
      <c r="AZ46" s="1197">
        <v>538.25298722702917</v>
      </c>
      <c r="BA46" s="2138"/>
      <c r="BB46" s="451">
        <f>SUM(AR46,AV46,AZ46)</f>
        <v>1529.3360003069711</v>
      </c>
      <c r="BC46" s="2152"/>
      <c r="BD46" s="1906">
        <f>SUM(AN46,BB46)</f>
        <v>3352.0322688782462</v>
      </c>
      <c r="BE46" s="2137"/>
      <c r="BF46" s="2045">
        <f>+AX46+AZ46</f>
        <v>7561.6195086250664</v>
      </c>
      <c r="BG46" s="1111"/>
      <c r="BH46" s="1111"/>
      <c r="BI46" s="1111"/>
      <c r="BJ46" s="1111"/>
      <c r="BK46" s="1111"/>
      <c r="BL46" s="23"/>
      <c r="BM46" s="23"/>
      <c r="BN46" s="23"/>
    </row>
    <row r="47" spans="1:66" ht="16.5" customHeight="1" thickBot="1" x14ac:dyDescent="0.35">
      <c r="B47" s="1642" t="s">
        <v>152</v>
      </c>
      <c r="C47" s="146" t="s">
        <v>50</v>
      </c>
      <c r="D47" s="187">
        <v>16879.3746225</v>
      </c>
      <c r="E47" s="187">
        <v>1371.4785000000002</v>
      </c>
      <c r="F47" s="1031">
        <v>937.20098581631646</v>
      </c>
      <c r="G47" s="187">
        <v>1408.8321224999997</v>
      </c>
      <c r="H47" s="1031">
        <v>921.64973342722055</v>
      </c>
      <c r="I47" s="746"/>
      <c r="J47" s="231">
        <f t="shared" si="159"/>
        <v>1858.850719243537</v>
      </c>
      <c r="K47" s="749"/>
      <c r="L47" s="1031">
        <v>1403.3130897410156</v>
      </c>
      <c r="M47" s="747"/>
      <c r="N47" s="717">
        <f t="shared" si="160"/>
        <v>3262.1638089845528</v>
      </c>
      <c r="O47" s="749"/>
      <c r="P47" s="1031">
        <v>1460.1430079420929</v>
      </c>
      <c r="Q47" s="746"/>
      <c r="R47" s="718">
        <f>+N47+P47</f>
        <v>4722.3068169266462</v>
      </c>
      <c r="S47" s="749"/>
      <c r="T47" s="1031">
        <v>1454.1759734379716</v>
      </c>
      <c r="U47" s="746"/>
      <c r="V47" s="718">
        <f>+R47+T47</f>
        <v>6176.4827903646183</v>
      </c>
      <c r="W47" s="749"/>
      <c r="X47" s="1031">
        <v>1410.0355381128104</v>
      </c>
      <c r="Y47" s="747"/>
      <c r="Z47" s="717">
        <f>SUM(P47,T47,X47)</f>
        <v>4324.3545194928747</v>
      </c>
      <c r="AA47" s="739"/>
      <c r="AB47" s="2129">
        <f>SUM(N47,Z47)</f>
        <v>7586.5183284774275</v>
      </c>
      <c r="AC47" s="749"/>
      <c r="AD47" s="1031">
        <v>1435.0579195265798</v>
      </c>
      <c r="AE47" s="746"/>
      <c r="AF47" s="718">
        <f>+AB47+AD47</f>
        <v>9021.5762480040066</v>
      </c>
      <c r="AG47" s="749"/>
      <c r="AH47" s="1031">
        <v>939.32254909136691</v>
      </c>
      <c r="AI47" s="746"/>
      <c r="AJ47" s="718">
        <f>+AF47+AH47</f>
        <v>9960.8987970953731</v>
      </c>
      <c r="AK47" s="749"/>
      <c r="AL47" s="1031">
        <v>971.27816825387947</v>
      </c>
      <c r="AM47" s="747"/>
      <c r="AN47" s="717">
        <f>SUM(AD47,AH47,AL47)</f>
        <v>3345.6586368718258</v>
      </c>
      <c r="AO47" s="746"/>
      <c r="AP47" s="697">
        <f>AJ47+AL47</f>
        <v>10932.176965349252</v>
      </c>
      <c r="AQ47" s="749"/>
      <c r="AR47" s="1031">
        <v>963.10192172250731</v>
      </c>
      <c r="AS47" s="746"/>
      <c r="AT47" s="718">
        <f>+AP47+AR47</f>
        <v>11895.27888707176</v>
      </c>
      <c r="AU47" s="749"/>
      <c r="AV47" s="1031">
        <v>871.36281316027771</v>
      </c>
      <c r="AW47" s="746"/>
      <c r="AX47" s="718">
        <f>+AT47+AV47</f>
        <v>12766.641700232038</v>
      </c>
      <c r="AY47" s="749"/>
      <c r="AZ47" s="1031">
        <v>970.54957763475466</v>
      </c>
      <c r="BA47" s="747"/>
      <c r="BB47" s="717">
        <f>SUM(AR47,AV47,AZ47)</f>
        <v>2805.0143125175396</v>
      </c>
      <c r="BC47" s="739"/>
      <c r="BD47" s="2129">
        <f>SUM(AN47,BB47)</f>
        <v>6150.6729493893654</v>
      </c>
      <c r="BE47" s="746"/>
      <c r="BF47" s="718">
        <f>+AX47+AZ47</f>
        <v>13737.191277866792</v>
      </c>
      <c r="BG47" s="1111"/>
      <c r="BH47" s="1111"/>
      <c r="BI47" s="1111"/>
      <c r="BJ47" s="1111"/>
      <c r="BK47" s="1111"/>
      <c r="BL47" s="23"/>
      <c r="BM47" s="23"/>
      <c r="BN47" s="23"/>
    </row>
    <row r="48" spans="1:66" ht="16.5" customHeight="1" thickBot="1" x14ac:dyDescent="0.35">
      <c r="B48" s="2139" t="s">
        <v>141</v>
      </c>
      <c r="C48" s="2140" t="s">
        <v>50</v>
      </c>
      <c r="D48" s="2081">
        <f>SUM(D46:D47)</f>
        <v>25967.682622499997</v>
      </c>
      <c r="E48" s="2141">
        <f>SUM(E46:E47)</f>
        <v>2129.9985000000001</v>
      </c>
      <c r="F48" s="2141">
        <f>SUM(F46:F47)</f>
        <v>1457.6620809171809</v>
      </c>
      <c r="G48" s="2141">
        <f>SUM(G46:G47)</f>
        <v>2192.6361224999996</v>
      </c>
      <c r="H48" s="2141">
        <f>SUM(H46:H47)</f>
        <v>1459.2502320249146</v>
      </c>
      <c r="I48" s="1079"/>
      <c r="J48" s="1080">
        <f t="shared" si="159"/>
        <v>2916.9123129420955</v>
      </c>
      <c r="K48" s="104"/>
      <c r="L48" s="2141">
        <f>SUM(L46:L47)</f>
        <v>2171.2114683426889</v>
      </c>
      <c r="M48" s="1430"/>
      <c r="N48" s="2142">
        <f t="shared" si="160"/>
        <v>5088.1237812847849</v>
      </c>
      <c r="O48" s="104"/>
      <c r="P48" s="2141">
        <f>SUM(P46:P47)</f>
        <v>2247.3157774108913</v>
      </c>
      <c r="Q48" s="1079"/>
      <c r="R48" s="2143">
        <f t="shared" ref="R48" si="169">SUM(R46:R47)</f>
        <v>7335.4395586956762</v>
      </c>
      <c r="S48" s="104"/>
      <c r="T48" s="2141">
        <f>SUM(T46:T47)</f>
        <v>2262.7214654949139</v>
      </c>
      <c r="U48" s="1079"/>
      <c r="V48" s="2143">
        <f t="shared" ref="V48" si="170">SUM(V46:V47)</f>
        <v>9598.161024190591</v>
      </c>
      <c r="W48" s="104"/>
      <c r="X48" s="2141">
        <f>SUM(X46:X47)</f>
        <v>2197.9445440336581</v>
      </c>
      <c r="Y48" s="1430"/>
      <c r="Z48" s="2142">
        <f>SUM(Z46:Z47)</f>
        <v>6707.9817869394628</v>
      </c>
      <c r="AA48" s="2151"/>
      <c r="AB48" s="1905">
        <f>SUM(AB46:AB47)</f>
        <v>11796.105568224248</v>
      </c>
      <c r="AC48" s="104"/>
      <c r="AD48" s="2141">
        <f>SUM(AD46:AD47)</f>
        <v>2238.7569203592193</v>
      </c>
      <c r="AE48" s="1079"/>
      <c r="AF48" s="2143">
        <f t="shared" ref="AF48" si="171">SUM(AF46:AF47)</f>
        <v>14034.862488583465</v>
      </c>
      <c r="AG48" s="104"/>
      <c r="AH48" s="2141">
        <f>SUM(AH46:AH47)</f>
        <v>1440.8118230187597</v>
      </c>
      <c r="AI48" s="1079"/>
      <c r="AJ48" s="2143">
        <f t="shared" ref="AJ48" si="172">SUM(AJ46:AJ47)</f>
        <v>15475.674311602226</v>
      </c>
      <c r="AK48" s="104"/>
      <c r="AL48" s="2141">
        <f>SUM(AL46:AL47)</f>
        <v>1488.7861620651224</v>
      </c>
      <c r="AM48" s="1430"/>
      <c r="AN48" s="2142">
        <f>SUM(AN46:AN47)</f>
        <v>5168.3549054431005</v>
      </c>
      <c r="AO48" s="1079"/>
      <c r="AP48" s="2143">
        <f t="shared" ref="AP48" si="173">SUM(AP46:AP47)</f>
        <v>16964.460473667346</v>
      </c>
      <c r="AQ48" s="104"/>
      <c r="AR48" s="2141">
        <f>SUM(AR46:AR47)</f>
        <v>1485.0133676921637</v>
      </c>
      <c r="AS48" s="1079"/>
      <c r="AT48" s="2143">
        <f t="shared" ref="AT48" si="174">SUM(AT46:AT47)</f>
        <v>18449.473841359511</v>
      </c>
      <c r="AU48" s="104"/>
      <c r="AV48" s="2141">
        <f>SUM(AV46:AV47)</f>
        <v>1340.5343802705634</v>
      </c>
      <c r="AW48" s="1079"/>
      <c r="AX48" s="2143">
        <f t="shared" ref="AX48" si="175">SUM(AX46:AX47)</f>
        <v>19790.008221630076</v>
      </c>
      <c r="AY48" s="104"/>
      <c r="AZ48" s="2141">
        <f>SUM(AZ46:AZ47)</f>
        <v>1508.8025648617838</v>
      </c>
      <c r="BA48" s="1430"/>
      <c r="BB48" s="2142">
        <f>SUM(BB46:BB47)</f>
        <v>4334.3503128245102</v>
      </c>
      <c r="BC48" s="2151"/>
      <c r="BD48" s="1905">
        <f>SUM(BD46:BD47)</f>
        <v>9502.7052182676125</v>
      </c>
      <c r="BE48" s="1079"/>
      <c r="BF48" s="2143">
        <f t="shared" ref="BF48" si="176">SUM(BF46:BF47)</f>
        <v>21298.810786491857</v>
      </c>
      <c r="BG48" s="1111"/>
      <c r="BH48" s="1111"/>
      <c r="BI48" s="1111"/>
      <c r="BJ48" s="1111"/>
      <c r="BK48" s="1111"/>
      <c r="BL48" s="23"/>
      <c r="BM48" s="23"/>
      <c r="BN48" s="23"/>
    </row>
    <row r="49" spans="1:66" ht="15.75" customHeight="1" x14ac:dyDescent="0.3">
      <c r="B49" s="1642" t="s">
        <v>153</v>
      </c>
      <c r="C49" s="146" t="s">
        <v>50</v>
      </c>
      <c r="D49" s="187">
        <v>21206.052</v>
      </c>
      <c r="E49" s="187">
        <v>1769.88</v>
      </c>
      <c r="F49" s="1031">
        <v>1561.3832853025935</v>
      </c>
      <c r="G49" s="187">
        <v>1828.876</v>
      </c>
      <c r="H49" s="1031">
        <v>1612.8014957930818</v>
      </c>
      <c r="I49" s="746"/>
      <c r="J49" s="231">
        <f t="shared" si="159"/>
        <v>3174.1847810956751</v>
      </c>
      <c r="K49" s="749"/>
      <c r="L49" s="1031">
        <v>1535.7967572033463</v>
      </c>
      <c r="M49" s="747"/>
      <c r="N49" s="717">
        <f t="shared" si="160"/>
        <v>4709.9815382990218</v>
      </c>
      <c r="O49" s="749"/>
      <c r="P49" s="1031">
        <v>1574.3455389375965</v>
      </c>
      <c r="Q49" s="746"/>
      <c r="R49" s="718">
        <f>+N49+P49</f>
        <v>6284.3270772366186</v>
      </c>
      <c r="S49" s="749"/>
      <c r="T49" s="1031">
        <v>1617.090984113885</v>
      </c>
      <c r="U49" s="746"/>
      <c r="V49" s="718">
        <f>+R49+T49</f>
        <v>7901.4180613505032</v>
      </c>
      <c r="W49" s="749"/>
      <c r="X49" s="1031">
        <v>1575.8180118416951</v>
      </c>
      <c r="Y49" s="747"/>
      <c r="Z49" s="717">
        <f>SUM(P49,T49,X49)</f>
        <v>4767.2545348931762</v>
      </c>
      <c r="AA49" s="739"/>
      <c r="AB49" s="2129">
        <f>SUM(N49,Z49)</f>
        <v>9477.2360731921981</v>
      </c>
      <c r="AC49" s="749"/>
      <c r="AD49" s="1031">
        <v>1768.1378018318069</v>
      </c>
      <c r="AE49" s="746"/>
      <c r="AF49" s="718">
        <f>+AB49+AD49</f>
        <v>11245.373875024005</v>
      </c>
      <c r="AG49" s="749"/>
      <c r="AH49" s="1031">
        <v>1504.4678217821784</v>
      </c>
      <c r="AI49" s="746"/>
      <c r="AJ49" s="718">
        <f>+AF49+AH49</f>
        <v>12749.841696806183</v>
      </c>
      <c r="AK49" s="749"/>
      <c r="AL49" s="1031">
        <v>1552.5239814337287</v>
      </c>
      <c r="AM49" s="747"/>
      <c r="AN49" s="717">
        <f>SUM(AD49,AH49,AL49)</f>
        <v>4825.129605047714</v>
      </c>
      <c r="AO49" s="746"/>
      <c r="AP49" s="697">
        <f>AJ49+AL49</f>
        <v>14302.365678239912</v>
      </c>
      <c r="AQ49" s="749"/>
      <c r="AR49" s="1031">
        <v>1565.7343379089689</v>
      </c>
      <c r="AS49" s="746"/>
      <c r="AT49" s="718">
        <f>+AP49+AR49</f>
        <v>15868.100016148881</v>
      </c>
      <c r="AU49" s="749"/>
      <c r="AV49" s="1031">
        <v>1407.5147013308572</v>
      </c>
      <c r="AW49" s="746"/>
      <c r="AX49" s="718">
        <f>+AT49+AV49</f>
        <v>17275.614717479737</v>
      </c>
      <c r="AY49" s="749"/>
      <c r="AZ49" s="1031">
        <v>1614.7589616810876</v>
      </c>
      <c r="BA49" s="747"/>
      <c r="BB49" s="717">
        <f>SUM(AR49,AV49,AZ49)</f>
        <v>4588.0080009209132</v>
      </c>
      <c r="BC49" s="739"/>
      <c r="BD49" s="2129">
        <f>SUM(AN49,BB49)</f>
        <v>9413.1376059686263</v>
      </c>
      <c r="BE49" s="746"/>
      <c r="BF49" s="718">
        <f>+AX49+AZ49</f>
        <v>18890.373679160824</v>
      </c>
      <c r="BG49" s="1111"/>
      <c r="BH49" s="1111"/>
      <c r="BI49" s="1111"/>
      <c r="BJ49" s="1111"/>
      <c r="BK49" s="1111"/>
      <c r="BL49" s="23"/>
      <c r="BM49" s="23"/>
      <c r="BN49" s="23"/>
    </row>
    <row r="50" spans="1:66" ht="16.5" customHeight="1" thickBot="1" x14ac:dyDescent="0.35">
      <c r="B50" s="1642" t="s">
        <v>154</v>
      </c>
      <c r="C50" s="146" t="s">
        <v>50</v>
      </c>
      <c r="D50" s="187">
        <v>39385.207452499999</v>
      </c>
      <c r="E50" s="187">
        <v>3200.1165000000001</v>
      </c>
      <c r="F50" s="1031">
        <v>2811.6029574489489</v>
      </c>
      <c r="G50" s="187">
        <v>3287.2749524999999</v>
      </c>
      <c r="H50" s="1031">
        <v>2764.9492002816619</v>
      </c>
      <c r="I50" s="746"/>
      <c r="J50" s="231">
        <f t="shared" si="159"/>
        <v>5576.5521577306108</v>
      </c>
      <c r="K50" s="749"/>
      <c r="L50" s="1031">
        <v>2806.6261794820311</v>
      </c>
      <c r="M50" s="747"/>
      <c r="N50" s="717">
        <f t="shared" si="160"/>
        <v>8383.1783372126411</v>
      </c>
      <c r="O50" s="749"/>
      <c r="P50" s="1031">
        <v>2920.2860158841859</v>
      </c>
      <c r="Q50" s="746"/>
      <c r="R50" s="718">
        <f>+N50+P50</f>
        <v>11303.464353096828</v>
      </c>
      <c r="S50" s="749"/>
      <c r="T50" s="1031">
        <v>2908.3519468759432</v>
      </c>
      <c r="U50" s="746"/>
      <c r="V50" s="718">
        <f>+R50+T50</f>
        <v>14211.816299972772</v>
      </c>
      <c r="W50" s="749"/>
      <c r="X50" s="1031">
        <v>3296.7062914699982</v>
      </c>
      <c r="Y50" s="747"/>
      <c r="Z50" s="717">
        <f>SUM(P50,T50,X50)</f>
        <v>9125.3442542301273</v>
      </c>
      <c r="AA50" s="739"/>
      <c r="AB50" s="2129">
        <f>SUM(N50,Z50)</f>
        <v>17508.522591442768</v>
      </c>
      <c r="AC50" s="749"/>
      <c r="AD50" s="1031">
        <v>3157.1274229584756</v>
      </c>
      <c r="AE50" s="746"/>
      <c r="AF50" s="718">
        <f>+AB50+AD50</f>
        <v>20665.650014401243</v>
      </c>
      <c r="AG50" s="749"/>
      <c r="AH50" s="1031">
        <v>2817.9676472741007</v>
      </c>
      <c r="AI50" s="746"/>
      <c r="AJ50" s="718">
        <f>+AF50+AH50</f>
        <v>23483.617661675344</v>
      </c>
      <c r="AK50" s="749"/>
      <c r="AL50" s="1031">
        <v>2913.8345047616381</v>
      </c>
      <c r="AM50" s="747"/>
      <c r="AN50" s="717">
        <f>SUM(AD50,AH50,AL50)</f>
        <v>8888.9295749942139</v>
      </c>
      <c r="AO50" s="746"/>
      <c r="AP50" s="697">
        <f>AJ50+AL50</f>
        <v>26397.452166436982</v>
      </c>
      <c r="AQ50" s="749"/>
      <c r="AR50" s="1031">
        <v>2889.3057651675213</v>
      </c>
      <c r="AS50" s="746"/>
      <c r="AT50" s="718">
        <f>+AP50+AR50</f>
        <v>29286.757931604505</v>
      </c>
      <c r="AU50" s="749"/>
      <c r="AV50" s="1031">
        <v>2614.0884394808331</v>
      </c>
      <c r="AW50" s="746"/>
      <c r="AX50" s="718">
        <f>+AT50+AV50</f>
        <v>31900.846371085339</v>
      </c>
      <c r="AY50" s="749"/>
      <c r="AZ50" s="1031">
        <v>2911.6487329042639</v>
      </c>
      <c r="BA50" s="747"/>
      <c r="BB50" s="717">
        <f>SUM(AR50,AV50,AZ50)</f>
        <v>8415.0429375526182</v>
      </c>
      <c r="BC50" s="739"/>
      <c r="BD50" s="2129">
        <f>SUM(AN50,BB50)</f>
        <v>17303.972512546832</v>
      </c>
      <c r="BE50" s="746"/>
      <c r="BF50" s="718">
        <f>+AX50+AZ50</f>
        <v>34812.495103989604</v>
      </c>
      <c r="BG50" s="1111"/>
      <c r="BH50" s="1111"/>
      <c r="BI50" s="1111"/>
      <c r="BJ50" s="1111"/>
      <c r="BK50" s="1111"/>
      <c r="BL50" s="23"/>
      <c r="BM50" s="23"/>
      <c r="BN50" s="23"/>
    </row>
    <row r="51" spans="1:66" ht="16.5" customHeight="1" thickBot="1" x14ac:dyDescent="0.35">
      <c r="B51" s="2139" t="s">
        <v>142</v>
      </c>
      <c r="C51" s="2140" t="s">
        <v>50</v>
      </c>
      <c r="D51" s="2081">
        <f>SUM(D49:D50)</f>
        <v>60591.259452500002</v>
      </c>
      <c r="E51" s="2141">
        <f>SUM(E49:E50)</f>
        <v>4969.9965000000002</v>
      </c>
      <c r="F51" s="2141">
        <f>SUM(F49:F50)</f>
        <v>4372.9862427515427</v>
      </c>
      <c r="G51" s="2141">
        <f>SUM(G49:G50)</f>
        <v>5116.1509525000001</v>
      </c>
      <c r="H51" s="2141">
        <f>SUM(H49:H50)</f>
        <v>4377.7506960747432</v>
      </c>
      <c r="I51" s="1079"/>
      <c r="J51" s="1080">
        <f t="shared" si="159"/>
        <v>8750.736938826285</v>
      </c>
      <c r="K51" s="104"/>
      <c r="L51" s="2141">
        <f>SUM(L49:L50)</f>
        <v>4342.4229366853779</v>
      </c>
      <c r="M51" s="1430"/>
      <c r="N51" s="2142">
        <f t="shared" si="160"/>
        <v>13093.159875511663</v>
      </c>
      <c r="O51" s="104"/>
      <c r="P51" s="2141">
        <f>SUM(P49:P50)</f>
        <v>4494.6315548217826</v>
      </c>
      <c r="Q51" s="1079"/>
      <c r="R51" s="2143">
        <f t="shared" ref="R51" si="177">SUM(R49:R50)</f>
        <v>17587.791430333447</v>
      </c>
      <c r="S51" s="104"/>
      <c r="T51" s="2141">
        <f>SUM(T49:T50)</f>
        <v>4525.4429309898278</v>
      </c>
      <c r="U51" s="1079"/>
      <c r="V51" s="2143">
        <f t="shared" ref="V51" si="178">SUM(V49:V50)</f>
        <v>22113.234361323273</v>
      </c>
      <c r="W51" s="104"/>
      <c r="X51" s="2141">
        <f>SUM(X49:X50)</f>
        <v>4872.5243033116931</v>
      </c>
      <c r="Y51" s="1430"/>
      <c r="Z51" s="2142">
        <f>SUM(Z49:Z50)</f>
        <v>13892.598789123304</v>
      </c>
      <c r="AA51" s="2151"/>
      <c r="AB51" s="1905">
        <f>SUM(AB49:AB50)</f>
        <v>26985.758664634966</v>
      </c>
      <c r="AC51" s="104"/>
      <c r="AD51" s="2141">
        <f>SUM(AD49:AD50)</f>
        <v>4925.2652247902824</v>
      </c>
      <c r="AE51" s="1079"/>
      <c r="AF51" s="2143">
        <f t="shared" ref="AF51" si="179">SUM(AF49:AF50)</f>
        <v>31911.023889425247</v>
      </c>
      <c r="AG51" s="104"/>
      <c r="AH51" s="2141">
        <f>SUM(AH49:AH50)</f>
        <v>4322.4354690562795</v>
      </c>
      <c r="AI51" s="1079"/>
      <c r="AJ51" s="2143">
        <f t="shared" ref="AJ51" si="180">SUM(AJ49:AJ50)</f>
        <v>36233.45935848153</v>
      </c>
      <c r="AK51" s="104"/>
      <c r="AL51" s="2141">
        <f>SUM(AL49:AL50)</f>
        <v>4466.3584861953668</v>
      </c>
      <c r="AM51" s="1430"/>
      <c r="AN51" s="2142">
        <f>SUM(AN49:AN50)</f>
        <v>13714.059180041928</v>
      </c>
      <c r="AO51" s="1079"/>
      <c r="AP51" s="2143">
        <f t="shared" ref="AP51" si="181">SUM(AP49:AP50)</f>
        <v>40699.817844676894</v>
      </c>
      <c r="AQ51" s="104"/>
      <c r="AR51" s="2141">
        <f>SUM(AR49:AR50)</f>
        <v>4455.0401030764897</v>
      </c>
      <c r="AS51" s="1079"/>
      <c r="AT51" s="2143">
        <f t="shared" ref="AT51" si="182">SUM(AT49:AT50)</f>
        <v>45154.857947753386</v>
      </c>
      <c r="AU51" s="104"/>
      <c r="AV51" s="2141">
        <f>SUM(AV49:AV50)</f>
        <v>4021.6031408116905</v>
      </c>
      <c r="AW51" s="1079"/>
      <c r="AX51" s="2143">
        <f t="shared" ref="AX51" si="183">SUM(AX49:AX50)</f>
        <v>49176.461088565076</v>
      </c>
      <c r="AY51" s="104"/>
      <c r="AZ51" s="2141">
        <f>SUM(AZ49:AZ50)</f>
        <v>4526.4076945853512</v>
      </c>
      <c r="BA51" s="1430"/>
      <c r="BB51" s="2142">
        <f>SUM(BB49:BB50)</f>
        <v>13003.050938473531</v>
      </c>
      <c r="BC51" s="2151"/>
      <c r="BD51" s="1905">
        <f>SUM(BD49:BD50)</f>
        <v>26717.110118515458</v>
      </c>
      <c r="BE51" s="1079"/>
      <c r="BF51" s="2143">
        <f t="shared" ref="BF51" si="184">SUM(BF49:BF50)</f>
        <v>53702.868783150428</v>
      </c>
      <c r="BG51" s="1111"/>
      <c r="BH51" s="1111"/>
      <c r="BI51" s="1111"/>
      <c r="BJ51" s="1111"/>
      <c r="BK51" s="1111"/>
      <c r="BL51" s="23"/>
      <c r="BM51" s="23"/>
      <c r="BN51" s="23"/>
    </row>
    <row r="52" spans="1:66" ht="15.75" customHeight="1" x14ac:dyDescent="0.3">
      <c r="B52" s="1642" t="s">
        <v>155</v>
      </c>
      <c r="C52" s="146" t="s">
        <v>50</v>
      </c>
      <c r="D52" s="187">
        <v>6058.8719999999985</v>
      </c>
      <c r="E52" s="187">
        <v>505.68</v>
      </c>
      <c r="F52" s="1031">
        <v>520.46109510086455</v>
      </c>
      <c r="G52" s="187">
        <v>522.53599999999994</v>
      </c>
      <c r="H52" s="1031">
        <v>537.60049859769401</v>
      </c>
      <c r="I52" s="746"/>
      <c r="J52" s="231">
        <f t="shared" si="159"/>
        <v>1058.0615936985587</v>
      </c>
      <c r="K52" s="749"/>
      <c r="L52" s="1031">
        <v>511.93225240111542</v>
      </c>
      <c r="M52" s="747"/>
      <c r="N52" s="717">
        <f t="shared" si="160"/>
        <v>1569.9938460996741</v>
      </c>
      <c r="O52" s="749"/>
      <c r="P52" s="1031">
        <v>524.78184631253225</v>
      </c>
      <c r="Q52" s="746"/>
      <c r="R52" s="718">
        <f>+N52+P52</f>
        <v>2094.7756924122064</v>
      </c>
      <c r="S52" s="749"/>
      <c r="T52" s="1031">
        <v>539.03032803796157</v>
      </c>
      <c r="U52" s="746"/>
      <c r="V52" s="718">
        <f>+R52+T52</f>
        <v>2633.806020450168</v>
      </c>
      <c r="W52" s="749"/>
      <c r="X52" s="1031">
        <v>525.27267061389841</v>
      </c>
      <c r="Y52" s="747"/>
      <c r="Z52" s="717">
        <f>SUM(P52,T52,X52)</f>
        <v>1589.0848449643922</v>
      </c>
      <c r="AA52" s="739"/>
      <c r="AB52" s="2129">
        <f>SUM(N52,Z52)</f>
        <v>3159.0786910640663</v>
      </c>
      <c r="AC52" s="749"/>
      <c r="AD52" s="1031">
        <v>535.79933388842642</v>
      </c>
      <c r="AE52" s="746"/>
      <c r="AF52" s="718">
        <f>+AB52+AD52</f>
        <v>3694.8780249524925</v>
      </c>
      <c r="AG52" s="749"/>
      <c r="AH52" s="1031">
        <v>501.48927392739284</v>
      </c>
      <c r="AI52" s="746"/>
      <c r="AJ52" s="718">
        <f>+AF52+AH52</f>
        <v>4196.3672988798853</v>
      </c>
      <c r="AK52" s="749"/>
      <c r="AL52" s="1031">
        <v>517.50799381124295</v>
      </c>
      <c r="AM52" s="747"/>
      <c r="AN52" s="717">
        <f>SUM(AD52,AH52,AL52)</f>
        <v>1554.796601627062</v>
      </c>
      <c r="AO52" s="746"/>
      <c r="AP52" s="697">
        <f>AJ52+AL52</f>
        <v>4713.8752926911284</v>
      </c>
      <c r="AQ52" s="749"/>
      <c r="AR52" s="1031">
        <v>521.91144596965637</v>
      </c>
      <c r="AS52" s="746"/>
      <c r="AT52" s="718">
        <f>+AP52+AR52</f>
        <v>5235.786738660785</v>
      </c>
      <c r="AU52" s="749"/>
      <c r="AV52" s="1031">
        <v>469.17156711028571</v>
      </c>
      <c r="AW52" s="746"/>
      <c r="AX52" s="718">
        <f>+AT52+AV52</f>
        <v>5704.9583057710706</v>
      </c>
      <c r="AY52" s="749"/>
      <c r="AZ52" s="1031">
        <v>538.25298722702917</v>
      </c>
      <c r="BA52" s="747"/>
      <c r="BB52" s="717">
        <f>SUM(AR52,AV52,AZ52)</f>
        <v>1529.3360003069711</v>
      </c>
      <c r="BC52" s="739"/>
      <c r="BD52" s="2129">
        <f>SUM(AN52,BB52)</f>
        <v>3084.1326019340331</v>
      </c>
      <c r="BE52" s="746"/>
      <c r="BF52" s="718">
        <f>+AX52+AZ52</f>
        <v>6243.2112929980995</v>
      </c>
      <c r="BG52" s="1111"/>
      <c r="BH52" s="1111"/>
      <c r="BI52" s="1111"/>
      <c r="BJ52" s="1111"/>
      <c r="BK52" s="1111"/>
      <c r="BL52" s="23"/>
      <c r="BM52" s="23"/>
      <c r="BN52" s="23"/>
    </row>
    <row r="53" spans="1:66" ht="16.5" customHeight="1" thickBot="1" x14ac:dyDescent="0.35">
      <c r="B53" s="1642" t="s">
        <v>156</v>
      </c>
      <c r="C53" s="146" t="s">
        <v>50</v>
      </c>
      <c r="D53" s="187">
        <v>11252.916414999998</v>
      </c>
      <c r="E53" s="187">
        <v>914.31900000000007</v>
      </c>
      <c r="F53" s="1031">
        <v>937.20098581631646</v>
      </c>
      <c r="G53" s="187">
        <v>939.22141499999998</v>
      </c>
      <c r="H53" s="1031">
        <v>921.64973342722055</v>
      </c>
      <c r="I53" s="746"/>
      <c r="J53" s="231">
        <f t="shared" si="159"/>
        <v>1858.850719243537</v>
      </c>
      <c r="K53" s="749"/>
      <c r="L53" s="1031">
        <v>935.54205982734379</v>
      </c>
      <c r="M53" s="747"/>
      <c r="N53" s="717">
        <f t="shared" si="160"/>
        <v>2794.3927790708808</v>
      </c>
      <c r="O53" s="749"/>
      <c r="P53" s="1031">
        <v>973.42867196139537</v>
      </c>
      <c r="Q53" s="746"/>
      <c r="R53" s="718">
        <f>+N53+P53</f>
        <v>3767.8214510322759</v>
      </c>
      <c r="S53" s="749"/>
      <c r="T53" s="1031">
        <v>969.45064895864778</v>
      </c>
      <c r="U53" s="746"/>
      <c r="V53" s="718">
        <f>+R53+T53</f>
        <v>4737.2720999909234</v>
      </c>
      <c r="W53" s="749"/>
      <c r="X53" s="1031">
        <v>940.0236920752069</v>
      </c>
      <c r="Y53" s="747"/>
      <c r="Z53" s="717">
        <f>SUM(P53,T53,X53)</f>
        <v>2882.9030129952498</v>
      </c>
      <c r="AA53" s="739"/>
      <c r="AB53" s="2129">
        <f>SUM(N53,Z53)</f>
        <v>5677.2957920661302</v>
      </c>
      <c r="AC53" s="749"/>
      <c r="AD53" s="1031">
        <v>956.70527968438648</v>
      </c>
      <c r="AE53" s="746"/>
      <c r="AF53" s="718">
        <f>+AB53+AD53</f>
        <v>6634.0010717505165</v>
      </c>
      <c r="AG53" s="749"/>
      <c r="AH53" s="1031">
        <v>939.32254909136691</v>
      </c>
      <c r="AI53" s="746"/>
      <c r="AJ53" s="718">
        <f>+AF53+AH53</f>
        <v>7573.3236208418839</v>
      </c>
      <c r="AK53" s="749"/>
      <c r="AL53" s="1031">
        <v>971.27816825387947</v>
      </c>
      <c r="AM53" s="747"/>
      <c r="AN53" s="717">
        <f>SUM(AD53,AH53,AL53)</f>
        <v>2867.3059970296326</v>
      </c>
      <c r="AO53" s="746"/>
      <c r="AP53" s="697">
        <f>AJ53+AL53</f>
        <v>8544.6017890957628</v>
      </c>
      <c r="AQ53" s="749"/>
      <c r="AR53" s="1031">
        <v>963.10192172250731</v>
      </c>
      <c r="AS53" s="746"/>
      <c r="AT53" s="718">
        <f>+AP53+AR53</f>
        <v>9507.7037108182703</v>
      </c>
      <c r="AU53" s="749"/>
      <c r="AV53" s="1031">
        <v>871.36281316027771</v>
      </c>
      <c r="AW53" s="746"/>
      <c r="AX53" s="718">
        <f>+AT53+AV53</f>
        <v>10379.066523978549</v>
      </c>
      <c r="AY53" s="749"/>
      <c r="AZ53" s="1031">
        <v>970.54957763475466</v>
      </c>
      <c r="BA53" s="747"/>
      <c r="BB53" s="717">
        <f>SUM(AR53,AV53,AZ53)</f>
        <v>2805.0143125175396</v>
      </c>
      <c r="BC53" s="739"/>
      <c r="BD53" s="2129">
        <f>SUM(AN53,BB53)</f>
        <v>5672.3203095471727</v>
      </c>
      <c r="BE53" s="746"/>
      <c r="BF53" s="718">
        <f>+AX53+AZ53</f>
        <v>11349.616101613303</v>
      </c>
      <c r="BG53" s="1111"/>
      <c r="BH53" s="1111"/>
      <c r="BI53" s="1111"/>
      <c r="BJ53" s="1111"/>
      <c r="BK53" s="1111"/>
      <c r="BL53" s="23"/>
      <c r="BM53" s="23"/>
      <c r="BN53" s="23"/>
    </row>
    <row r="54" spans="1:66" ht="16.5" customHeight="1" thickBot="1" x14ac:dyDescent="0.35">
      <c r="B54" s="2139" t="s">
        <v>143</v>
      </c>
      <c r="C54" s="2140" t="s">
        <v>50</v>
      </c>
      <c r="D54" s="2141">
        <f>SUM(D52:D53)</f>
        <v>17311.788414999995</v>
      </c>
      <c r="E54" s="2141">
        <f>SUM(E52:E53)</f>
        <v>1419.999</v>
      </c>
      <c r="F54" s="2141">
        <f>SUM(F52:F53)</f>
        <v>1457.6620809171809</v>
      </c>
      <c r="G54" s="2141">
        <f>SUM(G52:G53)</f>
        <v>1461.757415</v>
      </c>
      <c r="H54" s="2141">
        <f>SUM(H52:H53)</f>
        <v>1459.2502320249146</v>
      </c>
      <c r="I54" s="1079"/>
      <c r="J54" s="1080">
        <f t="shared" si="159"/>
        <v>2916.9123129420955</v>
      </c>
      <c r="K54" s="104"/>
      <c r="L54" s="2141">
        <f>SUM(L52:L53)</f>
        <v>1447.4743122284592</v>
      </c>
      <c r="M54" s="1430"/>
      <c r="N54" s="2142">
        <f t="shared" si="160"/>
        <v>4364.3866251705549</v>
      </c>
      <c r="O54" s="104"/>
      <c r="P54" s="2141">
        <f>SUM(P52:P53)</f>
        <v>1498.2105182739276</v>
      </c>
      <c r="Q54" s="1079"/>
      <c r="R54" s="2143">
        <f t="shared" ref="R54" si="185">SUM(R52:R53)</f>
        <v>5862.5971434444818</v>
      </c>
      <c r="S54" s="104"/>
      <c r="T54" s="2141">
        <f>SUM(T52:T53)</f>
        <v>1508.4809769966093</v>
      </c>
      <c r="U54" s="1079"/>
      <c r="V54" s="2143">
        <f t="shared" ref="V54" si="186">SUM(V52:V53)</f>
        <v>7371.0781204410914</v>
      </c>
      <c r="W54" s="104"/>
      <c r="X54" s="2141">
        <f>SUM(X52:X53)</f>
        <v>1465.2963626891053</v>
      </c>
      <c r="Y54" s="1430"/>
      <c r="Z54" s="2142">
        <f>SUM(Z52:Z53)</f>
        <v>4471.9878579596425</v>
      </c>
      <c r="AA54" s="2151"/>
      <c r="AB54" s="1905">
        <f>SUM(AB52:AB53)</f>
        <v>8836.3744831301956</v>
      </c>
      <c r="AC54" s="104"/>
      <c r="AD54" s="2141">
        <f>SUM(AD52:AD53)</f>
        <v>1492.504613572813</v>
      </c>
      <c r="AE54" s="1079"/>
      <c r="AF54" s="2143">
        <f t="shared" ref="AF54" si="187">SUM(AF52:AF53)</f>
        <v>10328.879096703009</v>
      </c>
      <c r="AG54" s="104"/>
      <c r="AH54" s="2141">
        <f>SUM(AH52:AH53)</f>
        <v>1440.8118230187597</v>
      </c>
      <c r="AI54" s="1079"/>
      <c r="AJ54" s="2143">
        <f t="shared" ref="AJ54" si="188">SUM(AJ52:AJ53)</f>
        <v>11769.690919721768</v>
      </c>
      <c r="AK54" s="104"/>
      <c r="AL54" s="2141">
        <f>SUM(AL52:AL53)</f>
        <v>1488.7861620651224</v>
      </c>
      <c r="AM54" s="1430"/>
      <c r="AN54" s="2142">
        <f>SUM(AN52:AN53)</f>
        <v>4422.1025986566947</v>
      </c>
      <c r="AO54" s="1079"/>
      <c r="AP54" s="2143">
        <f t="shared" ref="AP54" si="189">SUM(AP52:AP53)</f>
        <v>13258.477081786892</v>
      </c>
      <c r="AQ54" s="104"/>
      <c r="AR54" s="2141">
        <f>SUM(AR52:AR53)</f>
        <v>1485.0133676921637</v>
      </c>
      <c r="AS54" s="1079"/>
      <c r="AT54" s="2143">
        <f t="shared" ref="AT54" si="190">SUM(AT52:AT53)</f>
        <v>14743.490449479055</v>
      </c>
      <c r="AU54" s="104"/>
      <c r="AV54" s="2141">
        <f>SUM(AV52:AV53)</f>
        <v>1340.5343802705634</v>
      </c>
      <c r="AW54" s="1079"/>
      <c r="AX54" s="2143">
        <f t="shared" ref="AX54" si="191">SUM(AX52:AX53)</f>
        <v>16084.024829749618</v>
      </c>
      <c r="AY54" s="104"/>
      <c r="AZ54" s="2141">
        <f>SUM(AZ52:AZ53)</f>
        <v>1508.8025648617838</v>
      </c>
      <c r="BA54" s="1430"/>
      <c r="BB54" s="2142">
        <f>SUM(BB52:BB53)</f>
        <v>4334.3503128245102</v>
      </c>
      <c r="BC54" s="2151"/>
      <c r="BD54" s="1905">
        <f>SUM(BD52:BD53)</f>
        <v>8756.4529114812067</v>
      </c>
      <c r="BE54" s="1079"/>
      <c r="BF54" s="2143">
        <f t="shared" ref="BF54" si="192">SUM(BF52:BF53)</f>
        <v>17592.827394611402</v>
      </c>
      <c r="BG54" s="1111"/>
      <c r="BH54" s="1111"/>
      <c r="BI54" s="1111"/>
      <c r="BJ54" s="1111"/>
      <c r="BK54" s="1111"/>
      <c r="BL54" s="23"/>
      <c r="BM54" s="23"/>
      <c r="BN54" s="23"/>
    </row>
    <row r="55" spans="1:66" ht="15.75" customHeight="1" x14ac:dyDescent="0.3">
      <c r="B55" s="1642" t="s">
        <v>157</v>
      </c>
      <c r="C55" s="146" t="s">
        <v>50</v>
      </c>
      <c r="D55" s="187">
        <f>D43+D46+D49+D52</f>
        <v>457444.83600000007</v>
      </c>
      <c r="E55" s="187">
        <f>E43+E46+E49+E52</f>
        <v>38178.839999999997</v>
      </c>
      <c r="F55" s="1094">
        <f t="shared" ref="F55:H55" si="193">+F43+F46+F49+F52</f>
        <v>38774.35158501441</v>
      </c>
      <c r="G55" s="187">
        <f>G43+G46+G49+G52</f>
        <v>39451.467999999993</v>
      </c>
      <c r="H55" s="1094">
        <f t="shared" si="193"/>
        <v>40051.23714552819</v>
      </c>
      <c r="I55" s="746"/>
      <c r="J55" s="231">
        <f t="shared" si="159"/>
        <v>78825.5887305426</v>
      </c>
      <c r="K55" s="749"/>
      <c r="L55" s="1094">
        <f t="shared" ref="L55" si="194">+L43+L46+L49+L52</f>
        <v>38650.885056284213</v>
      </c>
      <c r="M55" s="747"/>
      <c r="N55" s="717">
        <f t="shared" si="160"/>
        <v>117476.47378682681</v>
      </c>
      <c r="O55" s="749"/>
      <c r="P55" s="1094">
        <f t="shared" ref="P55:P56" si="195">+P43+P46+P49+P52</f>
        <v>39621.029396596183</v>
      </c>
      <c r="Q55" s="746"/>
      <c r="R55" s="718">
        <f>+N55+P55</f>
        <v>157097.50318342299</v>
      </c>
      <c r="S55" s="749"/>
      <c r="T55" s="1094">
        <f t="shared" ref="T55:T56" si="196">+T43+T46+T49+T52</f>
        <v>40696.789766866095</v>
      </c>
      <c r="U55" s="746"/>
      <c r="V55" s="718">
        <f>+R55+T55</f>
        <v>197794.29295028909</v>
      </c>
      <c r="W55" s="749"/>
      <c r="X55" s="1094">
        <f t="shared" ref="X55:X56" si="197">+X43+X46+X49+X52</f>
        <v>39658.086631349324</v>
      </c>
      <c r="Y55" s="747"/>
      <c r="Z55" s="717">
        <f>SUM(P55,T55,X55)</f>
        <v>119975.90579481161</v>
      </c>
      <c r="AA55" s="739"/>
      <c r="AB55" s="2129">
        <f>SUM(N55,Z55)</f>
        <v>237452.37958163844</v>
      </c>
      <c r="AC55" s="749"/>
      <c r="AD55" s="1094">
        <f t="shared" ref="AD55:AD56" si="198">+AD43+AD46+AD49+AD52</f>
        <v>40452.849708576192</v>
      </c>
      <c r="AE55" s="746"/>
      <c r="AF55" s="718">
        <f>+AB55+AD55</f>
        <v>277905.2292902146</v>
      </c>
      <c r="AG55" s="749"/>
      <c r="AH55" s="1094">
        <f t="shared" ref="AH55:AH56" si="199">+AH43+AH46+AH49+AH52</f>
        <v>37360.950907590763</v>
      </c>
      <c r="AI55" s="746"/>
      <c r="AJ55" s="718">
        <f>+AF55+AH55</f>
        <v>315266.18019780534</v>
      </c>
      <c r="AK55" s="749"/>
      <c r="AL55" s="1094">
        <f t="shared" ref="AL55:AL56" si="200">+AL43+AL46+AL49+AL52</f>
        <v>38554.345538937581</v>
      </c>
      <c r="AM55" s="747"/>
      <c r="AN55" s="717">
        <f>SUM(AD55,AH55,AL55)</f>
        <v>116368.14615510454</v>
      </c>
      <c r="AO55" s="746"/>
      <c r="AP55" s="697">
        <f>AJ55+AL55</f>
        <v>353820.52573674294</v>
      </c>
      <c r="AQ55" s="749"/>
      <c r="AR55" s="1094">
        <f t="shared" ref="AR55:AR56" si="201">+AR43+AR46+AR49+AR52</f>
        <v>38882.402724739397</v>
      </c>
      <c r="AS55" s="746"/>
      <c r="AT55" s="718">
        <f>+AP55+AR55</f>
        <v>392702.92846148234</v>
      </c>
      <c r="AU55" s="749"/>
      <c r="AV55" s="1094">
        <f t="shared" ref="AV55:AV56" si="202">+AV43+AV46+AV49+AV52</f>
        <v>34953.281749716283</v>
      </c>
      <c r="AW55" s="746"/>
      <c r="AX55" s="718">
        <f>+AT55+AV55</f>
        <v>427656.2102111986</v>
      </c>
      <c r="AY55" s="749"/>
      <c r="AZ55" s="1094">
        <f t="shared" ref="AZ55:AZ56" si="203">+AZ43+AZ46+AZ49+AZ52</f>
        <v>40099.84754841368</v>
      </c>
      <c r="BA55" s="747"/>
      <c r="BB55" s="717">
        <f>SUM(AR55,AV55,AZ55)</f>
        <v>113935.53202286936</v>
      </c>
      <c r="BC55" s="739"/>
      <c r="BD55" s="2129">
        <f>SUM(AN55,BB55)</f>
        <v>230303.6781779739</v>
      </c>
      <c r="BE55" s="746"/>
      <c r="BF55" s="718">
        <f>+AX55+AZ55</f>
        <v>467756.05775961227</v>
      </c>
      <c r="BG55" s="1111"/>
      <c r="BH55" s="1111"/>
      <c r="BI55" s="1111"/>
      <c r="BJ55" s="1111"/>
      <c r="BK55" s="1111"/>
      <c r="BL55" s="23"/>
      <c r="BM55" s="23"/>
      <c r="BN55" s="23"/>
    </row>
    <row r="56" spans="1:66" ht="16.5" customHeight="1" thickBot="1" x14ac:dyDescent="0.35">
      <c r="B56" s="1642" t="s">
        <v>158</v>
      </c>
      <c r="C56" s="146" t="s">
        <v>50</v>
      </c>
      <c r="D56" s="187">
        <f>D44+D47+D50+D53</f>
        <v>849595.18933249998</v>
      </c>
      <c r="E56" s="187">
        <f>E44+E47+E50+E53</f>
        <v>69031.084500000012</v>
      </c>
      <c r="F56" s="1094">
        <f t="shared" ref="F56:H56" si="204">+F44+F47+F50+F53</f>
        <v>69821.473443315568</v>
      </c>
      <c r="G56" s="187">
        <f>G44+G47+G50+G53</f>
        <v>70911.216832500009</v>
      </c>
      <c r="H56" s="1094">
        <f t="shared" si="204"/>
        <v>68662.905140327915</v>
      </c>
      <c r="I56" s="746"/>
      <c r="J56" s="231">
        <f t="shared" si="159"/>
        <v>138484.37858364347</v>
      </c>
      <c r="K56" s="749"/>
      <c r="L56" s="1094">
        <f t="shared" ref="L56" si="205">+L44+L47+L50+L53</f>
        <v>70633.42551696446</v>
      </c>
      <c r="M56" s="747"/>
      <c r="N56" s="717">
        <f t="shared" si="160"/>
        <v>209117.80410060793</v>
      </c>
      <c r="O56" s="749"/>
      <c r="P56" s="1094">
        <f t="shared" si="195"/>
        <v>73493.864733085327</v>
      </c>
      <c r="Q56" s="746"/>
      <c r="R56" s="718">
        <f>+N56+P56</f>
        <v>282611.66883369326</v>
      </c>
      <c r="S56" s="749"/>
      <c r="T56" s="1094">
        <f t="shared" si="196"/>
        <v>73193.523996377917</v>
      </c>
      <c r="U56" s="746"/>
      <c r="V56" s="718">
        <f>+R56+T56</f>
        <v>355805.1928300712</v>
      </c>
      <c r="W56" s="749"/>
      <c r="X56" s="1094">
        <f t="shared" si="197"/>
        <v>70971.788751678119</v>
      </c>
      <c r="Y56" s="747"/>
      <c r="Z56" s="717">
        <f>SUM(P56,T56,X56)</f>
        <v>217659.17748114135</v>
      </c>
      <c r="AA56" s="739"/>
      <c r="AB56" s="2129">
        <f>SUM(N56,Z56)</f>
        <v>426776.98158174928</v>
      </c>
      <c r="AC56" s="749"/>
      <c r="AD56" s="1094">
        <f t="shared" si="198"/>
        <v>72231.2486161712</v>
      </c>
      <c r="AE56" s="746"/>
      <c r="AF56" s="718">
        <f>+AB56+AD56</f>
        <v>499008.23019792046</v>
      </c>
      <c r="AG56" s="749"/>
      <c r="AH56" s="1094">
        <f t="shared" si="199"/>
        <v>69979.529907306816</v>
      </c>
      <c r="AI56" s="746"/>
      <c r="AJ56" s="718">
        <f>+AF56+AH56</f>
        <v>568987.76010522724</v>
      </c>
      <c r="AK56" s="749"/>
      <c r="AL56" s="1094">
        <f t="shared" si="200"/>
        <v>72360.22353491401</v>
      </c>
      <c r="AM56" s="747"/>
      <c r="AN56" s="717">
        <f>SUM(AD56,AH56,AL56)</f>
        <v>214571.00205839204</v>
      </c>
      <c r="AO56" s="746"/>
      <c r="AP56" s="697">
        <f>AJ56+AL56</f>
        <v>641347.9836401412</v>
      </c>
      <c r="AQ56" s="749"/>
      <c r="AR56" s="1094">
        <f t="shared" si="201"/>
        <v>71751.093168326785</v>
      </c>
      <c r="AS56" s="746"/>
      <c r="AT56" s="718">
        <f>+AP56+AR56</f>
        <v>713099.07680846797</v>
      </c>
      <c r="AU56" s="749"/>
      <c r="AV56" s="1094">
        <f t="shared" si="202"/>
        <v>64916.529580440678</v>
      </c>
      <c r="AW56" s="746"/>
      <c r="AX56" s="718">
        <f>+AT56+AV56</f>
        <v>778015.60638890869</v>
      </c>
      <c r="AY56" s="749"/>
      <c r="AZ56" s="1094">
        <f t="shared" si="203"/>
        <v>72305.943533789192</v>
      </c>
      <c r="BA56" s="747"/>
      <c r="BB56" s="717">
        <f>SUM(AR56,AV56,AZ56)</f>
        <v>208973.56628255665</v>
      </c>
      <c r="BC56" s="739"/>
      <c r="BD56" s="2129">
        <f>SUM(AN56,BB56)</f>
        <v>423544.56834094867</v>
      </c>
      <c r="BE56" s="746"/>
      <c r="BF56" s="718">
        <f>+AX56+AZ56</f>
        <v>850321.54992269794</v>
      </c>
      <c r="BG56" s="1111"/>
      <c r="BH56" s="1111"/>
      <c r="BI56" s="1111"/>
      <c r="BJ56" s="1111"/>
      <c r="BK56" s="1111"/>
      <c r="BL56" s="23"/>
      <c r="BM56" s="23"/>
      <c r="BN56" s="23"/>
    </row>
    <row r="57" spans="1:66" ht="16.5" customHeight="1" thickBot="1" x14ac:dyDescent="0.35">
      <c r="B57" s="2139" t="s">
        <v>144</v>
      </c>
      <c r="C57" s="2140" t="s">
        <v>50</v>
      </c>
      <c r="D57" s="2141">
        <f>SUM(D55:D56)</f>
        <v>1307040.0253325</v>
      </c>
      <c r="E57" s="2141">
        <f>SUM(E55:E56)</f>
        <v>107209.92450000001</v>
      </c>
      <c r="F57" s="2141">
        <f t="shared" ref="F57" si="206">SUM(F55:F56)</f>
        <v>108595.82502832997</v>
      </c>
      <c r="G57" s="2141">
        <f>SUM(G55:G56)</f>
        <v>110362.6848325</v>
      </c>
      <c r="H57" s="2141">
        <f t="shared" ref="H57" si="207">SUM(H55:H56)</f>
        <v>108714.1422858561</v>
      </c>
      <c r="I57" s="1079"/>
      <c r="J57" s="1080">
        <f t="shared" si="159"/>
        <v>217309.96731418607</v>
      </c>
      <c r="K57" s="104"/>
      <c r="L57" s="2141">
        <f t="shared" ref="L57" si="208">SUM(L55:L56)</f>
        <v>109284.31057324867</v>
      </c>
      <c r="M57" s="1430"/>
      <c r="N57" s="2142">
        <f t="shared" si="160"/>
        <v>326594.27788743476</v>
      </c>
      <c r="O57" s="104"/>
      <c r="P57" s="2141">
        <f t="shared" ref="P57" si="209">SUM(P55:P56)</f>
        <v>113114.89412968152</v>
      </c>
      <c r="Q57" s="1079"/>
      <c r="R57" s="2143">
        <f t="shared" ref="R57" si="210">SUM(R55:R56)</f>
        <v>439709.17201711622</v>
      </c>
      <c r="S57" s="104"/>
      <c r="T57" s="2141">
        <f t="shared" ref="T57" si="211">SUM(T55:T56)</f>
        <v>113890.31376324402</v>
      </c>
      <c r="U57" s="1079"/>
      <c r="V57" s="2143">
        <f t="shared" ref="V57" si="212">SUM(V55:V56)</f>
        <v>553599.48578036029</v>
      </c>
      <c r="W57" s="104"/>
      <c r="X57" s="2141">
        <f t="shared" ref="X57" si="213">SUM(X55:X56)</f>
        <v>110629.87538302745</v>
      </c>
      <c r="Y57" s="1430"/>
      <c r="Z57" s="2142">
        <f>SUM(Z55:Z56)</f>
        <v>337635.08327595296</v>
      </c>
      <c r="AA57" s="2151"/>
      <c r="AB57" s="1905">
        <f>SUM(AB55:AB56)</f>
        <v>664229.36116338777</v>
      </c>
      <c r="AC57" s="104"/>
      <c r="AD57" s="2141">
        <f t="shared" ref="AD57" si="214">SUM(AD55:AD56)</f>
        <v>112684.09832474739</v>
      </c>
      <c r="AE57" s="1079"/>
      <c r="AF57" s="2143">
        <f t="shared" ref="AF57" si="215">SUM(AF55:AF56)</f>
        <v>776913.45948813506</v>
      </c>
      <c r="AG57" s="104"/>
      <c r="AH57" s="2141">
        <f t="shared" ref="AH57" si="216">SUM(AH55:AH56)</f>
        <v>107340.48081489757</v>
      </c>
      <c r="AI57" s="1079"/>
      <c r="AJ57" s="2143">
        <f t="shared" ref="AJ57" si="217">SUM(AJ55:AJ56)</f>
        <v>884253.94030303252</v>
      </c>
      <c r="AK57" s="104"/>
      <c r="AL57" s="2141">
        <f t="shared" ref="AL57" si="218">SUM(AL55:AL56)</f>
        <v>110914.5690738516</v>
      </c>
      <c r="AM57" s="1430"/>
      <c r="AN57" s="2142">
        <f>SUM(AN55:AN56)</f>
        <v>330939.14821349655</v>
      </c>
      <c r="AO57" s="1079"/>
      <c r="AP57" s="2143">
        <f t="shared" ref="AP57" si="219">SUM(AP55:AP56)</f>
        <v>995168.50937688421</v>
      </c>
      <c r="AQ57" s="104"/>
      <c r="AR57" s="2141">
        <f t="shared" ref="AR57" si="220">SUM(AR55:AR56)</f>
        <v>110633.49589306618</v>
      </c>
      <c r="AS57" s="1079"/>
      <c r="AT57" s="2143">
        <f t="shared" ref="AT57" si="221">SUM(AT55:AT56)</f>
        <v>1105802.0052699503</v>
      </c>
      <c r="AU57" s="104"/>
      <c r="AV57" s="2141">
        <f t="shared" ref="AV57" si="222">SUM(AV55:AV56)</f>
        <v>99869.811330156954</v>
      </c>
      <c r="AW57" s="1079"/>
      <c r="AX57" s="2143">
        <f t="shared" ref="AX57" si="223">SUM(AX55:AX56)</f>
        <v>1205671.8166001074</v>
      </c>
      <c r="AY57" s="104"/>
      <c r="AZ57" s="2141">
        <f t="shared" ref="AZ57" si="224">SUM(AZ55:AZ56)</f>
        <v>112405.79108220286</v>
      </c>
      <c r="BA57" s="1430"/>
      <c r="BB57" s="2142">
        <f>SUM(BB55:BB56)</f>
        <v>322909.09830542601</v>
      </c>
      <c r="BC57" s="2151"/>
      <c r="BD57" s="1905">
        <f>SUM(BD55:BD56)</f>
        <v>653848.2465189225</v>
      </c>
      <c r="BE57" s="1079"/>
      <c r="BF57" s="2143">
        <f t="shared" ref="BF57" si="225">SUM(BF55:BF56)</f>
        <v>1318077.6076823103</v>
      </c>
      <c r="BG57" s="1111"/>
      <c r="BH57" s="1111"/>
      <c r="BI57" s="1111"/>
      <c r="BJ57" s="1111"/>
      <c r="BK57" s="1111"/>
      <c r="BL57" s="23"/>
      <c r="BM57" s="23"/>
      <c r="BN57" s="23"/>
    </row>
    <row r="58" spans="1:66" ht="15" thickBot="1" x14ac:dyDescent="0.35">
      <c r="A58" s="491"/>
      <c r="B58" s="491"/>
      <c r="C58" s="491"/>
      <c r="D58" s="491"/>
      <c r="E58" s="491"/>
      <c r="F58" s="491"/>
      <c r="G58" s="491"/>
      <c r="H58" s="491"/>
      <c r="I58" s="491"/>
      <c r="J58" s="491"/>
      <c r="K58" s="491"/>
      <c r="L58" s="491"/>
      <c r="M58" s="491"/>
      <c r="N58" s="491"/>
      <c r="O58" s="491"/>
      <c r="P58" s="491"/>
      <c r="Q58" s="491"/>
      <c r="R58" s="491"/>
      <c r="S58" s="491"/>
      <c r="T58" s="491"/>
      <c r="U58" s="491"/>
      <c r="V58" s="491"/>
      <c r="W58" s="491"/>
      <c r="X58" s="491"/>
      <c r="Y58" s="491"/>
      <c r="Z58" s="491"/>
      <c r="AA58" s="491"/>
      <c r="AB58" s="491"/>
      <c r="AC58" s="491"/>
      <c r="AD58" s="491"/>
      <c r="AE58" s="491"/>
      <c r="AF58" s="491"/>
      <c r="AG58" s="491"/>
      <c r="AH58" s="491"/>
      <c r="AI58" s="491"/>
      <c r="AJ58" s="491"/>
      <c r="AK58" s="491"/>
      <c r="AL58" s="491"/>
      <c r="AM58" s="491"/>
      <c r="AN58" s="491"/>
      <c r="AO58" s="491"/>
      <c r="AP58" s="491"/>
      <c r="AQ58" s="491"/>
      <c r="AR58" s="491"/>
      <c r="AS58" s="491"/>
      <c r="AT58" s="491"/>
      <c r="AU58" s="491"/>
      <c r="AV58" s="491"/>
      <c r="AW58" s="491"/>
      <c r="AX58" s="491"/>
      <c r="AY58" s="491"/>
      <c r="AZ58" s="491"/>
      <c r="BA58" s="491"/>
      <c r="BB58" s="491"/>
      <c r="BC58" s="491"/>
      <c r="BD58" s="491"/>
      <c r="BE58" s="491"/>
      <c r="BF58" s="491"/>
      <c r="BG58" s="1111"/>
      <c r="BH58" s="1111"/>
      <c r="BI58" s="1111"/>
      <c r="BJ58" s="1111"/>
      <c r="BK58" s="1111"/>
      <c r="BL58" s="23"/>
      <c r="BM58" s="23"/>
      <c r="BN58" s="23"/>
    </row>
    <row r="59" spans="1:66" ht="16.2" thickBot="1" x14ac:dyDescent="0.35">
      <c r="A59"/>
      <c r="B59" s="1646" t="s">
        <v>1484</v>
      </c>
      <c r="D59"/>
      <c r="E59"/>
      <c r="F59" s="1507"/>
      <c r="G59"/>
      <c r="H59" s="1507"/>
      <c r="I59"/>
      <c r="J59"/>
      <c r="K59"/>
      <c r="L59" s="1507"/>
      <c r="M59"/>
      <c r="N59"/>
      <c r="O59"/>
      <c r="P59" s="1507"/>
      <c r="Q59"/>
      <c r="R59"/>
      <c r="S59"/>
      <c r="T59" s="1507"/>
      <c r="U59"/>
      <c r="X59" s="1507"/>
      <c r="AD59" s="1507"/>
      <c r="AH59" s="1507"/>
      <c r="AL59" s="1507"/>
      <c r="AR59" s="1507"/>
      <c r="AV59" s="1507"/>
      <c r="AZ59" s="1507"/>
      <c r="BG59" s="1111"/>
      <c r="BH59" s="1111"/>
      <c r="BI59" s="1111"/>
      <c r="BJ59" s="1111"/>
      <c r="BK59" s="1111"/>
      <c r="BL59" s="23"/>
      <c r="BM59" s="23"/>
      <c r="BN59" s="23"/>
    </row>
    <row r="60" spans="1:66" ht="16.2" thickBot="1" x14ac:dyDescent="0.35">
      <c r="A60" s="88"/>
      <c r="B60" s="1638" t="s">
        <v>145</v>
      </c>
      <c r="C60" s="1616" t="s">
        <v>219</v>
      </c>
      <c r="D60" s="1624">
        <v>18.879781979219896</v>
      </c>
      <c r="E60" s="1617">
        <v>19.028571428571432</v>
      </c>
      <c r="F60" s="1617">
        <v>19.033000000000001</v>
      </c>
      <c r="G60" s="1617">
        <v>19.028571428571432</v>
      </c>
      <c r="H60" s="1617">
        <v>19.233000000000001</v>
      </c>
      <c r="I60" s="1618">
        <f>+((E60*E$5*E$2)+(G60*G$2*G$5))/((E$5*E$2)+(G$5*G$2))</f>
        <v>19.028571428571432</v>
      </c>
      <c r="J60" s="1620">
        <f>+((F60*F$5*F$2)+(H60*H$2*H$5))/((F$5*F$2)+(H$5*H$2))</f>
        <v>19.134159858799801</v>
      </c>
      <c r="K60" s="1617">
        <v>18.893617021276597</v>
      </c>
      <c r="L60" s="1617">
        <v>18.866666666666667</v>
      </c>
      <c r="M60" s="1619">
        <f t="shared" ref="M60:N61" si="226">+((E60*E$5*E$2)+(G60*G$5*G$2)+(K60*K$5*K$2))/((E$5*E$2)+(G$5*G$2)+(K$5*K$2))</f>
        <v>18.985314844282794</v>
      </c>
      <c r="N60" s="2212">
        <f t="shared" si="226"/>
        <v>19.046863360132864</v>
      </c>
      <c r="O60" s="1617">
        <v>18.893617021276597</v>
      </c>
      <c r="P60" s="1617">
        <v>18.616666666666667</v>
      </c>
      <c r="Q60" s="1618">
        <f>+((M60*M$5*M$2)+(O60*O$2*O$5))/((M$5*M$2)+(O$5*O$2))</f>
        <v>18.962500000000002</v>
      </c>
      <c r="R60" s="1618">
        <f>+((N60*N$5*N$2)+(P60*P$5*P$2))/((N$5*N$2)+(P$5*P$2))</f>
        <v>18.938921904600331</v>
      </c>
      <c r="S60" s="1617">
        <v>18.893617021276597</v>
      </c>
      <c r="T60" s="1617">
        <v>18.883333333333333</v>
      </c>
      <c r="U60" s="1618">
        <f>+((Q60*Q$5*Q$2)+(S60*S$2*S$5))/((Q$5*Q$2)+(S$5*S$2))</f>
        <v>18.948776152057981</v>
      </c>
      <c r="V60" s="1618">
        <f>+((R60*R$5*R$2)+(T60*T$5*T$2))/((R$5*R$2)+(T$5*T$2))</f>
        <v>18.927532002428002</v>
      </c>
      <c r="W60" s="1617">
        <v>19.283387622149839</v>
      </c>
      <c r="X60" s="1617">
        <v>19</v>
      </c>
      <c r="Y60" s="1619">
        <f>+((O60*O$5*O$2)+(S60*S$5*S$2)+(W60*W$5*W$2))/((O$5*O$2)+(S$5*S$2)+(W$5*W$2))</f>
        <v>19.018973344197416</v>
      </c>
      <c r="Z60" s="2189">
        <f>(P60*P$5*P$2+T60*T$5*T$2+X60*X$5*X$2)/(P$5*P$2+T$5*T$2+X$5*X$2)</f>
        <v>18.833445240226801</v>
      </c>
      <c r="AA60" s="2191">
        <f t="shared" ref="AA60:AB61" si="227">(M60*M$5*M$2+Y60*Y$5*Y$2)/(M$5*M$2+Y$5*Y$2)</f>
        <v>19.001943757547878</v>
      </c>
      <c r="AB60" s="2190">
        <f t="shared" si="227"/>
        <v>18.939523667473406</v>
      </c>
      <c r="AC60" s="1617">
        <v>18.893617021276597</v>
      </c>
      <c r="AD60" s="1617">
        <v>19.3</v>
      </c>
      <c r="AE60" s="1618">
        <f t="shared" ref="AE60:AE61" si="228">+((AA60*AA$5*AA$2)+(AC60*AC$5*AC$2))/((AA$5*AA$2)+(AC$5*AC$2))</f>
        <v>18.986396099098659</v>
      </c>
      <c r="AF60" s="1620">
        <f t="shared" ref="AF60:AF61" si="229">+((AB60*AB$5*AB$2)+(AD60*AD$5*AD$2))/((AB$5*AB$2)+(AD$5*AD$2))</f>
        <v>18.991494075144509</v>
      </c>
      <c r="AG60" s="1617">
        <v>18.893617021276597</v>
      </c>
      <c r="AH60" s="1617">
        <v>18.7</v>
      </c>
      <c r="AI60" s="1618">
        <f t="shared" ref="AI60:AI61" si="230">+((AE60*AE$5*AE$2)+(AG60*AG$5*AG$2))/((AE$5*AE$2)+(AG$5*AG$2))</f>
        <v>18.975081088094111</v>
      </c>
      <c r="AJ60" s="1620">
        <f t="shared" ref="AJ60:AJ61" si="231">+((AF60*AF$5*AF$2)+(AH60*AH$5*AH$2))/((AF$5*AF$2)+(AH$5*AH$2))</f>
        <v>18.956557298511893</v>
      </c>
      <c r="AK60" s="1617">
        <v>18.893617021276597</v>
      </c>
      <c r="AL60" s="1617">
        <v>19.05</v>
      </c>
      <c r="AM60" s="1619">
        <f>+((AC60*AC$5*AC$2)+(AG60*AG$5*AG$2)+(AK60*AK$5*AK$2))/((AC$5*AC$2)+(AG$5*AG$2)+(AK$5*AK$2))</f>
        <v>18.893617021276601</v>
      </c>
      <c r="AN60" s="2189">
        <f>(AD60*AD$5*AD$2+AH60*AH$5*AH$2+AL60*AL$5*AL$2)/(AD$5*AD$2+AH$5*AH$2+AL$5*AL$2)</f>
        <v>19.022393270001142</v>
      </c>
      <c r="AO60" s="1618">
        <f t="shared" ref="AO60:AP61" si="232">+((AK60*AK$5*AK$2)+(AI60*AI$5*AI$2))/((AK$5*AK$2)+(AI$5*AI$2))</f>
        <v>18.965963820716677</v>
      </c>
      <c r="AP60" s="1620">
        <f t="shared" si="232"/>
        <v>18.966841495623299</v>
      </c>
      <c r="AQ60" s="1617">
        <v>18.893617021276597</v>
      </c>
      <c r="AR60" s="1617">
        <v>19.05</v>
      </c>
      <c r="AS60" s="1618">
        <f t="shared" ref="AS60:AS61" si="233">+((AO60*AO$5*AO$2)+(AQ60*AQ$5*AQ$2))/((AO$5*AO$2)+(AQ$5*AQ$2))</f>
        <v>18.958681910814828</v>
      </c>
      <c r="AT60" s="1620">
        <f t="shared" ref="AT60:AT61" si="234">+((AP60*AP$5*AP$2)+(AR60*AR$5*AR$2))/((AP$5*AP$2)+(AR$5*AR$2))</f>
        <v>18.975144919168589</v>
      </c>
      <c r="AU60" s="1617">
        <v>18.893617021276597</v>
      </c>
      <c r="AV60" s="1617">
        <v>18.916666666666668</v>
      </c>
      <c r="AW60" s="1618">
        <f t="shared" ref="AW60:AW61" si="235">+((AS60*AS$5*AS$2)+(AU60*AU$5*AU$2))/((AS$5*AS$2)+(AU$5*AU$2))</f>
        <v>18.953259665009664</v>
      </c>
      <c r="AX60" s="1620">
        <f t="shared" ref="AX60:AX61" si="236">+((AT60*AT$5*AT$2)+(AV60*AV$5*AV$2))/((AT$5*AT$2)+(AV$5*AV$2))</f>
        <v>18.970326404471034</v>
      </c>
      <c r="AY60" s="1617">
        <v>18.893617021276597</v>
      </c>
      <c r="AZ60" s="1617">
        <v>19.05</v>
      </c>
      <c r="BA60" s="1619">
        <f>+((AQ60*AQ$5*AQ$2)+(AU60*AU$5*AU$2)+(AY60*AY$5*AY$2))/((AQ$5*AQ$2)+(AU$5*AU$2)+(AY$5*AY$2))</f>
        <v>18.893617021276601</v>
      </c>
      <c r="BB60" s="2189">
        <f>(AR60*AR$5*AR$2+AV60*AV$5*AV$2+AZ60*AZ$5*AZ$2)/(AR$5*AR$2+AV$5*AV$2+AZ$5*AZ$2)</f>
        <v>19.009112348256402</v>
      </c>
      <c r="BC60" s="2191">
        <f>(AM60*AM$5*AM$2+BA60*BA$5*BA$2)/(AM$5*AM$2+BA$5*BA$2)</f>
        <v>18.893617021276601</v>
      </c>
      <c r="BD60" s="2190">
        <f>(AN60*AN$5*AN$2+BB60*BB$5*BB$2)/(AN$5*AN$2+BB$5*BB$2)</f>
        <v>19.015796800890989</v>
      </c>
      <c r="BE60" s="1618">
        <f t="shared" ref="BE60:BE61" si="237">+((AW60*AW$5*AW$2)+(AY60*AY$5*AY$2))/((AW$5*AW$2)+(AY$5*AY$2))</f>
        <v>18.948221584485616</v>
      </c>
      <c r="BF60" s="1620">
        <f t="shared" ref="BF60:BF61" si="238">+((AX60*AX$5*AX$2)+(AZ60*AZ$5*AZ$2))/((AX$5*AX$2)+(AZ$5*AZ$2))</f>
        <v>18.977217265463381</v>
      </c>
      <c r="BG60" s="1111"/>
      <c r="BH60" s="1111"/>
      <c r="BI60" s="1111"/>
      <c r="BJ60" s="1111"/>
      <c r="BK60" s="1111"/>
      <c r="BL60" s="23"/>
      <c r="BM60" s="23"/>
      <c r="BN60" s="23"/>
    </row>
    <row r="61" spans="1:66" ht="16.2" thickBot="1" x14ac:dyDescent="0.35">
      <c r="A61" s="88"/>
      <c r="B61" s="1639" t="s">
        <v>146</v>
      </c>
      <c r="C61" s="1535" t="s">
        <v>219</v>
      </c>
      <c r="D61" s="1625">
        <v>18.0520162514688</v>
      </c>
      <c r="E61" s="1536">
        <v>18.260869565217391</v>
      </c>
      <c r="F61" s="1536">
        <v>17.7</v>
      </c>
      <c r="G61" s="1536">
        <v>18.369259606373006</v>
      </c>
      <c r="H61" s="1536">
        <v>18.649999999999999</v>
      </c>
      <c r="I61" s="1621">
        <f t="shared" ref="I61" si="239">+((E61*E$5*E$2)+(G61*G$2*G$5))/((E$5*E$2)+(G$5*G$2))</f>
        <v>18.315953028755491</v>
      </c>
      <c r="J61" s="1623">
        <f t="shared" ref="J61" si="240">+((F61*F$5*F$2)+(H61*H$2*H$5))/((F$5*F$2)+(H$5*H$2))</f>
        <v>18.180509329299042</v>
      </c>
      <c r="K61" s="1536">
        <v>17.951020408163266</v>
      </c>
      <c r="L61" s="1536">
        <v>17.7</v>
      </c>
      <c r="M61" s="1622">
        <f t="shared" si="226"/>
        <v>18.198982127406314</v>
      </c>
      <c r="N61" s="2213">
        <f t="shared" si="226"/>
        <v>18.023694938285583</v>
      </c>
      <c r="O61" s="1536">
        <v>17.951020408163266</v>
      </c>
      <c r="P61" s="1536">
        <v>17.566666666666666</v>
      </c>
      <c r="Q61" s="1621">
        <f t="shared" ref="Q61" si="241">+((M61*M$5*M$2)+(O61*O$2*O$5))/((M$5*M$2)+(O$5*O$2))</f>
        <v>18.137288099923882</v>
      </c>
      <c r="R61" s="1621">
        <f>+((N61*N$5*N$2)+(P61*P$5*P$2))/((N$5*N$2)+(P$5*P$2))</f>
        <v>17.909021121384338</v>
      </c>
      <c r="S61" s="1536">
        <v>17.951020408163266</v>
      </c>
      <c r="T61" s="1536">
        <v>17.683333333333334</v>
      </c>
      <c r="U61" s="1621">
        <f t="shared" ref="U61" si="242">+((Q61*Q$5*Q$2)+(S61*S$2*S$5))/((Q$5*Q$2)+(S$5*S$2))</f>
        <v>18.100177197846051</v>
      </c>
      <c r="V61" s="1621">
        <f>+((R61*R$5*R$2)+(T61*T$5*T$2))/((R$5*R$2)+(T$5*T$2))</f>
        <v>17.862778489692225</v>
      </c>
      <c r="W61" s="1536">
        <v>18.814973262032083</v>
      </c>
      <c r="X61" s="1536">
        <v>17.633333333333333</v>
      </c>
      <c r="Y61" s="1619">
        <f t="shared" ref="Y61" si="243">+((O61*O$5*O$2)+(S61*S$5*S$2)+(W61*W$5*W$2))/((O$5*O$2)+(S$5*S$2)+(W$5*W$2))</f>
        <v>18.228881161886878</v>
      </c>
      <c r="Z61" s="2189">
        <f>(P61*P$5*P$2+T61*T$5*T$2+X61*X$5*X$2)/(P$5*P$2+T$5*T$2+X$5*X$2)</f>
        <v>17.628263951059388</v>
      </c>
      <c r="AA61" s="2191">
        <f t="shared" si="227"/>
        <v>18.213753684437915</v>
      </c>
      <c r="AB61" s="2190">
        <f t="shared" si="227"/>
        <v>17.824810979156116</v>
      </c>
      <c r="AC61" s="1536">
        <v>17.951020408163266</v>
      </c>
      <c r="AD61" s="1536">
        <v>17.933333333333334</v>
      </c>
      <c r="AE61" s="1621">
        <f t="shared" si="228"/>
        <v>18.176044736643782</v>
      </c>
      <c r="AF61" s="1623">
        <f t="shared" si="229"/>
        <v>17.840456807964035</v>
      </c>
      <c r="AG61" s="1536">
        <v>17.951020408163266</v>
      </c>
      <c r="AH61" s="1536">
        <v>17.649999999999999</v>
      </c>
      <c r="AI61" s="1621">
        <f t="shared" si="230"/>
        <v>18.148601558582325</v>
      </c>
      <c r="AJ61" s="1623">
        <f t="shared" si="231"/>
        <v>17.817629767809954</v>
      </c>
      <c r="AK61" s="1536">
        <v>17.951020408163266</v>
      </c>
      <c r="AL61" s="1536">
        <v>17.583333333333332</v>
      </c>
      <c r="AM61" s="1619">
        <f t="shared" ref="AM61" si="244">+((AC61*AC$5*AC$2)+(AG61*AG$5*AG$2)+(AK61*AK$5*AK$2))/((AC$5*AC$2)+(AG$5*AG$2)+(AK$5*AK$2))</f>
        <v>17.951020408163266</v>
      </c>
      <c r="AN61" s="2189">
        <f>(AD61*AD$5*AD$2+AH61*AH$5*AH$2+AL61*AL$5*AL$2)/(AD$5*AD$2+AH$5*AH$2+AL$5*AL$2)</f>
        <v>17.724802563809085</v>
      </c>
      <c r="AO61" s="1621">
        <f t="shared" si="232"/>
        <v>18.126488739428002</v>
      </c>
      <c r="AP61" s="1623">
        <f t="shared" si="232"/>
        <v>17.791843369554282</v>
      </c>
      <c r="AQ61" s="1536">
        <v>17.951020408163266</v>
      </c>
      <c r="AR61" s="1536">
        <v>17.82</v>
      </c>
      <c r="AS61" s="1621">
        <f t="shared" si="233"/>
        <v>18.108827355803758</v>
      </c>
      <c r="AT61" s="1623">
        <f t="shared" si="234"/>
        <v>17.79465482497849</v>
      </c>
      <c r="AU61" s="1536">
        <v>17.951020408163266</v>
      </c>
      <c r="AV61" s="1536">
        <v>17.8</v>
      </c>
      <c r="AW61" s="1621">
        <f t="shared" si="235"/>
        <v>18.095676360452153</v>
      </c>
      <c r="AX61" s="1623">
        <f t="shared" si="236"/>
        <v>17.795095258871434</v>
      </c>
      <c r="AY61" s="1536">
        <v>17.951020408163266</v>
      </c>
      <c r="AZ61" s="1536">
        <v>17.670000000000002</v>
      </c>
      <c r="BA61" s="1619">
        <f t="shared" ref="BA61" si="245">+((AQ61*AQ$5*AQ$2)+(AU61*AU$5*AU$2)+(AY61*AY$5*AY$2))/((AQ$5*AQ$2)+(AU$5*AU$2)+(AY$5*AY$2))</f>
        <v>17.951020408163266</v>
      </c>
      <c r="BB61" s="2189">
        <f>(AR61*AR$5*AR$2+AV61*AV$5*AV$2+AZ61*AZ$5*AZ$2)/(AR$5*AR$2+AV$5*AV$2+AZ$5*AZ$2)</f>
        <v>17.761013685919739</v>
      </c>
      <c r="BC61" s="2191">
        <f>(AM61*AM$5*AM$2+BA61*BA$5*BA$2)/(AM$5*AM$2+BA$5*BA$2)</f>
        <v>17.951020408163266</v>
      </c>
      <c r="BD61" s="2190">
        <f>(AN61*AN$5*AN$2+BB61*BB$5*BB$2)/(AN$5*AN$2+BB$5*BB$2)</f>
        <v>17.742788179042567</v>
      </c>
      <c r="BE61" s="1621">
        <f t="shared" si="237"/>
        <v>18.083457111098014</v>
      </c>
      <c r="BF61" s="1623">
        <f t="shared" si="238"/>
        <v>17.784275939949513</v>
      </c>
      <c r="BG61" s="1111"/>
      <c r="BH61" s="1111"/>
      <c r="BI61" s="1111"/>
      <c r="BJ61" s="1111"/>
      <c r="BK61" s="1111"/>
      <c r="BL61" s="23"/>
      <c r="BM61" s="23"/>
      <c r="BN61" s="23"/>
    </row>
    <row r="62" spans="1:66" ht="16.5" customHeight="1" thickBot="1" x14ac:dyDescent="0.35">
      <c r="A62" s="491"/>
      <c r="B62" s="491"/>
      <c r="C62" s="491"/>
      <c r="D62" s="491"/>
      <c r="E62" s="491"/>
      <c r="F62" s="491"/>
      <c r="G62" s="491"/>
      <c r="H62" s="491"/>
      <c r="I62" s="491"/>
      <c r="J62" s="491"/>
      <c r="K62" s="491"/>
      <c r="L62" s="491"/>
      <c r="M62" s="491"/>
      <c r="N62" s="491"/>
      <c r="O62" s="491"/>
      <c r="P62" s="491"/>
      <c r="Q62" s="491"/>
      <c r="R62" s="491"/>
      <c r="S62" s="491"/>
      <c r="T62" s="491"/>
      <c r="U62" s="491"/>
      <c r="V62" s="491"/>
      <c r="W62" s="491"/>
      <c r="X62" s="491"/>
      <c r="Y62" s="491"/>
      <c r="Z62" s="491"/>
      <c r="AA62" s="491"/>
      <c r="AB62" s="491"/>
      <c r="AC62" s="491"/>
      <c r="AD62" s="491"/>
      <c r="AE62" s="491"/>
      <c r="AF62" s="491"/>
      <c r="AG62" s="491"/>
      <c r="AH62" s="491"/>
      <c r="AI62" s="491"/>
      <c r="AJ62" s="491"/>
      <c r="AK62" s="491"/>
      <c r="AL62" s="491"/>
      <c r="AM62" s="491"/>
      <c r="AN62" s="491"/>
      <c r="AO62" s="491"/>
      <c r="AP62" s="491"/>
      <c r="AQ62" s="491"/>
      <c r="AR62" s="491"/>
      <c r="AS62" s="491"/>
      <c r="AT62" s="491"/>
      <c r="AU62" s="491"/>
      <c r="AV62" s="491"/>
      <c r="AW62" s="491"/>
      <c r="AX62" s="491"/>
      <c r="AY62" s="491"/>
      <c r="AZ62" s="491"/>
      <c r="BA62" s="491"/>
      <c r="BB62" s="491"/>
      <c r="BC62" s="491"/>
      <c r="BD62" s="491"/>
      <c r="BE62" s="491"/>
      <c r="BF62" s="491"/>
      <c r="BG62" s="1111"/>
      <c r="BH62" s="1111"/>
      <c r="BI62" s="1111"/>
      <c r="BJ62" s="1111"/>
      <c r="BK62" s="1111"/>
      <c r="BL62" s="23"/>
      <c r="BM62" s="23"/>
      <c r="BN62" s="23"/>
    </row>
    <row r="63" spans="1:66" ht="16.2" thickBot="1" x14ac:dyDescent="0.35">
      <c r="A63" s="136" t="s">
        <v>445</v>
      </c>
      <c r="B63" s="2874" t="s">
        <v>178</v>
      </c>
      <c r="C63" s="1294"/>
      <c r="D63" s="491"/>
      <c r="E63" s="491"/>
      <c r="F63" s="491"/>
      <c r="G63" s="491"/>
      <c r="H63" s="491"/>
      <c r="I63" s="491"/>
      <c r="J63" s="491"/>
      <c r="K63" s="491"/>
      <c r="L63" s="491"/>
      <c r="M63" s="491"/>
      <c r="N63" s="491"/>
      <c r="O63" s="491"/>
      <c r="P63" s="491"/>
      <c r="Q63" s="491"/>
      <c r="R63" s="491"/>
      <c r="S63" s="491"/>
      <c r="T63" s="491"/>
      <c r="U63" s="491"/>
      <c r="V63" s="491"/>
      <c r="W63" s="491"/>
      <c r="X63" s="491"/>
      <c r="Y63" s="215"/>
      <c r="Z63" s="215"/>
      <c r="AA63" s="2144"/>
      <c r="AB63" s="215"/>
      <c r="AC63" s="491"/>
      <c r="AD63" s="491"/>
      <c r="AE63" s="239"/>
      <c r="AF63" s="239"/>
      <c r="AG63" s="491"/>
      <c r="AH63" s="491"/>
      <c r="AI63" s="239"/>
      <c r="AJ63" s="239"/>
      <c r="AK63" s="491"/>
      <c r="AL63" s="491"/>
      <c r="AM63" s="215"/>
      <c r="AN63" s="215"/>
      <c r="AO63" s="239"/>
      <c r="AP63" s="239"/>
      <c r="AQ63" s="491"/>
      <c r="AR63" s="491"/>
      <c r="AS63" s="239"/>
      <c r="AT63" s="239"/>
      <c r="AU63" s="491"/>
      <c r="AV63" s="491"/>
      <c r="AW63" s="239"/>
      <c r="AX63" s="239"/>
      <c r="AY63" s="491"/>
      <c r="AZ63" s="491"/>
      <c r="BA63" s="215"/>
      <c r="BB63" s="215"/>
      <c r="BC63" s="2377"/>
      <c r="BD63" s="2378"/>
      <c r="BE63" s="239"/>
      <c r="BF63" s="239"/>
      <c r="BG63" s="1111"/>
      <c r="BH63" s="1111"/>
      <c r="BI63" s="1111"/>
      <c r="BJ63" s="1111"/>
      <c r="BK63" s="1111"/>
      <c r="BL63" s="23"/>
      <c r="BM63" s="23"/>
      <c r="BN63" s="23"/>
    </row>
    <row r="64" spans="1:66" ht="15" thickBot="1" x14ac:dyDescent="0.35">
      <c r="B64" s="1633" t="s">
        <v>179</v>
      </c>
      <c r="C64" s="1277" t="s">
        <v>50</v>
      </c>
      <c r="D64" s="413">
        <v>14541.292799999999</v>
      </c>
      <c r="E64" s="143">
        <v>1213.6320000000001</v>
      </c>
      <c r="F64" s="460">
        <v>1112.4000000000001</v>
      </c>
      <c r="G64" s="143">
        <v>1254.0863999999999</v>
      </c>
      <c r="H64" s="460">
        <v>1139.3499999999999</v>
      </c>
      <c r="I64" s="57">
        <f>+E64+G64</f>
        <v>2467.7183999999997</v>
      </c>
      <c r="J64" s="35">
        <f>+F64+H64</f>
        <v>2251.75</v>
      </c>
      <c r="K64" s="143">
        <v>1212.5999999999999</v>
      </c>
      <c r="L64" s="460">
        <v>1140.2</v>
      </c>
      <c r="M64" s="68">
        <f>+E64+G64+K64</f>
        <v>3680.3183999999997</v>
      </c>
      <c r="N64" s="115">
        <f>+F64+H64+L64</f>
        <v>3391.95</v>
      </c>
      <c r="O64" s="143">
        <v>1253.02</v>
      </c>
      <c r="P64" s="460">
        <v>1166.7</v>
      </c>
      <c r="Q64" s="57">
        <f>+M64+O64</f>
        <v>4933.3383999999996</v>
      </c>
      <c r="R64" s="35">
        <f>+N64+P64</f>
        <v>4558.6499999999996</v>
      </c>
      <c r="S64" s="143">
        <v>1253.02</v>
      </c>
      <c r="T64" s="460">
        <v>1199.7</v>
      </c>
      <c r="U64" s="57">
        <f>+Q64+S64</f>
        <v>6186.3583999999992</v>
      </c>
      <c r="V64" s="35">
        <f>+R64+T64</f>
        <v>5758.3499999999995</v>
      </c>
      <c r="W64" s="143">
        <v>1188.0899999999999</v>
      </c>
      <c r="X64" s="460">
        <v>1161</v>
      </c>
      <c r="Y64" s="698">
        <f>+O64+S64+W64</f>
        <v>3694.13</v>
      </c>
      <c r="Z64" s="79">
        <f>+P64+T64+X64</f>
        <v>3527.4</v>
      </c>
      <c r="AA64" s="696">
        <f>+M64+Y64</f>
        <v>7374.4483999999993</v>
      </c>
      <c r="AB64" s="696">
        <f>+N64+Z64</f>
        <v>6919.35</v>
      </c>
      <c r="AC64" s="143">
        <v>1253.02</v>
      </c>
      <c r="AD64" s="460">
        <v>1128.9000000000001</v>
      </c>
      <c r="AE64" s="57">
        <f>+AA64+AC64</f>
        <v>8627.4683999999997</v>
      </c>
      <c r="AF64" s="35">
        <f>+AB64+AD64</f>
        <v>8048.25</v>
      </c>
      <c r="AG64" s="143">
        <v>1212.5999999999999</v>
      </c>
      <c r="AH64" s="460">
        <v>1067.8</v>
      </c>
      <c r="AI64" s="57">
        <f>+AE64+AG64</f>
        <v>9840.0684000000001</v>
      </c>
      <c r="AJ64" s="35">
        <f>+AF64+AH64</f>
        <v>9116.0499999999993</v>
      </c>
      <c r="AK64" s="143">
        <v>1253.02</v>
      </c>
      <c r="AL64" s="460">
        <v>1101.3800000000001</v>
      </c>
      <c r="AM64" s="698">
        <f>+AC64+AG64+AK64</f>
        <v>3718.64</v>
      </c>
      <c r="AN64" s="79">
        <f>+AD64+AH64+AL64</f>
        <v>3298.08</v>
      </c>
      <c r="AO64" s="697">
        <f>AI64+AK64</f>
        <v>11093.088400000001</v>
      </c>
      <c r="AP64" s="697">
        <f>AJ64+AL64</f>
        <v>10217.43</v>
      </c>
      <c r="AQ64" s="143">
        <v>1253.02</v>
      </c>
      <c r="AR64" s="460">
        <v>1111.4000000000001</v>
      </c>
      <c r="AS64" s="57">
        <f>+AO64+AQ64</f>
        <v>12346.108400000001</v>
      </c>
      <c r="AT64" s="35">
        <f>+AP64+AR64</f>
        <v>11328.83</v>
      </c>
      <c r="AU64" s="143">
        <v>1131.76</v>
      </c>
      <c r="AV64" s="460">
        <v>1005.72</v>
      </c>
      <c r="AW64" s="57">
        <f>+AS64+AU64</f>
        <v>13477.868400000001</v>
      </c>
      <c r="AX64" s="35">
        <f>+AT64+AV64</f>
        <v>12334.55</v>
      </c>
      <c r="AY64" s="143">
        <v>1253.02</v>
      </c>
      <c r="AZ64" s="460">
        <v>1149.48</v>
      </c>
      <c r="BA64" s="698">
        <f>+AQ64+AU64+AY64</f>
        <v>3637.7999999999997</v>
      </c>
      <c r="BB64" s="2370">
        <f>+AR64+AV64+AZ64</f>
        <v>3266.6</v>
      </c>
      <c r="BC64" s="2379">
        <f t="shared" ref="BC64:BC65" si="246">+AM64+BA64</f>
        <v>7356.44</v>
      </c>
      <c r="BD64" s="2379">
        <f t="shared" ref="BD64:BD65" si="247">+AN64+BB64</f>
        <v>6564.68</v>
      </c>
      <c r="BE64" s="402">
        <f>+AW64+AY64</f>
        <v>14730.888400000002</v>
      </c>
      <c r="BF64" s="35">
        <f>+AX64+AZ64</f>
        <v>13484.029999999999</v>
      </c>
      <c r="BG64" s="1111"/>
      <c r="BH64" s="1111"/>
      <c r="BI64" s="1111"/>
      <c r="BJ64" s="1111"/>
      <c r="BK64" s="1111"/>
      <c r="BL64" s="23"/>
      <c r="BM64" s="23"/>
      <c r="BN64" s="23"/>
    </row>
    <row r="65" spans="1:66" ht="15.9" customHeight="1" thickBot="1" x14ac:dyDescent="0.35">
      <c r="B65" s="1634" t="s">
        <v>180</v>
      </c>
      <c r="C65" s="1288" t="s">
        <v>50</v>
      </c>
      <c r="D65" s="2875">
        <v>27569.645216750007</v>
      </c>
      <c r="E65" s="1200">
        <v>2240.0815500000003</v>
      </c>
      <c r="F65" s="2876">
        <v>2334.02</v>
      </c>
      <c r="G65" s="1200">
        <v>2301.0924667500003</v>
      </c>
      <c r="H65" s="2876">
        <v>2289.61</v>
      </c>
      <c r="I65" s="1021">
        <f>+E65+G65</f>
        <v>4541.1740167500011</v>
      </c>
      <c r="J65" s="152">
        <f>+F65+H65</f>
        <v>4623.63</v>
      </c>
      <c r="K65" s="1200">
        <v>2318.9250000000002</v>
      </c>
      <c r="L65" s="2876">
        <v>2322.87</v>
      </c>
      <c r="M65" s="1429">
        <f>+E65+G65+K65</f>
        <v>6860.0990167500013</v>
      </c>
      <c r="N65" s="1439">
        <f>+F65+H65+L65</f>
        <v>6946.5</v>
      </c>
      <c r="O65" s="1200">
        <v>2396.2224999999999</v>
      </c>
      <c r="P65" s="2876">
        <v>2419.42</v>
      </c>
      <c r="Q65" s="1021">
        <f>+M65+O65</f>
        <v>9256.321516750002</v>
      </c>
      <c r="R65" s="152">
        <f>+N65+P65</f>
        <v>9365.92</v>
      </c>
      <c r="S65" s="1200">
        <v>2396.2224999999999</v>
      </c>
      <c r="T65" s="2876">
        <v>2408.9899999999998</v>
      </c>
      <c r="U65" s="1021">
        <f>+Q65+S65</f>
        <v>11652.544016750002</v>
      </c>
      <c r="V65" s="152">
        <f>+R65+T65</f>
        <v>11774.91</v>
      </c>
      <c r="W65" s="1200">
        <v>2212.4437499999999</v>
      </c>
      <c r="X65" s="2876">
        <v>2336.87</v>
      </c>
      <c r="Y65" s="716">
        <f>+O65+S65+W65</f>
        <v>7004.8887500000001</v>
      </c>
      <c r="Z65" s="492">
        <f>+P65+T65+X65</f>
        <v>7165.28</v>
      </c>
      <c r="AA65" s="696">
        <f>+M65+Y65</f>
        <v>13864.98776675</v>
      </c>
      <c r="AB65" s="696">
        <f>+N65+Z65</f>
        <v>14111.779999999999</v>
      </c>
      <c r="AC65" s="1200">
        <v>2396.2224999999999</v>
      </c>
      <c r="AD65" s="2876">
        <v>2276.92</v>
      </c>
      <c r="AE65" s="1021">
        <f>+AA65+AC65</f>
        <v>16261.21026675</v>
      </c>
      <c r="AF65" s="152">
        <f>+AB65+AD65</f>
        <v>16388.699999999997</v>
      </c>
      <c r="AG65" s="1200">
        <v>2318.9250000000002</v>
      </c>
      <c r="AH65" s="2876">
        <v>2147.19</v>
      </c>
      <c r="AI65" s="1021">
        <f>+AE65+AG65</f>
        <v>18580.13526675</v>
      </c>
      <c r="AJ65" s="152">
        <f>+AF65+AH65</f>
        <v>18535.889999999996</v>
      </c>
      <c r="AK65" s="1200">
        <v>2396.2224999999999</v>
      </c>
      <c r="AL65" s="2876">
        <v>2150.37</v>
      </c>
      <c r="AM65" s="716">
        <f>+AC65+AG65+AK65</f>
        <v>7111.37</v>
      </c>
      <c r="AN65" s="492">
        <f>+AD65+AH65+AL65</f>
        <v>6574.4800000000005</v>
      </c>
      <c r="AO65" s="697">
        <f>AI65+AK65</f>
        <v>20976.357766749999</v>
      </c>
      <c r="AP65" s="697">
        <f>AJ65+AL65</f>
        <v>20686.259999999995</v>
      </c>
      <c r="AQ65" s="1200">
        <v>2396.2224999999999</v>
      </c>
      <c r="AR65" s="2876">
        <v>2323.2800000000002</v>
      </c>
      <c r="AS65" s="1021">
        <f>+AO65+AQ65</f>
        <v>23372.580266749999</v>
      </c>
      <c r="AT65" s="152">
        <f>+AP65+AR65</f>
        <v>23009.539999999994</v>
      </c>
      <c r="AU65" s="1200">
        <v>2164.33</v>
      </c>
      <c r="AV65" s="2876">
        <v>2164.9499999999998</v>
      </c>
      <c r="AW65" s="1021">
        <f>+AS65+AU65</f>
        <v>25536.910266749997</v>
      </c>
      <c r="AX65" s="152">
        <f>+AT65+AV65</f>
        <v>25174.489999999994</v>
      </c>
      <c r="AY65" s="1200">
        <v>2396.2224999999999</v>
      </c>
      <c r="AZ65" s="2876">
        <v>2412.6</v>
      </c>
      <c r="BA65" s="716">
        <f>+AQ65+AU65+AY65</f>
        <v>6956.7749999999996</v>
      </c>
      <c r="BB65" s="2371">
        <f>+AR65+AV65+AZ65</f>
        <v>6900.83</v>
      </c>
      <c r="BC65" s="2379">
        <f t="shared" si="246"/>
        <v>14068.145</v>
      </c>
      <c r="BD65" s="2379">
        <f t="shared" si="247"/>
        <v>13475.310000000001</v>
      </c>
      <c r="BE65" s="2374">
        <f>+AW65+AY65</f>
        <v>27933.132766749997</v>
      </c>
      <c r="BF65" s="152">
        <f>+AX65+AZ65</f>
        <v>27587.089999999993</v>
      </c>
      <c r="BG65" s="1111"/>
      <c r="BH65" s="1111"/>
      <c r="BI65" s="1111"/>
      <c r="BJ65" s="1111"/>
      <c r="BK65" s="1111"/>
      <c r="BL65" s="23"/>
      <c r="BM65" s="23"/>
      <c r="BN65" s="23"/>
    </row>
    <row r="66" spans="1:66" ht="16.2" thickBot="1" x14ac:dyDescent="0.35">
      <c r="B66" s="1635" t="s">
        <v>35</v>
      </c>
      <c r="C66" s="1565" t="s">
        <v>50</v>
      </c>
      <c r="D66" s="340">
        <f t="shared" ref="D66:J66" si="248">SUM(D64:D65)</f>
        <v>42110.938016750006</v>
      </c>
      <c r="E66" s="419">
        <f t="shared" si="248"/>
        <v>3453.7135500000004</v>
      </c>
      <c r="F66" s="26">
        <f>SUM(F64:F65)</f>
        <v>3446.42</v>
      </c>
      <c r="G66" s="419">
        <f t="shared" ref="G66" si="249">SUM(G64:G65)</f>
        <v>3555.1788667500005</v>
      </c>
      <c r="H66" s="26">
        <f>SUM(H64:H65)</f>
        <v>3428.96</v>
      </c>
      <c r="I66" s="1080">
        <f t="shared" si="248"/>
        <v>7008.8924167500008</v>
      </c>
      <c r="J66" s="37">
        <f t="shared" si="248"/>
        <v>6875.38</v>
      </c>
      <c r="K66" s="419">
        <f t="shared" ref="K66" si="250">SUM(K64:K65)</f>
        <v>3531.5250000000001</v>
      </c>
      <c r="L66" s="26">
        <f>SUM(L64:L65)</f>
        <v>3463.0699999999997</v>
      </c>
      <c r="M66" s="323">
        <f t="shared" ref="M66:R66" si="251">SUM(M64:M65)</f>
        <v>10540.41741675</v>
      </c>
      <c r="N66" s="63">
        <f t="shared" si="251"/>
        <v>10338.450000000001</v>
      </c>
      <c r="O66" s="419">
        <f t="shared" si="251"/>
        <v>3649.2424999999998</v>
      </c>
      <c r="P66" s="26">
        <f>SUM(P64:P65)</f>
        <v>3586.12</v>
      </c>
      <c r="Q66" s="1080">
        <f t="shared" si="251"/>
        <v>14189.659916750003</v>
      </c>
      <c r="R66" s="1080">
        <f t="shared" si="251"/>
        <v>13924.57</v>
      </c>
      <c r="S66" s="419">
        <f t="shared" ref="S66" si="252">SUM(S64:S65)</f>
        <v>3649.2424999999998</v>
      </c>
      <c r="T66" s="26">
        <f>SUM(T64:T65)</f>
        <v>3608.6899999999996</v>
      </c>
      <c r="U66" s="1080">
        <f t="shared" ref="U66:W66" si="253">SUM(U64:U65)</f>
        <v>17838.902416750003</v>
      </c>
      <c r="V66" s="1080">
        <f t="shared" si="253"/>
        <v>17533.259999999998</v>
      </c>
      <c r="W66" s="419">
        <f t="shared" si="253"/>
        <v>3400.5337499999996</v>
      </c>
      <c r="X66" s="26">
        <f>SUM(X64:X65)</f>
        <v>3497.87</v>
      </c>
      <c r="Y66" s="1081">
        <f t="shared" ref="Y66:Z66" si="254">SUM(Y64:Y65)</f>
        <v>10699.018749999999</v>
      </c>
      <c r="Z66" s="1081">
        <f t="shared" si="254"/>
        <v>10692.68</v>
      </c>
      <c r="AA66" s="2153">
        <f t="shared" ref="AA66:AF66" si="255">SUM(AA64:AA65)</f>
        <v>21239.436166749998</v>
      </c>
      <c r="AB66" s="1082">
        <f t="shared" si="255"/>
        <v>21031.129999999997</v>
      </c>
      <c r="AC66" s="419">
        <f t="shared" si="255"/>
        <v>3649.2424999999998</v>
      </c>
      <c r="AD66" s="26">
        <f>SUM(AD64:AD65)</f>
        <v>3405.82</v>
      </c>
      <c r="AE66" s="1080">
        <f t="shared" si="255"/>
        <v>24888.678666749998</v>
      </c>
      <c r="AF66" s="1080">
        <f t="shared" si="255"/>
        <v>24436.949999999997</v>
      </c>
      <c r="AG66" s="419">
        <f t="shared" ref="AG66" si="256">SUM(AG64:AG65)</f>
        <v>3531.5250000000001</v>
      </c>
      <c r="AH66" s="26">
        <f>SUM(AH64:AH65)</f>
        <v>3214.99</v>
      </c>
      <c r="AI66" s="1080">
        <f t="shared" ref="AI66:AN66" si="257">SUM(AI64:AI65)</f>
        <v>28420.20366675</v>
      </c>
      <c r="AJ66" s="1080">
        <f t="shared" si="257"/>
        <v>27651.939999999995</v>
      </c>
      <c r="AK66" s="419">
        <f t="shared" si="257"/>
        <v>3649.2424999999998</v>
      </c>
      <c r="AL66" s="26">
        <f>SUM(AL64:AL65)</f>
        <v>3251.75</v>
      </c>
      <c r="AM66" s="1081">
        <f t="shared" si="257"/>
        <v>10830.01</v>
      </c>
      <c r="AN66" s="1081">
        <f t="shared" si="257"/>
        <v>9872.5600000000013</v>
      </c>
      <c r="AO66" s="1080">
        <f t="shared" ref="AO66:AT66" si="258">SUM(AO64:AO65)</f>
        <v>32069.44616675</v>
      </c>
      <c r="AP66" s="1080">
        <f t="shared" si="258"/>
        <v>30903.689999999995</v>
      </c>
      <c r="AQ66" s="419">
        <f t="shared" si="258"/>
        <v>3649.2424999999998</v>
      </c>
      <c r="AR66" s="26">
        <f>SUM(AR64:AR65)</f>
        <v>3434.6800000000003</v>
      </c>
      <c r="AS66" s="1080">
        <f t="shared" si="258"/>
        <v>35718.68866675</v>
      </c>
      <c r="AT66" s="1080">
        <f t="shared" si="258"/>
        <v>34338.369999999995</v>
      </c>
      <c r="AU66" s="419">
        <f t="shared" ref="AU66" si="259">SUM(AU64:AU65)</f>
        <v>3296.09</v>
      </c>
      <c r="AV66" s="26">
        <f>SUM(AV64:AV65)</f>
        <v>3170.67</v>
      </c>
      <c r="AW66" s="1080">
        <f t="shared" ref="AW66:AY66" si="260">SUM(AW64:AW65)</f>
        <v>39014.778666749997</v>
      </c>
      <c r="AX66" s="1080">
        <f t="shared" si="260"/>
        <v>37509.039999999994</v>
      </c>
      <c r="AY66" s="419">
        <f t="shared" si="260"/>
        <v>3649.2424999999998</v>
      </c>
      <c r="AZ66" s="26">
        <f>SUM(AZ64:AZ65)</f>
        <v>3562.08</v>
      </c>
      <c r="BA66" s="1081">
        <f t="shared" ref="BA66:BF66" si="261">SUM(BA64:BA65)</f>
        <v>10594.574999999999</v>
      </c>
      <c r="BB66" s="1466">
        <f t="shared" si="261"/>
        <v>10167.43</v>
      </c>
      <c r="BC66" s="2352">
        <f t="shared" si="261"/>
        <v>21424.584999999999</v>
      </c>
      <c r="BD66" s="2359">
        <f t="shared" si="261"/>
        <v>20039.990000000002</v>
      </c>
      <c r="BE66" s="670">
        <f t="shared" si="261"/>
        <v>42664.021166749997</v>
      </c>
      <c r="BF66" s="1080">
        <f t="shared" si="261"/>
        <v>41071.119999999995</v>
      </c>
      <c r="BG66" s="1111"/>
      <c r="BH66" s="1111"/>
      <c r="BI66" s="1111"/>
      <c r="BJ66" s="1111"/>
      <c r="BK66" s="1111"/>
      <c r="BL66" s="23"/>
      <c r="BM66" s="23"/>
      <c r="BN66" s="23"/>
    </row>
    <row r="67" spans="1:66" ht="15" thickBot="1" x14ac:dyDescent="0.35">
      <c r="B67" s="1636" t="s">
        <v>181</v>
      </c>
      <c r="C67" s="1291" t="s">
        <v>50</v>
      </c>
      <c r="D67" s="2802">
        <v>6058.8719999999985</v>
      </c>
      <c r="E67" s="2554">
        <v>505.68</v>
      </c>
      <c r="F67" s="481">
        <v>542</v>
      </c>
      <c r="G67" s="2554">
        <v>522.53599999999994</v>
      </c>
      <c r="H67" s="481">
        <v>420</v>
      </c>
      <c r="I67" s="663">
        <f>+E67+G67</f>
        <v>1028.2159999999999</v>
      </c>
      <c r="J67" s="58">
        <f>+F67+H67</f>
        <v>962</v>
      </c>
      <c r="K67" s="2554">
        <v>452.70400000000001</v>
      </c>
      <c r="L67" s="481">
        <v>422</v>
      </c>
      <c r="M67" s="1020">
        <f>+E67+G67+K67</f>
        <v>1480.9199999999998</v>
      </c>
      <c r="N67" s="1440">
        <f>+F67+H67+L67</f>
        <v>1384</v>
      </c>
      <c r="O67" s="2554">
        <v>468.87200000000001</v>
      </c>
      <c r="P67" s="481">
        <v>412</v>
      </c>
      <c r="Q67" s="663">
        <f>+M67+O67</f>
        <v>1949.7919999999999</v>
      </c>
      <c r="R67" s="58">
        <f>+N67+P67</f>
        <v>1796</v>
      </c>
      <c r="S67" s="2554">
        <v>468.87200000000001</v>
      </c>
      <c r="T67" s="481">
        <v>390</v>
      </c>
      <c r="U67" s="663">
        <f>+Q67+S67</f>
        <v>2418.6639999999998</v>
      </c>
      <c r="V67" s="58">
        <f>+R67+T67</f>
        <v>2186</v>
      </c>
      <c r="W67" s="2554">
        <v>443.55359999999996</v>
      </c>
      <c r="X67" s="481">
        <v>355</v>
      </c>
      <c r="Y67" s="698">
        <f>+O67+S67+W67</f>
        <v>1381.2975999999999</v>
      </c>
      <c r="Z67" s="79">
        <f>+P67+T67+X67</f>
        <v>1157</v>
      </c>
      <c r="AA67" s="696">
        <f>+M67+Y67</f>
        <v>2862.2175999999999</v>
      </c>
      <c r="AB67" s="696">
        <f>+N67+Z67</f>
        <v>2541</v>
      </c>
      <c r="AC67" s="2554">
        <v>0</v>
      </c>
      <c r="AD67" s="481">
        <v>341</v>
      </c>
      <c r="AE67" s="663">
        <f>+AA67+AC67</f>
        <v>2862.2175999999999</v>
      </c>
      <c r="AF67" s="58">
        <f>+AB67+AD67</f>
        <v>2882</v>
      </c>
      <c r="AG67" s="2554">
        <v>452.70400000000001</v>
      </c>
      <c r="AH67" s="481">
        <v>363</v>
      </c>
      <c r="AI67" s="663">
        <f>+AE67+AG67</f>
        <v>3314.9216000000001</v>
      </c>
      <c r="AJ67" s="58">
        <f>+AF67+AH67</f>
        <v>3245</v>
      </c>
      <c r="AK67" s="2554">
        <v>468.87200000000001</v>
      </c>
      <c r="AL67" s="481">
        <v>385</v>
      </c>
      <c r="AM67" s="698">
        <f>+AC67+AG67+AK67</f>
        <v>921.57600000000002</v>
      </c>
      <c r="AN67" s="79">
        <f>+AD67+AH67+AL67</f>
        <v>1089</v>
      </c>
      <c r="AO67" s="697">
        <f>AI67+AK67</f>
        <v>3783.7936</v>
      </c>
      <c r="AP67" s="697">
        <f>AJ67+AL67</f>
        <v>3630</v>
      </c>
      <c r="AQ67" s="2554">
        <v>468.87200000000001</v>
      </c>
      <c r="AR67" s="481">
        <v>412</v>
      </c>
      <c r="AS67" s="663">
        <f>+AO67+AQ67</f>
        <v>4252.6656000000003</v>
      </c>
      <c r="AT67" s="58">
        <f>+AP67+AR67</f>
        <v>4042</v>
      </c>
      <c r="AU67" s="2554">
        <v>420.36799999999999</v>
      </c>
      <c r="AV67" s="481">
        <v>283</v>
      </c>
      <c r="AW67" s="663">
        <f>+AS67+AU67</f>
        <v>4673.0336000000007</v>
      </c>
      <c r="AX67" s="58">
        <f>+AT67+AV67</f>
        <v>4325</v>
      </c>
      <c r="AY67" s="2554">
        <v>468.87200000000001</v>
      </c>
      <c r="AZ67" s="481">
        <v>140</v>
      </c>
      <c r="BA67" s="698">
        <f>+AQ67+AU67+AY67</f>
        <v>1358.1120000000001</v>
      </c>
      <c r="BB67" s="2370">
        <f>+AR67+AV67+AZ67</f>
        <v>835</v>
      </c>
      <c r="BC67" s="2379">
        <f t="shared" ref="BC67:BC68" si="262">+AM67+BA67</f>
        <v>2279.6880000000001</v>
      </c>
      <c r="BD67" s="2379">
        <f t="shared" ref="BD67:BD68" si="263">+AN67+BB67</f>
        <v>1924</v>
      </c>
      <c r="BE67" s="1024">
        <f>+AW67+AY67</f>
        <v>5141.905600000001</v>
      </c>
      <c r="BF67" s="58">
        <f>+AX67+AZ67</f>
        <v>4465</v>
      </c>
      <c r="BG67" s="1111"/>
      <c r="BH67" s="1111"/>
      <c r="BI67" s="1111"/>
      <c r="BJ67" s="1111"/>
      <c r="BK67" s="1111"/>
      <c r="BL67" s="23"/>
      <c r="BM67" s="23"/>
      <c r="BN67" s="23"/>
    </row>
    <row r="68" spans="1:66" ht="15" thickBot="1" x14ac:dyDescent="0.35">
      <c r="B68" s="1634" t="s">
        <v>182</v>
      </c>
      <c r="C68" s="1277" t="s">
        <v>50</v>
      </c>
      <c r="D68" s="2875">
        <v>4726.2248943000004</v>
      </c>
      <c r="E68" s="1200">
        <v>384.01398</v>
      </c>
      <c r="F68" s="1202">
        <v>11</v>
      </c>
      <c r="G68" s="1200">
        <v>394.4729943000001</v>
      </c>
      <c r="H68" s="1202">
        <v>247.8</v>
      </c>
      <c r="I68" s="1021">
        <f>+E68+G68</f>
        <v>778.48697430000016</v>
      </c>
      <c r="J68" s="493">
        <f>+F68+H68</f>
        <v>258.8</v>
      </c>
      <c r="K68" s="1200">
        <v>363.60744000000005</v>
      </c>
      <c r="L68" s="1202">
        <v>72.649999999999991</v>
      </c>
      <c r="M68" s="1429">
        <f>+E68+G68+K68</f>
        <v>1142.0944143000002</v>
      </c>
      <c r="N68" s="1441">
        <f>+F68+H68+L68</f>
        <v>331.45</v>
      </c>
      <c r="O68" s="1200">
        <v>376.59342000000004</v>
      </c>
      <c r="P68" s="1202">
        <v>305.5</v>
      </c>
      <c r="Q68" s="1021">
        <f>+M68+O68</f>
        <v>1518.6878343000003</v>
      </c>
      <c r="R68" s="493">
        <f>+N68+P68</f>
        <v>636.95000000000005</v>
      </c>
      <c r="S68" s="1200">
        <v>376.59342000000004</v>
      </c>
      <c r="T68" s="1202">
        <v>196.55</v>
      </c>
      <c r="U68" s="1021">
        <f>+Q68+S68</f>
        <v>1895.2812543000005</v>
      </c>
      <c r="V68" s="493">
        <f>+R68+T68</f>
        <v>833.5</v>
      </c>
      <c r="W68" s="1200">
        <v>346.91118</v>
      </c>
      <c r="X68" s="1202">
        <v>164.6</v>
      </c>
      <c r="Y68" s="716">
        <f>+O68+S68+W68</f>
        <v>1100.0980200000001</v>
      </c>
      <c r="Z68" s="492">
        <f>+P68+T68+X68</f>
        <v>666.65</v>
      </c>
      <c r="AA68" s="696">
        <f>+M68+Y68</f>
        <v>2242.1924343000001</v>
      </c>
      <c r="AB68" s="696">
        <f>+N68+Z68</f>
        <v>998.09999999999991</v>
      </c>
      <c r="AC68" s="1200">
        <v>376.59342000000004</v>
      </c>
      <c r="AD68" s="1202">
        <v>161.5</v>
      </c>
      <c r="AE68" s="1021">
        <f>+AA68+AC68</f>
        <v>2618.7858543000002</v>
      </c>
      <c r="AF68" s="493">
        <f>+AB68+AD68</f>
        <v>1159.5999999999999</v>
      </c>
      <c r="AG68" s="1200">
        <v>0</v>
      </c>
      <c r="AH68" s="1202">
        <v>21</v>
      </c>
      <c r="AI68" s="1021">
        <f>+AE68+AG68</f>
        <v>2618.7858543000002</v>
      </c>
      <c r="AJ68" s="493">
        <f>+AF68+AH68</f>
        <v>1180.5999999999999</v>
      </c>
      <c r="AK68" s="1200">
        <v>376.59342000000004</v>
      </c>
      <c r="AL68" s="1202">
        <v>188.8</v>
      </c>
      <c r="AM68" s="716">
        <f>+AC68+AG68+AK68</f>
        <v>753.18684000000007</v>
      </c>
      <c r="AN68" s="492">
        <f>+AD68+AH68+AL68</f>
        <v>371.3</v>
      </c>
      <c r="AO68" s="697">
        <f>AI68+AK68</f>
        <v>2995.3792743000004</v>
      </c>
      <c r="AP68" s="697">
        <f>AJ68+AL68</f>
        <v>1369.3999999999999</v>
      </c>
      <c r="AQ68" s="1200">
        <v>376.59342000000004</v>
      </c>
      <c r="AR68" s="1202">
        <v>270.35000000000002</v>
      </c>
      <c r="AS68" s="1021">
        <f>+AO68+AQ68</f>
        <v>3371.9726943000005</v>
      </c>
      <c r="AT68" s="493">
        <f>+AP68+AR68</f>
        <v>1639.75</v>
      </c>
      <c r="AU68" s="1200">
        <v>337.63548000000003</v>
      </c>
      <c r="AV68" s="1202">
        <v>195.4</v>
      </c>
      <c r="AW68" s="1021">
        <f>+AS68+AU68</f>
        <v>3709.6081743000004</v>
      </c>
      <c r="AX68" s="493">
        <f>+AT68+AV68</f>
        <v>1835.15</v>
      </c>
      <c r="AY68" s="1200">
        <v>376.59342000000004</v>
      </c>
      <c r="AZ68" s="1202">
        <v>272.2</v>
      </c>
      <c r="BA68" s="716">
        <f>+AQ68+AU68+AY68</f>
        <v>1090.8223200000002</v>
      </c>
      <c r="BB68" s="2371">
        <f>+AR68+AV68+AZ68</f>
        <v>737.95</v>
      </c>
      <c r="BC68" s="2379">
        <f t="shared" si="262"/>
        <v>1844.0091600000003</v>
      </c>
      <c r="BD68" s="2379">
        <f t="shared" si="263"/>
        <v>1109.25</v>
      </c>
      <c r="BE68" s="2374">
        <f>+AW68+AY68</f>
        <v>4086.2015943000006</v>
      </c>
      <c r="BF68" s="493">
        <f>+AX68+AZ68</f>
        <v>2107.35</v>
      </c>
      <c r="BG68" s="1111"/>
      <c r="BH68" s="1111"/>
      <c r="BI68" s="1111"/>
      <c r="BJ68" s="1111"/>
      <c r="BK68" s="1111"/>
      <c r="BL68" s="23"/>
      <c r="BM68" s="23"/>
      <c r="BN68" s="23"/>
    </row>
    <row r="69" spans="1:66" ht="16.2" thickBot="1" x14ac:dyDescent="0.35">
      <c r="B69" s="1637" t="s">
        <v>36</v>
      </c>
      <c r="C69" s="1300" t="s">
        <v>50</v>
      </c>
      <c r="D69" s="199">
        <f t="shared" ref="D69:J69" si="264">SUM(D67:D68)</f>
        <v>10785.096894299999</v>
      </c>
      <c r="E69" s="1207">
        <f t="shared" si="264"/>
        <v>889.69398000000001</v>
      </c>
      <c r="F69" s="1301">
        <f t="shared" si="264"/>
        <v>553</v>
      </c>
      <c r="G69" s="1207">
        <f t="shared" ref="G69:H69" si="265">SUM(G67:G68)</f>
        <v>917.00899430000004</v>
      </c>
      <c r="H69" s="1301">
        <f t="shared" si="265"/>
        <v>667.8</v>
      </c>
      <c r="I69" s="1302">
        <f t="shared" si="264"/>
        <v>1806.7029743000001</v>
      </c>
      <c r="J69" s="2877">
        <f t="shared" si="264"/>
        <v>1220.8</v>
      </c>
      <c r="K69" s="1207">
        <f t="shared" ref="K69:L69" si="266">SUM(K67:K68)</f>
        <v>816.31144000000006</v>
      </c>
      <c r="L69" s="1301">
        <f t="shared" si="266"/>
        <v>494.65</v>
      </c>
      <c r="M69" s="1442">
        <f t="shared" ref="M69:R69" si="267">SUM(M67:M68)</f>
        <v>2623.0144142999998</v>
      </c>
      <c r="N69" s="1443">
        <f t="shared" si="267"/>
        <v>1715.45</v>
      </c>
      <c r="O69" s="1207">
        <f t="shared" si="267"/>
        <v>845.46541999999999</v>
      </c>
      <c r="P69" s="1301">
        <f t="shared" si="267"/>
        <v>717.5</v>
      </c>
      <c r="Q69" s="1302">
        <f t="shared" si="267"/>
        <v>3468.4798343000002</v>
      </c>
      <c r="R69" s="1302">
        <f t="shared" si="267"/>
        <v>2432.9499999999998</v>
      </c>
      <c r="S69" s="1207">
        <f t="shared" ref="S69:T69" si="268">SUM(S67:S68)</f>
        <v>845.46541999999999</v>
      </c>
      <c r="T69" s="1301">
        <f t="shared" si="268"/>
        <v>586.54999999999995</v>
      </c>
      <c r="U69" s="1302">
        <f t="shared" ref="U69:X69" si="269">SUM(U67:U68)</f>
        <v>4313.9452543000007</v>
      </c>
      <c r="V69" s="1302">
        <f t="shared" si="269"/>
        <v>3019.5</v>
      </c>
      <c r="W69" s="1207">
        <f t="shared" si="269"/>
        <v>790.46478000000002</v>
      </c>
      <c r="X69" s="1301">
        <f t="shared" si="269"/>
        <v>519.6</v>
      </c>
      <c r="Y69" s="1081">
        <f t="shared" ref="Y69:Z69" si="270">SUM(Y67:Y68)</f>
        <v>2481.3956200000002</v>
      </c>
      <c r="Z69" s="1081">
        <f t="shared" si="270"/>
        <v>1823.65</v>
      </c>
      <c r="AA69" s="2153">
        <f t="shared" ref="AA69:AF69" si="271">SUM(AA67:AA68)</f>
        <v>5104.4100343</v>
      </c>
      <c r="AB69" s="1082">
        <f t="shared" si="271"/>
        <v>3539.1</v>
      </c>
      <c r="AC69" s="1207">
        <f t="shared" si="271"/>
        <v>376.59342000000004</v>
      </c>
      <c r="AD69" s="1301">
        <f t="shared" si="271"/>
        <v>502.5</v>
      </c>
      <c r="AE69" s="1302">
        <f t="shared" si="271"/>
        <v>5481.0034543000002</v>
      </c>
      <c r="AF69" s="1302">
        <f t="shared" si="271"/>
        <v>4041.6</v>
      </c>
      <c r="AG69" s="1207">
        <f t="shared" ref="AG69:AH69" si="272">SUM(AG67:AG68)</f>
        <v>452.70400000000001</v>
      </c>
      <c r="AH69" s="1301">
        <f t="shared" si="272"/>
        <v>384</v>
      </c>
      <c r="AI69" s="1302">
        <f t="shared" ref="AI69:AN69" si="273">SUM(AI67:AI68)</f>
        <v>5933.7074542999999</v>
      </c>
      <c r="AJ69" s="1302">
        <f t="shared" si="273"/>
        <v>4425.6000000000004</v>
      </c>
      <c r="AK69" s="1207">
        <f t="shared" si="273"/>
        <v>845.46541999999999</v>
      </c>
      <c r="AL69" s="1301">
        <f t="shared" si="273"/>
        <v>573.79999999999995</v>
      </c>
      <c r="AM69" s="1081">
        <f t="shared" si="273"/>
        <v>1674.7628400000001</v>
      </c>
      <c r="AN69" s="1081">
        <f t="shared" si="273"/>
        <v>1460.3</v>
      </c>
      <c r="AO69" s="1302">
        <f t="shared" ref="AO69:AT69" si="274">SUM(AO67:AO68)</f>
        <v>6779.1728743000003</v>
      </c>
      <c r="AP69" s="1302">
        <f t="shared" si="274"/>
        <v>4999.3999999999996</v>
      </c>
      <c r="AQ69" s="1207">
        <f t="shared" si="274"/>
        <v>845.46541999999999</v>
      </c>
      <c r="AR69" s="1301">
        <f t="shared" si="274"/>
        <v>682.35</v>
      </c>
      <c r="AS69" s="1302">
        <f t="shared" si="274"/>
        <v>7624.6382943000008</v>
      </c>
      <c r="AT69" s="1302">
        <f t="shared" si="274"/>
        <v>5681.75</v>
      </c>
      <c r="AU69" s="1207">
        <f t="shared" ref="AU69:AV69" si="275">SUM(AU67:AU68)</f>
        <v>758.00348000000008</v>
      </c>
      <c r="AV69" s="1301">
        <f t="shared" si="275"/>
        <v>478.4</v>
      </c>
      <c r="AW69" s="1302">
        <f t="shared" ref="AW69:AZ69" si="276">SUM(AW67:AW68)</f>
        <v>8382.641774300002</v>
      </c>
      <c r="AX69" s="1302">
        <f t="shared" si="276"/>
        <v>6160.15</v>
      </c>
      <c r="AY69" s="1207">
        <f t="shared" si="276"/>
        <v>845.46541999999999</v>
      </c>
      <c r="AZ69" s="1301">
        <f t="shared" si="276"/>
        <v>412.2</v>
      </c>
      <c r="BA69" s="1081">
        <f t="shared" ref="BA69:BF69" si="277">SUM(BA67:BA68)</f>
        <v>2448.9343200000003</v>
      </c>
      <c r="BB69" s="1466">
        <f t="shared" si="277"/>
        <v>1572.95</v>
      </c>
      <c r="BC69" s="2352">
        <f t="shared" si="277"/>
        <v>4123.6971600000006</v>
      </c>
      <c r="BD69" s="2359">
        <f t="shared" si="277"/>
        <v>3033.25</v>
      </c>
      <c r="BE69" s="2375">
        <f t="shared" si="277"/>
        <v>9228.1071943000024</v>
      </c>
      <c r="BF69" s="1302">
        <f t="shared" si="277"/>
        <v>6572.35</v>
      </c>
      <c r="BG69" s="1111"/>
      <c r="BH69" s="1111"/>
      <c r="BI69" s="1111"/>
      <c r="BJ69" s="1111"/>
      <c r="BK69" s="1111"/>
      <c r="BL69" s="23"/>
      <c r="BM69" s="23"/>
      <c r="BN69" s="23"/>
    </row>
    <row r="70" spans="1:66" ht="15" thickBot="1" x14ac:dyDescent="0.35">
      <c r="B70" s="1640" t="s">
        <v>1485</v>
      </c>
      <c r="C70" s="1293" t="s">
        <v>50</v>
      </c>
      <c r="D70" s="1626">
        <v>0</v>
      </c>
      <c r="E70" s="1627">
        <v>0</v>
      </c>
      <c r="F70" s="1628"/>
      <c r="G70" s="1627">
        <v>0</v>
      </c>
      <c r="H70" s="1628">
        <v>0</v>
      </c>
      <c r="I70" s="1629">
        <f>+E70+G70</f>
        <v>0</v>
      </c>
      <c r="J70" s="1630">
        <f>+F70+H70</f>
        <v>0</v>
      </c>
      <c r="K70" s="1627">
        <v>169.76400000000001</v>
      </c>
      <c r="L70" s="1628">
        <v>0</v>
      </c>
      <c r="M70" s="1631">
        <f>+E70+G70+K70</f>
        <v>169.76400000000001</v>
      </c>
      <c r="N70" s="1632">
        <f>+F70+H70+L70</f>
        <v>0</v>
      </c>
      <c r="O70" s="1627">
        <v>176.55456000000001</v>
      </c>
      <c r="P70" s="1628">
        <v>0</v>
      </c>
      <c r="Q70" s="1629">
        <f>+M70+O70</f>
        <v>346.31856000000005</v>
      </c>
      <c r="R70" s="1630">
        <f>+N70+P70</f>
        <v>0</v>
      </c>
      <c r="S70" s="1627">
        <v>176.55456000000001</v>
      </c>
      <c r="T70" s="1628">
        <v>0</v>
      </c>
      <c r="U70" s="1629">
        <f>+Q70+S70</f>
        <v>522.87312000000009</v>
      </c>
      <c r="V70" s="1630">
        <f>+R70+T70</f>
        <v>0</v>
      </c>
      <c r="W70" s="1627">
        <v>166.33260000000001</v>
      </c>
      <c r="X70" s="1628">
        <v>0</v>
      </c>
      <c r="Y70" s="698">
        <f>+O70+S70+W70</f>
        <v>519.44172000000003</v>
      </c>
      <c r="Z70" s="79">
        <f>+P70+T70+X70</f>
        <v>0</v>
      </c>
      <c r="AA70" s="696">
        <f>+M70+Y70</f>
        <v>689.20572000000004</v>
      </c>
      <c r="AB70" s="696">
        <f>+N70+Z70</f>
        <v>0</v>
      </c>
      <c r="AC70" s="1627">
        <v>0</v>
      </c>
      <c r="AD70" s="1628">
        <v>0</v>
      </c>
      <c r="AE70" s="1629">
        <f>+AA70+AC70</f>
        <v>689.20572000000004</v>
      </c>
      <c r="AF70" s="1630">
        <f>+AB70+AD70</f>
        <v>0</v>
      </c>
      <c r="AG70" s="1627">
        <v>0</v>
      </c>
      <c r="AH70" s="1628">
        <v>0</v>
      </c>
      <c r="AI70" s="1629">
        <f>+AE70+AG70</f>
        <v>689.20572000000004</v>
      </c>
      <c r="AJ70" s="1630">
        <f>+AF70+AH70</f>
        <v>0</v>
      </c>
      <c r="AK70" s="1627">
        <v>176.55456000000001</v>
      </c>
      <c r="AL70" s="1628"/>
      <c r="AM70" s="698">
        <f>+AC70+AG70+AK70</f>
        <v>176.55456000000001</v>
      </c>
      <c r="AN70" s="79">
        <f>+AD70+AH70+AL70</f>
        <v>0</v>
      </c>
      <c r="AO70" s="697">
        <f>AI70+AK70</f>
        <v>865.76028000000008</v>
      </c>
      <c r="AP70" s="697">
        <f>AJ70+AL70</f>
        <v>0</v>
      </c>
      <c r="AQ70" s="1627">
        <v>176.55456000000001</v>
      </c>
      <c r="AR70" s="1628">
        <v>0</v>
      </c>
      <c r="AS70" s="1629">
        <f>+AO70+AQ70</f>
        <v>1042.31484</v>
      </c>
      <c r="AT70" s="1630">
        <f>+AP70+AR70</f>
        <v>0</v>
      </c>
      <c r="AU70" s="1627">
        <v>156.18288000000001</v>
      </c>
      <c r="AV70" s="1628">
        <v>0</v>
      </c>
      <c r="AW70" s="1629">
        <f>+AS70+AU70</f>
        <v>1198.4977200000001</v>
      </c>
      <c r="AX70" s="1630">
        <f>+AT70+AV70</f>
        <v>0</v>
      </c>
      <c r="AY70" s="1627">
        <v>176.55456000000001</v>
      </c>
      <c r="AZ70" s="1628"/>
      <c r="BA70" s="698">
        <f>+AQ70+AU70+AY70</f>
        <v>509.29200000000003</v>
      </c>
      <c r="BB70" s="2370">
        <f>+AR70+AV70+AZ70</f>
        <v>0</v>
      </c>
      <c r="BC70" s="2379">
        <f t="shared" ref="BC70" si="278">+AM70+BA70</f>
        <v>685.84656000000007</v>
      </c>
      <c r="BD70" s="2379">
        <f t="shared" ref="BD70" si="279">+AN70+BB70</f>
        <v>0</v>
      </c>
      <c r="BE70" s="2376">
        <f>+AW70+AY70</f>
        <v>1375.0522800000001</v>
      </c>
      <c r="BF70" s="1630">
        <f>+AX70+AZ70</f>
        <v>0</v>
      </c>
      <c r="BG70" s="1111"/>
      <c r="BH70" s="1111"/>
      <c r="BI70" s="1111"/>
      <c r="BJ70" s="1111"/>
      <c r="BK70" s="1111"/>
      <c r="BL70" s="23"/>
      <c r="BM70" s="23"/>
      <c r="BN70" s="23"/>
    </row>
    <row r="71" spans="1:66" ht="16.5" hidden="1" customHeight="1" thickBot="1" x14ac:dyDescent="0.35">
      <c r="A71" s="136"/>
      <c r="B71" s="2182" t="s">
        <v>183</v>
      </c>
      <c r="C71" s="1859"/>
      <c r="D71" s="662"/>
      <c r="E71" s="950"/>
      <c r="F71" s="2183"/>
      <c r="G71" s="950"/>
      <c r="H71" s="2183"/>
      <c r="I71" s="662"/>
      <c r="J71" s="2183"/>
      <c r="K71" s="950"/>
      <c r="L71" s="2183"/>
      <c r="M71" s="950"/>
      <c r="N71" s="2183"/>
      <c r="O71" s="950"/>
      <c r="P71" s="2183"/>
      <c r="Q71" s="662"/>
      <c r="R71" s="2183"/>
      <c r="S71" s="950"/>
      <c r="T71" s="2183"/>
      <c r="U71" s="662"/>
      <c r="V71" s="2183"/>
      <c r="W71" s="950"/>
      <c r="X71" s="2183"/>
      <c r="Y71" s="2184"/>
      <c r="Z71" s="2184"/>
      <c r="AA71" s="2185"/>
      <c r="AB71" s="2184"/>
      <c r="AC71" s="950"/>
      <c r="AD71" s="2183"/>
      <c r="AE71" s="662"/>
      <c r="AF71" s="2183"/>
      <c r="AG71" s="950"/>
      <c r="AH71" s="2183"/>
      <c r="AI71" s="662"/>
      <c r="AJ71" s="2183"/>
      <c r="AK71" s="950"/>
      <c r="AL71" s="2183"/>
      <c r="AM71" s="2184"/>
      <c r="AN71" s="2184"/>
      <c r="AO71" s="662"/>
      <c r="AP71" s="2183"/>
      <c r="AQ71" s="950"/>
      <c r="AR71" s="2183"/>
      <c r="AS71" s="662"/>
      <c r="AT71" s="2183"/>
      <c r="AU71" s="950"/>
      <c r="AV71" s="2183"/>
      <c r="AW71" s="662"/>
      <c r="AX71" s="2183"/>
      <c r="AY71" s="950"/>
      <c r="AZ71" s="2183"/>
      <c r="BA71" s="2184"/>
      <c r="BB71" s="2184"/>
      <c r="BC71" s="2380"/>
      <c r="BD71" s="2347"/>
      <c r="BE71" s="662"/>
      <c r="BF71" s="2183"/>
      <c r="BG71" s="1111"/>
      <c r="BH71" s="1111"/>
      <c r="BI71" s="1111"/>
      <c r="BJ71" s="1111"/>
      <c r="BK71" s="1111"/>
      <c r="BL71" s="23"/>
      <c r="BM71" s="23"/>
      <c r="BN71" s="23"/>
    </row>
    <row r="72" spans="1:66" ht="15" hidden="1" customHeight="1" x14ac:dyDescent="0.3">
      <c r="B72" s="2186" t="s">
        <v>1468</v>
      </c>
      <c r="C72" s="750" t="s">
        <v>50</v>
      </c>
      <c r="D72" s="247"/>
      <c r="E72" s="247"/>
      <c r="F72" s="247"/>
      <c r="G72" s="247"/>
      <c r="H72" s="247"/>
      <c r="I72" s="341">
        <f t="shared" ref="I72:J76" si="280">+E72+G72</f>
        <v>0</v>
      </c>
      <c r="J72" s="341">
        <f t="shared" si="280"/>
        <v>0</v>
      </c>
      <c r="K72" s="247"/>
      <c r="L72" s="247"/>
      <c r="M72" s="574">
        <f t="shared" ref="M72:N76" si="281">+E72+G72+K72</f>
        <v>0</v>
      </c>
      <c r="N72" s="574">
        <f t="shared" si="281"/>
        <v>0</v>
      </c>
      <c r="O72" s="247"/>
      <c r="P72" s="247"/>
      <c r="Q72" s="341">
        <f t="shared" ref="Q72:R76" si="282">+M72+O72</f>
        <v>0</v>
      </c>
      <c r="R72" s="341">
        <f t="shared" si="282"/>
        <v>0</v>
      </c>
      <c r="S72" s="247"/>
      <c r="T72" s="247"/>
      <c r="U72" s="341">
        <f t="shared" ref="U72:U76" si="283">+Q72+S72</f>
        <v>0</v>
      </c>
      <c r="V72" s="341">
        <f t="shared" ref="V72:V76" si="284">+R72+T72</f>
        <v>0</v>
      </c>
      <c r="W72" s="247"/>
      <c r="X72" s="247"/>
      <c r="Y72" s="574">
        <f t="shared" ref="Y72:Z76" si="285">+O72+S72+W72</f>
        <v>0</v>
      </c>
      <c r="Z72" s="574">
        <f t="shared" si="285"/>
        <v>0</v>
      </c>
      <c r="AA72" s="955">
        <f t="shared" ref="AA72:AB76" si="286">+M72+Y72</f>
        <v>0</v>
      </c>
      <c r="AB72" s="422">
        <f t="shared" si="286"/>
        <v>0</v>
      </c>
      <c r="AC72" s="247"/>
      <c r="AD72" s="247"/>
      <c r="AE72" s="341">
        <f t="shared" ref="AE72:AE76" si="287">+AA72+AC72</f>
        <v>0</v>
      </c>
      <c r="AF72" s="341">
        <f t="shared" ref="AF72:AF76" si="288">+AB72+AD72</f>
        <v>0</v>
      </c>
      <c r="AG72" s="247"/>
      <c r="AH72" s="247"/>
      <c r="AI72" s="341">
        <f t="shared" ref="AI72:AI76" si="289">+AE72+AG72</f>
        <v>0</v>
      </c>
      <c r="AJ72" s="341">
        <f t="shared" ref="AJ72:AJ76" si="290">+AF72+AH72</f>
        <v>0</v>
      </c>
      <c r="AK72" s="247"/>
      <c r="AL72" s="247"/>
      <c r="AM72" s="574">
        <f t="shared" ref="AM72:AM76" si="291">+AC72+AG72+AK72</f>
        <v>0</v>
      </c>
      <c r="AN72" s="574">
        <f t="shared" ref="AN72:AN76" si="292">+AD72+AH72+AL72</f>
        <v>0</v>
      </c>
      <c r="AO72" s="697">
        <f>AI72+AK72</f>
        <v>0</v>
      </c>
      <c r="AP72" s="697">
        <f>AJ72+AL72</f>
        <v>0</v>
      </c>
      <c r="AQ72" s="247"/>
      <c r="AR72" s="247"/>
      <c r="AS72" s="341">
        <f t="shared" ref="AS72:AS76" si="293">+AO72+AQ72</f>
        <v>0</v>
      </c>
      <c r="AT72" s="341">
        <f t="shared" ref="AT72:AT76" si="294">+AP72+AR72</f>
        <v>0</v>
      </c>
      <c r="AU72" s="247"/>
      <c r="AV72" s="247"/>
      <c r="AW72" s="341">
        <f t="shared" ref="AW72:AW76" si="295">+AS72+AU72</f>
        <v>0</v>
      </c>
      <c r="AX72" s="341">
        <f t="shared" ref="AX72:AX76" si="296">+AT72+AV72</f>
        <v>0</v>
      </c>
      <c r="AY72" s="247"/>
      <c r="AZ72" s="247"/>
      <c r="BA72" s="574">
        <f t="shared" ref="BA72:BA76" si="297">+AQ72+AU72+AY72</f>
        <v>0</v>
      </c>
      <c r="BB72" s="1465">
        <f t="shared" ref="BB72:BB76" si="298">+AR72+AV72+AZ72</f>
        <v>0</v>
      </c>
      <c r="BC72" s="2379">
        <f t="shared" ref="BC72:BC76" si="299">+AM72+BA72</f>
        <v>0</v>
      </c>
      <c r="BD72" s="2379">
        <f t="shared" ref="BD72:BD76" si="300">+AN72+BB72</f>
        <v>0</v>
      </c>
      <c r="BE72" s="660">
        <f t="shared" ref="BE72:BE76" si="301">+AW72+AY72</f>
        <v>0</v>
      </c>
      <c r="BF72" s="341">
        <f t="shared" ref="BF72:BF76" si="302">+AX72+AZ72</f>
        <v>0</v>
      </c>
      <c r="BG72" s="1111"/>
      <c r="BH72" s="1111"/>
      <c r="BI72" s="1111"/>
      <c r="BJ72" s="1111"/>
      <c r="BK72" s="1111"/>
      <c r="BL72" s="23"/>
      <c r="BM72" s="23"/>
      <c r="BN72" s="23"/>
    </row>
    <row r="73" spans="1:66" ht="15" hidden="1" customHeight="1" x14ac:dyDescent="0.3">
      <c r="B73" s="2176" t="s">
        <v>184</v>
      </c>
      <c r="C73" s="146" t="s">
        <v>50</v>
      </c>
      <c r="D73" s="1031"/>
      <c r="E73" s="1031"/>
      <c r="F73" s="1031"/>
      <c r="G73" s="1031"/>
      <c r="H73" s="1031"/>
      <c r="I73" s="718">
        <f t="shared" si="280"/>
        <v>0</v>
      </c>
      <c r="J73" s="718">
        <f t="shared" si="280"/>
        <v>0</v>
      </c>
      <c r="K73" s="1031"/>
      <c r="L73" s="1031"/>
      <c r="M73" s="717">
        <f t="shared" si="281"/>
        <v>0</v>
      </c>
      <c r="N73" s="717">
        <f t="shared" si="281"/>
        <v>0</v>
      </c>
      <c r="O73" s="1031"/>
      <c r="P73" s="1031"/>
      <c r="Q73" s="718">
        <f t="shared" si="282"/>
        <v>0</v>
      </c>
      <c r="R73" s="718">
        <f t="shared" si="282"/>
        <v>0</v>
      </c>
      <c r="S73" s="1031"/>
      <c r="T73" s="1031"/>
      <c r="U73" s="718">
        <f t="shared" si="283"/>
        <v>0</v>
      </c>
      <c r="V73" s="718">
        <f t="shared" si="284"/>
        <v>0</v>
      </c>
      <c r="W73" s="1031"/>
      <c r="X73" s="1031"/>
      <c r="Y73" s="717">
        <f t="shared" si="285"/>
        <v>0</v>
      </c>
      <c r="Z73" s="717">
        <f t="shared" si="285"/>
        <v>0</v>
      </c>
      <c r="AA73" s="429">
        <f t="shared" si="286"/>
        <v>0</v>
      </c>
      <c r="AB73" s="418">
        <f t="shared" si="286"/>
        <v>0</v>
      </c>
      <c r="AC73" s="1031"/>
      <c r="AD73" s="1031"/>
      <c r="AE73" s="718">
        <f t="shared" si="287"/>
        <v>0</v>
      </c>
      <c r="AF73" s="718">
        <f t="shared" si="288"/>
        <v>0</v>
      </c>
      <c r="AG73" s="1031"/>
      <c r="AH73" s="1031"/>
      <c r="AI73" s="718">
        <f t="shared" si="289"/>
        <v>0</v>
      </c>
      <c r="AJ73" s="718">
        <f t="shared" si="290"/>
        <v>0</v>
      </c>
      <c r="AK73" s="1031"/>
      <c r="AL73" s="1031"/>
      <c r="AM73" s="717">
        <f t="shared" si="291"/>
        <v>0</v>
      </c>
      <c r="AN73" s="717">
        <f t="shared" si="292"/>
        <v>0</v>
      </c>
      <c r="AO73" s="697">
        <f t="shared" ref="AO73:AO76" si="303">AI73+AK73</f>
        <v>0</v>
      </c>
      <c r="AP73" s="697">
        <f t="shared" ref="AP73:AP76" si="304">AJ73+AL73</f>
        <v>0</v>
      </c>
      <c r="AQ73" s="1031"/>
      <c r="AR73" s="1031"/>
      <c r="AS73" s="718">
        <f t="shared" si="293"/>
        <v>0</v>
      </c>
      <c r="AT73" s="718">
        <f t="shared" si="294"/>
        <v>0</v>
      </c>
      <c r="AU73" s="1031"/>
      <c r="AV73" s="1031"/>
      <c r="AW73" s="718">
        <f t="shared" si="295"/>
        <v>0</v>
      </c>
      <c r="AX73" s="718">
        <f t="shared" si="296"/>
        <v>0</v>
      </c>
      <c r="AY73" s="1031"/>
      <c r="AZ73" s="1031"/>
      <c r="BA73" s="717">
        <f t="shared" si="297"/>
        <v>0</v>
      </c>
      <c r="BB73" s="2372">
        <f t="shared" si="298"/>
        <v>0</v>
      </c>
      <c r="BC73" s="2379">
        <f t="shared" si="299"/>
        <v>0</v>
      </c>
      <c r="BD73" s="2379">
        <f t="shared" si="300"/>
        <v>0</v>
      </c>
      <c r="BE73" s="402">
        <f t="shared" si="301"/>
        <v>0</v>
      </c>
      <c r="BF73" s="718">
        <f t="shared" si="302"/>
        <v>0</v>
      </c>
      <c r="BG73" s="1111"/>
      <c r="BH73" s="1111"/>
      <c r="BI73" s="1111"/>
      <c r="BJ73" s="1111"/>
      <c r="BK73" s="1111"/>
      <c r="BL73" s="23"/>
      <c r="BM73" s="23"/>
      <c r="BN73" s="23"/>
    </row>
    <row r="74" spans="1:66" ht="15" hidden="1" customHeight="1" x14ac:dyDescent="0.3">
      <c r="B74" s="2176" t="s">
        <v>185</v>
      </c>
      <c r="C74" s="146" t="s">
        <v>50</v>
      </c>
      <c r="D74" s="1031"/>
      <c r="E74" s="1031"/>
      <c r="F74" s="1031"/>
      <c r="G74" s="1031"/>
      <c r="H74" s="1031"/>
      <c r="I74" s="718">
        <f t="shared" si="280"/>
        <v>0</v>
      </c>
      <c r="J74" s="718">
        <f t="shared" si="280"/>
        <v>0</v>
      </c>
      <c r="K74" s="1031"/>
      <c r="L74" s="1031"/>
      <c r="M74" s="717">
        <f t="shared" si="281"/>
        <v>0</v>
      </c>
      <c r="N74" s="717">
        <f t="shared" si="281"/>
        <v>0</v>
      </c>
      <c r="O74" s="1031"/>
      <c r="P74" s="1031"/>
      <c r="Q74" s="718">
        <f t="shared" si="282"/>
        <v>0</v>
      </c>
      <c r="R74" s="718">
        <f t="shared" si="282"/>
        <v>0</v>
      </c>
      <c r="S74" s="1031"/>
      <c r="T74" s="1031"/>
      <c r="U74" s="718">
        <f t="shared" si="283"/>
        <v>0</v>
      </c>
      <c r="V74" s="718">
        <f t="shared" si="284"/>
        <v>0</v>
      </c>
      <c r="W74" s="1031"/>
      <c r="X74" s="1031"/>
      <c r="Y74" s="717">
        <f t="shared" si="285"/>
        <v>0</v>
      </c>
      <c r="Z74" s="717">
        <f t="shared" si="285"/>
        <v>0</v>
      </c>
      <c r="AA74" s="429">
        <f t="shared" si="286"/>
        <v>0</v>
      </c>
      <c r="AB74" s="418">
        <f t="shared" si="286"/>
        <v>0</v>
      </c>
      <c r="AC74" s="1031"/>
      <c r="AD74" s="1031"/>
      <c r="AE74" s="718">
        <f t="shared" si="287"/>
        <v>0</v>
      </c>
      <c r="AF74" s="718">
        <f t="shared" si="288"/>
        <v>0</v>
      </c>
      <c r="AG74" s="1031"/>
      <c r="AH74" s="1031"/>
      <c r="AI74" s="718">
        <f t="shared" si="289"/>
        <v>0</v>
      </c>
      <c r="AJ74" s="718">
        <f t="shared" si="290"/>
        <v>0</v>
      </c>
      <c r="AK74" s="1031"/>
      <c r="AL74" s="1031"/>
      <c r="AM74" s="717">
        <f t="shared" si="291"/>
        <v>0</v>
      </c>
      <c r="AN74" s="717">
        <f t="shared" si="292"/>
        <v>0</v>
      </c>
      <c r="AO74" s="697">
        <f t="shared" si="303"/>
        <v>0</v>
      </c>
      <c r="AP74" s="697">
        <f t="shared" si="304"/>
        <v>0</v>
      </c>
      <c r="AQ74" s="1031"/>
      <c r="AR74" s="1031"/>
      <c r="AS74" s="718">
        <f t="shared" si="293"/>
        <v>0</v>
      </c>
      <c r="AT74" s="718">
        <f t="shared" si="294"/>
        <v>0</v>
      </c>
      <c r="AU74" s="1031"/>
      <c r="AV74" s="1031"/>
      <c r="AW74" s="718">
        <f t="shared" si="295"/>
        <v>0</v>
      </c>
      <c r="AX74" s="718">
        <f t="shared" si="296"/>
        <v>0</v>
      </c>
      <c r="AY74" s="1031"/>
      <c r="AZ74" s="1031"/>
      <c r="BA74" s="717">
        <f t="shared" si="297"/>
        <v>0</v>
      </c>
      <c r="BB74" s="2372">
        <f t="shared" si="298"/>
        <v>0</v>
      </c>
      <c r="BC74" s="2379">
        <f t="shared" si="299"/>
        <v>0</v>
      </c>
      <c r="BD74" s="2379">
        <f t="shared" si="300"/>
        <v>0</v>
      </c>
      <c r="BE74" s="402">
        <f t="shared" si="301"/>
        <v>0</v>
      </c>
      <c r="BF74" s="718">
        <f t="shared" si="302"/>
        <v>0</v>
      </c>
      <c r="BG74" s="1111"/>
      <c r="BH74" s="1111"/>
      <c r="BI74" s="1111"/>
      <c r="BJ74" s="1111"/>
      <c r="BK74" s="1111"/>
      <c r="BL74" s="23"/>
      <c r="BM74" s="23"/>
      <c r="BN74" s="23"/>
    </row>
    <row r="75" spans="1:66" ht="15" hidden="1" customHeight="1" x14ac:dyDescent="0.3">
      <c r="B75" s="2176" t="s">
        <v>186</v>
      </c>
      <c r="C75" s="146" t="s">
        <v>50</v>
      </c>
      <c r="D75" s="1031"/>
      <c r="E75" s="1031"/>
      <c r="F75" s="1031"/>
      <c r="G75" s="1031"/>
      <c r="H75" s="1031"/>
      <c r="I75" s="718">
        <f t="shared" si="280"/>
        <v>0</v>
      </c>
      <c r="J75" s="718">
        <f t="shared" si="280"/>
        <v>0</v>
      </c>
      <c r="K75" s="1031"/>
      <c r="L75" s="1031"/>
      <c r="M75" s="717">
        <f t="shared" si="281"/>
        <v>0</v>
      </c>
      <c r="N75" s="322">
        <f t="shared" si="281"/>
        <v>0</v>
      </c>
      <c r="O75" s="1031"/>
      <c r="P75" s="1031"/>
      <c r="Q75" s="718">
        <f t="shared" si="282"/>
        <v>0</v>
      </c>
      <c r="R75" s="718">
        <f t="shared" si="282"/>
        <v>0</v>
      </c>
      <c r="S75" s="1031"/>
      <c r="T75" s="1031"/>
      <c r="U75" s="718">
        <f t="shared" si="283"/>
        <v>0</v>
      </c>
      <c r="V75" s="718">
        <f t="shared" si="284"/>
        <v>0</v>
      </c>
      <c r="W75" s="1031"/>
      <c r="X75" s="1031"/>
      <c r="Y75" s="717">
        <f t="shared" si="285"/>
        <v>0</v>
      </c>
      <c r="Z75" s="717">
        <f t="shared" si="285"/>
        <v>0</v>
      </c>
      <c r="AA75" s="429">
        <f t="shared" si="286"/>
        <v>0</v>
      </c>
      <c r="AB75" s="418">
        <f t="shared" si="286"/>
        <v>0</v>
      </c>
      <c r="AC75" s="1031"/>
      <c r="AD75" s="1031"/>
      <c r="AE75" s="718">
        <f t="shared" si="287"/>
        <v>0</v>
      </c>
      <c r="AF75" s="718">
        <f t="shared" si="288"/>
        <v>0</v>
      </c>
      <c r="AG75" s="1031"/>
      <c r="AH75" s="1031"/>
      <c r="AI75" s="718">
        <f t="shared" si="289"/>
        <v>0</v>
      </c>
      <c r="AJ75" s="718">
        <f t="shared" si="290"/>
        <v>0</v>
      </c>
      <c r="AK75" s="1031"/>
      <c r="AL75" s="1031"/>
      <c r="AM75" s="717">
        <f t="shared" si="291"/>
        <v>0</v>
      </c>
      <c r="AN75" s="717">
        <f t="shared" si="292"/>
        <v>0</v>
      </c>
      <c r="AO75" s="697">
        <f t="shared" si="303"/>
        <v>0</v>
      </c>
      <c r="AP75" s="697">
        <f t="shared" si="304"/>
        <v>0</v>
      </c>
      <c r="AQ75" s="1031"/>
      <c r="AR75" s="1031"/>
      <c r="AS75" s="718">
        <f t="shared" si="293"/>
        <v>0</v>
      </c>
      <c r="AT75" s="718">
        <f t="shared" si="294"/>
        <v>0</v>
      </c>
      <c r="AU75" s="1031"/>
      <c r="AV75" s="1031"/>
      <c r="AW75" s="718">
        <f t="shared" si="295"/>
        <v>0</v>
      </c>
      <c r="AX75" s="718">
        <f t="shared" si="296"/>
        <v>0</v>
      </c>
      <c r="AY75" s="1031"/>
      <c r="AZ75" s="1031"/>
      <c r="BA75" s="717">
        <f t="shared" si="297"/>
        <v>0</v>
      </c>
      <c r="BB75" s="2372">
        <f t="shared" si="298"/>
        <v>0</v>
      </c>
      <c r="BC75" s="2379">
        <f t="shared" si="299"/>
        <v>0</v>
      </c>
      <c r="BD75" s="2379">
        <f t="shared" si="300"/>
        <v>0</v>
      </c>
      <c r="BE75" s="402">
        <f t="shared" si="301"/>
        <v>0</v>
      </c>
      <c r="BF75" s="718">
        <f t="shared" si="302"/>
        <v>0</v>
      </c>
      <c r="BG75" s="1111"/>
      <c r="BH75" s="1111"/>
      <c r="BI75" s="1111"/>
      <c r="BJ75" s="1111"/>
      <c r="BK75" s="1111"/>
      <c r="BL75" s="23"/>
      <c r="BM75" s="23"/>
      <c r="BN75" s="23"/>
    </row>
    <row r="76" spans="1:66" ht="15.9" hidden="1" customHeight="1" thickBot="1" x14ac:dyDescent="0.35">
      <c r="B76" s="2187" t="s">
        <v>187</v>
      </c>
      <c r="C76" s="147" t="s">
        <v>50</v>
      </c>
      <c r="D76" s="207"/>
      <c r="E76" s="207"/>
      <c r="F76" s="207"/>
      <c r="G76" s="207"/>
      <c r="H76" s="207"/>
      <c r="I76" s="248">
        <f t="shared" si="280"/>
        <v>0</v>
      </c>
      <c r="J76" s="248">
        <f t="shared" si="280"/>
        <v>0</v>
      </c>
      <c r="K76" s="207"/>
      <c r="L76" s="207"/>
      <c r="M76" s="1096">
        <f t="shared" si="281"/>
        <v>0</v>
      </c>
      <c r="N76" s="1096">
        <f t="shared" si="281"/>
        <v>0</v>
      </c>
      <c r="O76" s="207"/>
      <c r="P76" s="207"/>
      <c r="Q76" s="248">
        <f t="shared" si="282"/>
        <v>0</v>
      </c>
      <c r="R76" s="248">
        <f t="shared" si="282"/>
        <v>0</v>
      </c>
      <c r="S76" s="207"/>
      <c r="T76" s="207"/>
      <c r="U76" s="248">
        <f t="shared" si="283"/>
        <v>0</v>
      </c>
      <c r="V76" s="248">
        <f t="shared" si="284"/>
        <v>0</v>
      </c>
      <c r="W76" s="207"/>
      <c r="X76" s="207"/>
      <c r="Y76" s="1096">
        <f t="shared" si="285"/>
        <v>0</v>
      </c>
      <c r="Z76" s="1096">
        <f t="shared" si="285"/>
        <v>0</v>
      </c>
      <c r="AA76" s="429">
        <f t="shared" si="286"/>
        <v>0</v>
      </c>
      <c r="AB76" s="2080">
        <f t="shared" si="286"/>
        <v>0</v>
      </c>
      <c r="AC76" s="207"/>
      <c r="AD76" s="207"/>
      <c r="AE76" s="248">
        <f t="shared" si="287"/>
        <v>0</v>
      </c>
      <c r="AF76" s="248">
        <f t="shared" si="288"/>
        <v>0</v>
      </c>
      <c r="AG76" s="207"/>
      <c r="AH76" s="207"/>
      <c r="AI76" s="248">
        <f t="shared" si="289"/>
        <v>0</v>
      </c>
      <c r="AJ76" s="248">
        <f t="shared" si="290"/>
        <v>0</v>
      </c>
      <c r="AK76" s="207"/>
      <c r="AL76" s="207"/>
      <c r="AM76" s="1096">
        <f t="shared" si="291"/>
        <v>0</v>
      </c>
      <c r="AN76" s="1096">
        <f t="shared" si="292"/>
        <v>0</v>
      </c>
      <c r="AO76" s="697">
        <f t="shared" si="303"/>
        <v>0</v>
      </c>
      <c r="AP76" s="697">
        <f t="shared" si="304"/>
        <v>0</v>
      </c>
      <c r="AQ76" s="207"/>
      <c r="AR76" s="207"/>
      <c r="AS76" s="248">
        <f t="shared" si="293"/>
        <v>0</v>
      </c>
      <c r="AT76" s="248">
        <f t="shared" si="294"/>
        <v>0</v>
      </c>
      <c r="AU76" s="207"/>
      <c r="AV76" s="207"/>
      <c r="AW76" s="248">
        <f t="shared" si="295"/>
        <v>0</v>
      </c>
      <c r="AX76" s="248">
        <f t="shared" si="296"/>
        <v>0</v>
      </c>
      <c r="AY76" s="207"/>
      <c r="AZ76" s="207"/>
      <c r="BA76" s="1096">
        <f t="shared" si="297"/>
        <v>0</v>
      </c>
      <c r="BB76" s="2373">
        <f t="shared" si="298"/>
        <v>0</v>
      </c>
      <c r="BC76" s="2379">
        <f t="shared" si="299"/>
        <v>0</v>
      </c>
      <c r="BD76" s="2379">
        <f t="shared" si="300"/>
        <v>0</v>
      </c>
      <c r="BE76" s="2374">
        <f t="shared" si="301"/>
        <v>0</v>
      </c>
      <c r="BF76" s="248">
        <f t="shared" si="302"/>
        <v>0</v>
      </c>
      <c r="BG76" s="1111"/>
      <c r="BH76" s="1111"/>
      <c r="BI76" s="1111"/>
      <c r="BJ76" s="1111"/>
      <c r="BK76" s="1111"/>
      <c r="BL76" s="23"/>
      <c r="BM76" s="23"/>
      <c r="BN76" s="23"/>
    </row>
    <row r="77" spans="1:66" ht="16.5" hidden="1" customHeight="1" thickBot="1" x14ac:dyDescent="0.35">
      <c r="B77" s="2188" t="s">
        <v>483</v>
      </c>
      <c r="C77" s="1078" t="s">
        <v>50</v>
      </c>
      <c r="D77" s="2081">
        <f t="shared" ref="D77:J77" si="305">SUM(D72:D76)</f>
        <v>0</v>
      </c>
      <c r="E77" s="2081">
        <f t="shared" si="305"/>
        <v>0</v>
      </c>
      <c r="F77" s="2081">
        <f t="shared" si="305"/>
        <v>0</v>
      </c>
      <c r="G77" s="2081">
        <f t="shared" ref="G77:H77" si="306">SUM(G72:G76)</f>
        <v>0</v>
      </c>
      <c r="H77" s="2081">
        <f t="shared" si="306"/>
        <v>0</v>
      </c>
      <c r="I77" s="1080">
        <f t="shared" si="305"/>
        <v>0</v>
      </c>
      <c r="J77" s="1080">
        <f t="shared" si="305"/>
        <v>0</v>
      </c>
      <c r="K77" s="2081">
        <f t="shared" ref="K77:L77" si="307">SUM(K72:K76)</f>
        <v>0</v>
      </c>
      <c r="L77" s="2081">
        <f t="shared" si="307"/>
        <v>0</v>
      </c>
      <c r="M77" s="1081">
        <f t="shared" ref="M77:R77" si="308">SUM(M72:M76)</f>
        <v>0</v>
      </c>
      <c r="N77" s="1081">
        <f t="shared" si="308"/>
        <v>0</v>
      </c>
      <c r="O77" s="2081">
        <f t="shared" si="308"/>
        <v>0</v>
      </c>
      <c r="P77" s="2081">
        <f t="shared" si="308"/>
        <v>0</v>
      </c>
      <c r="Q77" s="1080">
        <f t="shared" si="308"/>
        <v>0</v>
      </c>
      <c r="R77" s="1080">
        <f t="shared" si="308"/>
        <v>0</v>
      </c>
      <c r="S77" s="2081">
        <f t="shared" ref="S77:T77" si="309">SUM(S72:S76)</f>
        <v>0</v>
      </c>
      <c r="T77" s="2081">
        <f t="shared" si="309"/>
        <v>0</v>
      </c>
      <c r="U77" s="1080">
        <f t="shared" ref="U77:X77" si="310">SUM(U72:U76)</f>
        <v>0</v>
      </c>
      <c r="V77" s="1080">
        <f t="shared" si="310"/>
        <v>0</v>
      </c>
      <c r="W77" s="2081">
        <f t="shared" si="310"/>
        <v>0</v>
      </c>
      <c r="X77" s="2081">
        <f t="shared" si="310"/>
        <v>0</v>
      </c>
      <c r="Y77" s="1081">
        <f t="shared" ref="Y77:Z77" si="311">SUM(Y72:Y76)</f>
        <v>0</v>
      </c>
      <c r="Z77" s="1081">
        <f t="shared" si="311"/>
        <v>0</v>
      </c>
      <c r="AA77" s="1082">
        <f t="shared" ref="AA77:AF77" si="312">SUM(AA72:AA76)</f>
        <v>0</v>
      </c>
      <c r="AB77" s="424">
        <f t="shared" si="312"/>
        <v>0</v>
      </c>
      <c r="AC77" s="2081">
        <f t="shared" si="312"/>
        <v>0</v>
      </c>
      <c r="AD77" s="2081">
        <f t="shared" si="312"/>
        <v>0</v>
      </c>
      <c r="AE77" s="1080">
        <f t="shared" si="312"/>
        <v>0</v>
      </c>
      <c r="AF77" s="1080">
        <f t="shared" si="312"/>
        <v>0</v>
      </c>
      <c r="AG77" s="2081">
        <f t="shared" ref="AG77:AH77" si="313">SUM(AG72:AG76)</f>
        <v>0</v>
      </c>
      <c r="AH77" s="2081">
        <f t="shared" si="313"/>
        <v>0</v>
      </c>
      <c r="AI77" s="1080">
        <f t="shared" ref="AI77:AN77" si="314">SUM(AI72:AI76)</f>
        <v>0</v>
      </c>
      <c r="AJ77" s="1080">
        <f t="shared" si="314"/>
        <v>0</v>
      </c>
      <c r="AK77" s="2081">
        <f t="shared" si="314"/>
        <v>0</v>
      </c>
      <c r="AL77" s="2081">
        <f t="shared" si="314"/>
        <v>0</v>
      </c>
      <c r="AM77" s="1081">
        <f t="shared" si="314"/>
        <v>0</v>
      </c>
      <c r="AN77" s="1081">
        <f t="shared" si="314"/>
        <v>0</v>
      </c>
      <c r="AO77" s="1080">
        <f t="shared" ref="AO77:AT77" si="315">SUM(AO72:AO76)</f>
        <v>0</v>
      </c>
      <c r="AP77" s="1080">
        <f t="shared" si="315"/>
        <v>0</v>
      </c>
      <c r="AQ77" s="2081">
        <f t="shared" si="315"/>
        <v>0</v>
      </c>
      <c r="AR77" s="2081">
        <f t="shared" si="315"/>
        <v>0</v>
      </c>
      <c r="AS77" s="1080">
        <f t="shared" si="315"/>
        <v>0</v>
      </c>
      <c r="AT77" s="1080">
        <f t="shared" si="315"/>
        <v>0</v>
      </c>
      <c r="AU77" s="2081">
        <f t="shared" ref="AU77:AV77" si="316">SUM(AU72:AU76)</f>
        <v>0</v>
      </c>
      <c r="AV77" s="2081">
        <f t="shared" si="316"/>
        <v>0</v>
      </c>
      <c r="AW77" s="1080">
        <f t="shared" ref="AW77:AZ77" si="317">SUM(AW72:AW76)</f>
        <v>0</v>
      </c>
      <c r="AX77" s="1080">
        <f t="shared" si="317"/>
        <v>0</v>
      </c>
      <c r="AY77" s="2081">
        <f t="shared" si="317"/>
        <v>0</v>
      </c>
      <c r="AZ77" s="2081">
        <f t="shared" si="317"/>
        <v>0</v>
      </c>
      <c r="BA77" s="1081">
        <f t="shared" ref="BA77:BF77" si="318">SUM(BA72:BA76)</f>
        <v>0</v>
      </c>
      <c r="BB77" s="1466">
        <f t="shared" si="318"/>
        <v>0</v>
      </c>
      <c r="BC77" s="2359">
        <f t="shared" si="318"/>
        <v>0</v>
      </c>
      <c r="BD77" s="2359">
        <f t="shared" si="318"/>
        <v>0</v>
      </c>
      <c r="BE77" s="670">
        <f t="shared" si="318"/>
        <v>0</v>
      </c>
      <c r="BF77" s="1080">
        <f t="shared" si="318"/>
        <v>0</v>
      </c>
      <c r="BG77" s="1111"/>
      <c r="BH77" s="1111"/>
      <c r="BI77" s="1111"/>
      <c r="BJ77" s="1111"/>
      <c r="BK77" s="1111"/>
      <c r="BL77" s="23"/>
      <c r="BM77" s="23"/>
      <c r="BN77" s="23"/>
    </row>
    <row r="78" spans="1:66" ht="21.75" customHeight="1" thickBot="1" x14ac:dyDescent="0.35">
      <c r="A78" s="136"/>
      <c r="B78" s="1647" t="s">
        <v>481</v>
      </c>
      <c r="C78" s="1083"/>
      <c r="D78" s="1083"/>
      <c r="E78" s="1083"/>
      <c r="F78" s="1083"/>
      <c r="G78" s="1083"/>
      <c r="H78" s="1083"/>
      <c r="I78" s="1083"/>
      <c r="J78" s="1083"/>
      <c r="K78" s="1083"/>
      <c r="L78" s="1083"/>
      <c r="M78" s="1083"/>
      <c r="N78" s="1083"/>
      <c r="O78" s="1083"/>
      <c r="P78" s="1083"/>
      <c r="Q78" s="1083"/>
      <c r="R78" s="1083"/>
      <c r="S78" s="1083"/>
      <c r="T78" s="1083"/>
      <c r="U78" s="1083"/>
      <c r="V78" s="1083"/>
      <c r="W78" s="1083"/>
      <c r="X78" s="1083"/>
      <c r="Y78" s="1083"/>
      <c r="Z78" s="1083"/>
      <c r="AA78" s="1083"/>
      <c r="AB78" s="1083"/>
      <c r="AC78" s="1083"/>
      <c r="AD78" s="1083"/>
      <c r="AE78" s="1083"/>
      <c r="AF78" s="1083"/>
      <c r="AG78" s="1083"/>
      <c r="AH78" s="1083"/>
      <c r="AI78" s="1083"/>
      <c r="AJ78" s="1083"/>
      <c r="AK78" s="1083"/>
      <c r="AL78" s="1083"/>
      <c r="AM78" s="1083"/>
      <c r="AN78" s="1083"/>
      <c r="AO78" s="1083"/>
      <c r="AP78" s="1083"/>
      <c r="AQ78" s="1083"/>
      <c r="AR78" s="1083"/>
      <c r="AS78" s="1083"/>
      <c r="AT78" s="1083"/>
      <c r="AU78" s="1083"/>
      <c r="AV78" s="1083"/>
      <c r="AW78" s="1083"/>
      <c r="AX78" s="1083"/>
      <c r="AY78" s="1083"/>
      <c r="AZ78" s="1083"/>
      <c r="BA78" s="1083"/>
      <c r="BB78" s="1083"/>
      <c r="BC78" s="1083"/>
      <c r="BD78" s="1083"/>
      <c r="BE78" s="1083"/>
      <c r="BF78" s="1083"/>
      <c r="BG78" s="1111"/>
      <c r="BH78" s="1111"/>
      <c r="BI78" s="1111"/>
      <c r="BJ78" s="1111"/>
      <c r="BK78" s="1111"/>
      <c r="BL78" s="23"/>
      <c r="BM78" s="23"/>
      <c r="BN78" s="23"/>
    </row>
    <row r="79" spans="1:66" ht="15.75" customHeight="1" thickBot="1" x14ac:dyDescent="0.35">
      <c r="B79" s="2167" t="s">
        <v>179</v>
      </c>
      <c r="C79" s="1616" t="s">
        <v>480</v>
      </c>
      <c r="D79" s="2168">
        <v>24</v>
      </c>
      <c r="E79" s="2168">
        <f>+$D$79</f>
        <v>24</v>
      </c>
      <c r="F79" s="2169">
        <v>22</v>
      </c>
      <c r="G79" s="2168">
        <f>+$D$79</f>
        <v>24</v>
      </c>
      <c r="H79" s="2169">
        <v>22.02</v>
      </c>
      <c r="I79" s="2170">
        <f>+$D$79</f>
        <v>24</v>
      </c>
      <c r="J79" s="153">
        <f>((F79*$F$17)+(H79*$H$17))/$J$17</f>
        <v>22.010115985879978</v>
      </c>
      <c r="K79" s="2168">
        <f>+$D$79</f>
        <v>24</v>
      </c>
      <c r="L79" s="2169">
        <v>23</v>
      </c>
      <c r="M79" s="2165">
        <f>+$D$79</f>
        <v>24</v>
      </c>
      <c r="N79" s="2165">
        <f>((F79*$F$17)+(H79*$H$17)+(L79*$L$17))/$N$17</f>
        <v>22.333164986977689</v>
      </c>
      <c r="O79" s="2168">
        <f>+$D$79</f>
        <v>24</v>
      </c>
      <c r="P79" s="2169">
        <v>23</v>
      </c>
      <c r="Q79" s="2170">
        <f>+$D$79</f>
        <v>24</v>
      </c>
      <c r="R79" s="1332">
        <f>((N79*$N$17)+(P79*$P$17))/$R$17</f>
        <v>22.500481805072521</v>
      </c>
      <c r="S79" s="2168">
        <f>+$D$79</f>
        <v>24</v>
      </c>
      <c r="T79" s="2169">
        <v>23</v>
      </c>
      <c r="U79" s="2170">
        <f>+$D$79</f>
        <v>24</v>
      </c>
      <c r="V79" s="1332">
        <f>((R79*$R$17)+(T79*$T$17))/$V$17</f>
        <v>22.602831321238277</v>
      </c>
      <c r="W79" s="2168">
        <f>+$D$79</f>
        <v>24</v>
      </c>
      <c r="X79" s="2169">
        <v>23</v>
      </c>
      <c r="Y79" s="2165">
        <f>+$D$79</f>
        <v>24</v>
      </c>
      <c r="Z79" s="2165">
        <f>((P79*$P$17)+(T79*$T$17)+(X79*$X$17))/$Z$17</f>
        <v>23</v>
      </c>
      <c r="AA79" s="2149">
        <f>+$D$79</f>
        <v>24</v>
      </c>
      <c r="AB79" s="2166">
        <f>((N79*$N$17)+(Z79*$Z$17))/$AB$17</f>
        <v>22.668552935216972</v>
      </c>
      <c r="AC79" s="2168">
        <f>+$D$79</f>
        <v>24</v>
      </c>
      <c r="AD79" s="2169">
        <v>23</v>
      </c>
      <c r="AE79" s="2170">
        <f>+$D$79</f>
        <v>24</v>
      </c>
      <c r="AF79" s="1332">
        <f>((AB79*$AB$17)+(AD79*$AD$17))/$AF$17</f>
        <v>22.716338150289015</v>
      </c>
      <c r="AG79" s="2168">
        <f>+$D$79</f>
        <v>24</v>
      </c>
      <c r="AH79" s="2169">
        <v>23</v>
      </c>
      <c r="AI79" s="2170">
        <f>+$D$79</f>
        <v>24</v>
      </c>
      <c r="AJ79" s="1332">
        <f>((AF79*$AF$17)+(AH79*$AH$17))/$AJ$17</f>
        <v>22.750336202145245</v>
      </c>
      <c r="AK79" s="2168">
        <f>+$D$79</f>
        <v>24</v>
      </c>
      <c r="AL79" s="2169">
        <v>25</v>
      </c>
      <c r="AM79" s="2165">
        <f>+$D$79</f>
        <v>24</v>
      </c>
      <c r="AN79" s="2165">
        <f>((AD79*$AD$17)+(AH79*$AH$17)+(AL79*$AL$17))/$AN$17</f>
        <v>23.667734920453245</v>
      </c>
      <c r="AO79" s="2170">
        <f>+$D$79</f>
        <v>24</v>
      </c>
      <c r="AP79" s="1332">
        <f>((AJ79*$AJ$17)+(AL79*$AL$17))/$AP$17</f>
        <v>22.997931632961059</v>
      </c>
      <c r="AQ79" s="2168">
        <f>+$D$79</f>
        <v>24</v>
      </c>
      <c r="AR79" s="2169">
        <v>25</v>
      </c>
      <c r="AS79" s="2170">
        <f>+$D$79</f>
        <v>24</v>
      </c>
      <c r="AT79" s="1332">
        <f>((AP79*$AP$17)+(AR79*$AR$17))/$AT$17</f>
        <v>23.197839288140194</v>
      </c>
      <c r="AU79" s="2168">
        <f>+$D$79</f>
        <v>24</v>
      </c>
      <c r="AV79" s="2169">
        <v>25</v>
      </c>
      <c r="AW79" s="2170">
        <f>+$D$79</f>
        <v>24</v>
      </c>
      <c r="AX79" s="1332">
        <f>((AT79*$AT$17)+(AV79*$AV$17))/$AX$17</f>
        <v>23.346334455248062</v>
      </c>
      <c r="AY79" s="2168">
        <f>+$D$79</f>
        <v>24</v>
      </c>
      <c r="AZ79" s="2169">
        <v>25</v>
      </c>
      <c r="BA79" s="2165">
        <f>+$D$79</f>
        <v>24</v>
      </c>
      <c r="BB79" s="2165">
        <f>((AR79*$AR$17)+(AV79*$AV$17)+(AZ79*$AZ$17))/$BB$17</f>
        <v>25</v>
      </c>
      <c r="BC79" s="2149">
        <f>+$D$79</f>
        <v>24</v>
      </c>
      <c r="BD79" s="2166">
        <f>((AN79*$AN$17)+(BB79*$BB$17))/$BD$17</f>
        <v>24.329454461662539</v>
      </c>
      <c r="BE79" s="2170">
        <f>+$D$79</f>
        <v>24</v>
      </c>
      <c r="BF79" s="2170">
        <f>((AX79*$AX$17)+(AZ79*$AZ$17))/$BF$17</f>
        <v>23.489357740704886</v>
      </c>
      <c r="BG79" s="1111"/>
      <c r="BH79" s="1111"/>
      <c r="BI79" s="1111"/>
      <c r="BJ79" s="1111"/>
      <c r="BK79" s="1111"/>
      <c r="BL79" s="23"/>
      <c r="BM79" s="23"/>
      <c r="BN79" s="23"/>
    </row>
    <row r="80" spans="1:66" ht="15.75" customHeight="1" thickBot="1" x14ac:dyDescent="0.35">
      <c r="B80" s="2171" t="s">
        <v>180</v>
      </c>
      <c r="C80" s="2430" t="s">
        <v>480</v>
      </c>
      <c r="D80" s="2869">
        <v>24.5</v>
      </c>
      <c r="E80" s="2869">
        <f>+$D$80</f>
        <v>24.5</v>
      </c>
      <c r="F80" s="2870">
        <v>25.051963057794509</v>
      </c>
      <c r="G80" s="2869">
        <f>+$D$80</f>
        <v>24.5</v>
      </c>
      <c r="H80" s="2870">
        <v>24.989958655856945</v>
      </c>
      <c r="I80" s="2871">
        <f>+$D$80</f>
        <v>24.5</v>
      </c>
      <c r="J80" s="153">
        <f>((F80*$F$18)+(H80*$H$18))/$J$18</f>
        <v>25.021220223028131</v>
      </c>
      <c r="K80" s="2869">
        <f>+$D$80</f>
        <v>24.5</v>
      </c>
      <c r="L80" s="2870">
        <v>25</v>
      </c>
      <c r="M80" s="737">
        <f>+$D$80</f>
        <v>24.5</v>
      </c>
      <c r="N80" s="2165">
        <f>((F80*$F$18)+(H80*$H$18)+(L80*$L$18))/($N$18)</f>
        <v>25.014105872917462</v>
      </c>
      <c r="O80" s="2869">
        <f>+$D$80</f>
        <v>24.5</v>
      </c>
      <c r="P80" s="2870">
        <v>24.987051642130627</v>
      </c>
      <c r="Q80" s="738">
        <f>+$D$80</f>
        <v>24.5</v>
      </c>
      <c r="R80" s="1332">
        <f>((N80*$N$18)+(P80*$P$18))/$R$18</f>
        <v>25.007116863297529</v>
      </c>
      <c r="S80" s="2869">
        <f>+$D$80</f>
        <v>24.5</v>
      </c>
      <c r="T80" s="2870">
        <v>25.001530818224932</v>
      </c>
      <c r="U80" s="738">
        <f>+$D$80</f>
        <v>24.5</v>
      </c>
      <c r="V80" s="1332">
        <f>((R80*$R$18)+(T80*$T$18))/$V$18</f>
        <v>25.005974518202329</v>
      </c>
      <c r="W80" s="2869">
        <f>+$D$80</f>
        <v>24.5</v>
      </c>
      <c r="X80" s="2870">
        <v>24.997900679965742</v>
      </c>
      <c r="Y80" s="737">
        <f>+$D$80</f>
        <v>24.5</v>
      </c>
      <c r="Z80" s="2165">
        <f>((P80*$P$18)+(T80*$T$18)+(X80*$X$18))/$Z$18</f>
        <v>24.995456341987268</v>
      </c>
      <c r="AA80" s="739">
        <f>+$D$80</f>
        <v>24.5</v>
      </c>
      <c r="AB80" s="2166">
        <f>((N80*$N$18)+(Z80*$Z$18))/$AB$18</f>
        <v>25.004637825868695</v>
      </c>
      <c r="AC80" s="2869">
        <f>+$D$80</f>
        <v>24.5</v>
      </c>
      <c r="AD80" s="2870">
        <v>23.952413287797249</v>
      </c>
      <c r="AE80" s="738">
        <f>+$D$80</f>
        <v>24.5</v>
      </c>
      <c r="AF80" s="1332">
        <f>((AB80*$AB$18)+(AD80*$AD$18))/$AF$18</f>
        <v>24.853018862061461</v>
      </c>
      <c r="AG80" s="2869">
        <f>+$D$80</f>
        <v>24.5</v>
      </c>
      <c r="AH80" s="2870">
        <v>23</v>
      </c>
      <c r="AI80" s="738">
        <f>+$D$80</f>
        <v>24.5</v>
      </c>
      <c r="AJ80" s="1332">
        <f>((AF80*$AF$18)+(AH80*$AH$18))/$AJ$18</f>
        <v>24.623235207612282</v>
      </c>
      <c r="AK80" s="2869">
        <f>+$D$80</f>
        <v>24.5</v>
      </c>
      <c r="AL80" s="2870">
        <v>22.26642526421298</v>
      </c>
      <c r="AM80" s="737">
        <f>+$D$80</f>
        <v>24.5</v>
      </c>
      <c r="AN80" s="2165">
        <f>((AD80*$AD$18)+(AH80*$AH$18)+(AL80*$AL$18))/$AN$18</f>
        <v>23.069088883095976</v>
      </c>
      <c r="AO80" s="738">
        <f>+$D$80</f>
        <v>24.5</v>
      </c>
      <c r="AP80" s="1332">
        <f>((AJ80*$AJ$18)+(AL80*$AL$18))/$AP$18</f>
        <v>24.355358216904722</v>
      </c>
      <c r="AQ80" s="2869">
        <f>+$D$80</f>
        <v>24.5</v>
      </c>
      <c r="AR80" s="2870">
        <v>24.270940957578507</v>
      </c>
      <c r="AS80" s="738">
        <f>+$D$80</f>
        <v>24.5</v>
      </c>
      <c r="AT80" s="1332">
        <f>((AP80*$AP$18)+(AR80*$AR$18))/$AT$18</f>
        <v>24.346810846145644</v>
      </c>
      <c r="AU80" s="2869">
        <f>+$D$80</f>
        <v>24.5</v>
      </c>
      <c r="AV80" s="2870">
        <v>24.998051492556701</v>
      </c>
      <c r="AW80" s="738">
        <f>+$D$80</f>
        <v>24.5</v>
      </c>
      <c r="AX80" s="1332">
        <f>((AT80*$AT$18)+(AV80*$AV$18))/$AX$18</f>
        <v>24.401462499291419</v>
      </c>
      <c r="AY80" s="2869">
        <f>+$D$80</f>
        <v>24.5</v>
      </c>
      <c r="AZ80" s="2870">
        <v>24.998070177165509</v>
      </c>
      <c r="BA80" s="737">
        <f>+$D$80</f>
        <v>24.5</v>
      </c>
      <c r="BB80" s="2165">
        <f>((AR80*$AR$18)+(AV80*$AV$18)+(AZ80*$AZ$18))/$BB$18</f>
        <v>24.748447938935346</v>
      </c>
      <c r="BC80" s="739">
        <f>+$D$80</f>
        <v>24.5</v>
      </c>
      <c r="BD80" s="2166">
        <f>((AN80*$AN$17)+(BB80*$BB$17))/$BD$17</f>
        <v>23.903205697396743</v>
      </c>
      <c r="BE80" s="738">
        <f>+$D$80</f>
        <v>24.5</v>
      </c>
      <c r="BF80" s="738">
        <f>((AX80*$AX$18)+(AZ80*$AZ$18))/$BF$18</f>
        <v>24.45248497368592</v>
      </c>
      <c r="BG80" s="1111"/>
      <c r="BH80" s="1111"/>
      <c r="BI80" s="1111"/>
      <c r="BJ80" s="1111"/>
      <c r="BK80" s="1111"/>
      <c r="BL80" s="23"/>
      <c r="BM80" s="23"/>
      <c r="BN80" s="23"/>
    </row>
    <row r="81" spans="1:66" ht="15.75" customHeight="1" thickBot="1" x14ac:dyDescent="0.35">
      <c r="A81" s="136"/>
      <c r="B81" s="2172" t="s">
        <v>35</v>
      </c>
      <c r="C81" s="2653" t="s">
        <v>480</v>
      </c>
      <c r="D81" s="2654">
        <f t="shared" ref="D81:Y81" si="319">+((D79*D17)+(D80*D18))/D19</f>
        <v>24.325007334460306</v>
      </c>
      <c r="E81" s="2654">
        <f t="shared" si="319"/>
        <v>24.321943536579955</v>
      </c>
      <c r="F81" s="2654">
        <f t="shared" si="319"/>
        <v>23.978240534761326</v>
      </c>
      <c r="G81" s="2654">
        <f t="shared" ref="G81:H81" si="320">+((G79*G17)+(G80*G18))/G19</f>
        <v>24.321264460628715</v>
      </c>
      <c r="H81" s="2654">
        <f t="shared" si="320"/>
        <v>23.917885113268611</v>
      </c>
      <c r="I81" s="2656">
        <f t="shared" si="319"/>
        <v>24.321599078491161</v>
      </c>
      <c r="J81" s="2872">
        <f>((F81*$F$19)+(H81*$H$19))/$J$19</f>
        <v>23.948100573593194</v>
      </c>
      <c r="K81" s="2654">
        <f t="shared" ref="K81:L81" si="321">+((K79*K17)+(K80*K18))/K19</f>
        <v>24.328317794720412</v>
      </c>
      <c r="L81" s="2654">
        <f t="shared" si="321"/>
        <v>24.305586432918613</v>
      </c>
      <c r="M81" s="747">
        <f t="shared" si="319"/>
        <v>24.323809166037357</v>
      </c>
      <c r="N81" s="2165">
        <f>((F81*$F$19)+(H81*$H$19)+(L81*$L$19))/($N$19)</f>
        <v>24.06682650807987</v>
      </c>
      <c r="O81" s="2654">
        <f t="shared" ref="O81:P81" si="322">+((O79*O17)+(O80*O18))/O19</f>
        <v>24.328317794720409</v>
      </c>
      <c r="P81" s="2654">
        <f t="shared" si="322"/>
        <v>24.302601375516193</v>
      </c>
      <c r="Q81" s="746">
        <f t="shared" si="319"/>
        <v>24.324952919814148</v>
      </c>
      <c r="R81" s="2242">
        <f>((N81*$N$19)+(P81*$P$19))/$R$19</f>
        <v>24.127120720628383</v>
      </c>
      <c r="S81" s="2654">
        <f t="shared" ref="S81:T81" si="323">+((S79*S17)+(S80*S18))/S19</f>
        <v>24.328317794720409</v>
      </c>
      <c r="T81" s="2654">
        <f t="shared" si="323"/>
        <v>24.297748495531511</v>
      </c>
      <c r="U81" s="746">
        <f t="shared" ref="U81" si="324">+((U79*U17)+(U80*U18))/U19</f>
        <v>24.32563379879036</v>
      </c>
      <c r="V81" s="2242">
        <f>((R81*$R$19)+(T81*$T$19))/$V$19</f>
        <v>24.162037835443268</v>
      </c>
      <c r="W81" s="2654">
        <f t="shared" ref="W81:X81" si="325">+((W79*W17)+(W80*W18))/W19</f>
        <v>24.325308306379842</v>
      </c>
      <c r="X81" s="2654">
        <f t="shared" si="325"/>
        <v>24.296551247772911</v>
      </c>
      <c r="Y81" s="747">
        <f t="shared" si="319"/>
        <v>24.327361270864213</v>
      </c>
      <c r="Z81" s="2165">
        <f>((P81*$P$19)+(T81*$T$19)+(X81*$X$19))/$Z$19</f>
        <v>24.298984586562202</v>
      </c>
      <c r="AA81" s="739">
        <f t="shared" ref="AA81:AE81" si="326">+((AA79*AA17)+(AA80*AA18))/AA19</f>
        <v>24.32558216122121</v>
      </c>
      <c r="AB81" s="2166">
        <f>((N81*$N$19)+(Z81*$Z$19))/$AB$19</f>
        <v>24.18430374283497</v>
      </c>
      <c r="AC81" s="2654">
        <f t="shared" ref="AC81:AD81" si="327">+((AC79*AC17)+(AC80*AC18))/AC19</f>
        <v>24.328317794720409</v>
      </c>
      <c r="AD81" s="2654">
        <f t="shared" si="327"/>
        <v>23.617829292052154</v>
      </c>
      <c r="AE81" s="746">
        <f t="shared" si="326"/>
        <v>24.325980140788779</v>
      </c>
      <c r="AF81" s="2242">
        <f>((AB81*$AB$19)+(AD81*$AD$19))/$AF$19</f>
        <v>24.102662856608958</v>
      </c>
      <c r="AG81" s="2654">
        <f t="shared" ref="AG81:AH81" si="328">+((AG79*AG17)+(AG80*AG18))/AG19</f>
        <v>24.328317794720412</v>
      </c>
      <c r="AH81" s="2654">
        <f t="shared" si="328"/>
        <v>23.000000000000004</v>
      </c>
      <c r="AI81" s="746">
        <f t="shared" ref="AI81:AM81" si="329">+((AI79*AI17)+(AI80*AI18))/AI19</f>
        <v>24.326268635658412</v>
      </c>
      <c r="AJ81" s="2242">
        <f>((AF81*$AF$19)+(AH81*$AH$19))/$AJ$19</f>
        <v>23.967529539524204</v>
      </c>
      <c r="AK81" s="2654">
        <f t="shared" ref="AK81:AL81" si="330">+((AK79*AK17)+(AK80*AK18))/AK19</f>
        <v>24.328317794720409</v>
      </c>
      <c r="AL81" s="2654">
        <f t="shared" si="330"/>
        <v>23.201027346735309</v>
      </c>
      <c r="AM81" s="747">
        <f t="shared" si="329"/>
        <v>24.328317794720409</v>
      </c>
      <c r="AN81" s="2165">
        <f>((AD81*$AD$19)+(AH81*$AH$19)+(AL81*$AL$19))/$AN$19</f>
        <v>23.275756830188715</v>
      </c>
      <c r="AO81" s="746">
        <f t="shared" ref="AO81:AS81" si="331">+((AO79*AO17)+(AO80*AO18))/AO19</f>
        <v>24.326500400454158</v>
      </c>
      <c r="AP81" s="1332">
        <f>((AJ81*$AJ$19)+(AL81*$AL$19))/$AP$19</f>
        <v>23.88137231755535</v>
      </c>
      <c r="AQ81" s="2654">
        <f t="shared" ref="AQ81:AR81" si="332">+((AQ79*AQ17)+(AQ80*AQ18))/AQ19</f>
        <v>24.328317794720409</v>
      </c>
      <c r="AR81" s="2654">
        <f t="shared" si="332"/>
        <v>24.522953270440297</v>
      </c>
      <c r="AS81" s="746">
        <f t="shared" si="331"/>
        <v>24.326685065983206</v>
      </c>
      <c r="AT81" s="2242">
        <f>((AP81*$AP$19)+(AR81*$AR$19))/$AT$19</f>
        <v>23.946019805107685</v>
      </c>
      <c r="AU81" s="2654">
        <f t="shared" ref="AU81:AV81" si="333">+((AU79*AU17)+(AU80*AU18))/AU19</f>
        <v>24.328317794720409</v>
      </c>
      <c r="AV81" s="2654">
        <f t="shared" si="333"/>
        <v>24.998722380226461</v>
      </c>
      <c r="AW81" s="746">
        <f t="shared" ref="AW81" si="334">+((AW79*AW17)+(AW80*AW18))/AW19</f>
        <v>24.326822316246034</v>
      </c>
      <c r="AX81" s="2242">
        <f>((AT81*$AT$19)+(AV81*$AV$19))/$AX$19</f>
        <v>24.03380397712224</v>
      </c>
      <c r="AY81" s="2654">
        <f t="shared" ref="AY81:AZ81" si="335">+((AY79*AY17)+(AY80*AY18))/AY19</f>
        <v>24.328317794720409</v>
      </c>
      <c r="AZ81" s="2654">
        <f t="shared" si="335"/>
        <v>24.998748025829993</v>
      </c>
      <c r="BA81" s="747">
        <f t="shared" ref="BA81:BE81" si="336">+((BA79*BA17)+(BA80*BA18))/BA19</f>
        <v>24.328317794720412</v>
      </c>
      <c r="BB81" s="2165">
        <f>((AR81*$P$19)+(AV81*$T$19)+(AZ81*$X$19))/$Z$19</f>
        <v>24.839150282241263</v>
      </c>
      <c r="BC81" s="739">
        <f t="shared" ref="BC81" si="337">+((BC79*BC17)+(BC80*BC18))/BC19</f>
        <v>24.328317794720409</v>
      </c>
      <c r="BD81" s="2166">
        <f>((AN81*$AN$19)+(BB81*$BB$19))/$BD$19</f>
        <v>24.050055848582886</v>
      </c>
      <c r="BE81" s="746">
        <f t="shared" si="336"/>
        <v>24.326949647668165</v>
      </c>
      <c r="BF81" s="746">
        <f>((AX81*$AX$19)+(AZ81*$AZ$19))/$BF$19</f>
        <v>24.116652523925154</v>
      </c>
      <c r="BG81" s="1111"/>
      <c r="BH81" s="1111"/>
      <c r="BI81" s="1111"/>
      <c r="BJ81" s="1111"/>
      <c r="BK81" s="1111"/>
      <c r="BL81" s="23"/>
      <c r="BM81" s="23"/>
      <c r="BN81" s="23"/>
    </row>
    <row r="82" spans="1:66" ht="15.75" customHeight="1" thickBot="1" x14ac:dyDescent="0.35">
      <c r="A82" s="136"/>
      <c r="B82" s="2173" t="s">
        <v>1042</v>
      </c>
      <c r="C82" s="2873" t="s">
        <v>480</v>
      </c>
      <c r="D82" s="2869">
        <v>10</v>
      </c>
      <c r="E82" s="2869">
        <f>+$D$82</f>
        <v>10</v>
      </c>
      <c r="F82" s="2869">
        <v>10.7</v>
      </c>
      <c r="G82" s="2869">
        <f>+$D$82</f>
        <v>10</v>
      </c>
      <c r="H82" s="2869">
        <v>8.1199999999999992</v>
      </c>
      <c r="I82" s="2871">
        <f>+$D$82</f>
        <v>10</v>
      </c>
      <c r="J82" s="153">
        <f>((F82*$F$17)+(H82*$H$17))/$J$17</f>
        <v>9.3950378214826014</v>
      </c>
      <c r="K82" s="2869">
        <f>+$D$82</f>
        <v>10</v>
      </c>
      <c r="L82" s="2869">
        <v>10</v>
      </c>
      <c r="M82" s="737">
        <f>+$D$82</f>
        <v>10</v>
      </c>
      <c r="N82" s="2165">
        <f>((F82*$F$17)+(H82*$H$17)+(L82*$L$17))/$N$17</f>
        <v>9.5924674442305502</v>
      </c>
      <c r="O82" s="2869">
        <f>+$D$82</f>
        <v>10</v>
      </c>
      <c r="P82" s="2869">
        <v>10</v>
      </c>
      <c r="Q82" s="738">
        <f>+$D$82</f>
        <v>10</v>
      </c>
      <c r="R82" s="1332">
        <f>((N82*$N$17)+(P82*$P$17))/$R$17</f>
        <v>9.6947221986597665</v>
      </c>
      <c r="S82" s="2869">
        <f>+$D$82</f>
        <v>10</v>
      </c>
      <c r="T82" s="2869">
        <v>10</v>
      </c>
      <c r="U82" s="738">
        <f>+$D$82</f>
        <v>10</v>
      </c>
      <c r="V82" s="1332">
        <f>((R82*$R$17)+(T82*$T$17))/$V$17</f>
        <v>9.7572725433331069</v>
      </c>
      <c r="W82" s="2869">
        <f>+$D$82</f>
        <v>10</v>
      </c>
      <c r="X82" s="2869">
        <v>10</v>
      </c>
      <c r="Y82" s="737">
        <f>+$D$82</f>
        <v>10</v>
      </c>
      <c r="Z82" s="2165">
        <f>((P82*$P$17)+(T82*$T$17)+(X82*$X$17))/$Z$17</f>
        <v>10</v>
      </c>
      <c r="AA82" s="739">
        <f>+$D$82</f>
        <v>10</v>
      </c>
      <c r="AB82" s="2166">
        <f>((N82*$N$17)+(Z82*$Z$17))/$AB$17</f>
        <v>9.7974379467552186</v>
      </c>
      <c r="AC82" s="2869">
        <f>+$D$82</f>
        <v>10</v>
      </c>
      <c r="AD82" s="2869">
        <v>10</v>
      </c>
      <c r="AE82" s="738">
        <f>+$D$82</f>
        <v>10</v>
      </c>
      <c r="AF82" s="1332">
        <f>((AB82*$AB$17)+(AD82*$AD$17))/$AF$17</f>
        <v>9.8266416184971099</v>
      </c>
      <c r="AG82" s="2869">
        <f>+$D$82</f>
        <v>10</v>
      </c>
      <c r="AH82" s="2869">
        <v>10</v>
      </c>
      <c r="AI82" s="738">
        <f>+$D$82</f>
        <v>10</v>
      </c>
      <c r="AJ82" s="1332">
        <f>((AF82*$AF$17)+(AH82*$AH$17))/$AJ$17</f>
        <v>9.8474193411625031</v>
      </c>
      <c r="AK82" s="2869">
        <f>+$D$82</f>
        <v>10</v>
      </c>
      <c r="AL82" s="2869">
        <v>10</v>
      </c>
      <c r="AM82" s="737">
        <f>+$D$82</f>
        <v>10</v>
      </c>
      <c r="AN82" s="2165">
        <f>((AD82*$AD$17)+(AH82*$AH$17)+(AL82*$AL$17))/$AN$17</f>
        <v>10</v>
      </c>
      <c r="AO82" s="738">
        <f>+$D$82</f>
        <v>10</v>
      </c>
      <c r="AP82" s="1332">
        <f>((AJ82*$AJ$17)+(AL82*$AL$17))/$AP$17</f>
        <v>9.8642121943857504</v>
      </c>
      <c r="AQ82" s="2869">
        <f>+$D$82</f>
        <v>10</v>
      </c>
      <c r="AR82" s="2869">
        <v>10</v>
      </c>
      <c r="AS82" s="738">
        <f>+$D$82</f>
        <v>10</v>
      </c>
      <c r="AT82" s="1332">
        <f>((AP82*$AP$17)+(AR82*$AR$17))/$AT$17</f>
        <v>9.8777706833310663</v>
      </c>
      <c r="AU82" s="2869">
        <f>+$D$82</f>
        <v>10</v>
      </c>
      <c r="AV82" s="2869">
        <v>10</v>
      </c>
      <c r="AW82" s="738">
        <f>+$D$82</f>
        <v>10</v>
      </c>
      <c r="AX82" s="1332">
        <f>((AT82*$AT$17)+(AV82*$AV$17))/$AX$17</f>
        <v>9.8878421839940138</v>
      </c>
      <c r="AY82" s="2869">
        <v>10</v>
      </c>
      <c r="AZ82" s="2869">
        <v>10</v>
      </c>
      <c r="BA82" s="737">
        <f>+$D$82</f>
        <v>10</v>
      </c>
      <c r="BB82" s="2165">
        <f>((AR82*$AR$17)+(AV82*$AV$17)+(AZ82*$AZ$17))/$BB$17</f>
        <v>10</v>
      </c>
      <c r="BC82" s="739">
        <f>+$D$82</f>
        <v>10</v>
      </c>
      <c r="BD82" s="2166">
        <f>((AN82*$AN$17)+(BB82*$BB$17))/$BD$17</f>
        <v>10</v>
      </c>
      <c r="BE82" s="738">
        <f>+$D$82</f>
        <v>10</v>
      </c>
      <c r="BF82" s="738">
        <f t="shared" ref="BF82:BF85" si="338">((AX82*$AX$17)+(AZ82*$AZ$17))/$BF$17</f>
        <v>9.8975425610658743</v>
      </c>
      <c r="BG82" s="1111"/>
      <c r="BH82" s="1111"/>
      <c r="BI82" s="1111"/>
      <c r="BJ82" s="1111"/>
      <c r="BK82" s="1111"/>
      <c r="BL82" s="23"/>
      <c r="BM82" s="23"/>
      <c r="BN82" s="23"/>
    </row>
    <row r="83" spans="1:66" ht="15.75" customHeight="1" thickBot="1" x14ac:dyDescent="0.35">
      <c r="A83" s="136"/>
      <c r="B83" s="2173" t="s">
        <v>482</v>
      </c>
      <c r="C83" s="2873" t="s">
        <v>480</v>
      </c>
      <c r="D83" s="2869">
        <v>4.2000000000000011</v>
      </c>
      <c r="E83" s="2869">
        <f>+$D$83</f>
        <v>4.2000000000000011</v>
      </c>
      <c r="F83" s="2869"/>
      <c r="G83" s="2869">
        <f>+$D$83</f>
        <v>4.2000000000000011</v>
      </c>
      <c r="H83" s="2869"/>
      <c r="I83" s="2871">
        <f>+$D$83</f>
        <v>4.2000000000000011</v>
      </c>
      <c r="J83" s="153">
        <f>((F83*$F$18)+(H83*$H$18))/$J$18</f>
        <v>0</v>
      </c>
      <c r="K83" s="2869">
        <f>+$D$83</f>
        <v>4.2000000000000011</v>
      </c>
      <c r="L83" s="2869">
        <v>0</v>
      </c>
      <c r="M83" s="737">
        <f>+$D$83</f>
        <v>4.2000000000000011</v>
      </c>
      <c r="N83" s="2165">
        <f>((F83*$F$18)+(H83*$H$18)+(L83*$L$18))/($N$18)</f>
        <v>0</v>
      </c>
      <c r="O83" s="2869">
        <f>+$D$83</f>
        <v>4.2000000000000011</v>
      </c>
      <c r="P83" s="2869">
        <v>0</v>
      </c>
      <c r="Q83" s="738">
        <f>+$D$83</f>
        <v>4.2000000000000011</v>
      </c>
      <c r="R83" s="1332">
        <f>((N83*$N$18)+(P83*$P$18))/$R$18</f>
        <v>0</v>
      </c>
      <c r="S83" s="2869">
        <f>+$D$83</f>
        <v>4.2000000000000011</v>
      </c>
      <c r="T83" s="2869">
        <v>0</v>
      </c>
      <c r="U83" s="738">
        <f>+$D$83</f>
        <v>4.2000000000000011</v>
      </c>
      <c r="V83" s="1332">
        <f>((R83*$R$18)+(T83*$T$18))/$V$18</f>
        <v>0</v>
      </c>
      <c r="W83" s="2869">
        <f>+$D$83</f>
        <v>4.2000000000000011</v>
      </c>
      <c r="X83" s="2869"/>
      <c r="Y83" s="737">
        <f>+$D$83</f>
        <v>4.2000000000000011</v>
      </c>
      <c r="Z83" s="2165">
        <f>((P83*$P$18)+(T83*$T$18)+(X83*$X$18))/$Z$18</f>
        <v>0</v>
      </c>
      <c r="AA83" s="739">
        <f>+$D$83</f>
        <v>4.2000000000000011</v>
      </c>
      <c r="AB83" s="2166">
        <f>((N83*$N$18)+(Z83*$Z$18))/$AB$18</f>
        <v>0</v>
      </c>
      <c r="AC83" s="2869">
        <f>+$D$83</f>
        <v>4.2000000000000011</v>
      </c>
      <c r="AD83" s="2869"/>
      <c r="AE83" s="738">
        <f>+$D$83</f>
        <v>4.2000000000000011</v>
      </c>
      <c r="AF83" s="1332">
        <f>((AB83*$AB$18)+(AD83*$AD$18))/$AF$18</f>
        <v>0</v>
      </c>
      <c r="AG83" s="2869">
        <f>+$D$83</f>
        <v>4.2000000000000011</v>
      </c>
      <c r="AH83" s="2869"/>
      <c r="AI83" s="738">
        <f>+$D$83</f>
        <v>4.2000000000000011</v>
      </c>
      <c r="AJ83" s="1332">
        <f>((AF83*$AF$18)+(AH83*$AH$18))/$AJ$18</f>
        <v>0</v>
      </c>
      <c r="AK83" s="2869">
        <f>+$D$83</f>
        <v>4.2000000000000011</v>
      </c>
      <c r="AL83" s="2869"/>
      <c r="AM83" s="737">
        <f>+$D$83</f>
        <v>4.2000000000000011</v>
      </c>
      <c r="AN83" s="2165">
        <f>((AD83*$AD$18)+(AH83*$AH$18)+(AL83*$AL$18))/$AN$18</f>
        <v>0</v>
      </c>
      <c r="AO83" s="738">
        <f>+$D$83</f>
        <v>4.2000000000000011</v>
      </c>
      <c r="AP83" s="1332">
        <f>((AJ83*$AJ$18)+(AL83*$AL$18))/$AP$18</f>
        <v>0</v>
      </c>
      <c r="AQ83" s="2869">
        <f>+$D$83</f>
        <v>4.2000000000000011</v>
      </c>
      <c r="AR83" s="2869"/>
      <c r="AS83" s="738">
        <f>+$D$83</f>
        <v>4.2000000000000011</v>
      </c>
      <c r="AT83" s="1332">
        <f>((AP83*$AP$18)+(AR83*$AR$18))/$AT$18</f>
        <v>0</v>
      </c>
      <c r="AU83" s="2869">
        <f>+$D$83</f>
        <v>4.2000000000000011</v>
      </c>
      <c r="AV83" s="2869"/>
      <c r="AW83" s="738">
        <f>+$D$83</f>
        <v>4.2000000000000011</v>
      </c>
      <c r="AX83" s="1332">
        <f>((AT83*$AT$18)+(AV83*$AV$18))/$AX$18</f>
        <v>0</v>
      </c>
      <c r="AY83" s="2869">
        <f>+$D$83</f>
        <v>4.2000000000000011</v>
      </c>
      <c r="AZ83" s="2869"/>
      <c r="BA83" s="737">
        <f>+$D$83</f>
        <v>4.2000000000000011</v>
      </c>
      <c r="BB83" s="2165">
        <f>((AR83*$AR$18)+(AV83*$AV$18)+(AZ83*$AZ$18))/$BB$18</f>
        <v>0</v>
      </c>
      <c r="BC83" s="739">
        <f>+$D$83</f>
        <v>4.2000000000000011</v>
      </c>
      <c r="BD83" s="2166">
        <f>((AN83*$AN$18)+(BB83*$BB$18))/$BD$18</f>
        <v>0</v>
      </c>
      <c r="BE83" s="738">
        <f>+$D$83</f>
        <v>4.2000000000000011</v>
      </c>
      <c r="BF83" s="738">
        <f>((AX83*$AX$18)+(AZ83*$AZ$18))/$BF$18</f>
        <v>0</v>
      </c>
      <c r="BG83" s="1111"/>
      <c r="BH83" s="1111"/>
      <c r="BI83" s="1111"/>
      <c r="BJ83" s="1111"/>
      <c r="BK83" s="1111"/>
      <c r="BL83" s="23"/>
      <c r="BM83" s="23"/>
      <c r="BN83" s="23"/>
    </row>
    <row r="84" spans="1:66" ht="15.75" customHeight="1" thickBot="1" x14ac:dyDescent="0.35">
      <c r="A84" s="136"/>
      <c r="B84" s="2174" t="s">
        <v>1043</v>
      </c>
      <c r="C84" s="2653" t="s">
        <v>480</v>
      </c>
      <c r="D84" s="2654">
        <f t="shared" ref="D84:AA84" si="339">+((D82*D17)+(D83*D18))/D19</f>
        <v>6.2299149202604216</v>
      </c>
      <c r="E84" s="2654">
        <f t="shared" si="339"/>
        <v>6.2654549756725189</v>
      </c>
      <c r="F84" s="2654">
        <f t="shared" si="339"/>
        <v>3.7644069665631545</v>
      </c>
      <c r="G84" s="2654">
        <f t="shared" ref="G84:H84" si="340">+((G82*G17)+(G83*G18))/G19</f>
        <v>6.2733322567069045</v>
      </c>
      <c r="H84" s="2654">
        <f t="shared" si="340"/>
        <v>2.9310970873786406</v>
      </c>
      <c r="I84" s="2656">
        <f t="shared" si="339"/>
        <v>6.2694506895024986</v>
      </c>
      <c r="J84" s="2872">
        <f>((F84*$F$19)+(H84*$H$19))/$J$19</f>
        <v>3.3482732244985955</v>
      </c>
      <c r="K84" s="2654">
        <f t="shared" ref="K84:L84" si="341">+((K82*K17)+(K83*K18))/K19</f>
        <v>6.1915135812432318</v>
      </c>
      <c r="L84" s="2654">
        <f t="shared" si="341"/>
        <v>3.4720678354069614</v>
      </c>
      <c r="M84" s="747">
        <f t="shared" si="339"/>
        <v>6.243813673966617</v>
      </c>
      <c r="N84" s="2165">
        <f>((F84*$F$19)+(H84*$H$19)+(L84*$L$19))/($N$19)</f>
        <v>3.3893871048972355</v>
      </c>
      <c r="O84" s="2654">
        <f t="shared" ref="O84:P84" si="342">+((O82*O17)+(O83*O18))/O19</f>
        <v>6.1915135812432309</v>
      </c>
      <c r="P84" s="2654">
        <f t="shared" si="342"/>
        <v>3.444551978933621</v>
      </c>
      <c r="Q84" s="746">
        <f t="shared" si="339"/>
        <v>6.2305461301559193</v>
      </c>
      <c r="R84" s="2242">
        <f>((N84*$N$19)+(P84*$P$19))/$R$19</f>
        <v>3.403494302481644</v>
      </c>
      <c r="S84" s="2654">
        <f t="shared" ref="S84:T84" si="343">+((S82*S17)+(S83*S18))/S19</f>
        <v>6.1915135812432309</v>
      </c>
      <c r="T84" s="2654">
        <f t="shared" si="343"/>
        <v>3.516220266433749</v>
      </c>
      <c r="U84" s="746">
        <f t="shared" ref="U84" si="344">+((U82*U17)+(U83*U18))/U19</f>
        <v>6.2226479340317828</v>
      </c>
      <c r="V84" s="2242">
        <f>((R84*$R$19)+(T84*$T$19))/$V$19</f>
        <v>3.4265624426374228</v>
      </c>
      <c r="W84" s="2654">
        <f t="shared" ref="W84:X84" si="345">+((W82*W17)+(W83*W18))/W19</f>
        <v>6.2264236459938092</v>
      </c>
      <c r="X84" s="2654">
        <f t="shared" si="345"/>
        <v>3.510431920994455</v>
      </c>
      <c r="Y84" s="747">
        <f t="shared" si="339"/>
        <v>6.2026092579751779</v>
      </c>
      <c r="Z84" s="2165">
        <f>((P84*$P$19)+(T84*$T$19)+(X84*$X$19))/$Z$19</f>
        <v>3.4902881149053333</v>
      </c>
      <c r="AA84" s="739">
        <f t="shared" si="339"/>
        <v>6.2232469298339357</v>
      </c>
      <c r="AB84" s="2166">
        <f>((N84*$N$19)+(Z84*$Z$19))/$AB$19</f>
        <v>3.4404452964417107</v>
      </c>
      <c r="AC84" s="2654">
        <f t="shared" ref="AC84:AD84" si="346">+((AC82*AC17)+(AC83*AC18))/AC19</f>
        <v>6.1915135812432309</v>
      </c>
      <c r="AD84" s="2654">
        <f t="shared" si="346"/>
        <v>3.5130126808596303</v>
      </c>
      <c r="AE84" s="746">
        <f t="shared" ref="AE84" si="347">+((AE82*AE17)+(AE83*AE18))/AE19</f>
        <v>6.218630366850137</v>
      </c>
      <c r="AF84" s="2242">
        <f>((AB84*$AB$19)+(AD84*$AD$19))/$AF$19</f>
        <v>3.4509037832574809</v>
      </c>
      <c r="AG84" s="2654">
        <f t="shared" ref="AG84:AH84" si="348">+((AG82*AG17)+(AG83*AG18))/AG19</f>
        <v>6.1915135812432318</v>
      </c>
      <c r="AH84" s="2654">
        <f t="shared" si="348"/>
        <v>3.4239545279144639</v>
      </c>
      <c r="AI84" s="746">
        <f t="shared" ref="AI84" si="349">+((AI82*AI17)+(AI83*AI18))/AI19</f>
        <v>6.2152838263623904</v>
      </c>
      <c r="AJ84" s="2242">
        <f>((AF84*$AF$19)+(AH84*$AH$19))/$AJ$19</f>
        <v>3.4476011035257397</v>
      </c>
      <c r="AK84" s="2654">
        <f t="shared" ref="AK84:AL84" si="350">+((AK82*AK17)+(AK83*AK18))/AK19</f>
        <v>6.1915135812432309</v>
      </c>
      <c r="AL84" s="2654">
        <f t="shared" si="350"/>
        <v>3.4189739548249549</v>
      </c>
      <c r="AM84" s="747">
        <f t="shared" ref="AM84" si="351">+((AM82*AM17)+(AM83*AM18))/AM19</f>
        <v>6.1915135812432309</v>
      </c>
      <c r="AN84" s="2165">
        <f>((AD84*$AD$19)+(AH84*$AH$19)+(AL84*$AL$19))/$AN$19</f>
        <v>3.4522561613382616</v>
      </c>
      <c r="AO84" s="746">
        <f t="shared" ref="AO84" si="352">+((AO82*AO17)+(AO83*AO18))/AO19</f>
        <v>6.2125953547317856</v>
      </c>
      <c r="AP84" s="1332">
        <f>((AJ84*$AJ$19)+(AL84*$AL$19))/$AP$19</f>
        <v>3.4443833232921635</v>
      </c>
      <c r="AQ84" s="2654">
        <f t="shared" ref="AQ84:AR84" si="353">+((AQ82*AQ17)+(AQ83*AQ18))/AQ19</f>
        <v>6.1915135812432309</v>
      </c>
      <c r="AR84" s="2654">
        <f t="shared" si="353"/>
        <v>3.4566790643561069</v>
      </c>
      <c r="AS84" s="746">
        <f t="shared" ref="AS84" si="354">+((AS82*AS17)+(AS83*AS18))/AS19</f>
        <v>6.2104532345948611</v>
      </c>
      <c r="AT84" s="2242">
        <f>((AP84*$AP$19)+(AR84*$AR$19))/$AT$19</f>
        <v>3.4456222764808508</v>
      </c>
      <c r="AU84" s="2654">
        <f t="shared" ref="AU84:AV84" si="355">+((AU82*AU17)+(AU83*AU18))/AU19</f>
        <v>6.1915135812432309</v>
      </c>
      <c r="AV84" s="2654">
        <f t="shared" si="355"/>
        <v>3.4430849728822839</v>
      </c>
      <c r="AW84" s="746">
        <f t="shared" ref="AW84" si="356">+((AW82*AW17)+(AW83*AW18))/AW19</f>
        <v>6.2088611315460094</v>
      </c>
      <c r="AX84" s="2242">
        <f>((AT84*$AT$19)+(AV84*$AV$19))/$AX$19</f>
        <v>3.4454106924106545</v>
      </c>
      <c r="AY84" s="2654">
        <f t="shared" ref="AY84:AZ84" si="357">+((AY82*AY17)+(AY83*AY18))/AY19</f>
        <v>6.1915135812432309</v>
      </c>
      <c r="AZ84" s="2654">
        <f t="shared" si="357"/>
        <v>3.5124916773126484</v>
      </c>
      <c r="BA84" s="747">
        <f t="shared" ref="BA84:BE84" si="358">+((BA82*BA17)+(BA83*BA18))/BA19</f>
        <v>6.1915135812432309</v>
      </c>
      <c r="BB84" s="2165">
        <f>((AR84*$AR$19)+(AV84*$AV$19)+(AZ84*$AZ$19))/$BB$19</f>
        <v>3.4719140660391865</v>
      </c>
      <c r="BC84" s="739">
        <f t="shared" ref="BC84" si="359">+((BC82*BC17)+(BC83*BC18))/BC19</f>
        <v>6.1915135812432318</v>
      </c>
      <c r="BD84" s="2166">
        <f>((AN84*$AN$19)+(BB84*$BB$19))/$BD$19</f>
        <v>3.4619920958809245</v>
      </c>
      <c r="BE84" s="746">
        <f t="shared" si="358"/>
        <v>6.2073840870492507</v>
      </c>
      <c r="BF84" s="746">
        <f>((AX84*$AX$19)+(AZ84*$AZ$19))/$BF$19</f>
        <v>3.4511701580757164</v>
      </c>
      <c r="BG84" s="1111"/>
      <c r="BH84" s="1111"/>
      <c r="BI84" s="1111"/>
      <c r="BJ84" s="1111"/>
      <c r="BK84" s="1111"/>
      <c r="BL84" s="23"/>
      <c r="BM84" s="23"/>
      <c r="BN84" s="23"/>
    </row>
    <row r="85" spans="1:66" ht="15.75" customHeight="1" x14ac:dyDescent="0.3">
      <c r="A85" s="136"/>
      <c r="B85" s="2175" t="s">
        <v>479</v>
      </c>
      <c r="C85" s="2653" t="s">
        <v>480</v>
      </c>
      <c r="D85" s="2654">
        <v>0</v>
      </c>
      <c r="E85" s="2654">
        <f>+$D$85</f>
        <v>0</v>
      </c>
      <c r="F85" s="2654">
        <v>0</v>
      </c>
      <c r="G85" s="2654">
        <f>+$D$85</f>
        <v>0</v>
      </c>
      <c r="H85" s="2654">
        <v>0</v>
      </c>
      <c r="I85" s="2656">
        <f>+$D$85</f>
        <v>0</v>
      </c>
      <c r="J85" s="2872">
        <f>((F85*$F$17)+(H85*$H$17))/$J$17</f>
        <v>0</v>
      </c>
      <c r="K85" s="2654">
        <f>+$D$85</f>
        <v>0</v>
      </c>
      <c r="L85" s="2654">
        <v>0</v>
      </c>
      <c r="M85" s="747">
        <f>+$D$85</f>
        <v>0</v>
      </c>
      <c r="N85" s="2165">
        <f>((F85*$F$17)+(H85*$H$17)+(L85*$L$17))/$N$17</f>
        <v>0</v>
      </c>
      <c r="O85" s="2654">
        <f>+$D$85</f>
        <v>0</v>
      </c>
      <c r="P85" s="2654">
        <v>0</v>
      </c>
      <c r="Q85" s="746">
        <f>+$D$85</f>
        <v>0</v>
      </c>
      <c r="R85" s="2242">
        <f>((N85*$N$17)+(P85*$P$17))/$R$17</f>
        <v>0</v>
      </c>
      <c r="S85" s="2654">
        <f>+$D$85</f>
        <v>0</v>
      </c>
      <c r="T85" s="2654">
        <v>0</v>
      </c>
      <c r="U85" s="746">
        <f>+$D$85</f>
        <v>0</v>
      </c>
      <c r="V85" s="2242">
        <f>((R85*$R$17)+(T85*$T$17))/$V$17</f>
        <v>0</v>
      </c>
      <c r="W85" s="2654">
        <f>+$D$85</f>
        <v>0</v>
      </c>
      <c r="X85" s="2654">
        <v>0</v>
      </c>
      <c r="Y85" s="747">
        <f>+$D$85</f>
        <v>0</v>
      </c>
      <c r="Z85" s="2165">
        <f>((P85*$P$17)+(T85*$T$17)+(X85*$X$17))/$Z$17</f>
        <v>0</v>
      </c>
      <c r="AA85" s="739">
        <f>+$D$85</f>
        <v>0</v>
      </c>
      <c r="AB85" s="2166">
        <f>((N85*$N$17)+(Z85*$Z$17))/$AB$17</f>
        <v>0</v>
      </c>
      <c r="AC85" s="2654">
        <f>+$D$85</f>
        <v>0</v>
      </c>
      <c r="AD85" s="2654">
        <v>0</v>
      </c>
      <c r="AE85" s="746">
        <f>+$D$85</f>
        <v>0</v>
      </c>
      <c r="AF85" s="2242">
        <f>((AB85*$F$17)+(AD85*$H$17))/$J$17</f>
        <v>0</v>
      </c>
      <c r="AG85" s="2654">
        <f>+$D$85</f>
        <v>0</v>
      </c>
      <c r="AH85" s="2654">
        <v>0</v>
      </c>
      <c r="AI85" s="746">
        <f>+$D$85</f>
        <v>0</v>
      </c>
      <c r="AJ85" s="2242">
        <f>((AF85*$AF$17)+(AH85*$AH$17))/$AJ$17</f>
        <v>0</v>
      </c>
      <c r="AK85" s="2654">
        <f>+$D$85</f>
        <v>0</v>
      </c>
      <c r="AL85" s="2654">
        <v>0</v>
      </c>
      <c r="AM85" s="747">
        <f>+$D$85</f>
        <v>0</v>
      </c>
      <c r="AN85" s="2165">
        <f>((AD85*$AD$17)+(AH85*$AH$17)+(AL85*$AL$17))/$AN$17</f>
        <v>0</v>
      </c>
      <c r="AO85" s="746">
        <f>+$D$85</f>
        <v>0</v>
      </c>
      <c r="AP85" s="1332">
        <f>((AJ85*$AJ$17)+(AL85*$AL$17))/$AP$17</f>
        <v>0</v>
      </c>
      <c r="AQ85" s="2654">
        <f>+$D$85</f>
        <v>0</v>
      </c>
      <c r="AR85" s="2654">
        <v>0</v>
      </c>
      <c r="AS85" s="746">
        <f>+$D$85</f>
        <v>0</v>
      </c>
      <c r="AT85" s="2242">
        <f>((AP85*$AP$17)+(AR85*$AR$17))/$AT$17</f>
        <v>0</v>
      </c>
      <c r="AU85" s="2654">
        <f>+$D$85</f>
        <v>0</v>
      </c>
      <c r="AV85" s="2654">
        <v>0</v>
      </c>
      <c r="AW85" s="746">
        <f>+$D$85</f>
        <v>0</v>
      </c>
      <c r="AX85" s="2242">
        <f>((AT85*$AT$17)+(AV85*$AV$17))/$AX$17</f>
        <v>0</v>
      </c>
      <c r="AY85" s="2654">
        <f>+$D$85</f>
        <v>0</v>
      </c>
      <c r="AZ85" s="2654"/>
      <c r="BA85" s="747">
        <f>+$D$85</f>
        <v>0</v>
      </c>
      <c r="BB85" s="2165">
        <f>((AR85*$AR$17)+(AV85*$AV$17)+(AZ85*$AZ$17))/$BB$17</f>
        <v>0</v>
      </c>
      <c r="BC85" s="2150">
        <f>+$D$85</f>
        <v>0</v>
      </c>
      <c r="BD85" s="2334">
        <f>((AN85*$AN$17)+(BB85*$BB$17))/$BD$17</f>
        <v>0</v>
      </c>
      <c r="BE85" s="746">
        <f>+$D$85</f>
        <v>0</v>
      </c>
      <c r="BF85" s="746">
        <f t="shared" si="338"/>
        <v>0</v>
      </c>
      <c r="BG85" s="1111"/>
      <c r="BH85" s="1111"/>
      <c r="BI85" s="1111"/>
      <c r="BJ85" s="1111"/>
      <c r="BK85" s="1111"/>
      <c r="BL85" s="23"/>
      <c r="BM85" s="23"/>
      <c r="BN85" s="23"/>
    </row>
    <row r="86" spans="1:66" x14ac:dyDescent="0.3">
      <c r="B86" s="2176" t="s">
        <v>188</v>
      </c>
      <c r="C86" s="2356" t="s">
        <v>50</v>
      </c>
      <c r="D86" s="2580">
        <v>120</v>
      </c>
      <c r="E86" s="2580">
        <v>10</v>
      </c>
      <c r="F86" s="2580">
        <v>10</v>
      </c>
      <c r="G86" s="2580">
        <v>10</v>
      </c>
      <c r="H86" s="2580">
        <v>0</v>
      </c>
      <c r="I86" s="2817">
        <f t="shared" ref="I86:J88" si="360">+E86+G86</f>
        <v>20</v>
      </c>
      <c r="J86" s="101">
        <f t="shared" si="360"/>
        <v>10</v>
      </c>
      <c r="K86" s="2580">
        <v>10</v>
      </c>
      <c r="L86" s="2580">
        <v>10</v>
      </c>
      <c r="M86" s="322">
        <f t="shared" ref="M86:N88" si="361">+E86+G86+K86</f>
        <v>30</v>
      </c>
      <c r="N86" s="322">
        <f t="shared" si="361"/>
        <v>20</v>
      </c>
      <c r="O86" s="2580">
        <v>10</v>
      </c>
      <c r="P86" s="2580">
        <v>5</v>
      </c>
      <c r="Q86" s="240">
        <f t="shared" ref="Q86:R88" si="362">+M86+O86</f>
        <v>40</v>
      </c>
      <c r="R86" s="240">
        <f t="shared" si="362"/>
        <v>25</v>
      </c>
      <c r="S86" s="2580">
        <v>10</v>
      </c>
      <c r="T86" s="2580">
        <v>6</v>
      </c>
      <c r="U86" s="240">
        <f t="shared" ref="U86:U88" si="363">+Q86+S86</f>
        <v>50</v>
      </c>
      <c r="V86" s="240">
        <f t="shared" ref="V86:V88" si="364">+R86+T86</f>
        <v>31</v>
      </c>
      <c r="W86" s="2580">
        <v>10</v>
      </c>
      <c r="X86" s="2580">
        <v>10</v>
      </c>
      <c r="Y86" s="322">
        <f t="shared" ref="Y86:Z88" si="365">+O86+S86+W86</f>
        <v>30</v>
      </c>
      <c r="Z86" s="322">
        <f t="shared" si="365"/>
        <v>21</v>
      </c>
      <c r="AA86" s="430">
        <f t="shared" ref="AA86:AB88" si="366">+M86+Y86</f>
        <v>60</v>
      </c>
      <c r="AB86" s="438">
        <f t="shared" si="366"/>
        <v>41</v>
      </c>
      <c r="AC86" s="2580">
        <v>10</v>
      </c>
      <c r="AD86" s="2580">
        <v>5</v>
      </c>
      <c r="AE86" s="240">
        <f t="shared" ref="AE86:AE88" si="367">+AA86+AC86</f>
        <v>70</v>
      </c>
      <c r="AF86" s="240">
        <f t="shared" ref="AF86:AF88" si="368">+AB86+AD86</f>
        <v>46</v>
      </c>
      <c r="AG86" s="2580">
        <v>10</v>
      </c>
      <c r="AH86" s="2580">
        <v>4</v>
      </c>
      <c r="AI86" s="240">
        <f t="shared" ref="AI86:AI88" si="369">+AE86+AG86</f>
        <v>80</v>
      </c>
      <c r="AJ86" s="240">
        <f t="shared" ref="AJ86:AJ88" si="370">+AF86+AH86</f>
        <v>50</v>
      </c>
      <c r="AK86" s="2580">
        <v>10</v>
      </c>
      <c r="AL86" s="2580">
        <v>7</v>
      </c>
      <c r="AM86" s="322">
        <f t="shared" ref="AM86:AM88" si="371">+AC86+AG86+AK86</f>
        <v>30</v>
      </c>
      <c r="AN86" s="322">
        <f t="shared" ref="AN86:AN88" si="372">+AD86+AH86+AL86</f>
        <v>16</v>
      </c>
      <c r="AO86" s="697">
        <f t="shared" ref="AO86" si="373">AI86+AK86</f>
        <v>90</v>
      </c>
      <c r="AP86" s="697">
        <f t="shared" ref="AP86" si="374">AJ86+AL86</f>
        <v>57</v>
      </c>
      <c r="AQ86" s="2580">
        <v>10</v>
      </c>
      <c r="AR86" s="2580">
        <v>4</v>
      </c>
      <c r="AS86" s="240">
        <f t="shared" ref="AS86:AS88" si="375">+AO86+AQ86</f>
        <v>100</v>
      </c>
      <c r="AT86" s="240">
        <f t="shared" ref="AT86:AT88" si="376">+AP86+AR86</f>
        <v>61</v>
      </c>
      <c r="AU86" s="2580">
        <v>10</v>
      </c>
      <c r="AV86" s="2580">
        <v>8</v>
      </c>
      <c r="AW86" s="240">
        <f t="shared" ref="AW86:AW88" si="377">+AS86+AU86</f>
        <v>110</v>
      </c>
      <c r="AX86" s="240">
        <f t="shared" ref="AX86:AX88" si="378">+AT86+AV86</f>
        <v>69</v>
      </c>
      <c r="AY86" s="2580">
        <v>10</v>
      </c>
      <c r="AZ86" s="2580">
        <v>6</v>
      </c>
      <c r="BA86" s="322">
        <f t="shared" ref="BA86:BA88" si="379">+AQ86+AU86+AY86</f>
        <v>30</v>
      </c>
      <c r="BB86" s="322">
        <f t="shared" ref="BB86:BB88" si="380">+AR86+AV86+AZ86</f>
        <v>18</v>
      </c>
      <c r="BC86" s="2261">
        <f t="shared" ref="BC86:BC88" si="381">+AM86+BA86</f>
        <v>60</v>
      </c>
      <c r="BD86" s="2261">
        <f t="shared" ref="BD86:BD88" si="382">+AN86+BB86</f>
        <v>34</v>
      </c>
      <c r="BE86" s="240">
        <f t="shared" ref="BE86:BE88" si="383">+AW86+AY86</f>
        <v>120</v>
      </c>
      <c r="BF86" s="240">
        <f t="shared" ref="BF86:BF88" si="384">+AX86+AZ86</f>
        <v>75</v>
      </c>
      <c r="BG86" s="1111"/>
      <c r="BH86" s="1111"/>
      <c r="BI86" s="1111"/>
      <c r="BJ86" s="1111"/>
      <c r="BK86" s="1111"/>
      <c r="BL86" s="23"/>
      <c r="BM86" s="23"/>
      <c r="BN86" s="23"/>
    </row>
    <row r="87" spans="1:66" x14ac:dyDescent="0.3">
      <c r="B87" s="2176" t="s">
        <v>189</v>
      </c>
      <c r="C87" s="2356" t="s">
        <v>50</v>
      </c>
      <c r="D87" s="2580">
        <v>24</v>
      </c>
      <c r="E87" s="2580">
        <v>2</v>
      </c>
      <c r="F87" s="2583">
        <v>0</v>
      </c>
      <c r="G87" s="2580">
        <v>2</v>
      </c>
      <c r="H87" s="2583">
        <v>0</v>
      </c>
      <c r="I87" s="2817">
        <f t="shared" si="360"/>
        <v>4</v>
      </c>
      <c r="J87" s="101">
        <f t="shared" si="360"/>
        <v>0</v>
      </c>
      <c r="K87" s="2580">
        <v>2</v>
      </c>
      <c r="L87" s="2583">
        <v>2</v>
      </c>
      <c r="M87" s="322">
        <f t="shared" si="361"/>
        <v>6</v>
      </c>
      <c r="N87" s="322">
        <f t="shared" si="361"/>
        <v>2</v>
      </c>
      <c r="O87" s="2580">
        <v>2</v>
      </c>
      <c r="P87" s="2583">
        <v>2</v>
      </c>
      <c r="Q87" s="240">
        <f t="shared" si="362"/>
        <v>8</v>
      </c>
      <c r="R87" s="240">
        <f t="shared" si="362"/>
        <v>4</v>
      </c>
      <c r="S87" s="2580">
        <v>2</v>
      </c>
      <c r="T87" s="2583">
        <v>2</v>
      </c>
      <c r="U87" s="240">
        <f t="shared" si="363"/>
        <v>10</v>
      </c>
      <c r="V87" s="240">
        <f t="shared" si="364"/>
        <v>6</v>
      </c>
      <c r="W87" s="2580">
        <v>2</v>
      </c>
      <c r="X87" s="2583">
        <v>2.5</v>
      </c>
      <c r="Y87" s="322">
        <f t="shared" si="365"/>
        <v>6</v>
      </c>
      <c r="Z87" s="322">
        <f t="shared" si="365"/>
        <v>6.5</v>
      </c>
      <c r="AA87" s="430">
        <f t="shared" si="366"/>
        <v>12</v>
      </c>
      <c r="AB87" s="438">
        <f t="shared" si="366"/>
        <v>8.5</v>
      </c>
      <c r="AC87" s="2580">
        <v>2</v>
      </c>
      <c r="AD87" s="2583">
        <v>1.5</v>
      </c>
      <c r="AE87" s="240">
        <f t="shared" si="367"/>
        <v>14</v>
      </c>
      <c r="AF87" s="240">
        <f t="shared" si="368"/>
        <v>10</v>
      </c>
      <c r="AG87" s="2580">
        <v>2</v>
      </c>
      <c r="AH87" s="2583">
        <v>1</v>
      </c>
      <c r="AI87" s="240">
        <f t="shared" si="369"/>
        <v>16</v>
      </c>
      <c r="AJ87" s="240">
        <f t="shared" si="370"/>
        <v>11</v>
      </c>
      <c r="AK87" s="2580">
        <v>2</v>
      </c>
      <c r="AL87" s="2583">
        <v>2</v>
      </c>
      <c r="AM87" s="322">
        <f t="shared" si="371"/>
        <v>6</v>
      </c>
      <c r="AN87" s="322">
        <f t="shared" si="372"/>
        <v>4.5</v>
      </c>
      <c r="AO87" s="697">
        <f t="shared" ref="AO87:AO88" si="385">AI87+AK87</f>
        <v>18</v>
      </c>
      <c r="AP87" s="697">
        <f t="shared" ref="AP87:AP88" si="386">AJ87+AL87</f>
        <v>13</v>
      </c>
      <c r="AQ87" s="2580">
        <v>2</v>
      </c>
      <c r="AR87" s="2583">
        <v>0.5</v>
      </c>
      <c r="AS87" s="240">
        <f t="shared" si="375"/>
        <v>20</v>
      </c>
      <c r="AT87" s="240">
        <f t="shared" si="376"/>
        <v>13.5</v>
      </c>
      <c r="AU87" s="2580">
        <v>2</v>
      </c>
      <c r="AV87" s="2583">
        <v>0</v>
      </c>
      <c r="AW87" s="240">
        <f t="shared" si="377"/>
        <v>22</v>
      </c>
      <c r="AX87" s="240">
        <f t="shared" si="378"/>
        <v>13.5</v>
      </c>
      <c r="AY87" s="2580">
        <v>2</v>
      </c>
      <c r="AZ87" s="2583">
        <v>0</v>
      </c>
      <c r="BA87" s="322">
        <f t="shared" si="379"/>
        <v>6</v>
      </c>
      <c r="BB87" s="322">
        <f t="shared" si="380"/>
        <v>0.5</v>
      </c>
      <c r="BC87" s="2261">
        <f t="shared" si="381"/>
        <v>12</v>
      </c>
      <c r="BD87" s="2261">
        <f t="shared" si="382"/>
        <v>5</v>
      </c>
      <c r="BE87" s="240">
        <f t="shared" si="383"/>
        <v>24</v>
      </c>
      <c r="BF87" s="240">
        <f t="shared" si="384"/>
        <v>13.5</v>
      </c>
      <c r="BG87" s="1111"/>
      <c r="BH87" s="1111"/>
      <c r="BI87" s="1111"/>
      <c r="BJ87" s="1111"/>
      <c r="BK87" s="1111"/>
      <c r="BL87" s="23"/>
      <c r="BM87" s="23"/>
      <c r="BN87" s="23"/>
    </row>
    <row r="88" spans="1:66" ht="15" thickBot="1" x14ac:dyDescent="0.35">
      <c r="B88" s="2177" t="s">
        <v>190</v>
      </c>
      <c r="C88" s="821" t="s">
        <v>50</v>
      </c>
      <c r="D88" s="1333">
        <v>9</v>
      </c>
      <c r="E88" s="1333">
        <v>0</v>
      </c>
      <c r="F88" s="1333">
        <v>0</v>
      </c>
      <c r="G88" s="1333">
        <v>0</v>
      </c>
      <c r="H88" s="1333">
        <v>0</v>
      </c>
      <c r="I88" s="550">
        <f t="shared" si="360"/>
        <v>0</v>
      </c>
      <c r="J88" s="120">
        <f t="shared" si="360"/>
        <v>0</v>
      </c>
      <c r="K88" s="1333">
        <v>1</v>
      </c>
      <c r="L88" s="1333">
        <v>0</v>
      </c>
      <c r="M88" s="551">
        <f t="shared" si="361"/>
        <v>1</v>
      </c>
      <c r="N88" s="551">
        <f t="shared" si="361"/>
        <v>0</v>
      </c>
      <c r="O88" s="1333">
        <v>1</v>
      </c>
      <c r="P88" s="1333">
        <v>0</v>
      </c>
      <c r="Q88" s="550">
        <f t="shared" si="362"/>
        <v>2</v>
      </c>
      <c r="R88" s="550">
        <f t="shared" si="362"/>
        <v>0</v>
      </c>
      <c r="S88" s="1333">
        <v>1</v>
      </c>
      <c r="T88" s="1333">
        <v>0</v>
      </c>
      <c r="U88" s="550">
        <f t="shared" si="363"/>
        <v>3</v>
      </c>
      <c r="V88" s="550">
        <f t="shared" si="364"/>
        <v>0</v>
      </c>
      <c r="W88" s="1333">
        <v>1</v>
      </c>
      <c r="X88" s="1333">
        <v>0</v>
      </c>
      <c r="Y88" s="551">
        <f t="shared" si="365"/>
        <v>3</v>
      </c>
      <c r="Z88" s="551">
        <f t="shared" si="365"/>
        <v>0</v>
      </c>
      <c r="AA88" s="575">
        <f t="shared" si="366"/>
        <v>4</v>
      </c>
      <c r="AB88" s="456">
        <f t="shared" si="366"/>
        <v>0</v>
      </c>
      <c r="AC88" s="1333">
        <v>1.5</v>
      </c>
      <c r="AD88" s="1333">
        <v>0</v>
      </c>
      <c r="AE88" s="550">
        <f t="shared" si="367"/>
        <v>5.5</v>
      </c>
      <c r="AF88" s="550">
        <f t="shared" si="368"/>
        <v>0</v>
      </c>
      <c r="AG88" s="1333">
        <v>1.5</v>
      </c>
      <c r="AH88" s="1333">
        <v>0</v>
      </c>
      <c r="AI88" s="550">
        <f t="shared" si="369"/>
        <v>7</v>
      </c>
      <c r="AJ88" s="550">
        <f t="shared" si="370"/>
        <v>0</v>
      </c>
      <c r="AK88" s="1333">
        <v>1.5</v>
      </c>
      <c r="AL88" s="1333">
        <v>0</v>
      </c>
      <c r="AM88" s="551">
        <f t="shared" si="371"/>
        <v>4.5</v>
      </c>
      <c r="AN88" s="551">
        <f t="shared" si="372"/>
        <v>0</v>
      </c>
      <c r="AO88" s="697">
        <f t="shared" si="385"/>
        <v>8.5</v>
      </c>
      <c r="AP88" s="697">
        <f t="shared" si="386"/>
        <v>0</v>
      </c>
      <c r="AQ88" s="1333">
        <v>1.5</v>
      </c>
      <c r="AR88" s="1333">
        <v>0</v>
      </c>
      <c r="AS88" s="550">
        <f t="shared" si="375"/>
        <v>10</v>
      </c>
      <c r="AT88" s="550">
        <f t="shared" si="376"/>
        <v>0</v>
      </c>
      <c r="AU88" s="1333">
        <v>1.5</v>
      </c>
      <c r="AV88" s="1333">
        <v>0</v>
      </c>
      <c r="AW88" s="550">
        <f t="shared" si="377"/>
        <v>11.5</v>
      </c>
      <c r="AX88" s="550">
        <f t="shared" si="378"/>
        <v>0</v>
      </c>
      <c r="AY88" s="1333">
        <v>1.5</v>
      </c>
      <c r="AZ88" s="1333">
        <v>0</v>
      </c>
      <c r="BA88" s="551">
        <f t="shared" si="379"/>
        <v>4.5</v>
      </c>
      <c r="BB88" s="551">
        <f t="shared" si="380"/>
        <v>0</v>
      </c>
      <c r="BC88" s="2261">
        <f t="shared" si="381"/>
        <v>9</v>
      </c>
      <c r="BD88" s="2261">
        <f t="shared" si="382"/>
        <v>0</v>
      </c>
      <c r="BE88" s="550">
        <f t="shared" si="383"/>
        <v>13</v>
      </c>
      <c r="BF88" s="550">
        <f t="shared" si="384"/>
        <v>0</v>
      </c>
      <c r="BG88" s="1111"/>
      <c r="BH88" s="1111"/>
      <c r="BI88" s="1111"/>
      <c r="BJ88" s="1111"/>
      <c r="BK88" s="1111"/>
      <c r="BL88" s="23"/>
      <c r="BM88" s="23"/>
      <c r="BN88" s="23"/>
    </row>
    <row r="89" spans="1:66" ht="18" thickBot="1" x14ac:dyDescent="0.35">
      <c r="A89" s="136"/>
      <c r="B89" s="791" t="s">
        <v>747</v>
      </c>
      <c r="C89" s="1648"/>
      <c r="D89" s="491"/>
      <c r="E89" s="491"/>
      <c r="F89" s="491"/>
      <c r="G89" s="491"/>
      <c r="H89" s="491"/>
      <c r="I89" s="491"/>
      <c r="J89" s="491"/>
      <c r="K89" s="491"/>
      <c r="L89" s="491"/>
      <c r="M89" s="491"/>
      <c r="N89" s="491"/>
      <c r="O89" s="491"/>
      <c r="P89" s="491"/>
      <c r="Q89" s="491"/>
      <c r="R89" s="491"/>
      <c r="S89" s="491"/>
      <c r="T89" s="491"/>
      <c r="U89" s="491"/>
      <c r="V89" s="491"/>
      <c r="W89" s="491"/>
      <c r="X89" s="491"/>
      <c r="Y89" s="491"/>
      <c r="Z89" s="491"/>
      <c r="AA89" s="491"/>
      <c r="AB89" s="491"/>
      <c r="AC89" s="491"/>
      <c r="AD89" s="491"/>
      <c r="AE89" s="491"/>
      <c r="AF89" s="491"/>
      <c r="AG89" s="491"/>
      <c r="AH89" s="491"/>
      <c r="AI89" s="491"/>
      <c r="AJ89" s="491"/>
      <c r="AK89" s="491"/>
      <c r="AL89" s="491"/>
      <c r="AM89" s="491"/>
      <c r="AN89" s="491"/>
      <c r="AO89" s="491"/>
      <c r="AP89" s="491"/>
      <c r="AQ89" s="491"/>
      <c r="AR89" s="491"/>
      <c r="AS89" s="491"/>
      <c r="AT89" s="491"/>
      <c r="AU89" s="491"/>
      <c r="AV89" s="491"/>
      <c r="AW89" s="491"/>
      <c r="AX89" s="491"/>
      <c r="AY89" s="491"/>
      <c r="AZ89" s="491"/>
      <c r="BA89" s="491"/>
      <c r="BB89" s="491"/>
      <c r="BC89" s="491"/>
      <c r="BD89" s="491"/>
      <c r="BE89" s="491"/>
      <c r="BF89" s="491"/>
      <c r="BG89" s="1111"/>
      <c r="BH89" s="1111"/>
      <c r="BI89" s="1111"/>
      <c r="BJ89" s="1111"/>
      <c r="BK89" s="1111"/>
      <c r="BL89" s="23"/>
      <c r="BM89" s="23"/>
      <c r="BN89" s="23"/>
    </row>
    <row r="90" spans="1:66" ht="17.399999999999999" x14ac:dyDescent="0.3">
      <c r="A90" s="136"/>
      <c r="B90" s="1657" t="s">
        <v>612</v>
      </c>
      <c r="C90" s="1655"/>
      <c r="D90" s="1655"/>
      <c r="E90" s="1655"/>
      <c r="F90" s="1655"/>
      <c r="G90" s="1655"/>
      <c r="H90" s="1655"/>
      <c r="I90" s="1655"/>
      <c r="J90" s="1655"/>
      <c r="K90" s="1655"/>
      <c r="L90" s="1655"/>
      <c r="M90" s="1655"/>
      <c r="N90" s="1655"/>
      <c r="O90" s="1655"/>
      <c r="P90" s="1655"/>
      <c r="Q90" s="1655"/>
      <c r="R90" s="1655"/>
      <c r="S90" s="1655"/>
      <c r="T90" s="1655"/>
      <c r="U90" s="1655"/>
      <c r="V90" s="1655"/>
      <c r="W90" s="1655"/>
      <c r="X90" s="1655"/>
      <c r="Y90" s="1655"/>
      <c r="Z90" s="1655"/>
      <c r="AA90" s="1655"/>
      <c r="AB90" s="1656"/>
      <c r="AC90" s="1655"/>
      <c r="AD90" s="1655"/>
      <c r="AE90" s="1655"/>
      <c r="AF90" s="1656"/>
      <c r="AG90" s="1655"/>
      <c r="AH90" s="1655"/>
      <c r="AI90" s="1655"/>
      <c r="AJ90" s="1656"/>
      <c r="AK90" s="1655"/>
      <c r="AL90" s="1655"/>
      <c r="AM90" s="1655"/>
      <c r="AN90" s="1655"/>
      <c r="AO90" s="1655"/>
      <c r="AP90" s="1656"/>
      <c r="AQ90" s="1655"/>
      <c r="AR90" s="1655"/>
      <c r="AS90" s="1655"/>
      <c r="AT90" s="1656"/>
      <c r="AU90" s="1655"/>
      <c r="AV90" s="1655"/>
      <c r="AW90" s="1655"/>
      <c r="AX90" s="1656"/>
      <c r="AY90" s="1655"/>
      <c r="AZ90" s="1655"/>
      <c r="BA90" s="1655"/>
      <c r="BB90" s="1655"/>
      <c r="BC90" s="1655"/>
      <c r="BD90" s="1656"/>
      <c r="BE90" s="1655"/>
      <c r="BF90" s="1656"/>
      <c r="BG90" s="1111"/>
      <c r="BH90" s="1111"/>
      <c r="BI90" s="1111"/>
      <c r="BJ90" s="1111"/>
      <c r="BK90" s="1111"/>
      <c r="BL90" s="23"/>
      <c r="BM90" s="23"/>
      <c r="BN90" s="23"/>
    </row>
    <row r="91" spans="1:66" x14ac:dyDescent="0.3">
      <c r="B91" s="1660" t="s">
        <v>1904</v>
      </c>
      <c r="C91" s="1279" t="s">
        <v>50</v>
      </c>
      <c r="D91" s="2056">
        <v>262378.50256410253</v>
      </c>
      <c r="E91" s="1031">
        <v>21898.393162393164</v>
      </c>
      <c r="F91" s="1094">
        <v>20559.419999999998</v>
      </c>
      <c r="G91" s="1031">
        <v>22628.339601139603</v>
      </c>
      <c r="H91" s="1094">
        <v>22748.04</v>
      </c>
      <c r="I91" s="718">
        <f t="shared" ref="I91:J93" si="387">+E91+G91</f>
        <v>44526.732763532767</v>
      </c>
      <c r="J91" s="35">
        <f t="shared" si="387"/>
        <v>43307.46</v>
      </c>
      <c r="K91" s="1031">
        <v>23768.341880341883</v>
      </c>
      <c r="L91" s="1094">
        <v>22768.376399999997</v>
      </c>
      <c r="M91" s="717">
        <f t="shared" ref="M91:N93" si="388">+E91+G91+K91</f>
        <v>68295.074643874657</v>
      </c>
      <c r="N91" s="717">
        <f t="shared" si="388"/>
        <v>66075.8364</v>
      </c>
      <c r="O91" s="1031">
        <v>24560.619943019945</v>
      </c>
      <c r="P91" s="1094">
        <v>24598.727999999999</v>
      </c>
      <c r="Q91" s="718">
        <f t="shared" ref="Q91:R93" si="389">+M91+O91</f>
        <v>92855.694586894606</v>
      </c>
      <c r="R91" s="35">
        <f t="shared" si="389"/>
        <v>90674.564400000003</v>
      </c>
      <c r="S91" s="1031">
        <v>24560.619943019945</v>
      </c>
      <c r="T91" s="1094">
        <v>25264.007999999998</v>
      </c>
      <c r="U91" s="718">
        <f t="shared" ref="U91:U97" si="390">+Q91+S91</f>
        <v>117416.31452991455</v>
      </c>
      <c r="V91" s="35">
        <f t="shared" ref="V91:V97" si="391">+R91+T91</f>
        <v>115938.5724</v>
      </c>
      <c r="W91" s="1031">
        <v>23287.91794871795</v>
      </c>
      <c r="X91" s="1094">
        <v>24449.039999999997</v>
      </c>
      <c r="Y91" s="717">
        <f t="shared" ref="Y91:Z97" si="392">+O91+S91+W91</f>
        <v>72409.157834757847</v>
      </c>
      <c r="Z91" s="717">
        <f t="shared" si="392"/>
        <v>74311.775999999998</v>
      </c>
      <c r="AA91" s="429">
        <f>+M91+Y91</f>
        <v>140704.2324786325</v>
      </c>
      <c r="AB91" s="418">
        <f>+N91+Z91</f>
        <v>140387.61239999998</v>
      </c>
      <c r="AC91" s="1031">
        <v>24560.619943019945</v>
      </c>
      <c r="AD91" s="1094">
        <v>24889.788</v>
      </c>
      <c r="AE91" s="718">
        <f t="shared" ref="AE91:AE97" si="393">+AA91+AC91</f>
        <v>165264.85242165244</v>
      </c>
      <c r="AF91" s="35">
        <f t="shared" ref="AF91:AF97" si="394">+AB91+AD91</f>
        <v>165277.40039999998</v>
      </c>
      <c r="AG91" s="1031">
        <v>23768.341880341883</v>
      </c>
      <c r="AH91" s="1094">
        <v>23509.331999999999</v>
      </c>
      <c r="AI91" s="718">
        <f t="shared" ref="AI91:AI97" si="395">+AE91+AG91</f>
        <v>189033.19430199431</v>
      </c>
      <c r="AJ91" s="35">
        <f t="shared" ref="AJ91:AJ97" si="396">+AF91+AH91</f>
        <v>188786.73239999998</v>
      </c>
      <c r="AK91" s="1031">
        <v>24560.619943019945</v>
      </c>
      <c r="AL91" s="1094">
        <v>23261.851741935487</v>
      </c>
      <c r="AM91" s="717">
        <f t="shared" ref="AM91:AM97" si="397">+AC91+AG91+AK91</f>
        <v>72889.581766381772</v>
      </c>
      <c r="AN91" s="717">
        <f t="shared" ref="AN91:AN97" si="398">+AD91+AH91+AL91</f>
        <v>71660.971741935486</v>
      </c>
      <c r="AO91" s="697">
        <f t="shared" ref="AO91:AP91" si="399">AI91+AK91</f>
        <v>213593.81424501425</v>
      </c>
      <c r="AP91" s="697">
        <f t="shared" si="399"/>
        <v>212048.58414193545</v>
      </c>
      <c r="AQ91" s="1031">
        <v>24560.619943019945</v>
      </c>
      <c r="AR91" s="1094">
        <v>23337.719999999998</v>
      </c>
      <c r="AS91" s="718">
        <f t="shared" ref="AS91:AS97" si="400">+AO91+AQ91</f>
        <v>238154.43418803418</v>
      </c>
      <c r="AT91" s="35">
        <f t="shared" ref="AT91:AT97" si="401">+AP91+AR91</f>
        <v>235386.30414193546</v>
      </c>
      <c r="AU91" s="1031">
        <v>22183.785754985754</v>
      </c>
      <c r="AV91" s="1094">
        <v>19888.696799999998</v>
      </c>
      <c r="AW91" s="718">
        <f t="shared" ref="AW91:AW97" si="402">+AS91+AU91</f>
        <v>260338.21994301994</v>
      </c>
      <c r="AX91" s="35">
        <f t="shared" ref="AX91:AX97" si="403">+AT91+AV91</f>
        <v>255275.00094193546</v>
      </c>
      <c r="AY91" s="1031">
        <v>24560.619943019945</v>
      </c>
      <c r="AZ91" s="1094">
        <v>20188.2</v>
      </c>
      <c r="BA91" s="717">
        <f t="shared" ref="BA91:BA93" si="404">+AQ91+AU91+AY91</f>
        <v>71305.025641025641</v>
      </c>
      <c r="BB91" s="717">
        <f t="shared" ref="BB91:BB93" si="405">+AR91+AV91+AZ91</f>
        <v>63414.616799999989</v>
      </c>
      <c r="BC91" s="2261">
        <f t="shared" ref="BC91" si="406">+AM91+BA91</f>
        <v>144194.60740740743</v>
      </c>
      <c r="BD91" s="2261">
        <f t="shared" ref="BD91" si="407">+AN91+BB91</f>
        <v>135075.58854193549</v>
      </c>
      <c r="BE91" s="718">
        <f>AW91+AY91</f>
        <v>284898.8398860399</v>
      </c>
      <c r="BF91" s="718">
        <f>AX91+AZ91</f>
        <v>275463.20094193547</v>
      </c>
      <c r="BG91" s="1111"/>
      <c r="BH91" s="1111"/>
      <c r="BI91" s="1111"/>
      <c r="BJ91" s="1111"/>
      <c r="BK91" s="1111"/>
      <c r="BL91" s="23"/>
      <c r="BM91" s="23"/>
      <c r="BN91" s="23"/>
    </row>
    <row r="92" spans="1:66" x14ac:dyDescent="0.3">
      <c r="B92" s="1661" t="s">
        <v>581</v>
      </c>
      <c r="C92" s="1279" t="s">
        <v>50</v>
      </c>
      <c r="D92" s="2056">
        <v>48332.882051282046</v>
      </c>
      <c r="E92" s="1031">
        <v>4033.9145299145298</v>
      </c>
      <c r="F92" s="1094">
        <v>2667.1679999999992</v>
      </c>
      <c r="G92" s="1031">
        <v>4168.3783475783475</v>
      </c>
      <c r="H92" s="1094"/>
      <c r="I92" s="718">
        <f t="shared" si="387"/>
        <v>8202.2928774928769</v>
      </c>
      <c r="J92" s="35">
        <f t="shared" si="387"/>
        <v>2667.1679999999992</v>
      </c>
      <c r="K92" s="1031">
        <v>5527.5213675213672</v>
      </c>
      <c r="L92" s="1094">
        <v>4902.2819999999992</v>
      </c>
      <c r="M92" s="717">
        <f t="shared" si="388"/>
        <v>13729.814245014244</v>
      </c>
      <c r="N92" s="717">
        <f t="shared" si="388"/>
        <v>7569.4499999999989</v>
      </c>
      <c r="O92" s="1031">
        <v>5711.7720797720785</v>
      </c>
      <c r="P92" s="1094"/>
      <c r="Q92" s="718">
        <f t="shared" si="389"/>
        <v>19441.586324786324</v>
      </c>
      <c r="R92" s="35">
        <f t="shared" si="389"/>
        <v>7569.4499999999989</v>
      </c>
      <c r="S92" s="1031">
        <v>5711.7720797720785</v>
      </c>
      <c r="T92" s="1094">
        <v>4167.45</v>
      </c>
      <c r="U92" s="718">
        <f t="shared" si="390"/>
        <v>25153.358404558403</v>
      </c>
      <c r="V92" s="35">
        <f t="shared" si="391"/>
        <v>11736.899999999998</v>
      </c>
      <c r="W92" s="1031">
        <v>5415.7948717948711</v>
      </c>
      <c r="X92" s="1094">
        <v>5000.9399999999996</v>
      </c>
      <c r="Y92" s="717">
        <f t="shared" si="392"/>
        <v>16839.339031339026</v>
      </c>
      <c r="Z92" s="717">
        <f t="shared" si="392"/>
        <v>9168.39</v>
      </c>
      <c r="AA92" s="429">
        <f t="shared" ref="AA92:AB102" si="408">+M92+Y92</f>
        <v>30569.15327635327</v>
      </c>
      <c r="AB92" s="418">
        <f>+N92+Z92</f>
        <v>16737.839999999997</v>
      </c>
      <c r="AC92" s="1031">
        <v>5711.7720797720785</v>
      </c>
      <c r="AD92" s="1094">
        <v>164.04632999999998</v>
      </c>
      <c r="AE92" s="718">
        <f t="shared" si="393"/>
        <v>36280.92535612535</v>
      </c>
      <c r="AF92" s="35">
        <f t="shared" si="394"/>
        <v>16901.886329999998</v>
      </c>
      <c r="AG92" s="1031">
        <v>5527.5213675213672</v>
      </c>
      <c r="AH92" s="1094"/>
      <c r="AI92" s="718">
        <f t="shared" si="395"/>
        <v>41808.446723646717</v>
      </c>
      <c r="AJ92" s="35">
        <f t="shared" si="396"/>
        <v>16901.886329999998</v>
      </c>
      <c r="AK92" s="1031">
        <v>5711.7720797720785</v>
      </c>
      <c r="AL92" s="1094"/>
      <c r="AM92" s="717">
        <f t="shared" si="397"/>
        <v>16951.065527065526</v>
      </c>
      <c r="AN92" s="717">
        <f t="shared" si="398"/>
        <v>164.04632999999998</v>
      </c>
      <c r="AO92" s="697">
        <f t="shared" ref="AO92:AP99" si="409">AI92+AK92</f>
        <v>47520.218803418793</v>
      </c>
      <c r="AP92" s="697">
        <f t="shared" ref="AP92:AP97" si="410">AJ92+AL92</f>
        <v>16901.886329999998</v>
      </c>
      <c r="AQ92" s="1031">
        <v>5711.7720797720785</v>
      </c>
      <c r="AR92" s="1094"/>
      <c r="AS92" s="718">
        <f t="shared" si="400"/>
        <v>53231.990883190869</v>
      </c>
      <c r="AT92" s="35">
        <f t="shared" si="401"/>
        <v>16901.886329999998</v>
      </c>
      <c r="AU92" s="1031">
        <v>5159.0199430199436</v>
      </c>
      <c r="AV92" s="1094">
        <v>2948.3244</v>
      </c>
      <c r="AW92" s="718">
        <f t="shared" si="402"/>
        <v>58391.010826210812</v>
      </c>
      <c r="AX92" s="35">
        <f t="shared" si="403"/>
        <v>19850.210729999999</v>
      </c>
      <c r="AY92" s="1031">
        <v>5711.7720797720785</v>
      </c>
      <c r="AZ92" s="1094">
        <v>2555.1</v>
      </c>
      <c r="BA92" s="717">
        <f t="shared" si="404"/>
        <v>16582.564102564102</v>
      </c>
      <c r="BB92" s="717">
        <f t="shared" si="405"/>
        <v>5503.4243999999999</v>
      </c>
      <c r="BC92" s="2261">
        <f t="shared" ref="BC92:BC97" si="411">+AM92+BA92</f>
        <v>33533.629629629628</v>
      </c>
      <c r="BD92" s="2261">
        <f t="shared" ref="BD92:BD97" si="412">+AN92+BB92</f>
        <v>5667.47073</v>
      </c>
      <c r="BE92" s="718">
        <f t="shared" ref="BE92:BE97" si="413">AW92+AY92</f>
        <v>64102.782905982887</v>
      </c>
      <c r="BF92" s="718">
        <f t="shared" ref="BF92:BF97" si="414">AX92+AZ92</f>
        <v>22405.310729999997</v>
      </c>
      <c r="BG92" s="1111"/>
      <c r="BH92" s="1111"/>
      <c r="BI92" s="1111"/>
      <c r="BJ92" s="1111"/>
      <c r="BK92" s="1111"/>
      <c r="BL92" s="23"/>
      <c r="BM92" s="23"/>
      <c r="BN92" s="23"/>
    </row>
    <row r="93" spans="1:66" x14ac:dyDescent="0.3">
      <c r="B93" s="1660" t="s">
        <v>2218</v>
      </c>
      <c r="C93" s="1279" t="s">
        <v>50</v>
      </c>
      <c r="D93" s="2056">
        <v>6904.6974358974358</v>
      </c>
      <c r="E93" s="1031">
        <v>576.27350427350427</v>
      </c>
      <c r="F93" s="1094"/>
      <c r="G93" s="1031">
        <v>595.48262108262099</v>
      </c>
      <c r="H93" s="1094"/>
      <c r="I93" s="718">
        <f t="shared" si="387"/>
        <v>1171.7561253561253</v>
      </c>
      <c r="J93" s="35">
        <f t="shared" si="387"/>
        <v>0</v>
      </c>
      <c r="K93" s="1031">
        <v>1381.8803418803418</v>
      </c>
      <c r="L93" s="1094"/>
      <c r="M93" s="717">
        <f t="shared" si="388"/>
        <v>2553.6364672364671</v>
      </c>
      <c r="N93" s="717">
        <f t="shared" si="388"/>
        <v>0</v>
      </c>
      <c r="O93" s="1031">
        <v>1427.9430199430196</v>
      </c>
      <c r="P93" s="1094">
        <v>2813.3442219959998</v>
      </c>
      <c r="Q93" s="718">
        <f t="shared" si="389"/>
        <v>3981.5794871794869</v>
      </c>
      <c r="R93" s="35">
        <f t="shared" si="389"/>
        <v>2813.3442219959998</v>
      </c>
      <c r="S93" s="1031">
        <v>1427.9430199430196</v>
      </c>
      <c r="T93" s="1094">
        <v>3556.2239999999997</v>
      </c>
      <c r="U93" s="718">
        <f t="shared" si="390"/>
        <v>5409.5225071225068</v>
      </c>
      <c r="V93" s="35">
        <f t="shared" si="391"/>
        <v>6369.5682219959999</v>
      </c>
      <c r="W93" s="1031">
        <v>1353.9487179487178</v>
      </c>
      <c r="X93" s="1094">
        <v>4667.5439999999999</v>
      </c>
      <c r="Y93" s="717">
        <f t="shared" si="392"/>
        <v>4209.8347578347566</v>
      </c>
      <c r="Z93" s="717">
        <f t="shared" si="392"/>
        <v>11037.112221996</v>
      </c>
      <c r="AA93" s="429">
        <f t="shared" si="408"/>
        <v>6763.4712250712237</v>
      </c>
      <c r="AB93" s="418">
        <f>+N93+Z93</f>
        <v>11037.112221996</v>
      </c>
      <c r="AC93" s="1031">
        <v>1427.9430199430196</v>
      </c>
      <c r="AD93" s="1094"/>
      <c r="AE93" s="718">
        <f t="shared" si="393"/>
        <v>8191.4142450142435</v>
      </c>
      <c r="AF93" s="35">
        <f t="shared" si="394"/>
        <v>11037.112221996</v>
      </c>
      <c r="AG93" s="1031">
        <v>1381.8803418803418</v>
      </c>
      <c r="AH93" s="1094"/>
      <c r="AI93" s="718">
        <f t="shared" si="395"/>
        <v>9573.2945868945862</v>
      </c>
      <c r="AJ93" s="35">
        <f t="shared" si="396"/>
        <v>11037.112221996</v>
      </c>
      <c r="AK93" s="1031">
        <v>1427.9430199430196</v>
      </c>
      <c r="AL93" s="1094"/>
      <c r="AM93" s="717">
        <f t="shared" si="397"/>
        <v>4237.7663817663815</v>
      </c>
      <c r="AN93" s="717">
        <f t="shared" si="398"/>
        <v>0</v>
      </c>
      <c r="AO93" s="697">
        <f t="shared" si="409"/>
        <v>11001.237606837605</v>
      </c>
      <c r="AP93" s="697">
        <f t="shared" si="410"/>
        <v>11037.112221996</v>
      </c>
      <c r="AQ93" s="1031">
        <v>1427.9430199430196</v>
      </c>
      <c r="AR93" s="1094"/>
      <c r="AS93" s="718">
        <f t="shared" si="400"/>
        <v>12429.180626780624</v>
      </c>
      <c r="AT93" s="35">
        <f t="shared" si="401"/>
        <v>11037.112221996</v>
      </c>
      <c r="AU93" s="1031">
        <v>1289.7549857549859</v>
      </c>
      <c r="AV93" s="1094"/>
      <c r="AW93" s="718">
        <f t="shared" si="402"/>
        <v>13718.93561253561</v>
      </c>
      <c r="AX93" s="35">
        <f t="shared" si="403"/>
        <v>11037.112221996</v>
      </c>
      <c r="AY93" s="1031">
        <v>1427.9430199430196</v>
      </c>
      <c r="AZ93" s="1094"/>
      <c r="BA93" s="717">
        <f t="shared" si="404"/>
        <v>4145.6410256410254</v>
      </c>
      <c r="BB93" s="717">
        <f t="shared" si="405"/>
        <v>0</v>
      </c>
      <c r="BC93" s="2261">
        <f t="shared" si="411"/>
        <v>8383.4074074074069</v>
      </c>
      <c r="BD93" s="2261">
        <f t="shared" si="412"/>
        <v>0</v>
      </c>
      <c r="BE93" s="718">
        <f t="shared" si="413"/>
        <v>15146.878632478629</v>
      </c>
      <c r="BF93" s="718">
        <f t="shared" si="414"/>
        <v>11037.112221996</v>
      </c>
      <c r="BG93" s="1111"/>
      <c r="BH93" s="1111"/>
      <c r="BI93" s="1111"/>
      <c r="BJ93" s="1111"/>
      <c r="BK93" s="1111"/>
      <c r="BL93" s="23"/>
      <c r="BM93" s="23"/>
      <c r="BN93" s="23"/>
    </row>
    <row r="94" spans="1:66" x14ac:dyDescent="0.3">
      <c r="B94" s="1661" t="s">
        <v>10</v>
      </c>
      <c r="C94" s="1279" t="s">
        <v>50</v>
      </c>
      <c r="D94" s="4008">
        <v>34523.487179487172</v>
      </c>
      <c r="E94" s="4009">
        <v>2881.3675213675215</v>
      </c>
      <c r="F94" s="3981">
        <v>2778.2999999999993</v>
      </c>
      <c r="G94" s="4009">
        <v>2977.4131054131053</v>
      </c>
      <c r="H94" s="3981">
        <v>4549.6080000000002</v>
      </c>
      <c r="I94" s="718">
        <f t="shared" ref="I94:I96" si="415">+E94+G94</f>
        <v>5858.7806267806263</v>
      </c>
      <c r="J94" s="35">
        <f t="shared" ref="J94:J96" si="416">+F94+H94</f>
        <v>7327.9079999999994</v>
      </c>
      <c r="K94" s="4009">
        <v>1381.8803418803418</v>
      </c>
      <c r="L94" s="3981">
        <v>925.98659999999995</v>
      </c>
      <c r="M94" s="717">
        <f t="shared" ref="M94" si="417">+E94+G94+K94</f>
        <v>7240.6609686609681</v>
      </c>
      <c r="N94" s="717">
        <f t="shared" ref="N94" si="418">+F94+H94+L94</f>
        <v>8253.8945999999996</v>
      </c>
      <c r="O94" s="4009">
        <v>1427.9430199430196</v>
      </c>
      <c r="P94" s="3981">
        <v>5590.62</v>
      </c>
      <c r="Q94" s="718">
        <f t="shared" ref="Q94" si="419">+M94+O94</f>
        <v>8668.6039886039871</v>
      </c>
      <c r="R94" s="35">
        <f t="shared" ref="R94" si="420">+N94+P94</f>
        <v>13844.514599999999</v>
      </c>
      <c r="S94" s="4009">
        <v>1427.9430199430196</v>
      </c>
      <c r="T94" s="3981">
        <v>1000.1879999999999</v>
      </c>
      <c r="U94" s="718">
        <f t="shared" ref="U94" si="421">+Q94+S94</f>
        <v>10096.547008547006</v>
      </c>
      <c r="V94" s="35">
        <f t="shared" ref="V94" si="422">+R94+T94</f>
        <v>14844.702599999999</v>
      </c>
      <c r="W94" s="4009">
        <v>1353.9487179487178</v>
      </c>
      <c r="X94" s="3981"/>
      <c r="Y94" s="717">
        <f t="shared" ref="Y94" si="423">+O94+S94+W94</f>
        <v>4209.8347578347566</v>
      </c>
      <c r="Z94" s="717">
        <f t="shared" ref="Z94" si="424">+P94+T94+X94</f>
        <v>6590.808</v>
      </c>
      <c r="AA94" s="429">
        <f t="shared" ref="AA94" si="425">+M94+Y94</f>
        <v>11450.495726495725</v>
      </c>
      <c r="AB94" s="418">
        <f>+N94+Z94</f>
        <v>14844.702600000001</v>
      </c>
      <c r="AC94" s="4009">
        <v>1427.9430199430196</v>
      </c>
      <c r="AD94" s="3981">
        <v>6569.1522580645169</v>
      </c>
      <c r="AE94" s="718">
        <f t="shared" ref="AE94" si="426">+AA94+AC94</f>
        <v>12878.438746438744</v>
      </c>
      <c r="AF94" s="35">
        <f t="shared" ref="AF94" si="427">+AB94+AD94</f>
        <v>21413.854858064518</v>
      </c>
      <c r="AG94" s="4009">
        <v>1381.8803418803418</v>
      </c>
      <c r="AH94" s="3981">
        <v>6411.6359999999995</v>
      </c>
      <c r="AI94" s="718">
        <f t="shared" ref="AI94" si="428">+AE94+AG94</f>
        <v>14260.319088319085</v>
      </c>
      <c r="AJ94" s="35">
        <f t="shared" ref="AJ94" si="429">+AF94+AH94</f>
        <v>27825.490858064517</v>
      </c>
      <c r="AK94" s="4009">
        <v>1427.9430199430196</v>
      </c>
      <c r="AL94" s="3981">
        <v>6117.7958709677414</v>
      </c>
      <c r="AM94" s="717">
        <f t="shared" ref="AM94" si="430">+AC94+AG94+AK94</f>
        <v>4237.7663817663815</v>
      </c>
      <c r="AN94" s="717">
        <f t="shared" ref="AN94" si="431">+AD94+AH94+AL94</f>
        <v>19098.584129032257</v>
      </c>
      <c r="AO94" s="697">
        <f t="shared" ref="AO94" si="432">AI94+AK94</f>
        <v>15688.262108262104</v>
      </c>
      <c r="AP94" s="697">
        <f t="shared" ref="AP94" si="433">AJ94+AL94</f>
        <v>33943.286729032261</v>
      </c>
      <c r="AQ94" s="4009">
        <v>1427.9430199430196</v>
      </c>
      <c r="AR94" s="3981">
        <v>6112.2599999999993</v>
      </c>
      <c r="AS94" s="718">
        <f t="shared" ref="AS94" si="434">+AO94+AQ94</f>
        <v>17116.205128205125</v>
      </c>
      <c r="AT94" s="35">
        <f t="shared" ref="AT94" si="435">+AP94+AR94</f>
        <v>40055.546729032263</v>
      </c>
      <c r="AU94" s="4009">
        <v>1289.7549857549859</v>
      </c>
      <c r="AV94" s="3981">
        <v>5097.1031999999996</v>
      </c>
      <c r="AW94" s="718">
        <f t="shared" ref="AW94" si="436">+AS94+AU94</f>
        <v>18405.960113960111</v>
      </c>
      <c r="AX94" s="35">
        <f t="shared" ref="AX94" si="437">+AT94+AV94</f>
        <v>45152.649929032261</v>
      </c>
      <c r="AY94" s="4009">
        <v>1427.9430199430196</v>
      </c>
      <c r="AZ94" s="3981">
        <v>7596.4</v>
      </c>
      <c r="BA94" s="717">
        <f t="shared" ref="BA94" si="438">+AQ94+AU94+AY94</f>
        <v>4145.6410256410254</v>
      </c>
      <c r="BB94" s="717">
        <f t="shared" ref="BB94" si="439">+AR94+AV94+AZ94</f>
        <v>18805.763200000001</v>
      </c>
      <c r="BC94" s="2261">
        <f t="shared" ref="BC94" si="440">+AM94+BA94</f>
        <v>8383.4074074074069</v>
      </c>
      <c r="BD94" s="2261">
        <f t="shared" ref="BD94" si="441">+AN94+BB94</f>
        <v>37904.347329032258</v>
      </c>
      <c r="BE94" s="718">
        <f t="shared" ref="BE94" si="442">AW94+AY94</f>
        <v>19833.903133903132</v>
      </c>
      <c r="BF94" s="718">
        <f t="shared" ref="BF94" si="443">AX94+AZ94</f>
        <v>52749.049929032262</v>
      </c>
      <c r="BG94" s="1111"/>
      <c r="BH94" s="1111"/>
      <c r="BI94" s="1111"/>
      <c r="BJ94" s="1111"/>
      <c r="BK94" s="1111"/>
      <c r="BL94" s="23"/>
      <c r="BM94" s="23"/>
      <c r="BN94" s="23"/>
    </row>
    <row r="95" spans="1:66" x14ac:dyDescent="0.3">
      <c r="B95" s="5159" t="s">
        <v>1905</v>
      </c>
      <c r="C95" s="1279" t="s">
        <v>50</v>
      </c>
      <c r="D95" s="5160">
        <v>41428.184615384613</v>
      </c>
      <c r="E95" s="5096">
        <v>3457.6410256410254</v>
      </c>
      <c r="F95" s="5161">
        <v>5556.5999999999985</v>
      </c>
      <c r="G95" s="5096">
        <v>3572.8957264957266</v>
      </c>
      <c r="H95" s="5161">
        <v>4549.6080000000002</v>
      </c>
      <c r="I95" s="718">
        <f t="shared" ref="I95" si="444">+E95+G95</f>
        <v>7030.5367521367516</v>
      </c>
      <c r="J95" s="35">
        <f t="shared" ref="J95" si="445">+F95+H95</f>
        <v>10106.207999999999</v>
      </c>
      <c r="K95" s="5096"/>
      <c r="L95" s="5161"/>
      <c r="M95" s="4931"/>
      <c r="N95" s="4931"/>
      <c r="O95" s="5096"/>
      <c r="P95" s="5161"/>
      <c r="Q95" s="4930"/>
      <c r="R95" s="4063"/>
      <c r="S95" s="5096"/>
      <c r="T95" s="5161"/>
      <c r="U95" s="4930"/>
      <c r="V95" s="4063"/>
      <c r="W95" s="5096"/>
      <c r="X95" s="5161"/>
      <c r="Y95" s="4931"/>
      <c r="Z95" s="4931"/>
      <c r="AA95" s="5069"/>
      <c r="AB95" s="5162"/>
      <c r="AC95" s="5096"/>
      <c r="AD95" s="5161"/>
      <c r="AE95" s="4930"/>
      <c r="AF95" s="4063"/>
      <c r="AG95" s="5096"/>
      <c r="AH95" s="5161"/>
      <c r="AI95" s="4930"/>
      <c r="AJ95" s="4063"/>
      <c r="AK95" s="5096"/>
      <c r="AL95" s="5161"/>
      <c r="AM95" s="4931"/>
      <c r="AN95" s="4931"/>
      <c r="AO95" s="697"/>
      <c r="AP95" s="697"/>
      <c r="AQ95" s="5096"/>
      <c r="AR95" s="5161"/>
      <c r="AS95" s="4930"/>
      <c r="AT95" s="4063"/>
      <c r="AU95" s="5096"/>
      <c r="AV95" s="5161"/>
      <c r="AW95" s="4930"/>
      <c r="AX95" s="4063"/>
      <c r="AY95" s="5096"/>
      <c r="AZ95" s="5161"/>
      <c r="BA95" s="4931"/>
      <c r="BB95" s="4931"/>
      <c r="BC95" s="5069"/>
      <c r="BD95" s="5069"/>
      <c r="BE95" s="4930"/>
      <c r="BF95" s="4930"/>
      <c r="BG95" s="1111"/>
      <c r="BH95" s="1111"/>
      <c r="BI95" s="1111"/>
      <c r="BJ95" s="1111"/>
      <c r="BK95" s="1111"/>
      <c r="BL95" s="23"/>
      <c r="BM95" s="23"/>
      <c r="BN95" s="23"/>
    </row>
    <row r="96" spans="1:66" ht="15.75" customHeight="1" x14ac:dyDescent="0.3">
      <c r="B96" s="1661" t="s">
        <v>1906</v>
      </c>
      <c r="C96" s="1279" t="s">
        <v>50</v>
      </c>
      <c r="D96" s="655">
        <v>34523.487179487172</v>
      </c>
      <c r="E96" s="207">
        <v>2881.3675213675215</v>
      </c>
      <c r="F96" s="1108">
        <v>4000.7519999999995</v>
      </c>
      <c r="G96" s="207">
        <v>2977.4131054131053</v>
      </c>
      <c r="H96" s="1108">
        <v>4549.6080000000002</v>
      </c>
      <c r="I96" s="718">
        <f t="shared" si="415"/>
        <v>5858.7806267806263</v>
      </c>
      <c r="J96" s="35">
        <f t="shared" si="416"/>
        <v>8550.36</v>
      </c>
      <c r="K96" s="207"/>
      <c r="L96" s="1108"/>
      <c r="M96" s="717">
        <f t="shared" ref="M96" si="446">+E96+G96+K96</f>
        <v>5858.7806267806263</v>
      </c>
      <c r="N96" s="717">
        <f t="shared" ref="N96" si="447">+F96+H96+L96</f>
        <v>8550.36</v>
      </c>
      <c r="O96" s="207"/>
      <c r="P96" s="1108"/>
      <c r="Q96" s="718">
        <f t="shared" ref="Q96:Q97" si="448">+M96+O96</f>
        <v>5858.7806267806263</v>
      </c>
      <c r="R96" s="35">
        <f t="shared" ref="R96:R97" si="449">+N96+P96</f>
        <v>8550.36</v>
      </c>
      <c r="S96" s="207">
        <v>0</v>
      </c>
      <c r="T96" s="1108"/>
      <c r="U96" s="718">
        <f t="shared" si="390"/>
        <v>5858.7806267806263</v>
      </c>
      <c r="V96" s="35">
        <f t="shared" si="391"/>
        <v>8550.36</v>
      </c>
      <c r="W96" s="207"/>
      <c r="X96" s="1108"/>
      <c r="Y96" s="717">
        <f t="shared" si="392"/>
        <v>0</v>
      </c>
      <c r="Z96" s="717">
        <f t="shared" si="392"/>
        <v>0</v>
      </c>
      <c r="AA96" s="429">
        <f t="shared" si="408"/>
        <v>5858.7806267806263</v>
      </c>
      <c r="AB96" s="418">
        <f>+N96+Z96</f>
        <v>8550.36</v>
      </c>
      <c r="AC96" s="207"/>
      <c r="AD96" s="1108"/>
      <c r="AE96" s="718">
        <f t="shared" si="393"/>
        <v>5858.7806267806263</v>
      </c>
      <c r="AF96" s="35">
        <f t="shared" si="394"/>
        <v>8550.36</v>
      </c>
      <c r="AG96" s="207"/>
      <c r="AH96" s="1108"/>
      <c r="AI96" s="718">
        <f t="shared" si="395"/>
        <v>5858.7806267806263</v>
      </c>
      <c r="AJ96" s="35">
        <f t="shared" si="396"/>
        <v>8550.36</v>
      </c>
      <c r="AK96" s="207"/>
      <c r="AL96" s="1108"/>
      <c r="AM96" s="717">
        <f t="shared" si="397"/>
        <v>0</v>
      </c>
      <c r="AN96" s="717">
        <f t="shared" si="398"/>
        <v>0</v>
      </c>
      <c r="AO96" s="697">
        <f t="shared" si="409"/>
        <v>5858.7806267806263</v>
      </c>
      <c r="AP96" s="697">
        <f t="shared" si="410"/>
        <v>8550.36</v>
      </c>
      <c r="AQ96" s="207"/>
      <c r="AR96" s="1108"/>
      <c r="AS96" s="718">
        <f t="shared" si="400"/>
        <v>5858.7806267806263</v>
      </c>
      <c r="AT96" s="35">
        <f t="shared" si="401"/>
        <v>8550.36</v>
      </c>
      <c r="AU96" s="207"/>
      <c r="AV96" s="1108"/>
      <c r="AW96" s="718">
        <f t="shared" si="402"/>
        <v>5858.7806267806263</v>
      </c>
      <c r="AX96" s="35">
        <f t="shared" si="403"/>
        <v>8550.36</v>
      </c>
      <c r="AY96" s="207"/>
      <c r="AZ96" s="1108"/>
      <c r="BA96" s="717">
        <f t="shared" ref="BA96:BA97" si="450">+AQ96+AU96+AY96</f>
        <v>0</v>
      </c>
      <c r="BB96" s="717">
        <f t="shared" ref="BB96:BB97" si="451">+AR96+AV96+AZ96</f>
        <v>0</v>
      </c>
      <c r="BC96" s="2261">
        <f t="shared" si="411"/>
        <v>0</v>
      </c>
      <c r="BD96" s="2261">
        <f t="shared" si="412"/>
        <v>0</v>
      </c>
      <c r="BE96" s="718">
        <f t="shared" si="413"/>
        <v>5858.7806267806263</v>
      </c>
      <c r="BF96" s="718">
        <f t="shared" si="414"/>
        <v>8550.36</v>
      </c>
      <c r="BG96" s="1111"/>
      <c r="BH96" s="1111"/>
      <c r="BI96" s="1111"/>
      <c r="BJ96" s="1111"/>
      <c r="BK96" s="1111"/>
      <c r="BL96" s="23"/>
      <c r="BM96" s="23"/>
      <c r="BN96" s="23"/>
    </row>
    <row r="97" spans="1:66" ht="15" thickBot="1" x14ac:dyDescent="0.35">
      <c r="A97" s="136"/>
      <c r="B97" s="1661" t="s">
        <v>1222</v>
      </c>
      <c r="C97" s="2180" t="s">
        <v>50</v>
      </c>
      <c r="D97" s="655">
        <v>13809.394871794872</v>
      </c>
      <c r="E97" s="207">
        <v>1152.5470085470085</v>
      </c>
      <c r="F97" s="1108"/>
      <c r="G97" s="207">
        <v>1190.965242165242</v>
      </c>
      <c r="H97" s="1108"/>
      <c r="I97" s="248">
        <f>+E97+G97</f>
        <v>2343.5122507122505</v>
      </c>
      <c r="J97" s="152">
        <f>+F97+H97</f>
        <v>0</v>
      </c>
      <c r="K97" s="207">
        <v>4974.7692307692305</v>
      </c>
      <c r="L97" s="1108">
        <v>6536.3760000000002</v>
      </c>
      <c r="M97" s="1096">
        <f>+E97+G97+K97</f>
        <v>7318.281481481481</v>
      </c>
      <c r="N97" s="1096">
        <f>+F97+H97+L97</f>
        <v>6536.3760000000002</v>
      </c>
      <c r="O97" s="207">
        <v>5140.5948717948713</v>
      </c>
      <c r="P97" s="1108">
        <v>3895.3997780039999</v>
      </c>
      <c r="Q97" s="248">
        <f t="shared" si="448"/>
        <v>12458.876353276351</v>
      </c>
      <c r="R97" s="152">
        <f t="shared" si="449"/>
        <v>10431.775778004001</v>
      </c>
      <c r="S97" s="207">
        <v>5140.5948717948713</v>
      </c>
      <c r="T97" s="1108">
        <v>3333.96</v>
      </c>
      <c r="U97" s="248">
        <f t="shared" si="390"/>
        <v>17599.471225071222</v>
      </c>
      <c r="V97" s="152">
        <f t="shared" si="391"/>
        <v>13765.735778004</v>
      </c>
      <c r="W97" s="207">
        <v>4874.2153846153842</v>
      </c>
      <c r="X97" s="1108">
        <v>2000.3759999999997</v>
      </c>
      <c r="Y97" s="1096">
        <f t="shared" si="392"/>
        <v>15155.405128205126</v>
      </c>
      <c r="Z97" s="1096">
        <f t="shared" si="392"/>
        <v>9229.7357780040002</v>
      </c>
      <c r="AA97" s="2057">
        <f t="shared" si="408"/>
        <v>22473.686609686607</v>
      </c>
      <c r="AB97" s="2080">
        <f>+N97+Z97</f>
        <v>15766.111778004</v>
      </c>
      <c r="AC97" s="207">
        <v>5140.5948717948713</v>
      </c>
      <c r="AD97" s="1108">
        <v>4598.4065806451608</v>
      </c>
      <c r="AE97" s="248">
        <f t="shared" si="393"/>
        <v>27614.281481481477</v>
      </c>
      <c r="AF97" s="152">
        <f t="shared" si="394"/>
        <v>20364.518358649162</v>
      </c>
      <c r="AG97" s="207">
        <v>4974.7692307692305</v>
      </c>
      <c r="AH97" s="1108">
        <v>4274.424</v>
      </c>
      <c r="AI97" s="248">
        <f t="shared" si="395"/>
        <v>32589.050712250708</v>
      </c>
      <c r="AJ97" s="152">
        <f t="shared" si="396"/>
        <v>24638.942358649161</v>
      </c>
      <c r="AK97" s="207">
        <v>5140.5948717948713</v>
      </c>
      <c r="AL97" s="1108">
        <v>4410.5039999999999</v>
      </c>
      <c r="AM97" s="1096">
        <f t="shared" si="397"/>
        <v>15255.958974358971</v>
      </c>
      <c r="AN97" s="1096">
        <f t="shared" si="398"/>
        <v>13283.334580645162</v>
      </c>
      <c r="AO97" s="697">
        <f t="shared" si="409"/>
        <v>37729.645584045582</v>
      </c>
      <c r="AP97" s="697">
        <f t="shared" si="410"/>
        <v>29049.446358649162</v>
      </c>
      <c r="AQ97" s="207">
        <v>5140.5948717948713</v>
      </c>
      <c r="AR97" s="1108">
        <v>4445.28</v>
      </c>
      <c r="AS97" s="248">
        <f t="shared" si="400"/>
        <v>42870.240455840452</v>
      </c>
      <c r="AT97" s="152">
        <f t="shared" si="401"/>
        <v>33494.726358649161</v>
      </c>
      <c r="AU97" s="207">
        <v>4643.1179487179488</v>
      </c>
      <c r="AV97" s="1108">
        <v>3997.7280000000001</v>
      </c>
      <c r="AW97" s="248">
        <f t="shared" si="402"/>
        <v>47513.358404558399</v>
      </c>
      <c r="AX97" s="152">
        <f t="shared" si="403"/>
        <v>37492.454358649164</v>
      </c>
      <c r="AY97" s="207">
        <v>5140.5948717948713</v>
      </c>
      <c r="AZ97" s="1108">
        <v>6407.9</v>
      </c>
      <c r="BA97" s="1096">
        <f t="shared" si="450"/>
        <v>14924.307692307691</v>
      </c>
      <c r="BB97" s="1096">
        <f t="shared" si="451"/>
        <v>14850.907999999999</v>
      </c>
      <c r="BC97" s="2261">
        <f t="shared" si="411"/>
        <v>30180.266666666663</v>
      </c>
      <c r="BD97" s="2261">
        <f t="shared" si="412"/>
        <v>28134.242580645161</v>
      </c>
      <c r="BE97" s="718">
        <f t="shared" si="413"/>
        <v>52653.95327635327</v>
      </c>
      <c r="BF97" s="718">
        <f t="shared" si="414"/>
        <v>43900.354358649165</v>
      </c>
      <c r="BG97" s="1111"/>
      <c r="BH97" s="1111"/>
      <c r="BI97" s="1111"/>
      <c r="BJ97" s="1111"/>
      <c r="BK97" s="1111"/>
      <c r="BL97" s="23"/>
      <c r="BM97" s="23"/>
      <c r="BN97" s="23"/>
    </row>
    <row r="98" spans="1:66" ht="16.2" thickBot="1" x14ac:dyDescent="0.35">
      <c r="B98" s="2179" t="s">
        <v>13</v>
      </c>
      <c r="C98" s="1284" t="s">
        <v>50</v>
      </c>
      <c r="D98" s="1274">
        <f t="shared" ref="D98:AI98" si="452">SUM(D91:D97)</f>
        <v>441900.63589743583</v>
      </c>
      <c r="E98" s="1273">
        <f t="shared" si="452"/>
        <v>36881.504273504273</v>
      </c>
      <c r="F98" s="1273">
        <f t="shared" si="452"/>
        <v>35562.239999999991</v>
      </c>
      <c r="G98" s="1273">
        <f t="shared" ref="G98:H98" si="453">SUM(G91:G97)</f>
        <v>38110.887749287758</v>
      </c>
      <c r="H98" s="1273">
        <f t="shared" si="453"/>
        <v>36396.864000000001</v>
      </c>
      <c r="I98" s="1273">
        <f t="shared" si="452"/>
        <v>74992.392022792017</v>
      </c>
      <c r="J98" s="1273">
        <f t="shared" si="452"/>
        <v>71959.103999999992</v>
      </c>
      <c r="K98" s="1273">
        <f t="shared" si="452"/>
        <v>37034.393162393171</v>
      </c>
      <c r="L98" s="1273">
        <f t="shared" si="452"/>
        <v>35133.020999999993</v>
      </c>
      <c r="M98" s="1446">
        <f t="shared" si="452"/>
        <v>104996.24843304846</v>
      </c>
      <c r="N98" s="1446">
        <f t="shared" si="452"/>
        <v>96985.917000000001</v>
      </c>
      <c r="O98" s="1273">
        <f t="shared" si="452"/>
        <v>38268.872934472936</v>
      </c>
      <c r="P98" s="1273">
        <f t="shared" si="452"/>
        <v>36898.092000000004</v>
      </c>
      <c r="Q98" s="1273">
        <f t="shared" si="452"/>
        <v>143265.12136752138</v>
      </c>
      <c r="R98" s="1273">
        <f t="shared" si="452"/>
        <v>133884.00899999999</v>
      </c>
      <c r="S98" s="1273">
        <f t="shared" si="452"/>
        <v>38268.872934472936</v>
      </c>
      <c r="T98" s="1273">
        <f t="shared" si="452"/>
        <v>37321.83</v>
      </c>
      <c r="U98" s="1273">
        <f t="shared" si="452"/>
        <v>181533.99430199433</v>
      </c>
      <c r="V98" s="1273">
        <f t="shared" si="452"/>
        <v>171205.83899999998</v>
      </c>
      <c r="W98" s="1273">
        <f t="shared" si="452"/>
        <v>36285.825641025644</v>
      </c>
      <c r="X98" s="1273">
        <f t="shared" si="452"/>
        <v>36117.899999999994</v>
      </c>
      <c r="Y98" s="1446">
        <f t="shared" si="452"/>
        <v>112823.57150997152</v>
      </c>
      <c r="Z98" s="1446">
        <f t="shared" si="452"/>
        <v>110337.822</v>
      </c>
      <c r="AA98" s="2200">
        <f t="shared" si="452"/>
        <v>217819.81994301995</v>
      </c>
      <c r="AB98" s="2200">
        <f t="shared" si="452"/>
        <v>207323.73899999997</v>
      </c>
      <c r="AC98" s="1273">
        <f t="shared" si="452"/>
        <v>38268.872934472936</v>
      </c>
      <c r="AD98" s="1273">
        <f t="shared" si="452"/>
        <v>36221.393168709677</v>
      </c>
      <c r="AE98" s="1273">
        <f t="shared" si="452"/>
        <v>256088.69287749287</v>
      </c>
      <c r="AF98" s="1273">
        <f t="shared" si="452"/>
        <v>243545.13216870971</v>
      </c>
      <c r="AG98" s="1273">
        <f t="shared" si="452"/>
        <v>37034.393162393171</v>
      </c>
      <c r="AH98" s="1273">
        <f t="shared" si="452"/>
        <v>34195.392</v>
      </c>
      <c r="AI98" s="1273">
        <f t="shared" si="452"/>
        <v>293123.08603988605</v>
      </c>
      <c r="AJ98" s="1273">
        <f t="shared" ref="AJ98:BF98" si="454">SUM(AJ91:AJ97)</f>
        <v>277740.5241687097</v>
      </c>
      <c r="AK98" s="1273">
        <f t="shared" si="454"/>
        <v>38268.872934472936</v>
      </c>
      <c r="AL98" s="1273">
        <f t="shared" si="454"/>
        <v>33790.151612903224</v>
      </c>
      <c r="AM98" s="1446">
        <f t="shared" si="454"/>
        <v>113572.13903133904</v>
      </c>
      <c r="AN98" s="1446">
        <f t="shared" si="454"/>
        <v>104206.93678161289</v>
      </c>
      <c r="AO98" s="1273">
        <f t="shared" si="454"/>
        <v>331391.95897435897</v>
      </c>
      <c r="AP98" s="1273">
        <f t="shared" si="454"/>
        <v>311530.67578161287</v>
      </c>
      <c r="AQ98" s="1273">
        <f t="shared" si="454"/>
        <v>38268.872934472936</v>
      </c>
      <c r="AR98" s="1273">
        <f t="shared" si="454"/>
        <v>33895.259999999995</v>
      </c>
      <c r="AS98" s="1273">
        <f t="shared" si="454"/>
        <v>369660.83190883184</v>
      </c>
      <c r="AT98" s="1273">
        <f t="shared" si="454"/>
        <v>345425.93578161282</v>
      </c>
      <c r="AU98" s="1273">
        <f t="shared" si="454"/>
        <v>34565.433618233619</v>
      </c>
      <c r="AV98" s="1273">
        <f t="shared" si="454"/>
        <v>31931.8524</v>
      </c>
      <c r="AW98" s="1273">
        <f t="shared" si="454"/>
        <v>404226.26552706549</v>
      </c>
      <c r="AX98" s="1273">
        <f t="shared" si="454"/>
        <v>377357.78818161285</v>
      </c>
      <c r="AY98" s="1273">
        <f t="shared" si="454"/>
        <v>38268.872934472936</v>
      </c>
      <c r="AZ98" s="1273">
        <f t="shared" si="454"/>
        <v>36747.599999999999</v>
      </c>
      <c r="BA98" s="1446">
        <f t="shared" si="454"/>
        <v>111103.1794871795</v>
      </c>
      <c r="BB98" s="1446">
        <f t="shared" si="454"/>
        <v>102574.71239999999</v>
      </c>
      <c r="BC98" s="2200">
        <f t="shared" si="454"/>
        <v>224675.31851851856</v>
      </c>
      <c r="BD98" s="2200">
        <f t="shared" si="454"/>
        <v>206781.64918161291</v>
      </c>
      <c r="BE98" s="1273">
        <f t="shared" si="454"/>
        <v>442495.13846153842</v>
      </c>
      <c r="BF98" s="1273">
        <f t="shared" si="454"/>
        <v>414105.38818161289</v>
      </c>
      <c r="BG98" s="1111"/>
      <c r="BH98" s="1111"/>
      <c r="BI98" s="1111"/>
      <c r="BJ98" s="1111"/>
      <c r="BK98" s="1111"/>
      <c r="BL98" s="23"/>
      <c r="BM98" s="23"/>
      <c r="BN98" s="23"/>
    </row>
    <row r="99" spans="1:66" x14ac:dyDescent="0.3">
      <c r="B99" s="2178" t="s">
        <v>1313</v>
      </c>
      <c r="C99" s="1287" t="s">
        <v>50</v>
      </c>
      <c r="D99" s="2091">
        <v>117379.85641025641</v>
      </c>
      <c r="E99" s="2091">
        <v>9796.6495726495705</v>
      </c>
      <c r="F99" s="1095">
        <v>9446.2199999999993</v>
      </c>
      <c r="G99" s="2091">
        <v>10123.204558404557</v>
      </c>
      <c r="H99" s="1095">
        <v>9667.9169999999995</v>
      </c>
      <c r="I99" s="2045">
        <f t="shared" ref="I99:J102" si="455">+E99+G99</f>
        <v>19919.854131054126</v>
      </c>
      <c r="J99" s="2045">
        <f t="shared" si="455"/>
        <v>19114.136999999999</v>
      </c>
      <c r="K99" s="2091">
        <v>9396.7863247863243</v>
      </c>
      <c r="L99" s="1095">
        <v>14162.147999999999</v>
      </c>
      <c r="M99" s="451">
        <f t="shared" ref="M99:N102" si="456">+E99+G99+K99</f>
        <v>29316.64045584045</v>
      </c>
      <c r="N99" s="451">
        <f t="shared" si="456"/>
        <v>33276.284999999996</v>
      </c>
      <c r="O99" s="2091">
        <v>9710.0125356125354</v>
      </c>
      <c r="P99" s="1095">
        <v>10297.5586497</v>
      </c>
      <c r="Q99" s="2045">
        <f t="shared" ref="Q99:R102" si="457">+M99+O99</f>
        <v>39026.652991452982</v>
      </c>
      <c r="R99" s="2045">
        <f t="shared" si="457"/>
        <v>43573.843649699993</v>
      </c>
      <c r="S99" s="2091">
        <v>9710.0125356125354</v>
      </c>
      <c r="T99" s="1095">
        <v>11483.64</v>
      </c>
      <c r="U99" s="2045">
        <f t="shared" ref="U99:U102" si="458">+Q99+S99</f>
        <v>48736.665527065517</v>
      </c>
      <c r="V99" s="2045">
        <f t="shared" ref="V99:V102" si="459">+R99+T99</f>
        <v>55057.483649699992</v>
      </c>
      <c r="W99" s="2091">
        <v>9206.8512820512824</v>
      </c>
      <c r="X99" s="1095">
        <v>9909.2681477999995</v>
      </c>
      <c r="Y99" s="451">
        <f t="shared" ref="Y99:Z102" si="460">+O99+S99+W99</f>
        <v>28626.876353276355</v>
      </c>
      <c r="Z99" s="451">
        <f t="shared" si="460"/>
        <v>31690.466797499997</v>
      </c>
      <c r="AA99" s="1471">
        <f t="shared" si="408"/>
        <v>57943.516809116802</v>
      </c>
      <c r="AB99" s="441">
        <f t="shared" si="408"/>
        <v>64966.751797499994</v>
      </c>
      <c r="AC99" s="2091">
        <v>9710.0125356125354</v>
      </c>
      <c r="AD99" s="1095">
        <v>9251.5560967741931</v>
      </c>
      <c r="AE99" s="2045">
        <f t="shared" ref="AE99:AE102" si="461">+AA99+AC99</f>
        <v>67653.529344729337</v>
      </c>
      <c r="AF99" s="58">
        <f t="shared" ref="AF99:AF102" si="462">+AB99+AD99</f>
        <v>74218.307894274185</v>
      </c>
      <c r="AG99" s="2091">
        <v>9396.7863247863243</v>
      </c>
      <c r="AH99" s="1095">
        <v>10151.757</v>
      </c>
      <c r="AI99" s="2045">
        <f t="shared" ref="AI99:AI102" si="463">+AE99+AG99</f>
        <v>77050.315669515665</v>
      </c>
      <c r="AJ99" s="58">
        <f t="shared" ref="AJ99:AJ102" si="464">+AF99+AH99</f>
        <v>84370.064894274183</v>
      </c>
      <c r="AK99" s="2091">
        <v>9710.0125356125354</v>
      </c>
      <c r="AL99" s="1095">
        <v>10474.947</v>
      </c>
      <c r="AM99" s="451">
        <f t="shared" ref="AM99:AM102" si="465">+AC99+AG99+AK99</f>
        <v>28816.811396011395</v>
      </c>
      <c r="AN99" s="451">
        <f t="shared" ref="AN99:AN102" si="466">+AD99+AH99+AL99</f>
        <v>29878.260096774193</v>
      </c>
      <c r="AO99" s="697">
        <f t="shared" si="409"/>
        <v>86760.3282051282</v>
      </c>
      <c r="AP99" s="697">
        <f t="shared" si="409"/>
        <v>94845.011894274183</v>
      </c>
      <c r="AQ99" s="2091">
        <v>9710.0125356125354</v>
      </c>
      <c r="AR99" s="1095">
        <v>10557.539999999997</v>
      </c>
      <c r="AS99" s="2045">
        <f t="shared" ref="AS99:AS102" si="467">+AO99+AQ99</f>
        <v>96470.340740740736</v>
      </c>
      <c r="AT99" s="58">
        <f t="shared" ref="AT99:AT102" si="468">+AP99+AR99</f>
        <v>105402.55189427418</v>
      </c>
      <c r="AU99" s="2091">
        <v>8770.3339031339056</v>
      </c>
      <c r="AV99" s="1095">
        <v>9494.6040000000012</v>
      </c>
      <c r="AW99" s="2045">
        <f t="shared" ref="AW99:AW102" si="469">+AS99+AU99</f>
        <v>105240.67464387463</v>
      </c>
      <c r="AX99" s="58">
        <f t="shared" ref="AX99:AX102" si="470">+AT99+AV99</f>
        <v>114897.15589427418</v>
      </c>
      <c r="AY99" s="2091">
        <v>9710.0125356125354</v>
      </c>
      <c r="AZ99" s="1095">
        <v>10909.5</v>
      </c>
      <c r="BA99" s="451">
        <f t="shared" ref="BA99:BA102" si="471">+AQ99+AU99+AY99</f>
        <v>28190.358974358976</v>
      </c>
      <c r="BB99" s="451">
        <f t="shared" ref="BB99:BB102" si="472">+AR99+AV99+AZ99</f>
        <v>30961.644</v>
      </c>
      <c r="BC99" s="2261">
        <f t="shared" ref="BC99:BC102" si="473">+AM99+BA99</f>
        <v>57007.170370370368</v>
      </c>
      <c r="BD99" s="2261">
        <f t="shared" ref="BD99:BD102" si="474">+AN99+BB99</f>
        <v>60839.904096774189</v>
      </c>
      <c r="BE99" s="718">
        <f t="shared" ref="BE99:BE102" si="475">AW99+AY99</f>
        <v>114950.68717948717</v>
      </c>
      <c r="BF99" s="718">
        <f t="shared" ref="BF99:BF102" si="476">AX99+AZ99</f>
        <v>125806.65589427418</v>
      </c>
      <c r="BG99" s="1111"/>
      <c r="BH99" s="1111"/>
      <c r="BI99" s="1111"/>
      <c r="BJ99" s="1111"/>
      <c r="BK99" s="1111"/>
      <c r="BL99" s="23"/>
      <c r="BM99" s="23"/>
      <c r="BN99" s="23"/>
    </row>
    <row r="100" spans="1:66" x14ac:dyDescent="0.3">
      <c r="B100" s="1663" t="s">
        <v>595</v>
      </c>
      <c r="C100" s="713" t="s">
        <v>50</v>
      </c>
      <c r="D100" s="1031"/>
      <c r="E100" s="1031"/>
      <c r="F100" s="1094"/>
      <c r="G100" s="1031"/>
      <c r="H100" s="1094"/>
      <c r="I100" s="718">
        <f t="shared" si="455"/>
        <v>0</v>
      </c>
      <c r="J100" s="718">
        <f t="shared" si="455"/>
        <v>0</v>
      </c>
      <c r="K100" s="1031">
        <v>2763.7606837606836</v>
      </c>
      <c r="L100" s="1094"/>
      <c r="M100" s="717">
        <f t="shared" si="456"/>
        <v>2763.7606837606836</v>
      </c>
      <c r="N100" s="717">
        <f t="shared" si="456"/>
        <v>0</v>
      </c>
      <c r="O100" s="1031">
        <v>2855.8860398860393</v>
      </c>
      <c r="P100" s="1094"/>
      <c r="Q100" s="718">
        <f t="shared" si="457"/>
        <v>5619.6467236467233</v>
      </c>
      <c r="R100" s="718">
        <f t="shared" si="457"/>
        <v>0</v>
      </c>
      <c r="S100" s="1031">
        <v>2855.8860398860393</v>
      </c>
      <c r="T100" s="1094"/>
      <c r="U100" s="718">
        <f t="shared" si="458"/>
        <v>8475.5327635327631</v>
      </c>
      <c r="V100" s="718">
        <f t="shared" si="459"/>
        <v>0</v>
      </c>
      <c r="W100" s="1031">
        <v>2707.8974358974356</v>
      </c>
      <c r="X100" s="1094"/>
      <c r="Y100" s="717">
        <f t="shared" si="460"/>
        <v>8419.6695156695132</v>
      </c>
      <c r="Z100" s="717">
        <f t="shared" si="460"/>
        <v>0</v>
      </c>
      <c r="AA100" s="429">
        <f t="shared" si="408"/>
        <v>11183.430199430197</v>
      </c>
      <c r="AB100" s="418">
        <f t="shared" si="408"/>
        <v>0</v>
      </c>
      <c r="AC100" s="1031">
        <v>2855.8860398860393</v>
      </c>
      <c r="AD100" s="1094"/>
      <c r="AE100" s="718">
        <f t="shared" si="461"/>
        <v>14039.316239316237</v>
      </c>
      <c r="AF100" s="35">
        <f t="shared" si="462"/>
        <v>0</v>
      </c>
      <c r="AG100" s="1031">
        <v>2763.7606837606836</v>
      </c>
      <c r="AH100" s="1094"/>
      <c r="AI100" s="718">
        <f t="shared" si="463"/>
        <v>16803.076923076922</v>
      </c>
      <c r="AJ100" s="35">
        <f t="shared" si="464"/>
        <v>0</v>
      </c>
      <c r="AK100" s="1031">
        <v>2855.8860398860393</v>
      </c>
      <c r="AL100" s="1094"/>
      <c r="AM100" s="717">
        <f t="shared" si="465"/>
        <v>8475.5327635327631</v>
      </c>
      <c r="AN100" s="717">
        <f t="shared" si="466"/>
        <v>0</v>
      </c>
      <c r="AO100" s="697">
        <f t="shared" ref="AO100:AO102" si="477">AI100+AK100</f>
        <v>19658.96296296296</v>
      </c>
      <c r="AP100" s="697">
        <f t="shared" ref="AP100:AP102" si="478">AJ100+AL100</f>
        <v>0</v>
      </c>
      <c r="AQ100" s="1031">
        <v>2855.8860398860393</v>
      </c>
      <c r="AR100" s="1094"/>
      <c r="AS100" s="718">
        <f t="shared" si="467"/>
        <v>22514.849002848998</v>
      </c>
      <c r="AT100" s="35">
        <f t="shared" si="468"/>
        <v>0</v>
      </c>
      <c r="AU100" s="2091">
        <v>2579.5099715099718</v>
      </c>
      <c r="AV100" s="1094"/>
      <c r="AW100" s="718">
        <f t="shared" si="469"/>
        <v>25094.358974358969</v>
      </c>
      <c r="AX100" s="35">
        <f t="shared" si="470"/>
        <v>0</v>
      </c>
      <c r="AY100" s="2091">
        <v>2855.8860398860393</v>
      </c>
      <c r="AZ100" s="1094"/>
      <c r="BA100" s="717">
        <f t="shared" si="471"/>
        <v>8291.2820512820508</v>
      </c>
      <c r="BB100" s="717">
        <f t="shared" si="472"/>
        <v>0</v>
      </c>
      <c r="BC100" s="2261">
        <f t="shared" si="473"/>
        <v>16766.814814814814</v>
      </c>
      <c r="BD100" s="2261">
        <f t="shared" si="474"/>
        <v>0</v>
      </c>
      <c r="BE100" s="718">
        <f t="shared" si="475"/>
        <v>27950.245014245007</v>
      </c>
      <c r="BF100" s="718">
        <f t="shared" si="476"/>
        <v>0</v>
      </c>
      <c r="BG100" s="1111"/>
      <c r="BH100" s="1111"/>
      <c r="BI100" s="1111"/>
      <c r="BJ100" s="1111"/>
      <c r="BK100" s="1111"/>
      <c r="BL100" s="23"/>
      <c r="BM100" s="23"/>
      <c r="BN100" s="23"/>
    </row>
    <row r="101" spans="1:66" x14ac:dyDescent="0.3">
      <c r="B101" s="1664" t="s">
        <v>1299</v>
      </c>
      <c r="C101" s="1286" t="s">
        <v>50</v>
      </c>
      <c r="D101" s="207">
        <v>55237.579487179486</v>
      </c>
      <c r="E101" s="207">
        <v>4610.1880341880342</v>
      </c>
      <c r="F101" s="1108">
        <v>4445.28</v>
      </c>
      <c r="G101" s="207">
        <v>4763.860968660968</v>
      </c>
      <c r="H101" s="1108">
        <v>4549.6080000000002</v>
      </c>
      <c r="I101" s="718">
        <f t="shared" si="455"/>
        <v>9374.0490028490021</v>
      </c>
      <c r="J101" s="718">
        <f t="shared" si="455"/>
        <v>8994.887999999999</v>
      </c>
      <c r="K101" s="207"/>
      <c r="L101" s="1108"/>
      <c r="M101" s="717">
        <f t="shared" ref="M101" si="479">+E101+G101+K101</f>
        <v>9374.0490028490021</v>
      </c>
      <c r="N101" s="717">
        <f t="shared" ref="N101" si="480">+F101+H101+L101</f>
        <v>8994.887999999999</v>
      </c>
      <c r="O101" s="207"/>
      <c r="P101" s="1108">
        <v>3516.6805570259999</v>
      </c>
      <c r="Q101" s="718">
        <f t="shared" si="457"/>
        <v>9374.0490028490021</v>
      </c>
      <c r="R101" s="718">
        <f t="shared" si="457"/>
        <v>12511.568557025999</v>
      </c>
      <c r="S101" s="207">
        <v>0</v>
      </c>
      <c r="T101" s="1108"/>
      <c r="U101" s="718">
        <f t="shared" si="458"/>
        <v>9374.0490028490021</v>
      </c>
      <c r="V101" s="718">
        <f t="shared" si="459"/>
        <v>12511.568557025999</v>
      </c>
      <c r="W101" s="207"/>
      <c r="X101" s="1108">
        <v>2407.6747799999998</v>
      </c>
      <c r="Y101" s="717">
        <f t="shared" ref="Y101" si="481">+O101+S101+W101</f>
        <v>0</v>
      </c>
      <c r="Z101" s="717">
        <f t="shared" ref="Z101" si="482">+P101+T101+X101</f>
        <v>5924.3553370259997</v>
      </c>
      <c r="AA101" s="429">
        <f t="shared" ref="AA101" si="483">+M101+Y101</f>
        <v>9374.0490028490021</v>
      </c>
      <c r="AB101" s="418">
        <f t="shared" ref="AB101" si="484">+N101+Z101</f>
        <v>14919.243337025999</v>
      </c>
      <c r="AC101" s="207"/>
      <c r="AD101" s="1108">
        <v>5437.7982580645166</v>
      </c>
      <c r="AE101" s="718">
        <f t="shared" si="461"/>
        <v>9374.0490028490021</v>
      </c>
      <c r="AF101" s="35">
        <f t="shared" si="462"/>
        <v>20357.041595090515</v>
      </c>
      <c r="AG101" s="207"/>
      <c r="AH101" s="1108">
        <v>3740.1209999999996</v>
      </c>
      <c r="AI101" s="718">
        <f t="shared" si="463"/>
        <v>9374.0490028490021</v>
      </c>
      <c r="AJ101" s="35">
        <f t="shared" si="464"/>
        <v>24097.162595090515</v>
      </c>
      <c r="AK101" s="207"/>
      <c r="AL101" s="1108">
        <v>3859.1909999999998</v>
      </c>
      <c r="AM101" s="717">
        <f t="shared" si="465"/>
        <v>0</v>
      </c>
      <c r="AN101" s="717">
        <f t="shared" si="466"/>
        <v>13037.110258064517</v>
      </c>
      <c r="AO101" s="697">
        <f t="shared" si="477"/>
        <v>9374.0490028490021</v>
      </c>
      <c r="AP101" s="697">
        <f t="shared" si="478"/>
        <v>27956.353595090513</v>
      </c>
      <c r="AQ101" s="207"/>
      <c r="AR101" s="1108">
        <v>3889.6199999999994</v>
      </c>
      <c r="AS101" s="718">
        <f t="shared" si="467"/>
        <v>9374.0490028490021</v>
      </c>
      <c r="AT101" s="35">
        <f t="shared" si="468"/>
        <v>31845.973595090512</v>
      </c>
      <c r="AU101" s="207"/>
      <c r="AV101" s="1108">
        <v>3498.0120000000002</v>
      </c>
      <c r="AW101" s="718">
        <f t="shared" si="469"/>
        <v>9374.0490028490021</v>
      </c>
      <c r="AX101" s="35">
        <f t="shared" si="470"/>
        <v>35343.985595090511</v>
      </c>
      <c r="AY101" s="207"/>
      <c r="AZ101" s="1108">
        <v>4019.3</v>
      </c>
      <c r="BA101" s="717">
        <f t="shared" si="471"/>
        <v>0</v>
      </c>
      <c r="BB101" s="717">
        <f t="shared" si="472"/>
        <v>11406.932000000001</v>
      </c>
      <c r="BC101" s="2261">
        <f t="shared" si="473"/>
        <v>0</v>
      </c>
      <c r="BD101" s="2261">
        <f t="shared" si="474"/>
        <v>24444.042258064517</v>
      </c>
      <c r="BE101" s="718">
        <f t="shared" si="475"/>
        <v>9374.0490028490021</v>
      </c>
      <c r="BF101" s="718">
        <f t="shared" si="476"/>
        <v>39363.285595090514</v>
      </c>
      <c r="BG101" s="1111"/>
      <c r="BH101" s="1111"/>
      <c r="BI101" s="1111"/>
      <c r="BJ101" s="1111"/>
      <c r="BK101" s="1111"/>
      <c r="BL101" s="23"/>
      <c r="BM101" s="23"/>
      <c r="BN101" s="23"/>
    </row>
    <row r="102" spans="1:66" ht="15" thickBot="1" x14ac:dyDescent="0.35">
      <c r="A102" s="136"/>
      <c r="B102" s="1664" t="s">
        <v>1312</v>
      </c>
      <c r="C102" s="1286" t="s">
        <v>50</v>
      </c>
      <c r="D102" s="207"/>
      <c r="E102" s="207"/>
      <c r="F102" s="1108"/>
      <c r="G102" s="207"/>
      <c r="H102" s="1108"/>
      <c r="I102" s="248">
        <f t="shared" si="455"/>
        <v>0</v>
      </c>
      <c r="J102" s="248">
        <f t="shared" si="455"/>
        <v>0</v>
      </c>
      <c r="K102" s="207">
        <v>1658.2564102564099</v>
      </c>
      <c r="L102" s="1108"/>
      <c r="M102" s="1096">
        <f t="shared" si="456"/>
        <v>1658.2564102564099</v>
      </c>
      <c r="N102" s="1096">
        <f t="shared" si="456"/>
        <v>0</v>
      </c>
      <c r="O102" s="207">
        <v>1713.5316239316239</v>
      </c>
      <c r="P102" s="1108">
        <v>721.37055702600003</v>
      </c>
      <c r="Q102" s="248">
        <f t="shared" si="457"/>
        <v>3371.7880341880336</v>
      </c>
      <c r="R102" s="248">
        <f t="shared" si="457"/>
        <v>721.37055702600003</v>
      </c>
      <c r="S102" s="207">
        <v>1713.5316239316239</v>
      </c>
      <c r="T102" s="1108">
        <v>2870.91</v>
      </c>
      <c r="U102" s="248">
        <f t="shared" si="458"/>
        <v>5085.3196581196571</v>
      </c>
      <c r="V102" s="248">
        <f t="shared" si="459"/>
        <v>3592.2805570259998</v>
      </c>
      <c r="W102" s="207">
        <v>1624.7384615384615</v>
      </c>
      <c r="X102" s="1108">
        <v>1574.3514779999998</v>
      </c>
      <c r="Y102" s="1096">
        <f t="shared" si="460"/>
        <v>5051.8017094017096</v>
      </c>
      <c r="Z102" s="1096">
        <f t="shared" si="460"/>
        <v>5166.6320350259994</v>
      </c>
      <c r="AA102" s="429">
        <f t="shared" si="408"/>
        <v>6710.0581196581197</v>
      </c>
      <c r="AB102" s="418">
        <f t="shared" si="408"/>
        <v>5166.6320350259994</v>
      </c>
      <c r="AC102" s="207">
        <v>1713.5316239316239</v>
      </c>
      <c r="AD102" s="1108"/>
      <c r="AE102" s="718">
        <f t="shared" si="461"/>
        <v>8423.5897435897441</v>
      </c>
      <c r="AF102" s="152">
        <f t="shared" si="462"/>
        <v>5166.6320350259994</v>
      </c>
      <c r="AG102" s="207">
        <v>1658.2564102564099</v>
      </c>
      <c r="AH102" s="1108"/>
      <c r="AI102" s="718">
        <f t="shared" si="463"/>
        <v>10081.846153846154</v>
      </c>
      <c r="AJ102" s="152">
        <f t="shared" si="464"/>
        <v>5166.6320350259994</v>
      </c>
      <c r="AK102" s="207">
        <v>1713.5316239316239</v>
      </c>
      <c r="AL102" s="1108"/>
      <c r="AM102" s="1096">
        <f t="shared" si="465"/>
        <v>5085.3196581196571</v>
      </c>
      <c r="AN102" s="1096">
        <f t="shared" si="466"/>
        <v>0</v>
      </c>
      <c r="AO102" s="697">
        <f t="shared" si="477"/>
        <v>11795.377777777778</v>
      </c>
      <c r="AP102" s="697">
        <f t="shared" si="478"/>
        <v>5166.6320350259994</v>
      </c>
      <c r="AQ102" s="207">
        <v>1713.5316239316239</v>
      </c>
      <c r="AR102" s="1108"/>
      <c r="AS102" s="718">
        <f t="shared" si="467"/>
        <v>13508.909401709401</v>
      </c>
      <c r="AT102" s="152">
        <f t="shared" si="468"/>
        <v>5166.6320350259994</v>
      </c>
      <c r="AU102" s="207">
        <v>1547.7059829059829</v>
      </c>
      <c r="AV102" s="1108"/>
      <c r="AW102" s="718">
        <f t="shared" si="469"/>
        <v>15056.615384615385</v>
      </c>
      <c r="AX102" s="152">
        <f t="shared" si="470"/>
        <v>5166.6320350259994</v>
      </c>
      <c r="AY102" s="207">
        <v>1713.5316239316239</v>
      </c>
      <c r="AZ102" s="1108"/>
      <c r="BA102" s="1096">
        <f t="shared" si="471"/>
        <v>4974.7692307692305</v>
      </c>
      <c r="BB102" s="1096">
        <f t="shared" si="472"/>
        <v>0</v>
      </c>
      <c r="BC102" s="2261">
        <f t="shared" si="473"/>
        <v>10060.088888888888</v>
      </c>
      <c r="BD102" s="2261">
        <f t="shared" si="474"/>
        <v>0</v>
      </c>
      <c r="BE102" s="718">
        <f t="shared" si="475"/>
        <v>16770.14700854701</v>
      </c>
      <c r="BF102" s="718">
        <f t="shared" si="476"/>
        <v>5166.6320350259994</v>
      </c>
      <c r="BG102" s="1111"/>
      <c r="BH102" s="1111"/>
      <c r="BI102" s="1111"/>
      <c r="BJ102" s="1111"/>
      <c r="BK102" s="1111"/>
      <c r="BL102" s="23"/>
      <c r="BM102" s="23"/>
      <c r="BN102" s="23"/>
    </row>
    <row r="103" spans="1:66" ht="16.2" thickBot="1" x14ac:dyDescent="0.35">
      <c r="A103" s="136"/>
      <c r="B103" s="1645" t="s">
        <v>133</v>
      </c>
      <c r="C103" s="1284" t="s">
        <v>50</v>
      </c>
      <c r="D103" s="1274">
        <f t="shared" ref="D103:AI103" si="485">SUM(D99:D102)</f>
        <v>172617.43589743591</v>
      </c>
      <c r="E103" s="419">
        <f t="shared" si="485"/>
        <v>14406.837606837606</v>
      </c>
      <c r="F103" s="340">
        <f t="shared" si="485"/>
        <v>13891.5</v>
      </c>
      <c r="G103" s="419">
        <f t="shared" ref="G103:H103" si="486">SUM(G99:G102)</f>
        <v>14887.065527065526</v>
      </c>
      <c r="H103" s="340">
        <f t="shared" si="486"/>
        <v>14217.525</v>
      </c>
      <c r="I103" s="656">
        <f t="shared" si="485"/>
        <v>29293.903133903128</v>
      </c>
      <c r="J103" s="656">
        <f t="shared" si="485"/>
        <v>28109.024999999998</v>
      </c>
      <c r="K103" s="419">
        <f t="shared" ref="K103:L103" si="487">SUM(K99:K102)</f>
        <v>13818.803418803418</v>
      </c>
      <c r="L103" s="340">
        <f t="shared" si="487"/>
        <v>14162.147999999999</v>
      </c>
      <c r="M103" s="323">
        <f t="shared" si="485"/>
        <v>43112.706552706542</v>
      </c>
      <c r="N103" s="1374">
        <f t="shared" si="485"/>
        <v>42271.172999999995</v>
      </c>
      <c r="O103" s="419">
        <f t="shared" ref="O103:P103" si="488">SUM(O99:O102)</f>
        <v>14279.430199430199</v>
      </c>
      <c r="P103" s="340">
        <f t="shared" si="488"/>
        <v>14535.609763752002</v>
      </c>
      <c r="Q103" s="656">
        <f t="shared" si="485"/>
        <v>57392.136752136736</v>
      </c>
      <c r="R103" s="656">
        <f t="shared" si="485"/>
        <v>56806.782763751988</v>
      </c>
      <c r="S103" s="419">
        <f t="shared" ref="S103:T103" si="489">SUM(S99:S102)</f>
        <v>14279.430199430199</v>
      </c>
      <c r="T103" s="340">
        <f t="shared" si="489"/>
        <v>14354.55</v>
      </c>
      <c r="U103" s="656">
        <f t="shared" ref="U103:X103" si="490">SUM(U99:U102)</f>
        <v>71671.566951566943</v>
      </c>
      <c r="V103" s="656">
        <f t="shared" si="490"/>
        <v>71161.332763751983</v>
      </c>
      <c r="W103" s="419">
        <f t="shared" si="490"/>
        <v>13539.48717948718</v>
      </c>
      <c r="X103" s="340">
        <f t="shared" si="490"/>
        <v>13891.294405799999</v>
      </c>
      <c r="Y103" s="323">
        <f t="shared" si="485"/>
        <v>42098.347578347581</v>
      </c>
      <c r="Z103" s="1374">
        <f t="shared" si="485"/>
        <v>42781.454169551995</v>
      </c>
      <c r="AA103" s="427">
        <f t="shared" si="485"/>
        <v>85211.054131054116</v>
      </c>
      <c r="AB103" s="2201">
        <f t="shared" si="485"/>
        <v>85052.627169551997</v>
      </c>
      <c r="AC103" s="419">
        <f t="shared" ref="AC103:AD103" si="491">SUM(AC99:AC102)</f>
        <v>14279.430199430199</v>
      </c>
      <c r="AD103" s="340">
        <f t="shared" si="491"/>
        <v>14689.35435483871</v>
      </c>
      <c r="AE103" s="656">
        <f t="shared" si="485"/>
        <v>99490.484330484323</v>
      </c>
      <c r="AF103" s="340">
        <f t="shared" si="485"/>
        <v>99741.981524390692</v>
      </c>
      <c r="AG103" s="419">
        <f t="shared" ref="AG103:AH103" si="492">SUM(AG99:AG102)</f>
        <v>13818.803418803418</v>
      </c>
      <c r="AH103" s="340">
        <f t="shared" si="492"/>
        <v>13891.877999999999</v>
      </c>
      <c r="AI103" s="656">
        <f t="shared" si="485"/>
        <v>113309.28774928775</v>
      </c>
      <c r="AJ103" s="340">
        <f t="shared" ref="AJ103:BD103" si="493">SUM(AJ99:AJ102)</f>
        <v>113633.85952439069</v>
      </c>
      <c r="AK103" s="419">
        <f t="shared" si="493"/>
        <v>14279.430199430199</v>
      </c>
      <c r="AL103" s="340">
        <f t="shared" si="493"/>
        <v>14334.137999999999</v>
      </c>
      <c r="AM103" s="323">
        <f t="shared" si="493"/>
        <v>42377.663817663808</v>
      </c>
      <c r="AN103" s="1374">
        <f t="shared" si="493"/>
        <v>42915.370354838713</v>
      </c>
      <c r="AO103" s="656">
        <f t="shared" si="493"/>
        <v>127588.71794871794</v>
      </c>
      <c r="AP103" s="340">
        <f t="shared" si="493"/>
        <v>127967.9975243907</v>
      </c>
      <c r="AQ103" s="419">
        <f t="shared" ref="AQ103:AR103" si="494">SUM(AQ99:AQ102)</f>
        <v>14279.430199430199</v>
      </c>
      <c r="AR103" s="340">
        <f t="shared" si="494"/>
        <v>14447.159999999996</v>
      </c>
      <c r="AS103" s="656">
        <f t="shared" si="493"/>
        <v>141868.14814814812</v>
      </c>
      <c r="AT103" s="340">
        <f t="shared" si="493"/>
        <v>142415.1575243907</v>
      </c>
      <c r="AU103" s="419">
        <f t="shared" si="493"/>
        <v>12897.54985754986</v>
      </c>
      <c r="AV103" s="340">
        <f t="shared" si="493"/>
        <v>12992.616000000002</v>
      </c>
      <c r="AW103" s="656">
        <f t="shared" ref="AW103:AZ103" si="495">SUM(AW99:AW102)</f>
        <v>154765.69800569798</v>
      </c>
      <c r="AX103" s="340">
        <f t="shared" si="495"/>
        <v>155407.77352439071</v>
      </c>
      <c r="AY103" s="419">
        <f t="shared" si="495"/>
        <v>14279.430199430199</v>
      </c>
      <c r="AZ103" s="340">
        <f t="shared" si="495"/>
        <v>14928.8</v>
      </c>
      <c r="BA103" s="323">
        <f t="shared" ref="BA103:BB103" si="496">SUM(BA99:BA102)</f>
        <v>41456.410256410265</v>
      </c>
      <c r="BB103" s="1374">
        <f t="shared" si="496"/>
        <v>42368.576000000001</v>
      </c>
      <c r="BC103" s="427">
        <f t="shared" si="493"/>
        <v>83834.074074074073</v>
      </c>
      <c r="BD103" s="2201">
        <f t="shared" si="493"/>
        <v>85283.946354838699</v>
      </c>
      <c r="BE103" s="656">
        <f t="shared" ref="BE103:BF103" si="497">SUM(BE99:BE102)</f>
        <v>169045.12820512819</v>
      </c>
      <c r="BF103" s="340">
        <f t="shared" si="497"/>
        <v>170336.5735243907</v>
      </c>
      <c r="BG103" s="1111"/>
      <c r="BH103" s="1111"/>
      <c r="BI103" s="1111"/>
      <c r="BJ103" s="1111"/>
      <c r="BK103" s="1111"/>
      <c r="BL103" s="23"/>
      <c r="BM103" s="23"/>
      <c r="BN103" s="23"/>
    </row>
    <row r="104" spans="1:66" ht="16.2" thickBot="1" x14ac:dyDescent="0.35">
      <c r="B104" s="1645" t="s">
        <v>12</v>
      </c>
      <c r="C104" s="1284" t="s">
        <v>50</v>
      </c>
      <c r="D104" s="1274">
        <f t="shared" ref="D104:AI104" si="498">+D98+D103</f>
        <v>614518.07179487171</v>
      </c>
      <c r="E104" s="419">
        <f t="shared" si="498"/>
        <v>51288.341880341875</v>
      </c>
      <c r="F104" s="340">
        <f t="shared" si="498"/>
        <v>49453.739999999991</v>
      </c>
      <c r="G104" s="419">
        <f t="shared" ref="G104:H104" si="499">+G98+G103</f>
        <v>52997.953276353284</v>
      </c>
      <c r="H104" s="340">
        <f t="shared" si="499"/>
        <v>50614.389000000003</v>
      </c>
      <c r="I104" s="656">
        <f t="shared" si="498"/>
        <v>104286.29515669515</v>
      </c>
      <c r="J104" s="656">
        <f t="shared" si="498"/>
        <v>100068.12899999999</v>
      </c>
      <c r="K104" s="419">
        <f t="shared" si="498"/>
        <v>50853.196581196593</v>
      </c>
      <c r="L104" s="340">
        <f t="shared" si="498"/>
        <v>49295.168999999994</v>
      </c>
      <c r="M104" s="323">
        <f t="shared" si="498"/>
        <v>148108.954985755</v>
      </c>
      <c r="N104" s="1374">
        <f t="shared" si="498"/>
        <v>139257.09</v>
      </c>
      <c r="O104" s="419">
        <f t="shared" ref="O104:P104" si="500">+O98+O103</f>
        <v>52548.303133903137</v>
      </c>
      <c r="P104" s="340">
        <f t="shared" si="500"/>
        <v>51433.701763752004</v>
      </c>
      <c r="Q104" s="656">
        <f t="shared" si="498"/>
        <v>200657.2581196581</v>
      </c>
      <c r="R104" s="656">
        <f t="shared" si="498"/>
        <v>190690.79176375197</v>
      </c>
      <c r="S104" s="419">
        <f t="shared" si="498"/>
        <v>52548.303133903137</v>
      </c>
      <c r="T104" s="340">
        <f t="shared" si="498"/>
        <v>51676.380000000005</v>
      </c>
      <c r="U104" s="656">
        <f t="shared" ref="U104:X104" si="501">+U98+U103</f>
        <v>253205.56125356129</v>
      </c>
      <c r="V104" s="656">
        <f t="shared" si="501"/>
        <v>242367.17176375195</v>
      </c>
      <c r="W104" s="419">
        <f t="shared" si="501"/>
        <v>49825.312820512823</v>
      </c>
      <c r="X104" s="340">
        <f t="shared" si="501"/>
        <v>50009.194405799994</v>
      </c>
      <c r="Y104" s="323">
        <f t="shared" si="498"/>
        <v>154921.91908831909</v>
      </c>
      <c r="Z104" s="1374">
        <f t="shared" si="498"/>
        <v>153119.276169552</v>
      </c>
      <c r="AA104" s="427">
        <f t="shared" si="498"/>
        <v>303030.87407407409</v>
      </c>
      <c r="AB104" s="2201">
        <f t="shared" si="498"/>
        <v>292376.36616955197</v>
      </c>
      <c r="AC104" s="419">
        <f t="shared" si="498"/>
        <v>52548.303133903137</v>
      </c>
      <c r="AD104" s="340">
        <f t="shared" si="498"/>
        <v>50910.747523548387</v>
      </c>
      <c r="AE104" s="656">
        <f t="shared" si="498"/>
        <v>355579.17720797716</v>
      </c>
      <c r="AF104" s="340">
        <f t="shared" si="498"/>
        <v>343287.1136931004</v>
      </c>
      <c r="AG104" s="419">
        <f t="shared" ref="AG104:AH104" si="502">+AG98+AG103</f>
        <v>50853.196581196593</v>
      </c>
      <c r="AH104" s="340">
        <f t="shared" si="502"/>
        <v>48087.27</v>
      </c>
      <c r="AI104" s="656">
        <f t="shared" si="498"/>
        <v>406432.37378917378</v>
      </c>
      <c r="AJ104" s="340">
        <f t="shared" ref="AJ104:BF104" si="503">+AJ98+AJ103</f>
        <v>391374.38369310042</v>
      </c>
      <c r="AK104" s="419">
        <f t="shared" si="503"/>
        <v>52548.303133903137</v>
      </c>
      <c r="AL104" s="340">
        <f t="shared" si="503"/>
        <v>48124.289612903223</v>
      </c>
      <c r="AM104" s="323">
        <f t="shared" si="503"/>
        <v>155949.80284900285</v>
      </c>
      <c r="AN104" s="1374">
        <f t="shared" si="503"/>
        <v>147122.30713645159</v>
      </c>
      <c r="AO104" s="656">
        <f t="shared" si="503"/>
        <v>458980.67692307691</v>
      </c>
      <c r="AP104" s="340">
        <f t="shared" si="503"/>
        <v>439498.67330600356</v>
      </c>
      <c r="AQ104" s="419">
        <f t="shared" ref="AQ104:AR104" si="504">+AQ98+AQ103</f>
        <v>52548.303133903137</v>
      </c>
      <c r="AR104" s="340">
        <f t="shared" si="504"/>
        <v>48342.419999999991</v>
      </c>
      <c r="AS104" s="656">
        <f t="shared" si="503"/>
        <v>511528.98005697993</v>
      </c>
      <c r="AT104" s="340">
        <f t="shared" si="503"/>
        <v>487841.09330600349</v>
      </c>
      <c r="AU104" s="419">
        <f t="shared" si="503"/>
        <v>47462.983475783476</v>
      </c>
      <c r="AV104" s="340">
        <f t="shared" si="503"/>
        <v>44924.468399999998</v>
      </c>
      <c r="AW104" s="656">
        <f t="shared" ref="AW104:BB104" si="505">+AW98+AW103</f>
        <v>558991.96353276353</v>
      </c>
      <c r="AX104" s="340">
        <f t="shared" si="505"/>
        <v>532765.5617060035</v>
      </c>
      <c r="AY104" s="419">
        <f t="shared" si="505"/>
        <v>52548.303133903137</v>
      </c>
      <c r="AZ104" s="340">
        <f t="shared" si="505"/>
        <v>51676.399999999994</v>
      </c>
      <c r="BA104" s="323">
        <f t="shared" si="505"/>
        <v>152559.58974358975</v>
      </c>
      <c r="BB104" s="1374">
        <f t="shared" si="505"/>
        <v>144943.28839999999</v>
      </c>
      <c r="BC104" s="427">
        <f t="shared" si="503"/>
        <v>308509.39259259263</v>
      </c>
      <c r="BD104" s="2201">
        <f t="shared" si="503"/>
        <v>292065.59553645161</v>
      </c>
      <c r="BE104" s="656">
        <f t="shared" si="503"/>
        <v>611540.2666666666</v>
      </c>
      <c r="BF104" s="340">
        <f t="shared" si="503"/>
        <v>584441.96170600364</v>
      </c>
      <c r="BG104" s="1111"/>
      <c r="BH104" s="1111"/>
      <c r="BI104" s="1111"/>
      <c r="BJ104" s="1111"/>
      <c r="BK104" s="1111"/>
      <c r="BL104" s="23"/>
      <c r="BM104" s="23"/>
      <c r="BN104" s="23"/>
    </row>
    <row r="105" spans="1:66" ht="15.75" customHeight="1" thickBot="1" x14ac:dyDescent="0.35">
      <c r="B105" s="1660" t="s">
        <v>1134</v>
      </c>
      <c r="C105" s="1279" t="s">
        <v>50</v>
      </c>
      <c r="D105" s="5165">
        <v>75117.038038884188</v>
      </c>
      <c r="E105" s="5155">
        <v>6269.3491124260345</v>
      </c>
      <c r="F105" s="3755">
        <v>6112.2599999999993</v>
      </c>
      <c r="G105" s="5155">
        <v>6478.327416173569</v>
      </c>
      <c r="H105" s="3755">
        <v>6255.7110000000002</v>
      </c>
      <c r="I105" s="58">
        <f>+E105+G105</f>
        <v>12747.676528599604</v>
      </c>
      <c r="J105" s="58">
        <f>+F105+H105</f>
        <v>12367.971</v>
      </c>
      <c r="K105" s="143"/>
      <c r="L105" s="17">
        <v>5174.6310000000003</v>
      </c>
      <c r="M105" s="68"/>
      <c r="N105" s="65">
        <f>+F105+H105+L105</f>
        <v>17542.601999999999</v>
      </c>
      <c r="O105" s="143"/>
      <c r="P105" s="17">
        <v>4472.4960000000001</v>
      </c>
      <c r="Q105" s="1908"/>
      <c r="R105" s="58">
        <f>+N105+P105</f>
        <v>22015.097999999998</v>
      </c>
      <c r="S105" s="143"/>
      <c r="T105" s="17">
        <v>5741.82</v>
      </c>
      <c r="U105" s="1908"/>
      <c r="V105" s="58">
        <f>+R105+T105</f>
        <v>27756.917999999998</v>
      </c>
      <c r="W105" s="143"/>
      <c r="X105" s="17">
        <v>5556.5999999999985</v>
      </c>
      <c r="Y105" s="5149"/>
      <c r="Z105" s="79">
        <f>+P105+T105+X105</f>
        <v>15770.915999999997</v>
      </c>
      <c r="AA105" s="5150"/>
      <c r="AB105" s="418">
        <f>+N105+Z105</f>
        <v>33313.517999999996</v>
      </c>
      <c r="AC105" s="143"/>
      <c r="AD105" s="17">
        <v>5656.77</v>
      </c>
      <c r="AE105" s="1908"/>
      <c r="AF105" s="58">
        <f>+AB105+AD105</f>
        <v>38970.288</v>
      </c>
      <c r="AG105" s="143"/>
      <c r="AH105" s="17">
        <v>5343.03</v>
      </c>
      <c r="AI105" s="1908"/>
      <c r="AJ105" s="58">
        <f>+AF105+AH105</f>
        <v>44313.317999999999</v>
      </c>
      <c r="AK105" s="143"/>
      <c r="AL105" s="17">
        <v>7007.0103870967732</v>
      </c>
      <c r="AM105" s="5149"/>
      <c r="AN105" s="79">
        <f>+AD105+AH105+AL105</f>
        <v>18006.810387096772</v>
      </c>
      <c r="AO105" s="1908"/>
      <c r="AP105" s="697">
        <f t="shared" ref="AP105" si="506">AJ105+AL105</f>
        <v>51320.328387096772</v>
      </c>
      <c r="AQ105" s="143"/>
      <c r="AR105" s="17">
        <v>7223.579999999999</v>
      </c>
      <c r="AS105" s="1908"/>
      <c r="AT105" s="58">
        <f>+AP105+AR105</f>
        <v>58543.908387096773</v>
      </c>
      <c r="AU105" s="5156"/>
      <c r="AV105" s="17">
        <v>5047.1315999999997</v>
      </c>
      <c r="AW105" s="1908"/>
      <c r="AX105" s="58">
        <f>+AT105+AV105</f>
        <v>63591.039987096774</v>
      </c>
      <c r="AY105" s="5156"/>
      <c r="AZ105" s="17">
        <v>5741.8</v>
      </c>
      <c r="BA105" s="5149"/>
      <c r="BB105" s="79">
        <f>+AR105+AV105+AZ105</f>
        <v>18012.511599999998</v>
      </c>
      <c r="BC105" s="5150"/>
      <c r="BD105" s="2261">
        <f>+AN105+BB105</f>
        <v>36019.321987096773</v>
      </c>
      <c r="BE105" s="1908"/>
      <c r="BF105" s="718">
        <f t="shared" ref="BF105" si="507">AX105+AZ105</f>
        <v>69332.83998709677</v>
      </c>
      <c r="BG105" s="1111"/>
      <c r="BH105" s="1111"/>
      <c r="BI105" s="1111"/>
      <c r="BJ105" s="1111"/>
      <c r="BK105" s="1111"/>
      <c r="BL105" s="23"/>
      <c r="BM105" s="23"/>
      <c r="BN105" s="23"/>
    </row>
    <row r="106" spans="1:66" ht="16.2" thickBot="1" x14ac:dyDescent="0.35">
      <c r="A106" s="136"/>
      <c r="B106" s="1645" t="s">
        <v>11</v>
      </c>
      <c r="C106" s="5171" t="s">
        <v>50</v>
      </c>
      <c r="D106" s="5172">
        <f t="shared" ref="D106:J106" si="508">+D104+D105</f>
        <v>689635.10983375588</v>
      </c>
      <c r="E106" s="5172">
        <f t="shared" si="508"/>
        <v>57557.690992767908</v>
      </c>
      <c r="F106" s="5172">
        <f t="shared" si="508"/>
        <v>55565.999999999993</v>
      </c>
      <c r="G106" s="5172">
        <f t="shared" si="508"/>
        <v>59476.280692526852</v>
      </c>
      <c r="H106" s="5172">
        <f t="shared" si="508"/>
        <v>56870.100000000006</v>
      </c>
      <c r="I106" s="2181">
        <f t="shared" si="508"/>
        <v>117033.97168529476</v>
      </c>
      <c r="J106" s="2181">
        <f t="shared" si="508"/>
        <v>112436.09999999999</v>
      </c>
      <c r="K106" s="419" t="e">
        <f>+K104+#REF!+K105+#REF!</f>
        <v>#REF!</v>
      </c>
      <c r="L106" s="369" t="e">
        <f>+L104+#REF!+L105+#REF!</f>
        <v>#REF!</v>
      </c>
      <c r="M106" s="323" t="e">
        <f>+M104+#REF!+M105+#REF!</f>
        <v>#REF!</v>
      </c>
      <c r="N106" s="63" t="e">
        <f>+N104+#REF!+N105+#REF!</f>
        <v>#REF!</v>
      </c>
      <c r="O106" s="419" t="e">
        <f>+O104+#REF!+O105+#REF!</f>
        <v>#REF!</v>
      </c>
      <c r="P106" s="369" t="e">
        <f>+P104+#REF!+P105+#REF!</f>
        <v>#REF!</v>
      </c>
      <c r="Q106" s="2181" t="e">
        <f>+Q104+#REF!+Q105+#REF!</f>
        <v>#REF!</v>
      </c>
      <c r="R106" s="2181" t="e">
        <f>+R104+#REF!+R105+#REF!</f>
        <v>#REF!</v>
      </c>
      <c r="S106" s="419" t="e">
        <f>+S104+#REF!+S105+#REF!</f>
        <v>#REF!</v>
      </c>
      <c r="T106" s="369" t="e">
        <f>+T104+#REF!+T105+#REF!</f>
        <v>#REF!</v>
      </c>
      <c r="U106" s="2181" t="e">
        <f>+U104+#REF!+U105+#REF!</f>
        <v>#REF!</v>
      </c>
      <c r="V106" s="2181" t="e">
        <f>+V104+#REF!+V105+#REF!</f>
        <v>#REF!</v>
      </c>
      <c r="W106" s="419" t="e">
        <f>+W104+#REF!+W105+#REF!</f>
        <v>#REF!</v>
      </c>
      <c r="X106" s="369" t="e">
        <f>+X104+#REF!+X105+#REF!</f>
        <v>#REF!</v>
      </c>
      <c r="Y106" s="1081" t="e">
        <f>+Y104+#REF!+Y105+#REF!</f>
        <v>#REF!</v>
      </c>
      <c r="Z106" s="1081" t="e">
        <f>+Z104+#REF!+Z105+#REF!</f>
        <v>#REF!</v>
      </c>
      <c r="AA106" s="1082" t="e">
        <f>+AA104+#REF!+AA105+#REF!</f>
        <v>#REF!</v>
      </c>
      <c r="AB106" s="424" t="e">
        <f>+AB104+#REF!+AB105+#REF!</f>
        <v>#REF!</v>
      </c>
      <c r="AC106" s="419" t="e">
        <f>+AC104+#REF!+AC105+#REF!</f>
        <v>#REF!</v>
      </c>
      <c r="AD106" s="369" t="e">
        <f>+AD104+#REF!+AD105+#REF!</f>
        <v>#REF!</v>
      </c>
      <c r="AE106" s="2181" t="e">
        <f>+AE104+#REF!+AE105+#REF!</f>
        <v>#REF!</v>
      </c>
      <c r="AF106" s="369" t="e">
        <f>+AF104+#REF!+AF105+#REF!</f>
        <v>#REF!</v>
      </c>
      <c r="AG106" s="419" t="e">
        <f>+AG104+#REF!+AG105+#REF!</f>
        <v>#REF!</v>
      </c>
      <c r="AH106" s="369" t="e">
        <f>+AH104+#REF!+AH105+#REF!</f>
        <v>#REF!</v>
      </c>
      <c r="AI106" s="2181" t="e">
        <f>+AI104+#REF!+AI105+#REF!</f>
        <v>#REF!</v>
      </c>
      <c r="AJ106" s="369" t="e">
        <f>+AJ104+#REF!+AJ105+#REF!</f>
        <v>#REF!</v>
      </c>
      <c r="AK106" s="419" t="e">
        <f>+AK104+#REF!+AK105+#REF!</f>
        <v>#REF!</v>
      </c>
      <c r="AL106" s="369" t="e">
        <f>+AL104+#REF!+AL105+#REF!</f>
        <v>#REF!</v>
      </c>
      <c r="AM106" s="1081" t="e">
        <f>+AM104+#REF!+AM105+#REF!</f>
        <v>#REF!</v>
      </c>
      <c r="AN106" s="1081" t="e">
        <f>+AN104+#REF!+AN105+#REF!</f>
        <v>#REF!</v>
      </c>
      <c r="AO106" s="2181" t="e">
        <f>+AO104+#REF!+AO105+#REF!</f>
        <v>#REF!</v>
      </c>
      <c r="AP106" s="369" t="e">
        <f>+AP104+#REF!+AP105+#REF!</f>
        <v>#REF!</v>
      </c>
      <c r="AQ106" s="419" t="e">
        <f>+AQ104+#REF!+AQ105+#REF!</f>
        <v>#REF!</v>
      </c>
      <c r="AR106" s="369" t="e">
        <f>+AR104+#REF!+AR105+#REF!</f>
        <v>#REF!</v>
      </c>
      <c r="AS106" s="2181" t="e">
        <f>+AS104+#REF!+AS105+#REF!</f>
        <v>#REF!</v>
      </c>
      <c r="AT106" s="369" t="e">
        <f>+AT104+#REF!+AT105+#REF!</f>
        <v>#REF!</v>
      </c>
      <c r="AU106" s="419" t="e">
        <f>+AU104+#REF!+AU105+#REF!</f>
        <v>#REF!</v>
      </c>
      <c r="AV106" s="369" t="e">
        <f>+AV104+#REF!+AV105+#REF!</f>
        <v>#REF!</v>
      </c>
      <c r="AW106" s="2181" t="e">
        <f>+AW104+#REF!+AW105+#REF!</f>
        <v>#REF!</v>
      </c>
      <c r="AX106" s="369" t="e">
        <f>+AX104+#REF!+AX105+#REF!</f>
        <v>#REF!</v>
      </c>
      <c r="AY106" s="419" t="e">
        <f>+AY104+#REF!+AY105+#REF!</f>
        <v>#REF!</v>
      </c>
      <c r="AZ106" s="369" t="e">
        <f>+AZ104+#REF!+AZ105+#REF!</f>
        <v>#REF!</v>
      </c>
      <c r="BA106" s="1081" t="e">
        <f>+BA104+#REF!+BA105+#REF!</f>
        <v>#REF!</v>
      </c>
      <c r="BB106" s="1081" t="e">
        <f>+BB104+#REF!+BB105+#REF!</f>
        <v>#REF!</v>
      </c>
      <c r="BC106" s="1082" t="e">
        <f>+BC104+#REF!+BC105+#REF!</f>
        <v>#REF!</v>
      </c>
      <c r="BD106" s="424" t="e">
        <f>+BD104+#REF!+BD105+#REF!</f>
        <v>#REF!</v>
      </c>
      <c r="BE106" s="2181" t="e">
        <f>+BE104+#REF!+BE105+#REF!</f>
        <v>#REF!</v>
      </c>
      <c r="BF106" s="369" t="e">
        <f>+BF104+#REF!+BF105+#REF!</f>
        <v>#REF!</v>
      </c>
      <c r="BG106" s="1111"/>
      <c r="BH106" s="1111"/>
      <c r="BI106" s="1111"/>
      <c r="BJ106" s="1111"/>
      <c r="BK106" s="1111"/>
      <c r="BL106" s="23"/>
      <c r="BM106" s="23"/>
      <c r="BN106" s="23"/>
    </row>
    <row r="107" spans="1:66" ht="18.600000000000001" thickBot="1" x14ac:dyDescent="0.35">
      <c r="B107" s="1644" t="s">
        <v>191</v>
      </c>
      <c r="C107" s="1654"/>
      <c r="D107" s="1083"/>
      <c r="E107" s="1208"/>
      <c r="F107" s="1209"/>
      <c r="G107" s="1208"/>
      <c r="H107" s="1209"/>
      <c r="I107" s="494"/>
      <c r="J107" s="494"/>
      <c r="K107" s="1208"/>
      <c r="L107" s="1209"/>
      <c r="M107" s="1208"/>
      <c r="N107" s="1209"/>
      <c r="O107" s="1208"/>
      <c r="P107" s="1209"/>
      <c r="Q107" s="494"/>
      <c r="R107" s="494"/>
      <c r="S107" s="1208"/>
      <c r="T107" s="1209"/>
      <c r="U107" s="494"/>
      <c r="V107" s="494"/>
      <c r="W107" s="1208"/>
      <c r="X107" s="1209"/>
      <c r="Y107" s="494"/>
      <c r="Z107" s="494"/>
      <c r="AA107" s="2154"/>
      <c r="AB107" s="494"/>
      <c r="AC107" s="1208"/>
      <c r="AD107" s="1209"/>
      <c r="AE107" s="494"/>
      <c r="AF107" s="494"/>
      <c r="AG107" s="1208"/>
      <c r="AH107" s="1209"/>
      <c r="AI107" s="494"/>
      <c r="AJ107" s="494"/>
      <c r="AK107" s="1208"/>
      <c r="AL107" s="1209"/>
      <c r="AM107" s="494"/>
      <c r="AN107" s="494"/>
      <c r="AO107" s="494"/>
      <c r="AP107" s="494"/>
      <c r="AQ107" s="1208"/>
      <c r="AR107" s="1209"/>
      <c r="AS107" s="494"/>
      <c r="AT107" s="494"/>
      <c r="AU107" s="1208"/>
      <c r="AV107" s="1209"/>
      <c r="AW107" s="494"/>
      <c r="AX107" s="494"/>
      <c r="AY107" s="1208"/>
      <c r="AZ107" s="1209"/>
      <c r="BA107" s="494"/>
      <c r="BB107" s="494"/>
      <c r="BC107" s="2154"/>
      <c r="BD107" s="494"/>
      <c r="BE107" s="494"/>
      <c r="BF107" s="494"/>
      <c r="BG107" s="1111"/>
      <c r="BH107" s="1111"/>
      <c r="BI107" s="1111"/>
      <c r="BJ107" s="1111"/>
      <c r="BK107" s="1111"/>
      <c r="BL107" s="23"/>
      <c r="BM107" s="23"/>
      <c r="BN107" s="23"/>
    </row>
    <row r="108" spans="1:66" ht="14.25" customHeight="1" x14ac:dyDescent="0.3">
      <c r="B108" s="1586" t="s">
        <v>1904</v>
      </c>
      <c r="C108" s="713" t="s">
        <v>50</v>
      </c>
      <c r="D108" s="415">
        <v>510388.68754074071</v>
      </c>
      <c r="E108" s="337">
        <v>41469.967179487183</v>
      </c>
      <c r="F108" s="83">
        <v>40028.942000000003</v>
      </c>
      <c r="G108" s="337">
        <v>42599.444235897427</v>
      </c>
      <c r="H108" s="83">
        <v>41142.196000000004</v>
      </c>
      <c r="I108" s="1024">
        <f t="shared" ref="I108:J112" si="509">+E108+G108</f>
        <v>84069.411415384617</v>
      </c>
      <c r="J108" s="58">
        <f t="shared" si="509"/>
        <v>81171.138000000006</v>
      </c>
      <c r="K108" s="337">
        <v>50738.871794871797</v>
      </c>
      <c r="L108" s="83">
        <v>45062.68</v>
      </c>
      <c r="M108" s="658">
        <f t="shared" ref="M108:N110" si="510">+E108+G108+K108</f>
        <v>134808.28321025643</v>
      </c>
      <c r="N108" s="69">
        <f t="shared" si="510"/>
        <v>126233.818</v>
      </c>
      <c r="O108" s="337">
        <v>52430.167521367519</v>
      </c>
      <c r="P108" s="83">
        <v>46816.98</v>
      </c>
      <c r="Q108" s="1024">
        <f t="shared" ref="Q108:R110" si="511">+M108+O108</f>
        <v>187238.45073162395</v>
      </c>
      <c r="R108" s="58">
        <f t="shared" si="511"/>
        <v>173050.79800000001</v>
      </c>
      <c r="S108" s="337">
        <v>52430.167521367519</v>
      </c>
      <c r="T108" s="83">
        <v>46588.159</v>
      </c>
      <c r="U108" s="1024">
        <f t="shared" ref="U108:U112" si="512">+Q108+S108</f>
        <v>239668.61825299147</v>
      </c>
      <c r="V108" s="58">
        <f t="shared" ref="V108:V112" si="513">+R108+T108</f>
        <v>219638.95699999999</v>
      </c>
      <c r="W108" s="337">
        <v>48409.025641025641</v>
      </c>
      <c r="X108" s="83">
        <v>45199.972000000002</v>
      </c>
      <c r="Y108" s="698">
        <f t="shared" ref="Y108:Z113" si="514">+O108+S108+W108</f>
        <v>153269.36068376066</v>
      </c>
      <c r="Z108" s="79">
        <f t="shared" si="514"/>
        <v>138605.111</v>
      </c>
      <c r="AA108" s="429">
        <f t="shared" ref="AA108:AB121" si="515">+M108+Y108</f>
        <v>288077.64389401709</v>
      </c>
      <c r="AB108" s="429">
        <f t="shared" si="515"/>
        <v>264838.929</v>
      </c>
      <c r="AC108" s="337">
        <v>52430.167521367519</v>
      </c>
      <c r="AD108" s="83">
        <v>45962.712</v>
      </c>
      <c r="AE108" s="1024">
        <f t="shared" ref="AE108:AE113" si="516">+AA108+AC108</f>
        <v>340507.81141538464</v>
      </c>
      <c r="AF108" s="58">
        <f t="shared" ref="AF108:AF113" si="517">+AB108+AD108</f>
        <v>310801.641</v>
      </c>
      <c r="AG108" s="337">
        <v>50738.871794871797</v>
      </c>
      <c r="AH108" s="83">
        <v>45154.207999999999</v>
      </c>
      <c r="AI108" s="1024">
        <f t="shared" ref="AI108:AI113" si="518">+AE108+AG108</f>
        <v>391246.68321025645</v>
      </c>
      <c r="AJ108" s="58">
        <f t="shared" ref="AJ108:AJ113" si="519">+AF108+AH108</f>
        <v>355955.84899999999</v>
      </c>
      <c r="AK108" s="337">
        <v>52430.167521367519</v>
      </c>
      <c r="AL108" s="83">
        <v>46695.386813186793</v>
      </c>
      <c r="AM108" s="698">
        <f t="shared" ref="AM108:AM113" si="520">+AC108+AG108+AK108</f>
        <v>155599.20683760685</v>
      </c>
      <c r="AN108" s="79">
        <f t="shared" ref="AN108:AN113" si="521">+AD108+AH108+AL108</f>
        <v>137812.30681318679</v>
      </c>
      <c r="AO108" s="697">
        <f t="shared" ref="AO108:AP108" si="522">AI108+AK108</f>
        <v>443676.85073162394</v>
      </c>
      <c r="AP108" s="697">
        <f t="shared" si="522"/>
        <v>402651.23581318679</v>
      </c>
      <c r="AQ108" s="337">
        <v>52430.167521367519</v>
      </c>
      <c r="AR108" s="83">
        <v>46283.063000000002</v>
      </c>
      <c r="AS108" s="1024">
        <f t="shared" ref="AS108:AS113" si="523">+AO108+AQ108</f>
        <v>496107.01825299149</v>
      </c>
      <c r="AT108" s="58">
        <f t="shared" ref="AT108:AT113" si="524">+AP108+AR108</f>
        <v>448934.29881318682</v>
      </c>
      <c r="AU108" s="337">
        <v>47356.280341880338</v>
      </c>
      <c r="AV108" s="83">
        <v>41874.425999999999</v>
      </c>
      <c r="AW108" s="1024">
        <f t="shared" ref="AW108:AW113" si="525">+AS108+AU108</f>
        <v>543463.29859487177</v>
      </c>
      <c r="AX108" s="58">
        <f t="shared" ref="AX108:AX113" si="526">+AT108+AV108</f>
        <v>490808.7248131868</v>
      </c>
      <c r="AY108" s="337">
        <v>52430.167521367519</v>
      </c>
      <c r="AZ108" s="83">
        <v>43795.144</v>
      </c>
      <c r="BA108" s="698">
        <f t="shared" ref="BA108:BA110" si="527">+AQ108+AU108+AY108</f>
        <v>152216.61538461538</v>
      </c>
      <c r="BB108" s="79">
        <f t="shared" ref="BB108:BB110" si="528">+AR108+AV108+AZ108</f>
        <v>131952.633</v>
      </c>
      <c r="BC108" s="2261">
        <f t="shared" ref="BC108:BC113" si="529">+AM108+BA108</f>
        <v>307815.82222222222</v>
      </c>
      <c r="BD108" s="2261">
        <f t="shared" ref="BD108:BD113" si="530">+AN108+BB108</f>
        <v>269764.93981318676</v>
      </c>
      <c r="BE108" s="718">
        <f t="shared" ref="BE108:BE113" si="531">AW108+AY108</f>
        <v>595893.46611623932</v>
      </c>
      <c r="BF108" s="718">
        <f t="shared" ref="BF108:BF113" si="532">AX108+AZ108</f>
        <v>534603.86881318677</v>
      </c>
      <c r="BG108" s="1111"/>
      <c r="BH108" s="1111"/>
      <c r="BI108" s="1111"/>
      <c r="BJ108" s="1111"/>
      <c r="BK108" s="1111"/>
      <c r="BL108" s="23"/>
      <c r="BM108" s="23"/>
      <c r="BN108" s="23"/>
    </row>
    <row r="109" spans="1:66" x14ac:dyDescent="0.3">
      <c r="B109" s="1586" t="s">
        <v>581</v>
      </c>
      <c r="C109" s="713" t="s">
        <v>50</v>
      </c>
      <c r="D109" s="413">
        <v>137215.04916296297</v>
      </c>
      <c r="E109" s="143">
        <v>11148.961025641027</v>
      </c>
      <c r="F109" s="17">
        <v>6025.6459999999997</v>
      </c>
      <c r="G109" s="143">
        <v>11452.614405128203</v>
      </c>
      <c r="H109" s="17"/>
      <c r="I109" s="1024">
        <f t="shared" si="509"/>
        <v>22601.57543076923</v>
      </c>
      <c r="J109" s="58">
        <f t="shared" si="509"/>
        <v>6025.6459999999997</v>
      </c>
      <c r="K109" s="143">
        <v>10570.598290598291</v>
      </c>
      <c r="L109" s="17">
        <v>12289.82</v>
      </c>
      <c r="M109" s="68">
        <f t="shared" si="510"/>
        <v>33172.173721367522</v>
      </c>
      <c r="N109" s="65">
        <f t="shared" si="510"/>
        <v>18315.466</v>
      </c>
      <c r="O109" s="143">
        <v>10922.951566951569</v>
      </c>
      <c r="P109" s="17">
        <v>1716.17</v>
      </c>
      <c r="Q109" s="1024">
        <f t="shared" si="511"/>
        <v>44095.12528831909</v>
      </c>
      <c r="R109" s="58">
        <f t="shared" si="511"/>
        <v>20031.635999999999</v>
      </c>
      <c r="S109" s="143">
        <v>10922.951566951569</v>
      </c>
      <c r="T109" s="17">
        <v>10980.335999999999</v>
      </c>
      <c r="U109" s="1024">
        <f t="shared" si="512"/>
        <v>55018.076855270658</v>
      </c>
      <c r="V109" s="58">
        <f t="shared" si="513"/>
        <v>31011.971999999998</v>
      </c>
      <c r="W109" s="143">
        <v>10085.213675213674</v>
      </c>
      <c r="X109" s="17">
        <v>12327.264999999999</v>
      </c>
      <c r="Y109" s="698">
        <f t="shared" si="514"/>
        <v>31931.116809116815</v>
      </c>
      <c r="Z109" s="79">
        <f t="shared" si="514"/>
        <v>25023.771000000001</v>
      </c>
      <c r="AA109" s="429">
        <f t="shared" si="515"/>
        <v>65103.290530484337</v>
      </c>
      <c r="AB109" s="429">
        <f t="shared" si="515"/>
        <v>43339.237000000001</v>
      </c>
      <c r="AC109" s="143">
        <v>10922.951566951569</v>
      </c>
      <c r="AD109" s="17">
        <v>11642.186</v>
      </c>
      <c r="AE109" s="1024">
        <f t="shared" si="516"/>
        <v>76026.242097435912</v>
      </c>
      <c r="AF109" s="58">
        <f t="shared" si="517"/>
        <v>54981.423000000003</v>
      </c>
      <c r="AG109" s="143">
        <v>10570.598290598291</v>
      </c>
      <c r="AH109" s="17">
        <v>12314.784</v>
      </c>
      <c r="AI109" s="1024">
        <f t="shared" si="518"/>
        <v>86596.840388034208</v>
      </c>
      <c r="AJ109" s="58">
        <f t="shared" si="519"/>
        <v>67296.206999999995</v>
      </c>
      <c r="AK109" s="143">
        <v>10922.951566951569</v>
      </c>
      <c r="AL109" s="17">
        <v>403.56263736263736</v>
      </c>
      <c r="AM109" s="698">
        <f t="shared" si="520"/>
        <v>32416.501424501432</v>
      </c>
      <c r="AN109" s="79">
        <f t="shared" si="521"/>
        <v>24360.532637362638</v>
      </c>
      <c r="AO109" s="697">
        <f t="shared" ref="AO109:AP116" si="533">AI109+AK109</f>
        <v>97519.791954985776</v>
      </c>
      <c r="AP109" s="697">
        <f t="shared" ref="AP109:AP113" si="534">AJ109+AL109</f>
        <v>67699.769637362639</v>
      </c>
      <c r="AQ109" s="143">
        <v>10922.951566951569</v>
      </c>
      <c r="AR109" s="17"/>
      <c r="AS109" s="1024">
        <f t="shared" si="523"/>
        <v>108442.74352193734</v>
      </c>
      <c r="AT109" s="58">
        <f t="shared" si="524"/>
        <v>67699.769637362639</v>
      </c>
      <c r="AU109" s="143">
        <v>9865.8917378917376</v>
      </c>
      <c r="AV109" s="17"/>
      <c r="AW109" s="1024">
        <f t="shared" si="525"/>
        <v>118308.63525982908</v>
      </c>
      <c r="AX109" s="58">
        <f t="shared" si="526"/>
        <v>67699.769637362639</v>
      </c>
      <c r="AY109" s="143">
        <v>10922.951566951569</v>
      </c>
      <c r="AZ109" s="17"/>
      <c r="BA109" s="698">
        <f t="shared" si="527"/>
        <v>31711.794871794875</v>
      </c>
      <c r="BB109" s="79">
        <f t="shared" si="528"/>
        <v>0</v>
      </c>
      <c r="BC109" s="2261">
        <f t="shared" si="529"/>
        <v>64128.296296296307</v>
      </c>
      <c r="BD109" s="2261">
        <f t="shared" si="530"/>
        <v>24360.532637362638</v>
      </c>
      <c r="BE109" s="718">
        <f t="shared" si="531"/>
        <v>129231.58682678065</v>
      </c>
      <c r="BF109" s="718">
        <f t="shared" si="532"/>
        <v>67699.769637362639</v>
      </c>
      <c r="BG109" s="1111"/>
      <c r="BH109" s="1111"/>
      <c r="BI109" s="1111"/>
      <c r="BJ109" s="1111"/>
      <c r="BK109" s="1111"/>
      <c r="BL109" s="23"/>
      <c r="BM109" s="23"/>
      <c r="BN109" s="23"/>
    </row>
    <row r="110" spans="1:66" x14ac:dyDescent="0.3">
      <c r="B110" s="1586" t="s">
        <v>2218</v>
      </c>
      <c r="C110" s="713" t="s">
        <v>50</v>
      </c>
      <c r="D110" s="413">
        <v>19235.754555555555</v>
      </c>
      <c r="E110" s="143">
        <v>1562.9384615384618</v>
      </c>
      <c r="F110" s="17"/>
      <c r="G110" s="143">
        <v>1605.506692307692</v>
      </c>
      <c r="H110" s="17"/>
      <c r="I110" s="1024">
        <f t="shared" si="509"/>
        <v>3168.4451538461535</v>
      </c>
      <c r="J110" s="58">
        <f t="shared" si="509"/>
        <v>0</v>
      </c>
      <c r="K110" s="143">
        <v>2642.6495726495727</v>
      </c>
      <c r="L110" s="17"/>
      <c r="M110" s="68">
        <f t="shared" si="510"/>
        <v>5811.0947264957267</v>
      </c>
      <c r="N110" s="65">
        <f t="shared" si="510"/>
        <v>0</v>
      </c>
      <c r="O110" s="143">
        <v>2730.7378917378924</v>
      </c>
      <c r="P110" s="17">
        <v>14415.79</v>
      </c>
      <c r="Q110" s="1024">
        <f t="shared" si="511"/>
        <v>8541.8326182336186</v>
      </c>
      <c r="R110" s="58">
        <f t="shared" si="511"/>
        <v>14415.79</v>
      </c>
      <c r="S110" s="143">
        <v>2730.7378917378924</v>
      </c>
      <c r="T110" s="17">
        <v>8705.6370000000006</v>
      </c>
      <c r="U110" s="1024">
        <f t="shared" si="512"/>
        <v>11272.570509971511</v>
      </c>
      <c r="V110" s="58">
        <f t="shared" si="513"/>
        <v>23121.427000000003</v>
      </c>
      <c r="W110" s="143">
        <v>2521.3034188034185</v>
      </c>
      <c r="X110" s="17">
        <v>15409.082</v>
      </c>
      <c r="Y110" s="698">
        <f t="shared" si="514"/>
        <v>7982.7792022792037</v>
      </c>
      <c r="Z110" s="79">
        <f t="shared" si="514"/>
        <v>38530.509000000005</v>
      </c>
      <c r="AA110" s="429">
        <f t="shared" si="515"/>
        <v>13793.87392877493</v>
      </c>
      <c r="AB110" s="429">
        <f t="shared" si="515"/>
        <v>38530.509000000005</v>
      </c>
      <c r="AC110" s="143">
        <v>2730.7378917378924</v>
      </c>
      <c r="AD110" s="17">
        <v>15413.934999999999</v>
      </c>
      <c r="AE110" s="1024">
        <f t="shared" si="516"/>
        <v>16524.611820512822</v>
      </c>
      <c r="AF110" s="58">
        <f t="shared" si="517"/>
        <v>53944.444000000003</v>
      </c>
      <c r="AG110" s="143">
        <v>2642.6495726495727</v>
      </c>
      <c r="AH110" s="17">
        <v>10276.188</v>
      </c>
      <c r="AI110" s="1024">
        <f t="shared" si="518"/>
        <v>19167.261393162396</v>
      </c>
      <c r="AJ110" s="58">
        <f t="shared" si="519"/>
        <v>64220.632000000005</v>
      </c>
      <c r="AK110" s="143">
        <v>2730.7378917378924</v>
      </c>
      <c r="AL110" s="17"/>
      <c r="AM110" s="698">
        <f t="shared" si="520"/>
        <v>8104.1253561253579</v>
      </c>
      <c r="AN110" s="79">
        <f t="shared" si="521"/>
        <v>25690.123</v>
      </c>
      <c r="AO110" s="697">
        <f t="shared" si="533"/>
        <v>21897.999284900288</v>
      </c>
      <c r="AP110" s="697">
        <f t="shared" si="534"/>
        <v>64220.632000000005</v>
      </c>
      <c r="AQ110" s="143">
        <v>2730.7378917378924</v>
      </c>
      <c r="AR110" s="17">
        <v>11175.875</v>
      </c>
      <c r="AS110" s="1024">
        <f t="shared" si="523"/>
        <v>24628.73717663818</v>
      </c>
      <c r="AT110" s="58">
        <f t="shared" si="524"/>
        <v>75396.507000000012</v>
      </c>
      <c r="AU110" s="143">
        <v>2466.4729344729344</v>
      </c>
      <c r="AV110" s="17">
        <v>9662.5290000000005</v>
      </c>
      <c r="AW110" s="1024">
        <f t="shared" si="525"/>
        <v>27095.210111111115</v>
      </c>
      <c r="AX110" s="58">
        <f t="shared" si="526"/>
        <v>85059.036000000007</v>
      </c>
      <c r="AY110" s="143">
        <v>2730.7378917378924</v>
      </c>
      <c r="AZ110" s="17"/>
      <c r="BA110" s="698">
        <f t="shared" si="527"/>
        <v>7927.9487179487187</v>
      </c>
      <c r="BB110" s="79">
        <f t="shared" si="528"/>
        <v>20838.404000000002</v>
      </c>
      <c r="BC110" s="2261">
        <f t="shared" si="529"/>
        <v>16032.074074074077</v>
      </c>
      <c r="BD110" s="2261">
        <f t="shared" si="530"/>
        <v>46528.527000000002</v>
      </c>
      <c r="BE110" s="718">
        <f t="shared" si="531"/>
        <v>29825.948002849007</v>
      </c>
      <c r="BF110" s="718">
        <f t="shared" si="532"/>
        <v>85059.036000000007</v>
      </c>
      <c r="BG110" s="1111"/>
      <c r="BH110" s="1111"/>
      <c r="BI110" s="1111"/>
      <c r="BJ110" s="1111"/>
      <c r="BK110" s="1111"/>
      <c r="BL110" s="23"/>
      <c r="BM110" s="23"/>
      <c r="BN110" s="23"/>
    </row>
    <row r="111" spans="1:66" x14ac:dyDescent="0.3">
      <c r="B111" s="4010" t="s">
        <v>10</v>
      </c>
      <c r="C111" s="4011" t="s">
        <v>50</v>
      </c>
      <c r="D111" s="4012">
        <v>64119.181851851856</v>
      </c>
      <c r="E111" s="1200">
        <v>5209.7948717948721</v>
      </c>
      <c r="F111" s="3755">
        <v>4307.7479999999996</v>
      </c>
      <c r="G111" s="1200">
        <v>5351.6889743589745</v>
      </c>
      <c r="H111" s="3755">
        <v>7047.7179999999998</v>
      </c>
      <c r="I111" s="1024">
        <f t="shared" ref="I111" si="535">+E111+G111</f>
        <v>10561.483846153846</v>
      </c>
      <c r="J111" s="58">
        <f t="shared" ref="J111" si="536">+F111+H111</f>
        <v>11355.466</v>
      </c>
      <c r="K111" s="1200">
        <v>2642.6495726495727</v>
      </c>
      <c r="L111" s="3755"/>
      <c r="M111" s="68">
        <f t="shared" ref="M111" si="537">+E111+G111+K111</f>
        <v>13204.133418803418</v>
      </c>
      <c r="N111" s="65">
        <f t="shared" ref="N111" si="538">+F111+H111+L111</f>
        <v>11355.466</v>
      </c>
      <c r="O111" s="1200">
        <v>2730.7378917378924</v>
      </c>
      <c r="P111" s="3755">
        <v>10708.87</v>
      </c>
      <c r="Q111" s="1024">
        <f t="shared" ref="Q111" si="539">+M111+O111</f>
        <v>15934.87131054131</v>
      </c>
      <c r="R111" s="58">
        <f t="shared" ref="R111" si="540">+N111+P111</f>
        <v>22064.336000000003</v>
      </c>
      <c r="S111" s="1200">
        <v>2730.7378917378924</v>
      </c>
      <c r="T111" s="3755">
        <v>1210.6759999999999</v>
      </c>
      <c r="U111" s="1024">
        <f t="shared" ref="U111" si="541">+Q111+S111</f>
        <v>18665.609202279204</v>
      </c>
      <c r="V111" s="58">
        <f t="shared" ref="V111" si="542">+R111+T111</f>
        <v>23275.012000000002</v>
      </c>
      <c r="W111" s="1200">
        <v>2521.3034188034185</v>
      </c>
      <c r="X111" s="3755"/>
      <c r="Y111" s="698">
        <f t="shared" ref="Y111" si="543">+O111+S111+W111</f>
        <v>7982.7792022792037</v>
      </c>
      <c r="Z111" s="79">
        <f t="shared" ref="Z111" si="544">+P111+T111+X111</f>
        <v>11919.546</v>
      </c>
      <c r="AA111" s="429">
        <f t="shared" ref="AA111" si="545">+M111+Y111</f>
        <v>21186.912621082622</v>
      </c>
      <c r="AB111" s="429">
        <f t="shared" ref="AB111" si="546">+N111+Z111</f>
        <v>23275.012000000002</v>
      </c>
      <c r="AC111" s="1200">
        <v>2730.7378917378924</v>
      </c>
      <c r="AD111" s="3755"/>
      <c r="AE111" s="1024">
        <f t="shared" ref="AE111" si="547">+AA111+AC111</f>
        <v>23917.650512820514</v>
      </c>
      <c r="AF111" s="58">
        <f t="shared" ref="AF111" si="548">+AB111+AD111</f>
        <v>23275.012000000002</v>
      </c>
      <c r="AG111" s="1200">
        <v>2642.6495726495727</v>
      </c>
      <c r="AH111" s="3755"/>
      <c r="AI111" s="1024">
        <f t="shared" ref="AI111" si="549">+AE111+AG111</f>
        <v>26560.300085470088</v>
      </c>
      <c r="AJ111" s="58">
        <f t="shared" ref="AJ111" si="550">+AF111+AH111</f>
        <v>23275.012000000002</v>
      </c>
      <c r="AK111" s="1200">
        <v>2730.7378917378924</v>
      </c>
      <c r="AL111" s="3755">
        <v>12331.542857142855</v>
      </c>
      <c r="AM111" s="698">
        <f t="shared" ref="AM111" si="551">+AC111+AG111+AK111</f>
        <v>8104.1253561253579</v>
      </c>
      <c r="AN111" s="79">
        <f t="shared" ref="AN111" si="552">+AD111+AH111+AL111</f>
        <v>12331.542857142855</v>
      </c>
      <c r="AO111" s="697">
        <f t="shared" ref="AO111" si="553">AI111+AK111</f>
        <v>29291.03797720798</v>
      </c>
      <c r="AP111" s="697">
        <f t="shared" ref="AP111" si="554">AJ111+AL111</f>
        <v>35606.554857142859</v>
      </c>
      <c r="AQ111" s="1200">
        <v>2730.7378917378924</v>
      </c>
      <c r="AR111" s="3755">
        <v>11570.766</v>
      </c>
      <c r="AS111" s="1024">
        <f t="shared" ref="AS111" si="555">+AO111+AQ111</f>
        <v>32021.775868945871</v>
      </c>
      <c r="AT111" s="58">
        <f t="shared" ref="AT111" si="556">+AP111+AR111</f>
        <v>47177.320857142855</v>
      </c>
      <c r="AU111" s="143">
        <v>2466.4729344729344</v>
      </c>
      <c r="AV111" s="3755">
        <v>10776.129000000001</v>
      </c>
      <c r="AW111" s="1024">
        <f t="shared" ref="AW111" si="557">+AS111+AU111</f>
        <v>34488.248803418806</v>
      </c>
      <c r="AX111" s="58">
        <f t="shared" ref="AX111" si="558">+AT111+AV111</f>
        <v>57953.449857142856</v>
      </c>
      <c r="AY111" s="143">
        <v>2730.7378917378924</v>
      </c>
      <c r="AZ111" s="3755">
        <v>15595.953</v>
      </c>
      <c r="BA111" s="698">
        <f t="shared" ref="BA111" si="559">+AQ111+AU111+AY111</f>
        <v>7927.9487179487187</v>
      </c>
      <c r="BB111" s="79">
        <f t="shared" ref="BB111" si="560">+AR111+AV111+AZ111</f>
        <v>37942.847999999998</v>
      </c>
      <c r="BC111" s="2261">
        <f t="shared" ref="BC111" si="561">+AM111+BA111</f>
        <v>16032.074074074077</v>
      </c>
      <c r="BD111" s="2261">
        <f t="shared" ref="BD111" si="562">+AN111+BB111</f>
        <v>50274.390857142855</v>
      </c>
      <c r="BE111" s="718">
        <f t="shared" ref="BE111" si="563">AW111+AY111</f>
        <v>37218.986695156702</v>
      </c>
      <c r="BF111" s="718">
        <f t="shared" ref="BF111" si="564">AX111+AZ111</f>
        <v>73549.40285714285</v>
      </c>
      <c r="BG111" s="1111"/>
      <c r="BH111" s="1111"/>
      <c r="BI111" s="1111"/>
      <c r="BJ111" s="1111"/>
      <c r="BK111" s="1111"/>
      <c r="BL111" s="23"/>
      <c r="BM111" s="23"/>
      <c r="BN111" s="23"/>
    </row>
    <row r="112" spans="1:66" x14ac:dyDescent="0.3">
      <c r="B112" s="1586" t="s">
        <v>1905</v>
      </c>
      <c r="C112" s="713" t="s">
        <v>50</v>
      </c>
      <c r="D112" s="1045">
        <v>76943.018222222221</v>
      </c>
      <c r="E112" s="1200">
        <v>6251.753846153847</v>
      </c>
      <c r="F112" s="116">
        <v>12688.527</v>
      </c>
      <c r="G112" s="1200">
        <v>6422.026769230768</v>
      </c>
      <c r="H112" s="116">
        <v>9113.01</v>
      </c>
      <c r="I112" s="1024">
        <f t="shared" si="509"/>
        <v>12673.780615384614</v>
      </c>
      <c r="J112" s="58">
        <f t="shared" si="509"/>
        <v>21801.537</v>
      </c>
      <c r="K112" s="1200"/>
      <c r="L112" s="116"/>
      <c r="M112" s="68">
        <f t="shared" ref="M112" si="565">+E112+G112+K112</f>
        <v>12673.780615384614</v>
      </c>
      <c r="N112" s="65">
        <f t="shared" ref="N112" si="566">+F112+H112+L112</f>
        <v>21801.537</v>
      </c>
      <c r="O112" s="1200"/>
      <c r="P112" s="116">
        <v>343.23</v>
      </c>
      <c r="Q112" s="1024">
        <f t="shared" ref="Q112" si="567">+M112+O112</f>
        <v>12673.780615384614</v>
      </c>
      <c r="R112" s="58">
        <f t="shared" ref="R112" si="568">+N112+P112</f>
        <v>22144.767</v>
      </c>
      <c r="S112" s="1200"/>
      <c r="T112" s="116">
        <v>514.85</v>
      </c>
      <c r="U112" s="1024">
        <f t="shared" si="512"/>
        <v>12673.780615384614</v>
      </c>
      <c r="V112" s="58">
        <f t="shared" si="513"/>
        <v>22659.616999999998</v>
      </c>
      <c r="W112" s="1200"/>
      <c r="X112" s="116"/>
      <c r="Y112" s="698">
        <f t="shared" si="514"/>
        <v>0</v>
      </c>
      <c r="Z112" s="79">
        <f t="shared" si="514"/>
        <v>858.08</v>
      </c>
      <c r="AA112" s="429">
        <f t="shared" si="515"/>
        <v>12673.780615384614</v>
      </c>
      <c r="AB112" s="429">
        <f t="shared" si="515"/>
        <v>22659.617000000002</v>
      </c>
      <c r="AC112" s="1200"/>
      <c r="AD112" s="116">
        <v>1020.6849999999999</v>
      </c>
      <c r="AE112" s="1024">
        <f t="shared" si="516"/>
        <v>12673.780615384614</v>
      </c>
      <c r="AF112" s="58">
        <f t="shared" si="517"/>
        <v>23680.302000000003</v>
      </c>
      <c r="AG112" s="1200"/>
      <c r="AH112" s="116"/>
      <c r="AI112" s="1024">
        <f t="shared" si="518"/>
        <v>12673.780615384614</v>
      </c>
      <c r="AJ112" s="58">
        <f t="shared" si="519"/>
        <v>23680.302000000003</v>
      </c>
      <c r="AK112" s="1200"/>
      <c r="AL112" s="116"/>
      <c r="AM112" s="698">
        <f t="shared" si="520"/>
        <v>0</v>
      </c>
      <c r="AN112" s="79">
        <f t="shared" si="521"/>
        <v>1020.6849999999999</v>
      </c>
      <c r="AO112" s="697">
        <f t="shared" si="533"/>
        <v>12673.780615384614</v>
      </c>
      <c r="AP112" s="697">
        <f t="shared" si="534"/>
        <v>23680.302000000003</v>
      </c>
      <c r="AQ112" s="1200"/>
      <c r="AR112" s="116"/>
      <c r="AS112" s="1024">
        <f t="shared" si="523"/>
        <v>12673.780615384614</v>
      </c>
      <c r="AT112" s="58">
        <f t="shared" si="524"/>
        <v>23680.302000000003</v>
      </c>
      <c r="AU112" s="1200"/>
      <c r="AV112" s="116"/>
      <c r="AW112" s="1024">
        <f t="shared" si="525"/>
        <v>12673.780615384614</v>
      </c>
      <c r="AX112" s="58">
        <f t="shared" si="526"/>
        <v>23680.302000000003</v>
      </c>
      <c r="AY112" s="1200">
        <v>0</v>
      </c>
      <c r="AZ112" s="116"/>
      <c r="BA112" s="698">
        <f t="shared" ref="BA112:BA113" si="569">+AQ112+AU112+AY112</f>
        <v>0</v>
      </c>
      <c r="BB112" s="79">
        <f t="shared" ref="BB112:BB113" si="570">+AR112+AV112+AZ112</f>
        <v>0</v>
      </c>
      <c r="BC112" s="2261">
        <f t="shared" si="529"/>
        <v>0</v>
      </c>
      <c r="BD112" s="2261">
        <f t="shared" si="530"/>
        <v>1020.6849999999999</v>
      </c>
      <c r="BE112" s="718">
        <f t="shared" si="531"/>
        <v>12673.780615384614</v>
      </c>
      <c r="BF112" s="718">
        <f t="shared" si="532"/>
        <v>23680.302000000003</v>
      </c>
      <c r="BG112" s="1111"/>
      <c r="BH112" s="1111"/>
      <c r="BI112" s="1111"/>
      <c r="BJ112" s="1111"/>
      <c r="BK112" s="1111"/>
      <c r="BL112" s="23"/>
      <c r="BM112" s="23"/>
      <c r="BN112" s="23"/>
    </row>
    <row r="113" spans="2:70" ht="15" thickBot="1" x14ac:dyDescent="0.35">
      <c r="B113" s="5303" t="s">
        <v>1906</v>
      </c>
      <c r="C113" s="5304" t="s">
        <v>50</v>
      </c>
      <c r="D113" s="4012">
        <v>89766.854592592586</v>
      </c>
      <c r="E113" s="1200">
        <v>7293.7128205128201</v>
      </c>
      <c r="F113" s="3755">
        <v>8615.4950000000008</v>
      </c>
      <c r="G113" s="1200">
        <v>7492.3645641025641</v>
      </c>
      <c r="H113" s="3755">
        <v>12219.094999999999</v>
      </c>
      <c r="I113" s="1520">
        <f>+E113+G113</f>
        <v>14786.077384615384</v>
      </c>
      <c r="J113" s="493">
        <f>+F113+H113</f>
        <v>20834.59</v>
      </c>
      <c r="K113" s="665">
        <v>9513.538461538461</v>
      </c>
      <c r="L113" s="34">
        <v>15362.28</v>
      </c>
      <c r="M113" s="1410">
        <f>+E113+G113+K113</f>
        <v>24299.615846153843</v>
      </c>
      <c r="N113" s="70">
        <f>+F113+H113+L113</f>
        <v>36196.870000000003</v>
      </c>
      <c r="O113" s="665">
        <v>9830.6564102564116</v>
      </c>
      <c r="P113" s="34">
        <v>1544.55</v>
      </c>
      <c r="Q113" s="1024">
        <f>+M113+O113</f>
        <v>34130.272256410259</v>
      </c>
      <c r="R113" s="58">
        <f>+N113+P113</f>
        <v>37741.420000000006</v>
      </c>
      <c r="S113" s="665">
        <v>9830.6564102564116</v>
      </c>
      <c r="T113" s="34">
        <v>7176.69</v>
      </c>
      <c r="U113" s="1024">
        <f>+Q113+S113</f>
        <v>43960.928666666674</v>
      </c>
      <c r="V113" s="58">
        <f>+R113+T113</f>
        <v>44918.110000000008</v>
      </c>
      <c r="W113" s="665">
        <v>9076.6923076923067</v>
      </c>
      <c r="X113" s="34"/>
      <c r="Y113" s="698">
        <f t="shared" si="514"/>
        <v>28738.005128205128</v>
      </c>
      <c r="Z113" s="79">
        <f t="shared" si="514"/>
        <v>8721.24</v>
      </c>
      <c r="AA113" s="429">
        <f t="shared" si="515"/>
        <v>53037.620974358972</v>
      </c>
      <c r="AB113" s="429">
        <f t="shared" si="515"/>
        <v>44918.11</v>
      </c>
      <c r="AC113" s="665">
        <v>9830.6564102564116</v>
      </c>
      <c r="AD113" s="34"/>
      <c r="AE113" s="1024">
        <f t="shared" si="516"/>
        <v>62868.277384615387</v>
      </c>
      <c r="AF113" s="58">
        <f t="shared" si="517"/>
        <v>44918.11</v>
      </c>
      <c r="AG113" s="665">
        <v>9513.538461538461</v>
      </c>
      <c r="AH113" s="34">
        <v>5117.2920000000004</v>
      </c>
      <c r="AI113" s="1024">
        <f t="shared" si="518"/>
        <v>72381.815846153855</v>
      </c>
      <c r="AJ113" s="58">
        <f t="shared" si="519"/>
        <v>50035.402000000002</v>
      </c>
      <c r="AK113" s="665">
        <v>9830.6564102564116</v>
      </c>
      <c r="AL113" s="34">
        <v>15918.881868131873</v>
      </c>
      <c r="AM113" s="698">
        <f t="shared" si="520"/>
        <v>29174.851282051284</v>
      </c>
      <c r="AN113" s="79">
        <f t="shared" si="521"/>
        <v>21036.173868131875</v>
      </c>
      <c r="AO113" s="697">
        <f t="shared" si="533"/>
        <v>82212.47225641027</v>
      </c>
      <c r="AP113" s="697">
        <f t="shared" si="534"/>
        <v>65954.283868131868</v>
      </c>
      <c r="AQ113" s="665">
        <v>9830.6564102564116</v>
      </c>
      <c r="AR113" s="34">
        <v>4602.4430000000002</v>
      </c>
      <c r="AS113" s="1024">
        <f t="shared" si="523"/>
        <v>92043.128666666686</v>
      </c>
      <c r="AT113" s="58">
        <f t="shared" si="524"/>
        <v>70556.726868131867</v>
      </c>
      <c r="AU113" s="665">
        <v>8879.3025641025633</v>
      </c>
      <c r="AV113" s="34">
        <v>4305.3209999999999</v>
      </c>
      <c r="AW113" s="1024">
        <f t="shared" si="525"/>
        <v>100922.43123076925</v>
      </c>
      <c r="AX113" s="58">
        <f t="shared" si="526"/>
        <v>74862.047868131864</v>
      </c>
      <c r="AY113" s="665">
        <v>9830.6564102564116</v>
      </c>
      <c r="AZ113" s="34">
        <v>14847.773999999999</v>
      </c>
      <c r="BA113" s="698">
        <f t="shared" si="569"/>
        <v>28540.615384615387</v>
      </c>
      <c r="BB113" s="79">
        <f t="shared" si="570"/>
        <v>23755.538</v>
      </c>
      <c r="BC113" s="2261">
        <f t="shared" si="529"/>
        <v>57715.466666666674</v>
      </c>
      <c r="BD113" s="2261">
        <f t="shared" si="530"/>
        <v>44791.711868131875</v>
      </c>
      <c r="BE113" s="718">
        <f t="shared" si="531"/>
        <v>110753.08764102566</v>
      </c>
      <c r="BF113" s="718">
        <f t="shared" si="532"/>
        <v>89709.821868131869</v>
      </c>
      <c r="BG113" s="1111"/>
      <c r="BH113" s="1111"/>
      <c r="BI113" s="1111"/>
      <c r="BJ113" s="1111"/>
      <c r="BK113" s="1111"/>
      <c r="BL113" s="23"/>
      <c r="BM113" s="23"/>
      <c r="BN113" s="23"/>
    </row>
    <row r="114" spans="2:70" ht="15" thickBot="1" x14ac:dyDescent="0.35">
      <c r="B114" s="1661" t="s">
        <v>1222</v>
      </c>
      <c r="C114" s="5304" t="s">
        <v>50</v>
      </c>
      <c r="D114" s="4044"/>
      <c r="E114" s="4044"/>
      <c r="F114" s="4795"/>
      <c r="G114" s="4044"/>
      <c r="H114" s="4795">
        <v>955.15899999999999</v>
      </c>
      <c r="I114" s="4045"/>
      <c r="J114" s="4045"/>
      <c r="K114" s="5297"/>
      <c r="L114" s="5299"/>
      <c r="M114" s="5301"/>
      <c r="N114" s="5302"/>
      <c r="O114" s="5298"/>
      <c r="P114" s="5299"/>
      <c r="Q114" s="4935"/>
      <c r="R114" s="5300"/>
      <c r="S114" s="5298"/>
      <c r="T114" s="5299"/>
      <c r="U114" s="4935"/>
      <c r="V114" s="5300"/>
      <c r="W114" s="5298"/>
      <c r="X114" s="5299"/>
      <c r="Y114" s="716"/>
      <c r="Z114" s="1441"/>
      <c r="AA114" s="5072"/>
      <c r="AB114" s="5072"/>
      <c r="AC114" s="5298"/>
      <c r="AD114" s="5299"/>
      <c r="AE114" s="4935"/>
      <c r="AF114" s="5300"/>
      <c r="AG114" s="5298"/>
      <c r="AH114" s="5299"/>
      <c r="AI114" s="4935"/>
      <c r="AJ114" s="5300"/>
      <c r="AK114" s="5298"/>
      <c r="AL114" s="5299"/>
      <c r="AM114" s="716"/>
      <c r="AN114" s="1441"/>
      <c r="AO114" s="1297"/>
      <c r="AP114" s="1297"/>
      <c r="AQ114" s="5298"/>
      <c r="AR114" s="5299"/>
      <c r="AS114" s="4935"/>
      <c r="AT114" s="5300"/>
      <c r="AU114" s="5298"/>
      <c r="AV114" s="5299"/>
      <c r="AW114" s="4935"/>
      <c r="AX114" s="5300"/>
      <c r="AY114" s="5298"/>
      <c r="AZ114" s="5299"/>
      <c r="BA114" s="716"/>
      <c r="BB114" s="1441"/>
      <c r="BC114" s="5072"/>
      <c r="BD114" s="5072"/>
      <c r="BE114" s="4935"/>
      <c r="BF114" s="4935"/>
      <c r="BG114" s="1111"/>
      <c r="BH114" s="1111"/>
      <c r="BI114" s="1111"/>
      <c r="BJ114" s="1111"/>
      <c r="BK114" s="1111"/>
      <c r="BL114" s="23"/>
      <c r="BM114" s="23"/>
      <c r="BN114" s="23"/>
    </row>
    <row r="115" spans="2:70" ht="16.2" thickBot="1" x14ac:dyDescent="0.35">
      <c r="B115" s="5306" t="s">
        <v>13</v>
      </c>
      <c r="C115" s="5307" t="s">
        <v>50</v>
      </c>
      <c r="D115" s="127">
        <f t="shared" ref="D115:AX115" si="571">SUM(D108:D113)</f>
        <v>897668.54592592584</v>
      </c>
      <c r="E115" s="711">
        <f t="shared" si="571"/>
        <v>72937.128205128218</v>
      </c>
      <c r="F115" s="711">
        <f>SUM(F108:F114)</f>
        <v>71666.358000000007</v>
      </c>
      <c r="G115" s="711">
        <f t="shared" ref="G115" si="572">SUM(G108:G113)</f>
        <v>74923.645641025621</v>
      </c>
      <c r="H115" s="711">
        <f>SUM(H108:H114)</f>
        <v>70477.178</v>
      </c>
      <c r="I115" s="711">
        <f t="shared" si="571"/>
        <v>147860.77384615384</v>
      </c>
      <c r="J115" s="711">
        <f t="shared" si="571"/>
        <v>141188.37700000001</v>
      </c>
      <c r="K115" s="1077">
        <f t="shared" ref="K115:L115" si="573">SUM(K108:K113)</f>
        <v>76108.307692307688</v>
      </c>
      <c r="L115" s="1077">
        <f t="shared" si="573"/>
        <v>72714.78</v>
      </c>
      <c r="M115" s="1447">
        <f t="shared" si="571"/>
        <v>223969.08153846156</v>
      </c>
      <c r="N115" s="1447">
        <f t="shared" si="571"/>
        <v>213903.15700000001</v>
      </c>
      <c r="O115" s="1077">
        <f t="shared" ref="O115:P115" si="574">SUM(O108:O113)</f>
        <v>78645.251282051293</v>
      </c>
      <c r="P115" s="1077">
        <f t="shared" si="574"/>
        <v>75545.59</v>
      </c>
      <c r="Q115" s="711">
        <f t="shared" si="571"/>
        <v>302614.33282051288</v>
      </c>
      <c r="R115" s="711">
        <f t="shared" si="571"/>
        <v>289448.74700000003</v>
      </c>
      <c r="S115" s="1077">
        <f t="shared" ref="S115:T115" si="575">SUM(S108:S113)</f>
        <v>78645.251282051293</v>
      </c>
      <c r="T115" s="1077">
        <f t="shared" si="575"/>
        <v>75176.348000000013</v>
      </c>
      <c r="U115" s="711">
        <f t="shared" si="571"/>
        <v>381259.58410256414</v>
      </c>
      <c r="V115" s="711">
        <f t="shared" si="571"/>
        <v>364625.09499999997</v>
      </c>
      <c r="W115" s="1077">
        <f t="shared" ref="W115:X115" si="576">SUM(W108:W113)</f>
        <v>72613.538461538468</v>
      </c>
      <c r="X115" s="1077">
        <f t="shared" si="576"/>
        <v>72936.319000000003</v>
      </c>
      <c r="Y115" s="1446">
        <f t="shared" si="571"/>
        <v>229904.04102564103</v>
      </c>
      <c r="Z115" s="1446">
        <f t="shared" si="571"/>
        <v>223658.25699999998</v>
      </c>
      <c r="AA115" s="2202">
        <f t="shared" si="571"/>
        <v>453873.12256410258</v>
      </c>
      <c r="AB115" s="2200">
        <f t="shared" si="571"/>
        <v>437561.41400000005</v>
      </c>
      <c r="AC115" s="1077">
        <f t="shared" ref="AC115:AD115" si="577">SUM(AC108:AC113)</f>
        <v>78645.251282051293</v>
      </c>
      <c r="AD115" s="1077">
        <f t="shared" si="577"/>
        <v>74039.517999999996</v>
      </c>
      <c r="AE115" s="711">
        <f t="shared" si="571"/>
        <v>532518.37384615396</v>
      </c>
      <c r="AF115" s="711">
        <f t="shared" si="571"/>
        <v>511600.93200000003</v>
      </c>
      <c r="AG115" s="1077">
        <f t="shared" ref="AG115:AH115" si="578">SUM(AG108:AG113)</f>
        <v>76108.307692307688</v>
      </c>
      <c r="AH115" s="1077">
        <f t="shared" si="578"/>
        <v>72862.471999999994</v>
      </c>
      <c r="AI115" s="711">
        <f t="shared" si="571"/>
        <v>608626.68153846159</v>
      </c>
      <c r="AJ115" s="711">
        <f t="shared" si="571"/>
        <v>584463.40399999998</v>
      </c>
      <c r="AK115" s="1077">
        <f t="shared" ref="AK115:AL115" si="579">SUM(AK108:AK113)</f>
        <v>78645.251282051293</v>
      </c>
      <c r="AL115" s="1077">
        <f t="shared" si="579"/>
        <v>75349.374175824167</v>
      </c>
      <c r="AM115" s="1446">
        <f t="shared" si="571"/>
        <v>233398.81025641027</v>
      </c>
      <c r="AN115" s="1446">
        <f t="shared" si="571"/>
        <v>222251.36417582416</v>
      </c>
      <c r="AO115" s="711">
        <f t="shared" si="571"/>
        <v>687271.93282051291</v>
      </c>
      <c r="AP115" s="711">
        <f t="shared" si="571"/>
        <v>659812.77817582409</v>
      </c>
      <c r="AQ115" s="1077">
        <f t="shared" ref="AQ115:AR115" si="580">SUM(AQ108:AQ113)</f>
        <v>78645.251282051293</v>
      </c>
      <c r="AR115" s="1077">
        <f t="shared" si="580"/>
        <v>73632.146999999997</v>
      </c>
      <c r="AS115" s="711">
        <f t="shared" si="571"/>
        <v>765917.18410256412</v>
      </c>
      <c r="AT115" s="711">
        <f t="shared" si="571"/>
        <v>733444.92517582432</v>
      </c>
      <c r="AU115" s="1077">
        <f t="shared" ref="AU115:AV115" si="581">SUM(AU108:AU113)</f>
        <v>71034.420512820507</v>
      </c>
      <c r="AV115" s="1077">
        <f t="shared" si="581"/>
        <v>66618.404999999999</v>
      </c>
      <c r="AW115" s="711">
        <f t="shared" si="571"/>
        <v>836951.60461538471</v>
      </c>
      <c r="AX115" s="711">
        <f t="shared" si="571"/>
        <v>800063.33017582423</v>
      </c>
      <c r="AY115" s="1077">
        <f t="shared" ref="AY115:AZ115" si="582">SUM(AY108:AY113)</f>
        <v>78645.251282051293</v>
      </c>
      <c r="AZ115" s="1077">
        <f t="shared" si="582"/>
        <v>74238.870999999999</v>
      </c>
      <c r="BA115" s="1446">
        <f t="shared" ref="BA115:BB115" si="583">SUM(BA108:BA113)</f>
        <v>228324.92307692306</v>
      </c>
      <c r="BB115" s="1446">
        <f t="shared" si="583"/>
        <v>214489.42300000001</v>
      </c>
      <c r="BC115" s="2202">
        <f>SUM(BC108:BC113)</f>
        <v>461723.7333333334</v>
      </c>
      <c r="BD115" s="2200">
        <f>SUM(BD108:BD113)</f>
        <v>436740.78717582417</v>
      </c>
      <c r="BE115" s="711">
        <f t="shared" ref="BE115:BF115" si="584">SUM(BE108:BE113)</f>
        <v>915596.85589743592</v>
      </c>
      <c r="BF115" s="711">
        <f t="shared" si="584"/>
        <v>874302.20117582416</v>
      </c>
      <c r="BG115" s="1111"/>
      <c r="BH115" s="1111"/>
      <c r="BI115" s="1111"/>
      <c r="BJ115" s="1111"/>
      <c r="BK115" s="1111"/>
      <c r="BL115" s="23"/>
      <c r="BM115" s="23"/>
      <c r="BN115" s="23"/>
    </row>
    <row r="116" spans="2:70" ht="15" customHeight="1" x14ac:dyDescent="0.3">
      <c r="B116" s="5305" t="s">
        <v>1313</v>
      </c>
      <c r="C116" s="1287" t="s">
        <v>50</v>
      </c>
      <c r="D116" s="2802">
        <v>256476.72740740742</v>
      </c>
      <c r="E116" s="2554">
        <v>20839.179487179488</v>
      </c>
      <c r="F116" s="25">
        <v>18428.491999999998</v>
      </c>
      <c r="G116" s="2554">
        <v>21406.755897435898</v>
      </c>
      <c r="H116" s="25">
        <v>14652.929</v>
      </c>
      <c r="I116" s="663">
        <f t="shared" ref="I116:J119" si="585">+E116+G116</f>
        <v>42245.935384615383</v>
      </c>
      <c r="J116" s="58">
        <f t="shared" si="585"/>
        <v>33081.421000000002</v>
      </c>
      <c r="K116" s="143">
        <v>17970.017094017094</v>
      </c>
      <c r="L116" s="25">
        <v>21168.12</v>
      </c>
      <c r="M116" s="68">
        <f t="shared" ref="M116:N119" si="586">+E116+G116+K116</f>
        <v>60215.952478632476</v>
      </c>
      <c r="N116" s="79">
        <f t="shared" si="586"/>
        <v>54249.540999999997</v>
      </c>
      <c r="O116" s="143">
        <v>18569.017663817664</v>
      </c>
      <c r="P116" s="25">
        <v>22516.080000000002</v>
      </c>
      <c r="Q116" s="663">
        <f t="shared" ref="Q116:R119" si="587">+M116+O116</f>
        <v>78784.97014245014</v>
      </c>
      <c r="R116" s="58">
        <f t="shared" si="587"/>
        <v>76765.620999999999</v>
      </c>
      <c r="S116" s="143">
        <v>18569.017663817664</v>
      </c>
      <c r="T116" s="25">
        <v>16941.149000000001</v>
      </c>
      <c r="U116" s="663">
        <f t="shared" ref="U116:U119" si="588">+Q116+S116</f>
        <v>97353.987806267804</v>
      </c>
      <c r="V116" s="58">
        <f t="shared" ref="V116:V119" si="589">+R116+T116</f>
        <v>93706.77</v>
      </c>
      <c r="W116" s="143">
        <v>17144.863247863246</v>
      </c>
      <c r="X116" s="25">
        <v>16436.353999999999</v>
      </c>
      <c r="Y116" s="698">
        <f t="shared" ref="Y116:Z119" si="590">+O116+S116+W116</f>
        <v>54282.898575498577</v>
      </c>
      <c r="Z116" s="79">
        <f t="shared" si="590"/>
        <v>55893.583000000006</v>
      </c>
      <c r="AA116" s="429">
        <f t="shared" si="515"/>
        <v>114498.85105413105</v>
      </c>
      <c r="AB116" s="418">
        <f t="shared" si="515"/>
        <v>110143.12400000001</v>
      </c>
      <c r="AC116" s="143">
        <v>18569.017663817664</v>
      </c>
      <c r="AD116" s="25">
        <v>16586.128000000001</v>
      </c>
      <c r="AE116" s="663">
        <f t="shared" ref="AE116:AE119" si="591">+AA116+AC116</f>
        <v>133067.86871794873</v>
      </c>
      <c r="AF116" s="58">
        <f t="shared" ref="AF116:AF119" si="592">+AB116+AD116</f>
        <v>126729.25200000001</v>
      </c>
      <c r="AG116" s="143">
        <v>17970.017094017094</v>
      </c>
      <c r="AH116" s="25">
        <v>16419.712</v>
      </c>
      <c r="AI116" s="663">
        <f t="shared" ref="AI116:AI119" si="593">+AE116+AG116</f>
        <v>151037.88581196583</v>
      </c>
      <c r="AJ116" s="58">
        <f t="shared" ref="AJ116:AJ119" si="594">+AF116+AH116</f>
        <v>143148.96400000001</v>
      </c>
      <c r="AK116" s="143">
        <v>18569.017663817664</v>
      </c>
      <c r="AL116" s="25">
        <v>19416.078021978017</v>
      </c>
      <c r="AM116" s="698">
        <f t="shared" ref="AM116:AM119" si="595">+AC116+AG116+AK116</f>
        <v>55108.052421652421</v>
      </c>
      <c r="AN116" s="79">
        <f t="shared" ref="AN116:AN119" si="596">+AD116+AH116+AL116</f>
        <v>52421.91802197801</v>
      </c>
      <c r="AO116" s="697">
        <f t="shared" si="533"/>
        <v>169606.90347578347</v>
      </c>
      <c r="AP116" s="697">
        <f t="shared" si="533"/>
        <v>162565.04202197804</v>
      </c>
      <c r="AQ116" s="143">
        <v>18569.017663817664</v>
      </c>
      <c r="AR116" s="25">
        <v>26297.195</v>
      </c>
      <c r="AS116" s="663">
        <f t="shared" ref="AS116:AS119" si="597">+AO116+AQ116</f>
        <v>188175.92113960115</v>
      </c>
      <c r="AT116" s="58">
        <f t="shared" ref="AT116:AT119" si="598">+AP116+AR116</f>
        <v>188862.23702197804</v>
      </c>
      <c r="AU116" s="143">
        <v>16772.015954415954</v>
      </c>
      <c r="AV116" s="25">
        <v>19486.967000000001</v>
      </c>
      <c r="AW116" s="663">
        <f t="shared" ref="AW116:AW119" si="599">+AS116+AU116</f>
        <v>204947.93709401711</v>
      </c>
      <c r="AX116" s="58">
        <f t="shared" ref="AX116:AX119" si="600">+AT116+AV116</f>
        <v>208349.20402197805</v>
      </c>
      <c r="AY116" s="143">
        <v>18569.017663817664</v>
      </c>
      <c r="AZ116" s="25">
        <v>19089.994999999999</v>
      </c>
      <c r="BA116" s="698">
        <f t="shared" ref="BA116:BA119" si="601">+AQ116+AU116+AY116</f>
        <v>53910.051282051281</v>
      </c>
      <c r="BB116" s="79">
        <f t="shared" ref="BB116:BB119" si="602">+AR116+AV116+AZ116</f>
        <v>64874.156999999992</v>
      </c>
      <c r="BC116" s="2261">
        <f t="shared" ref="BC116:BC119" si="603">+AM116+BA116</f>
        <v>109018.1037037037</v>
      </c>
      <c r="BD116" s="2261">
        <f t="shared" ref="BD116:BD119" si="604">+AN116+BB116</f>
        <v>117296.075021978</v>
      </c>
      <c r="BE116" s="718">
        <f t="shared" ref="BE116:BE119" si="605">AW116+AY116</f>
        <v>223516.95475783478</v>
      </c>
      <c r="BF116" s="718">
        <f t="shared" ref="BF116:BF119" si="606">AX116+AZ116</f>
        <v>227439.19902197804</v>
      </c>
      <c r="BG116" s="1111"/>
      <c r="BH116" s="1111"/>
      <c r="BI116" s="1111"/>
      <c r="BJ116" s="1111"/>
      <c r="BK116" s="1111"/>
      <c r="BL116" s="23"/>
      <c r="BM116" s="23"/>
      <c r="BN116" s="23"/>
    </row>
    <row r="117" spans="2:70" ht="15.75" customHeight="1" x14ac:dyDescent="0.3">
      <c r="B117" s="1586" t="s">
        <v>595</v>
      </c>
      <c r="C117" s="713" t="s">
        <v>50</v>
      </c>
      <c r="D117" s="413"/>
      <c r="E117" s="143"/>
      <c r="F117" s="25"/>
      <c r="G117" s="143"/>
      <c r="H117" s="25">
        <v>2168.6089999999999</v>
      </c>
      <c r="I117" s="663">
        <f t="shared" si="585"/>
        <v>0</v>
      </c>
      <c r="J117" s="58">
        <f t="shared" si="585"/>
        <v>2168.6089999999999</v>
      </c>
      <c r="K117" s="143">
        <v>5285.2991452991455</v>
      </c>
      <c r="L117" s="25">
        <v>3411.53</v>
      </c>
      <c r="M117" s="68">
        <f t="shared" si="586"/>
        <v>5285.2991452991455</v>
      </c>
      <c r="N117" s="79">
        <f t="shared" si="586"/>
        <v>5580.1390000000001</v>
      </c>
      <c r="O117" s="143">
        <v>5461.4757834757847</v>
      </c>
      <c r="P117" s="25"/>
      <c r="Q117" s="663">
        <f t="shared" si="587"/>
        <v>10746.77492877493</v>
      </c>
      <c r="R117" s="58">
        <f t="shared" si="587"/>
        <v>5580.1390000000001</v>
      </c>
      <c r="S117" s="143">
        <v>5461.4757834757847</v>
      </c>
      <c r="T117" s="25"/>
      <c r="U117" s="663">
        <f t="shared" si="588"/>
        <v>16208.250712250716</v>
      </c>
      <c r="V117" s="58">
        <f t="shared" si="589"/>
        <v>5580.1390000000001</v>
      </c>
      <c r="W117" s="143">
        <v>5042.606837606837</v>
      </c>
      <c r="X117" s="25"/>
      <c r="Y117" s="698">
        <f t="shared" si="590"/>
        <v>15965.558404558407</v>
      </c>
      <c r="Z117" s="79">
        <f t="shared" si="590"/>
        <v>0</v>
      </c>
      <c r="AA117" s="429">
        <f t="shared" si="515"/>
        <v>21250.857549857552</v>
      </c>
      <c r="AB117" s="418">
        <f t="shared" si="515"/>
        <v>5580.1390000000001</v>
      </c>
      <c r="AC117" s="143">
        <v>5461.4757834757847</v>
      </c>
      <c r="AD117" s="25">
        <v>637.928</v>
      </c>
      <c r="AE117" s="663">
        <f t="shared" si="591"/>
        <v>26712.333333333336</v>
      </c>
      <c r="AF117" s="58">
        <f t="shared" si="592"/>
        <v>6218.067</v>
      </c>
      <c r="AG117" s="143">
        <v>5285.2991452991455</v>
      </c>
      <c r="AH117" s="25"/>
      <c r="AI117" s="663">
        <f t="shared" si="593"/>
        <v>31997.63247863248</v>
      </c>
      <c r="AJ117" s="58">
        <f t="shared" si="594"/>
        <v>6218.067</v>
      </c>
      <c r="AK117" s="143">
        <v>5461.4757834757847</v>
      </c>
      <c r="AL117" s="25">
        <v>2229.3021978021984</v>
      </c>
      <c r="AM117" s="698">
        <f t="shared" si="595"/>
        <v>16208.250712250716</v>
      </c>
      <c r="AN117" s="79">
        <f t="shared" si="596"/>
        <v>2867.2301978021983</v>
      </c>
      <c r="AO117" s="697">
        <f t="shared" ref="AO117:AO119" si="607">AI117+AK117</f>
        <v>37459.108262108268</v>
      </c>
      <c r="AP117" s="697">
        <f t="shared" ref="AP117:AP119" si="608">AJ117+AL117</f>
        <v>8447.369197802198</v>
      </c>
      <c r="AQ117" s="143">
        <v>5461.4757834757847</v>
      </c>
      <c r="AR117" s="25"/>
      <c r="AS117" s="663">
        <f t="shared" si="597"/>
        <v>42920.584045584052</v>
      </c>
      <c r="AT117" s="58">
        <f t="shared" si="598"/>
        <v>8447.369197802198</v>
      </c>
      <c r="AU117" s="143">
        <v>4932.9458689458688</v>
      </c>
      <c r="AV117" s="25"/>
      <c r="AW117" s="663">
        <f t="shared" si="599"/>
        <v>47853.529914529921</v>
      </c>
      <c r="AX117" s="58">
        <f t="shared" si="600"/>
        <v>8447.369197802198</v>
      </c>
      <c r="AY117" s="143">
        <v>5461.4757834757847</v>
      </c>
      <c r="AZ117" s="25"/>
      <c r="BA117" s="698">
        <f t="shared" si="601"/>
        <v>15855.897435897437</v>
      </c>
      <c r="BB117" s="79">
        <f t="shared" si="602"/>
        <v>0</v>
      </c>
      <c r="BC117" s="2261">
        <f t="shared" si="603"/>
        <v>32064.148148148153</v>
      </c>
      <c r="BD117" s="2261">
        <f t="shared" si="604"/>
        <v>2867.2301978021983</v>
      </c>
      <c r="BE117" s="718">
        <f t="shared" si="605"/>
        <v>53315.005698005705</v>
      </c>
      <c r="BF117" s="718">
        <f t="shared" si="606"/>
        <v>8447.369197802198</v>
      </c>
      <c r="BG117" s="1111"/>
      <c r="BH117" s="1111"/>
      <c r="BI117" s="1111"/>
      <c r="BJ117" s="1111"/>
      <c r="BK117" s="1111"/>
      <c r="BL117" s="23"/>
      <c r="BM117" s="23"/>
      <c r="BN117" s="23"/>
    </row>
    <row r="118" spans="2:70" x14ac:dyDescent="0.3">
      <c r="B118" s="1586" t="s">
        <v>1299</v>
      </c>
      <c r="C118" s="713" t="s">
        <v>50</v>
      </c>
      <c r="D118" s="413">
        <v>64119.181851851856</v>
      </c>
      <c r="E118" s="143">
        <v>5209.7948717948721</v>
      </c>
      <c r="F118" s="25">
        <v>7166.6360000000004</v>
      </c>
      <c r="G118" s="143">
        <v>5351.6889743589745</v>
      </c>
      <c r="H118" s="25">
        <v>8348.8829999999998</v>
      </c>
      <c r="I118" s="663">
        <f t="shared" si="585"/>
        <v>10561.483846153846</v>
      </c>
      <c r="J118" s="58">
        <f t="shared" si="585"/>
        <v>15515.519</v>
      </c>
      <c r="K118" s="143"/>
      <c r="L118" s="25"/>
      <c r="M118" s="68">
        <f t="shared" ref="M118" si="609">+E118+G118+K118</f>
        <v>10561.483846153846</v>
      </c>
      <c r="N118" s="79">
        <f t="shared" ref="N118" si="610">+F118+H118+L118</f>
        <v>15515.519</v>
      </c>
      <c r="O118" s="143"/>
      <c r="P118" s="25"/>
      <c r="Q118" s="663">
        <f t="shared" ref="Q118" si="611">+M118+O118</f>
        <v>10561.483846153846</v>
      </c>
      <c r="R118" s="58">
        <f t="shared" ref="R118" si="612">+N118+P118</f>
        <v>15515.519</v>
      </c>
      <c r="S118" s="143"/>
      <c r="T118" s="25"/>
      <c r="U118" s="663">
        <f t="shared" si="588"/>
        <v>10561.483846153846</v>
      </c>
      <c r="V118" s="58">
        <f t="shared" si="589"/>
        <v>15515.519</v>
      </c>
      <c r="W118" s="143"/>
      <c r="X118" s="25">
        <v>6570.6580000000004</v>
      </c>
      <c r="Y118" s="698">
        <f t="shared" ref="Y118" si="613">+O118+S118+W118</f>
        <v>0</v>
      </c>
      <c r="Z118" s="79">
        <f t="shared" ref="Z118" si="614">+P118+T118+X118</f>
        <v>6570.6580000000004</v>
      </c>
      <c r="AA118" s="429">
        <f t="shared" ref="AA118" si="615">+M118+Y118</f>
        <v>10561.483846153846</v>
      </c>
      <c r="AB118" s="418">
        <f t="shared" si="515"/>
        <v>22086.177</v>
      </c>
      <c r="AC118" s="143"/>
      <c r="AD118" s="25">
        <v>7974.1</v>
      </c>
      <c r="AE118" s="663">
        <f t="shared" si="591"/>
        <v>10561.483846153846</v>
      </c>
      <c r="AF118" s="58">
        <f t="shared" si="592"/>
        <v>30060.277000000002</v>
      </c>
      <c r="AG118" s="143"/>
      <c r="AH118" s="25">
        <v>8209.8559999999998</v>
      </c>
      <c r="AI118" s="663">
        <f t="shared" si="593"/>
        <v>10561.483846153846</v>
      </c>
      <c r="AJ118" s="58">
        <f t="shared" si="594"/>
        <v>38270.133000000002</v>
      </c>
      <c r="AK118" s="143"/>
      <c r="AL118" s="25">
        <v>3824.8307692307699</v>
      </c>
      <c r="AM118" s="698">
        <f t="shared" si="595"/>
        <v>0</v>
      </c>
      <c r="AN118" s="79">
        <f t="shared" si="596"/>
        <v>20008.78676923077</v>
      </c>
      <c r="AO118" s="697">
        <f t="shared" si="607"/>
        <v>10561.483846153846</v>
      </c>
      <c r="AP118" s="697">
        <f t="shared" si="608"/>
        <v>42094.963769230773</v>
      </c>
      <c r="AQ118" s="143"/>
      <c r="AR118" s="25"/>
      <c r="AS118" s="663">
        <f t="shared" si="597"/>
        <v>10561.483846153846</v>
      </c>
      <c r="AT118" s="58">
        <f t="shared" si="598"/>
        <v>42094.963769230773</v>
      </c>
      <c r="AU118" s="143"/>
      <c r="AV118" s="25">
        <v>4305.3209999999999</v>
      </c>
      <c r="AW118" s="663">
        <f t="shared" si="599"/>
        <v>10561.483846153846</v>
      </c>
      <c r="AX118" s="58">
        <f t="shared" si="600"/>
        <v>46400.28476923077</v>
      </c>
      <c r="AY118" s="143"/>
      <c r="AZ118" s="25">
        <v>7423.8869999999997</v>
      </c>
      <c r="BA118" s="698">
        <f t="shared" si="601"/>
        <v>0</v>
      </c>
      <c r="BB118" s="79">
        <f t="shared" si="602"/>
        <v>11729.207999999999</v>
      </c>
      <c r="BC118" s="2261">
        <f t="shared" si="603"/>
        <v>0</v>
      </c>
      <c r="BD118" s="2261">
        <f t="shared" si="604"/>
        <v>31737.994769230769</v>
      </c>
      <c r="BE118" s="718">
        <f t="shared" si="605"/>
        <v>10561.483846153846</v>
      </c>
      <c r="BF118" s="718">
        <f t="shared" si="606"/>
        <v>53824.171769230772</v>
      </c>
      <c r="BG118" s="1111"/>
      <c r="BH118" s="1111"/>
      <c r="BI118" s="1111"/>
      <c r="BJ118" s="1111"/>
      <c r="BK118" s="1111"/>
      <c r="BL118" s="23"/>
      <c r="BM118" s="23"/>
      <c r="BN118" s="23"/>
    </row>
    <row r="119" spans="2:70" ht="15" thickBot="1" x14ac:dyDescent="0.35">
      <c r="B119" s="5303" t="s">
        <v>1312</v>
      </c>
      <c r="C119" s="5304" t="s">
        <v>50</v>
      </c>
      <c r="D119" s="4012"/>
      <c r="E119" s="1200"/>
      <c r="F119" s="3427"/>
      <c r="G119" s="1200"/>
      <c r="H119" s="3427"/>
      <c r="I119" s="1908">
        <f t="shared" si="585"/>
        <v>0</v>
      </c>
      <c r="J119" s="493">
        <f t="shared" si="585"/>
        <v>0</v>
      </c>
      <c r="K119" s="143">
        <v>3171.1794871794873</v>
      </c>
      <c r="L119" s="25"/>
      <c r="M119" s="68">
        <f t="shared" si="586"/>
        <v>3171.1794871794873</v>
      </c>
      <c r="N119" s="79">
        <f t="shared" si="586"/>
        <v>0</v>
      </c>
      <c r="O119" s="143">
        <v>3276.8854700854699</v>
      </c>
      <c r="P119" s="25">
        <v>3020.45</v>
      </c>
      <c r="Q119" s="663">
        <f t="shared" si="587"/>
        <v>6448.0649572649572</v>
      </c>
      <c r="R119" s="58">
        <f t="shared" si="587"/>
        <v>3020.45</v>
      </c>
      <c r="S119" s="143">
        <v>3276.8854700854699</v>
      </c>
      <c r="T119" s="25">
        <v>8470.5740000000005</v>
      </c>
      <c r="U119" s="663">
        <f t="shared" si="588"/>
        <v>9724.9504273504281</v>
      </c>
      <c r="V119" s="58">
        <f t="shared" si="589"/>
        <v>11491.024000000001</v>
      </c>
      <c r="W119" s="143">
        <v>3025.5641025641025</v>
      </c>
      <c r="X119" s="25">
        <v>1647.518</v>
      </c>
      <c r="Y119" s="716">
        <f t="shared" si="590"/>
        <v>9579.3350427350415</v>
      </c>
      <c r="Z119" s="79">
        <f t="shared" si="590"/>
        <v>13138.542000000001</v>
      </c>
      <c r="AA119" s="429">
        <f t="shared" si="515"/>
        <v>12750.51452991453</v>
      </c>
      <c r="AB119" s="418">
        <f t="shared" si="515"/>
        <v>13138.542000000001</v>
      </c>
      <c r="AC119" s="143">
        <v>3276.8854700854699</v>
      </c>
      <c r="AD119" s="25"/>
      <c r="AE119" s="663">
        <f t="shared" si="591"/>
        <v>16027.4</v>
      </c>
      <c r="AF119" s="58">
        <f t="shared" si="592"/>
        <v>13138.542000000001</v>
      </c>
      <c r="AG119" s="143">
        <v>3171.1794871794873</v>
      </c>
      <c r="AH119" s="25"/>
      <c r="AI119" s="663">
        <f t="shared" si="593"/>
        <v>19198.579487179486</v>
      </c>
      <c r="AJ119" s="58">
        <f t="shared" si="594"/>
        <v>13138.542000000001</v>
      </c>
      <c r="AK119" s="143">
        <v>3276.8854700854699</v>
      </c>
      <c r="AL119" s="25"/>
      <c r="AM119" s="716">
        <f t="shared" si="595"/>
        <v>9724.9504273504281</v>
      </c>
      <c r="AN119" s="79">
        <f t="shared" si="596"/>
        <v>0</v>
      </c>
      <c r="AO119" s="697">
        <f t="shared" si="607"/>
        <v>22475.464957264958</v>
      </c>
      <c r="AP119" s="697">
        <f t="shared" si="608"/>
        <v>13138.542000000001</v>
      </c>
      <c r="AQ119" s="143">
        <v>3276.8854700854699</v>
      </c>
      <c r="AR119" s="25"/>
      <c r="AS119" s="663">
        <f t="shared" si="597"/>
        <v>25752.35042735043</v>
      </c>
      <c r="AT119" s="58">
        <f t="shared" si="598"/>
        <v>13138.542000000001</v>
      </c>
      <c r="AU119" s="143">
        <v>2959.7675213675211</v>
      </c>
      <c r="AV119" s="25"/>
      <c r="AW119" s="663">
        <f t="shared" si="599"/>
        <v>28712.117948717951</v>
      </c>
      <c r="AX119" s="58">
        <f t="shared" si="600"/>
        <v>13138.542000000001</v>
      </c>
      <c r="AY119" s="143">
        <v>3276.8854700854699</v>
      </c>
      <c r="AZ119" s="25"/>
      <c r="BA119" s="716">
        <f t="shared" si="601"/>
        <v>9513.538461538461</v>
      </c>
      <c r="BB119" s="79">
        <f t="shared" si="602"/>
        <v>0</v>
      </c>
      <c r="BC119" s="2261">
        <f t="shared" si="603"/>
        <v>19238.488888888889</v>
      </c>
      <c r="BD119" s="2261">
        <f t="shared" si="604"/>
        <v>0</v>
      </c>
      <c r="BE119" s="718">
        <f t="shared" si="605"/>
        <v>31989.003418803419</v>
      </c>
      <c r="BF119" s="718">
        <f t="shared" si="606"/>
        <v>13138.542000000001</v>
      </c>
      <c r="BG119" s="1111"/>
      <c r="BH119" s="1111"/>
      <c r="BI119" s="1111"/>
      <c r="BJ119" s="1111"/>
      <c r="BK119" s="1111"/>
      <c r="BL119" s="23"/>
      <c r="BM119" s="23"/>
      <c r="BN119" s="23"/>
    </row>
    <row r="120" spans="2:70" ht="16.2" thickBot="1" x14ac:dyDescent="0.35">
      <c r="B120" s="5309" t="s">
        <v>133</v>
      </c>
      <c r="C120" s="5310" t="s">
        <v>50</v>
      </c>
      <c r="D120" s="199">
        <f>SUM(D116:D119)</f>
        <v>320595.90925925929</v>
      </c>
      <c r="E120" s="711">
        <f>SUM(E116:E119)</f>
        <v>26048.974358974359</v>
      </c>
      <c r="F120" s="711">
        <f>SUM(F116:F119)</f>
        <v>25595.127999999997</v>
      </c>
      <c r="G120" s="711">
        <f>SUM(G116:G119)</f>
        <v>26758.444871794873</v>
      </c>
      <c r="H120" s="711">
        <f>SUM(H116:H119)</f>
        <v>25170.421000000002</v>
      </c>
      <c r="I120" s="711">
        <f t="shared" ref="I120:N120" si="616">SUM(I116:I119)</f>
        <v>52807.419230769228</v>
      </c>
      <c r="J120" s="711">
        <f t="shared" si="616"/>
        <v>50765.548999999999</v>
      </c>
      <c r="K120" s="711">
        <f>SUM(K116:K119)</f>
        <v>26426.495726495727</v>
      </c>
      <c r="L120" s="711">
        <f>SUM(L116:L119)</f>
        <v>24579.649999999998</v>
      </c>
      <c r="M120" s="1446">
        <f t="shared" si="616"/>
        <v>79233.914957264948</v>
      </c>
      <c r="N120" s="1446">
        <f t="shared" si="616"/>
        <v>75345.198999999993</v>
      </c>
      <c r="O120" s="711">
        <f>SUM(O116:O119)</f>
        <v>27307.378917378919</v>
      </c>
      <c r="P120" s="711">
        <f>SUM(P116:P119)</f>
        <v>25536.530000000002</v>
      </c>
      <c r="Q120" s="711">
        <f t="shared" ref="Q120:R120" si="617">SUM(Q116:Q119)</f>
        <v>106541.29387464387</v>
      </c>
      <c r="R120" s="711">
        <f t="shared" si="617"/>
        <v>100881.72899999999</v>
      </c>
      <c r="S120" s="711">
        <f>SUM(S116:S119)</f>
        <v>27307.378917378919</v>
      </c>
      <c r="T120" s="711">
        <f>SUM(T116:T119)</f>
        <v>25411.723000000002</v>
      </c>
      <c r="U120" s="711">
        <f t="shared" ref="U120:V120" si="618">SUM(U116:U119)</f>
        <v>133848.67279202279</v>
      </c>
      <c r="V120" s="711">
        <f t="shared" si="618"/>
        <v>126293.452</v>
      </c>
      <c r="W120" s="711">
        <f>SUM(W116:W119)</f>
        <v>25213.034188034184</v>
      </c>
      <c r="X120" s="711">
        <f>SUM(X116:X119)</f>
        <v>24654.53</v>
      </c>
      <c r="Y120" s="1446">
        <f t="shared" ref="Y120:Z120" si="619">SUM(Y116:Y119)</f>
        <v>79827.792022792026</v>
      </c>
      <c r="Z120" s="1446">
        <f t="shared" si="619"/>
        <v>75602.78300000001</v>
      </c>
      <c r="AA120" s="2202">
        <f t="shared" si="515"/>
        <v>159061.70698005697</v>
      </c>
      <c r="AB120" s="2202">
        <f t="shared" si="515"/>
        <v>150947.98200000002</v>
      </c>
      <c r="AC120" s="711">
        <f>SUM(AC116:AC119)</f>
        <v>27307.378917378919</v>
      </c>
      <c r="AD120" s="711">
        <f>SUM(AD116:AD119)</f>
        <v>25198.156000000003</v>
      </c>
      <c r="AE120" s="711">
        <f t="shared" ref="AE120:AF120" si="620">SUM(AE116:AE119)</f>
        <v>186369.08589743593</v>
      </c>
      <c r="AF120" s="711">
        <f t="shared" si="620"/>
        <v>176146.13800000004</v>
      </c>
      <c r="AG120" s="711">
        <f>SUM(AG116:AG119)</f>
        <v>26426.495726495727</v>
      </c>
      <c r="AH120" s="711">
        <f>SUM(AH116:AH119)</f>
        <v>24629.567999999999</v>
      </c>
      <c r="AI120" s="711">
        <f t="shared" ref="AI120:AN120" si="621">SUM(AI116:AI119)</f>
        <v>212795.58162393162</v>
      </c>
      <c r="AJ120" s="711">
        <f t="shared" si="621"/>
        <v>200775.70600000001</v>
      </c>
      <c r="AK120" s="711">
        <f>SUM(AK116:AK119)</f>
        <v>27307.378917378919</v>
      </c>
      <c r="AL120" s="711">
        <f>SUM(AL116:AL119)</f>
        <v>25470.210989010986</v>
      </c>
      <c r="AM120" s="1446">
        <f t="shared" si="621"/>
        <v>81041.253561253558</v>
      </c>
      <c r="AN120" s="1446">
        <f t="shared" si="621"/>
        <v>75297.934989010973</v>
      </c>
      <c r="AO120" s="711">
        <f t="shared" ref="AO120:AT120" si="622">SUM(AO116:AO119)</f>
        <v>240102.96054131055</v>
      </c>
      <c r="AP120" s="711">
        <f t="shared" si="622"/>
        <v>226245.91698901105</v>
      </c>
      <c r="AQ120" s="711">
        <f>SUM(AQ116:AQ119)</f>
        <v>27307.378917378919</v>
      </c>
      <c r="AR120" s="711">
        <f>SUM(AR116:AR119)</f>
        <v>26297.195</v>
      </c>
      <c r="AS120" s="711">
        <f t="shared" si="622"/>
        <v>267410.3394586895</v>
      </c>
      <c r="AT120" s="711">
        <f t="shared" si="622"/>
        <v>252543.11198901106</v>
      </c>
      <c r="AU120" s="711">
        <f>SUM(AU116:AU119)</f>
        <v>24664.729344729345</v>
      </c>
      <c r="AV120" s="711">
        <f>SUM(AV116:AV119)</f>
        <v>23792.288</v>
      </c>
      <c r="AW120" s="711">
        <f t="shared" ref="AW120:AX120" si="623">SUM(AW116:AW119)</f>
        <v>292075.06880341884</v>
      </c>
      <c r="AX120" s="711">
        <f t="shared" si="623"/>
        <v>276335.39998901106</v>
      </c>
      <c r="AY120" s="711">
        <f>SUM(AY116:AY119)</f>
        <v>27307.378917378919</v>
      </c>
      <c r="AZ120" s="711">
        <f>SUM(AZ116:AZ119)</f>
        <v>26513.881999999998</v>
      </c>
      <c r="BA120" s="1446">
        <f t="shared" ref="BA120:BB120" si="624">SUM(BA116:BA119)</f>
        <v>79279.487179487187</v>
      </c>
      <c r="BB120" s="1446">
        <f t="shared" si="624"/>
        <v>76603.364999999991</v>
      </c>
      <c r="BC120" s="2261">
        <f>+AM120+BA120</f>
        <v>160320.74074074073</v>
      </c>
      <c r="BD120" s="2261">
        <f>+AN120+BB120</f>
        <v>151901.29998901096</v>
      </c>
      <c r="BE120" s="711">
        <f t="shared" ref="BE120:BF120" si="625">SUM(BE116:BE119)</f>
        <v>319382.44772079773</v>
      </c>
      <c r="BF120" s="711">
        <f t="shared" si="625"/>
        <v>302849.28198901104</v>
      </c>
      <c r="BG120" s="1111"/>
      <c r="BH120" s="1111"/>
      <c r="BI120" s="1111"/>
      <c r="BJ120" s="1111"/>
      <c r="BK120" s="1111"/>
      <c r="BL120" s="23"/>
      <c r="BM120" s="23"/>
      <c r="BN120" s="23"/>
    </row>
    <row r="121" spans="2:70" ht="15" customHeight="1" thickBot="1" x14ac:dyDescent="0.35">
      <c r="B121" s="5306" t="s">
        <v>12</v>
      </c>
      <c r="C121" s="5307" t="s">
        <v>50</v>
      </c>
      <c r="D121" s="87">
        <f>+D115+D120</f>
        <v>1218264.4551851852</v>
      </c>
      <c r="E121" s="495">
        <f>+E115+E120</f>
        <v>98986.102564102577</v>
      </c>
      <c r="F121" s="87">
        <f>+F115+F120</f>
        <v>97261.486000000004</v>
      </c>
      <c r="G121" s="495">
        <f>+G115+G120</f>
        <v>101682.09051282049</v>
      </c>
      <c r="H121" s="87">
        <f>+H115+H120</f>
        <v>95647.599000000002</v>
      </c>
      <c r="I121" s="24">
        <f t="shared" ref="I121:N121" si="626">+I115+I120</f>
        <v>200668.19307692308</v>
      </c>
      <c r="J121" s="87">
        <f t="shared" si="626"/>
        <v>191953.92600000001</v>
      </c>
      <c r="K121" s="1207">
        <f>+K115+K120</f>
        <v>102534.80341880341</v>
      </c>
      <c r="L121" s="87">
        <f>+L115+L120</f>
        <v>97294.43</v>
      </c>
      <c r="M121" s="1442">
        <f t="shared" si="626"/>
        <v>303202.99649572652</v>
      </c>
      <c r="N121" s="1374">
        <f t="shared" si="626"/>
        <v>289248.35600000003</v>
      </c>
      <c r="O121" s="1207">
        <f>+O115+O120</f>
        <v>105952.63019943022</v>
      </c>
      <c r="P121" s="87">
        <f>+P115+P120</f>
        <v>101082.12</v>
      </c>
      <c r="Q121" s="24">
        <f t="shared" ref="Q121:R121" si="627">+Q115+Q120</f>
        <v>409155.62669515674</v>
      </c>
      <c r="R121" s="24">
        <f t="shared" si="627"/>
        <v>390330.47600000002</v>
      </c>
      <c r="S121" s="1207">
        <f>+S115+S120</f>
        <v>105952.63019943022</v>
      </c>
      <c r="T121" s="87">
        <f>+T115+T120</f>
        <v>100588.07100000001</v>
      </c>
      <c r="U121" s="24">
        <f t="shared" ref="U121:V121" si="628">+U115+U120</f>
        <v>515108.25689458696</v>
      </c>
      <c r="V121" s="24">
        <f t="shared" si="628"/>
        <v>490918.54699999996</v>
      </c>
      <c r="W121" s="1207">
        <f>+W115+W120</f>
        <v>97826.572649572656</v>
      </c>
      <c r="X121" s="87">
        <f>+X115+X120</f>
        <v>97590.849000000002</v>
      </c>
      <c r="Y121" s="671">
        <f t="shared" ref="Y121:Z121" si="629">+Y115+Y120</f>
        <v>309731.83304843307</v>
      </c>
      <c r="Z121" s="671">
        <f t="shared" si="629"/>
        <v>299261.03999999998</v>
      </c>
      <c r="AA121" s="2156">
        <f t="shared" si="515"/>
        <v>612934.82954415958</v>
      </c>
      <c r="AB121" s="2156">
        <f t="shared" si="515"/>
        <v>588509.39599999995</v>
      </c>
      <c r="AC121" s="1207">
        <f>+AC115+AC120</f>
        <v>105952.63019943022</v>
      </c>
      <c r="AD121" s="87">
        <f>+AD115+AD120</f>
        <v>99237.673999999999</v>
      </c>
      <c r="AE121" s="24">
        <f t="shared" ref="AE121:AF121" si="630">+AE115+AE120</f>
        <v>718887.45974358986</v>
      </c>
      <c r="AF121" s="24">
        <f t="shared" si="630"/>
        <v>687747.07000000007</v>
      </c>
      <c r="AG121" s="1207">
        <f>+AG115+AG120</f>
        <v>102534.80341880341</v>
      </c>
      <c r="AH121" s="87">
        <f>+AH115+AH120</f>
        <v>97492.04</v>
      </c>
      <c r="AI121" s="24">
        <f t="shared" ref="AI121:AN121" si="631">+AI115+AI120</f>
        <v>821422.26316239324</v>
      </c>
      <c r="AJ121" s="24">
        <f t="shared" si="631"/>
        <v>785239.11</v>
      </c>
      <c r="AK121" s="1207">
        <f>+AK115+AK120</f>
        <v>105952.63019943022</v>
      </c>
      <c r="AL121" s="87">
        <f>+AL115+AL120</f>
        <v>100819.58516483515</v>
      </c>
      <c r="AM121" s="671">
        <f t="shared" si="631"/>
        <v>314440.06381766382</v>
      </c>
      <c r="AN121" s="671">
        <f t="shared" si="631"/>
        <v>297549.29916483513</v>
      </c>
      <c r="AO121" s="24">
        <f t="shared" ref="AO121:AT121" si="632">+AO115+AO120</f>
        <v>927374.8933618234</v>
      </c>
      <c r="AP121" s="24">
        <f t="shared" si="632"/>
        <v>886058.69516483508</v>
      </c>
      <c r="AQ121" s="1207">
        <f>+AQ115+AQ120</f>
        <v>105952.63019943022</v>
      </c>
      <c r="AR121" s="87">
        <f>+AR115+AR120</f>
        <v>99929.342000000004</v>
      </c>
      <c r="AS121" s="24">
        <f t="shared" si="632"/>
        <v>1033327.5235612537</v>
      </c>
      <c r="AT121" s="24">
        <f t="shared" si="632"/>
        <v>985988.03716483538</v>
      </c>
      <c r="AU121" s="1207">
        <f>+AU115+AU120</f>
        <v>95699.149857549855</v>
      </c>
      <c r="AV121" s="87">
        <f>+AV115+AV120</f>
        <v>90410.692999999999</v>
      </c>
      <c r="AW121" s="24">
        <f t="shared" ref="AW121:AX121" si="633">+AW115+AW120</f>
        <v>1129026.6734188036</v>
      </c>
      <c r="AX121" s="24">
        <f t="shared" si="633"/>
        <v>1076398.7301648352</v>
      </c>
      <c r="AY121" s="1207">
        <f>+AY115+AY120</f>
        <v>105952.63019943022</v>
      </c>
      <c r="AZ121" s="87">
        <f>+AZ115+AZ120</f>
        <v>100752.753</v>
      </c>
      <c r="BA121" s="671">
        <f t="shared" ref="BA121:BB121" si="634">+BA115+BA120</f>
        <v>307604.41025641025</v>
      </c>
      <c r="BB121" s="671">
        <f t="shared" si="634"/>
        <v>291092.788</v>
      </c>
      <c r="BC121" s="2261">
        <f>+AM121+BA121</f>
        <v>622044.47407407407</v>
      </c>
      <c r="BD121" s="2261">
        <f>+AN121+BB121</f>
        <v>588642.08716483507</v>
      </c>
      <c r="BE121" s="24">
        <f t="shared" ref="BE121:BF121" si="635">+BE115+BE120</f>
        <v>1234979.3036182337</v>
      </c>
      <c r="BF121" s="24">
        <f t="shared" si="635"/>
        <v>1177151.4831648353</v>
      </c>
      <c r="BG121" s="1111"/>
      <c r="BH121" s="1111"/>
      <c r="BI121" s="1111"/>
      <c r="BJ121" s="1111"/>
      <c r="BK121" s="1111"/>
      <c r="BL121" s="23"/>
      <c r="BM121" s="23"/>
      <c r="BN121" s="23"/>
    </row>
    <row r="122" spans="2:70" ht="15" thickBot="1" x14ac:dyDescent="0.35">
      <c r="B122" s="1670" t="s">
        <v>1134</v>
      </c>
      <c r="C122" s="5308" t="s">
        <v>50</v>
      </c>
      <c r="D122" s="1197">
        <v>63414.575457875457</v>
      </c>
      <c r="E122" s="1197">
        <v>5152.544378698225</v>
      </c>
      <c r="F122" s="25">
        <v>5119.0259999999998</v>
      </c>
      <c r="G122" s="1197">
        <v>5292.8792054099749</v>
      </c>
      <c r="H122" s="25">
        <v>5034.0839999999998</v>
      </c>
      <c r="I122" s="58">
        <f>+E122+G122</f>
        <v>10445.423584108201</v>
      </c>
      <c r="J122" s="58">
        <f>+F122+H122</f>
        <v>10153.11</v>
      </c>
      <c r="K122" s="5812"/>
      <c r="L122" s="25">
        <v>5120.76</v>
      </c>
      <c r="M122" s="5829"/>
      <c r="N122" s="79">
        <f>+F122+H122+L122</f>
        <v>15273.87</v>
      </c>
      <c r="O122" s="5812"/>
      <c r="P122" s="25">
        <v>5320.11</v>
      </c>
      <c r="Q122" s="6114"/>
      <c r="R122" s="58">
        <f>+N122+P122</f>
        <v>20593.98</v>
      </c>
      <c r="S122" s="5812"/>
      <c r="T122" s="25">
        <v>5294.1090000000004</v>
      </c>
      <c r="U122" s="6114"/>
      <c r="V122" s="58">
        <f>+R122+T122</f>
        <v>25888.089</v>
      </c>
      <c r="W122" s="5812"/>
      <c r="X122" s="25">
        <v>5136.3609999999999</v>
      </c>
      <c r="Y122" s="5855"/>
      <c r="Z122" s="79">
        <f>+P122+T122+X122</f>
        <v>15750.580000000002</v>
      </c>
      <c r="AA122" s="6115"/>
      <c r="AB122" s="418">
        <f t="shared" ref="AB122" si="636">+N122+Z122</f>
        <v>31024.450000000004</v>
      </c>
      <c r="AC122" s="5812"/>
      <c r="AD122" s="25">
        <v>5223.0360000000001</v>
      </c>
      <c r="AE122" s="6114"/>
      <c r="AF122" s="58">
        <f>+AB122+AD122</f>
        <v>36247.486000000004</v>
      </c>
      <c r="AG122" s="5812"/>
      <c r="AH122" s="25">
        <v>5131.16</v>
      </c>
      <c r="AI122" s="6114"/>
      <c r="AJ122" s="58">
        <f>+AF122+AH122</f>
        <v>41378.646000000008</v>
      </c>
      <c r="AK122" s="5812"/>
      <c r="AL122" s="25">
        <v>5306.2939560439581</v>
      </c>
      <c r="AM122" s="5855"/>
      <c r="AN122" s="79">
        <f>+AD122+AH122+AL122</f>
        <v>15660.489956043959</v>
      </c>
      <c r="AO122" s="6114"/>
      <c r="AP122" s="697">
        <f t="shared" ref="AP122" si="637">AJ122+AL122</f>
        <v>46684.939956043963</v>
      </c>
      <c r="AQ122" s="5812"/>
      <c r="AR122" s="25">
        <v>5259.4390000000003</v>
      </c>
      <c r="AS122" s="6114"/>
      <c r="AT122" s="58">
        <f>+AP122+AR122</f>
        <v>51944.378956043962</v>
      </c>
      <c r="AU122" s="6112"/>
      <c r="AV122" s="25">
        <v>4758.4579999999996</v>
      </c>
      <c r="AW122" s="6114"/>
      <c r="AX122" s="58">
        <f>+AT122+AV122</f>
        <v>56702.836956043961</v>
      </c>
      <c r="AY122" s="6112"/>
      <c r="AZ122" s="25">
        <v>5302.777</v>
      </c>
      <c r="BA122" s="5855"/>
      <c r="BB122" s="79">
        <f>+AR122+AV122+AZ122</f>
        <v>15320.674000000001</v>
      </c>
      <c r="BC122" s="6115"/>
      <c r="BD122" s="2261">
        <f>+AN122+BB122</f>
        <v>30981.163956043958</v>
      </c>
      <c r="BE122" s="6114"/>
      <c r="BF122" s="718">
        <f t="shared" ref="BF122" si="638">AX122+AZ122</f>
        <v>62005.613956043962</v>
      </c>
      <c r="BG122" s="1111"/>
      <c r="BH122" s="1111"/>
      <c r="BI122" s="1111"/>
      <c r="BJ122" s="1111"/>
      <c r="BK122" s="1111"/>
      <c r="BL122" s="23"/>
      <c r="BM122" s="23"/>
      <c r="BN122" s="23"/>
    </row>
    <row r="123" spans="2:70" ht="16.2" thickBot="1" x14ac:dyDescent="0.35">
      <c r="B123" s="1666" t="s">
        <v>11</v>
      </c>
      <c r="C123" s="1281" t="s">
        <v>50</v>
      </c>
      <c r="D123" s="571">
        <f t="shared" ref="D123:AI123" si="639">SUM(D121:D122)</f>
        <v>1281679.0306430606</v>
      </c>
      <c r="E123" s="1017">
        <f t="shared" si="639"/>
        <v>104138.6469428008</v>
      </c>
      <c r="F123" s="1077">
        <f t="shared" si="639"/>
        <v>102380.512</v>
      </c>
      <c r="G123" s="1017">
        <f t="shared" ref="G123:H123" si="640">SUM(G121:G122)</f>
        <v>106974.96971823047</v>
      </c>
      <c r="H123" s="1077">
        <f t="shared" si="640"/>
        <v>100681.683</v>
      </c>
      <c r="I123" s="495">
        <f t="shared" si="639"/>
        <v>211113.61666103129</v>
      </c>
      <c r="J123" s="495">
        <f t="shared" si="639"/>
        <v>202107.03600000002</v>
      </c>
      <c r="K123" s="1017">
        <f t="shared" si="639"/>
        <v>102534.80341880341</v>
      </c>
      <c r="L123" s="1077">
        <f t="shared" si="639"/>
        <v>102415.18999999999</v>
      </c>
      <c r="M123" s="778">
        <f t="shared" si="639"/>
        <v>303202.99649572652</v>
      </c>
      <c r="N123" s="1447">
        <f t="shared" si="639"/>
        <v>304522.22600000002</v>
      </c>
      <c r="O123" s="1017">
        <f t="shared" si="639"/>
        <v>105952.63019943022</v>
      </c>
      <c r="P123" s="1077">
        <f t="shared" si="639"/>
        <v>106402.23</v>
      </c>
      <c r="Q123" s="495">
        <f t="shared" si="639"/>
        <v>409155.62669515674</v>
      </c>
      <c r="R123" s="495">
        <f t="shared" si="639"/>
        <v>410924.45600000001</v>
      </c>
      <c r="S123" s="1017">
        <f t="shared" si="639"/>
        <v>105952.63019943022</v>
      </c>
      <c r="T123" s="1077">
        <f t="shared" si="639"/>
        <v>105882.18000000001</v>
      </c>
      <c r="U123" s="495">
        <f t="shared" si="639"/>
        <v>515108.25689458696</v>
      </c>
      <c r="V123" s="495">
        <f t="shared" si="639"/>
        <v>516806.63599999994</v>
      </c>
      <c r="W123" s="1017">
        <f t="shared" si="639"/>
        <v>97826.572649572656</v>
      </c>
      <c r="X123" s="1077">
        <f t="shared" si="639"/>
        <v>102727.21</v>
      </c>
      <c r="Y123" s="323">
        <f t="shared" si="639"/>
        <v>309731.83304843307</v>
      </c>
      <c r="Z123" s="323">
        <f t="shared" si="639"/>
        <v>315011.62</v>
      </c>
      <c r="AA123" s="2155">
        <f t="shared" si="639"/>
        <v>612934.82954415958</v>
      </c>
      <c r="AB123" s="427">
        <f t="shared" si="639"/>
        <v>619533.8459999999</v>
      </c>
      <c r="AC123" s="1017">
        <f t="shared" si="639"/>
        <v>105952.63019943022</v>
      </c>
      <c r="AD123" s="1077">
        <f t="shared" si="639"/>
        <v>104460.70999999999</v>
      </c>
      <c r="AE123" s="495">
        <f t="shared" si="639"/>
        <v>718887.45974358986</v>
      </c>
      <c r="AF123" s="495">
        <f t="shared" si="639"/>
        <v>723994.5560000001</v>
      </c>
      <c r="AG123" s="1017">
        <f t="shared" si="639"/>
        <v>102534.80341880341</v>
      </c>
      <c r="AH123" s="1077">
        <f t="shared" si="639"/>
        <v>102623.2</v>
      </c>
      <c r="AI123" s="495">
        <f t="shared" si="639"/>
        <v>821422.26316239324</v>
      </c>
      <c r="AJ123" s="495">
        <f t="shared" ref="AJ123:BF123" si="641">SUM(AJ121:AJ122)</f>
        <v>826617.75600000005</v>
      </c>
      <c r="AK123" s="1017">
        <f t="shared" si="641"/>
        <v>105952.63019943022</v>
      </c>
      <c r="AL123" s="1077">
        <f t="shared" si="641"/>
        <v>106125.87912087911</v>
      </c>
      <c r="AM123" s="323">
        <f t="shared" si="641"/>
        <v>314440.06381766382</v>
      </c>
      <c r="AN123" s="323">
        <f t="shared" si="641"/>
        <v>313209.78912087908</v>
      </c>
      <c r="AO123" s="495">
        <f t="shared" si="641"/>
        <v>927374.8933618234</v>
      </c>
      <c r="AP123" s="495">
        <f t="shared" si="641"/>
        <v>932743.63512087904</v>
      </c>
      <c r="AQ123" s="1017">
        <f t="shared" si="641"/>
        <v>105952.63019943022</v>
      </c>
      <c r="AR123" s="1077">
        <f t="shared" si="641"/>
        <v>105188.781</v>
      </c>
      <c r="AS123" s="495">
        <f t="shared" si="641"/>
        <v>1033327.5235612537</v>
      </c>
      <c r="AT123" s="495">
        <f t="shared" si="641"/>
        <v>1037932.4161208794</v>
      </c>
      <c r="AU123" s="1017">
        <f t="shared" si="641"/>
        <v>95699.149857549855</v>
      </c>
      <c r="AV123" s="1077">
        <f t="shared" si="641"/>
        <v>95169.150999999998</v>
      </c>
      <c r="AW123" s="495">
        <f t="shared" si="641"/>
        <v>1129026.6734188036</v>
      </c>
      <c r="AX123" s="495">
        <f t="shared" si="641"/>
        <v>1133101.5671208792</v>
      </c>
      <c r="AY123" s="1017">
        <f t="shared" si="641"/>
        <v>105952.63019943022</v>
      </c>
      <c r="AZ123" s="1077">
        <f t="shared" si="641"/>
        <v>106055.53</v>
      </c>
      <c r="BA123" s="323">
        <f t="shared" si="641"/>
        <v>307604.41025641025</v>
      </c>
      <c r="BB123" s="323">
        <f t="shared" si="641"/>
        <v>306413.462</v>
      </c>
      <c r="BC123" s="2155">
        <f t="shared" si="641"/>
        <v>622044.47407407407</v>
      </c>
      <c r="BD123" s="427">
        <f t="shared" si="641"/>
        <v>619623.25112087908</v>
      </c>
      <c r="BE123" s="495">
        <f t="shared" si="641"/>
        <v>1234979.3036182337</v>
      </c>
      <c r="BF123" s="495">
        <f t="shared" si="641"/>
        <v>1239157.0971208792</v>
      </c>
      <c r="BG123" s="1111"/>
      <c r="BH123" s="1111"/>
      <c r="BI123" s="1111"/>
      <c r="BJ123" s="1111"/>
      <c r="BK123" s="1111"/>
      <c r="BL123" s="23"/>
      <c r="BM123" s="23"/>
      <c r="BN123" s="23"/>
    </row>
    <row r="124" spans="2:70" ht="18" x14ac:dyDescent="0.3">
      <c r="B124" s="1667" t="s">
        <v>613</v>
      </c>
      <c r="C124" s="1280"/>
      <c r="D124" s="494"/>
      <c r="E124" s="715"/>
      <c r="F124" s="1206"/>
      <c r="G124" s="715"/>
      <c r="H124" s="1206"/>
      <c r="I124" s="494"/>
      <c r="J124" s="494"/>
      <c r="K124" s="715"/>
      <c r="L124" s="1206"/>
      <c r="M124" s="715"/>
      <c r="N124" s="1206"/>
      <c r="O124" s="715"/>
      <c r="P124" s="1206"/>
      <c r="Q124" s="494"/>
      <c r="R124" s="494"/>
      <c r="S124" s="715"/>
      <c r="T124" s="1206"/>
      <c r="U124" s="494"/>
      <c r="V124" s="494"/>
      <c r="W124" s="715"/>
      <c r="X124" s="1206"/>
      <c r="Y124" s="494"/>
      <c r="Z124" s="494"/>
      <c r="AA124" s="2154"/>
      <c r="AB124" s="494"/>
      <c r="AC124" s="715"/>
      <c r="AD124" s="1206"/>
      <c r="AE124" s="494"/>
      <c r="AF124" s="494"/>
      <c r="AG124" s="715"/>
      <c r="AH124" s="1206"/>
      <c r="AI124" s="494"/>
      <c r="AJ124" s="494"/>
      <c r="AK124" s="715"/>
      <c r="AL124" s="1206"/>
      <c r="AM124" s="494"/>
      <c r="AN124" s="494"/>
      <c r="AO124" s="494"/>
      <c r="AP124" s="494"/>
      <c r="AQ124" s="715"/>
      <c r="AR124" s="1206"/>
      <c r="AS124" s="494"/>
      <c r="AT124" s="494"/>
      <c r="AU124" s="715"/>
      <c r="AV124" s="1206"/>
      <c r="AW124" s="494"/>
      <c r="AX124" s="494"/>
      <c r="AY124" s="715"/>
      <c r="AZ124" s="1206"/>
      <c r="BA124" s="494"/>
      <c r="BB124" s="494"/>
      <c r="BC124" s="2154"/>
      <c r="BD124" s="494"/>
      <c r="BE124" s="494"/>
      <c r="BF124" s="494"/>
      <c r="BG124" s="1111"/>
      <c r="BH124" s="1111"/>
      <c r="BI124" s="1111"/>
      <c r="BJ124" s="1111"/>
      <c r="BK124" s="1111"/>
      <c r="BL124" s="23"/>
      <c r="BM124" s="23"/>
      <c r="BN124" s="23"/>
    </row>
    <row r="125" spans="2:70" x14ac:dyDescent="0.3">
      <c r="B125" s="1660" t="s">
        <v>1904</v>
      </c>
      <c r="C125" s="1279" t="s">
        <v>50</v>
      </c>
      <c r="D125" s="1201">
        <f>+D108+D91</f>
        <v>772767.19010484323</v>
      </c>
      <c r="E125" s="1019">
        <f>+E108+E91</f>
        <v>63368.360341880347</v>
      </c>
      <c r="F125" s="1210">
        <f>+F108+F91</f>
        <v>60588.362000000001</v>
      </c>
      <c r="G125" s="1019">
        <f>+G108+G91</f>
        <v>65227.78383703703</v>
      </c>
      <c r="H125" s="1210">
        <f>+H108+H91</f>
        <v>63890.236000000004</v>
      </c>
      <c r="I125" s="663">
        <f>+E125+G125</f>
        <v>128596.14417891737</v>
      </c>
      <c r="J125" s="58">
        <f>+F125+H125</f>
        <v>124478.598</v>
      </c>
      <c r="K125" s="1019">
        <f>+K108+K91</f>
        <v>74507.213675213687</v>
      </c>
      <c r="L125" s="1210">
        <f>+L108+L91</f>
        <v>67831.056400000001</v>
      </c>
      <c r="M125" s="1020">
        <f t="shared" ref="M125:N131" si="642">+E125+G125+K125</f>
        <v>203103.35785413106</v>
      </c>
      <c r="N125" s="1448">
        <f t="shared" si="642"/>
        <v>192309.6544</v>
      </c>
      <c r="O125" s="1019">
        <f>+O108+O91</f>
        <v>76990.787464387467</v>
      </c>
      <c r="P125" s="1210">
        <f>+P108+P91</f>
        <v>71415.707999999999</v>
      </c>
      <c r="Q125" s="663">
        <f>+M125+O125</f>
        <v>280094.14531851851</v>
      </c>
      <c r="R125" s="58">
        <f>+N125+P125</f>
        <v>263725.36239999998</v>
      </c>
      <c r="S125" s="1019">
        <f>+S108+S91</f>
        <v>76990.787464387467</v>
      </c>
      <c r="T125" s="1210">
        <f>+T108+T91</f>
        <v>71852.167000000001</v>
      </c>
      <c r="U125" s="663">
        <f>+Q125+S125</f>
        <v>357084.93278290599</v>
      </c>
      <c r="V125" s="58">
        <f>+R125+T125</f>
        <v>335577.5294</v>
      </c>
      <c r="W125" s="1019">
        <f>+W108+W91</f>
        <v>71696.943589743591</v>
      </c>
      <c r="X125" s="1210">
        <f>+X108+X91</f>
        <v>69649.012000000002</v>
      </c>
      <c r="Y125" s="698">
        <f t="shared" ref="Y125:Y127" si="643">+O125+S125+W125</f>
        <v>225678.51851851854</v>
      </c>
      <c r="Z125" s="79">
        <f t="shared" ref="Z125:Z127" si="644">+P125+T125+X125</f>
        <v>212916.88699999999</v>
      </c>
      <c r="AA125" s="429">
        <f t="shared" ref="AA125:AA127" si="645">+M125+Y125</f>
        <v>428781.87637264957</v>
      </c>
      <c r="AB125" s="418">
        <f t="shared" ref="AB125:AB127" si="646">+N125+Z125</f>
        <v>405226.54139999999</v>
      </c>
      <c r="AC125" s="1019">
        <f>+AC108+AC91</f>
        <v>76990.787464387467</v>
      </c>
      <c r="AD125" s="1210">
        <f>+AD108+AD91</f>
        <v>70852.5</v>
      </c>
      <c r="AE125" s="663">
        <f t="shared" ref="AE125:AE131" si="647">+AA125+AC125</f>
        <v>505772.66383703705</v>
      </c>
      <c r="AF125" s="58">
        <f t="shared" ref="AF125:AF131" si="648">+AB125+AD125</f>
        <v>476079.04139999999</v>
      </c>
      <c r="AG125" s="1019">
        <f>+AG108+AG91</f>
        <v>74507.213675213687</v>
      </c>
      <c r="AH125" s="1210">
        <f>+AH108+AH91</f>
        <v>68663.539999999994</v>
      </c>
      <c r="AI125" s="663">
        <f t="shared" ref="AI125:AI131" si="649">+AE125+AG125</f>
        <v>580279.87751225079</v>
      </c>
      <c r="AJ125" s="58">
        <f t="shared" ref="AJ125:AJ131" si="650">+AF125+AH125</f>
        <v>544742.58140000002</v>
      </c>
      <c r="AK125" s="1019">
        <f>+AK108+AK91</f>
        <v>76990.787464387467</v>
      </c>
      <c r="AL125" s="1210">
        <f>+AL108+AL91</f>
        <v>69957.238555122283</v>
      </c>
      <c r="AM125" s="698">
        <f t="shared" ref="AM125:AM131" si="651">+AC125+AG125+AK125</f>
        <v>228488.78860398865</v>
      </c>
      <c r="AN125" s="79">
        <f t="shared" ref="AN125:AN131" si="652">+AD125+AH125+AL125</f>
        <v>209473.27855512226</v>
      </c>
      <c r="AO125" s="697">
        <f t="shared" ref="AO125" si="653">AI125+AK125</f>
        <v>657270.66497663828</v>
      </c>
      <c r="AP125" s="697">
        <f t="shared" ref="AP125" si="654">AJ125+AL125</f>
        <v>614699.81995512231</v>
      </c>
      <c r="AQ125" s="1019">
        <f>+AQ108+AQ91</f>
        <v>76990.787464387467</v>
      </c>
      <c r="AR125" s="1210">
        <f>+AR108+AR91</f>
        <v>69620.782999999996</v>
      </c>
      <c r="AS125" s="663">
        <f t="shared" ref="AS125:AS131" si="655">+AO125+AQ125</f>
        <v>734261.45244102576</v>
      </c>
      <c r="AT125" s="58">
        <f t="shared" ref="AT125:AT131" si="656">+AP125+AR125</f>
        <v>684320.60295512225</v>
      </c>
      <c r="AU125" s="1019">
        <f>+AU108+AU91</f>
        <v>69540.066096866096</v>
      </c>
      <c r="AV125" s="1210">
        <f>+AV108+AV91</f>
        <v>61763.122799999997</v>
      </c>
      <c r="AW125" s="663">
        <f t="shared" ref="AW125:AW131" si="657">+AS125+AU125</f>
        <v>803801.5185378918</v>
      </c>
      <c r="AX125" s="58">
        <f t="shared" ref="AX125:AX131" si="658">+AT125+AV125</f>
        <v>746083.72575512226</v>
      </c>
      <c r="AY125" s="1019">
        <f>+AY108+AY91</f>
        <v>76990.787464387467</v>
      </c>
      <c r="AZ125" s="1210">
        <f>+AZ108+AZ91</f>
        <v>63983.343999999997</v>
      </c>
      <c r="BA125" s="698">
        <f t="shared" ref="BA125:BA127" si="659">+AQ125+AU125+AY125</f>
        <v>223521.64102564106</v>
      </c>
      <c r="BB125" s="79">
        <f t="shared" ref="BB125:BB127" si="660">+AR125+AV125+AZ125</f>
        <v>195367.24979999999</v>
      </c>
      <c r="BC125" s="2261">
        <f t="shared" ref="BC125:BC131" si="661">+AM125+BA125</f>
        <v>452010.42962962971</v>
      </c>
      <c r="BD125" s="2261">
        <f t="shared" ref="BD125:BD131" si="662">+AN125+BB125</f>
        <v>404840.52835512225</v>
      </c>
      <c r="BE125" s="718">
        <f t="shared" ref="BE125:BE131" si="663">AW125+AY125</f>
        <v>880792.30600227928</v>
      </c>
      <c r="BF125" s="718">
        <f t="shared" ref="BF125:BF131" si="664">AX125+AZ125</f>
        <v>810067.0697551223</v>
      </c>
      <c r="BG125" s="1111"/>
      <c r="BH125" s="1111"/>
      <c r="BI125" s="1111"/>
      <c r="BJ125" s="1111"/>
      <c r="BK125" s="1111"/>
      <c r="BL125" s="23"/>
      <c r="BM125" s="23"/>
      <c r="BN125" s="23"/>
      <c r="BP125" s="491"/>
      <c r="BQ125" s="491"/>
      <c r="BR125" s="491"/>
    </row>
    <row r="126" spans="2:70" x14ac:dyDescent="0.3">
      <c r="B126" s="1660" t="s">
        <v>581</v>
      </c>
      <c r="C126" s="1279" t="s">
        <v>50</v>
      </c>
      <c r="D126" s="1201">
        <f t="shared" ref="D126:F129" si="665">+D109+D92</f>
        <v>185547.93121424501</v>
      </c>
      <c r="E126" s="1019">
        <f t="shared" si="665"/>
        <v>15182.875555555556</v>
      </c>
      <c r="F126" s="1211">
        <f t="shared" si="665"/>
        <v>8692.8139999999985</v>
      </c>
      <c r="G126" s="1019">
        <f t="shared" ref="G126:H126" si="666">+G109+G92</f>
        <v>15620.99275270655</v>
      </c>
      <c r="H126" s="1211">
        <f t="shared" si="666"/>
        <v>0</v>
      </c>
      <c r="I126" s="663">
        <f>+E126+G126</f>
        <v>30803.868308262106</v>
      </c>
      <c r="J126" s="58">
        <f>+F126+H126</f>
        <v>8692.8139999999985</v>
      </c>
      <c r="K126" s="1019">
        <f>+K109+K92</f>
        <v>16098.119658119658</v>
      </c>
      <c r="L126" s="1211">
        <f>L109+L92</f>
        <v>17192.101999999999</v>
      </c>
      <c r="M126" s="68">
        <f t="shared" si="642"/>
        <v>46901.987966381763</v>
      </c>
      <c r="N126" s="394">
        <f t="shared" si="642"/>
        <v>25884.915999999997</v>
      </c>
      <c r="O126" s="1019">
        <f>+O109+O92</f>
        <v>16634.723646723647</v>
      </c>
      <c r="P126" s="1211">
        <f>P109+P92</f>
        <v>1716.17</v>
      </c>
      <c r="Q126" s="663">
        <f t="shared" ref="Q126:Q131" si="667">+M126+O126</f>
        <v>63536.711613105406</v>
      </c>
      <c r="R126" s="58">
        <f t="shared" ref="R126:R131" si="668">+N126+P126</f>
        <v>27601.085999999996</v>
      </c>
      <c r="S126" s="1019">
        <f>+S109+S92</f>
        <v>16634.723646723647</v>
      </c>
      <c r="T126" s="1211">
        <f>T109+T92</f>
        <v>15147.786</v>
      </c>
      <c r="U126" s="663">
        <f t="shared" ref="U126:U131" si="669">+Q126+S126</f>
        <v>80171.435259829057</v>
      </c>
      <c r="V126" s="58">
        <f t="shared" ref="V126:V131" si="670">+R126+T126</f>
        <v>42748.871999999996</v>
      </c>
      <c r="W126" s="1019">
        <f>+W109+W92</f>
        <v>15501.008547008545</v>
      </c>
      <c r="X126" s="1211">
        <f>X109+X92</f>
        <v>17328.204999999998</v>
      </c>
      <c r="Y126" s="698">
        <f t="shared" si="643"/>
        <v>48770.455840455841</v>
      </c>
      <c r="Z126" s="79">
        <f t="shared" si="644"/>
        <v>34192.160999999993</v>
      </c>
      <c r="AA126" s="429">
        <f t="shared" si="645"/>
        <v>95672.443806837604</v>
      </c>
      <c r="AB126" s="418">
        <f t="shared" si="646"/>
        <v>60077.07699999999</v>
      </c>
      <c r="AC126" s="1019">
        <f>+AC109+AC92</f>
        <v>16634.723646723647</v>
      </c>
      <c r="AD126" s="1211">
        <f>AD109+AD92</f>
        <v>11806.232329999999</v>
      </c>
      <c r="AE126" s="663">
        <f t="shared" si="647"/>
        <v>112307.16745356125</v>
      </c>
      <c r="AF126" s="58">
        <f t="shared" si="648"/>
        <v>71883.309329999989</v>
      </c>
      <c r="AG126" s="1019">
        <f>+AG109+AG92</f>
        <v>16098.119658119658</v>
      </c>
      <c r="AH126" s="1211">
        <f>AH109+AH92</f>
        <v>12314.784</v>
      </c>
      <c r="AI126" s="663">
        <f t="shared" si="649"/>
        <v>128405.28711168091</v>
      </c>
      <c r="AJ126" s="58">
        <f t="shared" si="650"/>
        <v>84198.093329999989</v>
      </c>
      <c r="AK126" s="1019">
        <f>+AK109+AK92</f>
        <v>16634.723646723647</v>
      </c>
      <c r="AL126" s="1211">
        <f>AL109+AL92</f>
        <v>403.56263736263736</v>
      </c>
      <c r="AM126" s="698">
        <f t="shared" si="651"/>
        <v>49367.566951566958</v>
      </c>
      <c r="AN126" s="79">
        <f t="shared" si="652"/>
        <v>24524.578967362635</v>
      </c>
      <c r="AO126" s="697">
        <f t="shared" ref="AO126:AO131" si="671">AI126+AK126</f>
        <v>145040.01075840456</v>
      </c>
      <c r="AP126" s="697">
        <f t="shared" ref="AO126:AP133" si="672">AJ126+AL126</f>
        <v>84601.655967362633</v>
      </c>
      <c r="AQ126" s="1019">
        <f>+AQ109+AQ92</f>
        <v>16634.723646723647</v>
      </c>
      <c r="AR126" s="1211">
        <f>AR109+AR92</f>
        <v>0</v>
      </c>
      <c r="AS126" s="663">
        <f t="shared" si="655"/>
        <v>161674.7344051282</v>
      </c>
      <c r="AT126" s="58">
        <f t="shared" si="656"/>
        <v>84601.655967362633</v>
      </c>
      <c r="AU126" s="1019">
        <f>+AU109+AU92</f>
        <v>15024.911680911682</v>
      </c>
      <c r="AV126" s="1211">
        <f>AV109+AV92</f>
        <v>2948.3244</v>
      </c>
      <c r="AW126" s="663">
        <f t="shared" si="657"/>
        <v>176699.64608603989</v>
      </c>
      <c r="AX126" s="58">
        <f t="shared" si="658"/>
        <v>87549.98036736263</v>
      </c>
      <c r="AY126" s="1019">
        <f>+AY109+AY92</f>
        <v>16634.723646723647</v>
      </c>
      <c r="AZ126" s="1211">
        <f>AZ109+AZ92</f>
        <v>2555.1</v>
      </c>
      <c r="BA126" s="698">
        <f t="shared" si="659"/>
        <v>48294.358974358976</v>
      </c>
      <c r="BB126" s="79">
        <f t="shared" si="660"/>
        <v>5503.4243999999999</v>
      </c>
      <c r="BC126" s="2261">
        <f t="shared" si="661"/>
        <v>97661.925925925927</v>
      </c>
      <c r="BD126" s="2261">
        <f t="shared" si="662"/>
        <v>30028.003367362635</v>
      </c>
      <c r="BE126" s="718">
        <f t="shared" si="663"/>
        <v>193334.36973276353</v>
      </c>
      <c r="BF126" s="718">
        <f t="shared" si="664"/>
        <v>90105.080367362636</v>
      </c>
      <c r="BG126" s="1111"/>
      <c r="BH126" s="1111"/>
      <c r="BI126" s="1111"/>
      <c r="BJ126" s="1111"/>
      <c r="BK126" s="1111"/>
      <c r="BL126" s="23"/>
      <c r="BM126" s="23"/>
      <c r="BN126" s="23"/>
      <c r="BP126" s="491"/>
      <c r="BQ126" s="491"/>
      <c r="BR126" s="491"/>
    </row>
    <row r="127" spans="2:70" x14ac:dyDescent="0.3">
      <c r="B127" s="1661" t="s">
        <v>2218</v>
      </c>
      <c r="C127" s="1279" t="s">
        <v>50</v>
      </c>
      <c r="D127" s="1201">
        <f t="shared" si="665"/>
        <v>26140.451991452992</v>
      </c>
      <c r="E127" s="1019">
        <f t="shared" si="665"/>
        <v>2139.2119658119659</v>
      </c>
      <c r="F127" s="1211">
        <f t="shared" si="665"/>
        <v>0</v>
      </c>
      <c r="G127" s="1019">
        <f t="shared" ref="G127:H127" si="673">+G110+G93</f>
        <v>2200.9893133903129</v>
      </c>
      <c r="H127" s="1211">
        <f t="shared" si="673"/>
        <v>0</v>
      </c>
      <c r="I127" s="663">
        <f t="shared" ref="I127:I130" si="674">+E127+G127</f>
        <v>4340.2012792022788</v>
      </c>
      <c r="J127" s="58">
        <f>+F127+H127</f>
        <v>0</v>
      </c>
      <c r="K127" s="1019">
        <f>+K110+K93</f>
        <v>4024.5299145299145</v>
      </c>
      <c r="L127" s="1211">
        <f>L110+L93</f>
        <v>0</v>
      </c>
      <c r="M127" s="68">
        <f t="shared" si="642"/>
        <v>8364.7311937321938</v>
      </c>
      <c r="N127" s="394">
        <f t="shared" si="642"/>
        <v>0</v>
      </c>
      <c r="O127" s="1019">
        <f>+O110+O93</f>
        <v>4158.6809116809118</v>
      </c>
      <c r="P127" s="1211">
        <f>P110+P93</f>
        <v>17229.134221995999</v>
      </c>
      <c r="Q127" s="663">
        <f t="shared" si="667"/>
        <v>12523.412105413106</v>
      </c>
      <c r="R127" s="58">
        <f t="shared" si="668"/>
        <v>17229.134221995999</v>
      </c>
      <c r="S127" s="1019">
        <f>+S110+S93</f>
        <v>4158.6809116809118</v>
      </c>
      <c r="T127" s="1211">
        <f>T110+T93</f>
        <v>12261.861000000001</v>
      </c>
      <c r="U127" s="663">
        <f t="shared" si="669"/>
        <v>16682.093017094019</v>
      </c>
      <c r="V127" s="58">
        <f t="shared" si="670"/>
        <v>29490.995221996</v>
      </c>
      <c r="W127" s="1019">
        <f>+W110+W93</f>
        <v>3875.2521367521363</v>
      </c>
      <c r="X127" s="1211">
        <f>X110+X93</f>
        <v>20076.626</v>
      </c>
      <c r="Y127" s="698">
        <f t="shared" si="643"/>
        <v>12192.61396011396</v>
      </c>
      <c r="Z127" s="79">
        <f t="shared" si="644"/>
        <v>49567.621221996</v>
      </c>
      <c r="AA127" s="429">
        <f t="shared" si="645"/>
        <v>20557.345153846152</v>
      </c>
      <c r="AB127" s="418">
        <f t="shared" si="646"/>
        <v>49567.621221996</v>
      </c>
      <c r="AC127" s="1019">
        <f>+AC110+AC93</f>
        <v>4158.6809116809118</v>
      </c>
      <c r="AD127" s="1211">
        <f>AD110+AD93</f>
        <v>15413.934999999999</v>
      </c>
      <c r="AE127" s="663">
        <f t="shared" si="647"/>
        <v>24716.026065527065</v>
      </c>
      <c r="AF127" s="58">
        <f t="shared" si="648"/>
        <v>64981.556221995997</v>
      </c>
      <c r="AG127" s="1019">
        <f>+AG110+AG93</f>
        <v>4024.5299145299145</v>
      </c>
      <c r="AH127" s="1211">
        <f>AH110+AH93</f>
        <v>10276.188</v>
      </c>
      <c r="AI127" s="663">
        <f t="shared" si="649"/>
        <v>28740.555980056979</v>
      </c>
      <c r="AJ127" s="58">
        <f t="shared" si="650"/>
        <v>75257.744221995992</v>
      </c>
      <c r="AK127" s="1019">
        <f>+AK110+AK93</f>
        <v>4158.6809116809118</v>
      </c>
      <c r="AL127" s="1211">
        <f>AL110+AL93</f>
        <v>0</v>
      </c>
      <c r="AM127" s="698">
        <f t="shared" si="651"/>
        <v>12341.891737891739</v>
      </c>
      <c r="AN127" s="79">
        <f t="shared" si="652"/>
        <v>25690.123</v>
      </c>
      <c r="AO127" s="697">
        <f t="shared" si="671"/>
        <v>32899.236891737892</v>
      </c>
      <c r="AP127" s="697">
        <f t="shared" si="672"/>
        <v>75257.744221995992</v>
      </c>
      <c r="AQ127" s="1019">
        <f>+AQ110+AQ93</f>
        <v>4158.6809116809118</v>
      </c>
      <c r="AR127" s="1211">
        <f>AR110+AR93</f>
        <v>11175.875</v>
      </c>
      <c r="AS127" s="663">
        <f t="shared" si="655"/>
        <v>37057.917803418801</v>
      </c>
      <c r="AT127" s="58">
        <f t="shared" si="656"/>
        <v>86433.619221995992</v>
      </c>
      <c r="AU127" s="1019">
        <f>+AU110+AU93</f>
        <v>3756.2279202279205</v>
      </c>
      <c r="AV127" s="1211">
        <f>AV110+AV93</f>
        <v>9662.5290000000005</v>
      </c>
      <c r="AW127" s="663">
        <f t="shared" si="657"/>
        <v>40814.145723646725</v>
      </c>
      <c r="AX127" s="58">
        <f t="shared" si="658"/>
        <v>96096.148221995987</v>
      </c>
      <c r="AY127" s="1019">
        <f>+AY110+AY93</f>
        <v>4158.6809116809118</v>
      </c>
      <c r="AZ127" s="1211">
        <f>AZ110+AZ93</f>
        <v>0</v>
      </c>
      <c r="BA127" s="698">
        <f t="shared" si="659"/>
        <v>12073.589743589744</v>
      </c>
      <c r="BB127" s="79">
        <f t="shared" si="660"/>
        <v>20838.404000000002</v>
      </c>
      <c r="BC127" s="2261">
        <f t="shared" si="661"/>
        <v>24415.481481481482</v>
      </c>
      <c r="BD127" s="2261">
        <f t="shared" si="662"/>
        <v>46528.527000000002</v>
      </c>
      <c r="BE127" s="718">
        <f t="shared" si="663"/>
        <v>44972.826635327634</v>
      </c>
      <c r="BF127" s="718">
        <f t="shared" si="664"/>
        <v>96096.148221995987</v>
      </c>
      <c r="BG127" s="1111"/>
      <c r="BH127" s="1111"/>
      <c r="BI127" s="1111"/>
      <c r="BJ127" s="1111"/>
      <c r="BK127" s="1111"/>
      <c r="BL127" s="23"/>
      <c r="BM127" s="23"/>
      <c r="BN127" s="23"/>
      <c r="BP127" s="491"/>
      <c r="BQ127" s="491"/>
      <c r="BR127" s="491"/>
    </row>
    <row r="128" spans="2:70" x14ac:dyDescent="0.3">
      <c r="B128" s="1661" t="s">
        <v>10</v>
      </c>
      <c r="C128" s="1279" t="s">
        <v>50</v>
      </c>
      <c r="D128" s="1201">
        <f t="shared" si="665"/>
        <v>98642.669031339028</v>
      </c>
      <c r="E128" s="1019">
        <f t="shared" si="665"/>
        <v>8091.1623931623935</v>
      </c>
      <c r="F128" s="1211">
        <f t="shared" si="665"/>
        <v>7086.0479999999989</v>
      </c>
      <c r="G128" s="1019">
        <f t="shared" ref="G128:H128" si="675">+G111+G94</f>
        <v>8329.1020797720794</v>
      </c>
      <c r="H128" s="1211">
        <f t="shared" si="675"/>
        <v>11597.326000000001</v>
      </c>
      <c r="I128" s="663">
        <f t="shared" ref="I128" si="676">+E128+G128</f>
        <v>16420.264472934472</v>
      </c>
      <c r="J128" s="58">
        <f>+F128+H128</f>
        <v>18683.374</v>
      </c>
      <c r="K128" s="1019">
        <f>+K111+K94</f>
        <v>4024.5299145299145</v>
      </c>
      <c r="L128" s="1211">
        <f>L111+L94</f>
        <v>925.98659999999995</v>
      </c>
      <c r="M128" s="68">
        <f t="shared" ref="M128:M130" si="677">+E128+G128+K128</f>
        <v>20444.794387464386</v>
      </c>
      <c r="N128" s="394">
        <f t="shared" ref="N128:N130" si="678">+F128+H128+L128</f>
        <v>19609.3606</v>
      </c>
      <c r="O128" s="1019">
        <f>+O111+O94</f>
        <v>4158.6809116809118</v>
      </c>
      <c r="P128" s="1211">
        <f>P111+P94</f>
        <v>16299.490000000002</v>
      </c>
      <c r="Q128" s="663">
        <f t="shared" ref="Q128:Q130" si="679">+M128+O128</f>
        <v>24603.475299145299</v>
      </c>
      <c r="R128" s="58">
        <f t="shared" ref="R128:R130" si="680">+N128+P128</f>
        <v>35908.850600000005</v>
      </c>
      <c r="S128" s="1019">
        <f>+S111+S94</f>
        <v>4158.6809116809118</v>
      </c>
      <c r="T128" s="1211">
        <f>T111+T94</f>
        <v>2210.8639999999996</v>
      </c>
      <c r="U128" s="663">
        <f t="shared" ref="U128:U130" si="681">+Q128+S128</f>
        <v>28762.156210826211</v>
      </c>
      <c r="V128" s="58">
        <f t="shared" ref="V128:V130" si="682">+R128+T128</f>
        <v>38119.714600000007</v>
      </c>
      <c r="W128" s="1019">
        <f>+W111+W94</f>
        <v>3875.2521367521363</v>
      </c>
      <c r="X128" s="1211">
        <f>X111+X94</f>
        <v>0</v>
      </c>
      <c r="Y128" s="698">
        <f t="shared" ref="Y128:Y130" si="683">+O128+S128+W128</f>
        <v>12192.61396011396</v>
      </c>
      <c r="Z128" s="79">
        <f t="shared" ref="Z128:Z130" si="684">+P128+T128+X128</f>
        <v>18510.353999999999</v>
      </c>
      <c r="AA128" s="429">
        <f t="shared" ref="AA128:AA130" si="685">+M128+Y128</f>
        <v>32637.408347578348</v>
      </c>
      <c r="AB128" s="418">
        <f t="shared" ref="AB128:AB130" si="686">+N128+Z128</f>
        <v>38119.714599999999</v>
      </c>
      <c r="AC128" s="1019">
        <f>+AC111+AC94</f>
        <v>4158.6809116809118</v>
      </c>
      <c r="AD128" s="1211">
        <f>AD111+AD94</f>
        <v>6569.1522580645169</v>
      </c>
      <c r="AE128" s="663">
        <f t="shared" ref="AE128:AE130" si="687">+AA128+AC128</f>
        <v>36796.089259259257</v>
      </c>
      <c r="AF128" s="58">
        <f t="shared" ref="AF128:AF130" si="688">+AB128+AD128</f>
        <v>44688.866858064517</v>
      </c>
      <c r="AG128" s="1019">
        <f>+AG111+AG94</f>
        <v>4024.5299145299145</v>
      </c>
      <c r="AH128" s="1211">
        <f>AH111+AH94</f>
        <v>6411.6359999999995</v>
      </c>
      <c r="AI128" s="663">
        <f t="shared" ref="AI128:AI130" si="689">+AE128+AG128</f>
        <v>40820.619173789171</v>
      </c>
      <c r="AJ128" s="58">
        <f t="shared" ref="AJ128:AJ130" si="690">+AF128+AH128</f>
        <v>51100.502858064516</v>
      </c>
      <c r="AK128" s="1019">
        <f>+AK111+AK94</f>
        <v>4158.6809116809118</v>
      </c>
      <c r="AL128" s="1211">
        <f>AL111+AL94</f>
        <v>18449.338728110597</v>
      </c>
      <c r="AM128" s="698">
        <f t="shared" ref="AM128:AM130" si="691">+AC128+AG128+AK128</f>
        <v>12341.891737891739</v>
      </c>
      <c r="AN128" s="79">
        <f t="shared" ref="AN128:AN130" si="692">+AD128+AH128+AL128</f>
        <v>31430.126986175113</v>
      </c>
      <c r="AO128" s="697">
        <f t="shared" ref="AO128:AO130" si="693">AI128+AK128</f>
        <v>44979.30008547008</v>
      </c>
      <c r="AP128" s="697">
        <f t="shared" ref="AP128:AP130" si="694">AJ128+AL128</f>
        <v>69549.841586175113</v>
      </c>
      <c r="AQ128" s="1019">
        <f>+AQ111+AQ94</f>
        <v>4158.6809116809118</v>
      </c>
      <c r="AR128" s="1211">
        <f>AR111+AR94</f>
        <v>17683.025999999998</v>
      </c>
      <c r="AS128" s="663">
        <f t="shared" ref="AS128:AS130" si="695">+AO128+AQ128</f>
        <v>49137.980997150989</v>
      </c>
      <c r="AT128" s="58">
        <f t="shared" ref="AT128:AT130" si="696">+AP128+AR128</f>
        <v>87232.867586175111</v>
      </c>
      <c r="AU128" s="1019">
        <f>+AU111+AU94</f>
        <v>3756.2279202279205</v>
      </c>
      <c r="AV128" s="1211">
        <f>AV111+AV94</f>
        <v>15873.2322</v>
      </c>
      <c r="AW128" s="663">
        <f t="shared" ref="AW128:AW130" si="697">+AS128+AU128</f>
        <v>52894.208917378914</v>
      </c>
      <c r="AX128" s="58">
        <f t="shared" ref="AX128:AX130" si="698">+AT128+AV128</f>
        <v>103106.09978617511</v>
      </c>
      <c r="AY128" s="1019">
        <f>+AY111+AY94</f>
        <v>4158.6809116809118</v>
      </c>
      <c r="AZ128" s="1211">
        <f>AZ111+AZ94</f>
        <v>23192.352999999999</v>
      </c>
      <c r="BA128" s="698">
        <f t="shared" ref="BA128:BA130" si="699">+AQ128+AU128+AY128</f>
        <v>12073.589743589744</v>
      </c>
      <c r="BB128" s="79">
        <f t="shared" ref="BB128:BB130" si="700">+AR128+AV128+AZ128</f>
        <v>56748.611199999999</v>
      </c>
      <c r="BC128" s="2261">
        <f t="shared" ref="BC128:BC130" si="701">+AM128+BA128</f>
        <v>24415.481481481482</v>
      </c>
      <c r="BD128" s="2261">
        <f t="shared" ref="BD128:BD130" si="702">+AN128+BB128</f>
        <v>88178.73818617512</v>
      </c>
      <c r="BE128" s="718">
        <f t="shared" ref="BE128:BE130" si="703">AW128+AY128</f>
        <v>57052.889829059823</v>
      </c>
      <c r="BF128" s="718">
        <f t="shared" ref="BF128:BF130" si="704">AX128+AZ128</f>
        <v>126298.45278617511</v>
      </c>
      <c r="BG128" s="1111"/>
      <c r="BH128" s="1111"/>
      <c r="BI128" s="1111"/>
      <c r="BJ128" s="1111"/>
      <c r="BK128" s="1111"/>
      <c r="BL128" s="23"/>
      <c r="BM128" s="23"/>
      <c r="BN128" s="23"/>
      <c r="BP128" s="491"/>
      <c r="BQ128" s="491"/>
      <c r="BR128" s="491"/>
    </row>
    <row r="129" spans="1:70" x14ac:dyDescent="0.3">
      <c r="B129" s="5159" t="s">
        <v>1905</v>
      </c>
      <c r="C129" s="1279" t="s">
        <v>50</v>
      </c>
      <c r="D129" s="1201">
        <f t="shared" si="665"/>
        <v>118371.20283760683</v>
      </c>
      <c r="E129" s="1019">
        <f t="shared" si="665"/>
        <v>9709.3948717948733</v>
      </c>
      <c r="F129" s="1211">
        <f t="shared" si="665"/>
        <v>18245.127</v>
      </c>
      <c r="G129" s="1019">
        <f>+G112+G95</f>
        <v>9994.9224957264942</v>
      </c>
      <c r="H129" s="1211">
        <f>+H112+H95</f>
        <v>13662.618</v>
      </c>
      <c r="I129" s="663">
        <f t="shared" ref="I129" si="705">+E129+G129</f>
        <v>19704.317367521369</v>
      </c>
      <c r="J129" s="58">
        <f>+F129+H129</f>
        <v>31907.745000000003</v>
      </c>
      <c r="K129" s="1019"/>
      <c r="L129" s="5163"/>
      <c r="M129" s="4472"/>
      <c r="N129" s="5164"/>
      <c r="O129" s="1019"/>
      <c r="P129" s="5163"/>
      <c r="Q129" s="663"/>
      <c r="R129" s="58"/>
      <c r="S129" s="1019"/>
      <c r="T129" s="5163"/>
      <c r="U129" s="663"/>
      <c r="V129" s="58"/>
      <c r="W129" s="1019"/>
      <c r="X129" s="5163"/>
      <c r="Y129" s="698"/>
      <c r="Z129" s="79"/>
      <c r="AA129" s="5069"/>
      <c r="AB129" s="5162"/>
      <c r="AC129" s="1019"/>
      <c r="AD129" s="5163"/>
      <c r="AE129" s="663"/>
      <c r="AF129" s="58"/>
      <c r="AG129" s="1019"/>
      <c r="AH129" s="5163"/>
      <c r="AI129" s="663"/>
      <c r="AJ129" s="58"/>
      <c r="AK129" s="1019"/>
      <c r="AL129" s="5163"/>
      <c r="AM129" s="698"/>
      <c r="AN129" s="79"/>
      <c r="AO129" s="697"/>
      <c r="AP129" s="697"/>
      <c r="AQ129" s="1019"/>
      <c r="AR129" s="5163"/>
      <c r="AS129" s="663"/>
      <c r="AT129" s="58"/>
      <c r="AU129" s="1019"/>
      <c r="AV129" s="5163"/>
      <c r="AW129" s="663"/>
      <c r="AX129" s="58"/>
      <c r="AY129" s="1019"/>
      <c r="AZ129" s="5163"/>
      <c r="BA129" s="698"/>
      <c r="BB129" s="79"/>
      <c r="BC129" s="5069"/>
      <c r="BD129" s="5069"/>
      <c r="BE129" s="4930"/>
      <c r="BF129" s="4930"/>
      <c r="BG129" s="1111"/>
      <c r="BH129" s="1111"/>
      <c r="BI129" s="1111"/>
      <c r="BJ129" s="1111"/>
      <c r="BK129" s="1111"/>
      <c r="BL129" s="23"/>
      <c r="BM129" s="23"/>
      <c r="BN129" s="23"/>
      <c r="BP129" s="491"/>
      <c r="BQ129" s="491"/>
      <c r="BR129" s="491"/>
    </row>
    <row r="130" spans="1:70" x14ac:dyDescent="0.3">
      <c r="B130" s="1661" t="s">
        <v>1906</v>
      </c>
      <c r="C130" s="1279" t="s">
        <v>50</v>
      </c>
      <c r="D130" s="1201">
        <f>D113+D96</f>
        <v>124290.34177207976</v>
      </c>
      <c r="E130" s="1019">
        <f>E113+E96</f>
        <v>10175.080341880341</v>
      </c>
      <c r="F130" s="1211">
        <f>F113+F96</f>
        <v>12616.246999999999</v>
      </c>
      <c r="G130" s="1019">
        <f>G113+G96</f>
        <v>10469.77766951567</v>
      </c>
      <c r="H130" s="1211">
        <f>H113+H96</f>
        <v>16768.703000000001</v>
      </c>
      <c r="I130" s="663">
        <f t="shared" si="674"/>
        <v>20644.858011396012</v>
      </c>
      <c r="J130" s="58">
        <f>+F130+H130</f>
        <v>29384.95</v>
      </c>
      <c r="K130" s="1019">
        <f>+K112+K96</f>
        <v>0</v>
      </c>
      <c r="L130" s="1211">
        <f>L96+L112</f>
        <v>0</v>
      </c>
      <c r="M130" s="68">
        <f t="shared" si="677"/>
        <v>20644.858011396012</v>
      </c>
      <c r="N130" s="394">
        <f t="shared" si="678"/>
        <v>29384.95</v>
      </c>
      <c r="O130" s="1019">
        <f>+O112+O96</f>
        <v>0</v>
      </c>
      <c r="P130" s="1211">
        <f>P96+P112</f>
        <v>343.23</v>
      </c>
      <c r="Q130" s="663">
        <f t="shared" si="679"/>
        <v>20644.858011396012</v>
      </c>
      <c r="R130" s="58">
        <f t="shared" si="680"/>
        <v>29728.18</v>
      </c>
      <c r="S130" s="1019">
        <f>+S112+S96</f>
        <v>0</v>
      </c>
      <c r="T130" s="1211">
        <f>T96+T112</f>
        <v>514.85</v>
      </c>
      <c r="U130" s="663">
        <f t="shared" si="681"/>
        <v>20644.858011396012</v>
      </c>
      <c r="V130" s="58">
        <f t="shared" si="682"/>
        <v>30243.03</v>
      </c>
      <c r="W130" s="1019">
        <f>+W112+W96</f>
        <v>0</v>
      </c>
      <c r="X130" s="1211">
        <f>X96+X112</f>
        <v>0</v>
      </c>
      <c r="Y130" s="698">
        <f t="shared" si="683"/>
        <v>0</v>
      </c>
      <c r="Z130" s="79">
        <f t="shared" si="684"/>
        <v>858.08</v>
      </c>
      <c r="AA130" s="429">
        <f t="shared" si="685"/>
        <v>20644.858011396012</v>
      </c>
      <c r="AB130" s="418">
        <f t="shared" si="686"/>
        <v>30243.030000000002</v>
      </c>
      <c r="AC130" s="1019">
        <f>+AC112+AC96</f>
        <v>0</v>
      </c>
      <c r="AD130" s="1211">
        <f>AD96+AD112</f>
        <v>1020.6849999999999</v>
      </c>
      <c r="AE130" s="663">
        <f t="shared" si="687"/>
        <v>20644.858011396012</v>
      </c>
      <c r="AF130" s="58">
        <f t="shared" si="688"/>
        <v>31263.715000000004</v>
      </c>
      <c r="AG130" s="1019">
        <f>+AG112+AG96</f>
        <v>0</v>
      </c>
      <c r="AH130" s="1211">
        <f>AH96+AH112</f>
        <v>0</v>
      </c>
      <c r="AI130" s="663">
        <f t="shared" si="689"/>
        <v>20644.858011396012</v>
      </c>
      <c r="AJ130" s="58">
        <f t="shared" si="690"/>
        <v>31263.715000000004</v>
      </c>
      <c r="AK130" s="1019">
        <f>+AK112+AK96</f>
        <v>0</v>
      </c>
      <c r="AL130" s="1211">
        <f>AL96+AL112</f>
        <v>0</v>
      </c>
      <c r="AM130" s="698">
        <f t="shared" si="691"/>
        <v>0</v>
      </c>
      <c r="AN130" s="79">
        <f t="shared" si="692"/>
        <v>1020.6849999999999</v>
      </c>
      <c r="AO130" s="697">
        <f t="shared" si="693"/>
        <v>20644.858011396012</v>
      </c>
      <c r="AP130" s="697">
        <f t="shared" si="694"/>
        <v>31263.715000000004</v>
      </c>
      <c r="AQ130" s="1019">
        <f>+AQ112+AQ96</f>
        <v>0</v>
      </c>
      <c r="AR130" s="1211">
        <f>AR96+AR112</f>
        <v>0</v>
      </c>
      <c r="AS130" s="663">
        <f t="shared" si="695"/>
        <v>20644.858011396012</v>
      </c>
      <c r="AT130" s="58">
        <f t="shared" si="696"/>
        <v>31263.715000000004</v>
      </c>
      <c r="AU130" s="1019">
        <f>+AU112+AU96</f>
        <v>0</v>
      </c>
      <c r="AV130" s="1211">
        <f>AV96+AV112</f>
        <v>0</v>
      </c>
      <c r="AW130" s="663">
        <f t="shared" si="697"/>
        <v>20644.858011396012</v>
      </c>
      <c r="AX130" s="58">
        <f t="shared" si="698"/>
        <v>31263.715000000004</v>
      </c>
      <c r="AY130" s="1019">
        <f>+AY112+AY96</f>
        <v>0</v>
      </c>
      <c r="AZ130" s="1211">
        <f>AZ96+AZ112</f>
        <v>0</v>
      </c>
      <c r="BA130" s="698">
        <f t="shared" si="699"/>
        <v>0</v>
      </c>
      <c r="BB130" s="79">
        <f t="shared" si="700"/>
        <v>0</v>
      </c>
      <c r="BC130" s="2261">
        <f t="shared" si="701"/>
        <v>0</v>
      </c>
      <c r="BD130" s="2261">
        <f t="shared" si="702"/>
        <v>1020.6849999999999</v>
      </c>
      <c r="BE130" s="718">
        <f t="shared" si="703"/>
        <v>20644.858011396012</v>
      </c>
      <c r="BF130" s="718">
        <f t="shared" si="704"/>
        <v>31263.715000000004</v>
      </c>
      <c r="BG130" s="1111"/>
      <c r="BH130" s="1111"/>
      <c r="BI130" s="1111"/>
      <c r="BJ130" s="1111"/>
      <c r="BK130" s="1111"/>
      <c r="BL130" s="23"/>
      <c r="BM130" s="23"/>
      <c r="BN130" s="23"/>
      <c r="BP130" s="491"/>
      <c r="BQ130" s="491"/>
      <c r="BR130" s="491"/>
    </row>
    <row r="131" spans="1:70" ht="15" thickBot="1" x14ac:dyDescent="0.35">
      <c r="B131" s="1661" t="s">
        <v>1222</v>
      </c>
      <c r="C131" s="1279" t="s">
        <v>50</v>
      </c>
      <c r="D131" s="1201">
        <f>D97</f>
        <v>13809.394871794872</v>
      </c>
      <c r="E131" s="1019">
        <f>E114+E97</f>
        <v>1152.5470085470085</v>
      </c>
      <c r="F131" s="1211">
        <f>F114+F97</f>
        <v>0</v>
      </c>
      <c r="G131" s="1019">
        <f>G114+G97</f>
        <v>1190.965242165242</v>
      </c>
      <c r="H131" s="1211">
        <f>H114+H97</f>
        <v>955.15899999999999</v>
      </c>
      <c r="I131" s="663">
        <f>+E131+G131</f>
        <v>2343.5122507122505</v>
      </c>
      <c r="J131" s="58">
        <f>+F131+H131</f>
        <v>955.15899999999999</v>
      </c>
      <c r="K131" s="1019">
        <f>+K113+K97</f>
        <v>14488.307692307691</v>
      </c>
      <c r="L131" s="1211">
        <f>L97+L113</f>
        <v>21898.656000000003</v>
      </c>
      <c r="M131" s="68">
        <f t="shared" si="642"/>
        <v>16831.819943019942</v>
      </c>
      <c r="N131" s="394">
        <f t="shared" si="642"/>
        <v>22853.815000000002</v>
      </c>
      <c r="O131" s="1019">
        <f>+O113+O97</f>
        <v>14971.251282051282</v>
      </c>
      <c r="P131" s="1211">
        <f>P97+P113</f>
        <v>5439.9497780040001</v>
      </c>
      <c r="Q131" s="663">
        <f t="shared" si="667"/>
        <v>31803.071225071224</v>
      </c>
      <c r="R131" s="58">
        <f t="shared" si="668"/>
        <v>28293.764778004002</v>
      </c>
      <c r="S131" s="1019">
        <f>+S113+S97</f>
        <v>14971.251282051282</v>
      </c>
      <c r="T131" s="1211">
        <f>T97+T113</f>
        <v>10510.65</v>
      </c>
      <c r="U131" s="663">
        <f t="shared" si="669"/>
        <v>46774.322507122502</v>
      </c>
      <c r="V131" s="58">
        <f t="shared" si="670"/>
        <v>38804.414778004</v>
      </c>
      <c r="W131" s="1019">
        <f>+W113+W97</f>
        <v>13950.90769230769</v>
      </c>
      <c r="X131" s="1211">
        <f>X97+X113</f>
        <v>2000.3759999999997</v>
      </c>
      <c r="Y131" s="698">
        <f t="shared" ref="Y131" si="706">+O131+S131+W131</f>
        <v>43893.41025641025</v>
      </c>
      <c r="Z131" s="79">
        <f t="shared" ref="Z131" si="707">+P131+T131+X131</f>
        <v>17950.975778003998</v>
      </c>
      <c r="AA131" s="429">
        <f t="shared" ref="AA131" si="708">+M131+Y131</f>
        <v>60725.230199430196</v>
      </c>
      <c r="AB131" s="418">
        <f t="shared" ref="AB131" si="709">+N131+Z131</f>
        <v>40804.790778003997</v>
      </c>
      <c r="AC131" s="1019">
        <f>+AC113+AC97</f>
        <v>14971.251282051282</v>
      </c>
      <c r="AD131" s="1211">
        <f>AD97+AD113</f>
        <v>4598.4065806451608</v>
      </c>
      <c r="AE131" s="663">
        <f t="shared" si="647"/>
        <v>75696.481481481474</v>
      </c>
      <c r="AF131" s="58">
        <f t="shared" si="648"/>
        <v>45403.197358649159</v>
      </c>
      <c r="AG131" s="1019">
        <f>+AG113+AG97</f>
        <v>14488.307692307691</v>
      </c>
      <c r="AH131" s="1211">
        <f>AH97+AH113</f>
        <v>9391.7160000000003</v>
      </c>
      <c r="AI131" s="663">
        <f t="shared" si="649"/>
        <v>90184.789173789162</v>
      </c>
      <c r="AJ131" s="58">
        <f t="shared" si="650"/>
        <v>54794.913358649159</v>
      </c>
      <c r="AK131" s="1019">
        <f>+AK113+AK97</f>
        <v>14971.251282051282</v>
      </c>
      <c r="AL131" s="1211">
        <f>AL97+AL113</f>
        <v>20329.385868131874</v>
      </c>
      <c r="AM131" s="698">
        <f t="shared" si="651"/>
        <v>44430.810256410259</v>
      </c>
      <c r="AN131" s="79">
        <f t="shared" si="652"/>
        <v>34319.508448777036</v>
      </c>
      <c r="AO131" s="697">
        <f t="shared" si="671"/>
        <v>105156.04045584044</v>
      </c>
      <c r="AP131" s="697">
        <f t="shared" si="672"/>
        <v>75124.299226781033</v>
      </c>
      <c r="AQ131" s="1019">
        <f>+AQ113+AQ97</f>
        <v>14971.251282051282</v>
      </c>
      <c r="AR131" s="1211">
        <f>AR97+AR113</f>
        <v>9047.723</v>
      </c>
      <c r="AS131" s="663">
        <f t="shared" si="655"/>
        <v>120127.29173789172</v>
      </c>
      <c r="AT131" s="58">
        <f t="shared" si="656"/>
        <v>84172.022226781031</v>
      </c>
      <c r="AU131" s="1019">
        <f>+AU113+AU97</f>
        <v>13522.420512820512</v>
      </c>
      <c r="AV131" s="1211">
        <f>AV97+AV113</f>
        <v>8303.0489999999991</v>
      </c>
      <c r="AW131" s="663">
        <f t="shared" si="657"/>
        <v>133649.71225071224</v>
      </c>
      <c r="AX131" s="58">
        <f t="shared" si="658"/>
        <v>92475.07122678103</v>
      </c>
      <c r="AY131" s="1019">
        <f>+AY113+AY97</f>
        <v>14971.251282051282</v>
      </c>
      <c r="AZ131" s="1211">
        <f>AZ97+AZ113</f>
        <v>21255.673999999999</v>
      </c>
      <c r="BA131" s="698">
        <f t="shared" ref="BA131" si="710">+AQ131+AU131+AY131</f>
        <v>43464.923076923078</v>
      </c>
      <c r="BB131" s="79">
        <f t="shared" ref="BB131" si="711">+AR131+AV131+AZ131</f>
        <v>38606.445999999996</v>
      </c>
      <c r="BC131" s="2261">
        <f t="shared" si="661"/>
        <v>87895.733333333337</v>
      </c>
      <c r="BD131" s="2261">
        <f t="shared" si="662"/>
        <v>72925.954448777033</v>
      </c>
      <c r="BE131" s="718">
        <f t="shared" si="663"/>
        <v>148620.96353276353</v>
      </c>
      <c r="BF131" s="718">
        <f t="shared" si="664"/>
        <v>113730.74522678103</v>
      </c>
      <c r="BG131" s="1111"/>
      <c r="BH131" s="1111"/>
      <c r="BI131" s="1111"/>
      <c r="BJ131" s="1111"/>
      <c r="BK131" s="1111"/>
      <c r="BL131" s="23"/>
      <c r="BM131" s="23"/>
      <c r="BN131" s="23"/>
      <c r="BP131" s="491"/>
      <c r="BQ131" s="491"/>
      <c r="BR131" s="491"/>
    </row>
    <row r="132" spans="1:70" ht="16.2" thickBot="1" x14ac:dyDescent="0.35">
      <c r="B132" s="1666" t="s">
        <v>13</v>
      </c>
      <c r="C132" s="1281" t="s">
        <v>50</v>
      </c>
      <c r="D132" s="127">
        <f>SUM(D125:D131)</f>
        <v>1339569.1818233617</v>
      </c>
      <c r="E132" s="495">
        <f>SUM(E125:E131)</f>
        <v>109818.6324786325</v>
      </c>
      <c r="F132" s="711">
        <f>SUM(F125:F131)</f>
        <v>107228.598</v>
      </c>
      <c r="G132" s="495">
        <f>SUM(G125:G131)</f>
        <v>113034.53339031337</v>
      </c>
      <c r="H132" s="711">
        <f>SUM(H125:H131)</f>
        <v>106874.042</v>
      </c>
      <c r="I132" s="495">
        <f t="shared" ref="I132:N132" si="712">SUM(I125:I131)</f>
        <v>222853.16586894589</v>
      </c>
      <c r="J132" s="495">
        <f t="shared" si="712"/>
        <v>214102.64000000004</v>
      </c>
      <c r="K132" s="495">
        <f>SUM(K125:K131)</f>
        <v>113142.70085470087</v>
      </c>
      <c r="L132" s="711">
        <f>SUM(L125:L131)</f>
        <v>107847.80100000001</v>
      </c>
      <c r="M132" s="323">
        <f t="shared" si="712"/>
        <v>316291.54935612541</v>
      </c>
      <c r="N132" s="1446">
        <f t="shared" si="712"/>
        <v>290042.696</v>
      </c>
      <c r="O132" s="495">
        <f>SUM(O125:O131)</f>
        <v>116914.12421652423</v>
      </c>
      <c r="P132" s="711">
        <f>SUM(P125:P131)</f>
        <v>112443.682</v>
      </c>
      <c r="Q132" s="495">
        <f t="shared" ref="Q132:R132" si="713">SUM(Q125:Q131)</f>
        <v>433205.67357264948</v>
      </c>
      <c r="R132" s="495">
        <f t="shared" si="713"/>
        <v>402486.37800000003</v>
      </c>
      <c r="S132" s="495">
        <f>SUM(S125:S131)</f>
        <v>116914.12421652423</v>
      </c>
      <c r="T132" s="711">
        <f>SUM(T125:T131)</f>
        <v>112498.17800000001</v>
      </c>
      <c r="U132" s="495">
        <f t="shared" ref="U132:V132" si="714">SUM(U125:U131)</f>
        <v>550119.79778917378</v>
      </c>
      <c r="V132" s="495">
        <f t="shared" si="714"/>
        <v>514984.55599999992</v>
      </c>
      <c r="W132" s="495">
        <f>SUM(W125:W131)</f>
        <v>108899.36410256411</v>
      </c>
      <c r="X132" s="711">
        <f>SUM(X125:X131)</f>
        <v>109054.21900000001</v>
      </c>
      <c r="Y132" s="323">
        <f t="shared" ref="Y132:AF132" si="715">SUM(Y125:Y131)</f>
        <v>342727.61253561254</v>
      </c>
      <c r="Z132" s="323">
        <f t="shared" si="715"/>
        <v>333996.07899999997</v>
      </c>
      <c r="AA132" s="2155">
        <f t="shared" si="715"/>
        <v>659019.16189173795</v>
      </c>
      <c r="AB132" s="427">
        <f t="shared" si="715"/>
        <v>624038.77499999991</v>
      </c>
      <c r="AC132" s="495">
        <f>SUM(AC125:AC131)</f>
        <v>116914.12421652423</v>
      </c>
      <c r="AD132" s="711">
        <f>SUM(AD125:AD131)</f>
        <v>110260.91116870966</v>
      </c>
      <c r="AE132" s="495">
        <f t="shared" si="715"/>
        <v>775933.28610826214</v>
      </c>
      <c r="AF132" s="495">
        <f t="shared" si="715"/>
        <v>734299.68616870954</v>
      </c>
      <c r="AG132" s="495">
        <f>SUM(AG125:AG131)</f>
        <v>113142.70085470087</v>
      </c>
      <c r="AH132" s="711">
        <f>SUM(AH125:AH131)</f>
        <v>107057.86399999999</v>
      </c>
      <c r="AI132" s="495">
        <f t="shared" ref="AI132:AN132" si="716">SUM(AI125:AI131)</f>
        <v>889075.98696296313</v>
      </c>
      <c r="AJ132" s="495">
        <f t="shared" si="716"/>
        <v>841357.55016870948</v>
      </c>
      <c r="AK132" s="495">
        <f>SUM(AK125:AK131)</f>
        <v>116914.12421652423</v>
      </c>
      <c r="AL132" s="711">
        <f>SUM(AL125:AL131)</f>
        <v>109139.52578872739</v>
      </c>
      <c r="AM132" s="323">
        <f t="shared" si="716"/>
        <v>346970.94928774936</v>
      </c>
      <c r="AN132" s="323">
        <f t="shared" si="716"/>
        <v>326458.30095743702</v>
      </c>
      <c r="AO132" s="495">
        <f t="shared" ref="AO132:AT132" si="717">SUM(AO125:AO131)</f>
        <v>1005990.1111794873</v>
      </c>
      <c r="AP132" s="495">
        <f t="shared" si="717"/>
        <v>950497.07595743705</v>
      </c>
      <c r="AQ132" s="495">
        <f>SUM(AQ125:AQ131)</f>
        <v>116914.12421652423</v>
      </c>
      <c r="AR132" s="711">
        <f>SUM(AR125:AR131)</f>
        <v>107527.40699999999</v>
      </c>
      <c r="AS132" s="495">
        <f t="shared" si="717"/>
        <v>1122904.2353960115</v>
      </c>
      <c r="AT132" s="495">
        <f t="shared" si="717"/>
        <v>1058024.4829574372</v>
      </c>
      <c r="AU132" s="495">
        <f>SUM(AU125:AU131)</f>
        <v>105599.85413105412</v>
      </c>
      <c r="AV132" s="711">
        <f>SUM(AV125:AV131)</f>
        <v>98550.257399999988</v>
      </c>
      <c r="AW132" s="495">
        <f t="shared" ref="AW132:AX132" si="718">SUM(AW125:AW131)</f>
        <v>1228504.0895270656</v>
      </c>
      <c r="AX132" s="495">
        <f t="shared" si="718"/>
        <v>1156574.7403574369</v>
      </c>
      <c r="AY132" s="495">
        <f>SUM(AY125:AY131)</f>
        <v>116914.12421652423</v>
      </c>
      <c r="AZ132" s="711">
        <f>SUM(AZ125:AZ131)</f>
        <v>110986.47100000001</v>
      </c>
      <c r="BA132" s="323">
        <f t="shared" ref="BA132:BB132" si="719">SUM(BA125:BA131)</f>
        <v>339428.10256410262</v>
      </c>
      <c r="BB132" s="323">
        <f t="shared" si="719"/>
        <v>317064.13539999997</v>
      </c>
      <c r="BC132" s="2155">
        <f>SUM(BC125:BC131)</f>
        <v>686399.05185185187</v>
      </c>
      <c r="BD132" s="427">
        <f>SUM(BD125:BD131)</f>
        <v>643522.43635743717</v>
      </c>
      <c r="BE132" s="495">
        <f t="shared" ref="BE132:BF132" si="720">SUM(BE125:BE131)</f>
        <v>1345418.2137435898</v>
      </c>
      <c r="BF132" s="495">
        <f t="shared" si="720"/>
        <v>1267561.2113574373</v>
      </c>
      <c r="BG132" s="1111"/>
      <c r="BH132" s="1111"/>
      <c r="BI132" s="1111"/>
      <c r="BJ132" s="1111"/>
      <c r="BK132" s="1111"/>
      <c r="BL132" s="23"/>
      <c r="BM132" s="23"/>
      <c r="BN132" s="23"/>
      <c r="BP132" s="491"/>
      <c r="BQ132" s="491"/>
      <c r="BR132" s="491"/>
    </row>
    <row r="133" spans="1:70" x14ac:dyDescent="0.3">
      <c r="B133" s="1670" t="s">
        <v>1313</v>
      </c>
      <c r="C133" s="1279" t="s">
        <v>50</v>
      </c>
      <c r="D133" s="1201">
        <f t="shared" ref="D133:F134" si="721">+D116+D99</f>
        <v>373856.58381766384</v>
      </c>
      <c r="E133" s="1019">
        <f t="shared" si="721"/>
        <v>30635.829059829059</v>
      </c>
      <c r="F133" s="80">
        <f t="shared" si="721"/>
        <v>27874.712</v>
      </c>
      <c r="G133" s="1019">
        <f t="shared" ref="G133:H133" si="722">+G116+G99</f>
        <v>31529.960455840454</v>
      </c>
      <c r="H133" s="80">
        <f t="shared" si="722"/>
        <v>24320.845999999998</v>
      </c>
      <c r="I133" s="663">
        <f t="shared" ref="I133:J136" si="723">+E133+G133</f>
        <v>62165.789515669516</v>
      </c>
      <c r="J133" s="58">
        <f t="shared" si="723"/>
        <v>52195.557999999997</v>
      </c>
      <c r="K133" s="1019">
        <f>+K116+K99</f>
        <v>27366.803418803418</v>
      </c>
      <c r="L133" s="80">
        <f>+L116+L99</f>
        <v>35330.267999999996</v>
      </c>
      <c r="M133" s="1020">
        <f t="shared" ref="M133:N136" si="724">+E133+G133+K133</f>
        <v>89532.592934472937</v>
      </c>
      <c r="N133" s="1440">
        <f t="shared" si="724"/>
        <v>87525.826000000001</v>
      </c>
      <c r="O133" s="1019">
        <f>+O116+O99</f>
        <v>28279.030199430199</v>
      </c>
      <c r="P133" s="80">
        <f>+P116+P99</f>
        <v>32813.638649700006</v>
      </c>
      <c r="Q133" s="663">
        <f t="shared" ref="Q133:R136" si="725">+M133+O133</f>
        <v>117811.62313390314</v>
      </c>
      <c r="R133" s="58">
        <f t="shared" si="725"/>
        <v>120339.46464970001</v>
      </c>
      <c r="S133" s="1019">
        <f>+S116+S99</f>
        <v>28279.030199430199</v>
      </c>
      <c r="T133" s="80">
        <f>+T116+T99</f>
        <v>28424.789000000001</v>
      </c>
      <c r="U133" s="663">
        <f t="shared" ref="U133:U136" si="726">+Q133+S133</f>
        <v>146090.65333333332</v>
      </c>
      <c r="V133" s="58">
        <f t="shared" ref="V133:V136" si="727">+R133+T133</f>
        <v>148764.2536497</v>
      </c>
      <c r="W133" s="1019">
        <f>+W116+W99</f>
        <v>26351.714529914527</v>
      </c>
      <c r="X133" s="80">
        <f>+X116+X99</f>
        <v>26345.622147800001</v>
      </c>
      <c r="Y133" s="698">
        <f t="shared" ref="Y133:Y136" si="728">+O133+S133+W133</f>
        <v>82909.774928774917</v>
      </c>
      <c r="Z133" s="79">
        <f t="shared" ref="Z133:Z136" si="729">+P133+T133+X133</f>
        <v>87584.049797500018</v>
      </c>
      <c r="AA133" s="429">
        <f t="shared" ref="AA133:AA138" si="730">+M133+Y133</f>
        <v>172442.36786324787</v>
      </c>
      <c r="AB133" s="418">
        <f t="shared" ref="AB133:AB138" si="731">+N133+Z133</f>
        <v>175109.87579750002</v>
      </c>
      <c r="AC133" s="1019">
        <f>+AC116+AC99</f>
        <v>28279.030199430199</v>
      </c>
      <c r="AD133" s="80">
        <f>+AD116+AD99</f>
        <v>25837.684096774195</v>
      </c>
      <c r="AE133" s="663">
        <f t="shared" ref="AE133:AE136" si="732">+AA133+AC133</f>
        <v>200721.39806267805</v>
      </c>
      <c r="AF133" s="58">
        <f t="shared" ref="AF133:AF136" si="733">+AB133+AD133</f>
        <v>200947.55989427422</v>
      </c>
      <c r="AG133" s="1019">
        <f>+AG116+AG99</f>
        <v>27366.803418803418</v>
      </c>
      <c r="AH133" s="80">
        <f>+AH116+AH99</f>
        <v>26571.468999999997</v>
      </c>
      <c r="AI133" s="663">
        <f t="shared" ref="AI133:AI136" si="734">+AE133+AG133</f>
        <v>228088.20148148146</v>
      </c>
      <c r="AJ133" s="58">
        <f t="shared" ref="AJ133:AJ136" si="735">+AF133+AH133</f>
        <v>227519.0288942742</v>
      </c>
      <c r="AK133" s="1019">
        <f>+AK116+AK99</f>
        <v>28279.030199430199</v>
      </c>
      <c r="AL133" s="80">
        <f>+AL116+AL99</f>
        <v>29891.025021978017</v>
      </c>
      <c r="AM133" s="698">
        <f t="shared" ref="AM133:AM136" si="736">+AC133+AG133+AK133</f>
        <v>83924.86381766382</v>
      </c>
      <c r="AN133" s="79">
        <f t="shared" ref="AN133:AN136" si="737">+AD133+AH133+AL133</f>
        <v>82300.178118752214</v>
      </c>
      <c r="AO133" s="697">
        <f t="shared" si="672"/>
        <v>256367.23168091167</v>
      </c>
      <c r="AP133" s="697">
        <f t="shared" si="672"/>
        <v>257410.05391625222</v>
      </c>
      <c r="AQ133" s="1019">
        <f>+AQ116+AQ99</f>
        <v>28279.030199430199</v>
      </c>
      <c r="AR133" s="80">
        <f>+AR116+AR99</f>
        <v>36854.735000000001</v>
      </c>
      <c r="AS133" s="663">
        <f t="shared" ref="AS133:AS136" si="738">+AO133+AQ133</f>
        <v>284646.26188034186</v>
      </c>
      <c r="AT133" s="58">
        <f t="shared" ref="AT133:AT136" si="739">+AP133+AR133</f>
        <v>294264.7889162522</v>
      </c>
      <c r="AU133" s="1019">
        <f>+AU116+AU99</f>
        <v>25542.34985754986</v>
      </c>
      <c r="AV133" s="80">
        <f>+AV116+AV99</f>
        <v>28981.571000000004</v>
      </c>
      <c r="AW133" s="663">
        <f t="shared" ref="AW133:AW136" si="740">+AS133+AU133</f>
        <v>310188.61173789174</v>
      </c>
      <c r="AX133" s="58">
        <f t="shared" ref="AX133:AX136" si="741">+AT133+AV133</f>
        <v>323246.3599162522</v>
      </c>
      <c r="AY133" s="1019">
        <f>+AY116+AY99</f>
        <v>28279.030199430199</v>
      </c>
      <c r="AZ133" s="80">
        <f>+AZ116+AZ99</f>
        <v>29999.494999999999</v>
      </c>
      <c r="BA133" s="698">
        <f t="shared" ref="BA133:BA136" si="742">+AQ133+AU133+AY133</f>
        <v>82100.41025641025</v>
      </c>
      <c r="BB133" s="79">
        <f t="shared" ref="BB133:BB136" si="743">+AR133+AV133+AZ133</f>
        <v>95835.801000000007</v>
      </c>
      <c r="BC133" s="2261">
        <f t="shared" ref="BC133:BC136" si="744">+AM133+BA133</f>
        <v>166025.27407407406</v>
      </c>
      <c r="BD133" s="2261">
        <f t="shared" ref="BD133:BD136" si="745">+AN133+BB133</f>
        <v>178135.97911875224</v>
      </c>
      <c r="BE133" s="718">
        <f t="shared" ref="BE133:BE136" si="746">AW133+AY133</f>
        <v>338467.64193732193</v>
      </c>
      <c r="BF133" s="718">
        <f t="shared" ref="BF133:BF136" si="747">AX133+AZ133</f>
        <v>353245.8549162522</v>
      </c>
      <c r="BG133" s="1111"/>
      <c r="BH133" s="1111"/>
      <c r="BI133" s="1111"/>
      <c r="BJ133" s="1111"/>
      <c r="BK133" s="1111"/>
      <c r="BL133" s="23"/>
      <c r="BM133" s="23"/>
      <c r="BN133" s="23"/>
      <c r="BP133" s="491"/>
      <c r="BQ133" s="491"/>
      <c r="BR133" s="491"/>
    </row>
    <row r="134" spans="1:70" x14ac:dyDescent="0.3">
      <c r="B134" s="1586" t="s">
        <v>595</v>
      </c>
      <c r="C134" s="1522" t="s">
        <v>50</v>
      </c>
      <c r="D134" s="1201">
        <f t="shared" si="721"/>
        <v>0</v>
      </c>
      <c r="E134" s="1019">
        <f t="shared" si="721"/>
        <v>0</v>
      </c>
      <c r="F134" s="80">
        <f t="shared" si="721"/>
        <v>0</v>
      </c>
      <c r="G134" s="1019">
        <f t="shared" ref="G134:H134" si="748">+G117+G100</f>
        <v>0</v>
      </c>
      <c r="H134" s="80">
        <f t="shared" si="748"/>
        <v>2168.6089999999999</v>
      </c>
      <c r="I134" s="663">
        <f t="shared" si="723"/>
        <v>0</v>
      </c>
      <c r="J134" s="58">
        <f t="shared" si="723"/>
        <v>2168.6089999999999</v>
      </c>
      <c r="K134" s="1019">
        <f>+K117+K100</f>
        <v>8049.0598290598291</v>
      </c>
      <c r="L134" s="80">
        <f>+L117+L100</f>
        <v>3411.53</v>
      </c>
      <c r="M134" s="1020">
        <f t="shared" si="724"/>
        <v>8049.0598290598291</v>
      </c>
      <c r="N134" s="1440">
        <f t="shared" si="724"/>
        <v>5580.1390000000001</v>
      </c>
      <c r="O134" s="1019">
        <f>+O117+O100</f>
        <v>8317.3618233618236</v>
      </c>
      <c r="P134" s="80">
        <f>+P117+P100</f>
        <v>0</v>
      </c>
      <c r="Q134" s="663">
        <f t="shared" si="725"/>
        <v>16366.421652421654</v>
      </c>
      <c r="R134" s="58">
        <f t="shared" si="725"/>
        <v>5580.1390000000001</v>
      </c>
      <c r="S134" s="1019">
        <f>+S117+S100</f>
        <v>8317.3618233618236</v>
      </c>
      <c r="T134" s="80">
        <f>+T117+T100</f>
        <v>0</v>
      </c>
      <c r="U134" s="663">
        <f t="shared" si="726"/>
        <v>24683.783475783479</v>
      </c>
      <c r="V134" s="58">
        <f t="shared" si="727"/>
        <v>5580.1390000000001</v>
      </c>
      <c r="W134" s="1019">
        <f>+W117+W100</f>
        <v>7750.5042735042725</v>
      </c>
      <c r="X134" s="80">
        <f>+X117+X100</f>
        <v>0</v>
      </c>
      <c r="Y134" s="698">
        <f t="shared" si="728"/>
        <v>24385.227920227921</v>
      </c>
      <c r="Z134" s="79">
        <f t="shared" si="729"/>
        <v>0</v>
      </c>
      <c r="AA134" s="429">
        <f t="shared" si="730"/>
        <v>32434.287749287749</v>
      </c>
      <c r="AB134" s="418">
        <f t="shared" si="731"/>
        <v>5580.1390000000001</v>
      </c>
      <c r="AC134" s="1019">
        <f>+AC117+AC100</f>
        <v>8317.3618233618236</v>
      </c>
      <c r="AD134" s="80">
        <f>+AD117+AD100</f>
        <v>637.928</v>
      </c>
      <c r="AE134" s="663">
        <f t="shared" si="732"/>
        <v>40751.64957264957</v>
      </c>
      <c r="AF134" s="58">
        <f t="shared" si="733"/>
        <v>6218.067</v>
      </c>
      <c r="AG134" s="1019">
        <f>+AG117+AG100</f>
        <v>8049.0598290598291</v>
      </c>
      <c r="AH134" s="80">
        <f>+AH117+AH100</f>
        <v>0</v>
      </c>
      <c r="AI134" s="663">
        <f t="shared" si="734"/>
        <v>48800.709401709399</v>
      </c>
      <c r="AJ134" s="58">
        <f t="shared" si="735"/>
        <v>6218.067</v>
      </c>
      <c r="AK134" s="1019">
        <f>+AK117+AK100</f>
        <v>8317.3618233618236</v>
      </c>
      <c r="AL134" s="80">
        <f>+AL117+AL100</f>
        <v>2229.3021978021984</v>
      </c>
      <c r="AM134" s="698">
        <f t="shared" si="736"/>
        <v>24683.783475783479</v>
      </c>
      <c r="AN134" s="79">
        <f t="shared" si="737"/>
        <v>2867.2301978021983</v>
      </c>
      <c r="AO134" s="697">
        <f t="shared" ref="AO134:AO136" si="749">AI134+AK134</f>
        <v>57118.071225071224</v>
      </c>
      <c r="AP134" s="697">
        <f t="shared" ref="AP134:AP136" si="750">AJ134+AL134</f>
        <v>8447.369197802198</v>
      </c>
      <c r="AQ134" s="1019">
        <f>+AQ117+AQ100</f>
        <v>8317.3618233618236</v>
      </c>
      <c r="AR134" s="80">
        <f>+AR117+AR100</f>
        <v>0</v>
      </c>
      <c r="AS134" s="663">
        <f t="shared" si="738"/>
        <v>65435.433048433049</v>
      </c>
      <c r="AT134" s="58">
        <f t="shared" si="739"/>
        <v>8447.369197802198</v>
      </c>
      <c r="AU134" s="1019">
        <f>+AU117+AU100</f>
        <v>7512.4558404558411</v>
      </c>
      <c r="AV134" s="80">
        <f>+AV117+AV100</f>
        <v>0</v>
      </c>
      <c r="AW134" s="663">
        <f t="shared" si="740"/>
        <v>72947.888888888891</v>
      </c>
      <c r="AX134" s="58">
        <f t="shared" si="741"/>
        <v>8447.369197802198</v>
      </c>
      <c r="AY134" s="1019">
        <f>+AY117+AY100</f>
        <v>8317.3618233618236</v>
      </c>
      <c r="AZ134" s="80">
        <f>+AZ117+AZ100</f>
        <v>0</v>
      </c>
      <c r="BA134" s="698">
        <f t="shared" si="742"/>
        <v>24147.179487179488</v>
      </c>
      <c r="BB134" s="79">
        <f t="shared" si="743"/>
        <v>0</v>
      </c>
      <c r="BC134" s="2261">
        <f t="shared" si="744"/>
        <v>48830.962962962964</v>
      </c>
      <c r="BD134" s="2261">
        <f t="shared" si="745"/>
        <v>2867.2301978021983</v>
      </c>
      <c r="BE134" s="718">
        <f t="shared" si="746"/>
        <v>81265.250712250709</v>
      </c>
      <c r="BF134" s="718">
        <f t="shared" si="747"/>
        <v>8447.369197802198</v>
      </c>
      <c r="BG134" s="1111"/>
      <c r="BH134" s="1111"/>
      <c r="BI134" s="1111"/>
      <c r="BJ134" s="1111"/>
      <c r="BK134" s="1111"/>
      <c r="BL134" s="23"/>
      <c r="BM134" s="23"/>
      <c r="BN134" s="23"/>
      <c r="BP134" s="491"/>
      <c r="BQ134" s="491"/>
      <c r="BR134" s="491"/>
    </row>
    <row r="135" spans="1:70" x14ac:dyDescent="0.3">
      <c r="B135" s="1586" t="s">
        <v>1299</v>
      </c>
      <c r="C135" s="1522" t="s">
        <v>50</v>
      </c>
      <c r="D135" s="1201">
        <f>+D118+D101</f>
        <v>119356.76133903133</v>
      </c>
      <c r="E135" s="1019">
        <f>+E118+E101</f>
        <v>9819.9829059829062</v>
      </c>
      <c r="F135" s="80">
        <f>F101+F118</f>
        <v>11611.916000000001</v>
      </c>
      <c r="G135" s="1019">
        <f>+G118+G101</f>
        <v>10115.549943019942</v>
      </c>
      <c r="H135" s="80">
        <f>H101+H118</f>
        <v>12898.491</v>
      </c>
      <c r="I135" s="663">
        <f t="shared" si="723"/>
        <v>19935.532849002848</v>
      </c>
      <c r="J135" s="58">
        <f t="shared" si="723"/>
        <v>24510.406999999999</v>
      </c>
      <c r="K135" s="1019">
        <f>+K118+K101</f>
        <v>0</v>
      </c>
      <c r="L135" s="80">
        <f>L101+L118</f>
        <v>0</v>
      </c>
      <c r="M135" s="1020">
        <f t="shared" ref="M135" si="751">+E135+G135+K135</f>
        <v>19935.532849002848</v>
      </c>
      <c r="N135" s="1440">
        <f t="shared" ref="N135" si="752">+F135+H135+L135</f>
        <v>24510.406999999999</v>
      </c>
      <c r="O135" s="1019">
        <f>+O118+O101</f>
        <v>0</v>
      </c>
      <c r="P135" s="80">
        <f>P101+P118</f>
        <v>3516.6805570259999</v>
      </c>
      <c r="Q135" s="663">
        <f t="shared" ref="Q135" si="753">+M135+O135</f>
        <v>19935.532849002848</v>
      </c>
      <c r="R135" s="58">
        <f t="shared" ref="R135" si="754">+N135+P135</f>
        <v>28027.087557026</v>
      </c>
      <c r="S135" s="1019">
        <f>+S118+S101</f>
        <v>0</v>
      </c>
      <c r="T135" s="80">
        <f>T101+T118</f>
        <v>0</v>
      </c>
      <c r="U135" s="663">
        <f t="shared" si="726"/>
        <v>19935.532849002848</v>
      </c>
      <c r="V135" s="58">
        <f t="shared" si="727"/>
        <v>28027.087557026</v>
      </c>
      <c r="W135" s="1019">
        <f>+W118+W101</f>
        <v>0</v>
      </c>
      <c r="X135" s="80">
        <f>X101+X118</f>
        <v>8978.3327800000006</v>
      </c>
      <c r="Y135" s="698">
        <f t="shared" si="728"/>
        <v>0</v>
      </c>
      <c r="Z135" s="79">
        <f t="shared" si="729"/>
        <v>12495.013337026001</v>
      </c>
      <c r="AA135" s="429">
        <f t="shared" si="730"/>
        <v>19935.532849002848</v>
      </c>
      <c r="AB135" s="418">
        <f t="shared" si="731"/>
        <v>37005.420337026</v>
      </c>
      <c r="AC135" s="1019">
        <f>+AC118+AC101</f>
        <v>0</v>
      </c>
      <c r="AD135" s="80">
        <f>AD101+AD118</f>
        <v>13411.898258064517</v>
      </c>
      <c r="AE135" s="663">
        <f t="shared" si="732"/>
        <v>19935.532849002848</v>
      </c>
      <c r="AF135" s="58">
        <f t="shared" si="733"/>
        <v>50417.318595090517</v>
      </c>
      <c r="AG135" s="1019">
        <f>+AG118+AG101</f>
        <v>0</v>
      </c>
      <c r="AH135" s="80">
        <f>AH101+AH118</f>
        <v>11949.976999999999</v>
      </c>
      <c r="AI135" s="663">
        <f t="shared" si="734"/>
        <v>19935.532849002848</v>
      </c>
      <c r="AJ135" s="58">
        <f t="shared" si="735"/>
        <v>62367.295595090516</v>
      </c>
      <c r="AK135" s="1019">
        <f>+AK118+AK101</f>
        <v>0</v>
      </c>
      <c r="AL135" s="80">
        <f>AL101+AL118</f>
        <v>7684.0217692307697</v>
      </c>
      <c r="AM135" s="698">
        <f t="shared" si="736"/>
        <v>0</v>
      </c>
      <c r="AN135" s="79">
        <f t="shared" si="737"/>
        <v>33045.897027295287</v>
      </c>
      <c r="AO135" s="697">
        <f t="shared" si="749"/>
        <v>19935.532849002848</v>
      </c>
      <c r="AP135" s="697">
        <f t="shared" si="750"/>
        <v>70051.317364321279</v>
      </c>
      <c r="AQ135" s="1019">
        <f>+AQ118+AQ101</f>
        <v>0</v>
      </c>
      <c r="AR135" s="80">
        <f>AR101+AR118</f>
        <v>3889.6199999999994</v>
      </c>
      <c r="AS135" s="663">
        <f t="shared" si="738"/>
        <v>19935.532849002848</v>
      </c>
      <c r="AT135" s="58">
        <f t="shared" si="739"/>
        <v>73940.937364321275</v>
      </c>
      <c r="AU135" s="1019">
        <f>+AU118+AU101</f>
        <v>0</v>
      </c>
      <c r="AV135" s="80">
        <f>AV101+AV118</f>
        <v>7803.3330000000005</v>
      </c>
      <c r="AW135" s="663">
        <f t="shared" si="740"/>
        <v>19935.532849002848</v>
      </c>
      <c r="AX135" s="58">
        <f t="shared" si="741"/>
        <v>81744.270364321274</v>
      </c>
      <c r="AY135" s="1019">
        <f>+AY118+AY101</f>
        <v>0</v>
      </c>
      <c r="AZ135" s="80">
        <f>AZ101+AZ118</f>
        <v>11443.187</v>
      </c>
      <c r="BA135" s="698">
        <f t="shared" si="742"/>
        <v>0</v>
      </c>
      <c r="BB135" s="79">
        <f t="shared" si="743"/>
        <v>23136.14</v>
      </c>
      <c r="BC135" s="2261">
        <f t="shared" si="744"/>
        <v>0</v>
      </c>
      <c r="BD135" s="2261">
        <f t="shared" si="745"/>
        <v>56182.037027295286</v>
      </c>
      <c r="BE135" s="718">
        <f t="shared" si="746"/>
        <v>19935.532849002848</v>
      </c>
      <c r="BF135" s="718">
        <f t="shared" si="747"/>
        <v>93187.457364321279</v>
      </c>
      <c r="BG135" s="1111"/>
      <c r="BH135" s="1111"/>
      <c r="BI135" s="1111"/>
      <c r="BJ135" s="1111"/>
      <c r="BK135" s="1111"/>
      <c r="BL135" s="23"/>
      <c r="BM135" s="23"/>
      <c r="BN135" s="23"/>
      <c r="BP135" s="491"/>
      <c r="BQ135" s="491"/>
      <c r="BR135" s="491"/>
    </row>
    <row r="136" spans="1:70" ht="15" thickBot="1" x14ac:dyDescent="0.35">
      <c r="B136" s="1586" t="s">
        <v>1312</v>
      </c>
      <c r="C136" s="1522" t="s">
        <v>50</v>
      </c>
      <c r="D136" s="1201">
        <f>+D119+D102</f>
        <v>0</v>
      </c>
      <c r="E136" s="1023">
        <f>+E119+E102</f>
        <v>0</v>
      </c>
      <c r="F136" s="114">
        <f>+F119+F102</f>
        <v>0</v>
      </c>
      <c r="G136" s="1023">
        <f>+G119+G102</f>
        <v>0</v>
      </c>
      <c r="H136" s="114">
        <f>+H119+H102</f>
        <v>0</v>
      </c>
      <c r="I136" s="663">
        <f t="shared" si="723"/>
        <v>0</v>
      </c>
      <c r="J136" s="58">
        <f t="shared" si="723"/>
        <v>0</v>
      </c>
      <c r="K136" s="1023">
        <f>+K119+K102</f>
        <v>4829.4358974358975</v>
      </c>
      <c r="L136" s="114">
        <f>+L119+L102</f>
        <v>0</v>
      </c>
      <c r="M136" s="68">
        <f t="shared" si="724"/>
        <v>4829.4358974358975</v>
      </c>
      <c r="N136" s="115">
        <f t="shared" si="724"/>
        <v>0</v>
      </c>
      <c r="O136" s="1023">
        <f>+O119+O102</f>
        <v>4990.4170940170934</v>
      </c>
      <c r="P136" s="114">
        <f>+P119+P102</f>
        <v>3741.8205570259997</v>
      </c>
      <c r="Q136" s="663">
        <f t="shared" si="725"/>
        <v>9819.85299145299</v>
      </c>
      <c r="R136" s="58">
        <f t="shared" si="725"/>
        <v>3741.8205570259997</v>
      </c>
      <c r="S136" s="1023">
        <f>+S119+S102</f>
        <v>4990.4170940170934</v>
      </c>
      <c r="T136" s="114">
        <f>+T119+T102</f>
        <v>11341.484</v>
      </c>
      <c r="U136" s="663">
        <f t="shared" si="726"/>
        <v>14810.270085470083</v>
      </c>
      <c r="V136" s="58">
        <f t="shared" si="727"/>
        <v>15083.304557026</v>
      </c>
      <c r="W136" s="1023">
        <f>+W119+W102</f>
        <v>4650.3025641025642</v>
      </c>
      <c r="X136" s="114">
        <f>+X119+X102</f>
        <v>3221.8694779999996</v>
      </c>
      <c r="Y136" s="698">
        <f t="shared" si="728"/>
        <v>14631.13675213675</v>
      </c>
      <c r="Z136" s="79">
        <f t="shared" si="729"/>
        <v>18305.174035026001</v>
      </c>
      <c r="AA136" s="429">
        <f t="shared" si="730"/>
        <v>19460.572649572649</v>
      </c>
      <c r="AB136" s="418">
        <f t="shared" si="731"/>
        <v>18305.174035026001</v>
      </c>
      <c r="AC136" s="1023">
        <f>+AC119+AC102</f>
        <v>4990.4170940170934</v>
      </c>
      <c r="AD136" s="114">
        <f>+AD119+AD102</f>
        <v>0</v>
      </c>
      <c r="AE136" s="663">
        <f t="shared" si="732"/>
        <v>24450.989743589744</v>
      </c>
      <c r="AF136" s="58">
        <f t="shared" si="733"/>
        <v>18305.174035026001</v>
      </c>
      <c r="AG136" s="1023">
        <f>+AG119+AG102</f>
        <v>4829.4358974358975</v>
      </c>
      <c r="AH136" s="114">
        <f>+AH119+AH102</f>
        <v>0</v>
      </c>
      <c r="AI136" s="663">
        <f t="shared" si="734"/>
        <v>29280.425641025642</v>
      </c>
      <c r="AJ136" s="58">
        <f t="shared" si="735"/>
        <v>18305.174035026001</v>
      </c>
      <c r="AK136" s="1023">
        <f>+AK119+AK102</f>
        <v>4990.4170940170934</v>
      </c>
      <c r="AL136" s="114">
        <f>+AL119+AL102</f>
        <v>0</v>
      </c>
      <c r="AM136" s="698">
        <f t="shared" si="736"/>
        <v>14810.270085470083</v>
      </c>
      <c r="AN136" s="79">
        <f t="shared" si="737"/>
        <v>0</v>
      </c>
      <c r="AO136" s="697">
        <f t="shared" si="749"/>
        <v>34270.842735042737</v>
      </c>
      <c r="AP136" s="697">
        <f t="shared" si="750"/>
        <v>18305.174035026001</v>
      </c>
      <c r="AQ136" s="1023">
        <f>+AQ119+AQ102</f>
        <v>4990.4170940170934</v>
      </c>
      <c r="AR136" s="114">
        <f>+AR119+AR102</f>
        <v>0</v>
      </c>
      <c r="AS136" s="663">
        <f t="shared" si="738"/>
        <v>39261.259829059833</v>
      </c>
      <c r="AT136" s="58">
        <f t="shared" si="739"/>
        <v>18305.174035026001</v>
      </c>
      <c r="AU136" s="1023">
        <f>+AU119+AU102</f>
        <v>4507.4735042735037</v>
      </c>
      <c r="AV136" s="114">
        <f>+AV119+AV102</f>
        <v>0</v>
      </c>
      <c r="AW136" s="663">
        <f t="shared" si="740"/>
        <v>43768.733333333337</v>
      </c>
      <c r="AX136" s="58">
        <f t="shared" si="741"/>
        <v>18305.174035026001</v>
      </c>
      <c r="AY136" s="1023">
        <f>+AY119+AY102</f>
        <v>4990.4170940170934</v>
      </c>
      <c r="AZ136" s="114">
        <f>+AZ119+AZ102</f>
        <v>0</v>
      </c>
      <c r="BA136" s="698">
        <f t="shared" si="742"/>
        <v>14488.30769230769</v>
      </c>
      <c r="BB136" s="79">
        <f t="shared" si="743"/>
        <v>0</v>
      </c>
      <c r="BC136" s="2261">
        <f t="shared" si="744"/>
        <v>29298.577777777773</v>
      </c>
      <c r="BD136" s="2261">
        <f t="shared" si="745"/>
        <v>0</v>
      </c>
      <c r="BE136" s="718">
        <f t="shared" si="746"/>
        <v>48759.150427350432</v>
      </c>
      <c r="BF136" s="718">
        <f t="shared" si="747"/>
        <v>18305.174035026001</v>
      </c>
      <c r="BG136" s="1111"/>
      <c r="BH136" s="1111"/>
      <c r="BI136" s="1111"/>
      <c r="BJ136" s="1111"/>
      <c r="BK136" s="1111"/>
      <c r="BL136" s="23"/>
      <c r="BM136" s="23"/>
      <c r="BN136" s="23"/>
      <c r="BP136" s="491"/>
      <c r="BQ136" s="491"/>
      <c r="BR136" s="491"/>
    </row>
    <row r="137" spans="1:70" ht="16.2" thickBot="1" x14ac:dyDescent="0.35">
      <c r="B137" s="1665" t="s">
        <v>133</v>
      </c>
      <c r="C137" s="1523" t="s">
        <v>50</v>
      </c>
      <c r="D137" s="127">
        <f>SUM(D133:D136)</f>
        <v>493213.34515669517</v>
      </c>
      <c r="E137" s="495">
        <f>SUM(E133:E136)</f>
        <v>40455.811965811969</v>
      </c>
      <c r="F137" s="87">
        <f>SUM(F133:F136)</f>
        <v>39486.627999999997</v>
      </c>
      <c r="G137" s="495">
        <f>SUM(G133:G136)</f>
        <v>41645.510398860395</v>
      </c>
      <c r="H137" s="87">
        <f>SUM(H133:H136)</f>
        <v>39387.945999999996</v>
      </c>
      <c r="I137" s="24">
        <f t="shared" ref="I137:N137" si="755">SUM(I133:I136)</f>
        <v>82101.322364672364</v>
      </c>
      <c r="J137" s="24">
        <f t="shared" si="755"/>
        <v>78874.573999999993</v>
      </c>
      <c r="K137" s="495">
        <f>SUM(K133:K136)</f>
        <v>40245.299145299148</v>
      </c>
      <c r="L137" s="87">
        <f>SUM(L133:L136)</f>
        <v>38741.797999999995</v>
      </c>
      <c r="M137" s="323">
        <f t="shared" si="755"/>
        <v>122346.6215099715</v>
      </c>
      <c r="N137" s="1374">
        <f t="shared" si="755"/>
        <v>117616.372</v>
      </c>
      <c r="O137" s="495">
        <f>SUM(O133:O136)</f>
        <v>41586.80911680912</v>
      </c>
      <c r="P137" s="87">
        <f>SUM(P133:P136)</f>
        <v>40072.139763751999</v>
      </c>
      <c r="Q137" s="24">
        <f t="shared" ref="Q137:R137" si="756">SUM(Q133:Q136)</f>
        <v>163933.43062678064</v>
      </c>
      <c r="R137" s="24">
        <f t="shared" si="756"/>
        <v>157688.511763752</v>
      </c>
      <c r="S137" s="495">
        <f>SUM(S133:S136)</f>
        <v>41586.80911680912</v>
      </c>
      <c r="T137" s="87">
        <f>SUM(T133:T136)</f>
        <v>39766.273000000001</v>
      </c>
      <c r="U137" s="24">
        <f t="shared" ref="U137:V137" si="757">SUM(U133:U136)</f>
        <v>205520.23974358974</v>
      </c>
      <c r="V137" s="24">
        <f t="shared" si="757"/>
        <v>197454.78476375202</v>
      </c>
      <c r="W137" s="495">
        <f>SUM(W133:W136)</f>
        <v>38752.521367521367</v>
      </c>
      <c r="X137" s="87">
        <f>SUM(X133:X136)</f>
        <v>38545.824405800005</v>
      </c>
      <c r="Y137" s="671">
        <f t="shared" ref="Y137" si="758">SUM(Y133:Y136)</f>
        <v>121926.13960113958</v>
      </c>
      <c r="Z137" s="671">
        <f>SUM(Z133:Z136)</f>
        <v>118384.23716955201</v>
      </c>
      <c r="AA137" s="2155">
        <f t="shared" si="730"/>
        <v>244272.76111111109</v>
      </c>
      <c r="AB137" s="427">
        <f t="shared" si="731"/>
        <v>236000.60916955202</v>
      </c>
      <c r="AC137" s="495">
        <f>SUM(AC133:AC136)</f>
        <v>41586.80911680912</v>
      </c>
      <c r="AD137" s="87">
        <f>SUM(AD133:AD136)</f>
        <v>39887.510354838712</v>
      </c>
      <c r="AE137" s="24">
        <f t="shared" ref="AE137:AF137" si="759">SUM(AE133:AE136)</f>
        <v>285859.57022792019</v>
      </c>
      <c r="AF137" s="24">
        <f t="shared" si="759"/>
        <v>275888.11952439073</v>
      </c>
      <c r="AG137" s="495">
        <f>SUM(AG133:AG136)</f>
        <v>40245.299145299148</v>
      </c>
      <c r="AH137" s="87">
        <f>SUM(AH133:AH136)</f>
        <v>38521.445999999996</v>
      </c>
      <c r="AI137" s="24">
        <f t="shared" ref="AI137:AM137" si="760">SUM(AI133:AI136)</f>
        <v>326104.86937321938</v>
      </c>
      <c r="AJ137" s="24">
        <f t="shared" si="760"/>
        <v>314409.56552439072</v>
      </c>
      <c r="AK137" s="495">
        <f>SUM(AK133:AK136)</f>
        <v>41586.80911680912</v>
      </c>
      <c r="AL137" s="87">
        <f>SUM(AL133:AL136)</f>
        <v>39804.348989010985</v>
      </c>
      <c r="AM137" s="671">
        <f t="shared" si="760"/>
        <v>123418.91737891738</v>
      </c>
      <c r="AN137" s="671">
        <f>SUM(AN133:AN136)</f>
        <v>118213.3053438497</v>
      </c>
      <c r="AO137" s="24">
        <f t="shared" ref="AO137:AT137" si="761">SUM(AO133:AO136)</f>
        <v>367691.67849002848</v>
      </c>
      <c r="AP137" s="24">
        <f t="shared" si="761"/>
        <v>354213.91451340169</v>
      </c>
      <c r="AQ137" s="495">
        <f>SUM(AQ133:AQ136)</f>
        <v>41586.80911680912</v>
      </c>
      <c r="AR137" s="87">
        <f>SUM(AR133:AR136)</f>
        <v>40744.355000000003</v>
      </c>
      <c r="AS137" s="24">
        <f t="shared" si="761"/>
        <v>409278.48760683759</v>
      </c>
      <c r="AT137" s="24">
        <f t="shared" si="761"/>
        <v>394958.26951340167</v>
      </c>
      <c r="AU137" s="495">
        <f>SUM(AU133:AU136)</f>
        <v>37562.279202279205</v>
      </c>
      <c r="AV137" s="87">
        <f>SUM(AV133:AV136)</f>
        <v>36784.904000000002</v>
      </c>
      <c r="AW137" s="24">
        <f t="shared" ref="AW137:AX137" si="762">SUM(AW133:AW136)</f>
        <v>446840.76680911682</v>
      </c>
      <c r="AX137" s="24">
        <f t="shared" si="762"/>
        <v>431743.17351340165</v>
      </c>
      <c r="AY137" s="495">
        <f>SUM(AY133:AY136)</f>
        <v>41586.80911680912</v>
      </c>
      <c r="AZ137" s="87">
        <f>SUM(AZ133:AZ136)</f>
        <v>41442.682000000001</v>
      </c>
      <c r="BA137" s="671">
        <f t="shared" ref="BA137" si="763">SUM(BA133:BA136)</f>
        <v>120735.89743589742</v>
      </c>
      <c r="BB137" s="671">
        <f>SUM(BB133:BB136)</f>
        <v>118971.94100000001</v>
      </c>
      <c r="BC137" s="2261">
        <f>+AM137+BA137</f>
        <v>244154.8148148148</v>
      </c>
      <c r="BD137" s="2261">
        <f>+AN137+BB137</f>
        <v>237185.24634384969</v>
      </c>
      <c r="BE137" s="24">
        <f t="shared" ref="BE137:BF137" si="764">SUM(BE133:BE136)</f>
        <v>488427.57592592592</v>
      </c>
      <c r="BF137" s="24">
        <f t="shared" si="764"/>
        <v>473185.85551340168</v>
      </c>
      <c r="BG137" s="1111"/>
      <c r="BH137" s="1111"/>
      <c r="BI137" s="1111"/>
      <c r="BJ137" s="1111"/>
      <c r="BK137" s="1111"/>
      <c r="BL137" s="23"/>
      <c r="BM137" s="23"/>
      <c r="BN137" s="23"/>
      <c r="BP137" s="491"/>
      <c r="BQ137" s="491"/>
      <c r="BR137" s="491"/>
    </row>
    <row r="138" spans="1:70" ht="16.2" thickBot="1" x14ac:dyDescent="0.35">
      <c r="A138" s="136"/>
      <c r="B138" s="1671" t="s">
        <v>12</v>
      </c>
      <c r="C138" s="1281" t="s">
        <v>50</v>
      </c>
      <c r="D138" s="127">
        <f>+D132+D137</f>
        <v>1832782.5269800569</v>
      </c>
      <c r="E138" s="495">
        <f>+E132+E137</f>
        <v>150274.44444444447</v>
      </c>
      <c r="F138" s="87">
        <f>+F132+F137</f>
        <v>146715.226</v>
      </c>
      <c r="G138" s="495">
        <f>+G132+G137</f>
        <v>154680.04378917377</v>
      </c>
      <c r="H138" s="87">
        <f>+H132+H137</f>
        <v>146261.98800000001</v>
      </c>
      <c r="I138" s="24">
        <f t="shared" ref="I138:N138" si="765">+I132+I137</f>
        <v>304954.48823361826</v>
      </c>
      <c r="J138" s="24">
        <f t="shared" si="765"/>
        <v>292977.21400000004</v>
      </c>
      <c r="K138" s="495">
        <f>+K132+K137</f>
        <v>153388.00000000003</v>
      </c>
      <c r="L138" s="87">
        <f>+L132+L137</f>
        <v>146589.59899999999</v>
      </c>
      <c r="M138" s="323">
        <f t="shared" si="765"/>
        <v>438638.17086609692</v>
      </c>
      <c r="N138" s="1374">
        <f t="shared" si="765"/>
        <v>407659.06799999997</v>
      </c>
      <c r="O138" s="495">
        <f>+O132+O137</f>
        <v>158500.93333333335</v>
      </c>
      <c r="P138" s="87">
        <f>+P132+P137</f>
        <v>152515.821763752</v>
      </c>
      <c r="Q138" s="24">
        <f t="shared" ref="Q138:R138" si="766">+Q132+Q137</f>
        <v>597139.10419943009</v>
      </c>
      <c r="R138" s="24">
        <f t="shared" si="766"/>
        <v>560174.889763752</v>
      </c>
      <c r="S138" s="495">
        <f>+S132+S137</f>
        <v>158500.93333333335</v>
      </c>
      <c r="T138" s="87">
        <f>+T132+T137</f>
        <v>152264.451</v>
      </c>
      <c r="U138" s="24">
        <f t="shared" ref="U138:V138" si="767">+U132+U137</f>
        <v>755640.03753276356</v>
      </c>
      <c r="V138" s="24">
        <f t="shared" si="767"/>
        <v>712439.34076375188</v>
      </c>
      <c r="W138" s="495">
        <f>+W132+W137</f>
        <v>147651.88547008549</v>
      </c>
      <c r="X138" s="87">
        <f>+X132+X137</f>
        <v>147600.04340580001</v>
      </c>
      <c r="Y138" s="671">
        <f t="shared" ref="Y138:Z138" si="768">+Y132+Y137</f>
        <v>464653.75213675213</v>
      </c>
      <c r="Z138" s="671">
        <f t="shared" si="768"/>
        <v>452380.31616955198</v>
      </c>
      <c r="AA138" s="2155">
        <f t="shared" si="730"/>
        <v>903291.9230028491</v>
      </c>
      <c r="AB138" s="427">
        <f t="shared" si="731"/>
        <v>860039.38416955201</v>
      </c>
      <c r="AC138" s="495">
        <f>+AC132+AC137</f>
        <v>158500.93333333335</v>
      </c>
      <c r="AD138" s="87">
        <f>+AD132+AD137</f>
        <v>150148.42152354837</v>
      </c>
      <c r="AE138" s="24">
        <f t="shared" ref="AE138:AF138" si="769">+AE132+AE137</f>
        <v>1061792.8563361824</v>
      </c>
      <c r="AF138" s="24">
        <f t="shared" si="769"/>
        <v>1010187.8056931002</v>
      </c>
      <c r="AG138" s="495">
        <f>+AG132+AG137</f>
        <v>153388.00000000003</v>
      </c>
      <c r="AH138" s="87">
        <f>+AH132+AH137</f>
        <v>145579.31</v>
      </c>
      <c r="AI138" s="24">
        <f t="shared" ref="AI138:AJ138" si="770">+AI132+AI137</f>
        <v>1215180.8563361824</v>
      </c>
      <c r="AJ138" s="24">
        <f t="shared" si="770"/>
        <v>1155767.1156931003</v>
      </c>
      <c r="AK138" s="495">
        <f>+AK132+AK137</f>
        <v>158500.93333333335</v>
      </c>
      <c r="AL138" s="87">
        <f>+AL132+AL137</f>
        <v>148943.87477773838</v>
      </c>
      <c r="AM138" s="671">
        <f t="shared" ref="AM138:AT138" si="771">+AM132+AM137</f>
        <v>470389.86666666676</v>
      </c>
      <c r="AN138" s="671">
        <f t="shared" si="771"/>
        <v>444671.60630128672</v>
      </c>
      <c r="AO138" s="24">
        <f t="shared" si="771"/>
        <v>1373681.7896695158</v>
      </c>
      <c r="AP138" s="24">
        <f t="shared" si="771"/>
        <v>1304710.9904708387</v>
      </c>
      <c r="AQ138" s="495">
        <f>+AQ132+AQ137</f>
        <v>158500.93333333335</v>
      </c>
      <c r="AR138" s="87">
        <f>+AR132+AR137</f>
        <v>148271.76199999999</v>
      </c>
      <c r="AS138" s="24">
        <f t="shared" si="771"/>
        <v>1532182.7230028491</v>
      </c>
      <c r="AT138" s="24">
        <f t="shared" si="771"/>
        <v>1452982.7524708388</v>
      </c>
      <c r="AU138" s="495">
        <f>+AU132+AU137</f>
        <v>143162.13333333333</v>
      </c>
      <c r="AV138" s="87">
        <f>+AV132+AV137</f>
        <v>135335.16139999998</v>
      </c>
      <c r="AW138" s="24">
        <f t="shared" ref="AW138:AX138" si="772">+AW132+AW137</f>
        <v>1675344.8563361824</v>
      </c>
      <c r="AX138" s="24">
        <f t="shared" si="772"/>
        <v>1588317.9138708385</v>
      </c>
      <c r="AY138" s="495">
        <f>+AY132+AY137</f>
        <v>158500.93333333335</v>
      </c>
      <c r="AZ138" s="87">
        <f>+AZ132+AZ137</f>
        <v>152429.15299999999</v>
      </c>
      <c r="BA138" s="671">
        <f t="shared" ref="BA138:BB138" si="773">+BA132+BA137</f>
        <v>460164.00000000006</v>
      </c>
      <c r="BB138" s="671">
        <f t="shared" si="773"/>
        <v>436036.07639999996</v>
      </c>
      <c r="BC138" s="2261">
        <f>+AM138+BA138</f>
        <v>930553.86666666681</v>
      </c>
      <c r="BD138" s="2261">
        <f>+AN138+BB138</f>
        <v>880707.68270128663</v>
      </c>
      <c r="BE138" s="24">
        <f t="shared" ref="BE138:BF138" si="774">+BE132+BE137</f>
        <v>1833845.7896695158</v>
      </c>
      <c r="BF138" s="24">
        <f t="shared" si="774"/>
        <v>1740747.0668708389</v>
      </c>
      <c r="BG138" s="1111"/>
      <c r="BH138" s="1111"/>
      <c r="BI138" s="1111"/>
      <c r="BJ138" s="1111"/>
      <c r="BK138" s="1111"/>
      <c r="BL138" s="23"/>
      <c r="BM138" s="23"/>
      <c r="BN138" s="23"/>
      <c r="BP138" s="491"/>
      <c r="BQ138" s="491"/>
      <c r="BR138" s="491"/>
    </row>
    <row r="139" spans="1:70" ht="15" thickBot="1" x14ac:dyDescent="0.35">
      <c r="B139" s="1672" t="s">
        <v>1134</v>
      </c>
      <c r="C139" s="1279" t="s">
        <v>50</v>
      </c>
      <c r="D139" s="5166">
        <v>138531.61349675967</v>
      </c>
      <c r="E139" s="5167">
        <f>E122+E105</f>
        <v>11421.89349112426</v>
      </c>
      <c r="F139" s="80">
        <f>+F105+F122</f>
        <v>11231.286</v>
      </c>
      <c r="G139" s="5167">
        <f>G122+G105</f>
        <v>11771.206621583544</v>
      </c>
      <c r="H139" s="80">
        <f>+H105+H122</f>
        <v>11289.795</v>
      </c>
      <c r="I139" s="58">
        <f>+E139+G139</f>
        <v>23193.100112707805</v>
      </c>
      <c r="J139" s="58">
        <f>+F139+H139</f>
        <v>22521.080999999998</v>
      </c>
      <c r="K139" s="6113"/>
      <c r="L139" s="1210">
        <f>+L105+L122</f>
        <v>10295.391</v>
      </c>
      <c r="M139" s="6116"/>
      <c r="N139" s="1448">
        <f>+F139+H139+L139</f>
        <v>32816.471999999994</v>
      </c>
      <c r="O139" s="6113"/>
      <c r="P139" s="1210">
        <f>+P105+P122</f>
        <v>9792.6059999999998</v>
      </c>
      <c r="Q139" s="6114"/>
      <c r="R139" s="58">
        <f>+N139+P139</f>
        <v>42609.077999999994</v>
      </c>
      <c r="S139" s="6113"/>
      <c r="T139" s="1210">
        <f>+T105+T122</f>
        <v>11035.929</v>
      </c>
      <c r="U139" s="6114"/>
      <c r="V139" s="58">
        <f>+R139+T139</f>
        <v>53645.006999999998</v>
      </c>
      <c r="W139" s="6113"/>
      <c r="X139" s="1210">
        <f>+X105+X122</f>
        <v>10692.960999999999</v>
      </c>
      <c r="Y139" s="6116"/>
      <c r="Z139" s="1020">
        <f t="shared" ref="Z139" si="775">+P139+T139+X139</f>
        <v>31521.495999999999</v>
      </c>
      <c r="AA139" s="6125"/>
      <c r="AB139" s="731">
        <f t="shared" ref="AB139" si="776">+N139+Z139</f>
        <v>64337.967999999993</v>
      </c>
      <c r="AC139" s="6113"/>
      <c r="AD139" s="1210">
        <f>+AD105+AD122</f>
        <v>10879.806</v>
      </c>
      <c r="AE139" s="6114"/>
      <c r="AF139" s="58">
        <f t="shared" ref="AF139" si="777">+AB139+AD139</f>
        <v>75217.77399999999</v>
      </c>
      <c r="AG139" s="6113"/>
      <c r="AH139" s="1210">
        <f>+AH105+AH122</f>
        <v>10474.189999999999</v>
      </c>
      <c r="AI139" s="6114"/>
      <c r="AJ139" s="58">
        <f t="shared" ref="AJ139" si="778">+AF139+AH139</f>
        <v>85691.963999999993</v>
      </c>
      <c r="AK139" s="6113"/>
      <c r="AL139" s="1210">
        <f>+AL105+AL122</f>
        <v>12313.304343140731</v>
      </c>
      <c r="AM139" s="6116"/>
      <c r="AN139" s="1020">
        <f t="shared" ref="AN139" si="779">+AD139+AH139+AL139</f>
        <v>33667.300343140727</v>
      </c>
      <c r="AO139" s="6114"/>
      <c r="AP139" s="697">
        <f t="shared" ref="AP139" si="780">AJ139+AL139</f>
        <v>98005.26834314072</v>
      </c>
      <c r="AQ139" s="6113"/>
      <c r="AR139" s="1210">
        <f>+AR105+AR122</f>
        <v>12483.019</v>
      </c>
      <c r="AS139" s="6114"/>
      <c r="AT139" s="58">
        <f t="shared" ref="AT139" si="781">+AP139+AR139</f>
        <v>110488.28734314072</v>
      </c>
      <c r="AU139" s="6113"/>
      <c r="AV139" s="1210">
        <f>+AV105+AV122</f>
        <v>9805.5895999999993</v>
      </c>
      <c r="AW139" s="6114"/>
      <c r="AX139" s="58">
        <f t="shared" ref="AX139" si="782">+AT139+AV139</f>
        <v>120293.87694314073</v>
      </c>
      <c r="AY139" s="6113"/>
      <c r="AZ139" s="1210">
        <f>+AZ105+AZ122</f>
        <v>11044.577000000001</v>
      </c>
      <c r="BA139" s="6116"/>
      <c r="BB139" s="1020">
        <f t="shared" ref="BB139" si="783">+AR139+AV139+AZ139</f>
        <v>33333.185599999997</v>
      </c>
      <c r="BC139" s="6125"/>
      <c r="BD139" s="2261">
        <f>+AN139+BB139</f>
        <v>67000.485943140724</v>
      </c>
      <c r="BE139" s="6114"/>
      <c r="BF139" s="718">
        <f t="shared" ref="BF139" si="784">AX139+AZ139</f>
        <v>131338.45394314072</v>
      </c>
      <c r="BG139" s="1111"/>
      <c r="BH139" s="1111"/>
      <c r="BI139" s="1111"/>
      <c r="BJ139" s="1111"/>
      <c r="BK139" s="1111"/>
      <c r="BL139" s="23"/>
      <c r="BM139" s="23"/>
      <c r="BN139" s="23"/>
      <c r="BP139" s="491"/>
      <c r="BQ139" s="491"/>
      <c r="BR139" s="491"/>
    </row>
    <row r="140" spans="1:70" ht="16.2" thickBot="1" x14ac:dyDescent="0.35">
      <c r="A140" s="136"/>
      <c r="B140" s="1673" t="s">
        <v>11</v>
      </c>
      <c r="C140" s="1691" t="s">
        <v>50</v>
      </c>
      <c r="D140" s="199">
        <f t="shared" ref="D140:AI140" si="785">SUM(D138:D139)</f>
        <v>1971314.1404768166</v>
      </c>
      <c r="E140" s="1692">
        <f t="shared" si="785"/>
        <v>161696.33793556874</v>
      </c>
      <c r="F140" s="1301">
        <f t="shared" si="785"/>
        <v>157946.51199999999</v>
      </c>
      <c r="G140" s="1692">
        <f t="shared" ref="G140:H140" si="786">SUM(G138:G139)</f>
        <v>166451.25041075732</v>
      </c>
      <c r="H140" s="1301">
        <f t="shared" si="786"/>
        <v>157551.78300000002</v>
      </c>
      <c r="I140" s="1301">
        <f t="shared" si="785"/>
        <v>328147.58834632608</v>
      </c>
      <c r="J140" s="1301">
        <f t="shared" si="785"/>
        <v>315498.29500000004</v>
      </c>
      <c r="K140" s="1692">
        <f t="shared" si="785"/>
        <v>153388.00000000003</v>
      </c>
      <c r="L140" s="1301">
        <f t="shared" si="785"/>
        <v>156884.99</v>
      </c>
      <c r="M140" s="1693">
        <f t="shared" si="785"/>
        <v>438638.17086609692</v>
      </c>
      <c r="N140" s="1443">
        <f t="shared" si="785"/>
        <v>440475.54</v>
      </c>
      <c r="O140" s="1692">
        <f t="shared" si="785"/>
        <v>158500.93333333335</v>
      </c>
      <c r="P140" s="1301">
        <f t="shared" si="785"/>
        <v>162308.427763752</v>
      </c>
      <c r="Q140" s="1301">
        <f t="shared" si="785"/>
        <v>597139.10419943009</v>
      </c>
      <c r="R140" s="1301">
        <f t="shared" si="785"/>
        <v>602783.96776375198</v>
      </c>
      <c r="S140" s="1692">
        <f t="shared" si="785"/>
        <v>158500.93333333335</v>
      </c>
      <c r="T140" s="1301">
        <f t="shared" si="785"/>
        <v>163300.38</v>
      </c>
      <c r="U140" s="1301">
        <f t="shared" si="785"/>
        <v>755640.03753276356</v>
      </c>
      <c r="V140" s="1301">
        <f t="shared" si="785"/>
        <v>766084.34776375187</v>
      </c>
      <c r="W140" s="1692">
        <f t="shared" si="785"/>
        <v>147651.88547008549</v>
      </c>
      <c r="X140" s="1301">
        <f t="shared" si="785"/>
        <v>158293.00440580002</v>
      </c>
      <c r="Y140" s="63">
        <f t="shared" si="785"/>
        <v>464653.75213675213</v>
      </c>
      <c r="Z140" s="63">
        <f t="shared" si="785"/>
        <v>483901.81216955197</v>
      </c>
      <c r="AA140" s="2157">
        <f t="shared" si="785"/>
        <v>903291.9230028491</v>
      </c>
      <c r="AB140" s="424">
        <f t="shared" si="785"/>
        <v>924377.352169552</v>
      </c>
      <c r="AC140" s="1692">
        <f t="shared" si="785"/>
        <v>158500.93333333335</v>
      </c>
      <c r="AD140" s="1301">
        <f t="shared" si="785"/>
        <v>161028.22752354838</v>
      </c>
      <c r="AE140" s="1301">
        <f t="shared" si="785"/>
        <v>1061792.8563361824</v>
      </c>
      <c r="AF140" s="1301">
        <f t="shared" si="785"/>
        <v>1085405.5796931002</v>
      </c>
      <c r="AG140" s="1692">
        <f t="shared" si="785"/>
        <v>153388.00000000003</v>
      </c>
      <c r="AH140" s="1301">
        <f t="shared" si="785"/>
        <v>156053.5</v>
      </c>
      <c r="AI140" s="1301">
        <f t="shared" si="785"/>
        <v>1215180.8563361824</v>
      </c>
      <c r="AJ140" s="1301">
        <f t="shared" ref="AJ140:BF140" si="787">SUM(AJ138:AJ139)</f>
        <v>1241459.0796931002</v>
      </c>
      <c r="AK140" s="1692">
        <f t="shared" si="787"/>
        <v>158500.93333333335</v>
      </c>
      <c r="AL140" s="1301">
        <f t="shared" si="787"/>
        <v>161257.17912087913</v>
      </c>
      <c r="AM140" s="63">
        <f t="shared" si="787"/>
        <v>470389.86666666676</v>
      </c>
      <c r="AN140" s="63">
        <f t="shared" si="787"/>
        <v>478338.90664442745</v>
      </c>
      <c r="AO140" s="1301">
        <f t="shared" si="787"/>
        <v>1373681.7896695158</v>
      </c>
      <c r="AP140" s="1301">
        <f t="shared" si="787"/>
        <v>1402716.2588139796</v>
      </c>
      <c r="AQ140" s="1692">
        <f t="shared" si="787"/>
        <v>158500.93333333335</v>
      </c>
      <c r="AR140" s="1301">
        <f t="shared" si="787"/>
        <v>160754.78099999999</v>
      </c>
      <c r="AS140" s="1301">
        <f t="shared" si="787"/>
        <v>1532182.7230028491</v>
      </c>
      <c r="AT140" s="1301">
        <f t="shared" si="787"/>
        <v>1563471.0398139795</v>
      </c>
      <c r="AU140" s="1692">
        <f t="shared" si="787"/>
        <v>143162.13333333333</v>
      </c>
      <c r="AV140" s="1301">
        <f t="shared" si="787"/>
        <v>145140.75099999999</v>
      </c>
      <c r="AW140" s="1301">
        <f t="shared" si="787"/>
        <v>1675344.8563361824</v>
      </c>
      <c r="AX140" s="1301">
        <f t="shared" si="787"/>
        <v>1708611.7908139792</v>
      </c>
      <c r="AY140" s="1692">
        <f t="shared" si="787"/>
        <v>158500.93333333335</v>
      </c>
      <c r="AZ140" s="1301">
        <f t="shared" si="787"/>
        <v>163473.72999999998</v>
      </c>
      <c r="BA140" s="63">
        <f t="shared" si="787"/>
        <v>460164.00000000006</v>
      </c>
      <c r="BB140" s="63">
        <f t="shared" si="787"/>
        <v>469369.26199999999</v>
      </c>
      <c r="BC140" s="2157">
        <f t="shared" si="787"/>
        <v>930553.86666666681</v>
      </c>
      <c r="BD140" s="424">
        <f t="shared" si="787"/>
        <v>947708.16864442732</v>
      </c>
      <c r="BE140" s="1301">
        <f t="shared" si="787"/>
        <v>1833845.7896695158</v>
      </c>
      <c r="BF140" s="1301">
        <f t="shared" si="787"/>
        <v>1872085.5208139797</v>
      </c>
      <c r="BG140" s="1111"/>
      <c r="BH140" s="1111"/>
      <c r="BI140" s="1111"/>
      <c r="BJ140" s="1111"/>
      <c r="BK140" s="1111"/>
      <c r="BL140" s="23"/>
      <c r="BM140" s="23"/>
      <c r="BN140" s="23"/>
      <c r="BP140" s="491"/>
      <c r="BQ140" s="491"/>
      <c r="BR140" s="491"/>
    </row>
    <row r="141" spans="1:70" ht="18" thickBot="1" x14ac:dyDescent="0.35">
      <c r="A141" s="136"/>
      <c r="B141" s="1677" t="s">
        <v>1088</v>
      </c>
      <c r="C141" s="1694"/>
      <c r="D141" s="1694"/>
      <c r="E141" s="1694"/>
      <c r="F141" s="1694"/>
      <c r="G141" s="1694"/>
      <c r="H141" s="1694"/>
      <c r="I141" s="1694"/>
      <c r="J141" s="1694"/>
      <c r="K141" s="1694"/>
      <c r="L141" s="1694"/>
      <c r="M141" s="1694"/>
      <c r="N141" s="1694"/>
      <c r="O141" s="1694"/>
      <c r="P141" s="1694"/>
      <c r="Q141" s="1694"/>
      <c r="R141" s="1694"/>
      <c r="S141" s="1694"/>
      <c r="T141" s="1694"/>
      <c r="U141" s="1694"/>
      <c r="V141" s="1694"/>
      <c r="W141" s="1694"/>
      <c r="X141" s="1694"/>
      <c r="Y141" s="1694"/>
      <c r="Z141" s="1694"/>
      <c r="AA141" s="1694"/>
      <c r="AB141" s="1695"/>
      <c r="AC141" s="1694"/>
      <c r="AD141" s="1694"/>
      <c r="AE141" s="1694"/>
      <c r="AF141" s="1695"/>
      <c r="AG141" s="1694"/>
      <c r="AH141" s="1694"/>
      <c r="AI141" s="1694"/>
      <c r="AJ141" s="1695"/>
      <c r="AK141" s="1694"/>
      <c r="AL141" s="1694"/>
      <c r="AM141" s="1694"/>
      <c r="AN141" s="1694"/>
      <c r="AO141" s="1694"/>
      <c r="AP141" s="1695"/>
      <c r="AQ141" s="1694"/>
      <c r="AR141" s="1694"/>
      <c r="AS141" s="1694"/>
      <c r="AT141" s="1695"/>
      <c r="AU141" s="1694"/>
      <c r="AV141" s="1694"/>
      <c r="AW141" s="1694"/>
      <c r="AX141" s="1695"/>
      <c r="AY141" s="1694"/>
      <c r="AZ141" s="1694"/>
      <c r="BA141" s="1694"/>
      <c r="BB141" s="1694"/>
      <c r="BC141" s="1694"/>
      <c r="BD141" s="1695"/>
      <c r="BE141" s="1694"/>
      <c r="BF141" s="1695"/>
      <c r="BG141" s="1111"/>
      <c r="BH141" s="1111"/>
      <c r="BI141" s="1111"/>
      <c r="BJ141" s="1111"/>
      <c r="BK141" s="1111"/>
      <c r="BL141" s="23"/>
      <c r="BM141" s="23"/>
      <c r="BN141" s="23"/>
    </row>
    <row r="142" spans="1:70" ht="18" thickBot="1" x14ac:dyDescent="0.35">
      <c r="B142" s="1679" t="s">
        <v>614</v>
      </c>
      <c r="C142" s="1655"/>
      <c r="D142" s="1655"/>
      <c r="E142" s="1655"/>
      <c r="F142" s="1655"/>
      <c r="G142" s="1655"/>
      <c r="H142" s="1655"/>
      <c r="I142" s="1655"/>
      <c r="J142" s="1655"/>
      <c r="K142" s="1655"/>
      <c r="L142" s="1655"/>
      <c r="M142" s="1655"/>
      <c r="N142" s="1655"/>
      <c r="O142" s="1655"/>
      <c r="P142" s="1655"/>
      <c r="Q142" s="1655"/>
      <c r="R142" s="1655"/>
      <c r="S142" s="1655"/>
      <c r="T142" s="1655"/>
      <c r="U142" s="1655"/>
      <c r="V142" s="1655"/>
      <c r="W142" s="1655"/>
      <c r="X142" s="1655"/>
      <c r="Y142" s="491"/>
      <c r="Z142" s="491"/>
      <c r="AA142" s="491"/>
      <c r="AB142" s="1681"/>
      <c r="AC142" s="1655"/>
      <c r="AD142" s="1655"/>
      <c r="AE142" s="1655"/>
      <c r="AF142" s="1656"/>
      <c r="AG142" s="1655"/>
      <c r="AH142" s="1655"/>
      <c r="AI142" s="1655"/>
      <c r="AJ142" s="1656"/>
      <c r="AK142" s="1655"/>
      <c r="AL142" s="1655"/>
      <c r="AM142" s="491"/>
      <c r="AN142" s="491"/>
      <c r="AO142" s="1655"/>
      <c r="AP142" s="1656"/>
      <c r="AQ142" s="1655"/>
      <c r="AR142" s="1655"/>
      <c r="AS142" s="1655"/>
      <c r="AT142" s="1656"/>
      <c r="AU142" s="1655"/>
      <c r="AV142" s="1655"/>
      <c r="AW142" s="1655"/>
      <c r="AX142" s="1656"/>
      <c r="AY142" s="1655"/>
      <c r="AZ142" s="1655"/>
      <c r="BA142" s="491"/>
      <c r="BB142" s="491"/>
      <c r="BC142" s="491"/>
      <c r="BD142" s="1681"/>
      <c r="BE142" s="1655"/>
      <c r="BF142" s="1656"/>
      <c r="BG142" s="1111"/>
      <c r="BH142" s="1111"/>
      <c r="BI142" s="1111"/>
      <c r="BJ142" s="1111"/>
      <c r="BK142" s="1111"/>
      <c r="BL142" s="23"/>
      <c r="BM142" s="23"/>
      <c r="BN142" s="23"/>
    </row>
    <row r="143" spans="1:70" ht="15.6" x14ac:dyDescent="0.3">
      <c r="B143" s="1710" t="s">
        <v>407</v>
      </c>
      <c r="C143" s="1687"/>
      <c r="D143" s="215"/>
      <c r="E143" s="719"/>
      <c r="F143" s="566"/>
      <c r="G143" s="719"/>
      <c r="H143" s="566"/>
      <c r="I143" s="215"/>
      <c r="J143" s="215"/>
      <c r="K143" s="719"/>
      <c r="L143" s="566"/>
      <c r="M143" s="719"/>
      <c r="N143" s="566"/>
      <c r="O143" s="719"/>
      <c r="P143" s="566"/>
      <c r="Q143" s="215"/>
      <c r="R143" s="215"/>
      <c r="S143" s="719"/>
      <c r="T143" s="566"/>
      <c r="U143" s="215"/>
      <c r="V143" s="215"/>
      <c r="W143" s="719"/>
      <c r="X143" s="566"/>
      <c r="Y143" s="215"/>
      <c r="Z143" s="215"/>
      <c r="AA143" s="2144"/>
      <c r="AB143" s="566"/>
      <c r="AC143" s="719"/>
      <c r="AD143" s="566"/>
      <c r="AE143" s="215"/>
      <c r="AF143" s="566"/>
      <c r="AG143" s="719"/>
      <c r="AH143" s="566"/>
      <c r="AI143" s="215"/>
      <c r="AJ143" s="566"/>
      <c r="AK143" s="719"/>
      <c r="AL143" s="566"/>
      <c r="AM143" s="215"/>
      <c r="AN143" s="215"/>
      <c r="AO143" s="215"/>
      <c r="AP143" s="566"/>
      <c r="AQ143" s="719"/>
      <c r="AR143" s="566"/>
      <c r="AS143" s="215"/>
      <c r="AT143" s="566"/>
      <c r="AU143" s="719"/>
      <c r="AV143" s="566"/>
      <c r="AW143" s="215"/>
      <c r="AX143" s="566"/>
      <c r="AY143" s="719"/>
      <c r="AZ143" s="566"/>
      <c r="BA143" s="215"/>
      <c r="BB143" s="215"/>
      <c r="BC143" s="2144"/>
      <c r="BD143" s="566"/>
      <c r="BE143" s="215"/>
      <c r="BF143" s="566"/>
      <c r="BG143" s="1111"/>
      <c r="BH143" s="1111"/>
      <c r="BI143" s="1111"/>
      <c r="BJ143" s="1111"/>
      <c r="BK143" s="1111"/>
      <c r="BL143" s="23"/>
      <c r="BM143" s="23"/>
      <c r="BN143" s="23"/>
    </row>
    <row r="144" spans="1:70" x14ac:dyDescent="0.3">
      <c r="B144" s="1658" t="s">
        <v>193</v>
      </c>
      <c r="C144" s="1277" t="s">
        <v>49</v>
      </c>
      <c r="D144" s="100">
        <f t="shared" ref="D144:AI144" si="788">+D98/D106*100</f>
        <v>64.077456265815826</v>
      </c>
      <c r="E144" s="706">
        <f t="shared" si="788"/>
        <v>64.07745626581584</v>
      </c>
      <c r="F144" s="111">
        <f t="shared" si="788"/>
        <v>63.999999999999993</v>
      </c>
      <c r="G144" s="706">
        <f t="shared" ref="G144:H144" si="789">+G98/G106*100</f>
        <v>64.07745626581584</v>
      </c>
      <c r="H144" s="111">
        <f t="shared" si="789"/>
        <v>64</v>
      </c>
      <c r="I144" s="50">
        <f t="shared" si="788"/>
        <v>64.077456265815812</v>
      </c>
      <c r="J144" s="154">
        <f t="shared" si="788"/>
        <v>64</v>
      </c>
      <c r="K144" s="706" t="e">
        <f t="shared" si="788"/>
        <v>#REF!</v>
      </c>
      <c r="L144" s="111" t="e">
        <f t="shared" si="788"/>
        <v>#REF!</v>
      </c>
      <c r="M144" s="73" t="e">
        <f t="shared" si="788"/>
        <v>#REF!</v>
      </c>
      <c r="N144" s="162" t="e">
        <f t="shared" si="788"/>
        <v>#REF!</v>
      </c>
      <c r="O144" s="706" t="e">
        <f t="shared" si="788"/>
        <v>#REF!</v>
      </c>
      <c r="P144" s="111" t="e">
        <f t="shared" si="788"/>
        <v>#REF!</v>
      </c>
      <c r="Q144" s="50" t="e">
        <f t="shared" si="788"/>
        <v>#REF!</v>
      </c>
      <c r="R144" s="154" t="e">
        <f t="shared" si="788"/>
        <v>#REF!</v>
      </c>
      <c r="S144" s="706" t="e">
        <f t="shared" si="788"/>
        <v>#REF!</v>
      </c>
      <c r="T144" s="111" t="e">
        <f t="shared" si="788"/>
        <v>#REF!</v>
      </c>
      <c r="U144" s="50" t="e">
        <f t="shared" si="788"/>
        <v>#REF!</v>
      </c>
      <c r="V144" s="154" t="e">
        <f t="shared" si="788"/>
        <v>#REF!</v>
      </c>
      <c r="W144" s="706" t="e">
        <f t="shared" si="788"/>
        <v>#REF!</v>
      </c>
      <c r="X144" s="111" t="e">
        <f t="shared" si="788"/>
        <v>#REF!</v>
      </c>
      <c r="Y144" s="359" t="e">
        <f t="shared" si="788"/>
        <v>#REF!</v>
      </c>
      <c r="Z144" s="162" t="e">
        <f t="shared" si="788"/>
        <v>#REF!</v>
      </c>
      <c r="AA144" s="447" t="e">
        <f t="shared" si="788"/>
        <v>#REF!</v>
      </c>
      <c r="AB144" s="445" t="e">
        <f t="shared" si="788"/>
        <v>#REF!</v>
      </c>
      <c r="AC144" s="706" t="e">
        <f t="shared" si="788"/>
        <v>#REF!</v>
      </c>
      <c r="AD144" s="111" t="e">
        <f t="shared" si="788"/>
        <v>#REF!</v>
      </c>
      <c r="AE144" s="50" t="e">
        <f t="shared" si="788"/>
        <v>#REF!</v>
      </c>
      <c r="AF144" s="154" t="e">
        <f t="shared" si="788"/>
        <v>#REF!</v>
      </c>
      <c r="AG144" s="706" t="e">
        <f t="shared" si="788"/>
        <v>#REF!</v>
      </c>
      <c r="AH144" s="111" t="e">
        <f t="shared" si="788"/>
        <v>#REF!</v>
      </c>
      <c r="AI144" s="50" t="e">
        <f t="shared" si="788"/>
        <v>#REF!</v>
      </c>
      <c r="AJ144" s="154" t="e">
        <f t="shared" ref="AJ144:BF144" si="790">+AJ98/AJ106*100</f>
        <v>#REF!</v>
      </c>
      <c r="AK144" s="706" t="e">
        <f t="shared" si="790"/>
        <v>#REF!</v>
      </c>
      <c r="AL144" s="111" t="e">
        <f t="shared" si="790"/>
        <v>#REF!</v>
      </c>
      <c r="AM144" s="359" t="e">
        <f t="shared" si="790"/>
        <v>#REF!</v>
      </c>
      <c r="AN144" s="162" t="e">
        <f t="shared" si="790"/>
        <v>#REF!</v>
      </c>
      <c r="AO144" s="50" t="e">
        <f t="shared" si="790"/>
        <v>#REF!</v>
      </c>
      <c r="AP144" s="154" t="e">
        <f t="shared" si="790"/>
        <v>#REF!</v>
      </c>
      <c r="AQ144" s="706" t="e">
        <f t="shared" si="790"/>
        <v>#REF!</v>
      </c>
      <c r="AR144" s="111" t="e">
        <f t="shared" si="790"/>
        <v>#REF!</v>
      </c>
      <c r="AS144" s="50" t="e">
        <f t="shared" si="790"/>
        <v>#REF!</v>
      </c>
      <c r="AT144" s="154" t="e">
        <f t="shared" si="790"/>
        <v>#REF!</v>
      </c>
      <c r="AU144" s="706" t="e">
        <f t="shared" si="790"/>
        <v>#REF!</v>
      </c>
      <c r="AV144" s="111" t="e">
        <f t="shared" si="790"/>
        <v>#REF!</v>
      </c>
      <c r="AW144" s="50" t="e">
        <f t="shared" si="790"/>
        <v>#REF!</v>
      </c>
      <c r="AX144" s="154" t="e">
        <f t="shared" si="790"/>
        <v>#REF!</v>
      </c>
      <c r="AY144" s="706" t="e">
        <f t="shared" si="790"/>
        <v>#REF!</v>
      </c>
      <c r="AZ144" s="111" t="e">
        <f t="shared" si="790"/>
        <v>#REF!</v>
      </c>
      <c r="BA144" s="359" t="e">
        <f t="shared" si="790"/>
        <v>#REF!</v>
      </c>
      <c r="BB144" s="162" t="e">
        <f t="shared" si="790"/>
        <v>#REF!</v>
      </c>
      <c r="BC144" s="447" t="e">
        <f t="shared" si="790"/>
        <v>#REF!</v>
      </c>
      <c r="BD144" s="445" t="e">
        <f t="shared" si="790"/>
        <v>#REF!</v>
      </c>
      <c r="BE144" s="50" t="e">
        <f t="shared" si="790"/>
        <v>#REF!</v>
      </c>
      <c r="BF144" s="154" t="e">
        <f t="shared" si="790"/>
        <v>#REF!</v>
      </c>
      <c r="BG144" s="1111"/>
      <c r="BH144" s="1111"/>
      <c r="BI144" s="1111"/>
      <c r="BJ144" s="1111"/>
      <c r="BK144" s="1111"/>
      <c r="BL144" s="23"/>
      <c r="BM144" s="23"/>
      <c r="BN144" s="23"/>
    </row>
    <row r="145" spans="1:66" x14ac:dyDescent="0.3">
      <c r="B145" s="1658" t="s">
        <v>194</v>
      </c>
      <c r="C145" s="1277" t="s">
        <v>49</v>
      </c>
      <c r="D145" s="100">
        <f t="shared" ref="D145:AI145" si="791">+D103/D106*100</f>
        <v>25.030256353834311</v>
      </c>
      <c r="E145" s="706">
        <f t="shared" si="791"/>
        <v>25.030256353834307</v>
      </c>
      <c r="F145" s="121">
        <f t="shared" si="791"/>
        <v>25.000000000000007</v>
      </c>
      <c r="G145" s="706">
        <f t="shared" ref="G145:H145" si="792">+G103/G106*100</f>
        <v>25.0302563538343</v>
      </c>
      <c r="H145" s="121">
        <f t="shared" si="792"/>
        <v>24.999999999999996</v>
      </c>
      <c r="I145" s="49">
        <f t="shared" si="791"/>
        <v>25.0302563538343</v>
      </c>
      <c r="J145" s="99">
        <f t="shared" si="791"/>
        <v>25</v>
      </c>
      <c r="K145" s="706" t="e">
        <f t="shared" si="791"/>
        <v>#REF!</v>
      </c>
      <c r="L145" s="121" t="e">
        <f t="shared" si="791"/>
        <v>#REF!</v>
      </c>
      <c r="M145" s="73" t="e">
        <f t="shared" si="791"/>
        <v>#REF!</v>
      </c>
      <c r="N145" s="106" t="e">
        <f t="shared" si="791"/>
        <v>#REF!</v>
      </c>
      <c r="O145" s="706" t="e">
        <f t="shared" si="791"/>
        <v>#REF!</v>
      </c>
      <c r="P145" s="121" t="e">
        <f t="shared" si="791"/>
        <v>#REF!</v>
      </c>
      <c r="Q145" s="49" t="e">
        <f t="shared" si="791"/>
        <v>#REF!</v>
      </c>
      <c r="R145" s="99" t="e">
        <f t="shared" si="791"/>
        <v>#REF!</v>
      </c>
      <c r="S145" s="706" t="e">
        <f t="shared" si="791"/>
        <v>#REF!</v>
      </c>
      <c r="T145" s="121" t="e">
        <f t="shared" si="791"/>
        <v>#REF!</v>
      </c>
      <c r="U145" s="49" t="e">
        <f t="shared" si="791"/>
        <v>#REF!</v>
      </c>
      <c r="V145" s="99" t="e">
        <f t="shared" si="791"/>
        <v>#REF!</v>
      </c>
      <c r="W145" s="706" t="e">
        <f t="shared" si="791"/>
        <v>#REF!</v>
      </c>
      <c r="X145" s="121" t="e">
        <f t="shared" si="791"/>
        <v>#REF!</v>
      </c>
      <c r="Y145" s="359" t="e">
        <f t="shared" si="791"/>
        <v>#REF!</v>
      </c>
      <c r="Z145" s="106" t="e">
        <f t="shared" si="791"/>
        <v>#REF!</v>
      </c>
      <c r="AA145" s="447" t="e">
        <f t="shared" si="791"/>
        <v>#REF!</v>
      </c>
      <c r="AB145" s="435" t="e">
        <f t="shared" si="791"/>
        <v>#REF!</v>
      </c>
      <c r="AC145" s="706" t="e">
        <f t="shared" si="791"/>
        <v>#REF!</v>
      </c>
      <c r="AD145" s="121" t="e">
        <f t="shared" si="791"/>
        <v>#REF!</v>
      </c>
      <c r="AE145" s="49" t="e">
        <f t="shared" si="791"/>
        <v>#REF!</v>
      </c>
      <c r="AF145" s="99" t="e">
        <f t="shared" si="791"/>
        <v>#REF!</v>
      </c>
      <c r="AG145" s="706" t="e">
        <f t="shared" si="791"/>
        <v>#REF!</v>
      </c>
      <c r="AH145" s="121" t="e">
        <f t="shared" si="791"/>
        <v>#REF!</v>
      </c>
      <c r="AI145" s="49" t="e">
        <f t="shared" si="791"/>
        <v>#REF!</v>
      </c>
      <c r="AJ145" s="99" t="e">
        <f t="shared" ref="AJ145:BF145" si="793">+AJ103/AJ106*100</f>
        <v>#REF!</v>
      </c>
      <c r="AK145" s="706" t="e">
        <f t="shared" si="793"/>
        <v>#REF!</v>
      </c>
      <c r="AL145" s="121" t="e">
        <f t="shared" si="793"/>
        <v>#REF!</v>
      </c>
      <c r="AM145" s="359" t="e">
        <f t="shared" si="793"/>
        <v>#REF!</v>
      </c>
      <c r="AN145" s="106" t="e">
        <f t="shared" si="793"/>
        <v>#REF!</v>
      </c>
      <c r="AO145" s="49" t="e">
        <f t="shared" si="793"/>
        <v>#REF!</v>
      </c>
      <c r="AP145" s="99" t="e">
        <f t="shared" si="793"/>
        <v>#REF!</v>
      </c>
      <c r="AQ145" s="706" t="e">
        <f t="shared" si="793"/>
        <v>#REF!</v>
      </c>
      <c r="AR145" s="121" t="e">
        <f t="shared" si="793"/>
        <v>#REF!</v>
      </c>
      <c r="AS145" s="49" t="e">
        <f t="shared" si="793"/>
        <v>#REF!</v>
      </c>
      <c r="AT145" s="99" t="e">
        <f t="shared" si="793"/>
        <v>#REF!</v>
      </c>
      <c r="AU145" s="706" t="e">
        <f t="shared" si="793"/>
        <v>#REF!</v>
      </c>
      <c r="AV145" s="121" t="e">
        <f t="shared" si="793"/>
        <v>#REF!</v>
      </c>
      <c r="AW145" s="49" t="e">
        <f t="shared" si="793"/>
        <v>#REF!</v>
      </c>
      <c r="AX145" s="99" t="e">
        <f t="shared" si="793"/>
        <v>#REF!</v>
      </c>
      <c r="AY145" s="706" t="e">
        <f t="shared" si="793"/>
        <v>#REF!</v>
      </c>
      <c r="AZ145" s="121" t="e">
        <f t="shared" si="793"/>
        <v>#REF!</v>
      </c>
      <c r="BA145" s="359" t="e">
        <f t="shared" si="793"/>
        <v>#REF!</v>
      </c>
      <c r="BB145" s="106" t="e">
        <f t="shared" si="793"/>
        <v>#REF!</v>
      </c>
      <c r="BC145" s="447" t="e">
        <f t="shared" si="793"/>
        <v>#REF!</v>
      </c>
      <c r="BD145" s="435" t="e">
        <f t="shared" si="793"/>
        <v>#REF!</v>
      </c>
      <c r="BE145" s="49" t="e">
        <f t="shared" si="793"/>
        <v>#REF!</v>
      </c>
      <c r="BF145" s="99" t="e">
        <f t="shared" si="793"/>
        <v>#REF!</v>
      </c>
      <c r="BG145" s="1111"/>
      <c r="BH145" s="1111"/>
      <c r="BI145" s="1111"/>
      <c r="BJ145" s="1111"/>
      <c r="BK145" s="1111"/>
      <c r="BL145" s="23"/>
      <c r="BM145" s="23"/>
      <c r="BN145" s="23"/>
    </row>
    <row r="146" spans="1:66" x14ac:dyDescent="0.3">
      <c r="A146" s="136"/>
      <c r="B146" s="1674" t="s">
        <v>12</v>
      </c>
      <c r="C146" s="1278" t="s">
        <v>49</v>
      </c>
      <c r="D146" s="1322">
        <f t="shared" ref="D146:J146" si="794">SUM(D144:D145)</f>
        <v>89.10771261965013</v>
      </c>
      <c r="E146" s="1253">
        <f t="shared" si="794"/>
        <v>89.107712619650144</v>
      </c>
      <c r="F146" s="133">
        <f t="shared" si="794"/>
        <v>89</v>
      </c>
      <c r="G146" s="1253">
        <f t="shared" ref="G146:H146" si="795">SUM(G144:G145)</f>
        <v>89.107712619650144</v>
      </c>
      <c r="H146" s="133">
        <f t="shared" si="795"/>
        <v>89</v>
      </c>
      <c r="I146" s="1254">
        <f t="shared" si="794"/>
        <v>89.107712619650115</v>
      </c>
      <c r="J146" s="155">
        <f t="shared" si="794"/>
        <v>89</v>
      </c>
      <c r="K146" s="1253" t="e">
        <f t="shared" ref="K146:L146" si="796">SUM(K144:K145)</f>
        <v>#REF!</v>
      </c>
      <c r="L146" s="133" t="e">
        <f t="shared" si="796"/>
        <v>#REF!</v>
      </c>
      <c r="M146" s="1255" t="e">
        <f t="shared" ref="M146:R146" si="797">SUM(M144:M145)</f>
        <v>#REF!</v>
      </c>
      <c r="N146" s="163" t="e">
        <f t="shared" si="797"/>
        <v>#REF!</v>
      </c>
      <c r="O146" s="1253" t="e">
        <f t="shared" si="797"/>
        <v>#REF!</v>
      </c>
      <c r="P146" s="133" t="e">
        <f t="shared" si="797"/>
        <v>#REF!</v>
      </c>
      <c r="Q146" s="1254" t="e">
        <f t="shared" si="797"/>
        <v>#REF!</v>
      </c>
      <c r="R146" s="155" t="e">
        <f t="shared" si="797"/>
        <v>#REF!</v>
      </c>
      <c r="S146" s="1253" t="e">
        <f t="shared" ref="S146:T146" si="798">SUM(S144:S145)</f>
        <v>#REF!</v>
      </c>
      <c r="T146" s="133" t="e">
        <f t="shared" si="798"/>
        <v>#REF!</v>
      </c>
      <c r="U146" s="1254" t="e">
        <f t="shared" ref="U146:X146" si="799">SUM(U144:U145)</f>
        <v>#REF!</v>
      </c>
      <c r="V146" s="155" t="e">
        <f t="shared" si="799"/>
        <v>#REF!</v>
      </c>
      <c r="W146" s="1253" t="e">
        <f t="shared" si="799"/>
        <v>#REF!</v>
      </c>
      <c r="X146" s="133" t="e">
        <f t="shared" si="799"/>
        <v>#REF!</v>
      </c>
      <c r="Y146" s="1256" t="e">
        <f t="shared" ref="Y146:AF146" si="800">SUM(Y144:Y145)</f>
        <v>#REF!</v>
      </c>
      <c r="Z146" s="163" t="e">
        <f t="shared" si="800"/>
        <v>#REF!</v>
      </c>
      <c r="AA146" s="447" t="e">
        <f t="shared" si="800"/>
        <v>#REF!</v>
      </c>
      <c r="AB146" s="446" t="e">
        <f t="shared" si="800"/>
        <v>#REF!</v>
      </c>
      <c r="AC146" s="1253" t="e">
        <f t="shared" si="800"/>
        <v>#REF!</v>
      </c>
      <c r="AD146" s="133" t="e">
        <f t="shared" si="800"/>
        <v>#REF!</v>
      </c>
      <c r="AE146" s="1254" t="e">
        <f t="shared" si="800"/>
        <v>#REF!</v>
      </c>
      <c r="AF146" s="155" t="e">
        <f t="shared" si="800"/>
        <v>#REF!</v>
      </c>
      <c r="AG146" s="1253" t="e">
        <f t="shared" ref="AG146:AH146" si="801">SUM(AG144:AG145)</f>
        <v>#REF!</v>
      </c>
      <c r="AH146" s="133" t="e">
        <f t="shared" si="801"/>
        <v>#REF!</v>
      </c>
      <c r="AI146" s="1254" t="e">
        <f t="shared" ref="AI146:AN146" si="802">SUM(AI144:AI145)</f>
        <v>#REF!</v>
      </c>
      <c r="AJ146" s="155" t="e">
        <f t="shared" si="802"/>
        <v>#REF!</v>
      </c>
      <c r="AK146" s="1253" t="e">
        <f t="shared" si="802"/>
        <v>#REF!</v>
      </c>
      <c r="AL146" s="133" t="e">
        <f t="shared" si="802"/>
        <v>#REF!</v>
      </c>
      <c r="AM146" s="1256" t="e">
        <f t="shared" si="802"/>
        <v>#REF!</v>
      </c>
      <c r="AN146" s="163" t="e">
        <f t="shared" si="802"/>
        <v>#REF!</v>
      </c>
      <c r="AO146" s="1254" t="e">
        <f t="shared" ref="AO146:AT146" si="803">SUM(AO144:AO145)</f>
        <v>#REF!</v>
      </c>
      <c r="AP146" s="155" t="e">
        <f t="shared" si="803"/>
        <v>#REF!</v>
      </c>
      <c r="AQ146" s="1253" t="e">
        <f t="shared" si="803"/>
        <v>#REF!</v>
      </c>
      <c r="AR146" s="133" t="e">
        <f t="shared" si="803"/>
        <v>#REF!</v>
      </c>
      <c r="AS146" s="1254" t="e">
        <f t="shared" si="803"/>
        <v>#REF!</v>
      </c>
      <c r="AT146" s="155" t="e">
        <f t="shared" si="803"/>
        <v>#REF!</v>
      </c>
      <c r="AU146" s="1253" t="e">
        <f t="shared" ref="AU146:AV146" si="804">SUM(AU144:AU145)</f>
        <v>#REF!</v>
      </c>
      <c r="AV146" s="133" t="e">
        <f t="shared" si="804"/>
        <v>#REF!</v>
      </c>
      <c r="AW146" s="1254" t="e">
        <f t="shared" ref="AW146:AZ146" si="805">SUM(AW144:AW145)</f>
        <v>#REF!</v>
      </c>
      <c r="AX146" s="155" t="e">
        <f t="shared" si="805"/>
        <v>#REF!</v>
      </c>
      <c r="AY146" s="1253" t="e">
        <f t="shared" si="805"/>
        <v>#REF!</v>
      </c>
      <c r="AZ146" s="133" t="e">
        <f t="shared" si="805"/>
        <v>#REF!</v>
      </c>
      <c r="BA146" s="1256" t="e">
        <f t="shared" ref="BA146:BF146" si="806">SUM(BA144:BA145)</f>
        <v>#REF!</v>
      </c>
      <c r="BB146" s="163" t="e">
        <f t="shared" si="806"/>
        <v>#REF!</v>
      </c>
      <c r="BC146" s="447" t="e">
        <f t="shared" si="806"/>
        <v>#REF!</v>
      </c>
      <c r="BD146" s="446" t="e">
        <f t="shared" si="806"/>
        <v>#REF!</v>
      </c>
      <c r="BE146" s="1254" t="e">
        <f t="shared" si="806"/>
        <v>#REF!</v>
      </c>
      <c r="BF146" s="155" t="e">
        <f t="shared" si="806"/>
        <v>#REF!</v>
      </c>
      <c r="BG146" s="1111"/>
      <c r="BH146" s="1111"/>
      <c r="BI146" s="1111"/>
      <c r="BJ146" s="1111"/>
      <c r="BK146" s="1111"/>
      <c r="BL146" s="23"/>
      <c r="BM146" s="23"/>
      <c r="BN146" s="23"/>
    </row>
    <row r="147" spans="1:66" x14ac:dyDescent="0.3">
      <c r="B147" s="1658" t="s">
        <v>2173</v>
      </c>
      <c r="C147" s="1277" t="s">
        <v>49</v>
      </c>
      <c r="D147" s="100">
        <f>+(D105/D106)*100</f>
        <v>10.892287380349874</v>
      </c>
      <c r="E147" s="1212">
        <f t="shared" ref="E147:F147" si="807">+(E105/E106)*100</f>
        <v>10.892287380349872</v>
      </c>
      <c r="F147" s="121">
        <f t="shared" si="807"/>
        <v>11</v>
      </c>
      <c r="G147" s="1212">
        <f t="shared" ref="G147:J147" si="808">+(G105/G106)*100</f>
        <v>10.89228738034987</v>
      </c>
      <c r="H147" s="121">
        <f t="shared" si="808"/>
        <v>10.999999999999998</v>
      </c>
      <c r="I147" s="99">
        <f t="shared" si="808"/>
        <v>10.892287380349872</v>
      </c>
      <c r="J147" s="99">
        <f t="shared" si="808"/>
        <v>11</v>
      </c>
      <c r="K147" s="1212" t="e">
        <f>+((+#REF!+K105+#REF!)/K106)*100</f>
        <v>#REF!</v>
      </c>
      <c r="L147" s="121" t="e">
        <f>+((+#REF!+L105+#REF!)/L106)*100</f>
        <v>#REF!</v>
      </c>
      <c r="M147" s="1449" t="e">
        <f>+((+#REF!+M105+#REF!)/M106)*100</f>
        <v>#REF!</v>
      </c>
      <c r="N147" s="106" t="e">
        <f>+((+#REF!+N105+#REF!)/N106)*100</f>
        <v>#REF!</v>
      </c>
      <c r="O147" s="1212" t="e">
        <f>+((+#REF!+O105+#REF!)/O106)*100</f>
        <v>#REF!</v>
      </c>
      <c r="P147" s="121" t="e">
        <f>+((+#REF!+P105+#REF!)/P106)*100</f>
        <v>#REF!</v>
      </c>
      <c r="Q147" s="99" t="e">
        <f>+((+#REF!+Q105+#REF!)/Q106)*100</f>
        <v>#REF!</v>
      </c>
      <c r="R147" s="99" t="e">
        <f>+((+#REF!+R105+#REF!)/R106)*100</f>
        <v>#REF!</v>
      </c>
      <c r="S147" s="1212" t="e">
        <f>+((+#REF!+S105+#REF!)/S106)*100</f>
        <v>#REF!</v>
      </c>
      <c r="T147" s="121" t="e">
        <f>+((+#REF!+T105+#REF!)/T106)*100</f>
        <v>#REF!</v>
      </c>
      <c r="U147" s="99" t="e">
        <f>+((+#REF!+U105+#REF!)/U106)*100</f>
        <v>#REF!</v>
      </c>
      <c r="V147" s="99" t="e">
        <f>+((+#REF!+V105+#REF!)/V106)*100</f>
        <v>#REF!</v>
      </c>
      <c r="W147" s="1212" t="e">
        <f>+((+#REF!+W105+#REF!)/W106)*100</f>
        <v>#REF!</v>
      </c>
      <c r="X147" s="121" t="e">
        <f>+((+#REF!+X105+#REF!)/X106)*100</f>
        <v>#REF!</v>
      </c>
      <c r="Y147" s="106" t="e">
        <f>+((+#REF!+Y105+#REF!)/Y106)*100</f>
        <v>#REF!</v>
      </c>
      <c r="Z147" s="106" t="e">
        <f>+((+#REF!+Z105+#REF!)/Z106)*100</f>
        <v>#REF!</v>
      </c>
      <c r="AA147" s="435" t="e">
        <f>+((+#REF!+AA105+#REF!)/AA106)*100</f>
        <v>#REF!</v>
      </c>
      <c r="AB147" s="435" t="e">
        <f>+((+#REF!+AB105+#REF!)/AB106)*100</f>
        <v>#REF!</v>
      </c>
      <c r="AC147" s="1212" t="e">
        <f>+((+#REF!+AC105+#REF!)/AC106)*100</f>
        <v>#REF!</v>
      </c>
      <c r="AD147" s="121" t="e">
        <f>+((+#REF!+AD105+#REF!)/AD106)*100</f>
        <v>#REF!</v>
      </c>
      <c r="AE147" s="99" t="e">
        <f>+((+#REF!+AE105+#REF!)/AE106)*100</f>
        <v>#REF!</v>
      </c>
      <c r="AF147" s="99" t="e">
        <f>+((+#REF!+AF105+#REF!)/AF106)*100</f>
        <v>#REF!</v>
      </c>
      <c r="AG147" s="1212" t="e">
        <f>+((+#REF!+AG105+#REF!)/AG106)*100</f>
        <v>#REF!</v>
      </c>
      <c r="AH147" s="121" t="e">
        <f>+((+#REF!+AH105+#REF!)/AH106)*100</f>
        <v>#REF!</v>
      </c>
      <c r="AI147" s="99" t="e">
        <f>+((+#REF!+AI105+#REF!)/AI106)*100</f>
        <v>#REF!</v>
      </c>
      <c r="AJ147" s="99" t="e">
        <f>+((+#REF!+AJ105+#REF!)/AJ106)*100</f>
        <v>#REF!</v>
      </c>
      <c r="AK147" s="1212" t="e">
        <f>+((+#REF!+AK105+#REF!)/AK106)*100</f>
        <v>#REF!</v>
      </c>
      <c r="AL147" s="121" t="e">
        <f>+((+#REF!+AL105+#REF!)/AL106)*100</f>
        <v>#REF!</v>
      </c>
      <c r="AM147" s="106" t="e">
        <f>+((+#REF!+AM105+#REF!)/AM106)*100</f>
        <v>#REF!</v>
      </c>
      <c r="AN147" s="106" t="e">
        <f>+((+#REF!+AN105+#REF!)/AN106)*100</f>
        <v>#REF!</v>
      </c>
      <c r="AO147" s="99" t="e">
        <f>+((+#REF!+AO105+#REF!)/AO106)*100</f>
        <v>#REF!</v>
      </c>
      <c r="AP147" s="99" t="e">
        <f>+((+#REF!+AP105+#REF!)/AP106)*100</f>
        <v>#REF!</v>
      </c>
      <c r="AQ147" s="1212" t="e">
        <f>+((+#REF!+AQ105+#REF!)/AQ106)*100</f>
        <v>#REF!</v>
      </c>
      <c r="AR147" s="121" t="e">
        <f>+((+#REF!+AR105+#REF!)/AR106)*100</f>
        <v>#REF!</v>
      </c>
      <c r="AS147" s="99" t="e">
        <f>+((+#REF!+AS105+#REF!)/AS106)*100</f>
        <v>#REF!</v>
      </c>
      <c r="AT147" s="99" t="e">
        <f>+((+#REF!+AT105+#REF!)/AT106)*100</f>
        <v>#REF!</v>
      </c>
      <c r="AU147" s="1212" t="e">
        <f>+((+#REF!+AU105+#REF!)/AU106)*100</f>
        <v>#REF!</v>
      </c>
      <c r="AV147" s="121" t="e">
        <f>+((+#REF!+AV105+#REF!)/AV106)*100</f>
        <v>#REF!</v>
      </c>
      <c r="AW147" s="99" t="e">
        <f>+((+#REF!+AW105+#REF!)/AW106)*100</f>
        <v>#REF!</v>
      </c>
      <c r="AX147" s="99" t="e">
        <f>+((+#REF!+AX105+#REF!)/AX106)*100</f>
        <v>#REF!</v>
      </c>
      <c r="AY147" s="1212" t="e">
        <f>+((+#REF!+AY105+#REF!)/AY106)*100</f>
        <v>#REF!</v>
      </c>
      <c r="AZ147" s="121" t="e">
        <f>+((+#REF!+AZ105+#REF!)/AZ106)*100</f>
        <v>#REF!</v>
      </c>
      <c r="BA147" s="106" t="e">
        <f>+((+#REF!+BA105+#REF!)/BA106)*100</f>
        <v>#REF!</v>
      </c>
      <c r="BB147" s="106" t="e">
        <f>+((+#REF!+BB105+#REF!)/BB106)*100</f>
        <v>#REF!</v>
      </c>
      <c r="BC147" s="435" t="e">
        <f>+((+#REF!+BC105+#REF!)/BC106)*100</f>
        <v>#REF!</v>
      </c>
      <c r="BD147" s="435" t="e">
        <f>+((+#REF!+BD105+#REF!)/BD106)*100</f>
        <v>#REF!</v>
      </c>
      <c r="BE147" s="99" t="e">
        <f>+((+#REF!+BE105+#REF!)/BE106)*100</f>
        <v>#REF!</v>
      </c>
      <c r="BF147" s="99" t="e">
        <f>+((+#REF!+BF105+#REF!)/BF106)*100</f>
        <v>#REF!</v>
      </c>
      <c r="BG147" s="1111"/>
      <c r="BH147" s="1111"/>
      <c r="BI147" s="1111"/>
      <c r="BJ147" s="1111"/>
      <c r="BK147" s="1111"/>
      <c r="BL147" s="23"/>
      <c r="BM147" s="23"/>
      <c r="BN147" s="23"/>
    </row>
    <row r="148" spans="1:66" ht="18" x14ac:dyDescent="0.3">
      <c r="B148" s="1709" t="s">
        <v>192</v>
      </c>
      <c r="C148" s="1282"/>
      <c r="D148" s="1257"/>
      <c r="E148" s="1258"/>
      <c r="F148" s="1259"/>
      <c r="G148" s="1258"/>
      <c r="H148" s="1259"/>
      <c r="I148" s="1260"/>
      <c r="J148" s="1257"/>
      <c r="K148" s="1258"/>
      <c r="L148" s="1259"/>
      <c r="M148" s="1258"/>
      <c r="N148" s="1259"/>
      <c r="O148" s="1258"/>
      <c r="P148" s="1259"/>
      <c r="Q148" s="1260"/>
      <c r="R148" s="1257"/>
      <c r="S148" s="1258"/>
      <c r="T148" s="1259"/>
      <c r="U148" s="1260"/>
      <c r="V148" s="1257"/>
      <c r="W148" s="1258"/>
      <c r="X148" s="1259"/>
      <c r="Y148" s="1257"/>
      <c r="Z148" s="1257"/>
      <c r="AA148" s="2158"/>
      <c r="AB148" s="1259"/>
      <c r="AC148" s="1258"/>
      <c r="AD148" s="1259"/>
      <c r="AE148" s="1260"/>
      <c r="AF148" s="1259"/>
      <c r="AG148" s="1258"/>
      <c r="AH148" s="1259"/>
      <c r="AI148" s="1260"/>
      <c r="AJ148" s="1259"/>
      <c r="AK148" s="1258"/>
      <c r="AL148" s="1259"/>
      <c r="AM148" s="1257"/>
      <c r="AN148" s="1257"/>
      <c r="AO148" s="1260"/>
      <c r="AP148" s="1259"/>
      <c r="AQ148" s="1258"/>
      <c r="AR148" s="1259"/>
      <c r="AS148" s="1260"/>
      <c r="AT148" s="1259"/>
      <c r="AU148" s="1258"/>
      <c r="AV148" s="1259"/>
      <c r="AW148" s="1260"/>
      <c r="AX148" s="1259"/>
      <c r="AY148" s="1258"/>
      <c r="AZ148" s="1259"/>
      <c r="BA148" s="1257"/>
      <c r="BB148" s="1257"/>
      <c r="BC148" s="2158"/>
      <c r="BD148" s="1259"/>
      <c r="BE148" s="1260"/>
      <c r="BF148" s="1259"/>
      <c r="BG148" s="1111"/>
      <c r="BH148" s="1111"/>
      <c r="BI148" s="1111"/>
      <c r="BJ148" s="1111"/>
      <c r="BK148" s="1111"/>
      <c r="BL148" s="23"/>
      <c r="BM148" s="23"/>
      <c r="BN148" s="23"/>
    </row>
    <row r="149" spans="1:66" x14ac:dyDescent="0.3">
      <c r="B149" s="1658" t="s">
        <v>198</v>
      </c>
      <c r="C149" s="1277" t="s">
        <v>49</v>
      </c>
      <c r="D149" s="100">
        <v>9.5</v>
      </c>
      <c r="E149" s="706">
        <f>+$D$149</f>
        <v>9.5</v>
      </c>
      <c r="F149" s="123">
        <v>8.1999999999999993</v>
      </c>
      <c r="G149" s="706">
        <f>+$D$149</f>
        <v>9.5</v>
      </c>
      <c r="H149" s="123">
        <v>8.8000000000000007</v>
      </c>
      <c r="I149" s="49">
        <f>+$D$149</f>
        <v>9.5</v>
      </c>
      <c r="J149" s="101">
        <f>+((F149*F$106)+(H$106*H149))/J$106</f>
        <v>8.5034795763993944</v>
      </c>
      <c r="K149" s="706">
        <f>+$D$149</f>
        <v>9.5</v>
      </c>
      <c r="L149" s="123">
        <v>9.1999999999999993</v>
      </c>
      <c r="M149" s="73">
        <f>+$D$149</f>
        <v>9.5</v>
      </c>
      <c r="N149" s="107" t="e">
        <f>+((F149*F$106)+(H149*H$106)+(L149*L$106))/N$106</f>
        <v>#REF!</v>
      </c>
      <c r="O149" s="706">
        <f>+$D$149</f>
        <v>9.5</v>
      </c>
      <c r="P149" s="123">
        <v>9.6999999999999993</v>
      </c>
      <c r="Q149" s="49">
        <f>+$D$149</f>
        <v>9.5</v>
      </c>
      <c r="R149" s="101" t="e">
        <f>+((N149*N$106)+(P149*P$106))/R$106</f>
        <v>#REF!</v>
      </c>
      <c r="S149" s="706">
        <f>+$D$149</f>
        <v>9.5</v>
      </c>
      <c r="T149" s="123">
        <v>9.8000000000000007</v>
      </c>
      <c r="U149" s="49">
        <f>+$D$149</f>
        <v>9.5</v>
      </c>
      <c r="V149" s="101" t="e">
        <f>+((R149*R$106)+(T149*T$106))/V$106</f>
        <v>#REF!</v>
      </c>
      <c r="W149" s="706">
        <f>+$D$149</f>
        <v>9.5</v>
      </c>
      <c r="X149" s="123">
        <v>9.6</v>
      </c>
      <c r="Y149" s="73">
        <f>+$D$149</f>
        <v>9.5</v>
      </c>
      <c r="Z149" s="107" t="e">
        <f>+((P149*P$106)+(T149*T$106)+(X$106*X149))/Z$106</f>
        <v>#REF!</v>
      </c>
      <c r="AA149" s="622">
        <f>+$D$149</f>
        <v>9.5</v>
      </c>
      <c r="AB149" s="438" t="e">
        <f>+((N149*N$106)+(Z$106*Z149))/AB$106</f>
        <v>#REF!</v>
      </c>
      <c r="AC149" s="706">
        <f>+$D$149</f>
        <v>9.5</v>
      </c>
      <c r="AD149" s="123">
        <v>9.1999999999999993</v>
      </c>
      <c r="AE149" s="49">
        <f>+$D$149</f>
        <v>9.5</v>
      </c>
      <c r="AF149" s="101" t="e">
        <f>+((AB149*AB$106)+(AD149*AD$106))/AF$106</f>
        <v>#REF!</v>
      </c>
      <c r="AG149" s="706">
        <f>+$D$149</f>
        <v>9.5</v>
      </c>
      <c r="AH149" s="123">
        <v>8.8000000000000007</v>
      </c>
      <c r="AI149" s="49">
        <f>+$D$149</f>
        <v>9.5</v>
      </c>
      <c r="AJ149" s="101" t="e">
        <f>+((AF149*AF$106)+(AH149*AH$106))/AJ$106</f>
        <v>#REF!</v>
      </c>
      <c r="AK149" s="706">
        <f>+$D$149</f>
        <v>9.5</v>
      </c>
      <c r="AL149" s="123">
        <v>8.5</v>
      </c>
      <c r="AM149" s="73">
        <f>+$D$149</f>
        <v>9.5</v>
      </c>
      <c r="AN149" s="107" t="e">
        <f>+((AD149*AD$106)+(AH149*AH$106)+(AL$106*AL149))/AN$106</f>
        <v>#REF!</v>
      </c>
      <c r="AO149" s="49">
        <f>+$D$149</f>
        <v>9.5</v>
      </c>
      <c r="AP149" s="101" t="e">
        <f>+((AL149*AL$106)+(AJ149*AJ$106))/AP$106</f>
        <v>#REF!</v>
      </c>
      <c r="AQ149" s="706">
        <f>+$D$149</f>
        <v>9.5</v>
      </c>
      <c r="AR149" s="123">
        <v>8.1</v>
      </c>
      <c r="AS149" s="49">
        <f>+$D$149</f>
        <v>9.5</v>
      </c>
      <c r="AT149" s="101" t="e">
        <f>+((AP149*AP$106)+(AR149*AR$106))/AT$106</f>
        <v>#REF!</v>
      </c>
      <c r="AU149" s="706">
        <f>+$D$149</f>
        <v>9.5</v>
      </c>
      <c r="AV149" s="123">
        <v>7.6</v>
      </c>
      <c r="AW149" s="49">
        <f>+$D$149</f>
        <v>9.5</v>
      </c>
      <c r="AX149" s="101" t="e">
        <f>+((AT149*AT$106)+(AV149*AV$106))/AX$106</f>
        <v>#REF!</v>
      </c>
      <c r="AY149" s="706">
        <f>+$D$149</f>
        <v>9.5</v>
      </c>
      <c r="AZ149" s="123">
        <v>8</v>
      </c>
      <c r="BA149" s="73">
        <f>+$D$149</f>
        <v>9.5</v>
      </c>
      <c r="BB149" s="107" t="e">
        <f>+((AR149*AR$106)+(AV149*AV$106)+(AZ$106*AZ149))/BB$106</f>
        <v>#REF!</v>
      </c>
      <c r="BC149" s="622">
        <f>+$D$149</f>
        <v>9.5</v>
      </c>
      <c r="BD149" s="438" t="e">
        <f>+((AN149*AN$106)+(BB$106*BB149))/BD$106</f>
        <v>#REF!</v>
      </c>
      <c r="BE149" s="49">
        <f>+$D$149</f>
        <v>9.5</v>
      </c>
      <c r="BF149" s="101" t="e">
        <f>+((AX149*AX$106)+(AZ149*AZ$106))/BF$106</f>
        <v>#REF!</v>
      </c>
      <c r="BG149" s="1111"/>
      <c r="BH149" s="1111"/>
      <c r="BI149" s="1111"/>
      <c r="BJ149" s="1111"/>
      <c r="BK149" s="1111"/>
      <c r="BL149" s="23"/>
      <c r="BM149" s="23"/>
      <c r="BN149" s="23"/>
    </row>
    <row r="150" spans="1:66" x14ac:dyDescent="0.3">
      <c r="B150" s="6550"/>
      <c r="C150" s="4446"/>
      <c r="D150" s="6551"/>
      <c r="E150" s="6552"/>
      <c r="F150" s="6553"/>
      <c r="G150" s="6552"/>
      <c r="H150" s="6553"/>
      <c r="I150" s="6554"/>
      <c r="J150" s="4295"/>
      <c r="K150" s="6552"/>
      <c r="L150" s="6553"/>
      <c r="M150" s="6555"/>
      <c r="N150" s="6556"/>
      <c r="O150" s="6552"/>
      <c r="P150" s="6553"/>
      <c r="Q150" s="6554"/>
      <c r="R150" s="4295"/>
      <c r="S150" s="6552"/>
      <c r="T150" s="6553"/>
      <c r="U150" s="6554"/>
      <c r="V150" s="4295"/>
      <c r="W150" s="6552"/>
      <c r="X150" s="6553"/>
      <c r="Y150" s="6555"/>
      <c r="Z150" s="6556"/>
      <c r="AA150" s="4371"/>
      <c r="AB150" s="6557"/>
      <c r="AC150" s="6552"/>
      <c r="AD150" s="6553"/>
      <c r="AE150" s="6554"/>
      <c r="AF150" s="4295"/>
      <c r="AG150" s="6552"/>
      <c r="AH150" s="6553"/>
      <c r="AI150" s="6554"/>
      <c r="AJ150" s="4295"/>
      <c r="AK150" s="6552"/>
      <c r="AL150" s="6553"/>
      <c r="AM150" s="6555"/>
      <c r="AN150" s="6556"/>
      <c r="AO150" s="6554"/>
      <c r="AP150" s="4295"/>
      <c r="AQ150" s="6552"/>
      <c r="AR150" s="6553"/>
      <c r="AS150" s="6554"/>
      <c r="AT150" s="4295"/>
      <c r="AU150" s="6552"/>
      <c r="AV150" s="6553"/>
      <c r="AW150" s="6554"/>
      <c r="AX150" s="4295"/>
      <c r="AY150" s="6552"/>
      <c r="AZ150" s="6553"/>
      <c r="BA150" s="6555"/>
      <c r="BB150" s="6556"/>
      <c r="BC150" s="4371"/>
      <c r="BD150" s="6557"/>
      <c r="BE150" s="6554"/>
      <c r="BF150" s="4295"/>
      <c r="BG150" s="1111"/>
      <c r="BH150" s="1111"/>
      <c r="BI150" s="1111"/>
      <c r="BJ150" s="1111"/>
      <c r="BK150" s="1111"/>
      <c r="BL150" s="23"/>
      <c r="BM150" s="23"/>
      <c r="BN150" s="23"/>
    </row>
    <row r="151" spans="1:66" x14ac:dyDescent="0.3">
      <c r="B151" s="6550"/>
      <c r="C151" s="4446"/>
      <c r="D151" s="6551"/>
      <c r="E151" s="6552"/>
      <c r="F151" s="6553"/>
      <c r="G151" s="6552"/>
      <c r="H151" s="6553"/>
      <c r="I151" s="6554"/>
      <c r="J151" s="4295"/>
      <c r="K151" s="6552"/>
      <c r="L151" s="6553"/>
      <c r="M151" s="6555"/>
      <c r="N151" s="6556"/>
      <c r="O151" s="6552"/>
      <c r="P151" s="6553"/>
      <c r="Q151" s="6554"/>
      <c r="R151" s="4295"/>
      <c r="S151" s="6552"/>
      <c r="T151" s="6553"/>
      <c r="U151" s="6554"/>
      <c r="V151" s="4295"/>
      <c r="W151" s="6552"/>
      <c r="X151" s="6553"/>
      <c r="Y151" s="6555"/>
      <c r="Z151" s="6556"/>
      <c r="AA151" s="4371"/>
      <c r="AB151" s="6557"/>
      <c r="AC151" s="6552"/>
      <c r="AD151" s="6553"/>
      <c r="AE151" s="6554"/>
      <c r="AF151" s="4295"/>
      <c r="AG151" s="6552"/>
      <c r="AH151" s="6553"/>
      <c r="AI151" s="6554"/>
      <c r="AJ151" s="4295"/>
      <c r="AK151" s="6552"/>
      <c r="AL151" s="6553"/>
      <c r="AM151" s="6555"/>
      <c r="AN151" s="6556"/>
      <c r="AO151" s="6554"/>
      <c r="AP151" s="4295"/>
      <c r="AQ151" s="6552"/>
      <c r="AR151" s="6553"/>
      <c r="AS151" s="6554"/>
      <c r="AT151" s="4295"/>
      <c r="AU151" s="6552"/>
      <c r="AV151" s="6553"/>
      <c r="AW151" s="6554"/>
      <c r="AX151" s="4295"/>
      <c r="AY151" s="6552"/>
      <c r="AZ151" s="6553"/>
      <c r="BA151" s="6555"/>
      <c r="BB151" s="6556"/>
      <c r="BC151" s="4371"/>
      <c r="BD151" s="6557"/>
      <c r="BE151" s="6554"/>
      <c r="BF151" s="4295"/>
      <c r="BG151" s="1111"/>
      <c r="BH151" s="1111"/>
      <c r="BI151" s="1111"/>
      <c r="BJ151" s="1111"/>
      <c r="BK151" s="1111"/>
      <c r="BL151" s="23"/>
      <c r="BM151" s="23"/>
      <c r="BN151" s="23"/>
    </row>
    <row r="152" spans="1:66" x14ac:dyDescent="0.3">
      <c r="B152" s="6550"/>
      <c r="C152" s="4446"/>
      <c r="D152" s="6551"/>
      <c r="E152" s="6552"/>
      <c r="F152" s="6553"/>
      <c r="G152" s="6552"/>
      <c r="H152" s="6553"/>
      <c r="I152" s="6554"/>
      <c r="J152" s="4295"/>
      <c r="K152" s="6552"/>
      <c r="L152" s="6553"/>
      <c r="M152" s="6555"/>
      <c r="N152" s="6556"/>
      <c r="O152" s="6552"/>
      <c r="P152" s="6553"/>
      <c r="Q152" s="6554"/>
      <c r="R152" s="4295"/>
      <c r="S152" s="6552"/>
      <c r="T152" s="6553"/>
      <c r="U152" s="6554"/>
      <c r="V152" s="4295"/>
      <c r="W152" s="6552"/>
      <c r="X152" s="6553"/>
      <c r="Y152" s="6555"/>
      <c r="Z152" s="6556"/>
      <c r="AA152" s="4371"/>
      <c r="AB152" s="6557"/>
      <c r="AC152" s="6552"/>
      <c r="AD152" s="6553"/>
      <c r="AE152" s="6554"/>
      <c r="AF152" s="4295"/>
      <c r="AG152" s="6552"/>
      <c r="AH152" s="6553"/>
      <c r="AI152" s="6554"/>
      <c r="AJ152" s="4295"/>
      <c r="AK152" s="6552"/>
      <c r="AL152" s="6553"/>
      <c r="AM152" s="6555"/>
      <c r="AN152" s="6556"/>
      <c r="AO152" s="6554"/>
      <c r="AP152" s="4295"/>
      <c r="AQ152" s="6552"/>
      <c r="AR152" s="6553"/>
      <c r="AS152" s="6554"/>
      <c r="AT152" s="4295"/>
      <c r="AU152" s="6552"/>
      <c r="AV152" s="6553"/>
      <c r="AW152" s="6554"/>
      <c r="AX152" s="4295"/>
      <c r="AY152" s="6552"/>
      <c r="AZ152" s="6553"/>
      <c r="BA152" s="6555"/>
      <c r="BB152" s="6556"/>
      <c r="BC152" s="4371"/>
      <c r="BD152" s="6557"/>
      <c r="BE152" s="6554"/>
      <c r="BF152" s="4295"/>
      <c r="BG152" s="1111"/>
      <c r="BH152" s="1111"/>
      <c r="BI152" s="1111"/>
      <c r="BJ152" s="1111"/>
      <c r="BK152" s="1111"/>
      <c r="BL152" s="23"/>
      <c r="BM152" s="23"/>
      <c r="BN152" s="23"/>
    </row>
    <row r="153" spans="1:66" x14ac:dyDescent="0.3">
      <c r="A153" s="136"/>
      <c r="B153" s="1658" t="s">
        <v>199</v>
      </c>
      <c r="C153" s="1277" t="s">
        <v>49</v>
      </c>
      <c r="D153" s="100" t="s">
        <v>1907</v>
      </c>
      <c r="E153" s="706" t="str">
        <f>+$D$153</f>
        <v>10.5-10.7</v>
      </c>
      <c r="F153" s="123">
        <v>10.9</v>
      </c>
      <c r="G153" s="706" t="str">
        <f>+$D$153</f>
        <v>10.5-10.7</v>
      </c>
      <c r="H153" s="123">
        <v>10.8</v>
      </c>
      <c r="I153" s="49" t="str">
        <f>+$D$153</f>
        <v>10.5-10.7</v>
      </c>
      <c r="J153" s="101">
        <f>+((F153*F$106)+(H$106*H153))/J$106</f>
        <v>10.849420070600102</v>
      </c>
      <c r="K153" s="706" t="str">
        <f>+$D$153</f>
        <v>10.5-10.7</v>
      </c>
      <c r="L153" s="123">
        <v>10.7</v>
      </c>
      <c r="M153" s="73" t="str">
        <f>+$D$153</f>
        <v>10.5-10.7</v>
      </c>
      <c r="N153" s="107" t="e">
        <f>+((F153*F$106)+(H153*H$106)+(L153*L$106))/N$106</f>
        <v>#REF!</v>
      </c>
      <c r="O153" s="706" t="str">
        <f>+$D$153</f>
        <v>10.5-10.7</v>
      </c>
      <c r="P153" s="123">
        <v>10.5</v>
      </c>
      <c r="Q153" s="49" t="str">
        <f>+$D$153</f>
        <v>10.5-10.7</v>
      </c>
      <c r="R153" s="101" t="e">
        <f>+((N153*N$106)+(P153*P$106))/R$106</f>
        <v>#REF!</v>
      </c>
      <c r="S153" s="706" t="str">
        <f>+$D$153</f>
        <v>10.5-10.7</v>
      </c>
      <c r="T153" s="123">
        <v>10.4</v>
      </c>
      <c r="U153" s="49" t="str">
        <f>+$D$153</f>
        <v>10.5-10.7</v>
      </c>
      <c r="V153" s="101" t="e">
        <f>+((R153*R$106)+(T153*T$106))/V$106</f>
        <v>#REF!</v>
      </c>
      <c r="W153" s="706" t="str">
        <f>+$D$153</f>
        <v>10.5-10.7</v>
      </c>
      <c r="X153" s="123">
        <v>10.5</v>
      </c>
      <c r="Y153" s="73" t="str">
        <f>+$D$153</f>
        <v>10.5-10.7</v>
      </c>
      <c r="Z153" s="107" t="e">
        <f>+((P153*P$106)+(T153*T$106)+(X$106*X153))/Z$106</f>
        <v>#REF!</v>
      </c>
      <c r="AA153" s="622" t="str">
        <f>+$D$153</f>
        <v>10.5-10.7</v>
      </c>
      <c r="AB153" s="438" t="e">
        <f>+((N153*N$106)+(Z$106*Z153))/AB$106</f>
        <v>#REF!</v>
      </c>
      <c r="AC153" s="706" t="str">
        <f>+$D$153</f>
        <v>10.5-10.7</v>
      </c>
      <c r="AD153" s="123">
        <v>10.5</v>
      </c>
      <c r="AE153" s="49" t="str">
        <f>+$D$153</f>
        <v>10.5-10.7</v>
      </c>
      <c r="AF153" s="101" t="e">
        <f>+((AB153*AB$106)+(AD153*AD$106))/AF$106</f>
        <v>#REF!</v>
      </c>
      <c r="AG153" s="706" t="str">
        <f>+$D$153</f>
        <v>10.5-10.7</v>
      </c>
      <c r="AH153" s="123">
        <v>10.5</v>
      </c>
      <c r="AI153" s="49" t="str">
        <f>+$D$153</f>
        <v>10.5-10.7</v>
      </c>
      <c r="AJ153" s="101" t="e">
        <f>+((AF153*AF$106)+(AH153*AH$106))/AJ$106</f>
        <v>#REF!</v>
      </c>
      <c r="AK153" s="706" t="str">
        <f>+$D$153</f>
        <v>10.5-10.7</v>
      </c>
      <c r="AL153" s="123">
        <v>10.8</v>
      </c>
      <c r="AM153" s="73" t="str">
        <f>+$D$153</f>
        <v>10.5-10.7</v>
      </c>
      <c r="AN153" s="107" t="e">
        <f>+((AD153*AD$106)+(AH153*AH$106)+(AL$106*AL153))/AN$106</f>
        <v>#REF!</v>
      </c>
      <c r="AO153" s="49" t="str">
        <f>+$D$153</f>
        <v>10.5-10.7</v>
      </c>
      <c r="AP153" s="101" t="e">
        <f>+((AL153*AL$106)+(AJ153*AJ$106))/AP$106</f>
        <v>#REF!</v>
      </c>
      <c r="AQ153" s="706" t="str">
        <f>+$D$153</f>
        <v>10.5-10.7</v>
      </c>
      <c r="AR153" s="123">
        <v>10.9</v>
      </c>
      <c r="AS153" s="49" t="str">
        <f>+$D$153</f>
        <v>10.5-10.7</v>
      </c>
      <c r="AT153" s="101" t="e">
        <f>+((AP153*AP$106)+(AR153*AR$106))/AT$106</f>
        <v>#REF!</v>
      </c>
      <c r="AU153" s="706" t="str">
        <f>+$D$153</f>
        <v>10.5-10.7</v>
      </c>
      <c r="AV153" s="123">
        <v>10.6</v>
      </c>
      <c r="AW153" s="49" t="str">
        <f>+$D$153</f>
        <v>10.5-10.7</v>
      </c>
      <c r="AX153" s="101" t="e">
        <f>+((AT153*AT$106)+(AV153*AV$106))/AX$106</f>
        <v>#REF!</v>
      </c>
      <c r="AY153" s="706" t="str">
        <f>+$D$153</f>
        <v>10.5-10.7</v>
      </c>
      <c r="AZ153" s="123">
        <v>10.5</v>
      </c>
      <c r="BA153" s="73" t="str">
        <f>+$D$153</f>
        <v>10.5-10.7</v>
      </c>
      <c r="BB153" s="107" t="e">
        <f>+((AR153*AR$106)+(AV153*AV$106)+(AZ$106*AZ153))/BB$106</f>
        <v>#REF!</v>
      </c>
      <c r="BC153" s="622" t="str">
        <f>+$D$153</f>
        <v>10.5-10.7</v>
      </c>
      <c r="BD153" s="438" t="e">
        <f>+((AN153*AN$106)+(BB$106*BB153))/BD$106</f>
        <v>#REF!</v>
      </c>
      <c r="BE153" s="49" t="str">
        <f>+$D$153</f>
        <v>10.5-10.7</v>
      </c>
      <c r="BF153" s="101" t="e">
        <f>+((AX153*AX$106)+(AZ153*AZ$106))/BF$106</f>
        <v>#REF!</v>
      </c>
      <c r="BG153" s="1111"/>
      <c r="BH153" s="1111"/>
      <c r="BI153" s="1111"/>
      <c r="BJ153" s="1111"/>
      <c r="BK153" s="1111"/>
      <c r="BL153" s="23"/>
      <c r="BM153" s="23"/>
      <c r="BN153" s="23"/>
    </row>
    <row r="154" spans="1:66" x14ac:dyDescent="0.3">
      <c r="B154" s="1658" t="s">
        <v>200</v>
      </c>
      <c r="C154" s="1277" t="s">
        <v>49</v>
      </c>
      <c r="D154" s="100" t="s">
        <v>1619</v>
      </c>
      <c r="E154" s="706" t="str">
        <f>+$D$154</f>
        <v>25.0-25.2</v>
      </c>
      <c r="F154" s="123">
        <v>25.3</v>
      </c>
      <c r="G154" s="706" t="str">
        <f>+$D$154</f>
        <v>25.0-25.2</v>
      </c>
      <c r="H154" s="123">
        <v>25.1</v>
      </c>
      <c r="I154" s="49" t="str">
        <f>+$D$154</f>
        <v>25.0-25.2</v>
      </c>
      <c r="J154" s="101">
        <f>+((F154*F$106)+(H$106*H154))/J$106</f>
        <v>25.198840141200204</v>
      </c>
      <c r="K154" s="706" t="str">
        <f>+$D$154</f>
        <v>25.0-25.2</v>
      </c>
      <c r="L154" s="123">
        <v>24.6</v>
      </c>
      <c r="M154" s="73" t="str">
        <f>+$D$154</f>
        <v>25.0-25.2</v>
      </c>
      <c r="N154" s="107" t="e">
        <f>+((F154*F$106)+(H154*H$106)+(L154*L$106))/N$106</f>
        <v>#REF!</v>
      </c>
      <c r="O154" s="706" t="str">
        <f>+$D$154</f>
        <v>25.0-25.2</v>
      </c>
      <c r="P154" s="123">
        <v>25.3</v>
      </c>
      <c r="Q154" s="49" t="str">
        <f>+$D$154</f>
        <v>25.0-25.2</v>
      </c>
      <c r="R154" s="101" t="e">
        <f>+((N154*N$106)+(P154*P$106))/R$106</f>
        <v>#REF!</v>
      </c>
      <c r="S154" s="706" t="str">
        <f>+$D$154</f>
        <v>25.0-25.2</v>
      </c>
      <c r="T154" s="123">
        <v>25.4</v>
      </c>
      <c r="U154" s="49" t="str">
        <f>+$D$154</f>
        <v>25.0-25.2</v>
      </c>
      <c r="V154" s="101" t="e">
        <f>+((R154*R$106)+(T154*T$106))/V$106</f>
        <v>#REF!</v>
      </c>
      <c r="W154" s="706" t="str">
        <f>+$D$154</f>
        <v>25.0-25.2</v>
      </c>
      <c r="X154" s="123">
        <v>25.4</v>
      </c>
      <c r="Y154" s="73" t="str">
        <f>+$D$154</f>
        <v>25.0-25.2</v>
      </c>
      <c r="Z154" s="107" t="e">
        <f>+((P154*P$106)+(T154*T$106)+(X$106*X154))/Z$106</f>
        <v>#REF!</v>
      </c>
      <c r="AA154" s="622" t="str">
        <f>+$D$154</f>
        <v>25.0-25.2</v>
      </c>
      <c r="AB154" s="438" t="e">
        <f>+((N154*N$106)+(Z$106*Z154))/AB$106</f>
        <v>#REF!</v>
      </c>
      <c r="AC154" s="706" t="str">
        <f>+$D$154</f>
        <v>25.0-25.2</v>
      </c>
      <c r="AD154" s="123">
        <v>25.5</v>
      </c>
      <c r="AE154" s="49" t="str">
        <f>+$D$154</f>
        <v>25.0-25.2</v>
      </c>
      <c r="AF154" s="101" t="e">
        <f>+((AB154*AB$106)+(AD154*AD$106))/AF$106</f>
        <v>#REF!</v>
      </c>
      <c r="AG154" s="706" t="str">
        <f>+$D$154</f>
        <v>25.0-25.2</v>
      </c>
      <c r="AH154" s="123">
        <v>25.4</v>
      </c>
      <c r="AI154" s="49" t="str">
        <f>+$D$154</f>
        <v>25.0-25.2</v>
      </c>
      <c r="AJ154" s="101" t="e">
        <f>+((AF154*AF$106)+(AH154*AH$106))/AJ$106</f>
        <v>#REF!</v>
      </c>
      <c r="AK154" s="706" t="str">
        <f>+$D$154</f>
        <v>25.0-25.2</v>
      </c>
      <c r="AL154" s="123">
        <v>25.1</v>
      </c>
      <c r="AM154" s="73" t="str">
        <f>+$D$154</f>
        <v>25.0-25.2</v>
      </c>
      <c r="AN154" s="107" t="e">
        <f>+((AD154*AD$106)+(AH154*AH$106)+(AL$106*AL154))/AN$106</f>
        <v>#REF!</v>
      </c>
      <c r="AO154" s="49" t="str">
        <f>+$D$154</f>
        <v>25.0-25.2</v>
      </c>
      <c r="AP154" s="101" t="e">
        <f>+((AL154*AL$106)+(AJ154*AJ$106))/AP$106</f>
        <v>#REF!</v>
      </c>
      <c r="AQ154" s="706" t="str">
        <f>+$D$154</f>
        <v>25.0-25.2</v>
      </c>
      <c r="AR154" s="123">
        <v>25.3</v>
      </c>
      <c r="AS154" s="49" t="str">
        <f>+$D$154</f>
        <v>25.0-25.2</v>
      </c>
      <c r="AT154" s="101" t="e">
        <f>+((AP154*AP$106)+(AR154*AR$106))/AT$106</f>
        <v>#REF!</v>
      </c>
      <c r="AU154" s="706" t="str">
        <f>+$D$154</f>
        <v>25.0-25.2</v>
      </c>
      <c r="AV154" s="123">
        <v>25.5</v>
      </c>
      <c r="AW154" s="49" t="str">
        <f>+$D$154</f>
        <v>25.0-25.2</v>
      </c>
      <c r="AX154" s="101" t="e">
        <f>+((AT154*AT$106)+(AV154*AV$106))/AX$106</f>
        <v>#REF!</v>
      </c>
      <c r="AY154" s="706" t="str">
        <f>+$D$154</f>
        <v>25.0-25.2</v>
      </c>
      <c r="AZ154" s="123">
        <v>25.5</v>
      </c>
      <c r="BA154" s="73" t="str">
        <f>+$D$154</f>
        <v>25.0-25.2</v>
      </c>
      <c r="BB154" s="107" t="e">
        <f>+((AR154*AR$106)+(AV154*AV$106)+(AZ$106*AZ154))/BB$106</f>
        <v>#REF!</v>
      </c>
      <c r="BC154" s="622" t="str">
        <f>+$D$154</f>
        <v>25.0-25.2</v>
      </c>
      <c r="BD154" s="438" t="e">
        <f>+((AN154*AN$106)+(BB$106*BB154))/BD$106</f>
        <v>#REF!</v>
      </c>
      <c r="BE154" s="49" t="str">
        <f>+$D$154</f>
        <v>25.0-25.2</v>
      </c>
      <c r="BF154" s="101" t="e">
        <f>+((AX154*AX$106)+(AZ154*AZ$106))/BF$106</f>
        <v>#REF!</v>
      </c>
      <c r="BG154" s="1111"/>
      <c r="BH154" s="1111"/>
      <c r="BI154" s="1111"/>
      <c r="BJ154" s="1111"/>
      <c r="BK154" s="1111"/>
      <c r="BL154" s="23"/>
      <c r="BM154" s="23"/>
      <c r="BN154" s="23"/>
    </row>
    <row r="155" spans="1:66" ht="18" x14ac:dyDescent="0.3">
      <c r="B155" s="1708" t="s">
        <v>196</v>
      </c>
      <c r="C155" s="1282"/>
      <c r="D155" s="1257"/>
      <c r="E155" s="1258"/>
      <c r="F155" s="1259"/>
      <c r="G155" s="1258"/>
      <c r="H155" s="1259"/>
      <c r="I155" s="1261"/>
      <c r="J155" s="1257"/>
      <c r="K155" s="1258"/>
      <c r="L155" s="1259"/>
      <c r="M155" s="1258"/>
      <c r="N155" s="1259"/>
      <c r="O155" s="1258"/>
      <c r="P155" s="1259"/>
      <c r="Q155" s="1261"/>
      <c r="R155" s="1257"/>
      <c r="S155" s="1258"/>
      <c r="T155" s="1259"/>
      <c r="U155" s="1261"/>
      <c r="V155" s="1257"/>
      <c r="W155" s="1258"/>
      <c r="X155" s="1259"/>
      <c r="Y155" s="1257"/>
      <c r="Z155" s="1257"/>
      <c r="AA155" s="2159"/>
      <c r="AB155" s="1259"/>
      <c r="AC155" s="1258"/>
      <c r="AD155" s="1259"/>
      <c r="AE155" s="1261"/>
      <c r="AF155" s="1259"/>
      <c r="AG155" s="1258"/>
      <c r="AH155" s="1259"/>
      <c r="AI155" s="1261"/>
      <c r="AJ155" s="1259"/>
      <c r="AK155" s="1258"/>
      <c r="AL155" s="1259"/>
      <c r="AM155" s="1257"/>
      <c r="AN155" s="1257"/>
      <c r="AO155" s="1261"/>
      <c r="AP155" s="1259"/>
      <c r="AQ155" s="1258"/>
      <c r="AR155" s="1259"/>
      <c r="AS155" s="1261"/>
      <c r="AT155" s="1259"/>
      <c r="AU155" s="1258"/>
      <c r="AV155" s="1259"/>
      <c r="AW155" s="1261"/>
      <c r="AX155" s="1259"/>
      <c r="AY155" s="1258"/>
      <c r="AZ155" s="1259"/>
      <c r="BA155" s="1257"/>
      <c r="BB155" s="1257"/>
      <c r="BC155" s="2159"/>
      <c r="BD155" s="1259"/>
      <c r="BE155" s="1261"/>
      <c r="BF155" s="1259"/>
      <c r="BG155" s="1111"/>
      <c r="BH155" s="1111"/>
      <c r="BI155" s="1111"/>
      <c r="BJ155" s="1111"/>
      <c r="BK155" s="1111"/>
      <c r="BL155" s="23"/>
      <c r="BM155" s="23"/>
      <c r="BN155" s="23"/>
    </row>
    <row r="156" spans="1:66" x14ac:dyDescent="0.3">
      <c r="B156" s="1658" t="s">
        <v>201</v>
      </c>
      <c r="C156" s="1277" t="s">
        <v>49</v>
      </c>
      <c r="D156" s="364" t="s">
        <v>2219</v>
      </c>
      <c r="E156" s="710" t="str">
        <f>+$D$156</f>
        <v>&lt;3.3%</v>
      </c>
      <c r="F156" s="123">
        <v>2.83</v>
      </c>
      <c r="G156" s="710" t="str">
        <f>+$D$156</f>
        <v>&lt;3.3%</v>
      </c>
      <c r="H156" s="123">
        <v>3.69</v>
      </c>
      <c r="I156" s="49" t="str">
        <f>+$D$156</f>
        <v>&lt;3.3%</v>
      </c>
      <c r="J156" s="101">
        <f t="shared" ref="J156:J161" si="809">+((F156*F$21)+(H$21*H156))/J$21</f>
        <v>3.2649873928391329</v>
      </c>
      <c r="K156" s="710" t="str">
        <f>+$D$156</f>
        <v>&lt;3.3%</v>
      </c>
      <c r="L156" s="123">
        <v>3.2</v>
      </c>
      <c r="M156" s="73" t="str">
        <f>+$D$156</f>
        <v>&lt;3.3%</v>
      </c>
      <c r="N156" s="107">
        <f t="shared" ref="N156:N161" si="810">+((F156*F$21)+(H156*H$21)+(L$21*L156))/N$21</f>
        <v>3.2436761891138675</v>
      </c>
      <c r="O156" s="710" t="str">
        <f>+$D$156</f>
        <v>&lt;3.3%</v>
      </c>
      <c r="P156" s="123">
        <v>3</v>
      </c>
      <c r="Q156" s="49" t="str">
        <f>+$D$156</f>
        <v>&lt;3.3%</v>
      </c>
      <c r="R156" s="101">
        <f t="shared" ref="R156:R161" si="811">+((N156*N$21)+(P$21*P156))/R$21</f>
        <v>3.1823137637875329</v>
      </c>
      <c r="S156" s="710" t="str">
        <f>+$D$156</f>
        <v>&lt;3.3%</v>
      </c>
      <c r="T156" s="123">
        <v>3</v>
      </c>
      <c r="U156" s="49" t="str">
        <f>+$D$156</f>
        <v>&lt;3.3%</v>
      </c>
      <c r="V156" s="101">
        <f t="shared" ref="V156:V161" si="812">+((R156*R$21)+(T$21*T156))/V$21</f>
        <v>3.1448509515994298</v>
      </c>
      <c r="W156" s="710" t="str">
        <f>+$D$156</f>
        <v>&lt;3.3%</v>
      </c>
      <c r="X156" s="123">
        <v>3.7</v>
      </c>
      <c r="Y156" s="73" t="str">
        <f>+$D$156</f>
        <v>&lt;3.3%</v>
      </c>
      <c r="Z156" s="107">
        <f t="shared" ref="Z156:Z161" si="813">+((P156*P$21)+(T156*T$21)+(X$21*X156))/Z$21</f>
        <v>3.2303043867502237</v>
      </c>
      <c r="AA156" s="622" t="str">
        <f>+$D$156</f>
        <v>&lt;3.3%</v>
      </c>
      <c r="AB156" s="438">
        <f t="shared" ref="AB156:AB161" si="814">+((N156*N$21)+(Z$21*Z156))/AB$21</f>
        <v>3.2369346518198574</v>
      </c>
      <c r="AC156" s="710" t="str">
        <f>+$D$156</f>
        <v>&lt;3.3%</v>
      </c>
      <c r="AD156" s="123">
        <v>3.9</v>
      </c>
      <c r="AE156" s="49" t="str">
        <f>+$D$156</f>
        <v>&lt;3.3%</v>
      </c>
      <c r="AF156" s="101">
        <f t="shared" ref="AF156:AF161" si="815">+((AB156*AB$21)+(AD$21*AD156))/AF$21</f>
        <v>3.3323743955472871</v>
      </c>
      <c r="AG156" s="710" t="str">
        <f>+$D$156</f>
        <v>&lt;3.3%</v>
      </c>
      <c r="AH156" s="123">
        <v>3</v>
      </c>
      <c r="AI156" s="49" t="str">
        <f>+$D$156</f>
        <v>&lt;3.3%</v>
      </c>
      <c r="AJ156" s="101">
        <f t="shared" ref="AJ156:AJ161" si="816">+((AF156*AF$21)+(AH$21*AH156))/AJ$21</f>
        <v>3.2926954581046428</v>
      </c>
      <c r="AK156" s="710" t="str">
        <f>+$D$156</f>
        <v>&lt;3.3%</v>
      </c>
      <c r="AL156" s="123">
        <v>3</v>
      </c>
      <c r="AM156" s="73" t="str">
        <f>+$D$156</f>
        <v>&lt;3.3%</v>
      </c>
      <c r="AN156" s="107">
        <f t="shared" ref="AN156:AN157" si="817">+((AD156*AD$21)+(AH156*AH$21)+(AL$21*AL156))/AN$21</f>
        <v>3.3088922034661237</v>
      </c>
      <c r="AO156" s="49" t="str">
        <f>+$D$156</f>
        <v>&lt;3.3%</v>
      </c>
      <c r="AP156" s="101">
        <f t="shared" ref="AP156:AP161" si="818">+((AL156*AL$21)+(AJ$21*AJ156))/AP$21</f>
        <v>3.2605951354142162</v>
      </c>
      <c r="AQ156" s="710" t="str">
        <f>+$D$156</f>
        <v>&lt;3.3%</v>
      </c>
      <c r="AR156" s="123">
        <v>3.1</v>
      </c>
      <c r="AS156" s="49" t="str">
        <f>+$D$156</f>
        <v>&lt;3.3%</v>
      </c>
      <c r="AT156" s="101">
        <f t="shared" ref="AT156:AT161" si="819">+((AP156*AP$21)+(AR$21*AR156))/AT$21</f>
        <v>3.2446104533097531</v>
      </c>
      <c r="AU156" s="710" t="str">
        <f>+$D$156</f>
        <v>&lt;3.3%</v>
      </c>
      <c r="AV156" s="123">
        <v>3.1</v>
      </c>
      <c r="AW156" s="49" t="str">
        <f>+$D$156</f>
        <v>&lt;3.3%</v>
      </c>
      <c r="AX156" s="101">
        <f t="shared" ref="AX156:AX161" si="820">+((AT156*AT$21)+(AV$21*AV156))/AX$21</f>
        <v>3.2327294521080789</v>
      </c>
      <c r="AY156" s="710" t="str">
        <f>+$D$156</f>
        <v>&lt;3.3%</v>
      </c>
      <c r="AZ156" s="123">
        <v>2.92</v>
      </c>
      <c r="BA156" s="73" t="str">
        <f>+$D$156</f>
        <v>&lt;3.3%</v>
      </c>
      <c r="BB156" s="107">
        <f>+((AR156*AR$21)+(AV156*AV$21)+(AZ$21*AZ156))/BB$21</f>
        <v>3.0365762004175365</v>
      </c>
      <c r="BC156" s="622" t="str">
        <f>+$D$156</f>
        <v>&lt;3.3%</v>
      </c>
      <c r="BD156" s="438">
        <f t="shared" ref="BD156:BD161" si="821">+((AN156*AN$21)+(BB$21*BB156))/BD$21</f>
        <v>3.1737032983993769</v>
      </c>
      <c r="BE156" s="49" t="str">
        <f>+$D$156</f>
        <v>&lt;3.3%</v>
      </c>
      <c r="BF156" s="101">
        <f t="shared" ref="BF156:BF161" si="822">+((AX156*AX$21)+(AZ$21*AZ156))/BF$21</f>
        <v>3.2057538151340204</v>
      </c>
      <c r="BG156" s="1111"/>
      <c r="BH156" s="1111"/>
      <c r="BI156" s="1111"/>
      <c r="BJ156" s="1111"/>
      <c r="BK156" s="1111"/>
      <c r="BL156" s="23"/>
      <c r="BM156" s="23"/>
      <c r="BN156" s="23"/>
    </row>
    <row r="157" spans="1:66" x14ac:dyDescent="0.3">
      <c r="B157" s="1658" t="s">
        <v>202</v>
      </c>
      <c r="C157" s="1277" t="s">
        <v>49</v>
      </c>
      <c r="D157" s="364" t="s">
        <v>1908</v>
      </c>
      <c r="E157" s="710" t="str">
        <f>+$D$157</f>
        <v>13.4-14.1</v>
      </c>
      <c r="F157" s="123">
        <v>14</v>
      </c>
      <c r="G157" s="710" t="str">
        <f>+$D$157</f>
        <v>13.4-14.1</v>
      </c>
      <c r="H157" s="123">
        <v>13.9</v>
      </c>
      <c r="I157" s="49" t="str">
        <f>+$D$157</f>
        <v>13.4-14.1</v>
      </c>
      <c r="J157" s="101">
        <f t="shared" si="809"/>
        <v>13.9494200706001</v>
      </c>
      <c r="K157" s="710" t="str">
        <f>+$D$157</f>
        <v>13.4-14.1</v>
      </c>
      <c r="L157" s="123">
        <v>13.9</v>
      </c>
      <c r="M157" s="73" t="str">
        <f>+$D$157</f>
        <v>13.4-14.1</v>
      </c>
      <c r="N157" s="107">
        <f t="shared" si="810"/>
        <v>13.933213832025752</v>
      </c>
      <c r="O157" s="710" t="str">
        <f>+$D$157</f>
        <v>13.4-14.1</v>
      </c>
      <c r="P157" s="123">
        <v>13.7</v>
      </c>
      <c r="Q157" s="49" t="str">
        <f>+$D$157</f>
        <v>13.4-14.1</v>
      </c>
      <c r="R157" s="101">
        <f t="shared" si="811"/>
        <v>13.874486032626109</v>
      </c>
      <c r="S157" s="710" t="str">
        <f>+$D$157</f>
        <v>13.4-14.1</v>
      </c>
      <c r="T157" s="123">
        <v>13.6</v>
      </c>
      <c r="U157" s="49" t="str">
        <f>+$D$157</f>
        <v>13.4-14.1</v>
      </c>
      <c r="V157" s="101">
        <f t="shared" si="812"/>
        <v>13.818083167176448</v>
      </c>
      <c r="W157" s="710" t="str">
        <f>+$D$157</f>
        <v>13.4-14.1</v>
      </c>
      <c r="X157" s="123">
        <v>13.6</v>
      </c>
      <c r="Y157" s="73" t="str">
        <f>+$D$157</f>
        <v>13.4-14.1</v>
      </c>
      <c r="Z157" s="107">
        <f t="shared" si="813"/>
        <v>13.633102059086838</v>
      </c>
      <c r="AA157" s="622" t="str">
        <f>+$D$157</f>
        <v>13.4-14.1</v>
      </c>
      <c r="AB157" s="438">
        <f t="shared" si="814"/>
        <v>13.781909269288565</v>
      </c>
      <c r="AC157" s="710" t="str">
        <f>+$D$157</f>
        <v>13.4-14.1</v>
      </c>
      <c r="AD157" s="123">
        <v>13.7</v>
      </c>
      <c r="AE157" s="49" t="str">
        <f>+$D$157</f>
        <v>13.4-14.1</v>
      </c>
      <c r="AF157" s="101">
        <f t="shared" si="815"/>
        <v>13.770119481613403</v>
      </c>
      <c r="AG157" s="710" t="str">
        <f>+$D$157</f>
        <v>13.4-14.1</v>
      </c>
      <c r="AH157" s="123">
        <v>13.7</v>
      </c>
      <c r="AI157" s="49" t="str">
        <f>+$D$157</f>
        <v>13.4-14.1</v>
      </c>
      <c r="AJ157" s="101">
        <f t="shared" si="816"/>
        <v>13.761748600577672</v>
      </c>
      <c r="AK157" s="710" t="str">
        <f>+$D$157</f>
        <v>13.4-14.1</v>
      </c>
      <c r="AL157" s="123">
        <v>14</v>
      </c>
      <c r="AM157" s="73" t="str">
        <f>+$D$157</f>
        <v>13.4-14.1</v>
      </c>
      <c r="AN157" s="107">
        <f t="shared" si="817"/>
        <v>13.800061597173242</v>
      </c>
      <c r="AO157" s="49" t="str">
        <f>+$D$157</f>
        <v>13.4-14.1</v>
      </c>
      <c r="AP157" s="101">
        <f t="shared" si="818"/>
        <v>13.787877966753786</v>
      </c>
      <c r="AQ157" s="710" t="str">
        <f>+$D$157</f>
        <v>13.4-14.1</v>
      </c>
      <c r="AR157" s="123">
        <v>14.2</v>
      </c>
      <c r="AS157" s="49" t="str">
        <f>+$D$157</f>
        <v>13.4-14.1</v>
      </c>
      <c r="AT157" s="101">
        <f t="shared" si="819"/>
        <v>13.828898136341703</v>
      </c>
      <c r="AU157" s="710" t="str">
        <f>+$D$157</f>
        <v>13.4-14.1</v>
      </c>
      <c r="AV157" s="123">
        <v>14</v>
      </c>
      <c r="AW157" s="49" t="str">
        <f>+$D$157</f>
        <v>13.4-14.1</v>
      </c>
      <c r="AX157" s="101">
        <f t="shared" si="820"/>
        <v>13.842955636343993</v>
      </c>
      <c r="AY157" s="710" t="str">
        <f>+$D$157</f>
        <v>13.4-14.1</v>
      </c>
      <c r="AZ157" s="123">
        <v>14</v>
      </c>
      <c r="BA157" s="73" t="str">
        <f>+$D$157</f>
        <v>13.4-14.1</v>
      </c>
      <c r="BB157" s="107">
        <f>+((AR157*AR$21)+(AV157*AV$21)+(AZ$21*AZ157))/BB$21</f>
        <v>14.068197633959638</v>
      </c>
      <c r="BC157" s="622" t="str">
        <f>+$D$157</f>
        <v>13.4-14.1</v>
      </c>
      <c r="BD157" s="438">
        <f t="shared" si="821"/>
        <v>13.933175394439216</v>
      </c>
      <c r="BE157" s="49" t="str">
        <f>+$D$157</f>
        <v>13.4-14.1</v>
      </c>
      <c r="BF157" s="101">
        <f t="shared" si="822"/>
        <v>13.856502079489175</v>
      </c>
      <c r="BG157" s="1111"/>
      <c r="BH157" s="1111"/>
      <c r="BI157" s="1111"/>
      <c r="BJ157" s="1111"/>
      <c r="BK157" s="1111"/>
      <c r="BL157" s="23"/>
      <c r="BM157" s="23"/>
      <c r="BN157" s="23"/>
    </row>
    <row r="158" spans="1:66" x14ac:dyDescent="0.3">
      <c r="B158" s="1658" t="s">
        <v>203</v>
      </c>
      <c r="C158" s="1277" t="s">
        <v>49</v>
      </c>
      <c r="D158" s="364" t="s">
        <v>1909</v>
      </c>
      <c r="E158" s="710" t="str">
        <f>+$D$158</f>
        <v>85.0-86.5</v>
      </c>
      <c r="F158" s="123">
        <v>86.8</v>
      </c>
      <c r="G158" s="710" t="str">
        <f>+$D$158</f>
        <v>85.0-86.5</v>
      </c>
      <c r="H158" s="123">
        <v>86.8</v>
      </c>
      <c r="I158" s="49" t="str">
        <f>+$D$158</f>
        <v>85.0-86.5</v>
      </c>
      <c r="J158" s="101">
        <f t="shared" si="809"/>
        <v>86.8</v>
      </c>
      <c r="K158" s="710" t="str">
        <f>+$D$158</f>
        <v>85.0-86.5</v>
      </c>
      <c r="L158" s="123">
        <v>86.8</v>
      </c>
      <c r="M158" s="73" t="str">
        <f>+$D$158</f>
        <v>85.0-86.5</v>
      </c>
      <c r="N158" s="107">
        <f t="shared" si="810"/>
        <v>86.800000000000011</v>
      </c>
      <c r="O158" s="710" t="str">
        <f>+$D$158</f>
        <v>85.0-86.5</v>
      </c>
      <c r="P158" s="123">
        <v>86.6</v>
      </c>
      <c r="Q158" s="49" t="str">
        <f>+$D$158</f>
        <v>85.0-86.5</v>
      </c>
      <c r="R158" s="101">
        <f t="shared" si="811"/>
        <v>86.749636092431132</v>
      </c>
      <c r="S158" s="710" t="str">
        <f>+$D$158</f>
        <v>85.0-86.5</v>
      </c>
      <c r="T158" s="123">
        <v>86.4</v>
      </c>
      <c r="U158" s="49" t="str">
        <f>+$D$158</f>
        <v>85.0-86.5</v>
      </c>
      <c r="V158" s="101">
        <f t="shared" si="812"/>
        <v>86.677790988732909</v>
      </c>
      <c r="W158" s="710" t="str">
        <f>+$D$158</f>
        <v>85.0-86.5</v>
      </c>
      <c r="X158" s="123">
        <v>86.2</v>
      </c>
      <c r="Y158" s="73" t="str">
        <f>+$D$158</f>
        <v>85.0-86.5</v>
      </c>
      <c r="Z158" s="107">
        <f>+((P158*P$21)+(T158*T$21)+(X158*X$21))/Z$21</f>
        <v>86.400402864816485</v>
      </c>
      <c r="AA158" s="622" t="str">
        <f>+$D$158</f>
        <v>85.0-86.5</v>
      </c>
      <c r="AB158" s="438">
        <f t="shared" si="814"/>
        <v>86.598538826991373</v>
      </c>
      <c r="AC158" s="710" t="str">
        <f>+$D$158</f>
        <v>85.0-86.5</v>
      </c>
      <c r="AD158" s="123">
        <v>86.2</v>
      </c>
      <c r="AE158" s="49" t="str">
        <f>+$D$158</f>
        <v>85.0-86.5</v>
      </c>
      <c r="AF158" s="101">
        <f t="shared" si="815"/>
        <v>86.541174279714269</v>
      </c>
      <c r="AG158" s="710" t="str">
        <f>+$D$158</f>
        <v>85.0-86.5</v>
      </c>
      <c r="AH158" s="123">
        <v>86.3</v>
      </c>
      <c r="AI158" s="49" t="str">
        <f>+$D$158</f>
        <v>85.0-86.5</v>
      </c>
      <c r="AJ158" s="101">
        <f t="shared" si="816"/>
        <v>86.512382834627772</v>
      </c>
      <c r="AK158" s="710" t="str">
        <f>+$D$158</f>
        <v>85.0-86.5</v>
      </c>
      <c r="AL158" s="123">
        <v>86.3</v>
      </c>
      <c r="AM158" s="73" t="str">
        <f>+$D$158</f>
        <v>85.0-86.5</v>
      </c>
      <c r="AN158" s="107">
        <f>+((AD158*AD$21)+(AH158*AH$21)+(AL158*AL$21))/AN$21</f>
        <v>86.265678644059307</v>
      </c>
      <c r="AO158" s="49" t="str">
        <f>+$D$158</f>
        <v>85.0-86.5</v>
      </c>
      <c r="AP158" s="101">
        <f t="shared" si="818"/>
        <v>86.489090510347751</v>
      </c>
      <c r="AQ158" s="710" t="str">
        <f>+$D$158</f>
        <v>85.0-86.5</v>
      </c>
      <c r="AR158" s="123">
        <v>86.5</v>
      </c>
      <c r="AS158" s="49" t="str">
        <f>+$D$158</f>
        <v>85.0-86.5</v>
      </c>
      <c r="AT158" s="101">
        <f t="shared" si="819"/>
        <v>86.490176375891323</v>
      </c>
      <c r="AU158" s="710" t="str">
        <f>+$D$158</f>
        <v>85.0-86.5</v>
      </c>
      <c r="AV158" s="123">
        <v>86.5</v>
      </c>
      <c r="AW158" s="49" t="str">
        <f>+$D$158</f>
        <v>85.0-86.5</v>
      </c>
      <c r="AX158" s="101">
        <f t="shared" si="820"/>
        <v>86.490983471693667</v>
      </c>
      <c r="AY158" s="710" t="str">
        <f>+$D$158</f>
        <v>85.0-86.5</v>
      </c>
      <c r="AZ158" s="123">
        <v>86.9</v>
      </c>
      <c r="BA158" s="73" t="str">
        <f>+$D$158</f>
        <v>85.0-86.5</v>
      </c>
      <c r="BB158" s="107">
        <f>+((AR158*AR$21)+(AV158*AV$21)+(AZ158*AZ$21))/BB$21</f>
        <v>86.640941776849914</v>
      </c>
      <c r="BC158" s="622" t="str">
        <f>+$D$158</f>
        <v>85.0-86.5</v>
      </c>
      <c r="BD158" s="438">
        <f t="shared" si="821"/>
        <v>86.451974753968159</v>
      </c>
      <c r="BE158" s="49" t="str">
        <f>+$D$158</f>
        <v>85.0-86.5</v>
      </c>
      <c r="BF158" s="101">
        <f t="shared" si="822"/>
        <v>86.526264706990204</v>
      </c>
      <c r="BG158" s="1111"/>
      <c r="BH158" s="1111"/>
      <c r="BI158" s="1111"/>
      <c r="BJ158" s="1111"/>
      <c r="BK158" s="1111"/>
      <c r="BL158" s="23"/>
      <c r="BM158" s="23"/>
      <c r="BN158" s="23"/>
    </row>
    <row r="159" spans="1:66" x14ac:dyDescent="0.3">
      <c r="B159" s="1658" t="s">
        <v>204</v>
      </c>
      <c r="C159" s="1277" t="s">
        <v>49</v>
      </c>
      <c r="D159" s="364" t="s">
        <v>1910</v>
      </c>
      <c r="E159" s="710" t="str">
        <f>+$D$159</f>
        <v>7.5-8.0</v>
      </c>
      <c r="F159" s="123">
        <v>7.6</v>
      </c>
      <c r="G159" s="710" t="str">
        <f>+$D$159</f>
        <v>7.5-8.0</v>
      </c>
      <c r="H159" s="123">
        <v>7.6</v>
      </c>
      <c r="I159" s="49" t="str">
        <f>+$D$159</f>
        <v>7.5-8.0</v>
      </c>
      <c r="J159" s="101">
        <f t="shared" si="809"/>
        <v>7.6</v>
      </c>
      <c r="K159" s="710" t="str">
        <f>+$D$159</f>
        <v>7.5-8.0</v>
      </c>
      <c r="L159" s="123">
        <v>7.7</v>
      </c>
      <c r="M159" s="73" t="str">
        <f>+$D$159</f>
        <v>7.5-8.0</v>
      </c>
      <c r="N159" s="107">
        <f t="shared" si="810"/>
        <v>7.6327928276458454</v>
      </c>
      <c r="O159" s="710" t="str">
        <f>+$D$159</f>
        <v>7.5-8.0</v>
      </c>
      <c r="P159" s="123">
        <v>7.8</v>
      </c>
      <c r="Q159" s="49" t="str">
        <f>+$D$159</f>
        <v>7.5-8.0</v>
      </c>
      <c r="R159" s="101">
        <f t="shared" si="811"/>
        <v>7.6748988605123332</v>
      </c>
      <c r="S159" s="710" t="str">
        <f>+$D$159</f>
        <v>7.5-8.0</v>
      </c>
      <c r="T159" s="123">
        <v>7.9</v>
      </c>
      <c r="U159" s="49" t="str">
        <f>+$D$159</f>
        <v>7.5-8.0</v>
      </c>
      <c r="V159" s="101">
        <f t="shared" si="812"/>
        <v>7.7211538526575358</v>
      </c>
      <c r="W159" s="710" t="str">
        <f>+$D$159</f>
        <v>7.5-8.0</v>
      </c>
      <c r="X159" s="123">
        <v>7.9</v>
      </c>
      <c r="Y159" s="73" t="str">
        <f>+$D$159</f>
        <v>7.5-8.0</v>
      </c>
      <c r="Z159" s="107">
        <f t="shared" si="813"/>
        <v>7.8668979409131605</v>
      </c>
      <c r="AA159" s="622" t="str">
        <f>+$D$159</f>
        <v>7.5-8.0</v>
      </c>
      <c r="AB159" s="438">
        <f t="shared" si="814"/>
        <v>7.7508194263713159</v>
      </c>
      <c r="AC159" s="710" t="str">
        <f>+$D$159</f>
        <v>7.5-8.0</v>
      </c>
      <c r="AD159" s="123">
        <v>7.8</v>
      </c>
      <c r="AE159" s="49" t="str">
        <f>+$D$159</f>
        <v>7.5-8.0</v>
      </c>
      <c r="AF159" s="101">
        <f t="shared" si="815"/>
        <v>7.7578983385122875</v>
      </c>
      <c r="AG159" s="710" t="str">
        <f>+$D$159</f>
        <v>7.5-8.0</v>
      </c>
      <c r="AH159" s="123">
        <v>7.8</v>
      </c>
      <c r="AI159" s="49" t="str">
        <f>+$D$159</f>
        <v>7.5-8.0</v>
      </c>
      <c r="AJ159" s="101">
        <f t="shared" si="816"/>
        <v>7.7629244452605262</v>
      </c>
      <c r="AK159" s="710" t="str">
        <f>+$D$159</f>
        <v>7.5-8.0</v>
      </c>
      <c r="AL159" s="123">
        <v>7.7</v>
      </c>
      <c r="AM159" s="73" t="str">
        <f>+$D$159</f>
        <v>7.5-8.0</v>
      </c>
      <c r="AN159" s="107">
        <f t="shared" ref="AN159:AN161" si="823">+((AD159*AD$21)+(AH159*AH$21)+(AL$21*AL159))/AN$21</f>
        <v>7.766646134275585</v>
      </c>
      <c r="AO159" s="49" t="str">
        <f>+$D$159</f>
        <v>7.5-8.0</v>
      </c>
      <c r="AP159" s="101">
        <f t="shared" si="818"/>
        <v>7.7560234328189299</v>
      </c>
      <c r="AQ159" s="710" t="str">
        <f>+$D$159</f>
        <v>7.5-8.0</v>
      </c>
      <c r="AR159" s="123">
        <v>7.7</v>
      </c>
      <c r="AS159" s="49" t="str">
        <f>+$D$159</f>
        <v>7.5-8.0</v>
      </c>
      <c r="AT159" s="101">
        <f t="shared" si="819"/>
        <v>7.7504471943998663</v>
      </c>
      <c r="AU159" s="710" t="str">
        <f>+$D$159</f>
        <v>7.5-8.0</v>
      </c>
      <c r="AV159" s="123">
        <v>7.6</v>
      </c>
      <c r="AW159" s="49" t="str">
        <f>+$D$159</f>
        <v>7.5-8.0</v>
      </c>
      <c r="AX159" s="101">
        <f t="shared" si="820"/>
        <v>7.7380866543659819</v>
      </c>
      <c r="AY159" s="710" t="str">
        <f>+$D$159</f>
        <v>7.5-8.0</v>
      </c>
      <c r="AZ159" s="123">
        <v>7.5</v>
      </c>
      <c r="BA159" s="73" t="str">
        <f>+$D$159</f>
        <v>7.5-8.0</v>
      </c>
      <c r="BB159" s="107">
        <f>+((AR159*AR$21)+(AV159*AV$21)+(AZ$21*AZ159))/BB$21</f>
        <v>7.5988633727673385</v>
      </c>
      <c r="BC159" s="622" t="str">
        <f>+$D$159</f>
        <v>7.5-8.0</v>
      </c>
      <c r="BD159" s="438">
        <f t="shared" si="821"/>
        <v>7.6833518454220293</v>
      </c>
      <c r="BE159" s="49" t="str">
        <f>+$D$159</f>
        <v>7.5-8.0</v>
      </c>
      <c r="BF159" s="101">
        <f t="shared" si="822"/>
        <v>7.7175496083242638</v>
      </c>
      <c r="BG159" s="1111"/>
      <c r="BH159" s="1111"/>
      <c r="BI159" s="1111"/>
      <c r="BJ159" s="1111"/>
      <c r="BK159" s="1111"/>
      <c r="BL159" s="23"/>
      <c r="BM159" s="23"/>
      <c r="BN159" s="23"/>
    </row>
    <row r="160" spans="1:66" x14ac:dyDescent="0.3">
      <c r="A160" s="136"/>
      <c r="B160" s="1658" t="s">
        <v>205</v>
      </c>
      <c r="C160" s="1277" t="s">
        <v>49</v>
      </c>
      <c r="D160" s="364" t="s">
        <v>1911</v>
      </c>
      <c r="E160" s="710" t="str">
        <f>+$D$160</f>
        <v>64.0-65.5</v>
      </c>
      <c r="F160" s="123">
        <v>65.400000000000006</v>
      </c>
      <c r="G160" s="710" t="str">
        <f>+$D$160</f>
        <v>64.0-65.5</v>
      </c>
      <c r="H160" s="123">
        <v>65.5</v>
      </c>
      <c r="I160" s="49" t="str">
        <f>+$D$160</f>
        <v>64.0-65.5</v>
      </c>
      <c r="J160" s="101">
        <f t="shared" si="809"/>
        <v>65.450579929399908</v>
      </c>
      <c r="K160" s="710" t="str">
        <f>+$D$160</f>
        <v>64.0-65.5</v>
      </c>
      <c r="L160" s="123">
        <v>65.099999999999994</v>
      </c>
      <c r="M160" s="73" t="str">
        <f>+$D$160</f>
        <v>64.0-65.5</v>
      </c>
      <c r="N160" s="107">
        <f t="shared" si="810"/>
        <v>65.335614857390865</v>
      </c>
      <c r="O160" s="710" t="str">
        <f>+$D$160</f>
        <v>64.0-65.5</v>
      </c>
      <c r="P160" s="123">
        <v>65.7</v>
      </c>
      <c r="Q160" s="49" t="str">
        <f>+$D$160</f>
        <v>64.0-65.5</v>
      </c>
      <c r="R160" s="101">
        <f t="shared" si="811"/>
        <v>65.427374155600049</v>
      </c>
      <c r="S160" s="710" t="str">
        <f>+$D$160</f>
        <v>64.0-65.5</v>
      </c>
      <c r="T160" s="123">
        <v>65.5</v>
      </c>
      <c r="U160" s="49" t="str">
        <f>+$D$160</f>
        <v>64.0-65.5</v>
      </c>
      <c r="V160" s="101">
        <f t="shared" si="812"/>
        <v>65.442297704498571</v>
      </c>
      <c r="W160" s="710" t="str">
        <f>+$D$160</f>
        <v>64.0-65.5</v>
      </c>
      <c r="X160" s="123">
        <v>65.7</v>
      </c>
      <c r="Y160" s="73" t="str">
        <f>+$D$160</f>
        <v>64.0-65.5</v>
      </c>
      <c r="Z160" s="107">
        <f t="shared" si="813"/>
        <v>65.63200537153088</v>
      </c>
      <c r="AA160" s="622" t="str">
        <f>+$D$160</f>
        <v>64.0-65.5</v>
      </c>
      <c r="AB160" s="438">
        <f t="shared" si="814"/>
        <v>65.485043307672058</v>
      </c>
      <c r="AC160" s="710" t="str">
        <f>+$D$160</f>
        <v>64.0-65.5</v>
      </c>
      <c r="AD160" s="123">
        <v>66</v>
      </c>
      <c r="AE160" s="49" t="str">
        <f>+$D$160</f>
        <v>64.0-65.5</v>
      </c>
      <c r="AF160" s="101">
        <f t="shared" si="815"/>
        <v>65.559164711967114</v>
      </c>
      <c r="AG160" s="710" t="str">
        <f>+$D$160</f>
        <v>64.0-65.5</v>
      </c>
      <c r="AH160" s="123">
        <v>65.599999999999994</v>
      </c>
      <c r="AI160" s="49" t="str">
        <f>+$D$160</f>
        <v>64.0-65.5</v>
      </c>
      <c r="AJ160" s="101">
        <f t="shared" si="816"/>
        <v>65.564039638739501</v>
      </c>
      <c r="AK160" s="710" t="str">
        <f>+$D$160</f>
        <v>64.0-65.5</v>
      </c>
      <c r="AL160" s="123">
        <v>65</v>
      </c>
      <c r="AM160" s="73" t="str">
        <f>+$D$160</f>
        <v>64.0-65.5</v>
      </c>
      <c r="AN160" s="107">
        <f t="shared" si="823"/>
        <v>65.537162229416225</v>
      </c>
      <c r="AO160" s="49" t="str">
        <f>+$D$160</f>
        <v>64.0-65.5</v>
      </c>
      <c r="AP160" s="101">
        <f t="shared" si="818"/>
        <v>65.502180617998363</v>
      </c>
      <c r="AQ160" s="710" t="str">
        <f>+$D$160</f>
        <v>64.0-65.5</v>
      </c>
      <c r="AR160" s="123">
        <v>65.400000000000006</v>
      </c>
      <c r="AS160" s="49" t="str">
        <f>+$D$160</f>
        <v>64.0-65.5</v>
      </c>
      <c r="AT160" s="101">
        <f t="shared" si="819"/>
        <v>65.492010168615025</v>
      </c>
      <c r="AU160" s="710" t="str">
        <f>+$D$160</f>
        <v>64.0-65.5</v>
      </c>
      <c r="AV160" s="123">
        <v>65.400000000000006</v>
      </c>
      <c r="AW160" s="49" t="str">
        <f>+$D$160</f>
        <v>64.0-65.5</v>
      </c>
      <c r="AX160" s="101">
        <f t="shared" si="820"/>
        <v>65.484450736368871</v>
      </c>
      <c r="AY160" s="710" t="str">
        <f>+$D$160</f>
        <v>64.0-65.5</v>
      </c>
      <c r="AZ160" s="123">
        <v>65.599999999999994</v>
      </c>
      <c r="BA160" s="73" t="str">
        <f>+$D$160</f>
        <v>64.0-65.5</v>
      </c>
      <c r="BB160" s="107">
        <f>+((AR160*AR$21)+(AV160*AV$21)+(AZ$21*AZ160))/BB$21</f>
        <v>65.47047088842497</v>
      </c>
      <c r="BC160" s="622" t="str">
        <f>+$D$160</f>
        <v>64.0-65.5</v>
      </c>
      <c r="BD160" s="438">
        <f t="shared" si="821"/>
        <v>65.504053894742142</v>
      </c>
      <c r="BE160" s="49" t="str">
        <f>+$D$160</f>
        <v>64.0-65.5</v>
      </c>
      <c r="BF160" s="101">
        <f t="shared" si="822"/>
        <v>65.494417865999054</v>
      </c>
      <c r="BG160" s="1111"/>
      <c r="BH160" s="1111"/>
      <c r="BI160" s="1111"/>
      <c r="BJ160" s="1111"/>
      <c r="BK160" s="1111"/>
      <c r="BL160" s="23"/>
      <c r="BM160" s="23"/>
      <c r="BN160" s="23"/>
    </row>
    <row r="161" spans="1:66" x14ac:dyDescent="0.3">
      <c r="B161" s="1658" t="s">
        <v>206</v>
      </c>
      <c r="C161" s="1277" t="s">
        <v>49</v>
      </c>
      <c r="D161" s="364" t="s">
        <v>1912</v>
      </c>
      <c r="E161" s="710" t="str">
        <f>+$D$161</f>
        <v>22.5-24.0</v>
      </c>
      <c r="F161" s="123">
        <v>23.7</v>
      </c>
      <c r="G161" s="710" t="str">
        <f>+$D$161</f>
        <v>22.5-24.0</v>
      </c>
      <c r="H161" s="123">
        <v>23.9</v>
      </c>
      <c r="I161" s="49" t="str">
        <f>+$D$161</f>
        <v>22.5-24.0</v>
      </c>
      <c r="J161" s="101">
        <f t="shared" si="809"/>
        <v>23.801159858799796</v>
      </c>
      <c r="K161" s="710" t="str">
        <f>+$D$161</f>
        <v>22.5-24.0</v>
      </c>
      <c r="L161" s="123">
        <v>23.8</v>
      </c>
      <c r="M161" s="73" t="str">
        <f>+$D$161</f>
        <v>22.5-24.0</v>
      </c>
      <c r="N161" s="107">
        <f t="shared" si="810"/>
        <v>23.800779508302647</v>
      </c>
      <c r="O161" s="710" t="str">
        <f>+$D$161</f>
        <v>22.5-24.0</v>
      </c>
      <c r="P161" s="123">
        <v>23.2</v>
      </c>
      <c r="Q161" s="49" t="str">
        <f>+$D$161</f>
        <v>22.5-24.0</v>
      </c>
      <c r="R161" s="101">
        <f t="shared" si="811"/>
        <v>23.649491490175496</v>
      </c>
      <c r="S161" s="710" t="str">
        <f>+$D$161</f>
        <v>22.5-24.0</v>
      </c>
      <c r="T161" s="123">
        <v>22.8</v>
      </c>
      <c r="U161" s="49" t="str">
        <f>+$D$161</f>
        <v>22.5-24.0</v>
      </c>
      <c r="V161" s="101">
        <f t="shared" si="812"/>
        <v>23.47493341243802</v>
      </c>
      <c r="W161" s="710" t="str">
        <f>+$D$161</f>
        <v>22.5-24.0</v>
      </c>
      <c r="X161" s="123">
        <v>23.5</v>
      </c>
      <c r="Y161" s="73" t="str">
        <f>+$D$161</f>
        <v>22.5-24.0</v>
      </c>
      <c r="Z161" s="107">
        <f t="shared" si="813"/>
        <v>23.16271262309758</v>
      </c>
      <c r="AA161" s="622" t="str">
        <f>+$D$161</f>
        <v>22.5-24.0</v>
      </c>
      <c r="AB161" s="438">
        <f t="shared" si="814"/>
        <v>23.479091258229627</v>
      </c>
      <c r="AC161" s="710" t="str">
        <f>+$D$161</f>
        <v>22.5-24.0</v>
      </c>
      <c r="AD161" s="123">
        <v>23.3</v>
      </c>
      <c r="AE161" s="49" t="str">
        <f>+$D$161</f>
        <v>22.5-24.0</v>
      </c>
      <c r="AF161" s="101">
        <f t="shared" si="815"/>
        <v>23.453313370972857</v>
      </c>
      <c r="AG161" s="710" t="str">
        <f>+$D$161</f>
        <v>22.5-24.0</v>
      </c>
      <c r="AH161" s="123">
        <v>23.6</v>
      </c>
      <c r="AI161" s="49" t="str">
        <f>+$D$161</f>
        <v>22.5-24.0</v>
      </c>
      <c r="AJ161" s="101">
        <f t="shared" si="816"/>
        <v>23.470824856980244</v>
      </c>
      <c r="AK161" s="710" t="str">
        <f>+$D$161</f>
        <v>22.5-24.0</v>
      </c>
      <c r="AL161" s="123">
        <v>23.5</v>
      </c>
      <c r="AM161" s="73" t="str">
        <f>+$D$161</f>
        <v>22.5-24.0</v>
      </c>
      <c r="AN161" s="107">
        <f t="shared" si="823"/>
        <v>23.463682066453543</v>
      </c>
      <c r="AO161" s="49" t="str">
        <f>+$D$161</f>
        <v>22.5-24.0</v>
      </c>
      <c r="AP161" s="101">
        <f t="shared" si="818"/>
        <v>23.47402453596241</v>
      </c>
      <c r="AQ161" s="710" t="str">
        <f>+$D$161</f>
        <v>22.5-24.0</v>
      </c>
      <c r="AR161" s="123">
        <v>23.5</v>
      </c>
      <c r="AS161" s="49" t="str">
        <f>+$D$161</f>
        <v>22.5-24.0</v>
      </c>
      <c r="AT161" s="101">
        <f t="shared" si="819"/>
        <v>23.476609978753601</v>
      </c>
      <c r="AU161" s="710" t="str">
        <f>+$D$161</f>
        <v>22.5-24.0</v>
      </c>
      <c r="AV161" s="123">
        <v>23.2</v>
      </c>
      <c r="AW161" s="49" t="str">
        <f>+$D$161</f>
        <v>22.5-24.0</v>
      </c>
      <c r="AX161" s="101">
        <f t="shared" si="820"/>
        <v>23.453884073296912</v>
      </c>
      <c r="AY161" s="710" t="str">
        <f>+$D$161</f>
        <v>22.5-24.0</v>
      </c>
      <c r="AZ161" s="123">
        <v>23.1</v>
      </c>
      <c r="BA161" s="73" t="str">
        <f>+$D$161</f>
        <v>22.5-24.0</v>
      </c>
      <c r="BB161" s="107">
        <f>+((AR161*AR$21)+(AV161*AV$21)+(AZ$21*AZ161))/BB$21</f>
        <v>23.26706100672698</v>
      </c>
      <c r="BC161" s="622" t="str">
        <f>+$D$161</f>
        <v>22.5-24.0</v>
      </c>
      <c r="BD161" s="438">
        <f t="shared" si="821"/>
        <v>23.366071255924886</v>
      </c>
      <c r="BE161" s="49" t="str">
        <f>+$D$161</f>
        <v>22.5-24.0</v>
      </c>
      <c r="BF161" s="101">
        <f t="shared" si="822"/>
        <v>23.423358492070683</v>
      </c>
      <c r="BG161" s="1111"/>
      <c r="BH161" s="1111"/>
      <c r="BI161" s="1111"/>
      <c r="BJ161" s="1111"/>
      <c r="BK161" s="1111"/>
      <c r="BL161" s="23"/>
      <c r="BM161" s="23"/>
      <c r="BN161" s="23"/>
    </row>
    <row r="162" spans="1:66" x14ac:dyDescent="0.3">
      <c r="B162" s="1707" t="s">
        <v>5</v>
      </c>
      <c r="C162" s="1283"/>
      <c r="D162" s="381"/>
      <c r="E162" s="913"/>
      <c r="F162" s="640"/>
      <c r="G162" s="913"/>
      <c r="H162" s="640"/>
      <c r="I162" s="381"/>
      <c r="J162" s="381"/>
      <c r="K162" s="913"/>
      <c r="L162" s="640"/>
      <c r="M162" s="913"/>
      <c r="N162" s="640"/>
      <c r="O162" s="913"/>
      <c r="P162" s="640"/>
      <c r="Q162" s="381"/>
      <c r="R162" s="381"/>
      <c r="S162" s="913"/>
      <c r="T162" s="640"/>
      <c r="U162" s="381"/>
      <c r="V162" s="381"/>
      <c r="W162" s="913"/>
      <c r="X162" s="640"/>
      <c r="Y162" s="381"/>
      <c r="Z162" s="381"/>
      <c r="AA162" s="2160"/>
      <c r="AB162" s="640"/>
      <c r="AC162" s="913"/>
      <c r="AD162" s="640"/>
      <c r="AE162" s="381"/>
      <c r="AF162" s="640"/>
      <c r="AG162" s="913"/>
      <c r="AH162" s="640"/>
      <c r="AI162" s="381"/>
      <c r="AJ162" s="640"/>
      <c r="AK162" s="913"/>
      <c r="AL162" s="640"/>
      <c r="AM162" s="381"/>
      <c r="AN162" s="381"/>
      <c r="AO162" s="381"/>
      <c r="AP162" s="640"/>
      <c r="AQ162" s="913"/>
      <c r="AR162" s="640"/>
      <c r="AS162" s="381"/>
      <c r="AT162" s="640"/>
      <c r="AU162" s="913"/>
      <c r="AV162" s="640"/>
      <c r="AW162" s="381"/>
      <c r="AX162" s="640"/>
      <c r="AY162" s="913"/>
      <c r="AZ162" s="640"/>
      <c r="BA162" s="381"/>
      <c r="BB162" s="381"/>
      <c r="BC162" s="2160"/>
      <c r="BD162" s="640"/>
      <c r="BE162" s="381"/>
      <c r="BF162" s="640"/>
      <c r="BG162" s="1111"/>
      <c r="BH162" s="1111"/>
      <c r="BI162" s="1111"/>
      <c r="BJ162" s="1111"/>
      <c r="BK162" s="1111"/>
      <c r="BL162" s="23"/>
      <c r="BM162" s="23"/>
      <c r="BN162" s="23"/>
    </row>
    <row r="163" spans="1:66" x14ac:dyDescent="0.3">
      <c r="B163" s="1675" t="s">
        <v>213</v>
      </c>
      <c r="C163" s="1277" t="s">
        <v>209</v>
      </c>
      <c r="D163" s="364">
        <f>+(D164*D17)/1000000</f>
        <v>187.82503200000002</v>
      </c>
      <c r="E163" s="710">
        <f>+(E164*E17)/1000000</f>
        <v>15.676080000000004</v>
      </c>
      <c r="F163" s="123">
        <v>14.776</v>
      </c>
      <c r="G163" s="710">
        <f>+(G164*G17)/1000000</f>
        <v>16.198616000000001</v>
      </c>
      <c r="H163" s="123">
        <v>15.557</v>
      </c>
      <c r="I163" s="49">
        <f>+(I164*I17)/1000000</f>
        <v>31.874696000000007</v>
      </c>
      <c r="J163" s="101">
        <f>+F163+H163</f>
        <v>30.332999999999998</v>
      </c>
      <c r="K163" s="710">
        <f>+(K164*K17)/1000000</f>
        <v>15.036240000000001</v>
      </c>
      <c r="L163" s="123">
        <v>15.39714</v>
      </c>
      <c r="M163" s="4976">
        <f>+(M164*M17)/1000000</f>
        <v>46.910936000000007</v>
      </c>
      <c r="N163" s="4977">
        <f>+L163+H163+F163</f>
        <v>45.730140000000006</v>
      </c>
      <c r="O163" s="710">
        <f>+(O164*O17)/1000000</f>
        <v>15.537448000000001</v>
      </c>
      <c r="P163" s="123">
        <v>15.742000000000001</v>
      </c>
      <c r="Q163" s="49">
        <f>+(Q164*Q17)/1000000</f>
        <v>62.448384000000004</v>
      </c>
      <c r="R163" s="101">
        <f>+N163+P163</f>
        <v>61.47214000000001</v>
      </c>
      <c r="S163" s="710">
        <f>+(S164*S17)/1000000</f>
        <v>15.537448000000001</v>
      </c>
      <c r="T163" s="123">
        <v>15.956017725097499</v>
      </c>
      <c r="U163" s="49">
        <f>+(U164*U17)/1000000</f>
        <v>77.985832000000016</v>
      </c>
      <c r="V163" s="101">
        <f>+R163+T163</f>
        <v>77.428157725097506</v>
      </c>
      <c r="W163" s="710">
        <f>+(W164*W17)/1000000</f>
        <v>14.732316000000003</v>
      </c>
      <c r="X163" s="123">
        <v>15.46</v>
      </c>
      <c r="Y163" s="4976">
        <f>+(Y164*Y17)/1000000</f>
        <v>45.807212</v>
      </c>
      <c r="Z163" s="4978">
        <f>+P163+T163+X163</f>
        <v>47.158017725097501</v>
      </c>
      <c r="AA163" s="622">
        <f>+(AA164*AA17)/1000000</f>
        <v>92.718148000000014</v>
      </c>
      <c r="AB163" s="438">
        <f>+N163+Z163</f>
        <v>92.8881577250975</v>
      </c>
      <c r="AC163" s="710">
        <f>+(AC164*AC17)/1000000</f>
        <v>15.537448000000001</v>
      </c>
      <c r="AD163" s="123">
        <v>15.529</v>
      </c>
      <c r="AE163" s="49">
        <f>+(AE164*AE17)/1000000</f>
        <v>108.25559600000001</v>
      </c>
      <c r="AF163" s="101">
        <f>+AB163+AD163</f>
        <v>108.4171577250975</v>
      </c>
      <c r="AG163" s="710">
        <f>+(AG164*AG17)/1000000</f>
        <v>15.036240000000001</v>
      </c>
      <c r="AH163" s="123">
        <v>15.076000000000001</v>
      </c>
      <c r="AI163" s="49">
        <f>+(AI164*AI17)/1000000</f>
        <v>123.29183600000002</v>
      </c>
      <c r="AJ163" s="101">
        <f>+AF163+AH163</f>
        <v>123.49315772509749</v>
      </c>
      <c r="AK163" s="710">
        <f>+(AK164*AK17)/1000000</f>
        <v>15.537448000000001</v>
      </c>
      <c r="AL163" s="123">
        <f>15200.621/1000</f>
        <v>15.200621</v>
      </c>
      <c r="AM163" s="73">
        <f>+(AM164*AM17)/1000000</f>
        <v>46.111136000000002</v>
      </c>
      <c r="AN163" s="113">
        <f>+AD163+AH163+AL163</f>
        <v>45.805621000000002</v>
      </c>
      <c r="AO163" s="49">
        <f>+(AO164*AO17)/1000000</f>
        <v>138.829284</v>
      </c>
      <c r="AP163" s="101">
        <f>+AL163+AJ163</f>
        <v>138.6937787250975</v>
      </c>
      <c r="AQ163" s="710">
        <f>+(AQ164*AQ17)/1000000</f>
        <v>15.537448000000001</v>
      </c>
      <c r="AR163" s="123">
        <v>14.797000000000001</v>
      </c>
      <c r="AS163" s="49">
        <f>+(AS164*AS17)/1000000</f>
        <v>154.36673200000001</v>
      </c>
      <c r="AT163" s="101">
        <f>+AP163+AR163</f>
        <v>153.4907787250975</v>
      </c>
      <c r="AU163" s="710">
        <f>+(AU164*AU17)/1000000</f>
        <v>14.033824000000005</v>
      </c>
      <c r="AV163" s="123">
        <v>12.972</v>
      </c>
      <c r="AW163" s="49">
        <f>+(AW164*AW17)/1000000</f>
        <v>168.40055600000002</v>
      </c>
      <c r="AX163" s="101">
        <f>+AT163+AV163</f>
        <v>166.46277872509751</v>
      </c>
      <c r="AY163" s="710">
        <f>+(AY164*AY17)/1000000</f>
        <v>15.537448000000001</v>
      </c>
      <c r="AZ163" s="123">
        <v>14.377599999999999</v>
      </c>
      <c r="BA163" s="73">
        <f>+(BA164*BA17)/1000000</f>
        <v>45.108720000000005</v>
      </c>
      <c r="BB163" s="113">
        <f>+AR163+AV163+AZ163</f>
        <v>42.146599999999999</v>
      </c>
      <c r="BC163" s="622">
        <f>+(BC164*BC17)/1000000</f>
        <v>91.219856000000021</v>
      </c>
      <c r="BD163" s="438">
        <f>+AN163+BB163</f>
        <v>87.952221000000009</v>
      </c>
      <c r="BE163" s="49">
        <f>+(BE164*BE17)/1000000</f>
        <v>183.93800400000003</v>
      </c>
      <c r="BF163" s="101">
        <f>+AX163+AZ163</f>
        <v>180.84037872509751</v>
      </c>
      <c r="BG163" s="1111"/>
      <c r="BH163" s="1111"/>
      <c r="BI163" s="1111"/>
      <c r="BJ163" s="1111"/>
      <c r="BK163" s="1111"/>
      <c r="BL163" s="23"/>
      <c r="BM163" s="23"/>
      <c r="BN163" s="23"/>
    </row>
    <row r="164" spans="1:66" x14ac:dyDescent="0.3">
      <c r="B164" s="1676" t="s">
        <v>214</v>
      </c>
      <c r="C164" s="1277" t="s">
        <v>210</v>
      </c>
      <c r="D164" s="413">
        <v>310.00000000000006</v>
      </c>
      <c r="E164" s="143">
        <f>+$D$164</f>
        <v>310.00000000000006</v>
      </c>
      <c r="F164" s="168">
        <f>+(F163*1000000)/F17</f>
        <v>292.20060117070085</v>
      </c>
      <c r="G164" s="143">
        <f>+$D$164</f>
        <v>310.00000000000006</v>
      </c>
      <c r="H164" s="168">
        <f>+(H163*1000000)/H17</f>
        <v>300.59047663211913</v>
      </c>
      <c r="I164" s="57">
        <f>+$D$164</f>
        <v>310.00000000000006</v>
      </c>
      <c r="J164" s="35">
        <f>+(J163*1000000)/J17</f>
        <v>296.44419425582566</v>
      </c>
      <c r="K164" s="143">
        <f>+$D$164</f>
        <v>310.00000000000006</v>
      </c>
      <c r="L164" s="168">
        <f>+(L163*1000000)/L17</f>
        <v>310.61157464938759</v>
      </c>
      <c r="M164" s="68">
        <f>+$D$164</f>
        <v>310.00000000000006</v>
      </c>
      <c r="N164" s="65">
        <f>+(N163*1000000)/N17</f>
        <v>301.06772390074082</v>
      </c>
      <c r="O164" s="143">
        <f>+$D$164</f>
        <v>310.00000000000006</v>
      </c>
      <c r="P164" s="168">
        <f>+(P163*1000000)/P17</f>
        <v>309.40924886394015</v>
      </c>
      <c r="Q164" s="57">
        <f>+$D$164</f>
        <v>310.00000000000006</v>
      </c>
      <c r="R164" s="35">
        <f>+(R163*1000000)/R17</f>
        <v>303.16071150283966</v>
      </c>
      <c r="S164" s="143">
        <f>+$D$164</f>
        <v>310.00000000000006</v>
      </c>
      <c r="T164" s="168">
        <f>+(T163*1000000)/T17</f>
        <v>305.35729069571283</v>
      </c>
      <c r="U164" s="57">
        <f>+$D$164</f>
        <v>310.00000000000006</v>
      </c>
      <c r="V164" s="35">
        <f>+(V163*1000000)/V17</f>
        <v>303.61078283135851</v>
      </c>
      <c r="W164" s="143">
        <f>+$D$164</f>
        <v>310.00000000000006</v>
      </c>
      <c r="X164" s="168">
        <f>+(X163*1000000)/X17</f>
        <v>305.72694193956653</v>
      </c>
      <c r="Y164" s="68">
        <f>+$D$164</f>
        <v>310.00000000000006</v>
      </c>
      <c r="Z164" s="65">
        <f>+(Z163*1000000)/Z17</f>
        <v>306.82018985848657</v>
      </c>
      <c r="AA164" s="596">
        <f>+$D$164</f>
        <v>310.00000000000006</v>
      </c>
      <c r="AB164" s="418">
        <f>+(AB163*1000000)/AB17</f>
        <v>303.96095493571664</v>
      </c>
      <c r="AC164" s="143">
        <f>+$D$164</f>
        <v>310.00000000000006</v>
      </c>
      <c r="AD164" s="168">
        <f>+(AD163*1000000)/AD17</f>
        <v>301.65347050093629</v>
      </c>
      <c r="AE164" s="57">
        <f>+$D$164</f>
        <v>310.00000000000006</v>
      </c>
      <c r="AF164" s="35">
        <f>+(AF163*1000000)/AF17</f>
        <v>303.62828148131888</v>
      </c>
      <c r="AG164" s="143">
        <f>+$D$164</f>
        <v>310.00000000000006</v>
      </c>
      <c r="AH164" s="168">
        <f>+(AH163*1000000)/AH17</f>
        <v>310.05009830455492</v>
      </c>
      <c r="AI164" s="57">
        <f>+$D$164</f>
        <v>310.00000000000006</v>
      </c>
      <c r="AJ164" s="35">
        <f>+(AJ163*1000000)/AJ17</f>
        <v>304.39796292276066</v>
      </c>
      <c r="AK164" s="143">
        <f>+$D$164</f>
        <v>310.00000000000006</v>
      </c>
      <c r="AL164" s="168">
        <f>+(AL163*1000000)/AL17</f>
        <v>302.96778707018206</v>
      </c>
      <c r="AM164" s="68">
        <f>+$D$164</f>
        <v>310.00000000000006</v>
      </c>
      <c r="AN164" s="65">
        <f>+(AN163*1000000)/AN17</f>
        <v>304.80914501545152</v>
      </c>
      <c r="AO164" s="57">
        <f>+$D$164</f>
        <v>310.00000000000006</v>
      </c>
      <c r="AP164" s="35">
        <f>+(AP163*1000000)/AP17</f>
        <v>304.24055940019912</v>
      </c>
      <c r="AQ164" s="143">
        <f>+$D$164</f>
        <v>310.00000000000006</v>
      </c>
      <c r="AR164" s="168">
        <f>+(AR163*1000000)/AR17</f>
        <v>292.61588356272739</v>
      </c>
      <c r="AS164" s="57">
        <f>+$D$164</f>
        <v>310.00000000000006</v>
      </c>
      <c r="AT164" s="35">
        <f>+(AT163*1000000)/AT17</f>
        <v>303.07982896404349</v>
      </c>
      <c r="AU164" s="143">
        <f>+$D$164</f>
        <v>310.00000000000006</v>
      </c>
      <c r="AV164" s="168">
        <f>+(AV163*1000000)/AV17</f>
        <v>285.24434436899691</v>
      </c>
      <c r="AW164" s="57">
        <f>+$D$164</f>
        <v>310.00000000000006</v>
      </c>
      <c r="AX164" s="35">
        <f>+(AX163*1000000)/AX17</f>
        <v>301.61021349192606</v>
      </c>
      <c r="AY164" s="143">
        <f>+$D$164</f>
        <v>310.00000000000006</v>
      </c>
      <c r="AZ164" s="168">
        <f>+(AZ163*1000000)/AZ17</f>
        <v>275.15042025812579</v>
      </c>
      <c r="BA164" s="68">
        <f>+$D$164</f>
        <v>310.00000000000006</v>
      </c>
      <c r="BB164" s="65">
        <f>+(BB163*1000000)/BB17</f>
        <v>284.20131302832669</v>
      </c>
      <c r="BC164" s="596">
        <f>+$D$164</f>
        <v>310.00000000000006</v>
      </c>
      <c r="BD164" s="418">
        <f>+(BD163*1000000)/BD17</f>
        <v>294.57349046202165</v>
      </c>
      <c r="BE164" s="57">
        <f>+$D$164</f>
        <v>310.00000000000006</v>
      </c>
      <c r="BF164" s="35">
        <f>+(BF163*1000000)/BF17</f>
        <v>299.32174193683056</v>
      </c>
      <c r="BG164" s="1111"/>
      <c r="BH164" s="1111"/>
      <c r="BI164" s="1111"/>
      <c r="BJ164" s="1111"/>
      <c r="BK164" s="1111"/>
      <c r="BL164" s="23"/>
      <c r="BM164" s="23"/>
      <c r="BN164" s="23"/>
    </row>
    <row r="165" spans="1:66" x14ac:dyDescent="0.3">
      <c r="B165" s="1675" t="s">
        <v>215</v>
      </c>
      <c r="C165" s="1277" t="s">
        <v>211</v>
      </c>
      <c r="D165" s="413">
        <v>4225</v>
      </c>
      <c r="E165" s="143">
        <f>+$D$165</f>
        <v>4225</v>
      </c>
      <c r="F165" s="168">
        <v>4232.3</v>
      </c>
      <c r="G165" s="143">
        <f>+$D$165</f>
        <v>4225</v>
      </c>
      <c r="H165" s="168">
        <v>4238.46</v>
      </c>
      <c r="I165" s="57">
        <f>+$D$165</f>
        <v>4225</v>
      </c>
      <c r="J165" s="35">
        <f>+((F165*F163)+(H163*H165))/J163</f>
        <v>4235.4593024099167</v>
      </c>
      <c r="K165" s="143">
        <f>+$D$165</f>
        <v>4225</v>
      </c>
      <c r="L165" s="168">
        <v>4228.26</v>
      </c>
      <c r="M165" s="68">
        <f>+$D$165</f>
        <v>4225</v>
      </c>
      <c r="N165" s="65">
        <f>+((F165*F163)+(H165*H163)+(L163*L165))/N163</f>
        <v>4233.03532848139</v>
      </c>
      <c r="O165" s="143">
        <f>+$D$165</f>
        <v>4225</v>
      </c>
      <c r="P165" s="168">
        <v>4223.92</v>
      </c>
      <c r="Q165" s="57">
        <f>+$D$165</f>
        <v>4225</v>
      </c>
      <c r="R165" s="35">
        <f>+((N165*N163)+(P163*P165))/R163</f>
        <v>4230.7010433734695</v>
      </c>
      <c r="S165" s="143">
        <f>+$D$165</f>
        <v>4225</v>
      </c>
      <c r="T165" s="168">
        <v>4231.1400000000003</v>
      </c>
      <c r="U165" s="57">
        <f>+$D$165</f>
        <v>4225</v>
      </c>
      <c r="V165" s="35">
        <f>+((R165*R163)+(T163*T165))/V163</f>
        <v>4230.791501417666</v>
      </c>
      <c r="W165" s="143">
        <f>+$D$165</f>
        <v>4225</v>
      </c>
      <c r="X165" s="168">
        <v>4223.79</v>
      </c>
      <c r="Y165" s="68">
        <f>+$D$165</f>
        <v>4225</v>
      </c>
      <c r="Z165" s="65">
        <f>+((P165*P163)+(T165*T163)+(X163*X165))/Z163</f>
        <v>4226.3202842662949</v>
      </c>
      <c r="AA165" s="596">
        <f>+$D$165</f>
        <v>4225</v>
      </c>
      <c r="AB165" s="418">
        <f>+((N165*N163)+(Z163*Z165))/AB163</f>
        <v>4229.6261945091419</v>
      </c>
      <c r="AC165" s="143">
        <f>+$D$165</f>
        <v>4225</v>
      </c>
      <c r="AD165" s="168">
        <v>4232.1400000000003</v>
      </c>
      <c r="AE165" s="57">
        <f>+$D$165</f>
        <v>4225</v>
      </c>
      <c r="AF165" s="35">
        <f>+((AB165*AB163)+(AD163*AD165))/AF163</f>
        <v>4229.9862563875995</v>
      </c>
      <c r="AG165" s="143">
        <f>+$D$165</f>
        <v>4225</v>
      </c>
      <c r="AH165" s="168">
        <v>4229.91</v>
      </c>
      <c r="AI165" s="57">
        <f>+$D$165</f>
        <v>4225</v>
      </c>
      <c r="AJ165" s="35">
        <f>+((AF165*AF163)+(AH163*AH165))/AJ163</f>
        <v>4229.9769470354004</v>
      </c>
      <c r="AK165" s="143">
        <f>+$D$165</f>
        <v>4225</v>
      </c>
      <c r="AL165" s="168">
        <v>4227.93</v>
      </c>
      <c r="AM165" s="68">
        <f>+$D$165</f>
        <v>4225</v>
      </c>
      <c r="AN165" s="65">
        <f>+((AD165*AD163)+(AH165*AH163)+(AL163*AL165))/AN163</f>
        <v>4230.0089494372323</v>
      </c>
      <c r="AO165" s="57">
        <f>+$D$165</f>
        <v>4225</v>
      </c>
      <c r="AP165" s="35">
        <f>+((AL165*AL163)+(AJ163*AJ165))/AP163</f>
        <v>4229.7526048451573</v>
      </c>
      <c r="AQ165" s="143">
        <f>+$D$165</f>
        <v>4225</v>
      </c>
      <c r="AR165" s="168">
        <v>4230.49</v>
      </c>
      <c r="AS165" s="57">
        <f>+$D$165</f>
        <v>4225</v>
      </c>
      <c r="AT165" s="35">
        <f>+((AP165*AP163)+(AR163*AR165))/AT163</f>
        <v>4229.8236920869895</v>
      </c>
      <c r="AU165" s="143">
        <f>+$D$165</f>
        <v>4225</v>
      </c>
      <c r="AV165" s="168">
        <v>4232.8100000000004</v>
      </c>
      <c r="AW165" s="57">
        <f>+$D$165</f>
        <v>4225</v>
      </c>
      <c r="AX165" s="35">
        <f>+((AT165*AT163)+(AV163*AV165))/AX163</f>
        <v>4230.0564070911742</v>
      </c>
      <c r="AY165" s="143">
        <f>+$D$165</f>
        <v>4225</v>
      </c>
      <c r="AZ165" s="168">
        <v>4228.6000000000004</v>
      </c>
      <c r="BA165" s="68">
        <f>+$D$165</f>
        <v>4225</v>
      </c>
      <c r="BB165" s="65">
        <f>+((AR165*AR163)+(AV165*AV163)+(AZ165*AZ163))/BB163</f>
        <v>4230.5593146303618</v>
      </c>
      <c r="BC165" s="596">
        <f>+$D$165</f>
        <v>4225</v>
      </c>
      <c r="BD165" s="418">
        <f>+((AN165*AN163)+(BB163*BB165))/BD163</f>
        <v>4230.2726837850969</v>
      </c>
      <c r="BE165" s="57">
        <f>+$D$165</f>
        <v>4225</v>
      </c>
      <c r="BF165" s="35">
        <f>+((AX165*AX163)+(AZ165*AZ163))/BF163</f>
        <v>4229.940616365996</v>
      </c>
      <c r="BG165" s="1111"/>
      <c r="BH165" s="1111"/>
      <c r="BI165" s="1111"/>
      <c r="BJ165" s="1111"/>
      <c r="BK165" s="1111"/>
      <c r="BL165" s="23"/>
      <c r="BM165" s="23"/>
      <c r="BN165" s="23"/>
    </row>
    <row r="166" spans="1:66" x14ac:dyDescent="0.3">
      <c r="B166" s="1675" t="s">
        <v>546</v>
      </c>
      <c r="C166" s="1277" t="s">
        <v>298</v>
      </c>
      <c r="D166" s="364">
        <v>13.860532822179625</v>
      </c>
      <c r="E166" s="710">
        <f>+(EMD!D21)/(E2*24)</f>
        <v>13.860532822179625</v>
      </c>
      <c r="F166" s="1205">
        <f>+(EMD!E21)/(F2*24)</f>
        <v>14.518958333333332</v>
      </c>
      <c r="G166" s="710">
        <f>+(EMD!F21)/(G2*24)</f>
        <v>13.860532822179625</v>
      </c>
      <c r="H166" s="1205">
        <f>+(EMD!G21)/(H2*24)</f>
        <v>14.418279569892475</v>
      </c>
      <c r="I166" s="49">
        <f>+(EMD!H21)/(I2*24)</f>
        <v>13.860532822179623</v>
      </c>
      <c r="J166" s="358">
        <f>+(EMD!I21)/(J2*24)</f>
        <v>14.467793715846993</v>
      </c>
      <c r="K166" s="710">
        <f>+(EMD!J21)/(K2*24)</f>
        <v>13.365993333333334</v>
      </c>
      <c r="L166" s="1205">
        <f>+(EMD!K21)/(L2*24)</f>
        <v>13.019152777777778</v>
      </c>
      <c r="M166" s="73">
        <f>+(EMD!L21)/(M2*24)</f>
        <v>13.697497825856672</v>
      </c>
      <c r="N166" s="106">
        <f>+(EMD!M21)/(N2*24)</f>
        <v>13.99021978021978</v>
      </c>
      <c r="O166" s="710">
        <f>+(EMD!N21)/(O2*24)</f>
        <v>13.365993333333334</v>
      </c>
      <c r="P166" s="1205">
        <f>+(EMD!O21)/(P2*24)</f>
        <v>13.345645161290328</v>
      </c>
      <c r="Q166" s="49">
        <f>+(EMD!P21)/(Q2*24)</f>
        <v>13.613263077756478</v>
      </c>
      <c r="R166" s="358">
        <f>+(EMD!Q21)/(R2*24)</f>
        <v>13.826434426229509</v>
      </c>
      <c r="S166" s="710">
        <f>+(EMD!R21)/(S2*24)</f>
        <v>13.365993333333334</v>
      </c>
      <c r="T166" s="1205">
        <f>+(EMD!S21)/(T2*24)</f>
        <v>13.589717741935486</v>
      </c>
      <c r="U166" s="49">
        <f>+(EMD!T21)/(U2*24)</f>
        <v>13.563162672023683</v>
      </c>
      <c r="V166" s="358">
        <f>+(EMD!U21)/(V2*24)</f>
        <v>13.778472222222224</v>
      </c>
      <c r="W166" s="710">
        <f>+(EMD!V21)/(W2*24)</f>
        <v>12.952319000000001</v>
      </c>
      <c r="X166" s="1205">
        <f>+(EMD!W21)/(X2*24)</f>
        <v>13.582527777777777</v>
      </c>
      <c r="Y166" s="73">
        <f>+(EMD!X21)/(Y2*24)</f>
        <v>13.231099528985508</v>
      </c>
      <c r="Z166" s="359">
        <f>+((P166*P2)+(T166*T2)+(X166*X2))/Z2</f>
        <v>13.505131340579712</v>
      </c>
      <c r="AA166" s="622">
        <f>+(EMD!Z21)/(AA2*24)</f>
        <v>13.463024365134556</v>
      </c>
      <c r="AB166" s="435">
        <f>+((N166*N2)+(Z166*Z2))/AB2</f>
        <v>13.746350182149364</v>
      </c>
      <c r="AC166" s="710">
        <f>+(EMD!AB21)/(AC2*24)</f>
        <v>13.365993333333334</v>
      </c>
      <c r="AD166" s="1205">
        <f>+(EMD!AC21)/(AD2*24)</f>
        <v>13.59274193548387</v>
      </c>
      <c r="AE166" s="49">
        <f>+(EMD!AD21)/(AE2*24)</f>
        <v>13.448968468004473</v>
      </c>
      <c r="AF166" s="99">
        <f>+(EMD!AE21)/(AF2*24)</f>
        <v>13.724098520249221</v>
      </c>
      <c r="AG166" s="710">
        <f>+(EMD!AF21)/(AG2*24)</f>
        <v>13.365993333333334</v>
      </c>
      <c r="AH166" s="1205">
        <f>+(EMD!AG21)/(AH2*24)</f>
        <v>13.542083333333332</v>
      </c>
      <c r="AI166" s="49">
        <f>+(EMD!AH21)/(AI2*24)</f>
        <v>13.438766607184249</v>
      </c>
      <c r="AJ166" s="99">
        <f>+(EMD!AI21)/(AJ2*24)</f>
        <v>13.701719603825138</v>
      </c>
      <c r="AK166" s="710">
        <f>+(EMD!AJ21)/(AK2*24)</f>
        <v>13.365993333333334</v>
      </c>
      <c r="AL166" s="1205">
        <f>+(EMD!AK21)/(AL2*24)</f>
        <v>13.422594086021505</v>
      </c>
      <c r="AM166" s="73">
        <f>+(EMD!AL21)/(AM2*24)</f>
        <v>13.365993333333332</v>
      </c>
      <c r="AN166" s="107">
        <f>+(EMD!AM21)/(AN2*24)</f>
        <v>13.518890398550724</v>
      </c>
      <c r="AO166" s="49">
        <f>+(EMD!AN21)/(AO2*24)</f>
        <v>13.4305630744956</v>
      </c>
      <c r="AP166" s="101">
        <f>+(EMD!AO21)/(AP2*24)</f>
        <v>13.670254545454547</v>
      </c>
      <c r="AQ166" s="710">
        <f>+(EMD!AP21)/(AQ2*24)</f>
        <v>13.365993333333334</v>
      </c>
      <c r="AR166" s="1205">
        <f>+(EMD!AQ21)/(AR2*24)</f>
        <v>13.924408602150537</v>
      </c>
      <c r="AS166" s="49">
        <f>+(EMD!AR21)/(AS2*24)</f>
        <v>13.424021695488966</v>
      </c>
      <c r="AT166" s="99">
        <f>+(EMD!AS21)/(AT2*24)</f>
        <v>13.696002178649238</v>
      </c>
      <c r="AU166" s="710">
        <f>+(EMD!AT21)/(AU2*24)</f>
        <v>13.365993333333332</v>
      </c>
      <c r="AV166" s="1205">
        <f>+(EMD!AU21)/(AV2*24)</f>
        <v>14.532633928571428</v>
      </c>
      <c r="AW166" s="49">
        <f>+(EMD!AV21)/(AW2*24)</f>
        <v>13.419157042374122</v>
      </c>
      <c r="AX166" s="99">
        <f>+(EMD!AW21)/(AX2*24)</f>
        <v>13.766138972055888</v>
      </c>
      <c r="AY166" s="710">
        <f>+(EMD!AX21)/(AY2*24)</f>
        <v>13.365993333333334</v>
      </c>
      <c r="AZ166" s="1205">
        <f>+(EMD!AY21)/(AZ2*24)</f>
        <v>14.55869623655914</v>
      </c>
      <c r="BA166" s="73">
        <f>+(EMD!AZ21)/(BA2*24)</f>
        <v>13.365993333333332</v>
      </c>
      <c r="BB166" s="107">
        <f>+(EMD!BA21)/(BB2*24)</f>
        <v>14.332111111111111</v>
      </c>
      <c r="BC166" s="622">
        <f>+(EMD!BB21)/(BC2*24)</f>
        <v>13.365993333333332</v>
      </c>
      <c r="BD166" s="438">
        <f>+(EMD!BC21)/(BD2*24)</f>
        <v>13.921032509157509</v>
      </c>
      <c r="BE166" s="49">
        <f>+(EMD!BD21)/(BE2*24)</f>
        <v>13.414641768455589</v>
      </c>
      <c r="BF166" s="101">
        <f>+(EMD!BE21)/(BF2*24)</f>
        <v>13.83345205479452</v>
      </c>
      <c r="BG166" s="1111"/>
      <c r="BH166" s="1111"/>
      <c r="BI166" s="1111"/>
      <c r="BJ166" s="1111"/>
      <c r="BK166" s="1111"/>
      <c r="BL166" s="23"/>
      <c r="BM166" s="23"/>
      <c r="BN166" s="23"/>
    </row>
    <row r="167" spans="1:66" x14ac:dyDescent="0.3">
      <c r="A167" s="1411">
        <v>0.77013299999999996</v>
      </c>
      <c r="B167" s="1705" t="s">
        <v>745</v>
      </c>
      <c r="C167" s="1277" t="s">
        <v>212</v>
      </c>
      <c r="D167" s="413">
        <v>13715923.279999999</v>
      </c>
      <c r="E167" s="143">
        <f>+'POWER DISTRIBUTION'!I35</f>
        <v>1144859.52</v>
      </c>
      <c r="F167" s="460">
        <f>+'POWER DISTRIBUTION'!J35</f>
        <v>1090654.0000000007</v>
      </c>
      <c r="G167" s="143">
        <f>+'POWER DISTRIBUTION'!K35</f>
        <v>1183021.5039999997</v>
      </c>
      <c r="H167" s="460">
        <f>+'POWER DISTRIBUTION'!L35</f>
        <v>1099536</v>
      </c>
      <c r="I167" s="57">
        <f>+'POWER DISTRIBUTION'!M35</f>
        <v>2327881.0239999997</v>
      </c>
      <c r="J167" s="35">
        <f>+'POWER DISTRIBUTION'!N35</f>
        <v>2190190.0000000009</v>
      </c>
      <c r="K167" s="143">
        <f>+'POWER DISTRIBUTION'!O35</f>
        <v>1154395.2</v>
      </c>
      <c r="L167" s="460">
        <f>+'POWER DISTRIBUTION'!P35</f>
        <v>1198690</v>
      </c>
      <c r="M167" s="68">
        <f>+'POWER DISTRIBUTION'!Q35</f>
        <v>3482276.2239999995</v>
      </c>
      <c r="N167" s="115">
        <f>+L167+H167+F167</f>
        <v>3388880.0000000009</v>
      </c>
      <c r="O167" s="143">
        <f>+'POWER DISTRIBUTION'!S35</f>
        <v>1192875.04</v>
      </c>
      <c r="P167" s="460">
        <f>+'POWER DISTRIBUTION'!T35</f>
        <v>1201692</v>
      </c>
      <c r="Q167" s="57">
        <f>+'POWER DISTRIBUTION'!U35</f>
        <v>4675151.2639999995</v>
      </c>
      <c r="R167" s="35">
        <f>+'POWER DISTRIBUTION'!V35</f>
        <v>4590572.0000000009</v>
      </c>
      <c r="S167" s="143">
        <f>+'POWER DISTRIBUTION'!W35</f>
        <v>1192875.04</v>
      </c>
      <c r="T167" s="460">
        <f>+'POWER DISTRIBUTION'!X35</f>
        <v>1172043</v>
      </c>
      <c r="U167" s="57">
        <f>+'POWER DISTRIBUTION'!Y35</f>
        <v>5868026.3039999995</v>
      </c>
      <c r="V167" s="35">
        <f>+'POWER DISTRIBUTION'!Z35</f>
        <v>5762615.0000000009</v>
      </c>
      <c r="W167" s="143">
        <f>+'POWER DISTRIBUTION'!AA35</f>
        <v>1131061.68</v>
      </c>
      <c r="X167" s="460">
        <f>+'POWER DISTRIBUTION'!AB35</f>
        <v>1117056.9999999995</v>
      </c>
      <c r="Y167" s="68">
        <f>+'POWER DISTRIBUTION'!AC35</f>
        <v>3516811.76</v>
      </c>
      <c r="Z167" s="79">
        <f>+P167+T167+X167</f>
        <v>3490791.9999999995</v>
      </c>
      <c r="AA167" s="596">
        <f>+'POWER DISTRIBUTION'!AE35</f>
        <v>6999087.9839999992</v>
      </c>
      <c r="AB167" s="418">
        <f>+N167+Z167</f>
        <v>6879672</v>
      </c>
      <c r="AC167" s="143">
        <f>+'POWER DISTRIBUTION'!AG35</f>
        <v>1192875.04</v>
      </c>
      <c r="AD167" s="460">
        <f>+'POWER DISTRIBUTION'!AH35</f>
        <v>1136315.9999999995</v>
      </c>
      <c r="AE167" s="57">
        <f>+'POWER DISTRIBUTION'!AI35</f>
        <v>8191963.0239999993</v>
      </c>
      <c r="AF167" s="35">
        <f>+'POWER DISTRIBUTION'!AJ35</f>
        <v>8015988</v>
      </c>
      <c r="AG167" s="143">
        <f>+'POWER DISTRIBUTION'!AK35</f>
        <v>1154395.2</v>
      </c>
      <c r="AH167" s="460">
        <f>+'POWER DISTRIBUTION'!AL35</f>
        <v>1129714.0000000007</v>
      </c>
      <c r="AI167" s="57">
        <f>+'POWER DISTRIBUTION'!AM35</f>
        <v>9346358.2239999995</v>
      </c>
      <c r="AJ167" s="35">
        <f>+'POWER DISTRIBUTION'!AN35</f>
        <v>9145702</v>
      </c>
      <c r="AK167" s="143">
        <f>+'POWER DISTRIBUTION'!AO35</f>
        <v>1192875.04</v>
      </c>
      <c r="AL167" s="460">
        <f>+'POWER DISTRIBUTION'!AP35</f>
        <v>1098775.9999999995</v>
      </c>
      <c r="AM167" s="68">
        <f>+'POWER DISTRIBUTION'!AQ35</f>
        <v>3540145.2800000003</v>
      </c>
      <c r="AN167" s="68">
        <f>+'POWER DISTRIBUTION'!AR35</f>
        <v>3364805.9999999995</v>
      </c>
      <c r="AO167" s="57">
        <f>+'POWER DISTRIBUTION'!AS35</f>
        <v>10539233.263999999</v>
      </c>
      <c r="AP167" s="35">
        <f>+'POWER DISTRIBUTION'!AT35</f>
        <v>10244478</v>
      </c>
      <c r="AQ167" s="143">
        <f>+'POWER DISTRIBUTION'!AU35</f>
        <v>1192875.04</v>
      </c>
      <c r="AR167" s="460">
        <f>+'POWER DISTRIBUTION'!AV35</f>
        <v>1079565.9999999998</v>
      </c>
      <c r="AS167" s="57">
        <f>+'POWER DISTRIBUTION'!AW35</f>
        <v>11732108.303999998</v>
      </c>
      <c r="AT167" s="35">
        <f>+'POWER DISTRIBUTION'!AX35</f>
        <v>11324044</v>
      </c>
      <c r="AU167" s="143">
        <f>+'POWER DISTRIBUTION'!AY35</f>
        <v>1077435.52</v>
      </c>
      <c r="AV167" s="460">
        <f>+'POWER DISTRIBUTION'!AZ35</f>
        <v>916298.00000000081</v>
      </c>
      <c r="AW167" s="57">
        <f>+'POWER DISTRIBUTION'!BA35</f>
        <v>12809543.823999997</v>
      </c>
      <c r="AX167" s="35">
        <f>+'POWER DISTRIBUTION'!BB35</f>
        <v>12240342</v>
      </c>
      <c r="AY167" s="143">
        <f>+'POWER DISTRIBUTION'!BC35</f>
        <v>1192875.04</v>
      </c>
      <c r="AZ167" s="460">
        <f>+'POWER DISTRIBUTION'!BD35</f>
        <v>1084823.9999999988</v>
      </c>
      <c r="BA167" s="68">
        <f>+'POWER DISTRIBUTION'!BE35</f>
        <v>3463185.6</v>
      </c>
      <c r="BB167" s="65">
        <f>+'POWER DISTRIBUTION'!BF35</f>
        <v>3080687.9999999991</v>
      </c>
      <c r="BC167" s="596">
        <f>+'POWER DISTRIBUTION'!BG35</f>
        <v>7003330.8800000008</v>
      </c>
      <c r="BD167" s="418">
        <f>+'POWER DISTRIBUTION'!BH35</f>
        <v>6445493.9999999981</v>
      </c>
      <c r="BE167" s="57">
        <f>+'POWER DISTRIBUTION'!BI35</f>
        <v>14002418.863999996</v>
      </c>
      <c r="BF167" s="35">
        <f>+'POWER DISTRIBUTION'!BJ35</f>
        <v>13325165.999999998</v>
      </c>
      <c r="BG167" s="1111"/>
      <c r="BH167" s="1111"/>
      <c r="BI167" s="1111"/>
      <c r="BJ167" s="1111"/>
      <c r="BK167" s="1111"/>
      <c r="BL167" s="23"/>
      <c r="BM167" s="23"/>
      <c r="BN167" s="23"/>
    </row>
    <row r="168" spans="1:66" x14ac:dyDescent="0.3">
      <c r="A168" s="136"/>
      <c r="B168" s="1705" t="s">
        <v>746</v>
      </c>
      <c r="C168" s="1277" t="s">
        <v>1700</v>
      </c>
      <c r="D168" s="364">
        <f t="shared" ref="D168:AI168" si="824">+D167/D17</f>
        <v>22.637750525180266</v>
      </c>
      <c r="E168" s="710">
        <f t="shared" si="824"/>
        <v>22.64</v>
      </c>
      <c r="F168" s="123">
        <f t="shared" si="824"/>
        <v>21.568066761588369</v>
      </c>
      <c r="G168" s="710">
        <f t="shared" ref="G168:H168" si="825">+G167/G17</f>
        <v>22.639999999999997</v>
      </c>
      <c r="H168" s="123">
        <f t="shared" si="825"/>
        <v>21.24510190359155</v>
      </c>
      <c r="I168" s="49">
        <f t="shared" si="824"/>
        <v>22.639999999999997</v>
      </c>
      <c r="J168" s="101">
        <f t="shared" si="824"/>
        <v>21.404711364427097</v>
      </c>
      <c r="K168" s="710">
        <f t="shared" si="824"/>
        <v>23.8</v>
      </c>
      <c r="L168" s="123">
        <f t="shared" si="824"/>
        <v>24.181568032535548</v>
      </c>
      <c r="M168" s="73">
        <f t="shared" si="824"/>
        <v>23.011811775403498</v>
      </c>
      <c r="N168" s="107">
        <f t="shared" si="824"/>
        <v>22.310939528563495</v>
      </c>
      <c r="O168" s="710">
        <f t="shared" si="824"/>
        <v>23.800000000000004</v>
      </c>
      <c r="P168" s="123">
        <f t="shared" si="824"/>
        <v>23.61927449407991</v>
      </c>
      <c r="Q168" s="49">
        <f t="shared" si="824"/>
        <v>23.207916666666666</v>
      </c>
      <c r="R168" s="101">
        <f t="shared" si="824"/>
        <v>22.639216297415608</v>
      </c>
      <c r="S168" s="710">
        <f t="shared" si="824"/>
        <v>23.800000000000004</v>
      </c>
      <c r="T168" s="123">
        <f t="shared" si="824"/>
        <v>22.429899566728416</v>
      </c>
      <c r="U168" s="49">
        <f t="shared" si="824"/>
        <v>23.325879939833175</v>
      </c>
      <c r="V168" s="101">
        <f t="shared" si="824"/>
        <v>22.596328037630911</v>
      </c>
      <c r="W168" s="710">
        <f t="shared" si="824"/>
        <v>23.8</v>
      </c>
      <c r="X168" s="123">
        <f t="shared" si="824"/>
        <v>22.090195380477763</v>
      </c>
      <c r="Y168" s="73">
        <f t="shared" si="824"/>
        <v>23.8</v>
      </c>
      <c r="Z168" s="107">
        <f t="shared" si="824"/>
        <v>22.711842351814447</v>
      </c>
      <c r="AA168" s="622">
        <f t="shared" si="824"/>
        <v>23.401214560929322</v>
      </c>
      <c r="AB168" s="438">
        <f t="shared" si="824"/>
        <v>22.512575574523449</v>
      </c>
      <c r="AC168" s="710">
        <f t="shared" si="824"/>
        <v>23.800000000000004</v>
      </c>
      <c r="AD168" s="123">
        <f t="shared" si="824"/>
        <v>22.073131881366592</v>
      </c>
      <c r="AE168" s="49">
        <f t="shared" si="824"/>
        <v>23.458450475299216</v>
      </c>
      <c r="AF168" s="101">
        <f t="shared" si="824"/>
        <v>22.449220325312542</v>
      </c>
      <c r="AG168" s="710">
        <f t="shared" si="824"/>
        <v>23.8</v>
      </c>
      <c r="AH168" s="123">
        <f t="shared" si="824"/>
        <v>23.233479487664642</v>
      </c>
      <c r="AI168" s="49">
        <f t="shared" si="824"/>
        <v>23.500104657700124</v>
      </c>
      <c r="AJ168" s="101">
        <f t="shared" ref="AJ168:BF168" si="826">+AJ167/AJ17</f>
        <v>22.543217046047239</v>
      </c>
      <c r="AK168" s="710">
        <f t="shared" si="826"/>
        <v>23.800000000000004</v>
      </c>
      <c r="AL168" s="123">
        <f t="shared" si="826"/>
        <v>21.900008769761854</v>
      </c>
      <c r="AM168" s="73">
        <f t="shared" si="826"/>
        <v>23.800000000000004</v>
      </c>
      <c r="AN168" s="107">
        <f t="shared" si="826"/>
        <v>22.3907812537431</v>
      </c>
      <c r="AO168" s="49">
        <f t="shared" si="826"/>
        <v>23.533668241348849</v>
      </c>
      <c r="AP168" s="101">
        <f t="shared" si="826"/>
        <v>22.472426277034092</v>
      </c>
      <c r="AQ168" s="710">
        <f t="shared" si="826"/>
        <v>23.800000000000004</v>
      </c>
      <c r="AR168" s="123">
        <f t="shared" si="826"/>
        <v>21.348797658598318</v>
      </c>
      <c r="AS168" s="49">
        <f t="shared" si="826"/>
        <v>23.560475285827774</v>
      </c>
      <c r="AT168" s="101">
        <f t="shared" si="826"/>
        <v>22.360231326001585</v>
      </c>
      <c r="AU168" s="710">
        <f t="shared" si="826"/>
        <v>23.8</v>
      </c>
      <c r="AV168" s="123">
        <f t="shared" si="826"/>
        <v>20.148691200788111</v>
      </c>
      <c r="AW168" s="49">
        <f t="shared" si="826"/>
        <v>23.580436310673459</v>
      </c>
      <c r="AX168" s="101">
        <f t="shared" si="826"/>
        <v>22.178003948444101</v>
      </c>
      <c r="AY168" s="710">
        <f t="shared" si="826"/>
        <v>23.800000000000004</v>
      </c>
      <c r="AZ168" s="123">
        <f t="shared" si="826"/>
        <v>20.760751412342859</v>
      </c>
      <c r="BA168" s="73">
        <f t="shared" si="826"/>
        <v>23.8</v>
      </c>
      <c r="BB168" s="107">
        <f t="shared" si="826"/>
        <v>20.77357543978896</v>
      </c>
      <c r="BC168" s="622">
        <f t="shared" si="826"/>
        <v>23.800000000000004</v>
      </c>
      <c r="BD168" s="438">
        <f t="shared" si="826"/>
        <v>21.58753518381323</v>
      </c>
      <c r="BE168" s="49">
        <f t="shared" si="826"/>
        <v>23.598983099979701</v>
      </c>
      <c r="BF168" s="101">
        <f t="shared" si="826"/>
        <v>22.055427702794852</v>
      </c>
      <c r="BG168" s="1111"/>
      <c r="BH168" s="1111"/>
      <c r="BI168" s="1111"/>
      <c r="BJ168" s="1111"/>
      <c r="BK168" s="1111"/>
      <c r="BL168" s="23"/>
      <c r="BM168" s="23"/>
      <c r="BN168" s="23"/>
    </row>
    <row r="169" spans="1:66" ht="15" thickBot="1" x14ac:dyDescent="0.35">
      <c r="A169" s="136"/>
      <c r="B169" s="1706" t="s">
        <v>216</v>
      </c>
      <c r="C169" s="1296" t="s">
        <v>1044</v>
      </c>
      <c r="D169" s="5199">
        <v>0.74</v>
      </c>
      <c r="E169" s="726">
        <v>0.74</v>
      </c>
      <c r="F169" s="356">
        <v>0.77600000000000002</v>
      </c>
      <c r="G169" s="726">
        <v>0.74</v>
      </c>
      <c r="H169" s="356">
        <v>0.78</v>
      </c>
      <c r="I169" s="360">
        <f>+((E169*E17)+(G169*G17))/I17</f>
        <v>0.73999999999999988</v>
      </c>
      <c r="J169" s="360">
        <f>+((F169*F17)+(H169*H17))/J17</f>
        <v>0.77802319717599611</v>
      </c>
      <c r="K169" s="726">
        <v>0.8382680133597229</v>
      </c>
      <c r="L169" s="356">
        <v>0.71</v>
      </c>
      <c r="M169" s="1450">
        <f>+((E169*E17)+(G169*G17)+(K169*K17))/M17</f>
        <v>0.77149759009711505</v>
      </c>
      <c r="N169" s="1450">
        <f>+((F169*F17)+(H169*H17)+(L169*L17))/N17</f>
        <v>0.7558238025138716</v>
      </c>
      <c r="O169" s="726">
        <v>0.8382680133597229</v>
      </c>
      <c r="P169" s="356">
        <v>0.73199999999999998</v>
      </c>
      <c r="Q169" s="360">
        <f>+((M169*M17)+(O169*O17))/Q17</f>
        <v>0.78811038154069779</v>
      </c>
      <c r="R169" s="360">
        <f>+((N169*N17)+(P169*P17))/R17</f>
        <v>0.74984612774620407</v>
      </c>
      <c r="S169" s="726">
        <v>0.8382680133597229</v>
      </c>
      <c r="T169" s="356">
        <v>0.72699999999999998</v>
      </c>
      <c r="U169" s="360">
        <f>+((Q169*Q17)+(S169*S17))/U17</f>
        <v>0.79810349921611412</v>
      </c>
      <c r="V169" s="360">
        <f>+((R169*R17)+(T169*T17))/V17</f>
        <v>0.7451650367572672</v>
      </c>
      <c r="W169" s="726">
        <v>0.82908185402621015</v>
      </c>
      <c r="X169" s="356">
        <v>0.72499999999999998</v>
      </c>
      <c r="Y169" s="361">
        <f>+((O169*O17)+(S169*S17)+(W169*W17))/Y17</f>
        <v>0.83531360080722672</v>
      </c>
      <c r="Z169" s="361">
        <f>+((P169*P17)+(T169*T17)+(X169*X17))/Z17</f>
        <v>0.72799709042076988</v>
      </c>
      <c r="AA169" s="2211">
        <f>+((M169*M17)+(Y169*Y17))/AA17</f>
        <v>0.80302576009024695</v>
      </c>
      <c r="AB169" s="2211">
        <f>+((N169*N17)+(Z169*Z17))/AB17-0.001</f>
        <v>0.74082822085889566</v>
      </c>
      <c r="AC169" s="726">
        <v>0.8382680133597229</v>
      </c>
      <c r="AD169" s="356">
        <v>0.73799999999999999</v>
      </c>
      <c r="AE169" s="1680">
        <f>+((AA169*AA17)+(AC169*AC17))/AE17</f>
        <v>0.80808392519034311</v>
      </c>
      <c r="AF169" s="1680">
        <f>+((AB169*AB17)+(AD169*AD17))/AF17</f>
        <v>0.74042047206165695</v>
      </c>
      <c r="AG169" s="726">
        <v>0.8382680133597229</v>
      </c>
      <c r="AH169" s="356">
        <v>0.753</v>
      </c>
      <c r="AI169" s="1680">
        <f>+((AE169*AE17)+(AG169*AG17))/AI17</f>
        <v>0.81176507074401916</v>
      </c>
      <c r="AJ169" s="1680">
        <f>+((AF169*AF17)+(AH169*AH17))/AJ17+0.001</f>
        <v>0.74292818077754696</v>
      </c>
      <c r="AK169" s="726">
        <v>0.8382680133597229</v>
      </c>
      <c r="AL169" s="356">
        <v>0.74650000000000005</v>
      </c>
      <c r="AM169" s="363">
        <f>+$D$169</f>
        <v>0.74</v>
      </c>
      <c r="AN169" s="361">
        <f>+((AD169*AD17)+(AH169*AH17)+(AL169*AL17))/AN17</f>
        <v>0.74569137003548125</v>
      </c>
      <c r="AO169" s="1680">
        <f>+((AK169*AK17)+(AI169*AI17))/AO17</f>
        <v>0.81473121794923331</v>
      </c>
      <c r="AP169" s="1680">
        <f>+((AL169*AL17)+(AJ169*AJ17))/AP17-0.001</f>
        <v>0.74232129112586764</v>
      </c>
      <c r="AQ169" s="726">
        <v>0.8382680133597229</v>
      </c>
      <c r="AR169" s="356">
        <v>0.86699999999999999</v>
      </c>
      <c r="AS169" s="1680">
        <f>+((AO169*AO17)+(AQ169*AQ17))/AS17</f>
        <v>0.81710026295030991</v>
      </c>
      <c r="AT169" s="1680">
        <f>+((AP169*AP17)+(AR169*AR17))/AT17</f>
        <v>0.75477053049857346</v>
      </c>
      <c r="AU169" s="726">
        <v>0.83799999999999997</v>
      </c>
      <c r="AV169" s="356">
        <v>0.90900000000000003</v>
      </c>
      <c r="AW169" s="1680">
        <f>+((AS169*AS17)+(AU169*AU17))/AW17</f>
        <v>0.81884196284945754</v>
      </c>
      <c r="AX169" s="1680">
        <f>+((AT169*AT17)+(AV169*AV17))/AX17</f>
        <v>0.76747879269508845</v>
      </c>
      <c r="AY169" s="726">
        <v>0.8382680133597229</v>
      </c>
      <c r="AZ169" s="356">
        <v>0.877</v>
      </c>
      <c r="BA169" s="361">
        <f>+((AQ169*AQ17)+(AU169*AU17)+(AY169*AY17))/BA17</f>
        <v>0.83818463142558686</v>
      </c>
      <c r="BB169" s="361">
        <f>+((AR169*AR17)+(AV169*AV17)+(AZ169*AZ17))/BB17</f>
        <v>0.88340315472048259</v>
      </c>
      <c r="BC169" s="2211">
        <f>+((AM169*AM17)+(BA169*BA17))/BC17</f>
        <v>0.78855283971594947</v>
      </c>
      <c r="BD169" s="2211">
        <f>+((AN169*AN17)+(BB169*BB17))/BD17</f>
        <v>0.81409110547842611</v>
      </c>
      <c r="BE169" s="1680">
        <f>+((AW169*AW17)+(AY169*AY17))/BE17</f>
        <v>0.82048290296560999</v>
      </c>
      <c r="BF169" s="1680">
        <f>+((AX169*AX17)+(AZ169*AZ17))/BF17</f>
        <v>0.77695113306382735</v>
      </c>
      <c r="BG169" s="1111"/>
      <c r="BH169" s="1111"/>
      <c r="BI169" s="1111"/>
      <c r="BJ169" s="1111"/>
      <c r="BK169" s="1111"/>
      <c r="BL169" s="23"/>
      <c r="BM169" s="23"/>
      <c r="BN169" s="23"/>
    </row>
    <row r="170" spans="1:66" ht="18" thickBot="1" x14ac:dyDescent="0.35">
      <c r="B170" s="1679" t="s">
        <v>207</v>
      </c>
      <c r="C170" s="1655"/>
      <c r="D170" s="1655"/>
      <c r="E170" s="1655"/>
      <c r="F170" s="1655"/>
      <c r="G170" s="1655"/>
      <c r="H170" s="1655"/>
      <c r="I170" s="1655"/>
      <c r="J170" s="1655"/>
      <c r="K170" s="1655"/>
      <c r="L170" s="1655"/>
      <c r="M170" s="1655"/>
      <c r="N170" s="1655"/>
      <c r="O170" s="1655"/>
      <c r="P170" s="1655"/>
      <c r="Q170" s="1655"/>
      <c r="R170" s="1655"/>
      <c r="S170" s="1655"/>
      <c r="T170" s="1655"/>
      <c r="U170" s="1655"/>
      <c r="V170" s="1655"/>
      <c r="W170" s="1655"/>
      <c r="X170" s="1655"/>
      <c r="Y170" s="491"/>
      <c r="Z170" s="491"/>
      <c r="AA170" s="491"/>
      <c r="AB170" s="1681"/>
      <c r="AC170" s="1655"/>
      <c r="AD170" s="1655"/>
      <c r="AE170" s="1655"/>
      <c r="AF170" s="1656"/>
      <c r="AG170" s="1655"/>
      <c r="AH170" s="1655"/>
      <c r="AI170" s="1655"/>
      <c r="AJ170" s="1656"/>
      <c r="AK170" s="1655"/>
      <c r="AL170" s="1655"/>
      <c r="AM170" s="491"/>
      <c r="AN170" s="491"/>
      <c r="AO170" s="1655"/>
      <c r="AP170" s="1656"/>
      <c r="AQ170" s="1655"/>
      <c r="AR170" s="1655"/>
      <c r="AS170" s="1655"/>
      <c r="AT170" s="1656"/>
      <c r="AU170" s="1655"/>
      <c r="AV170" s="1655"/>
      <c r="AW170" s="1655"/>
      <c r="AX170" s="1656"/>
      <c r="AY170" s="1655"/>
      <c r="AZ170" s="1655"/>
      <c r="BA170" s="491"/>
      <c r="BB170" s="491"/>
      <c r="BC170" s="491"/>
      <c r="BD170" s="1681"/>
      <c r="BE170" s="1655"/>
      <c r="BF170" s="1656"/>
      <c r="BG170" s="1111"/>
      <c r="BH170" s="1111"/>
      <c r="BI170" s="1111"/>
      <c r="BJ170" s="1111"/>
      <c r="BK170" s="1111"/>
      <c r="BL170" s="23"/>
      <c r="BM170" s="23"/>
      <c r="BN170" s="23"/>
    </row>
    <row r="171" spans="1:66" ht="21" thickBot="1" x14ac:dyDescent="0.35">
      <c r="B171" s="1718" t="s">
        <v>195</v>
      </c>
      <c r="C171" s="1655"/>
      <c r="D171" s="1655"/>
      <c r="E171" s="1655"/>
      <c r="F171" s="1655"/>
      <c r="G171" s="1655"/>
      <c r="H171" s="1655"/>
      <c r="I171" s="1655"/>
      <c r="J171" s="1655"/>
      <c r="K171" s="1655"/>
      <c r="L171" s="1655"/>
      <c r="M171" s="1655"/>
      <c r="N171" s="1655"/>
      <c r="O171" s="1655"/>
      <c r="P171" s="1655"/>
      <c r="Q171" s="1655"/>
      <c r="R171" s="1655"/>
      <c r="S171" s="1655"/>
      <c r="T171" s="1655"/>
      <c r="U171" s="1655"/>
      <c r="V171" s="1655"/>
      <c r="W171" s="1655"/>
      <c r="X171" s="1655"/>
      <c r="Y171" s="1655"/>
      <c r="Z171" s="1655"/>
      <c r="AA171" s="1655"/>
      <c r="AB171" s="1656"/>
      <c r="AC171" s="1655"/>
      <c r="AD171" s="1655"/>
      <c r="AE171" s="1655"/>
      <c r="AF171" s="1656"/>
      <c r="AG171" s="1655"/>
      <c r="AH171" s="1655"/>
      <c r="AI171" s="1655"/>
      <c r="AJ171" s="1656"/>
      <c r="AK171" s="1655"/>
      <c r="AL171" s="1655"/>
      <c r="AM171" s="1655"/>
      <c r="AN171" s="1655"/>
      <c r="AO171" s="1655"/>
      <c r="AP171" s="1656"/>
      <c r="AQ171" s="1655"/>
      <c r="AR171" s="1655"/>
      <c r="AS171" s="1655"/>
      <c r="AT171" s="1656"/>
      <c r="AU171" s="1655"/>
      <c r="AV171" s="1655"/>
      <c r="AW171" s="1655"/>
      <c r="AX171" s="1656"/>
      <c r="AY171" s="1655"/>
      <c r="AZ171" s="1655"/>
      <c r="BA171" s="1655"/>
      <c r="BB171" s="1655"/>
      <c r="BC171" s="1655"/>
      <c r="BD171" s="1656"/>
      <c r="BE171" s="1655"/>
      <c r="BF171" s="1656"/>
      <c r="BG171" s="1111"/>
      <c r="BH171" s="1111"/>
      <c r="BI171" s="1111"/>
      <c r="BJ171" s="1111"/>
      <c r="BK171" s="1111"/>
      <c r="BL171" s="23"/>
      <c r="BM171" s="23"/>
      <c r="BN171" s="23"/>
    </row>
    <row r="172" spans="1:66" x14ac:dyDescent="0.3">
      <c r="B172" s="1700" t="s">
        <v>193</v>
      </c>
      <c r="C172" s="1216" t="s">
        <v>49</v>
      </c>
      <c r="D172" s="1701">
        <f t="shared" ref="D172:AI172" si="827">+D115/D123*100</f>
        <v>70.038482682792733</v>
      </c>
      <c r="E172" s="704">
        <f t="shared" si="827"/>
        <v>70.038482682792747</v>
      </c>
      <c r="F172" s="1702">
        <f t="shared" si="827"/>
        <v>69.999999609300659</v>
      </c>
      <c r="G172" s="704">
        <f t="shared" ref="G172:H172" si="828">+G115/G123*100</f>
        <v>70.038482682792733</v>
      </c>
      <c r="H172" s="1702">
        <f t="shared" si="828"/>
        <v>69.999999900677068</v>
      </c>
      <c r="I172" s="705">
        <f t="shared" si="827"/>
        <v>70.038482682792733</v>
      </c>
      <c r="J172" s="1703">
        <f t="shared" si="827"/>
        <v>69.858219582221764</v>
      </c>
      <c r="K172" s="704">
        <f t="shared" si="827"/>
        <v>74.226804123711347</v>
      </c>
      <c r="L172" s="1702">
        <f t="shared" si="827"/>
        <v>70.999995215553483</v>
      </c>
      <c r="M172" s="1437">
        <f t="shared" si="827"/>
        <v>73.867700559357203</v>
      </c>
      <c r="N172" s="1704">
        <f t="shared" si="827"/>
        <v>70.242215095327722</v>
      </c>
      <c r="O172" s="704">
        <f t="shared" si="827"/>
        <v>74.226804123711332</v>
      </c>
      <c r="P172" s="1702">
        <f t="shared" si="827"/>
        <v>71.000006296860505</v>
      </c>
      <c r="Q172" s="705">
        <f t="shared" si="827"/>
        <v>73.96069199018423</v>
      </c>
      <c r="R172" s="1703">
        <f t="shared" si="827"/>
        <v>70.438432849078239</v>
      </c>
      <c r="S172" s="704">
        <f t="shared" si="827"/>
        <v>74.226804123711332</v>
      </c>
      <c r="T172" s="1702">
        <f t="shared" si="827"/>
        <v>71.000000188889203</v>
      </c>
      <c r="U172" s="705">
        <f t="shared" si="827"/>
        <v>74.015428601562107</v>
      </c>
      <c r="V172" s="1703">
        <f t="shared" si="827"/>
        <v>70.553485501296848</v>
      </c>
      <c r="W172" s="704">
        <f t="shared" si="827"/>
        <v>74.226804123711347</v>
      </c>
      <c r="X172" s="1702">
        <f t="shared" si="827"/>
        <v>70.999999902654807</v>
      </c>
      <c r="Y172" s="322">
        <f t="shared" si="827"/>
        <v>74.226804123711332</v>
      </c>
      <c r="Z172" s="322">
        <f t="shared" si="827"/>
        <v>71.000002158650517</v>
      </c>
      <c r="AA172" s="430">
        <f t="shared" si="827"/>
        <v>74.049164884568327</v>
      </c>
      <c r="AB172" s="438">
        <f t="shared" si="827"/>
        <v>70.627523714015155</v>
      </c>
      <c r="AC172" s="704">
        <f t="shared" si="827"/>
        <v>74.226804123711332</v>
      </c>
      <c r="AD172" s="1702">
        <f t="shared" si="827"/>
        <v>70.877862116770984</v>
      </c>
      <c r="AE172" s="705">
        <f t="shared" si="827"/>
        <v>74.075346096048278</v>
      </c>
      <c r="AF172" s="1703">
        <f t="shared" si="827"/>
        <v>70.663643498446419</v>
      </c>
      <c r="AG172" s="704">
        <f t="shared" si="827"/>
        <v>74.226804123711347</v>
      </c>
      <c r="AH172" s="1702">
        <f t="shared" si="827"/>
        <v>71</v>
      </c>
      <c r="AI172" s="705">
        <f t="shared" si="827"/>
        <v>74.094251986220826</v>
      </c>
      <c r="AJ172" s="1703">
        <f t="shared" ref="AJ172:BF172" si="829">+AJ115/AJ123*100</f>
        <v>70.705401590720243</v>
      </c>
      <c r="AK172" s="704">
        <f t="shared" si="829"/>
        <v>74.226804123711332</v>
      </c>
      <c r="AL172" s="1702">
        <f t="shared" si="829"/>
        <v>71</v>
      </c>
      <c r="AM172" s="322">
        <f t="shared" si="829"/>
        <v>74.226804123711347</v>
      </c>
      <c r="AN172" s="322">
        <f t="shared" si="829"/>
        <v>70.959264970498495</v>
      </c>
      <c r="AO172" s="705">
        <f t="shared" si="829"/>
        <v>74.109396074880337</v>
      </c>
      <c r="AP172" s="1703">
        <f t="shared" si="829"/>
        <v>70.738920463425686</v>
      </c>
      <c r="AQ172" s="704">
        <f t="shared" si="829"/>
        <v>74.226804123711332</v>
      </c>
      <c r="AR172" s="1702">
        <f t="shared" si="829"/>
        <v>70.000000285201509</v>
      </c>
      <c r="AS172" s="705">
        <f t="shared" si="829"/>
        <v>74.121434553771664</v>
      </c>
      <c r="AT172" s="1703">
        <f t="shared" si="829"/>
        <v>70.664034939477801</v>
      </c>
      <c r="AU172" s="704">
        <f t="shared" si="829"/>
        <v>74.226804123711332</v>
      </c>
      <c r="AV172" s="1702">
        <f t="shared" si="829"/>
        <v>69.999999264467533</v>
      </c>
      <c r="AW172" s="705">
        <f t="shared" si="829"/>
        <v>74.130365944412375</v>
      </c>
      <c r="AX172" s="1703">
        <f t="shared" si="829"/>
        <v>70.608262612214133</v>
      </c>
      <c r="AY172" s="704">
        <f t="shared" si="829"/>
        <v>74.226804123711332</v>
      </c>
      <c r="AZ172" s="1702">
        <f t="shared" si="829"/>
        <v>70</v>
      </c>
      <c r="BA172" s="322">
        <f t="shared" si="829"/>
        <v>74.226804123711332</v>
      </c>
      <c r="BB172" s="322">
        <f t="shared" si="829"/>
        <v>69.99999986945744</v>
      </c>
      <c r="BC172" s="430">
        <f t="shared" si="829"/>
        <v>74.226804123711361</v>
      </c>
      <c r="BD172" s="438">
        <f t="shared" si="829"/>
        <v>70.484893261473601</v>
      </c>
      <c r="BE172" s="705">
        <f t="shared" si="829"/>
        <v>74.138639669096207</v>
      </c>
      <c r="BF172" s="1703">
        <f t="shared" si="829"/>
        <v>70.556203342354451</v>
      </c>
      <c r="BG172" s="1111"/>
      <c r="BH172" s="1111"/>
      <c r="BI172" s="1111"/>
      <c r="BJ172" s="1111"/>
      <c r="BK172" s="1111"/>
      <c r="BL172" s="23"/>
      <c r="BM172" s="23"/>
      <c r="BN172" s="23"/>
    </row>
    <row r="173" spans="1:66" x14ac:dyDescent="0.3">
      <c r="B173" s="1660" t="s">
        <v>194</v>
      </c>
      <c r="C173" s="1277" t="s">
        <v>49</v>
      </c>
      <c r="D173" s="100">
        <f t="shared" ref="D173:AI173" si="830">+D120/D123*100</f>
        <v>25.013743815283128</v>
      </c>
      <c r="E173" s="706">
        <f t="shared" si="830"/>
        <v>25.013743815283117</v>
      </c>
      <c r="F173" s="121">
        <f t="shared" si="830"/>
        <v>24.999999999999996</v>
      </c>
      <c r="G173" s="706">
        <f t="shared" si="830"/>
        <v>25.013743815283128</v>
      </c>
      <c r="H173" s="121">
        <f t="shared" ref="H173" si="831">+H120/H123*100</f>
        <v>25.00000024830733</v>
      </c>
      <c r="I173" s="49">
        <f t="shared" si="830"/>
        <v>25.013743815283117</v>
      </c>
      <c r="J173" s="99">
        <f t="shared" si="830"/>
        <v>25.118150265683969</v>
      </c>
      <c r="K173" s="706">
        <f t="shared" si="830"/>
        <v>25.773195876288664</v>
      </c>
      <c r="L173" s="121">
        <f t="shared" si="830"/>
        <v>24.000004296237698</v>
      </c>
      <c r="M173" s="73">
        <f t="shared" si="830"/>
        <v>26.132299440642797</v>
      </c>
      <c r="N173" s="106">
        <f t="shared" si="830"/>
        <v>24.742101747279357</v>
      </c>
      <c r="O173" s="706">
        <f t="shared" si="830"/>
        <v>25.773195876288657</v>
      </c>
      <c r="P173" s="121">
        <f t="shared" si="830"/>
        <v>23.999995112884385</v>
      </c>
      <c r="Q173" s="49">
        <f t="shared" si="830"/>
        <v>26.039308009815777</v>
      </c>
      <c r="R173" s="99">
        <f t="shared" si="830"/>
        <v>24.549945258064657</v>
      </c>
      <c r="S173" s="706">
        <f t="shared" si="830"/>
        <v>25.773195876288657</v>
      </c>
      <c r="T173" s="121">
        <f t="shared" si="830"/>
        <v>23.999999811110804</v>
      </c>
      <c r="U173" s="49">
        <f t="shared" si="830"/>
        <v>25.984571398437883</v>
      </c>
      <c r="V173" s="99">
        <f t="shared" si="830"/>
        <v>24.437273673088058</v>
      </c>
      <c r="W173" s="706">
        <f t="shared" si="830"/>
        <v>25.77319587628865</v>
      </c>
      <c r="X173" s="121">
        <f t="shared" si="830"/>
        <v>23.999999610619231</v>
      </c>
      <c r="Y173" s="322">
        <f t="shared" si="830"/>
        <v>25.773195876288657</v>
      </c>
      <c r="Z173" s="322">
        <f t="shared" si="830"/>
        <v>23.999998158798082</v>
      </c>
      <c r="AA173" s="430">
        <f t="shared" si="830"/>
        <v>25.950835115431666</v>
      </c>
      <c r="AB173" s="438">
        <f t="shared" si="830"/>
        <v>24.36476763531012</v>
      </c>
      <c r="AC173" s="706">
        <f t="shared" si="830"/>
        <v>25.773195876288657</v>
      </c>
      <c r="AD173" s="121">
        <f t="shared" si="830"/>
        <v>24.122137404580158</v>
      </c>
      <c r="AE173" s="49">
        <f t="shared" si="830"/>
        <v>25.924653903951722</v>
      </c>
      <c r="AF173" s="99">
        <f t="shared" si="830"/>
        <v>24.329760015488294</v>
      </c>
      <c r="AG173" s="706">
        <f t="shared" si="830"/>
        <v>25.773195876288664</v>
      </c>
      <c r="AH173" s="121">
        <f t="shared" si="830"/>
        <v>24</v>
      </c>
      <c r="AI173" s="49">
        <f t="shared" si="830"/>
        <v>25.905748013779174</v>
      </c>
      <c r="AJ173" s="99">
        <f t="shared" ref="AJ173:BF173" si="832">+AJ120/AJ123*100</f>
        <v>24.288820865831969</v>
      </c>
      <c r="AK173" s="706">
        <f t="shared" si="832"/>
        <v>25.773195876288657</v>
      </c>
      <c r="AL173" s="121">
        <f t="shared" si="832"/>
        <v>24</v>
      </c>
      <c r="AM173" s="322">
        <f t="shared" si="832"/>
        <v>25.773195876288657</v>
      </c>
      <c r="AN173" s="322">
        <f t="shared" si="832"/>
        <v>24.040734869864096</v>
      </c>
      <c r="AO173" s="49">
        <f t="shared" si="832"/>
        <v>25.890603925119667</v>
      </c>
      <c r="AP173" s="99">
        <f t="shared" si="832"/>
        <v>24.255959351541506</v>
      </c>
      <c r="AQ173" s="706">
        <f t="shared" si="832"/>
        <v>25.773195876288657</v>
      </c>
      <c r="AR173" s="121">
        <f t="shared" si="832"/>
        <v>24.999999762332067</v>
      </c>
      <c r="AS173" s="49">
        <f t="shared" si="832"/>
        <v>25.878565446228329</v>
      </c>
      <c r="AT173" s="99">
        <f t="shared" si="832"/>
        <v>24.331363783092353</v>
      </c>
      <c r="AU173" s="706">
        <f t="shared" si="832"/>
        <v>25.773195876288664</v>
      </c>
      <c r="AV173" s="121">
        <f t="shared" si="832"/>
        <v>25.000000262690165</v>
      </c>
      <c r="AW173" s="49">
        <f t="shared" si="832"/>
        <v>25.869634055587621</v>
      </c>
      <c r="AX173" s="99">
        <f t="shared" si="832"/>
        <v>24.387522531731847</v>
      </c>
      <c r="AY173" s="706">
        <f t="shared" si="832"/>
        <v>25.773195876288657</v>
      </c>
      <c r="AZ173" s="121">
        <f t="shared" si="832"/>
        <v>24.999999528548862</v>
      </c>
      <c r="BA173" s="322">
        <f t="shared" si="832"/>
        <v>25.773195876288664</v>
      </c>
      <c r="BB173" s="322">
        <f t="shared" si="832"/>
        <v>24.999999836821786</v>
      </c>
      <c r="BC173" s="430">
        <f t="shared" si="832"/>
        <v>25.773195876288657</v>
      </c>
      <c r="BD173" s="438">
        <f t="shared" si="832"/>
        <v>24.515106512582648</v>
      </c>
      <c r="BE173" s="49">
        <f t="shared" si="832"/>
        <v>25.861360330903789</v>
      </c>
      <c r="BF173" s="99">
        <f t="shared" si="832"/>
        <v>24.439942497417519</v>
      </c>
      <c r="BG173" s="1111"/>
      <c r="BH173" s="1111"/>
      <c r="BI173" s="1111"/>
      <c r="BJ173" s="1111"/>
      <c r="BK173" s="1111"/>
      <c r="BL173" s="23"/>
      <c r="BM173" s="23"/>
      <c r="BN173" s="23"/>
    </row>
    <row r="174" spans="1:66" ht="15" thickBot="1" x14ac:dyDescent="0.35">
      <c r="A174" s="136"/>
      <c r="B174" s="1689" t="s">
        <v>12</v>
      </c>
      <c r="C174" s="1278" t="s">
        <v>49</v>
      </c>
      <c r="D174" s="498">
        <f t="shared" ref="D174:J174" si="833">SUM(D172:D173)</f>
        <v>95.052226498075868</v>
      </c>
      <c r="E174" s="1262">
        <f t="shared" si="833"/>
        <v>95.052226498075868</v>
      </c>
      <c r="F174" s="496">
        <f t="shared" si="833"/>
        <v>94.999999609300659</v>
      </c>
      <c r="G174" s="1262">
        <f t="shared" ref="G174:H174" si="834">SUM(G172:G173)</f>
        <v>95.052226498075868</v>
      </c>
      <c r="H174" s="496">
        <f t="shared" si="834"/>
        <v>95.000000148984398</v>
      </c>
      <c r="I174" s="1263">
        <f t="shared" si="833"/>
        <v>95.052226498075854</v>
      </c>
      <c r="J174" s="497">
        <f t="shared" si="833"/>
        <v>94.97636984790573</v>
      </c>
      <c r="K174" s="1262">
        <f t="shared" ref="K174:L174" si="835">SUM(K172:K173)</f>
        <v>100.00000000000001</v>
      </c>
      <c r="L174" s="496">
        <f t="shared" si="835"/>
        <v>94.999999511791174</v>
      </c>
      <c r="M174" s="1264">
        <f t="shared" ref="M174" si="836">SUM(M172:M173)</f>
        <v>100</v>
      </c>
      <c r="N174" s="499">
        <f t="shared" ref="N174:P174" si="837">SUM(N172:N173)</f>
        <v>94.984316842607086</v>
      </c>
      <c r="O174" s="1262">
        <f t="shared" si="837"/>
        <v>99.999999999999986</v>
      </c>
      <c r="P174" s="496">
        <f t="shared" si="837"/>
        <v>95.000001409744897</v>
      </c>
      <c r="Q174" s="1263">
        <f t="shared" ref="Q174" si="838">SUM(Q172:Q173)</f>
        <v>100</v>
      </c>
      <c r="R174" s="497">
        <f t="shared" ref="R174:U174" si="839">SUM(R172:R173)</f>
        <v>94.988378107142893</v>
      </c>
      <c r="S174" s="1262">
        <f t="shared" si="839"/>
        <v>99.999999999999986</v>
      </c>
      <c r="T174" s="496">
        <f t="shared" si="839"/>
        <v>95</v>
      </c>
      <c r="U174" s="1263">
        <f t="shared" si="839"/>
        <v>99.999999999999986</v>
      </c>
      <c r="V174" s="497">
        <f t="shared" ref="V174:X174" si="840">SUM(V172:V173)</f>
        <v>94.990759174384905</v>
      </c>
      <c r="W174" s="1262">
        <f t="shared" si="840"/>
        <v>100</v>
      </c>
      <c r="X174" s="496">
        <f t="shared" si="840"/>
        <v>94.999999513274034</v>
      </c>
      <c r="Y174" s="576">
        <f t="shared" ref="Y174:AF174" si="841">SUM(Y172:Y173)</f>
        <v>99.999999999999986</v>
      </c>
      <c r="Z174" s="576">
        <f t="shared" si="841"/>
        <v>95.000000317448595</v>
      </c>
      <c r="AA174" s="430">
        <f t="shared" si="841"/>
        <v>100</v>
      </c>
      <c r="AB174" s="2105">
        <f t="shared" si="841"/>
        <v>94.992291349325271</v>
      </c>
      <c r="AC174" s="1262">
        <f t="shared" si="841"/>
        <v>99.999999999999986</v>
      </c>
      <c r="AD174" s="496">
        <f t="shared" si="841"/>
        <v>94.999999521351143</v>
      </c>
      <c r="AE174" s="1263">
        <f t="shared" si="841"/>
        <v>100</v>
      </c>
      <c r="AF174" s="497">
        <f t="shared" si="841"/>
        <v>94.993403513934709</v>
      </c>
      <c r="AG174" s="1262">
        <f t="shared" ref="AG174:AH174" si="842">SUM(AG172:AG173)</f>
        <v>100.00000000000001</v>
      </c>
      <c r="AH174" s="496">
        <f t="shared" si="842"/>
        <v>95</v>
      </c>
      <c r="AI174" s="1263">
        <f t="shared" ref="AI174:AN174" si="843">SUM(AI172:AI173)</f>
        <v>100</v>
      </c>
      <c r="AJ174" s="497">
        <f t="shared" si="843"/>
        <v>94.994222456552208</v>
      </c>
      <c r="AK174" s="1262">
        <f t="shared" si="843"/>
        <v>99.999999999999986</v>
      </c>
      <c r="AL174" s="496">
        <f t="shared" si="843"/>
        <v>95</v>
      </c>
      <c r="AM174" s="576">
        <f t="shared" si="843"/>
        <v>100</v>
      </c>
      <c r="AN174" s="576">
        <f t="shared" si="843"/>
        <v>94.999999840362591</v>
      </c>
      <c r="AO174" s="1263">
        <f t="shared" ref="AO174:AT174" si="844">SUM(AO172:AO173)</f>
        <v>100</v>
      </c>
      <c r="AP174" s="497">
        <f t="shared" si="844"/>
        <v>94.994879814967192</v>
      </c>
      <c r="AQ174" s="1262">
        <f t="shared" si="844"/>
        <v>99.999999999999986</v>
      </c>
      <c r="AR174" s="496">
        <f t="shared" si="844"/>
        <v>95.000000047533575</v>
      </c>
      <c r="AS174" s="1263">
        <f t="shared" si="844"/>
        <v>100</v>
      </c>
      <c r="AT174" s="497">
        <f t="shared" si="844"/>
        <v>94.995398722570158</v>
      </c>
      <c r="AU174" s="1262">
        <f t="shared" ref="AU174:AV174" si="845">SUM(AU172:AU173)</f>
        <v>100</v>
      </c>
      <c r="AV174" s="496">
        <f t="shared" si="845"/>
        <v>94.999999527157698</v>
      </c>
      <c r="AW174" s="1263">
        <f t="shared" ref="AW174:AZ174" si="846">SUM(AW172:AW173)</f>
        <v>100</v>
      </c>
      <c r="AX174" s="497">
        <f t="shared" si="846"/>
        <v>94.99578514394598</v>
      </c>
      <c r="AY174" s="1262">
        <f t="shared" si="846"/>
        <v>99.999999999999986</v>
      </c>
      <c r="AZ174" s="496">
        <f t="shared" si="846"/>
        <v>94.999999528548869</v>
      </c>
      <c r="BA174" s="576">
        <f t="shared" ref="BA174:BF174" si="847">SUM(BA172:BA173)</f>
        <v>100</v>
      </c>
      <c r="BB174" s="576">
        <f t="shared" si="847"/>
        <v>94.999999706279226</v>
      </c>
      <c r="BC174" s="430">
        <f t="shared" si="847"/>
        <v>100.00000000000001</v>
      </c>
      <c r="BD174" s="2105">
        <f t="shared" si="847"/>
        <v>94.999999774056249</v>
      </c>
      <c r="BE174" s="1263">
        <f t="shared" si="847"/>
        <v>100</v>
      </c>
      <c r="BF174" s="497">
        <f t="shared" si="847"/>
        <v>94.99614583977197</v>
      </c>
      <c r="BG174" s="1111"/>
      <c r="BH174" s="1111"/>
      <c r="BI174" s="1111"/>
      <c r="BJ174" s="1111"/>
      <c r="BK174" s="1111"/>
      <c r="BL174" s="23"/>
      <c r="BM174" s="23"/>
      <c r="BN174" s="23"/>
    </row>
    <row r="175" spans="1:66" ht="15" thickBot="1" x14ac:dyDescent="0.35">
      <c r="B175" s="1690" t="s">
        <v>2173</v>
      </c>
      <c r="C175" s="1296" t="s">
        <v>49</v>
      </c>
      <c r="D175" s="1650">
        <f>+(D122/D123)*100</f>
        <v>4.9477735019241349</v>
      </c>
      <c r="E175" s="1651">
        <f t="shared" ref="E175:F175" si="848">+(E122/E123)*100</f>
        <v>4.947773501924134</v>
      </c>
      <c r="F175" s="1652">
        <f t="shared" si="848"/>
        <v>5.0000003906993546</v>
      </c>
      <c r="G175" s="1651">
        <f t="shared" ref="G175:J175" si="849">+(G122/G123)*100</f>
        <v>4.9477735019241358</v>
      </c>
      <c r="H175" s="1652">
        <f t="shared" si="849"/>
        <v>4.999999851015601</v>
      </c>
      <c r="I175" s="550">
        <f t="shared" si="849"/>
        <v>4.9477735019241349</v>
      </c>
      <c r="J175" s="550">
        <f t="shared" si="849"/>
        <v>5.0236301520942588</v>
      </c>
      <c r="K175" s="1651" t="e">
        <f>+((+#REF!+K122+#REF!)/K123)*100</f>
        <v>#REF!</v>
      </c>
      <c r="L175" s="1652" t="e">
        <f>+((+#REF!+L122+#REF!)/L123)*100</f>
        <v>#REF!</v>
      </c>
      <c r="M175" s="1653" t="e">
        <f>+((+#REF!+M122+#REF!)/M123)*100</f>
        <v>#REF!</v>
      </c>
      <c r="N175" s="164" t="e">
        <f>+((+#REF!+N122+#REF!)/N123)*100</f>
        <v>#REF!</v>
      </c>
      <c r="O175" s="1651" t="e">
        <f>+((+#REF!+O122+#REF!)/O123)*100</f>
        <v>#REF!</v>
      </c>
      <c r="P175" s="1652" t="e">
        <f>+((+#REF!+P122+#REF!)/P123)*100</f>
        <v>#REF!</v>
      </c>
      <c r="Q175" s="550" t="e">
        <f>+((+#REF!+Q122+#REF!)/Q123)*100</f>
        <v>#REF!</v>
      </c>
      <c r="R175" s="550" t="e">
        <f>+((+#REF!+R122+#REF!)/R123)*100</f>
        <v>#REF!</v>
      </c>
      <c r="S175" s="1651" t="e">
        <f>+((+#REF!+S122+#REF!)/S123)*100</f>
        <v>#REF!</v>
      </c>
      <c r="T175" s="1652" t="e">
        <f>+((+#REF!+T122+#REF!)/T123)*100</f>
        <v>#REF!</v>
      </c>
      <c r="U175" s="550" t="e">
        <f>+((+#REF!+U122+#REF!)/U123)*100</f>
        <v>#REF!</v>
      </c>
      <c r="V175" s="550" t="e">
        <f>+((+#REF!+V122+#REF!)/V123)*100</f>
        <v>#REF!</v>
      </c>
      <c r="W175" s="1651" t="e">
        <f>+((+#REF!+W122+#REF!)/W123)*100</f>
        <v>#REF!</v>
      </c>
      <c r="X175" s="1652" t="e">
        <f>+((+#REF!+X122+#REF!)/X123)*100</f>
        <v>#REF!</v>
      </c>
      <c r="Y175" s="322" t="e">
        <f>+((+#REF!+Y122+#REF!)/Y123)*100</f>
        <v>#REF!</v>
      </c>
      <c r="Z175" s="322" t="e">
        <f>+((+#REF!+Z122+#REF!)/Z123)*100</f>
        <v>#REF!</v>
      </c>
      <c r="AA175" s="430" t="e">
        <f>+((+#REF!+AA122+#REF!)/AA123)*100</f>
        <v>#REF!</v>
      </c>
      <c r="AB175" s="438" t="e">
        <f>+((+#REF!+AB122+#REF!)/AB123)*100</f>
        <v>#REF!</v>
      </c>
      <c r="AC175" s="1651" t="e">
        <f>+((+#REF!+AC122+#REF!)/AC123)*100</f>
        <v>#REF!</v>
      </c>
      <c r="AD175" s="1652" t="e">
        <f>+((+#REF!+AD122+#REF!)/AD123)*100</f>
        <v>#REF!</v>
      </c>
      <c r="AE175" s="550" t="e">
        <f>+((+#REF!+AE122+#REF!)/AE123)*100</f>
        <v>#REF!</v>
      </c>
      <c r="AF175" s="120" t="e">
        <f>+((+#REF!+AF122+#REF!)/AF123)*100</f>
        <v>#REF!</v>
      </c>
      <c r="AG175" s="1651" t="e">
        <f>+((+#REF!+AG122+#REF!)/AG123)*100</f>
        <v>#REF!</v>
      </c>
      <c r="AH175" s="1652" t="e">
        <f>+((+#REF!+AH122+#REF!)/AH123)*100</f>
        <v>#REF!</v>
      </c>
      <c r="AI175" s="550" t="e">
        <f>+((+#REF!+AI122+#REF!)/AI123)*100</f>
        <v>#REF!</v>
      </c>
      <c r="AJ175" s="120" t="e">
        <f>+((+#REF!+AJ122+#REF!)/AJ123)*100</f>
        <v>#REF!</v>
      </c>
      <c r="AK175" s="1651" t="e">
        <f>+((+#REF!+AK122+#REF!)/AK123)*100</f>
        <v>#REF!</v>
      </c>
      <c r="AL175" s="1652" t="e">
        <f>+((+#REF!+AL122+#REF!)/AL123)*100</f>
        <v>#REF!</v>
      </c>
      <c r="AM175" s="322" t="e">
        <f>+((+#REF!+AM122+#REF!)/AM123)*100</f>
        <v>#REF!</v>
      </c>
      <c r="AN175" s="322" t="e">
        <f>+((+#REF!+AN122+#REF!)/AN123)*100</f>
        <v>#REF!</v>
      </c>
      <c r="AO175" s="550" t="e">
        <f>+((+#REF!+AO122+#REF!)/AO123)*100</f>
        <v>#REF!</v>
      </c>
      <c r="AP175" s="120" t="e">
        <f>+((+#REF!+AP122+#REF!)/AP123)*100</f>
        <v>#REF!</v>
      </c>
      <c r="AQ175" s="1651" t="e">
        <f>+((+#REF!+AQ122+#REF!)/AQ123)*100</f>
        <v>#REF!</v>
      </c>
      <c r="AR175" s="1652" t="e">
        <f>+((+#REF!+AR122+#REF!)/AR123)*100</f>
        <v>#REF!</v>
      </c>
      <c r="AS175" s="550" t="e">
        <f>+((+#REF!+AS122+#REF!)/AS123)*100</f>
        <v>#REF!</v>
      </c>
      <c r="AT175" s="120" t="e">
        <f>+((+#REF!+AT122+#REF!)/AT123)*100</f>
        <v>#REF!</v>
      </c>
      <c r="AU175" s="1651" t="e">
        <f>+((+#REF!+AU122+#REF!)/AU123)*100</f>
        <v>#REF!</v>
      </c>
      <c r="AV175" s="1652" t="e">
        <f>+((+#REF!+AV122+#REF!)/AV123)*100</f>
        <v>#REF!</v>
      </c>
      <c r="AW175" s="550" t="e">
        <f>+((+#REF!+AW122+#REF!)/AW123)*100</f>
        <v>#REF!</v>
      </c>
      <c r="AX175" s="120" t="e">
        <f>+((+#REF!+AX122+#REF!)/AX123)*100</f>
        <v>#REF!</v>
      </c>
      <c r="AY175" s="1651" t="e">
        <f>+((+#REF!+AY122+#REF!)/AY123)*100</f>
        <v>#REF!</v>
      </c>
      <c r="AZ175" s="1652" t="e">
        <f>+((+#REF!+AZ122+#REF!)/AZ123)*100</f>
        <v>#REF!</v>
      </c>
      <c r="BA175" s="322" t="e">
        <f>+((+#REF!+BA122+#REF!)/BA123)*100</f>
        <v>#REF!</v>
      </c>
      <c r="BB175" s="322" t="e">
        <f>+((+#REF!+BB122+#REF!)/BB123)*100</f>
        <v>#REF!</v>
      </c>
      <c r="BC175" s="430" t="e">
        <f>+((+#REF!+BC122+#REF!)/BC123)*100</f>
        <v>#REF!</v>
      </c>
      <c r="BD175" s="438" t="e">
        <f>+((+#REF!+BD122+#REF!)/BD123)*100</f>
        <v>#REF!</v>
      </c>
      <c r="BE175" s="550" t="e">
        <f>+((+#REF!+BE122+#REF!)/BE123)*100</f>
        <v>#REF!</v>
      </c>
      <c r="BF175" s="120" t="e">
        <f>+((+#REF!+BF122+#REF!)/BF123)*100</f>
        <v>#REF!</v>
      </c>
      <c r="BG175" s="1111"/>
      <c r="BH175" s="1111"/>
      <c r="BI175" s="1111"/>
      <c r="BJ175" s="1111"/>
      <c r="BK175" s="1111"/>
      <c r="BL175" s="23"/>
      <c r="BM175" s="23"/>
      <c r="BN175" s="23"/>
    </row>
    <row r="176" spans="1:66" ht="18" x14ac:dyDescent="0.3">
      <c r="B176" s="1711" t="s">
        <v>192</v>
      </c>
      <c r="C176" s="1678"/>
      <c r="D176" s="1697"/>
      <c r="E176" s="1698"/>
      <c r="F176" s="1699"/>
      <c r="G176" s="1698"/>
      <c r="H176" s="1699"/>
      <c r="I176" s="1260"/>
      <c r="J176" s="1697"/>
      <c r="K176" s="1698"/>
      <c r="L176" s="1699"/>
      <c r="M176" s="1698"/>
      <c r="N176" s="1699"/>
      <c r="O176" s="1698"/>
      <c r="P176" s="1699"/>
      <c r="Q176" s="1260"/>
      <c r="R176" s="1697"/>
      <c r="S176" s="1698"/>
      <c r="T176" s="1699"/>
      <c r="U176" s="1260"/>
      <c r="V176" s="1697"/>
      <c r="W176" s="1698"/>
      <c r="X176" s="1699"/>
      <c r="Y176" s="1257"/>
      <c r="Z176" s="1257"/>
      <c r="AA176" s="2158"/>
      <c r="AB176" s="1259"/>
      <c r="AC176" s="1698"/>
      <c r="AD176" s="1699"/>
      <c r="AE176" s="1260"/>
      <c r="AF176" s="1699"/>
      <c r="AG176" s="1698"/>
      <c r="AH176" s="1699"/>
      <c r="AI176" s="1260"/>
      <c r="AJ176" s="1699"/>
      <c r="AK176" s="1698"/>
      <c r="AL176" s="1699"/>
      <c r="AM176" s="1257"/>
      <c r="AN176" s="1257"/>
      <c r="AO176" s="1260"/>
      <c r="AP176" s="1699"/>
      <c r="AQ176" s="1698"/>
      <c r="AR176" s="1699"/>
      <c r="AS176" s="1260"/>
      <c r="AT176" s="1699"/>
      <c r="AU176" s="1698"/>
      <c r="AV176" s="1699"/>
      <c r="AW176" s="1260"/>
      <c r="AX176" s="1699"/>
      <c r="AY176" s="1698"/>
      <c r="AZ176" s="1699"/>
      <c r="BA176" s="1257"/>
      <c r="BB176" s="1257"/>
      <c r="BC176" s="2158"/>
      <c r="BD176" s="1259"/>
      <c r="BE176" s="1260"/>
      <c r="BF176" s="1699"/>
      <c r="BG176" s="1111"/>
      <c r="BH176" s="1111"/>
      <c r="BI176" s="1111"/>
      <c r="BJ176" s="1111"/>
      <c r="BK176" s="1111"/>
      <c r="BL176" s="23"/>
      <c r="BM176" s="23"/>
      <c r="BN176" s="23"/>
    </row>
    <row r="177" spans="1:66" x14ac:dyDescent="0.3">
      <c r="B177" s="1658" t="s">
        <v>198</v>
      </c>
      <c r="C177" s="1277" t="s">
        <v>49</v>
      </c>
      <c r="D177" s="100">
        <v>9.6999999999999993</v>
      </c>
      <c r="E177" s="706">
        <f>+$D$177</f>
        <v>9.6999999999999993</v>
      </c>
      <c r="F177" s="123">
        <v>8.8000000000000007</v>
      </c>
      <c r="G177" s="706">
        <f>+$D$177</f>
        <v>9.6999999999999993</v>
      </c>
      <c r="H177" s="123">
        <v>9.1</v>
      </c>
      <c r="I177" s="49">
        <f>+$D$177</f>
        <v>9.6999999999999993</v>
      </c>
      <c r="J177" s="101">
        <f>+((F177*F$123)+(H$123*H177))/J$123</f>
        <v>8.9910369122428762</v>
      </c>
      <c r="K177" s="706">
        <f>+$D$177</f>
        <v>9.6999999999999993</v>
      </c>
      <c r="L177" s="123">
        <v>9.1999999999999993</v>
      </c>
      <c r="M177" s="73">
        <f>+$D$177</f>
        <v>9.6999999999999993</v>
      </c>
      <c r="N177" s="107">
        <f>+((F177*F$123)+(H177*H$123)+(L$123*L177))/N$123</f>
        <v>9.0613141941895545</v>
      </c>
      <c r="O177" s="706">
        <f>+$D$177</f>
        <v>9.6999999999999993</v>
      </c>
      <c r="P177" s="123">
        <v>11.1</v>
      </c>
      <c r="Q177" s="49">
        <f>+$D$177</f>
        <v>9.6999999999999993</v>
      </c>
      <c r="R177" s="101">
        <f>+((N177*N$123)+(P$123*P177))/R$123</f>
        <v>9.5891988524041505</v>
      </c>
      <c r="S177" s="706">
        <f>+$D$177</f>
        <v>9.6999999999999993</v>
      </c>
      <c r="T177" s="123">
        <v>10.9</v>
      </c>
      <c r="U177" s="49">
        <f>+$D$177</f>
        <v>9.6999999999999993</v>
      </c>
      <c r="V177" s="101">
        <f>+((R177*R$123)+(T$123*T177))/V$123</f>
        <v>9.8577528402711927</v>
      </c>
      <c r="W177" s="706">
        <f>+$D$177</f>
        <v>9.6999999999999993</v>
      </c>
      <c r="X177" s="123">
        <v>10.8</v>
      </c>
      <c r="Y177" s="73">
        <f>+$D$177</f>
        <v>9.6999999999999993</v>
      </c>
      <c r="Z177" s="107">
        <f>+((P177*P$123)+(T177*T$123)+(X$123*X177))/Z$123</f>
        <v>10.934943869689635</v>
      </c>
      <c r="AA177" s="622">
        <f>+$D$177</f>
        <v>9.6999999999999993</v>
      </c>
      <c r="AB177" s="438">
        <f>+((N177*N$123)+(Z$123*Z177))/AB$123</f>
        <v>10.01399034444359</v>
      </c>
      <c r="AC177" s="706">
        <f>+$D$177</f>
        <v>9.6999999999999993</v>
      </c>
      <c r="AD177" s="123">
        <v>10.4</v>
      </c>
      <c r="AE177" s="49">
        <f>+$D$177</f>
        <v>9.6999999999999993</v>
      </c>
      <c r="AF177" s="101">
        <f>+((AB177*AB$123)+(AD$123*AD177))/AF$123</f>
        <v>10.069685297329777</v>
      </c>
      <c r="AG177" s="706">
        <f>+$D$177</f>
        <v>9.6999999999999993</v>
      </c>
      <c r="AH177" s="123">
        <v>9.6999999999999993</v>
      </c>
      <c r="AI177" s="49">
        <f>+$D$177</f>
        <v>9.6999999999999993</v>
      </c>
      <c r="AJ177" s="101">
        <f>+((AF177*AF$123)+(AH$123*AH177))/AJ$123</f>
        <v>10.023789491282111</v>
      </c>
      <c r="AK177" s="706">
        <f>+$D$177</f>
        <v>9.6999999999999993</v>
      </c>
      <c r="AL177" s="123">
        <v>8.9</v>
      </c>
      <c r="AM177" s="73">
        <f>+$D$177</f>
        <v>9.6999999999999993</v>
      </c>
      <c r="AN177" s="107">
        <f>+((AD177*AD$123)+(AH177*AH$123)+(AL$123*AL177))/AN$123</f>
        <v>9.662395152687397</v>
      </c>
      <c r="AO177" s="49">
        <f>+$D$177</f>
        <v>9.6999999999999993</v>
      </c>
      <c r="AP177" s="101">
        <f>+((AL177*AL$123)+(AJ$123*AJ177))/AP$123</f>
        <v>9.8959267611401209</v>
      </c>
      <c r="AQ177" s="706">
        <f>+$D$177</f>
        <v>9.6999999999999993</v>
      </c>
      <c r="AR177" s="123">
        <v>9</v>
      </c>
      <c r="AS177" s="49">
        <f>+$D$177</f>
        <v>9.6999999999999993</v>
      </c>
      <c r="AT177" s="101">
        <f>+((AP177*AP$123)+(AR$123*AR177))/AT$123</f>
        <v>9.8051294776119455</v>
      </c>
      <c r="AU177" s="706">
        <f>+$D$177</f>
        <v>9.6999999999999993</v>
      </c>
      <c r="AV177" s="123">
        <v>8.9</v>
      </c>
      <c r="AW177" s="49">
        <f>+$D$177</f>
        <v>9.6999999999999993</v>
      </c>
      <c r="AX177" s="101">
        <f>+((AT177*AT$123)+(AV$123*AV177))/AX$123</f>
        <v>9.7291076924261084</v>
      </c>
      <c r="AY177" s="706">
        <f>+$D$177</f>
        <v>9.6999999999999993</v>
      </c>
      <c r="AZ177" s="123">
        <v>8.6999999999999993</v>
      </c>
      <c r="BA177" s="73">
        <f>+$D$177</f>
        <v>9.6999999999999993</v>
      </c>
      <c r="BB177" s="107">
        <f>+((AR177*AR$123)+(AV177*AV$123)+(AZ$123*AZ177))/BB$123</f>
        <v>8.8651052279811395</v>
      </c>
      <c r="BC177" s="622">
        <f>+$D$177</f>
        <v>9.6999999999999993</v>
      </c>
      <c r="BD177" s="438">
        <f>+((AN177*AN$123)+(BB$123*BB177))/BD$123</f>
        <v>9.2681227208426726</v>
      </c>
      <c r="BE177" s="49">
        <f>+$D$177</f>
        <v>9.6999999999999993</v>
      </c>
      <c r="BF177" s="101">
        <f>+((AX177*AX$123)+(AZ$123*AZ177))/BF$123</f>
        <v>9.6410296254877696</v>
      </c>
      <c r="BG177" s="1111"/>
      <c r="BH177" s="1111"/>
      <c r="BI177" s="1111"/>
      <c r="BJ177" s="1111"/>
      <c r="BK177" s="1111"/>
      <c r="BL177" s="23"/>
      <c r="BM177" s="23"/>
      <c r="BN177" s="23"/>
    </row>
    <row r="178" spans="1:66" x14ac:dyDescent="0.3">
      <c r="A178" s="136"/>
      <c r="B178" s="1658" t="s">
        <v>199</v>
      </c>
      <c r="C178" s="1277" t="s">
        <v>49</v>
      </c>
      <c r="D178" s="100" t="s">
        <v>1913</v>
      </c>
      <c r="E178" s="706" t="str">
        <f>+$D$178</f>
        <v>10.0-10.2</v>
      </c>
      <c r="F178" s="123">
        <v>10.5</v>
      </c>
      <c r="G178" s="706" t="str">
        <f>+$D$178</f>
        <v>10.0-10.2</v>
      </c>
      <c r="H178" s="123">
        <v>10.4</v>
      </c>
      <c r="I178" s="49" t="str">
        <f>+$D$178</f>
        <v>10.0-10.2</v>
      </c>
      <c r="J178" s="101">
        <f>+((F178*F$123)+(H$123*H178))/J$123</f>
        <v>10.499807038880128</v>
      </c>
      <c r="K178" s="706" t="str">
        <f>+$D$178</f>
        <v>10.0-10.2</v>
      </c>
      <c r="L178" s="123">
        <v>10.199999999999999</v>
      </c>
      <c r="M178" s="73" t="str">
        <f>+$D$178</f>
        <v>10.0-10.2</v>
      </c>
      <c r="N178" s="107">
        <f>+((F178*F$123)+(H178*H$123)+(L$123*L178))/N$123</f>
        <v>10.398977633901833</v>
      </c>
      <c r="O178" s="706" t="str">
        <f>+$D$178</f>
        <v>10.0-10.2</v>
      </c>
      <c r="P178" s="123">
        <v>10.5</v>
      </c>
      <c r="Q178" s="49" t="str">
        <f>+$D$178</f>
        <v>10.0-10.2</v>
      </c>
      <c r="R178" s="101">
        <f>+((N178*N$123)+(P$123*P178))/R$123</f>
        <v>10.425135738818133</v>
      </c>
      <c r="S178" s="706" t="str">
        <f>+$D$178</f>
        <v>10.0-10.2</v>
      </c>
      <c r="T178" s="123">
        <v>10.1</v>
      </c>
      <c r="U178" s="49" t="str">
        <f>+$D$178</f>
        <v>10.0-10.2</v>
      </c>
      <c r="V178" s="101">
        <f>+((R178*R$123)+(T$123*T178))/V$123</f>
        <v>10.358522660688127</v>
      </c>
      <c r="W178" s="706" t="str">
        <f>+$D$178</f>
        <v>10.0-10.2</v>
      </c>
      <c r="X178" s="123">
        <v>10.1</v>
      </c>
      <c r="Y178" s="73" t="str">
        <f>+$D$178</f>
        <v>10.0-10.2</v>
      </c>
      <c r="Z178" s="107">
        <f>+((P178*P$123)+(T178*T$123)+(X$123*X178))/Z$123</f>
        <v>10.235108958837774</v>
      </c>
      <c r="AA178" s="622" t="str">
        <f>+$D$178</f>
        <v>10.0-10.2</v>
      </c>
      <c r="AB178" s="438">
        <f>+((N178*N$123)+(Z$123*Z178))/AB$123</f>
        <v>10.315656057312486</v>
      </c>
      <c r="AC178" s="706" t="str">
        <f>+$D$178</f>
        <v>10.0-10.2</v>
      </c>
      <c r="AD178" s="123">
        <v>10.1</v>
      </c>
      <c r="AE178" s="49" t="str">
        <f>+$D$178</f>
        <v>10.0-10.2</v>
      </c>
      <c r="AF178" s="101">
        <f>+((AB178*AB$123)+(AD$123*AD178))/AF$123</f>
        <v>10.284540374637844</v>
      </c>
      <c r="AG178" s="706" t="str">
        <f>+$D$178</f>
        <v>10.0-10.2</v>
      </c>
      <c r="AH178" s="123">
        <v>10.1</v>
      </c>
      <c r="AI178" s="49" t="str">
        <f>+$D$178</f>
        <v>10.0-10.2</v>
      </c>
      <c r="AJ178" s="101">
        <f>+((AF178*AF$123)+(AH$123*AH178))/AJ$123</f>
        <v>10.261629998424569</v>
      </c>
      <c r="AK178" s="706" t="str">
        <f>+$D$178</f>
        <v>10.0-10.2</v>
      </c>
      <c r="AL178" s="123">
        <v>10.5</v>
      </c>
      <c r="AM178" s="73" t="str">
        <f>+$D$178</f>
        <v>10.0-10.2</v>
      </c>
      <c r="AN178" s="107">
        <f>+((AD178*AD$123)+(AH178*AH$123)+(AL$123*AL178))/AN$123</f>
        <v>10.235533285110602</v>
      </c>
      <c r="AO178" s="49" t="str">
        <f>+$D$178</f>
        <v>10.0-10.2</v>
      </c>
      <c r="AP178" s="101">
        <f>+((AL178*AL$123)+(AJ$123*AJ178))/AP$123</f>
        <v>10.288751304880828</v>
      </c>
      <c r="AQ178" s="706" t="str">
        <f>+$D$178</f>
        <v>10.0-10.2</v>
      </c>
      <c r="AR178" s="123">
        <v>10.6</v>
      </c>
      <c r="AS178" s="49" t="str">
        <f>+$D$178</f>
        <v>10.0-10.2</v>
      </c>
      <c r="AT178" s="101">
        <f>+((AP178*AP$123)+(AR$123*AR178))/AT$123</f>
        <v>10.320294660034705</v>
      </c>
      <c r="AU178" s="706" t="str">
        <f>+$D$178</f>
        <v>10.0-10.2</v>
      </c>
      <c r="AV178" s="123">
        <v>10.6</v>
      </c>
      <c r="AW178" s="49" t="str">
        <f>+$D$178</f>
        <v>10.0-10.2</v>
      </c>
      <c r="AX178" s="101">
        <f>+((AT178*AT$123)+(AV$123*AV178))/AX$123</f>
        <v>10.343787099289116</v>
      </c>
      <c r="AY178" s="706" t="str">
        <f>+$D$178</f>
        <v>10.0-10.2</v>
      </c>
      <c r="AZ178" s="123">
        <v>10.5</v>
      </c>
      <c r="BA178" s="73" t="str">
        <f>+$D$178</f>
        <v>10.0-10.2</v>
      </c>
      <c r="BB178" s="107">
        <f>+((AR178*AR$123)+(AV178*AV$123)+(AZ$123*AZ178))/BB$123</f>
        <v>10.565388097080406</v>
      </c>
      <c r="BC178" s="622" t="str">
        <f>+$D$178</f>
        <v>10.0-10.2</v>
      </c>
      <c r="BD178" s="438">
        <f>+((AN178*AN$123)+(BB$123*BB178))/BD$123</f>
        <v>10.398651687640188</v>
      </c>
      <c r="BE178" s="49" t="str">
        <f>+$D$178</f>
        <v>10.0-10.2</v>
      </c>
      <c r="BF178" s="101">
        <f>+((AX178*AX$123)+(AZ$123*AZ178))/BF$123</f>
        <v>10.357156866541567</v>
      </c>
      <c r="BG178" s="1111"/>
      <c r="BH178" s="1111"/>
      <c r="BI178" s="1111"/>
      <c r="BJ178" s="1111"/>
      <c r="BK178" s="1111"/>
      <c r="BL178" s="23"/>
      <c r="BM178" s="23"/>
      <c r="BN178" s="23"/>
    </row>
    <row r="179" spans="1:66" x14ac:dyDescent="0.3">
      <c r="B179" s="1658" t="s">
        <v>200</v>
      </c>
      <c r="C179" s="1277" t="s">
        <v>49</v>
      </c>
      <c r="D179" s="100" t="s">
        <v>2220</v>
      </c>
      <c r="E179" s="706" t="str">
        <f>+$D$179</f>
        <v>24.8-25.2</v>
      </c>
      <c r="F179" s="123">
        <v>24.9</v>
      </c>
      <c r="G179" s="706" t="str">
        <f>+$D$179</f>
        <v>24.8-25.2</v>
      </c>
      <c r="H179" s="123">
        <v>24.8</v>
      </c>
      <c r="I179" s="49" t="str">
        <f>+$D$179</f>
        <v>24.8-25.2</v>
      </c>
      <c r="J179" s="101">
        <f>+((F179*F$123)+(H$123*H179))/J$123</f>
        <v>24.967861520664719</v>
      </c>
      <c r="K179" s="706" t="str">
        <f>+$D$179</f>
        <v>24.8-25.2</v>
      </c>
      <c r="L179" s="123">
        <v>24.5</v>
      </c>
      <c r="M179" s="73" t="str">
        <f>+$D$179</f>
        <v>24.8-25.2</v>
      </c>
      <c r="N179" s="107">
        <f>+((F179*F$123)+(H179*H$123)+(L$123*L179))/N$123</f>
        <v>24.810512984362585</v>
      </c>
      <c r="O179" s="706" t="str">
        <f>+$D$179</f>
        <v>24.8-25.2</v>
      </c>
      <c r="P179" s="123">
        <v>24.9</v>
      </c>
      <c r="Q179" s="49" t="str">
        <f>+$D$179</f>
        <v>24.8-25.2</v>
      </c>
      <c r="R179" s="101">
        <f>+((N179*N$123)+(P$123*P179))/R$123</f>
        <v>24.83368419717516</v>
      </c>
      <c r="S179" s="706" t="str">
        <f>+$D$179</f>
        <v>24.8-25.2</v>
      </c>
      <c r="T179" s="123">
        <v>25.2</v>
      </c>
      <c r="U179" s="49" t="str">
        <f>+$D$179</f>
        <v>24.8-25.2</v>
      </c>
      <c r="V179" s="101">
        <f>+((R179*R$123)+(T$123*T179))/V$123</f>
        <v>24.908734154102468</v>
      </c>
      <c r="W179" s="706" t="str">
        <f>+$D$179</f>
        <v>24.8-25.2</v>
      </c>
      <c r="X179" s="123">
        <v>24.6</v>
      </c>
      <c r="Y179" s="73" t="str">
        <f>+$D$179</f>
        <v>24.8-25.2</v>
      </c>
      <c r="Z179" s="107">
        <f>+((P179*P$123)+(T179*T$123)+(X$123*X179))/Z$123</f>
        <v>24.903004622496148</v>
      </c>
      <c r="AA179" s="622" t="str">
        <f>+$D$179</f>
        <v>24.8-25.2</v>
      </c>
      <c r="AB179" s="438">
        <f>+((N179*N$123)+(Z$123*Z179))/AB$123</f>
        <v>24.857541796352482</v>
      </c>
      <c r="AC179" s="706" t="str">
        <f>+$D$179</f>
        <v>24.8-25.2</v>
      </c>
      <c r="AD179" s="123">
        <v>25</v>
      </c>
      <c r="AE179" s="49" t="str">
        <f>+$D$179</f>
        <v>24.8-25.2</v>
      </c>
      <c r="AF179" s="101">
        <f>+((AB179*AB$123)+(AD$123*AD179))/AF$123</f>
        <v>24.878096212093613</v>
      </c>
      <c r="AG179" s="706" t="str">
        <f>+$D$179</f>
        <v>24.8-25.2</v>
      </c>
      <c r="AH179" s="123">
        <v>25.2</v>
      </c>
      <c r="AI179" s="49" t="str">
        <f>+$D$179</f>
        <v>24.8-25.2</v>
      </c>
      <c r="AJ179" s="101">
        <f>+((AF179*AF$123)+(AH$123*AH179))/AJ$123</f>
        <v>24.918060024348183</v>
      </c>
      <c r="AK179" s="706" t="str">
        <f>+$D$179</f>
        <v>24.8-25.2</v>
      </c>
      <c r="AL179" s="123">
        <v>24.4</v>
      </c>
      <c r="AM179" s="73" t="str">
        <f>+$D$179</f>
        <v>24.8-25.2</v>
      </c>
      <c r="AN179" s="107">
        <f>+((AD179*AD$123)+(AH179*AH$123)+(AL$123*AL179))/AN$123</f>
        <v>24.862230080376342</v>
      </c>
      <c r="AO179" s="49" t="str">
        <f>+$D$179</f>
        <v>24.8-25.2</v>
      </c>
      <c r="AP179" s="101">
        <f>+((AL179*AL$123)+(AJ$123*AJ179))/AP$123</f>
        <v>24.859116094364456</v>
      </c>
      <c r="AQ179" s="706" t="str">
        <f>+$D$179</f>
        <v>24.8-25.2</v>
      </c>
      <c r="AR179" s="123">
        <v>24</v>
      </c>
      <c r="AS179" s="49" t="str">
        <f>+$D$179</f>
        <v>24.8-25.2</v>
      </c>
      <c r="AT179" s="101">
        <f>+((AP179*AP$123)+(AR$123*AR179))/AT$123</f>
        <v>24.772049370847494</v>
      </c>
      <c r="AU179" s="706" t="str">
        <f>+$D$179</f>
        <v>24.8-25.2</v>
      </c>
      <c r="AV179" s="123">
        <v>24.2</v>
      </c>
      <c r="AW179" s="49" t="str">
        <f>+$D$179</f>
        <v>24.8-25.2</v>
      </c>
      <c r="AX179" s="101">
        <f>+((AT179*AT$123)+(AV$123*AV179))/AX$123</f>
        <v>24.724002969242061</v>
      </c>
      <c r="AY179" s="706" t="str">
        <f>+$D$179</f>
        <v>24.8-25.2</v>
      </c>
      <c r="AZ179" s="123">
        <v>24.8</v>
      </c>
      <c r="BA179" s="73" t="str">
        <f>+$D$179</f>
        <v>24.8-25.2</v>
      </c>
      <c r="BB179" s="107">
        <f>+((AR179*AR$123)+(AV179*AV$123)+(AZ$123*AZ179))/BB$123</f>
        <v>24.339013349876904</v>
      </c>
      <c r="BC179" s="622" t="str">
        <f>+$D$179</f>
        <v>24.8-25.2</v>
      </c>
      <c r="BD179" s="438">
        <f>+((AN179*AN$123)+(BB$123*BB179))/BD$123</f>
        <v>24.603491162043891</v>
      </c>
      <c r="BE179" s="49" t="str">
        <f>+$D$179</f>
        <v>24.8-25.2</v>
      </c>
      <c r="BF179" s="101">
        <f>+((AX179*AX$123)+(AZ$123*AZ179))/BF$123</f>
        <v>24.730507314328076</v>
      </c>
      <c r="BG179" s="1111"/>
      <c r="BH179" s="1111"/>
      <c r="BI179" s="1111"/>
      <c r="BJ179" s="1111"/>
      <c r="BK179" s="1111"/>
      <c r="BL179" s="23"/>
      <c r="BM179" s="23"/>
      <c r="BN179" s="23"/>
    </row>
    <row r="180" spans="1:66" ht="18" x14ac:dyDescent="0.3">
      <c r="B180" s="1712" t="s">
        <v>196</v>
      </c>
      <c r="C180" s="1282"/>
      <c r="D180" s="1261"/>
      <c r="E180" s="1265"/>
      <c r="F180" s="1259"/>
      <c r="G180" s="1265"/>
      <c r="H180" s="1259"/>
      <c r="I180" s="1265"/>
      <c r="J180" s="1257"/>
      <c r="K180" s="1265"/>
      <c r="L180" s="1259"/>
      <c r="M180" s="1265"/>
      <c r="N180" s="1259"/>
      <c r="O180" s="1265"/>
      <c r="P180" s="1259"/>
      <c r="Q180" s="1265"/>
      <c r="R180" s="1257"/>
      <c r="S180" s="1265"/>
      <c r="T180" s="1259"/>
      <c r="U180" s="1265"/>
      <c r="V180" s="1257"/>
      <c r="W180" s="1265"/>
      <c r="X180" s="1259"/>
      <c r="Y180" s="1265"/>
      <c r="Z180" s="1257"/>
      <c r="AA180" s="2161"/>
      <c r="AB180" s="1259"/>
      <c r="AC180" s="1265"/>
      <c r="AD180" s="1259"/>
      <c r="AE180" s="1265"/>
      <c r="AF180" s="1259"/>
      <c r="AG180" s="1265"/>
      <c r="AH180" s="1259"/>
      <c r="AI180" s="1265"/>
      <c r="AJ180" s="1259"/>
      <c r="AK180" s="1265"/>
      <c r="AL180" s="1259"/>
      <c r="AM180" s="1265"/>
      <c r="AN180" s="1257"/>
      <c r="AO180" s="1265"/>
      <c r="AP180" s="1259"/>
      <c r="AQ180" s="1265"/>
      <c r="AR180" s="1259"/>
      <c r="AS180" s="1265"/>
      <c r="AT180" s="1259"/>
      <c r="AU180" s="1265"/>
      <c r="AV180" s="1259"/>
      <c r="AW180" s="1265"/>
      <c r="AX180" s="1259"/>
      <c r="AY180" s="1265"/>
      <c r="AZ180" s="1259"/>
      <c r="BA180" s="1265"/>
      <c r="BB180" s="1257"/>
      <c r="BC180" s="2161"/>
      <c r="BD180" s="1259"/>
      <c r="BE180" s="1265"/>
      <c r="BF180" s="1259"/>
      <c r="BG180" s="1111"/>
      <c r="BH180" s="1111"/>
      <c r="BI180" s="1111"/>
      <c r="BJ180" s="1111"/>
      <c r="BK180" s="1111"/>
      <c r="BL180" s="23"/>
      <c r="BM180" s="23"/>
      <c r="BN180" s="23"/>
    </row>
    <row r="181" spans="1:66" ht="15.75" customHeight="1" x14ac:dyDescent="0.3">
      <c r="B181" s="1658" t="s">
        <v>201</v>
      </c>
      <c r="C181" s="1277" t="s">
        <v>49</v>
      </c>
      <c r="D181" s="100" t="s">
        <v>2221</v>
      </c>
      <c r="E181" s="706" t="str">
        <f>+$D$181</f>
        <v>&lt;=0.50</v>
      </c>
      <c r="F181" s="1911">
        <v>0.57999999999999996</v>
      </c>
      <c r="G181" s="706" t="str">
        <f>+$D$181</f>
        <v>&lt;=0.50</v>
      </c>
      <c r="H181" s="1911">
        <v>0.59</v>
      </c>
      <c r="I181" s="49" t="str">
        <f>+$D$181</f>
        <v>&lt;=0.50</v>
      </c>
      <c r="J181" s="101">
        <f t="shared" ref="J181:J186" si="850">+((F181*F$22)+(H$22*H181))/J$22</f>
        <v>0.58495816971145631</v>
      </c>
      <c r="K181" s="706" t="str">
        <f>+$D$181</f>
        <v>&lt;=0.50</v>
      </c>
      <c r="L181" s="1911">
        <v>0.4</v>
      </c>
      <c r="M181" s="73" t="str">
        <f>+$D$181</f>
        <v>&lt;=0.50</v>
      </c>
      <c r="N181" s="107">
        <f t="shared" ref="N181:N186" si="851">+((F181*F$22)+(H181*H$22)+(L$22*L181))/N$22</f>
        <v>0.52265275319443205</v>
      </c>
      <c r="O181" s="706" t="str">
        <f>+$D$181</f>
        <v>&lt;=0.50</v>
      </c>
      <c r="P181" s="123">
        <v>0.5</v>
      </c>
      <c r="Q181" s="49" t="str">
        <f>+$D$181</f>
        <v>&lt;=0.50</v>
      </c>
      <c r="R181" s="101">
        <f t="shared" ref="R181:R186" si="852">+((N181*N$22)+(P$22*P181))/R$22</f>
        <v>0.51678011129862667</v>
      </c>
      <c r="S181" s="706" t="str">
        <f>+$D$181</f>
        <v>&lt;=0.50</v>
      </c>
      <c r="T181" s="123">
        <v>0.6</v>
      </c>
      <c r="U181" s="49" t="str">
        <f>+$D$181</f>
        <v>&lt;=0.50</v>
      </c>
      <c r="V181" s="101">
        <f t="shared" ref="V181:V186" si="853">+((R181*R$22)+(T$22*T181))/V$22</f>
        <v>0.53384637079039154</v>
      </c>
      <c r="W181" s="706" t="str">
        <f>+$D$181</f>
        <v>&lt;=0.50</v>
      </c>
      <c r="X181" s="123">
        <v>0.6</v>
      </c>
      <c r="Y181" s="73" t="str">
        <f>+$D$181</f>
        <v>&lt;=0.50</v>
      </c>
      <c r="Z181" s="107">
        <f t="shared" ref="Z181:Z186" si="854">+((P181*P$22)+(T181*T$22)+(X$22*X181))/Z$22</f>
        <v>0.56614278433356735</v>
      </c>
      <c r="AA181" s="622" t="str">
        <f>+$D$181</f>
        <v>&lt;=0.50</v>
      </c>
      <c r="AB181" s="438">
        <f t="shared" ref="AB181:AB186" si="855">+((N181*N$22)+(Z$22*Z181))/AB$22</f>
        <v>0.5447579236300476</v>
      </c>
      <c r="AC181" s="706" t="str">
        <f>+$D$181</f>
        <v>&lt;=0.50</v>
      </c>
      <c r="AD181" s="123">
        <v>0.65</v>
      </c>
      <c r="AE181" s="49" t="str">
        <f>+$D$181</f>
        <v>&lt;=0.50</v>
      </c>
      <c r="AF181" s="101">
        <f t="shared" ref="AF181:AF186" si="856">+((AB181*AB$22)+(AD$22*AD181))/AF$22</f>
        <v>0.55991289144504042</v>
      </c>
      <c r="AG181" s="706" t="str">
        <f>+$D$181</f>
        <v>&lt;=0.50</v>
      </c>
      <c r="AH181" s="123">
        <v>0.57999999999999996</v>
      </c>
      <c r="AI181" s="49" t="str">
        <f>+$D$181</f>
        <v>&lt;=0.50</v>
      </c>
      <c r="AJ181" s="101">
        <f t="shared" ref="AJ181:AJ186" si="857">+((AF181*AF$22)+(AH$22*AH181))/AJ$22</f>
        <v>0.56239612963215746</v>
      </c>
      <c r="AK181" s="706" t="str">
        <f>+$D$181</f>
        <v>&lt;=0.50</v>
      </c>
      <c r="AL181" s="123">
        <v>0.56999999999999995</v>
      </c>
      <c r="AM181" s="73" t="str">
        <f>+$D$181</f>
        <v>&lt;=0.50</v>
      </c>
      <c r="AN181" s="107">
        <f t="shared" ref="AN181:AN186" si="858">+((AD181*AD$22)+(AH181*AH$22)+(AL$22*AL181))/AN$22</f>
        <v>0.60000591917839263</v>
      </c>
      <c r="AO181" s="49" t="str">
        <f>+$D$181</f>
        <v>&lt;=0.50</v>
      </c>
      <c r="AP181" s="101">
        <f t="shared" ref="AP181:AP186" si="859">+((AL181*AL$22)+(AJ$22*AJ181))/AP$22</f>
        <v>0.56325803408197128</v>
      </c>
      <c r="AQ181" s="706" t="str">
        <f>+$D$181</f>
        <v>&lt;=0.50</v>
      </c>
      <c r="AR181" s="123">
        <v>0.61</v>
      </c>
      <c r="AS181" s="49" t="str">
        <f>+$D$181</f>
        <v>&lt;=0.50</v>
      </c>
      <c r="AT181" s="101">
        <f t="shared" ref="AT181:AT186" si="860">+((AP181*AP$22)+(AR$22*AR181))/AT$22</f>
        <v>0.56797911906591492</v>
      </c>
      <c r="AU181" s="706" t="str">
        <f>+$D$181</f>
        <v>&lt;=0.50</v>
      </c>
      <c r="AV181" s="123">
        <v>0.61</v>
      </c>
      <c r="AW181" s="49" t="str">
        <f>+$D$181</f>
        <v>&lt;=0.50</v>
      </c>
      <c r="AX181" s="101">
        <f t="shared" ref="AX181:AX186" si="861">+((AT181*AT$22)+(AV$22*AV181))/AX$22</f>
        <v>0.57149755706185545</v>
      </c>
      <c r="AY181" s="706" t="str">
        <f>+$D$181</f>
        <v>&lt;=0.50</v>
      </c>
      <c r="AZ181" s="123">
        <v>0.56000000000000005</v>
      </c>
      <c r="BA181" s="73" t="str">
        <f>+$D$181</f>
        <v>&lt;=0.50</v>
      </c>
      <c r="BB181" s="107">
        <f t="shared" ref="BB181:BB186" si="862">+((AR181*AR$22)+(AV181*AV$22)+(AZ$22*AZ181))/BB$22</f>
        <v>0.59269404842724593</v>
      </c>
      <c r="BC181" s="622" t="str">
        <f>+$D$181</f>
        <v>&lt;=0.50</v>
      </c>
      <c r="BD181" s="438">
        <f t="shared" ref="BD181:BD186" si="863">+((AN181*AN$22)+(BB$22*BB181))/BD$22</f>
        <v>0.59639183134619222</v>
      </c>
      <c r="BE181" s="49" t="str">
        <f>+$D$181</f>
        <v>&lt;=0.50</v>
      </c>
      <c r="BF181" s="101">
        <f t="shared" ref="BF181:BF186" si="864">+((AX181*AX$22)+(AZ$22*AZ181))/BF$22</f>
        <v>0.57051629576564167</v>
      </c>
      <c r="BG181" s="1111"/>
      <c r="BH181" s="1111"/>
      <c r="BI181" s="1111"/>
      <c r="BJ181" s="1111"/>
      <c r="BK181" s="1111"/>
      <c r="BL181" s="23"/>
      <c r="BM181" s="23"/>
      <c r="BN181" s="23"/>
    </row>
    <row r="182" spans="1:66" x14ac:dyDescent="0.3">
      <c r="B182" s="1658" t="s">
        <v>202</v>
      </c>
      <c r="C182" s="1277" t="s">
        <v>49</v>
      </c>
      <c r="D182" s="100" t="s">
        <v>1914</v>
      </c>
      <c r="E182" s="706" t="str">
        <f>+$D$182</f>
        <v>12.5-13.5</v>
      </c>
      <c r="F182" s="123">
        <v>13.5</v>
      </c>
      <c r="G182" s="706" t="str">
        <f>+$D$182</f>
        <v>12.5-13.5</v>
      </c>
      <c r="H182" s="123">
        <v>13.3</v>
      </c>
      <c r="I182" s="49" t="str">
        <f>+$D$182</f>
        <v>12.5-13.5</v>
      </c>
      <c r="J182" s="101">
        <f t="shared" si="850"/>
        <v>13.400836605770872</v>
      </c>
      <c r="K182" s="706" t="str">
        <f>+$D$182</f>
        <v>12.5-13.5</v>
      </c>
      <c r="L182" s="123">
        <v>13.1</v>
      </c>
      <c r="M182" s="73" t="str">
        <f>+$D$182</f>
        <v>12.5-13.5</v>
      </c>
      <c r="N182" s="107">
        <f t="shared" si="851"/>
        <v>13.299496123999436</v>
      </c>
      <c r="O182" s="706" t="str">
        <f>+$D$182</f>
        <v>12.5-13.5</v>
      </c>
      <c r="P182" s="123">
        <v>13.3</v>
      </c>
      <c r="Q182" s="49" t="str">
        <f>+$D$182</f>
        <v>12.5-13.5</v>
      </c>
      <c r="R182" s="101">
        <f t="shared" si="852"/>
        <v>13.299626751975902</v>
      </c>
      <c r="S182" s="706" t="str">
        <f>+$D$182</f>
        <v>12.5-13.5</v>
      </c>
      <c r="T182" s="123">
        <v>13</v>
      </c>
      <c r="U182" s="49" t="str">
        <f>+$D$182</f>
        <v>12.5-13.5</v>
      </c>
      <c r="V182" s="101">
        <f t="shared" si="853"/>
        <v>13.238181008900652</v>
      </c>
      <c r="W182" s="706" t="str">
        <f>+$D$182</f>
        <v>12.5-13.5</v>
      </c>
      <c r="X182" s="123">
        <v>13.1</v>
      </c>
      <c r="Y182" s="73" t="str">
        <f>+$D$182</f>
        <v>12.5-13.5</v>
      </c>
      <c r="Z182" s="107">
        <f t="shared" si="854"/>
        <v>13.134022695703901</v>
      </c>
      <c r="AA182" s="622" t="str">
        <f>+$D$182</f>
        <v>12.5-13.5</v>
      </c>
      <c r="AB182" s="438">
        <f t="shared" si="855"/>
        <v>13.215389071435226</v>
      </c>
      <c r="AC182" s="706" t="str">
        <f>+$D$182</f>
        <v>12.5-13.5</v>
      </c>
      <c r="AD182" s="123">
        <v>13</v>
      </c>
      <c r="AE182" s="49" t="str">
        <f>+$D$182</f>
        <v>12.5-13.5</v>
      </c>
      <c r="AF182" s="101">
        <f t="shared" si="856"/>
        <v>13.184372822441549</v>
      </c>
      <c r="AG182" s="706" t="str">
        <f>+$D$182</f>
        <v>12.5-13.5</v>
      </c>
      <c r="AH182" s="123">
        <v>13</v>
      </c>
      <c r="AI182" s="49" t="str">
        <f>+$D$182</f>
        <v>12.5-13.5</v>
      </c>
      <c r="AJ182" s="101">
        <f t="shared" si="857"/>
        <v>13.161580013207669</v>
      </c>
      <c r="AK182" s="706" t="str">
        <f>+$D$182</f>
        <v>12.5-13.5</v>
      </c>
      <c r="AL182" s="123">
        <v>13.4</v>
      </c>
      <c r="AM182" s="73" t="str">
        <f>+$D$182</f>
        <v>12.5-13.5</v>
      </c>
      <c r="AN182" s="107">
        <f t="shared" si="858"/>
        <v>13.135402478671866</v>
      </c>
      <c r="AO182" s="49" t="str">
        <f>+$D$182</f>
        <v>12.5-13.5</v>
      </c>
      <c r="AP182" s="101">
        <f t="shared" si="859"/>
        <v>13.188605098802221</v>
      </c>
      <c r="AQ182" s="706" t="str">
        <f>+$D$182</f>
        <v>12.5-13.5</v>
      </c>
      <c r="AR182" s="123">
        <v>13.6</v>
      </c>
      <c r="AS182" s="49" t="str">
        <f>+$D$182</f>
        <v>12.5-13.5</v>
      </c>
      <c r="AT182" s="101">
        <f t="shared" si="860"/>
        <v>13.23015727257946</v>
      </c>
      <c r="AU182" s="706" t="str">
        <f>+$D$182</f>
        <v>12.5-13.5</v>
      </c>
      <c r="AV182" s="123">
        <v>13.6</v>
      </c>
      <c r="AW182" s="49" t="str">
        <f>+$D$182</f>
        <v>12.5-13.5</v>
      </c>
      <c r="AX182" s="101">
        <f t="shared" si="861"/>
        <v>13.261124464978874</v>
      </c>
      <c r="AY182" s="706" t="str">
        <f>+$D$182</f>
        <v>12.5-13.5</v>
      </c>
      <c r="AZ182" s="123">
        <v>13.5</v>
      </c>
      <c r="BA182" s="73" t="str">
        <f>+$D$182</f>
        <v>12.5-13.5</v>
      </c>
      <c r="BB182" s="107">
        <f t="shared" si="862"/>
        <v>13.565388096854491</v>
      </c>
      <c r="BC182" s="622" t="str">
        <f>+$D$182</f>
        <v>12.5-13.5</v>
      </c>
      <c r="BD182" s="438">
        <f t="shared" si="863"/>
        <v>13.34793437968383</v>
      </c>
      <c r="BE182" s="49" t="str">
        <f>+$D$182</f>
        <v>12.5-13.5</v>
      </c>
      <c r="BF182" s="101">
        <f t="shared" si="864"/>
        <v>13.281511345067189</v>
      </c>
      <c r="BG182" s="1111"/>
      <c r="BH182" s="1111"/>
      <c r="BI182" s="1111"/>
      <c r="BJ182" s="1111"/>
      <c r="BK182" s="1111"/>
      <c r="BL182" s="23"/>
      <c r="BM182" s="23"/>
      <c r="BN182" s="23"/>
    </row>
    <row r="183" spans="1:66" x14ac:dyDescent="0.3">
      <c r="B183" s="1658" t="s">
        <v>203</v>
      </c>
      <c r="C183" s="1277" t="s">
        <v>49</v>
      </c>
      <c r="D183" s="100" t="s">
        <v>1915</v>
      </c>
      <c r="E183" s="706" t="str">
        <f>+$D$183</f>
        <v>89.0-90.5</v>
      </c>
      <c r="F183" s="123">
        <v>89.8</v>
      </c>
      <c r="G183" s="706" t="str">
        <f>+$D$183</f>
        <v>89.0-90.5</v>
      </c>
      <c r="H183" s="123">
        <v>89.8</v>
      </c>
      <c r="I183" s="49" t="str">
        <f>+$D$183</f>
        <v>89.0-90.5</v>
      </c>
      <c r="J183" s="101">
        <f t="shared" si="850"/>
        <v>89.799999999999983</v>
      </c>
      <c r="K183" s="706" t="str">
        <f>+$D$183</f>
        <v>89.0-90.5</v>
      </c>
      <c r="L183" s="123">
        <v>89.6</v>
      </c>
      <c r="M183" s="73" t="str">
        <f>+$D$183</f>
        <v>89.0-90.5</v>
      </c>
      <c r="N183" s="107">
        <f t="shared" si="851"/>
        <v>89.732627559394388</v>
      </c>
      <c r="O183" s="706" t="str">
        <f>+$D$183</f>
        <v>89.0-90.5</v>
      </c>
      <c r="P183" s="123">
        <v>89.5</v>
      </c>
      <c r="Q183" s="49" t="str">
        <f>+$D$183</f>
        <v>89.0-90.5</v>
      </c>
      <c r="R183" s="101">
        <f t="shared" si="852"/>
        <v>89.672319731039366</v>
      </c>
      <c r="S183" s="706" t="str">
        <f>+$D$183</f>
        <v>89.0-90.5</v>
      </c>
      <c r="T183" s="123">
        <v>89.3</v>
      </c>
      <c r="U183" s="49" t="str">
        <f>+$D$183</f>
        <v>89.0-90.5</v>
      </c>
      <c r="V183" s="101">
        <f t="shared" si="853"/>
        <v>89.595966526979893</v>
      </c>
      <c r="W183" s="706" t="str">
        <f>+$D$183</f>
        <v>89.0-90.5</v>
      </c>
      <c r="X183" s="123">
        <v>89.5</v>
      </c>
      <c r="Y183" s="73" t="str">
        <f>+$D$183</f>
        <v>89.0-90.5</v>
      </c>
      <c r="Z183" s="107">
        <f t="shared" si="854"/>
        <v>89.432616528742074</v>
      </c>
      <c r="AA183" s="622" t="str">
        <f>+$D$183</f>
        <v>89.0-90.5</v>
      </c>
      <c r="AB183" s="438">
        <f t="shared" si="855"/>
        <v>89.580137556710383</v>
      </c>
      <c r="AC183" s="706" t="str">
        <f>+$D$183</f>
        <v>89.0-90.5</v>
      </c>
      <c r="AD183" s="123">
        <v>89.4</v>
      </c>
      <c r="AE183" s="49" t="str">
        <f>+$D$183</f>
        <v>89.0-90.5</v>
      </c>
      <c r="AF183" s="101">
        <f t="shared" si="856"/>
        <v>89.554197562286276</v>
      </c>
      <c r="AG183" s="706" t="str">
        <f>+$D$183</f>
        <v>89.0-90.5</v>
      </c>
      <c r="AH183" s="123">
        <v>89.4</v>
      </c>
      <c r="AI183" s="49" t="str">
        <f>+$D$183</f>
        <v>89.0-90.5</v>
      </c>
      <c r="AJ183" s="101">
        <f t="shared" si="857"/>
        <v>89.535135123609152</v>
      </c>
      <c r="AK183" s="706" t="str">
        <f>+$D$183</f>
        <v>89.0-90.5</v>
      </c>
      <c r="AL183" s="123">
        <v>89.6</v>
      </c>
      <c r="AM183" s="73" t="str">
        <f>+$D$183</f>
        <v>89.0-90.5</v>
      </c>
      <c r="AN183" s="107">
        <f t="shared" si="858"/>
        <v>89.467701239335952</v>
      </c>
      <c r="AO183" s="49" t="str">
        <f>+$D$183</f>
        <v>89.0-90.5</v>
      </c>
      <c r="AP183" s="101">
        <f t="shared" si="859"/>
        <v>89.542487606344054</v>
      </c>
      <c r="AQ183" s="706" t="str">
        <f>+$D$183</f>
        <v>89.0-90.5</v>
      </c>
      <c r="AR183" s="123">
        <v>86.7</v>
      </c>
      <c r="AS183" s="49" t="str">
        <f>+$D$183</f>
        <v>89.0-90.5</v>
      </c>
      <c r="AT183" s="101">
        <f t="shared" si="860"/>
        <v>89.255387453584291</v>
      </c>
      <c r="AU183" s="706" t="str">
        <f>+$D$183</f>
        <v>89.0-90.5</v>
      </c>
      <c r="AV183" s="123">
        <v>89.7</v>
      </c>
      <c r="AW183" s="49" t="str">
        <f>+$D$183</f>
        <v>89.0-90.5</v>
      </c>
      <c r="AX183" s="101">
        <f t="shared" si="861"/>
        <v>89.292615175659762</v>
      </c>
      <c r="AY183" s="706" t="str">
        <f>+$D$183</f>
        <v>89.0-90.5</v>
      </c>
      <c r="AZ183" s="123">
        <v>89.7</v>
      </c>
      <c r="BA183" s="73" t="str">
        <f>+$D$183</f>
        <v>89.0-90.5</v>
      </c>
      <c r="BB183" s="107">
        <f t="shared" si="862"/>
        <v>88.670128988458927</v>
      </c>
      <c r="BC183" s="622" t="str">
        <f>+$D$183</f>
        <v>89.0-90.5</v>
      </c>
      <c r="BD183" s="438">
        <f t="shared" si="863"/>
        <v>89.073479806094213</v>
      </c>
      <c r="BE183" s="49" t="str">
        <f>+$D$183</f>
        <v>89.0-90.5</v>
      </c>
      <c r="BF183" s="101">
        <f t="shared" si="864"/>
        <v>89.327383514589442</v>
      </c>
      <c r="BG183" s="1111"/>
      <c r="BH183" s="1111"/>
      <c r="BI183" s="1111"/>
      <c r="BJ183" s="1111"/>
      <c r="BK183" s="1111"/>
      <c r="BL183" s="23"/>
      <c r="BM183" s="23"/>
      <c r="BN183" s="23"/>
    </row>
    <row r="184" spans="1:66" x14ac:dyDescent="0.3">
      <c r="B184" s="1658" t="s">
        <v>204</v>
      </c>
      <c r="C184" s="1277" t="s">
        <v>49</v>
      </c>
      <c r="D184" s="100" t="s">
        <v>1916</v>
      </c>
      <c r="E184" s="706" t="str">
        <f>+$D$184</f>
        <v>5.5-5.9</v>
      </c>
      <c r="F184" s="123">
        <v>5.7</v>
      </c>
      <c r="G184" s="706" t="str">
        <f>+$D$184</f>
        <v>5.5-5.9</v>
      </c>
      <c r="H184" s="123">
        <v>5.7</v>
      </c>
      <c r="I184" s="49" t="str">
        <f>+$D$184</f>
        <v>5.5-5.9</v>
      </c>
      <c r="J184" s="101">
        <f t="shared" si="850"/>
        <v>5.7</v>
      </c>
      <c r="K184" s="706" t="str">
        <f>+$D$184</f>
        <v>5.5-5.9</v>
      </c>
      <c r="L184" s="123">
        <v>5.7</v>
      </c>
      <c r="M184" s="73" t="str">
        <f>+$D$184</f>
        <v>5.5-5.9</v>
      </c>
      <c r="N184" s="107">
        <f t="shared" si="851"/>
        <v>5.7</v>
      </c>
      <c r="O184" s="706" t="str">
        <f>+$D$184</f>
        <v>5.5-5.9</v>
      </c>
      <c r="P184" s="123">
        <v>5.7</v>
      </c>
      <c r="Q184" s="49" t="str">
        <f>+$D$184</f>
        <v>5.5-5.9</v>
      </c>
      <c r="R184" s="101">
        <f t="shared" si="852"/>
        <v>5.7</v>
      </c>
      <c r="S184" s="706" t="str">
        <f>+$D$184</f>
        <v>5.5-5.9</v>
      </c>
      <c r="T184" s="123">
        <v>5.8</v>
      </c>
      <c r="U184" s="49" t="str">
        <f>+$D$184</f>
        <v>5.5-5.9</v>
      </c>
      <c r="V184" s="101">
        <f t="shared" si="853"/>
        <v>5.7205074288827822</v>
      </c>
      <c r="W184" s="706" t="str">
        <f>+$D$184</f>
        <v>5.5-5.9</v>
      </c>
      <c r="X184" s="123">
        <v>5.7</v>
      </c>
      <c r="Y184" s="73" t="str">
        <f>+$D$184</f>
        <v>5.5-5.9</v>
      </c>
      <c r="Z184" s="107">
        <f t="shared" si="854"/>
        <v>5.7336917356289616</v>
      </c>
      <c r="AA184" s="622" t="str">
        <f>+$D$184</f>
        <v>5.5-5.9</v>
      </c>
      <c r="AB184" s="438">
        <f t="shared" si="855"/>
        <v>5.7171248798596439</v>
      </c>
      <c r="AC184" s="706" t="str">
        <f>+$D$184</f>
        <v>5.5-5.9</v>
      </c>
      <c r="AD184" s="123">
        <v>5.7</v>
      </c>
      <c r="AE184" s="49" t="str">
        <f>+$D$184</f>
        <v>5.5-5.9</v>
      </c>
      <c r="AF184" s="101">
        <f t="shared" si="856"/>
        <v>5.7146588794531503</v>
      </c>
      <c r="AG184" s="706" t="str">
        <f>+$D$184</f>
        <v>5.5-5.9</v>
      </c>
      <c r="AH184" s="123">
        <v>5.7</v>
      </c>
      <c r="AI184" s="49" t="str">
        <f>+$D$184</f>
        <v>5.5-5.9</v>
      </c>
      <c r="AJ184" s="101">
        <f t="shared" si="857"/>
        <v>5.7128466978174099</v>
      </c>
      <c r="AK184" s="706" t="str">
        <f>+$D$184</f>
        <v>5.5-5.9</v>
      </c>
      <c r="AL184" s="123">
        <v>5.7</v>
      </c>
      <c r="AM184" s="73" t="str">
        <f>+$D$184</f>
        <v>5.5-5.9</v>
      </c>
      <c r="AN184" s="107">
        <f t="shared" si="858"/>
        <v>5.700000000000002</v>
      </c>
      <c r="AO184" s="49" t="str">
        <f>+$D$184</f>
        <v>5.5-5.9</v>
      </c>
      <c r="AP184" s="101">
        <f t="shared" si="859"/>
        <v>5.711390514915994</v>
      </c>
      <c r="AQ184" s="706" t="str">
        <f>+$D$184</f>
        <v>5.5-5.9</v>
      </c>
      <c r="AR184" s="123">
        <v>5.7</v>
      </c>
      <c r="AS184" s="49" t="str">
        <f>+$D$184</f>
        <v>5.5-5.9</v>
      </c>
      <c r="AT184" s="101">
        <f t="shared" si="860"/>
        <v>5.7102400372269813</v>
      </c>
      <c r="AU184" s="706" t="str">
        <f>+$D$184</f>
        <v>5.5-5.9</v>
      </c>
      <c r="AV184" s="123">
        <v>5.7</v>
      </c>
      <c r="AW184" s="49" t="str">
        <f>+$D$184</f>
        <v>5.5-5.9</v>
      </c>
      <c r="AX184" s="101">
        <f t="shared" si="861"/>
        <v>5.7093826316881549</v>
      </c>
      <c r="AY184" s="706" t="str">
        <f>+$D$184</f>
        <v>5.5-5.9</v>
      </c>
      <c r="AZ184" s="123">
        <v>5.7</v>
      </c>
      <c r="BA184" s="73" t="str">
        <f>+$D$184</f>
        <v>5.5-5.9</v>
      </c>
      <c r="BB184" s="107">
        <f t="shared" si="862"/>
        <v>5.6999999999999993</v>
      </c>
      <c r="BC184" s="622" t="str">
        <f>+$D$184</f>
        <v>5.5-5.9</v>
      </c>
      <c r="BD184" s="438">
        <f t="shared" si="863"/>
        <v>5.7000000000000011</v>
      </c>
      <c r="BE184" s="49" t="str">
        <f>+$D$184</f>
        <v>5.5-5.9</v>
      </c>
      <c r="BF184" s="101">
        <f t="shared" si="864"/>
        <v>5.7085818691189694</v>
      </c>
      <c r="BG184" s="1111"/>
      <c r="BH184" s="1111"/>
      <c r="BI184" s="1111"/>
      <c r="BJ184" s="1111"/>
      <c r="BK184" s="1111"/>
      <c r="BL184" s="23"/>
      <c r="BM184" s="23"/>
      <c r="BN184" s="23"/>
    </row>
    <row r="185" spans="1:66" x14ac:dyDescent="0.3">
      <c r="A185" s="136"/>
      <c r="B185" s="1658" t="s">
        <v>205</v>
      </c>
      <c r="C185" s="1277" t="s">
        <v>49</v>
      </c>
      <c r="D185" s="100" t="s">
        <v>1917</v>
      </c>
      <c r="E185" s="706" t="str">
        <f>+$D$185</f>
        <v>67.0-68.4</v>
      </c>
      <c r="F185" s="123">
        <v>68.400000000000006</v>
      </c>
      <c r="G185" s="706" t="str">
        <f>+$D$185</f>
        <v>67.0-68.4</v>
      </c>
      <c r="H185" s="123">
        <v>69</v>
      </c>
      <c r="I185" s="49" t="str">
        <f>+$D$185</f>
        <v>67.0-68.4</v>
      </c>
      <c r="J185" s="101">
        <f t="shared" si="850"/>
        <v>68.697490182687389</v>
      </c>
      <c r="K185" s="706" t="str">
        <f>+$D$185</f>
        <v>67.0-68.4</v>
      </c>
      <c r="L185" s="123">
        <v>68.3</v>
      </c>
      <c r="M185" s="73" t="str">
        <f>+$D$185</f>
        <v>67.0-68.4</v>
      </c>
      <c r="N185" s="107">
        <f t="shared" si="851"/>
        <v>68.56359076406531</v>
      </c>
      <c r="O185" s="706" t="str">
        <f>+$D$185</f>
        <v>67.0-68.4</v>
      </c>
      <c r="P185" s="123">
        <v>68.5</v>
      </c>
      <c r="Q185" s="49" t="str">
        <f>+$D$185</f>
        <v>67.0-68.4</v>
      </c>
      <c r="R185" s="101">
        <f t="shared" si="852"/>
        <v>68.547105095324255</v>
      </c>
      <c r="S185" s="706" t="str">
        <f>+$D$185</f>
        <v>67.0-68.4</v>
      </c>
      <c r="T185" s="123">
        <v>68.599999999999994</v>
      </c>
      <c r="U185" s="49" t="str">
        <f>+$D$185</f>
        <v>67.0-68.4</v>
      </c>
      <c r="V185" s="101">
        <f t="shared" si="853"/>
        <v>68.557952480283248</v>
      </c>
      <c r="W185" s="706" t="str">
        <f>+$D$185</f>
        <v>67.0-68.4</v>
      </c>
      <c r="X185" s="123">
        <v>68.5</v>
      </c>
      <c r="Y185" s="73" t="str">
        <f>+$D$185</f>
        <v>67.0-68.4</v>
      </c>
      <c r="Z185" s="107">
        <f t="shared" si="854"/>
        <v>68.533691735628963</v>
      </c>
      <c r="AA185" s="622" t="str">
        <f>+$D$185</f>
        <v>67.0-68.4</v>
      </c>
      <c r="AB185" s="438">
        <f t="shared" si="855"/>
        <v>68.548393646424032</v>
      </c>
      <c r="AC185" s="706" t="str">
        <f>+$D$185</f>
        <v>67.0-68.4</v>
      </c>
      <c r="AD185" s="123">
        <v>68.7</v>
      </c>
      <c r="AE185" s="49" t="str">
        <f>+$D$185</f>
        <v>67.0-68.4</v>
      </c>
      <c r="AF185" s="101">
        <f t="shared" si="856"/>
        <v>68.570225118096218</v>
      </c>
      <c r="AG185" s="706" t="str">
        <f>+$D$185</f>
        <v>67.0-68.4</v>
      </c>
      <c r="AH185" s="123">
        <v>68.3</v>
      </c>
      <c r="AI185" s="49" t="str">
        <f>+$D$185</f>
        <v>67.0-68.4</v>
      </c>
      <c r="AJ185" s="101">
        <f t="shared" si="857"/>
        <v>68.536818949630558</v>
      </c>
      <c r="AK185" s="706" t="str">
        <f>+$D$185</f>
        <v>67.0-68.4</v>
      </c>
      <c r="AL185" s="123">
        <v>68.099999999999994</v>
      </c>
      <c r="AM185" s="73" t="str">
        <f>+$D$185</f>
        <v>67.0-68.4</v>
      </c>
      <c r="AN185" s="107">
        <f t="shared" si="858"/>
        <v>68.365961510065162</v>
      </c>
      <c r="AO185" s="49" t="str">
        <f>+$D$185</f>
        <v>67.0-68.4</v>
      </c>
      <c r="AP185" s="101">
        <f t="shared" si="859"/>
        <v>68.487305191736723</v>
      </c>
      <c r="AQ185" s="706" t="str">
        <f>+$D$185</f>
        <v>67.0-68.4</v>
      </c>
      <c r="AR185" s="123">
        <v>68.400000000000006</v>
      </c>
      <c r="AS185" s="49" t="str">
        <f>+$D$185</f>
        <v>67.0-68.4</v>
      </c>
      <c r="AT185" s="101">
        <f t="shared" si="860"/>
        <v>68.478487093874691</v>
      </c>
      <c r="AU185" s="706" t="str">
        <f>+$D$185</f>
        <v>67.0-68.4</v>
      </c>
      <c r="AV185" s="123">
        <v>68.7</v>
      </c>
      <c r="AW185" s="49" t="str">
        <f>+$D$185</f>
        <v>67.0-68.4</v>
      </c>
      <c r="AX185" s="101">
        <f t="shared" si="861"/>
        <v>68.497034525727088</v>
      </c>
      <c r="AY185" s="706" t="str">
        <f>+$D$185</f>
        <v>67.0-68.4</v>
      </c>
      <c r="AZ185" s="123">
        <v>69.099999999999994</v>
      </c>
      <c r="BA185" s="73" t="str">
        <f>+$D$185</f>
        <v>67.0-68.4</v>
      </c>
      <c r="BB185" s="107">
        <f t="shared" si="862"/>
        <v>68.735460511427917</v>
      </c>
      <c r="BC185" s="622" t="str">
        <f>+$D$185</f>
        <v>67.0-68.4</v>
      </c>
      <c r="BD185" s="438">
        <f t="shared" si="863"/>
        <v>68.548596281696746</v>
      </c>
      <c r="BE185" s="49" t="str">
        <f>+$D$185</f>
        <v>67.0-68.4</v>
      </c>
      <c r="BF185" s="101">
        <f t="shared" si="864"/>
        <v>68.548494734158695</v>
      </c>
      <c r="BG185" s="1111"/>
      <c r="BH185" s="1111"/>
      <c r="BI185" s="1111"/>
      <c r="BJ185" s="1111"/>
      <c r="BK185" s="1111"/>
      <c r="BL185" s="23"/>
      <c r="BM185" s="23"/>
      <c r="BN185" s="23"/>
    </row>
    <row r="186" spans="1:66" x14ac:dyDescent="0.3">
      <c r="B186" s="1658" t="s">
        <v>206</v>
      </c>
      <c r="C186" s="1277" t="s">
        <v>49</v>
      </c>
      <c r="D186" s="100" t="s">
        <v>1918</v>
      </c>
      <c r="E186" s="706" t="str">
        <f>+$D$186</f>
        <v>21.0-22.5</v>
      </c>
      <c r="F186" s="123">
        <v>21.2</v>
      </c>
      <c r="G186" s="706" t="str">
        <f>+$D$186</f>
        <v>21.0-22.5</v>
      </c>
      <c r="H186" s="123">
        <v>21.4</v>
      </c>
      <c r="I186" s="49" t="str">
        <f>+$D$186</f>
        <v>21.0-22.5</v>
      </c>
      <c r="J186" s="101">
        <f t="shared" si="850"/>
        <v>21.299163394229126</v>
      </c>
      <c r="K186" s="706" t="str">
        <f>+$D$186</f>
        <v>21.0-22.5</v>
      </c>
      <c r="L186" s="123">
        <v>21.5</v>
      </c>
      <c r="M186" s="73" t="str">
        <f>+$D$186</f>
        <v>21.0-22.5</v>
      </c>
      <c r="N186" s="107">
        <f t="shared" si="851"/>
        <v>21.366817655697766</v>
      </c>
      <c r="O186" s="706" t="str">
        <f>+$D$186</f>
        <v>21.0-22.5</v>
      </c>
      <c r="P186" s="123">
        <v>21.3</v>
      </c>
      <c r="Q186" s="49" t="str">
        <f>+$D$186</f>
        <v>21.0-22.5</v>
      </c>
      <c r="R186" s="101">
        <f t="shared" si="852"/>
        <v>21.349495427319511</v>
      </c>
      <c r="S186" s="706" t="str">
        <f>+$D$186</f>
        <v>21.0-22.5</v>
      </c>
      <c r="T186" s="123">
        <v>21.2</v>
      </c>
      <c r="U186" s="49" t="str">
        <f>+$D$186</f>
        <v>21.0-22.5</v>
      </c>
      <c r="V186" s="101">
        <f t="shared" si="853"/>
        <v>21.318837758878949</v>
      </c>
      <c r="W186" s="706" t="str">
        <f>+$D$186</f>
        <v>21.0-22.5</v>
      </c>
      <c r="X186" s="123">
        <v>21.4</v>
      </c>
      <c r="Y186" s="73" t="str">
        <f>+$D$186</f>
        <v>21.0-22.5</v>
      </c>
      <c r="Z186" s="107">
        <f t="shared" si="854"/>
        <v>21.298759313075639</v>
      </c>
      <c r="AA186" s="622" t="str">
        <f>+$D$186</f>
        <v>21.0-22.5</v>
      </c>
      <c r="AB186" s="438">
        <f t="shared" si="855"/>
        <v>21.332224871470626</v>
      </c>
      <c r="AC186" s="706" t="str">
        <f>+$D$186</f>
        <v>21.0-22.5</v>
      </c>
      <c r="AD186" s="123">
        <v>21.2</v>
      </c>
      <c r="AE186" s="49" t="str">
        <f>+$D$186</f>
        <v>21.0-22.5</v>
      </c>
      <c r="AF186" s="101">
        <f t="shared" si="856"/>
        <v>21.313184353261587</v>
      </c>
      <c r="AG186" s="706" t="str">
        <f>+$D$186</f>
        <v>21.0-22.5</v>
      </c>
      <c r="AH186" s="123">
        <v>21.8</v>
      </c>
      <c r="AI186" s="49" t="str">
        <f>+$D$186</f>
        <v>21.0-22.5</v>
      </c>
      <c r="AJ186" s="101">
        <f t="shared" si="857"/>
        <v>21.373366195798027</v>
      </c>
      <c r="AK186" s="706" t="str">
        <f>+$D$186</f>
        <v>21.0-22.5</v>
      </c>
      <c r="AL186" s="123">
        <v>21.9</v>
      </c>
      <c r="AM186" s="73" t="str">
        <f>+$D$186</f>
        <v>21.0-22.5</v>
      </c>
      <c r="AN186" s="107">
        <f t="shared" si="858"/>
        <v>21.633356495566346</v>
      </c>
      <c r="AO186" s="49" t="str">
        <f>+$D$186</f>
        <v>21.0-22.5</v>
      </c>
      <c r="AP186" s="101">
        <f t="shared" si="859"/>
        <v>21.433060535299607</v>
      </c>
      <c r="AQ186" s="706" t="str">
        <f>+$D$186</f>
        <v>21.0-22.5</v>
      </c>
      <c r="AR186" s="123">
        <v>21.3</v>
      </c>
      <c r="AS186" s="49" t="str">
        <f>+$D$186</f>
        <v>21.0-22.5</v>
      </c>
      <c r="AT186" s="101">
        <f t="shared" si="860"/>
        <v>21.419621004402249</v>
      </c>
      <c r="AU186" s="706" t="str">
        <f>+$D$186</f>
        <v>21.0-22.5</v>
      </c>
      <c r="AV186" s="123">
        <v>21.1</v>
      </c>
      <c r="AW186" s="49" t="str">
        <f>+$D$186</f>
        <v>21.0-22.5</v>
      </c>
      <c r="AX186" s="101">
        <f t="shared" si="861"/>
        <v>21.392858912290148</v>
      </c>
      <c r="AY186" s="706" t="str">
        <f>+$D$186</f>
        <v>21.0-22.5</v>
      </c>
      <c r="AZ186" s="123">
        <v>20.7</v>
      </c>
      <c r="BA186" s="73" t="str">
        <f>+$D$186</f>
        <v>21.0-22.5</v>
      </c>
      <c r="BB186" s="107">
        <f t="shared" si="862"/>
        <v>21.030210454854036</v>
      </c>
      <c r="BC186" s="622" t="str">
        <f>+$D$186</f>
        <v>21.0-22.5</v>
      </c>
      <c r="BD186" s="438">
        <f t="shared" si="863"/>
        <v>21.335235420814534</v>
      </c>
      <c r="BE186" s="49" t="str">
        <f>+$D$186</f>
        <v>21.0-22.5</v>
      </c>
      <c r="BF186" s="101">
        <f t="shared" si="864"/>
        <v>21.333726730496274</v>
      </c>
      <c r="BG186" s="1111"/>
      <c r="BH186" s="1111"/>
      <c r="BI186" s="1111"/>
      <c r="BJ186" s="1111"/>
      <c r="BK186" s="1111"/>
      <c r="BL186" s="23"/>
      <c r="BM186" s="23"/>
      <c r="BN186" s="23"/>
    </row>
    <row r="187" spans="1:66" x14ac:dyDescent="0.3">
      <c r="B187" s="1707" t="s">
        <v>5</v>
      </c>
      <c r="C187" s="1283"/>
      <c r="D187" s="1266"/>
      <c r="E187" s="1267"/>
      <c r="F187" s="1268"/>
      <c r="G187" s="1267"/>
      <c r="H187" s="1268"/>
      <c r="I187" s="1269"/>
      <c r="J187" s="1266"/>
      <c r="K187" s="1267"/>
      <c r="L187" s="1268"/>
      <c r="M187" s="1267"/>
      <c r="N187" s="1268"/>
      <c r="O187" s="1267"/>
      <c r="P187" s="1268"/>
      <c r="Q187" s="1269"/>
      <c r="R187" s="1266"/>
      <c r="S187" s="1267"/>
      <c r="T187" s="1268"/>
      <c r="U187" s="1269"/>
      <c r="V187" s="1266"/>
      <c r="W187" s="1267"/>
      <c r="X187" s="1268"/>
      <c r="Y187" s="1266"/>
      <c r="Z187" s="1266"/>
      <c r="AA187" s="2162"/>
      <c r="AB187" s="1268"/>
      <c r="AC187" s="1267"/>
      <c r="AD187" s="1268"/>
      <c r="AE187" s="1269"/>
      <c r="AF187" s="1268"/>
      <c r="AG187" s="1267"/>
      <c r="AH187" s="1268"/>
      <c r="AI187" s="1269"/>
      <c r="AJ187" s="1268"/>
      <c r="AK187" s="1267"/>
      <c r="AL187" s="1268"/>
      <c r="AM187" s="1266"/>
      <c r="AN187" s="1266"/>
      <c r="AO187" s="1269"/>
      <c r="AP187" s="1268"/>
      <c r="AQ187" s="1267"/>
      <c r="AR187" s="1268"/>
      <c r="AS187" s="1269"/>
      <c r="AT187" s="1268"/>
      <c r="AU187" s="1267"/>
      <c r="AV187" s="1268"/>
      <c r="AW187" s="1269"/>
      <c r="AX187" s="1268"/>
      <c r="AY187" s="1267"/>
      <c r="AZ187" s="1268"/>
      <c r="BA187" s="1266"/>
      <c r="BB187" s="1266"/>
      <c r="BC187" s="2162"/>
      <c r="BD187" s="1268"/>
      <c r="BE187" s="1269"/>
      <c r="BF187" s="1268"/>
      <c r="BG187" s="1111"/>
      <c r="BH187" s="1111"/>
      <c r="BI187" s="1111"/>
      <c r="BJ187" s="1111"/>
      <c r="BK187" s="1111"/>
      <c r="BL187" s="23"/>
      <c r="BM187" s="23"/>
      <c r="BN187" s="23"/>
    </row>
    <row r="188" spans="1:66" x14ac:dyDescent="0.3">
      <c r="B188" s="1675" t="s">
        <v>213</v>
      </c>
      <c r="C188" s="1277" t="s">
        <v>209</v>
      </c>
      <c r="D188" s="2486">
        <f>+(D189*D18)/1000000</f>
        <v>382.59915811000002</v>
      </c>
      <c r="E188" s="876">
        <f>+(E189*E18)/1000000</f>
        <v>31.086846000000005</v>
      </c>
      <c r="F188" s="331">
        <v>30.9542</v>
      </c>
      <c r="G188" s="876">
        <f>+(G189*G18)/1000000</f>
        <v>31.933528110000012</v>
      </c>
      <c r="H188" s="331">
        <v>28.439</v>
      </c>
      <c r="I188" s="50">
        <f>+(I189*I18)/1000000</f>
        <v>63.020374110000006</v>
      </c>
      <c r="J188" s="117">
        <f>+F188+H188</f>
        <v>59.3932</v>
      </c>
      <c r="K188" s="876">
        <f>+(K189*K18)/1000000</f>
        <v>31.537380000000002</v>
      </c>
      <c r="L188" s="378">
        <v>30.995259999999998</v>
      </c>
      <c r="M188" s="217">
        <f>+(M189*M18)/1000000</f>
        <v>94.557754110000019</v>
      </c>
      <c r="N188" s="113">
        <f>+L188+H188+F188</f>
        <v>90.388459999999995</v>
      </c>
      <c r="O188" s="876">
        <f>+(O189*O18)/1000000</f>
        <v>32.588626000000005</v>
      </c>
      <c r="P188" s="378">
        <v>32.070999999999998</v>
      </c>
      <c r="Q188" s="50">
        <f>+(Q189*Q18)/1000000</f>
        <v>127.14638011000002</v>
      </c>
      <c r="R188" s="117">
        <f>+N188+P188</f>
        <v>122.45945999999999</v>
      </c>
      <c r="S188" s="876">
        <f>+(S189*S18)/1000000</f>
        <v>32.588626000000005</v>
      </c>
      <c r="T188" s="378">
        <v>31.417210000000001</v>
      </c>
      <c r="U188" s="50">
        <f>+(U189*U18)/1000000</f>
        <v>159.73500611000006</v>
      </c>
      <c r="V188" s="117">
        <f>+R188+T188</f>
        <v>153.87666999999999</v>
      </c>
      <c r="W188" s="876">
        <f>+(W189*W18)/1000000</f>
        <v>30.089235000000002</v>
      </c>
      <c r="X188" s="378">
        <v>30.898</v>
      </c>
      <c r="Y188" s="217">
        <f>+(Y189*Y18)/1000000</f>
        <v>95.266487000000026</v>
      </c>
      <c r="Z188" s="217">
        <f>+P188+T188+X188</f>
        <v>94.386209999999991</v>
      </c>
      <c r="AA188" s="426">
        <f>+(AA189*AA18)/1000000</f>
        <v>189.82424111000009</v>
      </c>
      <c r="AB188" s="444">
        <f>+N188+Z188</f>
        <v>184.77466999999999</v>
      </c>
      <c r="AC188" s="876">
        <f>+(AC189*AC18)/1000000</f>
        <v>32.588626000000005</v>
      </c>
      <c r="AD188" s="378">
        <v>31.082999999999998</v>
      </c>
      <c r="AE188" s="50">
        <f>+(AE189*AE18)/1000000</f>
        <v>222.41286711000006</v>
      </c>
      <c r="AF188" s="117">
        <f>+AB188+AD188</f>
        <v>215.85766999999998</v>
      </c>
      <c r="AG188" s="876">
        <f>+(AG189*AG18)/1000000</f>
        <v>31.537380000000002</v>
      </c>
      <c r="AH188" s="378">
        <v>30.731999999999999</v>
      </c>
      <c r="AI188" s="50">
        <f>+(AI189*AI18)/1000000</f>
        <v>253.95024711000008</v>
      </c>
      <c r="AJ188" s="117">
        <f>+AF188+AH188</f>
        <v>246.58966999999998</v>
      </c>
      <c r="AK188" s="876">
        <f>+(AK189*AK18)/1000000</f>
        <v>32.588626000000005</v>
      </c>
      <c r="AL188" s="378">
        <v>31.358499999999999</v>
      </c>
      <c r="AM188" s="217">
        <f>+(AM189*AM18)/1000000</f>
        <v>96.714632000000023</v>
      </c>
      <c r="AN188" s="217">
        <f>+AD188+AH188+AL188</f>
        <v>93.17349999999999</v>
      </c>
      <c r="AO188" s="50">
        <f>+(AO189*AO18)/1000000</f>
        <v>286.53887311000005</v>
      </c>
      <c r="AP188" s="117">
        <f>+AL188+AJ188</f>
        <v>277.94817</v>
      </c>
      <c r="AQ188" s="876">
        <f>+(AQ189*AQ18)/1000000</f>
        <v>32.588626000000005</v>
      </c>
      <c r="AR188" s="378">
        <v>31.363</v>
      </c>
      <c r="AS188" s="50">
        <f>+(AS189*AS18)/1000000</f>
        <v>319.12749911000014</v>
      </c>
      <c r="AT188" s="117">
        <f>+AP188+AR188</f>
        <v>309.31117</v>
      </c>
      <c r="AU188" s="876">
        <f>+(AU189*AU18)/1000000</f>
        <v>29.434888000000004</v>
      </c>
      <c r="AV188" s="378">
        <v>28.876999999999999</v>
      </c>
      <c r="AW188" s="50">
        <f>+(AW189*AW18)/1000000</f>
        <v>348.56238711000009</v>
      </c>
      <c r="AX188" s="117">
        <f>+AT188+AV188</f>
        <v>338.18817000000001</v>
      </c>
      <c r="AY188" s="876">
        <f>+(AY189*AY18)/1000000</f>
        <v>32.588626000000005</v>
      </c>
      <c r="AZ188" s="378">
        <v>31.378</v>
      </c>
      <c r="BA188" s="73">
        <f>+(BA189*BA18)/1000000</f>
        <v>94.612140000000011</v>
      </c>
      <c r="BB188" s="107">
        <f>+AR188+AV188+AZ188</f>
        <v>91.617999999999995</v>
      </c>
      <c r="BC188" s="622">
        <f>+(BC189*BC18)/1000000</f>
        <v>191.32677200000006</v>
      </c>
      <c r="BD188" s="438">
        <f>+AN188+BB188</f>
        <v>184.79149999999998</v>
      </c>
      <c r="BE188" s="49">
        <f>+(BE189*BE18)/1000000</f>
        <v>381.15101311000012</v>
      </c>
      <c r="BF188" s="101">
        <f>+AX188+AZ188</f>
        <v>369.56617</v>
      </c>
      <c r="BG188" s="1111"/>
      <c r="BH188" s="1111"/>
      <c r="BI188" s="1111"/>
      <c r="BJ188" s="1111"/>
      <c r="BK188" s="1111"/>
      <c r="BL188" s="23"/>
      <c r="BM188" s="23"/>
      <c r="BN188" s="23"/>
    </row>
    <row r="189" spans="1:66" x14ac:dyDescent="0.3">
      <c r="B189" s="1676" t="s">
        <v>214</v>
      </c>
      <c r="C189" s="1277" t="s">
        <v>210</v>
      </c>
      <c r="D189" s="413">
        <v>340.00000000000006</v>
      </c>
      <c r="E189" s="143">
        <f>+$D$189</f>
        <v>340.00000000000006</v>
      </c>
      <c r="F189" s="460">
        <f>+(F188*1000000)/F18</f>
        <v>332.2437146569365</v>
      </c>
      <c r="G189" s="143">
        <f>+$D$189</f>
        <v>340.00000000000006</v>
      </c>
      <c r="H189" s="460">
        <f>+(H188*1000000)/H18</f>
        <v>310.39759357004709</v>
      </c>
      <c r="I189" s="57">
        <f>+$D$189</f>
        <v>340.00000000000006</v>
      </c>
      <c r="J189" s="84">
        <f>+(J188*1000000)/J18</f>
        <v>321.41203706835421</v>
      </c>
      <c r="K189" s="143">
        <f>+$D$189</f>
        <v>340.00000000000006</v>
      </c>
      <c r="L189" s="460">
        <f>+(L188*1000000)/L18</f>
        <v>332.57180625910019</v>
      </c>
      <c r="M189" s="68">
        <f>+$D$189</f>
        <v>340.00000000000006</v>
      </c>
      <c r="N189" s="115">
        <f>+(N188*1000000)/N18</f>
        <v>325.15349186230077</v>
      </c>
      <c r="O189" s="143">
        <f>+$D$189</f>
        <v>340.00000000000006</v>
      </c>
      <c r="P189" s="460">
        <f>+(P188*1000000)/P18</f>
        <v>331.21976887633031</v>
      </c>
      <c r="Q189" s="57">
        <f>+$D$189</f>
        <v>340.00000000000006</v>
      </c>
      <c r="R189" s="84">
        <f>+(R188*1000000)/R18</f>
        <v>326.72061342425843</v>
      </c>
      <c r="S189" s="143">
        <f>+$D$189</f>
        <v>340.00000000000006</v>
      </c>
      <c r="T189" s="460">
        <f>+(T188*1000000)/T18</f>
        <v>326.06127216702629</v>
      </c>
      <c r="U189" s="57">
        <f>+$D$189</f>
        <v>340.00000000000006</v>
      </c>
      <c r="V189" s="84">
        <f>+(V188*1000000)/V18</f>
        <v>326.5857782696055</v>
      </c>
      <c r="W189" s="143">
        <f>+$D$189</f>
        <v>340.00000000000006</v>
      </c>
      <c r="X189" s="460">
        <f>+(X188*1000000)/X18</f>
        <v>330.52122506154882</v>
      </c>
      <c r="Y189" s="68">
        <f>+$D$189</f>
        <v>340.00000000000006</v>
      </c>
      <c r="Z189" s="115">
        <f>+(Z188*1000000)/Z18</f>
        <v>329.2580877984729</v>
      </c>
      <c r="AA189" s="596">
        <f>+$D$189</f>
        <v>340.00000000000006</v>
      </c>
      <c r="AB189" s="448">
        <f>+(AB188*1000000)/AB18</f>
        <v>327.23732483296959</v>
      </c>
      <c r="AC189" s="143">
        <f>+$D$189</f>
        <v>340.00000000000006</v>
      </c>
      <c r="AD189" s="460">
        <f>+(AD188*1000000)/AD18</f>
        <v>326.98244216951059</v>
      </c>
      <c r="AE189" s="57">
        <f>+$D$189</f>
        <v>340.00000000000006</v>
      </c>
      <c r="AF189" s="84">
        <f>+(AF188*1000000)/AF18</f>
        <v>327.20059783799098</v>
      </c>
      <c r="AG189" s="143">
        <f>+$D$189</f>
        <v>340.00000000000006</v>
      </c>
      <c r="AH189" s="460">
        <f>+(AH188*1000000)/AH18</f>
        <v>329.07868248597248</v>
      </c>
      <c r="AI189" s="57">
        <f>+$D$189</f>
        <v>340.00000000000006</v>
      </c>
      <c r="AJ189" s="84">
        <f>+(AJ188*1000000)/AJ18</f>
        <v>327.43348977590574</v>
      </c>
      <c r="AK189" s="143">
        <f>+$D$189</f>
        <v>340.00000000000006</v>
      </c>
      <c r="AL189" s="460">
        <f>+(AL188*1000000)/AL18</f>
        <v>324.70769990644533</v>
      </c>
      <c r="AM189" s="68">
        <f>+$D$189</f>
        <v>340.00000000000006</v>
      </c>
      <c r="AN189" s="115">
        <f>+(AN188*1000000)/AN18</f>
        <v>326.89852422280745</v>
      </c>
      <c r="AO189" s="57">
        <f>+$D$189</f>
        <v>340.00000000000006</v>
      </c>
      <c r="AP189" s="84">
        <f>+(AP188*1000000)/AP18</f>
        <v>327.12367421798297</v>
      </c>
      <c r="AQ189" s="143">
        <f>+$D$189</f>
        <v>340.00000000000006</v>
      </c>
      <c r="AR189" s="460">
        <f>+(AR188*1000000)/AR18</f>
        <v>327.64433096851633</v>
      </c>
      <c r="AS189" s="57">
        <f>+$D$189</f>
        <v>340.00000000000006</v>
      </c>
      <c r="AT189" s="84">
        <f>+(AT188*1000000)/AT18</f>
        <v>327.17639147415241</v>
      </c>
      <c r="AU189" s="143">
        <f>+$D$189</f>
        <v>340.00000000000006</v>
      </c>
      <c r="AV189" s="460">
        <f>+(AV188*1000000)/AV18</f>
        <v>333.43436705261547</v>
      </c>
      <c r="AW189" s="57">
        <f>+$D$189</f>
        <v>340.00000000000006</v>
      </c>
      <c r="AX189" s="84">
        <f>+(AX188*1000000)/AX18</f>
        <v>327.70155634614508</v>
      </c>
      <c r="AY189" s="143">
        <f>+$D$189</f>
        <v>340.00000000000006</v>
      </c>
      <c r="AZ189" s="460">
        <f>+(AZ188*1000000)/AZ18</f>
        <v>325.12204510449277</v>
      </c>
      <c r="BA189" s="68">
        <f>+$D$189</f>
        <v>340.00000000000006</v>
      </c>
      <c r="BB189" s="115">
        <f>+(BB188*1000000)/BB18</f>
        <v>328.56965079119158</v>
      </c>
      <c r="BC189" s="596">
        <f>+$D$189</f>
        <v>340.00000000000006</v>
      </c>
      <c r="BD189" s="448">
        <f>+(BD188*1000000)/BD18</f>
        <v>327.72492398843963</v>
      </c>
      <c r="BE189" s="57">
        <f>+$D$189</f>
        <v>340.00000000000006</v>
      </c>
      <c r="BF189" s="84">
        <f>+(BF188*1000000)/BF18</f>
        <v>327.48095401205097</v>
      </c>
      <c r="BG189" s="1111"/>
      <c r="BH189" s="1111"/>
      <c r="BI189" s="1111"/>
      <c r="BJ189" s="1111"/>
      <c r="BK189" s="1111"/>
      <c r="BL189" s="23"/>
      <c r="BM189" s="23"/>
      <c r="BN189" s="23"/>
    </row>
    <row r="190" spans="1:66" x14ac:dyDescent="0.3">
      <c r="B190" s="1675" t="s">
        <v>215</v>
      </c>
      <c r="C190" s="1277" t="s">
        <v>211</v>
      </c>
      <c r="D190" s="413">
        <v>4225</v>
      </c>
      <c r="E190" s="143">
        <f>+$D$190</f>
        <v>4225</v>
      </c>
      <c r="F190" s="168">
        <v>4265.7</v>
      </c>
      <c r="G190" s="143">
        <f>+$D$190</f>
        <v>4225</v>
      </c>
      <c r="H190" s="168">
        <v>4264.3500000000004</v>
      </c>
      <c r="I190" s="57">
        <f>+$D$190</f>
        <v>4225</v>
      </c>
      <c r="J190" s="35">
        <f>+((F190*F188)+(H188*H190))/J188</f>
        <v>4265.0535850905489</v>
      </c>
      <c r="K190" s="143">
        <f>+$D$190</f>
        <v>4225</v>
      </c>
      <c r="L190" s="168">
        <v>4267.9799999999996</v>
      </c>
      <c r="M190" s="68">
        <f>+$D$190</f>
        <v>4225</v>
      </c>
      <c r="N190" s="65">
        <f>+((J190*J188)+(L188*L190))/N188</f>
        <v>4266.057086986546</v>
      </c>
      <c r="O190" s="143">
        <f>+$D$190</f>
        <v>4225</v>
      </c>
      <c r="P190" s="168">
        <v>4266.47</v>
      </c>
      <c r="Q190" s="57">
        <f>+$D$190</f>
        <v>4225</v>
      </c>
      <c r="R190" s="35">
        <f>+((N190*N188)+(P188*P190))/R188</f>
        <v>4266.1652250859179</v>
      </c>
      <c r="S190" s="143">
        <f>+$D$190</f>
        <v>4225</v>
      </c>
      <c r="T190" s="168">
        <v>4264.1099999999997</v>
      </c>
      <c r="U190" s="57">
        <f>+$D$165</f>
        <v>4225</v>
      </c>
      <c r="V190" s="35">
        <f>+((R190*R188)+(T188*T190))/V188</f>
        <v>4265.745606971479</v>
      </c>
      <c r="W190" s="143">
        <f>+$D$190</f>
        <v>4225</v>
      </c>
      <c r="X190" s="168">
        <v>4266.33</v>
      </c>
      <c r="Y190" s="68">
        <f>+$D$190</f>
        <v>4225</v>
      </c>
      <c r="Z190" s="65">
        <f>+((P190*P188)+(T190*T188)+(X188*X190))/Z188</f>
        <v>4265.638624997232</v>
      </c>
      <c r="AA190" s="596">
        <f>+$D$190</f>
        <v>4225</v>
      </c>
      <c r="AB190" s="418">
        <f>+((N190*N188)+(Z188*Z190))/AB188</f>
        <v>4265.8433291094489</v>
      </c>
      <c r="AC190" s="143">
        <f>+$D$190</f>
        <v>4225</v>
      </c>
      <c r="AD190" s="168">
        <v>4264.92</v>
      </c>
      <c r="AE190" s="57">
        <f>+$D$190</f>
        <v>4225</v>
      </c>
      <c r="AF190" s="35">
        <f>+((AB190*AB188)+(AD188*AD190))/AF188</f>
        <v>4265.710371875597</v>
      </c>
      <c r="AG190" s="143">
        <f>+$D$190</f>
        <v>4225</v>
      </c>
      <c r="AH190" s="168">
        <v>4261.79</v>
      </c>
      <c r="AI190" s="57">
        <f>+$D$190</f>
        <v>4225</v>
      </c>
      <c r="AJ190" s="35">
        <f>+((AF190*AF188)+(AH188*AH190))/AJ188</f>
        <v>4265.2217834100675</v>
      </c>
      <c r="AK190" s="143">
        <f>+$D$190</f>
        <v>4225</v>
      </c>
      <c r="AL190" s="168">
        <v>4257.7700000000004</v>
      </c>
      <c r="AM190" s="68">
        <f>+$D$190</f>
        <v>4225</v>
      </c>
      <c r="AN190" s="65">
        <f>+((AD190*AD188)+(AH190*AH188)+(AL188*AL190))/AN188</f>
        <v>4261.4812064052549</v>
      </c>
      <c r="AO190" s="57">
        <f>+$D$190</f>
        <v>4225</v>
      </c>
      <c r="AP190" s="35">
        <f>+((AL190*AL188)+(AJ188*AJ190))/AP188</f>
        <v>4264.3810628179344</v>
      </c>
      <c r="AQ190" s="143">
        <f>+$D$190</f>
        <v>4225</v>
      </c>
      <c r="AR190" s="168">
        <v>4259.25</v>
      </c>
      <c r="AS190" s="57">
        <f>+$D$190</f>
        <v>4225</v>
      </c>
      <c r="AT190" s="35">
        <f>+((AP190*AP188)+(AR188*AR190))/AT188</f>
        <v>4263.8607921689345</v>
      </c>
      <c r="AU190" s="143">
        <f>+$D$190</f>
        <v>4225</v>
      </c>
      <c r="AV190" s="168">
        <v>4264.04</v>
      </c>
      <c r="AW190" s="57">
        <f>+$D$190</f>
        <v>4225</v>
      </c>
      <c r="AX190" s="35">
        <f>+((AT190*AT188)+(AV188*AV190))/AX188</f>
        <v>4263.8760942551589</v>
      </c>
      <c r="AY190" s="143">
        <f>+$D$190</f>
        <v>4225</v>
      </c>
      <c r="AZ190" s="168">
        <v>4264.3</v>
      </c>
      <c r="BA190" s="68">
        <f>+$D$190</f>
        <v>4225</v>
      </c>
      <c r="BB190" s="65">
        <f>+((AR190*AR188)+(AV190*AV188)+(AZ190*AZ188))/BB188</f>
        <v>4262.4893168373028</v>
      </c>
      <c r="BC190" s="596">
        <f>+$D$190</f>
        <v>4225</v>
      </c>
      <c r="BD190" s="418">
        <f>+((AN190*AN188)+(BB188*BB190))/BD188</f>
        <v>4261.9810186886298</v>
      </c>
      <c r="BE190" s="57">
        <f>+$D$190</f>
        <v>4225</v>
      </c>
      <c r="BF190" s="35">
        <f>+((AX190*AX188)+(AZ190*AZ188))/BF188</f>
        <v>4263.9120859544582</v>
      </c>
      <c r="BG190" s="1111"/>
      <c r="BH190" s="1111"/>
      <c r="BI190" s="1111"/>
      <c r="BJ190" s="1111"/>
      <c r="BK190" s="1111"/>
      <c r="BL190" s="23"/>
      <c r="BM190" s="23"/>
      <c r="BN190" s="23"/>
    </row>
    <row r="191" spans="1:66" x14ac:dyDescent="0.3">
      <c r="A191" s="135">
        <v>30.467097599999999</v>
      </c>
      <c r="B191" s="1675" t="s">
        <v>546</v>
      </c>
      <c r="C191" s="1277" t="s">
        <v>298</v>
      </c>
      <c r="D191" s="364">
        <v>2.7544166666666672</v>
      </c>
      <c r="E191" s="710">
        <f>+(EMD!D23)/(24*E2)</f>
        <v>5.1176000000000004</v>
      </c>
      <c r="F191" s="123">
        <f>+(EMD!E23)/(24*F2)</f>
        <v>3.7768194444444445</v>
      </c>
      <c r="G191" s="710">
        <f>+(EMD!F23)/(24*G2)</f>
        <v>4.995400000000001</v>
      </c>
      <c r="H191" s="123">
        <f>+(EMD!G23)/(24*H2)</f>
        <v>11.659072580645162</v>
      </c>
      <c r="I191" s="49">
        <f>+(EMD!H23)/(24*I2)</f>
        <v>5.0554983606557382</v>
      </c>
      <c r="J191" s="49">
        <f>+(EMD!I23)/(24*J2)</f>
        <v>7.7825546448087435</v>
      </c>
      <c r="K191" s="710">
        <f>+(EMD!J23)/(24*K2)</f>
        <v>3.0229881656804674</v>
      </c>
      <c r="L191" s="123">
        <f>+(EMD!K23)/(24*L2)</f>
        <v>2.4660706434818951</v>
      </c>
      <c r="M191" s="73">
        <f>+(EMD!L23)/(24*M2)</f>
        <v>4.3854400546199344</v>
      </c>
      <c r="N191" s="107">
        <f>+((F191*F$2)+(H191*H$2)+(L191*L$2))/N$2</f>
        <v>6.0298676114042893</v>
      </c>
      <c r="O191" s="710">
        <f>+(EMD!N23)/(24*O2)</f>
        <v>3.0229881656804669</v>
      </c>
      <c r="P191" s="123">
        <f>+(EMD!O23)/(24*P2)</f>
        <v>2.3550810876015635</v>
      </c>
      <c r="Q191" s="49">
        <f>+(EMD!P23)/(24*Q2)</f>
        <v>4.0392432631681023</v>
      </c>
      <c r="R191" s="49">
        <f>+(EMD!Q23)/(24*R2)</f>
        <v>5.096110379946218</v>
      </c>
      <c r="S191" s="710">
        <f>+(EMD!R23)/(24*S2)</f>
        <v>3.0293934911242606</v>
      </c>
      <c r="T191" s="123">
        <f>+(EMD!S23)/(24*T2)</f>
        <v>2.9080478264353409</v>
      </c>
      <c r="U191" s="49">
        <f>+(EMD!T23)/(24*U2)</f>
        <v>3.8346331786363432</v>
      </c>
      <c r="V191" s="49">
        <f>+(EMD!U23)/(24*V2)</f>
        <v>4.652777444267544</v>
      </c>
      <c r="W191" s="710">
        <f>+(EMD!V23)/(24*W2)</f>
        <v>10.7</v>
      </c>
      <c r="X191" s="123">
        <f>+(EMD!W23)/(24*X2)</f>
        <v>2.6607083333333335</v>
      </c>
      <c r="Y191" s="73">
        <f>+(EMD!X23)/(24*Y2)</f>
        <v>5.5285199060972445</v>
      </c>
      <c r="Z191" s="73">
        <f>+((P191*P$2)+(T191*T$2)+(X191*X$2))/Z$2</f>
        <v>2.6410678949472177</v>
      </c>
      <c r="AA191" s="622">
        <f>+(EMD!Z23)/(24*AA2)</f>
        <v>4.9601031493516965</v>
      </c>
      <c r="AB191" s="2106">
        <f>+((N191*N$2)+(Z191*Z$2))/AB$2</f>
        <v>4.3262087375570184</v>
      </c>
      <c r="AC191" s="710">
        <f>+(EMD!AB23)/(24*AC2)</f>
        <v>3.0293934911242606</v>
      </c>
      <c r="AD191" s="123">
        <f>+(EMD!AC23)/(24*AD2)</f>
        <v>5.6063575268817205</v>
      </c>
      <c r="AE191" s="49">
        <f>+(EMD!AD23)/(24*AE2)</f>
        <v>4.6804209091411799</v>
      </c>
      <c r="AF191" s="1682">
        <f>+(EMD!AE23)/(24*AF2)</f>
        <v>4.5116508518984464</v>
      </c>
      <c r="AG191" s="710">
        <f>+(EMD!AF23)/(24*AG2)</f>
        <v>3.029393491124261</v>
      </c>
      <c r="AH191" s="123">
        <f>+(EMD!AG23)/(24*AH2)</f>
        <v>3.2409722222222221</v>
      </c>
      <c r="AI191" s="49">
        <f>+(EMD!AH23)/(24*AI2)</f>
        <v>4.4774257347948376</v>
      </c>
      <c r="AJ191" s="1682">
        <f>+(EMD!AI23)/(24*AJ2)</f>
        <v>4.3554198728398941</v>
      </c>
      <c r="AK191" s="710">
        <f>+(EMD!AJ23)/(24*AK2)</f>
        <v>3.0293934911242606</v>
      </c>
      <c r="AL191" s="123">
        <f>+(EMD!AK23)/(24*AL2)</f>
        <v>2.8040322580645158</v>
      </c>
      <c r="AM191" s="73">
        <f>+(EMD!AL23)/(24*AM2)</f>
        <v>3.0293934911242606</v>
      </c>
      <c r="AN191" s="106">
        <f>+(EMD!AM23)/(24*AN2)</f>
        <v>3.890774456521739</v>
      </c>
      <c r="AO191" s="49">
        <f>+(EMD!AN23)/(24*AO2)</f>
        <v>4.3141930091446996</v>
      </c>
      <c r="AP191" s="99">
        <f>+(EMD!AO23)/(24*AP2)</f>
        <v>4.1805361780833969</v>
      </c>
      <c r="AQ191" s="710">
        <f>+(EMD!AP23)/(24*AQ2)</f>
        <v>3.0293934911242606</v>
      </c>
      <c r="AR191" s="123">
        <f>+(EMD!AQ23)/(24*AR2)</f>
        <v>2.8295967741935479</v>
      </c>
      <c r="AS191" s="49">
        <f>+(EMD!AR23)/(24*AS2)</f>
        <v>4.184033580848511</v>
      </c>
      <c r="AT191" s="1682">
        <f>+(EMD!AS23)/(24*AT2)</f>
        <v>4.0436763038331183</v>
      </c>
      <c r="AU191" s="710">
        <f>+(EMD!AT23)/(24*AU2)</f>
        <v>3.0293934911242544</v>
      </c>
      <c r="AV191" s="123">
        <f>+(EMD!AU23)/(24*AV2)</f>
        <v>4.2283333333333335</v>
      </c>
      <c r="AW191" s="49">
        <f>+(EMD!AV23)/(24*AW2)</f>
        <v>4.0872374056620471</v>
      </c>
      <c r="AX191" s="1682">
        <f>+(EMD!AW23)/(24*AX2)</f>
        <v>4.0591565338511009</v>
      </c>
      <c r="AY191" s="710">
        <f>+(EMD!AX23)/(24*AY2)</f>
        <v>3.0293934911242606</v>
      </c>
      <c r="AZ191" s="123">
        <f>+(EMD!AY23)/(24*AZ2)</f>
        <v>4.4349999999999996</v>
      </c>
      <c r="BA191" s="73">
        <f>+(EMD!AZ23)/(24*BA2)</f>
        <v>3.0293934911242588</v>
      </c>
      <c r="BB191" s="107">
        <f>+(EMD!BA23)/(24*BB2)</f>
        <v>3.8177314814814811</v>
      </c>
      <c r="BC191" s="622">
        <f>+(EMD!BB23)/(24*BC2)</f>
        <v>3.0293934911242597</v>
      </c>
      <c r="BD191" s="438">
        <f>+(EMD!BC23)/(24*BD2)</f>
        <v>3.8546543040293035</v>
      </c>
      <c r="BE191" s="49">
        <f>+(EMD!BD23)/(24*BE2)</f>
        <v>3.9973931279889743</v>
      </c>
      <c r="BF191" s="101">
        <f>+(EMD!BE23)/(24*BF2)</f>
        <v>4.0910774857705956</v>
      </c>
      <c r="BG191" s="1111"/>
      <c r="BH191" s="1111"/>
      <c r="BI191" s="1111"/>
      <c r="BJ191" s="1111"/>
      <c r="BK191" s="1111"/>
      <c r="BL191" s="23"/>
      <c r="BM191" s="23"/>
      <c r="BN191" s="23"/>
    </row>
    <row r="192" spans="1:66" x14ac:dyDescent="0.3">
      <c r="B192" s="1675" t="s">
        <v>547</v>
      </c>
      <c r="C192" s="1277" t="s">
        <v>298</v>
      </c>
      <c r="D192" s="364">
        <v>87.5</v>
      </c>
      <c r="E192" s="710">
        <f>+(EMD!D59)/(24*E2)</f>
        <v>75</v>
      </c>
      <c r="F192" s="123">
        <f>+(EMD!E59)/(24*F2)</f>
        <v>88.077777777777783</v>
      </c>
      <c r="G192" s="710">
        <f>+(EMD!F59)/(24*G2)</f>
        <v>75</v>
      </c>
      <c r="H192" s="123">
        <f>+(EMD!G59)/(24*H2)</f>
        <v>42.469623655913978</v>
      </c>
      <c r="I192" s="49">
        <f>+(EMD!H59)/(24*I2)</f>
        <v>75</v>
      </c>
      <c r="J192" s="49">
        <f>+(EMD!I59)/(24*J2)</f>
        <v>64.899863387978144</v>
      </c>
      <c r="K192" s="710">
        <f>+(EMD!J59)/(24*K2)</f>
        <v>86.5</v>
      </c>
      <c r="L192" s="123">
        <f>+(EMD!K59)/(24*L2)</f>
        <v>91.350462962962951</v>
      </c>
      <c r="M192" s="73">
        <f>+(EMD!L59)/(24*M2)</f>
        <v>78.791208791208788</v>
      </c>
      <c r="N192" s="107">
        <f>+((F192*F$2)+(H192*H$2)+(L192*L$2))/N$2</f>
        <v>73.61984126984126</v>
      </c>
      <c r="O192" s="710">
        <f>+(EMD!N59)/(24*O2)</f>
        <v>86.5</v>
      </c>
      <c r="P192" s="123">
        <f>+(EMD!O59)/(24*P2)</f>
        <v>92.540322580645167</v>
      </c>
      <c r="Q192" s="49">
        <f>+(EMD!P59)/(24*Q2)</f>
        <v>80.75</v>
      </c>
      <c r="R192" s="49">
        <f>+(EMD!Q59)/(24*R2)</f>
        <v>78.427504553734067</v>
      </c>
      <c r="S192" s="710">
        <f>+(EMD!R59)/(24*S2)</f>
        <v>86.5</v>
      </c>
      <c r="T192" s="123">
        <f>+(EMD!S59)/(24*T2)</f>
        <v>88.795698924731184</v>
      </c>
      <c r="U192" s="49">
        <f>+(EMD!T59)/(24*U2)</f>
        <v>81.915032679738559</v>
      </c>
      <c r="V192" s="49">
        <f>+(EMD!U59)/(24*V2)</f>
        <v>80.5282498184459</v>
      </c>
      <c r="W192" s="710">
        <f>+(EMD!V59)/(24*W2)</f>
        <v>45</v>
      </c>
      <c r="X192" s="123">
        <f>+(EMD!W59)/(24*X2)</f>
        <v>90.990555555555545</v>
      </c>
      <c r="Y192" s="73">
        <f>+(EMD!X59)/(24*Y2)</f>
        <v>72.967391304347828</v>
      </c>
      <c r="Z192" s="73">
        <f>+((P192*P$2)+(T192*T$2)+(X192*X$2))/Z$2</f>
        <v>90.773188405797086</v>
      </c>
      <c r="AA192" s="622">
        <f>+(EMD!Z59)/(24*AA2)</f>
        <v>75.863387978142072</v>
      </c>
      <c r="AB192" s="2106">
        <f>+((N192*N$2)+(Z192*Z$2))/AB$2</f>
        <v>82.243381906496637</v>
      </c>
      <c r="AC192" s="710">
        <f>+(EMD!AB59)/(24*AC2)</f>
        <v>86.5</v>
      </c>
      <c r="AD192" s="123">
        <f>+(EMD!AC59)/(24*AD2)</f>
        <v>74.58064516129032</v>
      </c>
      <c r="AE192" s="49">
        <f>+(EMD!AD59)/(24*AE2)</f>
        <v>77.404205607476641</v>
      </c>
      <c r="AF192" s="1682">
        <f>+(EMD!AE59)/(24*AF2)</f>
        <v>81.133359293873312</v>
      </c>
      <c r="AG192" s="710">
        <f>+(EMD!AF59)/(24*AG2)</f>
        <v>86.5</v>
      </c>
      <c r="AH192" s="123">
        <f>+(EMD!AG59)/(24*AH2)</f>
        <v>87.845833333333331</v>
      </c>
      <c r="AI192" s="49">
        <f>+(EMD!AH59)/(24*AI2)</f>
        <v>78.522540983606561</v>
      </c>
      <c r="AJ192" s="1682">
        <f>+(EMD!AI59)/(24*AJ2)</f>
        <v>81.958663479052831</v>
      </c>
      <c r="AK192" s="710">
        <f>+(EMD!AJ59)/(24*AK2)</f>
        <v>86.5</v>
      </c>
      <c r="AL192" s="123">
        <f>+(EMD!AK59)/(24*AL2)</f>
        <v>90.130241935483866</v>
      </c>
      <c r="AM192" s="73">
        <f>+(EMD!AL59)/(24*AM2)</f>
        <v>86.5</v>
      </c>
      <c r="AN192" s="106">
        <f>+(EMD!AM59)/(24*AN2)</f>
        <v>84.145788043478262</v>
      </c>
      <c r="AO192" s="49">
        <f>+(EMD!AN59)/(24*AO2)</f>
        <v>79.421818181818182</v>
      </c>
      <c r="AP192" s="99">
        <f>+(EMD!AO59)/(24*AP2)</f>
        <v>82.879823232323233</v>
      </c>
      <c r="AQ192" s="710">
        <f>+(EMD!AP59)/(24*AQ2)</f>
        <v>86.5</v>
      </c>
      <c r="AR192" s="123">
        <f>+(EMD!AQ59)/(24*AR2)</f>
        <v>89.588709677419359</v>
      </c>
      <c r="AS192" s="49">
        <f>+(EMD!AR59)/(24*AS2)</f>
        <v>80.138888888888886</v>
      </c>
      <c r="AT192" s="1682">
        <f>+(EMD!AS59)/(24*AT2)</f>
        <v>83.559481663035584</v>
      </c>
      <c r="AU192" s="710">
        <f>+(EMD!AT59)/(24*AU2)</f>
        <v>86.5</v>
      </c>
      <c r="AV192" s="123">
        <f>+(EMD!AU59)/(24*AV2)</f>
        <v>87.126488095238102</v>
      </c>
      <c r="AW192" s="49">
        <f>+(EMD!AV59)/(24*AW2)</f>
        <v>80.672155688622752</v>
      </c>
      <c r="AX192" s="1682">
        <f>+(EMD!AW59)/(24*AX2)</f>
        <v>83.858512142381912</v>
      </c>
      <c r="AY192" s="710">
        <f>+(EMD!AX59)/(24*AY2)</f>
        <v>86.5</v>
      </c>
      <c r="AZ192" s="123">
        <f>+(EMD!AY59)/(24*AZ2)</f>
        <v>88.23521505376344</v>
      </c>
      <c r="BA192" s="68">
        <f>+(EMD!AZ59)/(24*BA2)</f>
        <v>86.5</v>
      </c>
      <c r="BB192" s="65">
        <f>+(EMD!BA59)/(24*BB2)</f>
        <v>88.356481481481481</v>
      </c>
      <c r="BC192" s="596">
        <f>+(EMD!BB59)/(24*BC2)</f>
        <v>86.5</v>
      </c>
      <c r="BD192" s="418">
        <f>+(EMD!BC59)/(24*BD2)</f>
        <v>86.227999084249092</v>
      </c>
      <c r="BE192" s="57">
        <f>+(EMD!BD59)/(24*BE2)</f>
        <v>81.167123287671231</v>
      </c>
      <c r="BF192" s="35">
        <f>+(EMD!BE59)/(24*BF2)</f>
        <v>84.230232115677325</v>
      </c>
      <c r="BG192" s="1111"/>
      <c r="BH192" s="1111"/>
      <c r="BI192" s="1111"/>
      <c r="BJ192" s="1111"/>
      <c r="BK192" s="1111"/>
      <c r="BL192" s="23"/>
      <c r="BM192" s="23"/>
      <c r="BN192" s="23"/>
    </row>
    <row r="193" spans="1:72" x14ac:dyDescent="0.3">
      <c r="B193" s="1705" t="s">
        <v>743</v>
      </c>
      <c r="C193" s="1277" t="s">
        <v>212</v>
      </c>
      <c r="D193" s="413">
        <v>58606118.423650004</v>
      </c>
      <c r="E193" s="143">
        <f>+'POWER DISTRIBUTION'!I19</f>
        <v>4761773.352</v>
      </c>
      <c r="F193" s="460">
        <f>+'POWER DISTRIBUTION'!J19</f>
        <v>4800473.7999999989</v>
      </c>
      <c r="G193" s="143">
        <f>+'POWER DISTRIBUTION'!K19</f>
        <v>4891465.1293199984</v>
      </c>
      <c r="H193" s="460">
        <f>+'POWER DISTRIBUTION'!L19</f>
        <v>4953235.9000000004</v>
      </c>
      <c r="I193" s="57">
        <f>+'POWER DISTRIBUTION'!M19</f>
        <v>9653238.4813199975</v>
      </c>
      <c r="J193" s="35">
        <f>+'POWER DISTRIBUTION'!N19</f>
        <v>9753709.6999999993</v>
      </c>
      <c r="K193" s="143">
        <f>+'POWER DISTRIBUTION'!O19</f>
        <v>5267670.03</v>
      </c>
      <c r="L193" s="460">
        <f>+'POWER DISTRIBUTION'!P19</f>
        <v>4982808.9399999864</v>
      </c>
      <c r="M193" s="68">
        <f>+'POWER DISTRIBUTION'!Q19</f>
        <v>14920908.511319999</v>
      </c>
      <c r="N193" s="115">
        <f>+L193+H193+F193</f>
        <v>14736518.639999986</v>
      </c>
      <c r="O193" s="143">
        <f>+'POWER DISTRIBUTION'!S19</f>
        <v>5443259.0310000004</v>
      </c>
      <c r="P193" s="460">
        <f>+'POWER DISTRIBUTION'!T19</f>
        <v>5165082.3400000138</v>
      </c>
      <c r="Q193" s="57">
        <f>+'POWER DISTRIBUTION'!U19</f>
        <v>20364167.542319998</v>
      </c>
      <c r="R193" s="35">
        <f>+'POWER DISTRIBUTION'!V19</f>
        <v>19901600.98</v>
      </c>
      <c r="S193" s="143">
        <f>+'POWER DISTRIBUTION'!W19</f>
        <v>5443259.0310000004</v>
      </c>
      <c r="T193" s="460">
        <f>+'POWER DISTRIBUTION'!X19</f>
        <v>4967620.5999999903</v>
      </c>
      <c r="U193" s="57">
        <f>+'POWER DISTRIBUTION'!Y19</f>
        <v>25807426.573319998</v>
      </c>
      <c r="V193" s="35">
        <f>+'POWER DISTRIBUTION'!Z19</f>
        <v>24869221.579999991</v>
      </c>
      <c r="W193" s="143">
        <f>+'POWER DISTRIBUTION'!AA19</f>
        <v>5025787.2224999992</v>
      </c>
      <c r="X193" s="460">
        <f>+'POWER DISTRIBUTION'!AB19</f>
        <v>4729684.800000011</v>
      </c>
      <c r="Y193" s="68">
        <f>+'POWER DISTRIBUTION'!AC19</f>
        <v>15912305.284499999</v>
      </c>
      <c r="Z193" s="1020">
        <f>+P193+T193+X193</f>
        <v>14862387.740000017</v>
      </c>
      <c r="AA193" s="596">
        <f>+'POWER DISTRIBUTION'!AE19</f>
        <v>30833213.795819998</v>
      </c>
      <c r="AB193" s="418">
        <f>+N193+Z193</f>
        <v>29598906.380000003</v>
      </c>
      <c r="AC193" s="143">
        <f>+'POWER DISTRIBUTION'!AG19</f>
        <v>5443259.0310000004</v>
      </c>
      <c r="AD193" s="460">
        <f>+'POWER DISTRIBUTION'!AH19</f>
        <v>4972368.8999999939</v>
      </c>
      <c r="AE193" s="57">
        <f>+'POWER DISTRIBUTION'!AI19</f>
        <v>36276472.826820001</v>
      </c>
      <c r="AF193" s="35">
        <f>+'POWER DISTRIBUTION'!AJ19</f>
        <v>34571275.279999994</v>
      </c>
      <c r="AG193" s="143">
        <f>+'POWER DISTRIBUTION'!AK19</f>
        <v>5267670.03</v>
      </c>
      <c r="AH193" s="460">
        <f>+'POWER DISTRIBUTION'!AL19</f>
        <v>5090430.7000000188</v>
      </c>
      <c r="AI193" s="57">
        <f>+'POWER DISTRIBUTION'!AM19</f>
        <v>41544142.856820002</v>
      </c>
      <c r="AJ193" s="35">
        <f>+'POWER DISTRIBUTION'!AN19</f>
        <v>39661705.980000012</v>
      </c>
      <c r="AK193" s="143">
        <f>+'POWER DISTRIBUTION'!AO19</f>
        <v>5443259.0310000004</v>
      </c>
      <c r="AL193" s="460">
        <f>+'POWER DISTRIBUTION'!AP19</f>
        <v>5200091.999999986</v>
      </c>
      <c r="AM193" s="68">
        <f>+'POWER DISTRIBUTION'!AQ19</f>
        <v>16154188.092</v>
      </c>
      <c r="AN193" s="68">
        <f>+'POWER DISTRIBUTION'!AR19</f>
        <v>15262891.599999998</v>
      </c>
      <c r="AO193" s="57">
        <f>+'POWER DISTRIBUTION'!AS19</f>
        <v>46987401.887820005</v>
      </c>
      <c r="AP193" s="35">
        <f>+'POWER DISTRIBUTION'!AT19</f>
        <v>44861797.979999997</v>
      </c>
      <c r="AQ193" s="143">
        <f>+'POWER DISTRIBUTION'!AU19</f>
        <v>5443259.0310000004</v>
      </c>
      <c r="AR193" s="460">
        <f>+'POWER DISTRIBUTION'!AV19</f>
        <v>5008155.8999999892</v>
      </c>
      <c r="AS193" s="57">
        <f>+'POWER DISTRIBUTION'!AW19</f>
        <v>52430660.918820009</v>
      </c>
      <c r="AT193" s="35">
        <f>+'POWER DISTRIBUTION'!AX19</f>
        <v>49869953.879999988</v>
      </c>
      <c r="AU193" s="143">
        <f>+'POWER DISTRIBUTION'!AY19</f>
        <v>4916492.0280000009</v>
      </c>
      <c r="AV193" s="460">
        <f>+'POWER DISTRIBUTION'!AZ19</f>
        <v>4650549.8000000147</v>
      </c>
      <c r="AW193" s="57">
        <f>+'POWER DISTRIBUTION'!BA19</f>
        <v>57347152.946820006</v>
      </c>
      <c r="AX193" s="35">
        <f>+'POWER DISTRIBUTION'!BB19</f>
        <v>54520503.68</v>
      </c>
      <c r="AY193" s="143">
        <f>+'POWER DISTRIBUTION'!BC19</f>
        <v>5443259.0310000004</v>
      </c>
      <c r="AZ193" s="460">
        <f>+'POWER DISTRIBUTION'!BD19</f>
        <v>5022713.2999999952</v>
      </c>
      <c r="BA193" s="68">
        <f>+'POWER DISTRIBUTION'!BE19</f>
        <v>15803010.09</v>
      </c>
      <c r="BB193" s="65">
        <f>+'POWER DISTRIBUTION'!BF19</f>
        <v>14681418.999999998</v>
      </c>
      <c r="BC193" s="596">
        <f>+'POWER DISTRIBUTION'!BG19</f>
        <v>31957198.182</v>
      </c>
      <c r="BD193" s="418">
        <f>+'POWER DISTRIBUTION'!BH19</f>
        <v>29944310.599999994</v>
      </c>
      <c r="BE193" s="57">
        <f>+'POWER DISTRIBUTION'!BI19</f>
        <v>62790411.977820009</v>
      </c>
      <c r="BF193" s="35">
        <f>+'POWER DISTRIBUTION'!BJ19</f>
        <v>59543216.979999997</v>
      </c>
      <c r="BG193" s="1111"/>
      <c r="BH193" s="1111"/>
      <c r="BI193" s="1111"/>
      <c r="BJ193" s="1111"/>
      <c r="BK193" s="1111"/>
      <c r="BL193" s="23"/>
      <c r="BM193" s="23"/>
      <c r="BN193" s="23"/>
    </row>
    <row r="194" spans="1:72" x14ac:dyDescent="0.3">
      <c r="A194" s="491"/>
      <c r="B194" s="1705" t="s">
        <v>744</v>
      </c>
      <c r="C194" s="1277" t="s">
        <v>1700</v>
      </c>
      <c r="D194" s="364">
        <f t="shared" ref="D194:AI194" si="865">+D193/D18</f>
        <v>52.080826216329811</v>
      </c>
      <c r="E194" s="710">
        <f t="shared" si="865"/>
        <v>52.080000000000005</v>
      </c>
      <c r="F194" s="1205">
        <f t="shared" si="865"/>
        <v>51.52539065539731</v>
      </c>
      <c r="G194" s="710">
        <f t="shared" ref="G194:H194" si="866">+G193/G18</f>
        <v>52.079999999999977</v>
      </c>
      <c r="H194" s="1205">
        <f t="shared" si="866"/>
        <v>54.062115536578879</v>
      </c>
      <c r="I194" s="49">
        <f t="shared" si="865"/>
        <v>52.079999999999991</v>
      </c>
      <c r="J194" s="99">
        <f t="shared" si="865"/>
        <v>52.783141902614531</v>
      </c>
      <c r="K194" s="710">
        <f t="shared" si="865"/>
        <v>56.790000000000006</v>
      </c>
      <c r="L194" s="1205">
        <f t="shared" si="865"/>
        <v>53.464360983575808</v>
      </c>
      <c r="M194" s="73">
        <f t="shared" si="865"/>
        <v>53.65090300206581</v>
      </c>
      <c r="N194" s="106">
        <f t="shared" si="865"/>
        <v>53.011529278072437</v>
      </c>
      <c r="O194" s="710">
        <f t="shared" si="865"/>
        <v>56.79</v>
      </c>
      <c r="P194" s="1205">
        <f t="shared" si="865"/>
        <v>53.343437338468405</v>
      </c>
      <c r="Q194" s="49">
        <f t="shared" si="865"/>
        <v>54.455478468193093</v>
      </c>
      <c r="R194" s="99">
        <f t="shared" si="865"/>
        <v>53.097272193674733</v>
      </c>
      <c r="S194" s="710">
        <f t="shared" si="865"/>
        <v>56.79</v>
      </c>
      <c r="T194" s="1205">
        <f t="shared" si="865"/>
        <v>51.556095925740166</v>
      </c>
      <c r="U194" s="49">
        <f t="shared" si="865"/>
        <v>54.931760098261144</v>
      </c>
      <c r="V194" s="99">
        <f t="shared" si="865"/>
        <v>52.782101956479593</v>
      </c>
      <c r="W194" s="710">
        <f t="shared" si="865"/>
        <v>56.789999999999992</v>
      </c>
      <c r="X194" s="1205">
        <f t="shared" si="865"/>
        <v>50.594252516376145</v>
      </c>
      <c r="Y194" s="73">
        <f t="shared" si="865"/>
        <v>56.789999999999985</v>
      </c>
      <c r="Z194" s="106">
        <f t="shared" si="865"/>
        <v>51.84614751870928</v>
      </c>
      <c r="AA194" s="622">
        <f t="shared" si="865"/>
        <v>55.226311609505672</v>
      </c>
      <c r="AB194" s="435">
        <f t="shared" si="865"/>
        <v>52.419884942956287</v>
      </c>
      <c r="AC194" s="710">
        <f t="shared" si="865"/>
        <v>56.79</v>
      </c>
      <c r="AD194" s="1205">
        <f t="shared" si="865"/>
        <v>52.30760628928099</v>
      </c>
      <c r="AE194" s="49">
        <f t="shared" si="865"/>
        <v>55.455428102631764</v>
      </c>
      <c r="AF194" s="99">
        <f t="shared" si="865"/>
        <v>52.403706292381258</v>
      </c>
      <c r="AG194" s="710">
        <f t="shared" si="865"/>
        <v>56.790000000000006</v>
      </c>
      <c r="AH194" s="1205">
        <f t="shared" si="865"/>
        <v>54.508402578489942</v>
      </c>
      <c r="AI194" s="49">
        <f t="shared" si="865"/>
        <v>55.621164901644967</v>
      </c>
      <c r="AJ194" s="99">
        <f t="shared" ref="AJ194:BF194" si="867">+AJ193/AJ18</f>
        <v>52.664699212652799</v>
      </c>
      <c r="AK194" s="710">
        <f t="shared" si="867"/>
        <v>56.79</v>
      </c>
      <c r="AL194" s="1205">
        <f t="shared" si="867"/>
        <v>53.845366092826588</v>
      </c>
      <c r="AM194" s="73">
        <f t="shared" si="867"/>
        <v>56.789999999999992</v>
      </c>
      <c r="AN194" s="106">
        <f t="shared" si="867"/>
        <v>53.549740424183746</v>
      </c>
      <c r="AO194" s="49">
        <f t="shared" si="867"/>
        <v>55.754098801546725</v>
      </c>
      <c r="AP194" s="99">
        <f t="shared" si="867"/>
        <v>52.79889479841686</v>
      </c>
      <c r="AQ194" s="710">
        <f t="shared" si="867"/>
        <v>56.79</v>
      </c>
      <c r="AR194" s="1205">
        <f t="shared" si="867"/>
        <v>52.319417442257567</v>
      </c>
      <c r="AS194" s="49">
        <f t="shared" si="867"/>
        <v>55.859882843421815</v>
      </c>
      <c r="AT194" s="99">
        <f t="shared" si="867"/>
        <v>52.750347016051187</v>
      </c>
      <c r="AU194" s="710">
        <f t="shared" si="867"/>
        <v>56.790000000000013</v>
      </c>
      <c r="AV194" s="1205">
        <f t="shared" si="867"/>
        <v>53.698553485807821</v>
      </c>
      <c r="AW194" s="49">
        <f t="shared" si="867"/>
        <v>55.938428020248701</v>
      </c>
      <c r="AX194" s="99">
        <f t="shared" si="867"/>
        <v>52.829919830465187</v>
      </c>
      <c r="AY194" s="710">
        <f t="shared" si="867"/>
        <v>56.79</v>
      </c>
      <c r="AZ194" s="1205">
        <f t="shared" si="867"/>
        <v>52.042667476242407</v>
      </c>
      <c r="BA194" s="73">
        <f t="shared" si="867"/>
        <v>56.79</v>
      </c>
      <c r="BB194" s="106">
        <f t="shared" si="867"/>
        <v>52.651975746569065</v>
      </c>
      <c r="BC194" s="622">
        <f t="shared" si="867"/>
        <v>56.789999999999992</v>
      </c>
      <c r="BD194" s="435">
        <f t="shared" si="867"/>
        <v>53.105780922126968</v>
      </c>
      <c r="BE194" s="49">
        <f t="shared" si="867"/>
        <v>56.011237903485686</v>
      </c>
      <c r="BF194" s="99">
        <f t="shared" si="867"/>
        <v>52.762593236163774</v>
      </c>
      <c r="BG194" s="1111"/>
      <c r="BH194" s="1111"/>
      <c r="BI194" s="1111"/>
      <c r="BJ194" s="1111"/>
      <c r="BK194" s="1111"/>
      <c r="BL194" s="23"/>
      <c r="BM194" s="23"/>
      <c r="BN194" s="23"/>
    </row>
    <row r="195" spans="1:72" ht="15" thickBot="1" x14ac:dyDescent="0.35">
      <c r="B195" s="1706" t="s">
        <v>216</v>
      </c>
      <c r="C195" s="1296" t="s">
        <v>1044</v>
      </c>
      <c r="D195" s="5199">
        <v>0.64700000000000002</v>
      </c>
      <c r="E195" s="726">
        <v>0.64700000000000002</v>
      </c>
      <c r="F195" s="356">
        <v>0.69199999999999995</v>
      </c>
      <c r="G195" s="726">
        <v>0.64700000000000002</v>
      </c>
      <c r="H195" s="356">
        <v>0.67100000000000004</v>
      </c>
      <c r="I195" s="362">
        <f>+((E195*E18)+(G195*G18))/I18</f>
        <v>0.64700000000000002</v>
      </c>
      <c r="J195" s="362">
        <f>+((F195*F18)+(H195*H18))/J18</f>
        <v>0.6815878436059416</v>
      </c>
      <c r="K195" s="726">
        <v>0.68999999999999984</v>
      </c>
      <c r="L195" s="356">
        <v>0.68300000000000005</v>
      </c>
      <c r="M195" s="1450">
        <f>+((E195*E18)+(G195*G18)+(K195*K18))/M18</f>
        <v>0.66134157730123777</v>
      </c>
      <c r="N195" s="1450">
        <f>+((F195*F18)+(H195*H18)+(L195*L18))/N18</f>
        <v>0.68206128702757918</v>
      </c>
      <c r="O195" s="726">
        <v>0.68999999999999972</v>
      </c>
      <c r="P195" s="356">
        <v>0.68100000000000005</v>
      </c>
      <c r="Q195" s="362">
        <f>+((M195*M18)+(O195*O18))/Q18</f>
        <v>0.66868695841450165</v>
      </c>
      <c r="R195" s="362">
        <f>+((N195*N18)+(P195*P18))/R18</f>
        <v>0.68178712121212126</v>
      </c>
      <c r="S195" s="726">
        <v>0.69021006500857063</v>
      </c>
      <c r="T195" s="356">
        <v>0.67900000000000005</v>
      </c>
      <c r="U195" s="362">
        <f>+((Q195*Q18)+(S195*S18))/U18</f>
        <v>0.67307803391030896</v>
      </c>
      <c r="V195" s="362">
        <f>+((R195*R18)+(T195*T18))/V18</f>
        <v>0.6812171554841302</v>
      </c>
      <c r="W195" s="726">
        <v>0.6899768638185716</v>
      </c>
      <c r="X195" s="356">
        <v>0.68500000000000005</v>
      </c>
      <c r="Y195" s="363">
        <f>+((O195*O18)+(S195*S18)+(W195*W18))/Y18</f>
        <v>0.69006455134637201</v>
      </c>
      <c r="Z195" s="363">
        <f>+((P195*P18)+(T195*T18)+(X195*X18))/Z18</f>
        <v>0.68163218137794401</v>
      </c>
      <c r="AA195" s="2107">
        <f>+((M195*M18)+(Y195*Y18))/AA18</f>
        <v>0.67575668475785833</v>
      </c>
      <c r="AB195" s="2107">
        <f>+((N195*N18)+(Z195*Z18))/AB18</f>
        <v>0.68184343744761688</v>
      </c>
      <c r="AC195" s="726">
        <v>0.69021006500857063</v>
      </c>
      <c r="AD195" s="356">
        <v>0.67800000000000005</v>
      </c>
      <c r="AE195" s="1683">
        <f>+((AA195*AA18)+(AC195*AC18))/AE18</f>
        <v>0.67787443904764633</v>
      </c>
      <c r="AF195" s="1683">
        <f>+((AB195*AB18)+(AD195*AD18))/AF18</f>
        <v>0.68128962219033951</v>
      </c>
      <c r="AG195" s="726">
        <v>0.69021006500857085</v>
      </c>
      <c r="AH195" s="356">
        <v>0.68300000000000005</v>
      </c>
      <c r="AI195" s="1683">
        <f>+((AE195*AE18)+(AG195*AG18))/AI18</f>
        <v>0.67940636637551788</v>
      </c>
      <c r="AJ195" s="1683">
        <f>+((AF195*AF18)+(AH195*AH18))/AJ18</f>
        <v>0.68150171763720147</v>
      </c>
      <c r="AK195" s="726">
        <v>0.69021006500857063</v>
      </c>
      <c r="AL195" s="356">
        <v>0.68600000000000005</v>
      </c>
      <c r="AM195" s="363">
        <f>+((AC195*AC18)+(AG195*AG18)+(AK195*AK18))/AM18</f>
        <v>0.69021006500857063</v>
      </c>
      <c r="AN195" s="363">
        <f>+((AD195*AD18)+(AH195*AH18)+(AL195*AL18))/AN18</f>
        <v>0.68234890413991589</v>
      </c>
      <c r="AO195" s="1683">
        <f>+((AK195*AK18)+(AI195*AI18))/AO18</f>
        <v>0.68063509213390427</v>
      </c>
      <c r="AP195" s="1683">
        <f>+((AL195*AL18)+(AJ195*AJ18))/AP18</f>
        <v>0.68201299617541122</v>
      </c>
      <c r="AQ195" s="726">
        <v>0.69021006500857063</v>
      </c>
      <c r="AR195" s="356">
        <v>0.73099999999999998</v>
      </c>
      <c r="AS195" s="1683">
        <f>+((AO195*AO18)+(AQ195*AQ18))/AS18</f>
        <v>0.68161286813516664</v>
      </c>
      <c r="AT195" s="1683">
        <f>+((AP195*AP18)+(AR195*AR18))/AT18</f>
        <v>0.68697300183547461</v>
      </c>
      <c r="AU195" s="726">
        <v>0.69</v>
      </c>
      <c r="AV195" s="356">
        <v>0.73599999999999999</v>
      </c>
      <c r="AW195" s="1683">
        <f>+((AS195*AS18)+(AU195*AU18))/AW18</f>
        <v>0.68232113241212866</v>
      </c>
      <c r="AX195" s="1683">
        <f>+((AT195*AT18)+(AV195*AV18))/AX18</f>
        <v>0.69108731274839497</v>
      </c>
      <c r="AY195" s="726">
        <v>0.69</v>
      </c>
      <c r="AZ195" s="356">
        <v>0.755</v>
      </c>
      <c r="BA195" s="693">
        <f>+((AQ195*AQ18)+(AU195*AU18)+(AY195*AY18))/BA18</f>
        <v>0.69007235572517434</v>
      </c>
      <c r="BB195" s="693">
        <f>+((AR195*AR18)+(AV195*AV18)+(AZ195*AZ18))/BB18</f>
        <v>0.7408598099117446</v>
      </c>
      <c r="BC195" s="4094">
        <f>+((AM195*AM18)+(BA195*BA18))/BC18</f>
        <v>0.69014196701128672</v>
      </c>
      <c r="BD195" s="4094">
        <f>+((AN195*AN18)+(BB195*BB18))/BD18</f>
        <v>0.71128351611459251</v>
      </c>
      <c r="BE195" s="1683">
        <f>+((AW195*AW18)+(AY195*AY18))/BE18</f>
        <v>0.682977679909885</v>
      </c>
      <c r="BF195" s="1683">
        <f>+((AX195*AX18)+(AZ195*AZ18))/BF18</f>
        <v>0.69655318851519465</v>
      </c>
      <c r="BG195" s="1111"/>
      <c r="BH195" s="1111"/>
      <c r="BI195" s="1111"/>
      <c r="BJ195" s="1111"/>
      <c r="BK195" s="1111"/>
      <c r="BL195" s="23"/>
      <c r="BM195" s="23"/>
      <c r="BN195" s="23"/>
    </row>
    <row r="196" spans="1:72" ht="15" thickBot="1" x14ac:dyDescent="0.35">
      <c r="B196" s="1696"/>
      <c r="C196" s="491"/>
      <c r="D196" s="491"/>
      <c r="E196" s="491"/>
      <c r="F196" s="491"/>
      <c r="G196" s="491"/>
      <c r="H196" s="491"/>
      <c r="I196" s="491"/>
      <c r="J196" s="491"/>
      <c r="K196" s="491"/>
      <c r="L196" s="491"/>
      <c r="M196" s="491"/>
      <c r="N196" s="491"/>
      <c r="O196" s="491"/>
      <c r="P196" s="491"/>
      <c r="Q196" s="491"/>
      <c r="R196" s="491"/>
      <c r="S196" s="491"/>
      <c r="T196" s="491"/>
      <c r="U196" s="491"/>
      <c r="V196" s="491"/>
      <c r="W196" s="491"/>
      <c r="X196" s="491"/>
      <c r="Y196" s="491"/>
      <c r="Z196" s="491"/>
      <c r="AA196" s="491"/>
      <c r="AB196" s="1681"/>
      <c r="AC196" s="491"/>
      <c r="AD196" s="491"/>
      <c r="AE196" s="491"/>
      <c r="AF196" s="1681"/>
      <c r="AG196" s="491"/>
      <c r="AH196" s="491"/>
      <c r="AI196" s="491"/>
      <c r="AJ196" s="1681"/>
      <c r="AK196" s="491"/>
      <c r="AL196" s="491"/>
      <c r="AM196" s="491"/>
      <c r="AN196" s="491"/>
      <c r="AO196" s="491"/>
      <c r="AP196" s="1681"/>
      <c r="AQ196" s="491"/>
      <c r="AR196" s="491"/>
      <c r="AS196" s="491"/>
      <c r="AT196" s="1681"/>
      <c r="AU196" s="491"/>
      <c r="AV196" s="491"/>
      <c r="AW196" s="491"/>
      <c r="AX196" s="1681"/>
      <c r="AY196" s="491"/>
      <c r="AZ196" s="491"/>
      <c r="BA196" s="491"/>
      <c r="BB196" s="491"/>
      <c r="BC196" s="491"/>
      <c r="BD196" s="1681"/>
      <c r="BE196" s="491"/>
      <c r="BF196" s="1681"/>
      <c r="BG196" s="1111"/>
      <c r="BH196" s="1111"/>
      <c r="BI196" s="1111"/>
      <c r="BJ196" s="1111"/>
      <c r="BK196" s="1111"/>
      <c r="BL196" s="23"/>
      <c r="BM196" s="23"/>
      <c r="BN196" s="23"/>
    </row>
    <row r="197" spans="1:72" ht="15" thickBot="1" x14ac:dyDescent="0.35">
      <c r="B197" s="1688" t="s">
        <v>469</v>
      </c>
      <c r="C197" s="1216" t="s">
        <v>49</v>
      </c>
      <c r="D197" s="1323">
        <v>9.93</v>
      </c>
      <c r="E197" s="1213">
        <f>+$D$197</f>
        <v>9.93</v>
      </c>
      <c r="F197" s="89">
        <f>+((F149*F106)+(F177*F123))/F140</f>
        <v>8.5889184156216132</v>
      </c>
      <c r="G197" s="1213">
        <f>+$D$197</f>
        <v>9.93</v>
      </c>
      <c r="H197" s="89">
        <f>+((H149*H106)+(H177*H123))/H140</f>
        <v>8.9917116031622424</v>
      </c>
      <c r="I197" s="1251">
        <f>+$D$197</f>
        <v>9.93</v>
      </c>
      <c r="J197" s="530">
        <f>+((J149*J106)+(J177*J123))/J140</f>
        <v>8.7900630363152974</v>
      </c>
      <c r="K197" s="1213">
        <f>+$D$197</f>
        <v>9.93</v>
      </c>
      <c r="L197" s="89" t="e">
        <f>+((L149*L106)+(L177*L123))/L140</f>
        <v>#REF!</v>
      </c>
      <c r="M197" s="1451">
        <f>+$D$197</f>
        <v>9.93</v>
      </c>
      <c r="N197" s="90" t="e">
        <f>+((N149*N106)+(N177*N123))/N140</f>
        <v>#REF!</v>
      </c>
      <c r="O197" s="1213">
        <f>+$D$197</f>
        <v>9.93</v>
      </c>
      <c r="P197" s="89" t="e">
        <f>+((P149*P106)+(P177*P123))/P140</f>
        <v>#REF!</v>
      </c>
      <c r="Q197" s="1251">
        <f>+$D$197</f>
        <v>9.93</v>
      </c>
      <c r="R197" s="530" t="e">
        <f>+((R149*R106)+(R177*R123))/R140</f>
        <v>#REF!</v>
      </c>
      <c r="S197" s="1213">
        <f>+$D$197</f>
        <v>9.93</v>
      </c>
      <c r="T197" s="89" t="e">
        <f>+((T149*T106)+(T177*T123))/T140</f>
        <v>#REF!</v>
      </c>
      <c r="U197" s="1251">
        <f>+$D$197</f>
        <v>9.93</v>
      </c>
      <c r="V197" s="530" t="e">
        <f>+((V149*V106)+(V177*V123))/V140</f>
        <v>#REF!</v>
      </c>
      <c r="W197" s="1213">
        <f>+$D$197</f>
        <v>9.93</v>
      </c>
      <c r="X197" s="89" t="e">
        <f>+((X149*X106)+(X177*X123))/X140</f>
        <v>#REF!</v>
      </c>
      <c r="Y197" s="1451">
        <f>+$D$197</f>
        <v>9.93</v>
      </c>
      <c r="Z197" s="1922" t="e">
        <f>+((Z149*Z106)+(Z177*Z123))/Z140</f>
        <v>#REF!</v>
      </c>
      <c r="AA197" s="1476">
        <f>+$D$197</f>
        <v>9.93</v>
      </c>
      <c r="AB197" s="1923" t="e">
        <f>+((AB149*AB106)+(AB177*AB123))/AB140</f>
        <v>#REF!</v>
      </c>
      <c r="AC197" s="1213">
        <f>+$D$197</f>
        <v>9.93</v>
      </c>
      <c r="AD197" s="89" t="e">
        <f>+((AD149*AD106)+(AD177*AD123))/AD140</f>
        <v>#REF!</v>
      </c>
      <c r="AE197" s="1251">
        <f>+$D$197</f>
        <v>9.93</v>
      </c>
      <c r="AF197" s="530" t="e">
        <f>+((AF149*AF106)+(AF177*AF123))/AF140</f>
        <v>#REF!</v>
      </c>
      <c r="AG197" s="1213">
        <f>+$D$197</f>
        <v>9.93</v>
      </c>
      <c r="AH197" s="89" t="e">
        <f>+((AH149*AH106)+(AH177*AH123))/AH140</f>
        <v>#REF!</v>
      </c>
      <c r="AI197" s="1251">
        <f>+$D$197</f>
        <v>9.93</v>
      </c>
      <c r="AJ197" s="530" t="e">
        <f>+((AJ149*AJ106)+(AJ177*AJ123))/AJ140</f>
        <v>#REF!</v>
      </c>
      <c r="AK197" s="1213">
        <f>+$D$197</f>
        <v>9.93</v>
      </c>
      <c r="AL197" s="89" t="e">
        <f>+((AL149*AL106)+(AL177*AL123))/AL140</f>
        <v>#REF!</v>
      </c>
      <c r="AM197" s="1451">
        <f>+$D$197</f>
        <v>9.93</v>
      </c>
      <c r="AN197" s="1922" t="e">
        <f>+((AN149*AN106)+(AN177*AN123))/AN140</f>
        <v>#REF!</v>
      </c>
      <c r="AO197" s="1251">
        <f>+$D$197</f>
        <v>9.93</v>
      </c>
      <c r="AP197" s="530" t="e">
        <f>+((AP149*AP106)+(AP177*AP123))/AP140</f>
        <v>#REF!</v>
      </c>
      <c r="AQ197" s="1213">
        <f>+$D$197</f>
        <v>9.93</v>
      </c>
      <c r="AR197" s="89" t="e">
        <f>+((AR149*AR106)+(AR177*AR123))/AR140</f>
        <v>#REF!</v>
      </c>
      <c r="AS197" s="1251">
        <f>+$D$197</f>
        <v>9.93</v>
      </c>
      <c r="AT197" s="530" t="e">
        <f>+((AT149*AT106)+(AT177*AT123))/AT140</f>
        <v>#REF!</v>
      </c>
      <c r="AU197" s="1213">
        <f>+$D$197</f>
        <v>9.93</v>
      </c>
      <c r="AV197" s="89" t="e">
        <f>+((AV149*AV106)+(AV177*AV123))/AV140</f>
        <v>#REF!</v>
      </c>
      <c r="AW197" s="1251">
        <f>+$D$197</f>
        <v>9.93</v>
      </c>
      <c r="AX197" s="530" t="e">
        <f>+((AX149*AX106)+(AX177*AX123))/AX140</f>
        <v>#REF!</v>
      </c>
      <c r="AY197" s="1213">
        <f>+$D$197</f>
        <v>9.93</v>
      </c>
      <c r="AZ197" s="89" t="e">
        <f>+((AZ149*AZ106)+(AZ177*AZ123))/AZ140</f>
        <v>#REF!</v>
      </c>
      <c r="BA197" s="1451">
        <f>+$D$197</f>
        <v>9.93</v>
      </c>
      <c r="BB197" s="1922" t="e">
        <f>+((BB149*BB106)+(BB177*BB123))/BB140</f>
        <v>#REF!</v>
      </c>
      <c r="BC197" s="1476">
        <f>+$D$197</f>
        <v>9.93</v>
      </c>
      <c r="BD197" s="2108" t="e">
        <f>+((BD149*BD106)+(BD177*BD123))/BD140</f>
        <v>#REF!</v>
      </c>
      <c r="BE197" s="1251">
        <f>+$D$197</f>
        <v>9.93</v>
      </c>
      <c r="BF197" s="530" t="e">
        <f>+((BF149*BF106)+(BF177*BF123))/BF140</f>
        <v>#REF!</v>
      </c>
      <c r="BG197" s="1111"/>
      <c r="BH197" s="1111"/>
      <c r="BI197" s="1111"/>
      <c r="BJ197" s="1111"/>
      <c r="BK197" s="1111"/>
      <c r="BL197" s="23"/>
      <c r="BM197" s="23"/>
      <c r="BN197" s="23"/>
    </row>
    <row r="198" spans="1:72" ht="15" thickBot="1" x14ac:dyDescent="0.35">
      <c r="A198" s="136"/>
      <c r="B198" s="1572" t="s">
        <v>666</v>
      </c>
      <c r="C198" s="1277" t="s">
        <v>49</v>
      </c>
      <c r="D198" s="2484" t="s">
        <v>1919</v>
      </c>
      <c r="E198" s="2485" t="str">
        <f>$D$198</f>
        <v>&lt;=2</v>
      </c>
      <c r="F198" s="1214">
        <f>+((F156*F21)+(F22*F181))/(F21+F22)</f>
        <v>1.3715809041838409</v>
      </c>
      <c r="G198" s="2485" t="str">
        <f>$D$198</f>
        <v>&lt;=2</v>
      </c>
      <c r="H198" s="1214">
        <f>+((H156*H21)+(H22*H181))/(H21+H22)</f>
        <v>1.7090148978908606</v>
      </c>
      <c r="I198" s="1252" t="str">
        <f>+$D$198</f>
        <v>&lt;=2</v>
      </c>
      <c r="J198" s="531">
        <f>+((J156*J21)+(J22*J181))/(J21+J22)</f>
        <v>1.5400868513814248</v>
      </c>
      <c r="K198" s="2485" t="str">
        <f>$D$198</f>
        <v>&lt;=2</v>
      </c>
      <c r="L198" s="1214">
        <f>+((L156*L21)+(L22*L181))/(L21+L22)</f>
        <v>1.3721789939139493</v>
      </c>
      <c r="M198" s="1452" t="str">
        <f>+$D$198</f>
        <v>&lt;=2</v>
      </c>
      <c r="N198" s="1453">
        <f>+((N156*N21)+(N22*N181))/(N21+N22)</f>
        <v>1.4840550533054235</v>
      </c>
      <c r="O198" s="2485" t="str">
        <f>$D$198</f>
        <v>&lt;=2</v>
      </c>
      <c r="P198" s="1214">
        <f>+((P156*P21)+(P22*P181))/(P21+P22)</f>
        <v>1.3611379947334052</v>
      </c>
      <c r="Q198" s="1252" t="str">
        <f>+$D$198</f>
        <v>&lt;=2</v>
      </c>
      <c r="R198" s="531">
        <f>+((R156*R21)+(R22*R181))/(R21+R22)</f>
        <v>1.4525097256059678</v>
      </c>
      <c r="S198" s="2485" t="str">
        <f>$D$198</f>
        <v>&lt;=2</v>
      </c>
      <c r="T198" s="1214">
        <f>+((T156*T21)+(T22*T181))/(T21+T22)</f>
        <v>1.4438928639440998</v>
      </c>
      <c r="U198" s="1252" t="str">
        <f>+$D$198</f>
        <v>&lt;=2</v>
      </c>
      <c r="V198" s="531">
        <f>+((V156*V21)+(V22*V181))/(V21+V22)</f>
        <v>1.4507413849032522</v>
      </c>
      <c r="W198" s="2485" t="str">
        <f>$D$198</f>
        <v>&lt;=2</v>
      </c>
      <c r="X198" s="1214">
        <f>+((X156*X21)+(X22*X181))/(X21+X22)</f>
        <v>1.693373546646967</v>
      </c>
      <c r="Y198" s="1452" t="str">
        <f>+$D$198</f>
        <v>&lt;=2</v>
      </c>
      <c r="Z198" s="599">
        <f>+((Z156*Z21)+(Z22*Z181))/(Z21+Z22)</f>
        <v>1.4974439985086738</v>
      </c>
      <c r="AA198" s="1477" t="str">
        <f>+$D$198</f>
        <v>&lt;=2</v>
      </c>
      <c r="AB198" s="2108">
        <f>+((AB156*AB21)+(AB22*AB181))/(AB21+AB22)</f>
        <v>1.4908410159930752</v>
      </c>
      <c r="AC198" s="2485" t="str">
        <f>$D$198</f>
        <v>&lt;=2</v>
      </c>
      <c r="AD198" s="1214">
        <f>+((AD156*AD21)+(AD22*AD181))/(AD21+AD22)</f>
        <v>1.7917291212793798</v>
      </c>
      <c r="AE198" s="1252" t="str">
        <f>+$D$198</f>
        <v>&lt;=2</v>
      </c>
      <c r="AF198" s="1684">
        <f>+((AF156*AF21)+(AF22*AF181))/(AF21+AF22)</f>
        <v>1.5341624607894089</v>
      </c>
      <c r="AG198" s="2485" t="str">
        <f>$D$198</f>
        <v>&lt;=2</v>
      </c>
      <c r="AH198" s="1214">
        <f>+((AH156*AH21)+(AH22*AH181))/(AH21+AH22)</f>
        <v>1.4085969957553002</v>
      </c>
      <c r="AI198" s="1252" t="str">
        <f>+$D$198</f>
        <v>&lt;=2</v>
      </c>
      <c r="AJ198" s="1684">
        <f>+((AJ156*AJ21)+(AJ22*AJ181))/(AJ21+AJ22)</f>
        <v>1.5188262636404182</v>
      </c>
      <c r="AK198" s="2485" t="str">
        <f>$D$198</f>
        <v>&lt;=2</v>
      </c>
      <c r="AL198" s="1214">
        <f>+((AL156*AL21)+(AL22*AL181))/(AL21+AL22)</f>
        <v>1.4008106710224639</v>
      </c>
      <c r="AM198" s="1452" t="str">
        <f>+$D$198</f>
        <v>&lt;=2</v>
      </c>
      <c r="AN198" s="599">
        <f>+((AN156*AN21)+(AN22*AN181))/(AN21+AN22)</f>
        <v>1.5351987842495163</v>
      </c>
      <c r="AO198" s="1252" t="str">
        <f>+$D$198</f>
        <v>&lt;=2</v>
      </c>
      <c r="AP198" s="1684">
        <f>+((AP156*AP21)+(AP22*AP181))/(AP21+AP22)</f>
        <v>1.5056008065166802</v>
      </c>
      <c r="AQ198" s="2485" t="str">
        <f>$D$198</f>
        <v>&lt;=2</v>
      </c>
      <c r="AR198" s="1214">
        <f>+((AR156*AR21)+(AR22*AR181))/(AR21+AR22)</f>
        <v>1.4707130870246707</v>
      </c>
      <c r="AS198" s="1252" t="str">
        <f>+$D$198</f>
        <v>&lt;=2</v>
      </c>
      <c r="AT198" s="1684">
        <f>+((AT156*AT21)+(AT22*AT181))/(AT21+AT22)</f>
        <v>1.5020949244496715</v>
      </c>
      <c r="AU198" s="2485" t="str">
        <f>$D$198</f>
        <v>&lt;=2</v>
      </c>
      <c r="AV198" s="1214">
        <f>+((AV156*AV21)+(AV22*AV181))/(AV21+AV22)</f>
        <v>1.4673281582476885</v>
      </c>
      <c r="AW198" s="1252" t="str">
        <f>+$D$198</f>
        <v>&lt;=2</v>
      </c>
      <c r="AX198" s="1684">
        <f>+((AX156*AX21)+(AX22*AX181))/(AX21+AX22)</f>
        <v>1.4992029312920438</v>
      </c>
      <c r="AY198" s="2485" t="str">
        <f>$D$198</f>
        <v>&lt;=2</v>
      </c>
      <c r="AZ198" s="1214">
        <f>+((AZ156*AZ21)+(AZ22*AZ181))/(AZ21+AZ22)</f>
        <v>1.3889480358457851</v>
      </c>
      <c r="BA198" s="1452" t="str">
        <f>+$D$198</f>
        <v>&lt;=2</v>
      </c>
      <c r="BB198" s="1922">
        <f>+((BB156*BB21)+(BB22*BB181))/(BB21+BB22)</f>
        <v>1.4411889303509666</v>
      </c>
      <c r="BC198" s="1477" t="str">
        <f>+$D$198</f>
        <v>&lt;=2</v>
      </c>
      <c r="BD198" s="2108">
        <f>+((BD156*BD21)+(BD22*BD181))/(BD21+BD22)</f>
        <v>1.4886614505888121</v>
      </c>
      <c r="BE198" s="1252" t="str">
        <f>+$D$198</f>
        <v>&lt;=2</v>
      </c>
      <c r="BF198" s="1684">
        <f>+((BF156*BF21)+(BF22*BF181))/(BF21+BF22)</f>
        <v>1.489758072039395</v>
      </c>
      <c r="BG198" s="1111"/>
      <c r="BH198" s="1111"/>
      <c r="BI198" s="1111"/>
      <c r="BJ198" s="1111"/>
      <c r="BK198" s="1111"/>
      <c r="BL198" s="23"/>
      <c r="BM198" s="23"/>
      <c r="BN198" s="23"/>
    </row>
    <row r="199" spans="1:72" ht="15" thickBot="1" x14ac:dyDescent="0.35">
      <c r="A199" s="136"/>
      <c r="B199" s="1713" t="s">
        <v>470</v>
      </c>
      <c r="C199" s="1296" t="s">
        <v>49</v>
      </c>
      <c r="D199" s="1318">
        <v>2.5000000000000004</v>
      </c>
      <c r="E199" s="691">
        <f>+$D$199</f>
        <v>2.5000000000000004</v>
      </c>
      <c r="F199" s="124">
        <f>+((F138*2.5)+(F139*2.5))/F140</f>
        <v>2.5000000000000004</v>
      </c>
      <c r="G199" s="691">
        <f>+$D$199</f>
        <v>2.5000000000000004</v>
      </c>
      <c r="H199" s="124">
        <f>+((H138*2.5)+(H139*2.5))/H140</f>
        <v>2.4999999999999996</v>
      </c>
      <c r="I199" s="692">
        <f>+$D$199</f>
        <v>2.5000000000000004</v>
      </c>
      <c r="J199" s="1685">
        <v>2.5</v>
      </c>
      <c r="K199" s="691">
        <f>+$D$199</f>
        <v>2.5000000000000004</v>
      </c>
      <c r="L199" s="124" t="e">
        <f>+((L138*2.5)+((+#REF!+L139+#REF!)*2.5))/L140</f>
        <v>#REF!</v>
      </c>
      <c r="M199" s="693">
        <f>+$D$199</f>
        <v>2.5000000000000004</v>
      </c>
      <c r="N199" s="158" t="e">
        <f>+((N138*2.5)+((+#REF!+N139+#REF!)*2.5))/N140</f>
        <v>#REF!</v>
      </c>
      <c r="O199" s="691">
        <f>+$D$199</f>
        <v>2.5000000000000004</v>
      </c>
      <c r="P199" s="124" t="e">
        <f>+((P138*2.5)+((+#REF!+P139+#REF!)*2.5))/P140</f>
        <v>#REF!</v>
      </c>
      <c r="Q199" s="692">
        <f>+$D$199</f>
        <v>2.5000000000000004</v>
      </c>
      <c r="R199" s="1685" t="e">
        <f>+((R138*2.5)+((+#REF!+R139+#REF!)*2.5))/R140</f>
        <v>#REF!</v>
      </c>
      <c r="S199" s="691">
        <f>+$D$199</f>
        <v>2.5000000000000004</v>
      </c>
      <c r="T199" s="124" t="e">
        <f>+((T138*2.5)+((+#REF!+T139+#REF!)*2.5))/T140</f>
        <v>#REF!</v>
      </c>
      <c r="U199" s="692">
        <f>+$D$199</f>
        <v>2.5000000000000004</v>
      </c>
      <c r="V199" s="1685" t="e">
        <f>+((V138*2.5)+((+#REF!+V139+#REF!)*2.5))/V140</f>
        <v>#REF!</v>
      </c>
      <c r="W199" s="691">
        <f>+$D$199</f>
        <v>2.5000000000000004</v>
      </c>
      <c r="X199" s="124" t="e">
        <f>+((X138*2.5)+((+#REF!+X139+#REF!)*2.5))/X140</f>
        <v>#REF!</v>
      </c>
      <c r="Y199" s="693">
        <f>+$D$199</f>
        <v>2.5000000000000004</v>
      </c>
      <c r="Z199" s="1929" t="e">
        <f>+((Z138*2.5)+((+#REF!+Z139+#REF!)*2.5))/Z140</f>
        <v>#REF!</v>
      </c>
      <c r="AA199" s="694">
        <f>+$D$199</f>
        <v>2.5000000000000004</v>
      </c>
      <c r="AB199" s="440" t="e">
        <f>+((AB138*2.5)+((+#REF!+AB139+#REF!)*2.5))/AB140</f>
        <v>#REF!</v>
      </c>
      <c r="AC199" s="691">
        <f>+$D$199</f>
        <v>2.5000000000000004</v>
      </c>
      <c r="AD199" s="124" t="e">
        <f>+((AD138*2.5)+((+#REF!+AD139+#REF!)*2.5))/AD140</f>
        <v>#REF!</v>
      </c>
      <c r="AE199" s="692">
        <f>+$D$199</f>
        <v>2.5000000000000004</v>
      </c>
      <c r="AF199" s="1686" t="e">
        <f>+((AF138*2.5)+((+#REF!+AF139+#REF!)*2.5))/AF140</f>
        <v>#REF!</v>
      </c>
      <c r="AG199" s="691">
        <f>+$D$199</f>
        <v>2.5000000000000004</v>
      </c>
      <c r="AH199" s="124" t="e">
        <f>+((AH138*2.5)+((+#REF!+AH139+#REF!)*2.5))/AH140</f>
        <v>#REF!</v>
      </c>
      <c r="AI199" s="692">
        <f>+$D$199</f>
        <v>2.5000000000000004</v>
      </c>
      <c r="AJ199" s="1686" t="e">
        <f>+((AJ138*2.5)+((+#REF!+AJ139+#REF!)*2.5))/AJ140</f>
        <v>#REF!</v>
      </c>
      <c r="AK199" s="691">
        <f>+$D$199</f>
        <v>2.5000000000000004</v>
      </c>
      <c r="AL199" s="124" t="e">
        <f>+((AL138*2.5)+((+#REF!+AL139+#REF!)*2.5))/AL140</f>
        <v>#REF!</v>
      </c>
      <c r="AM199" s="693">
        <f>+$D$199</f>
        <v>2.5000000000000004</v>
      </c>
      <c r="AN199" s="1929" t="e">
        <f>+((AN138*2.5)+((+#REF!+AN139+#REF!)*2.5))/AN140</f>
        <v>#REF!</v>
      </c>
      <c r="AO199" s="692">
        <f>+$D$199</f>
        <v>2.5000000000000004</v>
      </c>
      <c r="AP199" s="1686" t="e">
        <f>+((AP138*2.5)+((+#REF!+AP139+#REF!)*2.5))/AP140</f>
        <v>#REF!</v>
      </c>
      <c r="AQ199" s="691">
        <f>+$D$199</f>
        <v>2.5000000000000004</v>
      </c>
      <c r="AR199" s="124" t="e">
        <f>+((AR138*2.5)+((+#REF!+AR139+#REF!)*2.5))/AR140</f>
        <v>#REF!</v>
      </c>
      <c r="AS199" s="692">
        <f>+$D$199</f>
        <v>2.5000000000000004</v>
      </c>
      <c r="AT199" s="1686" t="e">
        <f>+((AT138*2.5)+((+#REF!+AT139+#REF!)*2.5))/AT140</f>
        <v>#REF!</v>
      </c>
      <c r="AU199" s="691">
        <f>+$D$199</f>
        <v>2.5000000000000004</v>
      </c>
      <c r="AV199" s="124" t="e">
        <f>+((AV138*2.5)+((+#REF!+AV139+#REF!)*2.5))/AV140</f>
        <v>#REF!</v>
      </c>
      <c r="AW199" s="692">
        <f>+$D$199</f>
        <v>2.5000000000000004</v>
      </c>
      <c r="AX199" s="1686" t="e">
        <f>+((AX138*2.5)+((+#REF!+AX139+#REF!)*2.5))/AX140</f>
        <v>#REF!</v>
      </c>
      <c r="AY199" s="691">
        <f>+$D$199</f>
        <v>2.5000000000000004</v>
      </c>
      <c r="AZ199" s="124" t="e">
        <f>+((AZ138*2.5)+((+#REF!+AZ139+#REF!)*2.5))/AZ140</f>
        <v>#REF!</v>
      </c>
      <c r="BA199" s="693">
        <f>+$D$199</f>
        <v>2.5000000000000004</v>
      </c>
      <c r="BB199" s="1929" t="e">
        <f>+((BB138*2.5)+((+#REF!+BB139+#REF!)*2.5))/BB140</f>
        <v>#REF!</v>
      </c>
      <c r="BC199" s="694">
        <f>+$D$199</f>
        <v>2.5000000000000004</v>
      </c>
      <c r="BD199" s="440" t="e">
        <f>+((BD138*2.5)+((+#REF!+BD139+#REF!)*2.5))/BD140</f>
        <v>#REF!</v>
      </c>
      <c r="BE199" s="692">
        <f>+$D$199</f>
        <v>2.5000000000000004</v>
      </c>
      <c r="BF199" s="1686" t="e">
        <f>+((BF138*2.5)+((+#REF!+BF139+#REF!)*2.5))/BF140</f>
        <v>#REF!</v>
      </c>
      <c r="BG199" s="1111"/>
      <c r="BH199" s="1111"/>
      <c r="BI199" s="1111"/>
      <c r="BJ199" s="1111"/>
      <c r="BK199" s="1111"/>
      <c r="BL199" s="23"/>
      <c r="BM199" s="23"/>
      <c r="BN199" s="23"/>
    </row>
    <row r="200" spans="1:72" x14ac:dyDescent="0.3">
      <c r="A200" s="136"/>
      <c r="B200" s="1696"/>
      <c r="C200" s="491"/>
      <c r="D200" s="491"/>
      <c r="E200" s="491"/>
      <c r="F200" s="491"/>
      <c r="G200" s="491"/>
      <c r="H200" s="491"/>
      <c r="I200" s="491"/>
      <c r="J200" s="491"/>
      <c r="K200" s="491"/>
      <c r="L200" s="491"/>
      <c r="M200" s="491"/>
      <c r="N200" s="491"/>
      <c r="O200" s="491"/>
      <c r="P200" s="491"/>
      <c r="Q200" s="491"/>
      <c r="R200" s="491"/>
      <c r="S200" s="491"/>
      <c r="T200" s="491"/>
      <c r="U200" s="491"/>
      <c r="V200" s="491"/>
      <c r="W200" s="491"/>
      <c r="X200" s="491"/>
      <c r="Y200" s="491"/>
      <c r="Z200" s="491"/>
      <c r="AA200" s="491"/>
      <c r="AB200" s="1681"/>
      <c r="AC200" s="491"/>
      <c r="AD200" s="491"/>
      <c r="AE200" s="491"/>
      <c r="AF200" s="491"/>
      <c r="AG200" s="491"/>
      <c r="AH200" s="491"/>
      <c r="AI200" s="491"/>
      <c r="AJ200" s="491"/>
      <c r="AK200" s="491"/>
      <c r="AL200" s="491"/>
      <c r="AM200" s="491"/>
      <c r="AN200" s="491"/>
      <c r="AO200" s="491"/>
      <c r="AP200" s="491"/>
      <c r="AQ200" s="491"/>
      <c r="AR200" s="491"/>
      <c r="AS200" s="491"/>
      <c r="AT200" s="491"/>
      <c r="AU200" s="491"/>
      <c r="AV200" s="491"/>
      <c r="AW200" s="491"/>
      <c r="AX200" s="491"/>
      <c r="AY200" s="491"/>
      <c r="AZ200" s="491"/>
      <c r="BA200" s="491"/>
      <c r="BB200" s="491"/>
      <c r="BC200" s="491"/>
      <c r="BD200" s="1681"/>
      <c r="BE200" s="491"/>
      <c r="BF200" s="491"/>
      <c r="BG200" s="1111"/>
      <c r="BH200" s="1111"/>
      <c r="BI200" s="1111"/>
      <c r="BJ200" s="1111"/>
      <c r="BK200" s="1111"/>
      <c r="BL200" s="23"/>
      <c r="BM200" s="23"/>
      <c r="BN200" s="23"/>
    </row>
    <row r="201" spans="1:72" ht="15" thickBot="1" x14ac:dyDescent="0.35">
      <c r="B201" s="1696"/>
      <c r="C201" s="491"/>
      <c r="D201" s="491"/>
      <c r="E201" s="491"/>
      <c r="F201" s="491"/>
      <c r="G201" s="491"/>
      <c r="H201" s="491"/>
      <c r="I201" s="491"/>
      <c r="J201" s="491"/>
      <c r="K201" s="491"/>
      <c r="L201" s="491"/>
      <c r="M201" s="491"/>
      <c r="N201" s="491"/>
      <c r="O201" s="491"/>
      <c r="P201" s="491"/>
      <c r="Q201" s="491"/>
      <c r="R201" s="491"/>
      <c r="S201" s="491"/>
      <c r="T201" s="491"/>
      <c r="U201" s="491"/>
      <c r="V201" s="491"/>
      <c r="W201" s="491"/>
      <c r="X201" s="491"/>
      <c r="Y201" s="491"/>
      <c r="Z201" s="491"/>
      <c r="AA201" s="491"/>
      <c r="AB201" s="1681"/>
      <c r="AC201" s="491"/>
      <c r="AD201" s="491"/>
      <c r="AE201" s="491"/>
      <c r="AF201" s="491"/>
      <c r="AG201" s="491"/>
      <c r="AH201" s="491"/>
      <c r="AI201" s="491"/>
      <c r="AJ201" s="491"/>
      <c r="AK201" s="491"/>
      <c r="AL201" s="491"/>
      <c r="AM201" s="491"/>
      <c r="AN201" s="491"/>
      <c r="AO201" s="491"/>
      <c r="AP201" s="491"/>
      <c r="AQ201" s="491"/>
      <c r="AR201" s="491"/>
      <c r="AS201" s="491"/>
      <c r="AT201" s="491"/>
      <c r="AU201" s="491"/>
      <c r="AV201" s="491"/>
      <c r="AW201" s="491"/>
      <c r="AX201" s="491"/>
      <c r="AY201" s="491"/>
      <c r="AZ201" s="491"/>
      <c r="BA201" s="491"/>
      <c r="BB201" s="491"/>
      <c r="BC201" s="491"/>
      <c r="BD201" s="1681"/>
      <c r="BE201" s="491"/>
      <c r="BF201" s="491"/>
      <c r="BG201" s="1111"/>
      <c r="BH201" s="1111"/>
      <c r="BI201" s="1111"/>
      <c r="BJ201" s="1111"/>
      <c r="BK201" s="1111"/>
      <c r="BL201" s="23"/>
      <c r="BM201" s="23"/>
      <c r="BN201" s="23"/>
    </row>
    <row r="202" spans="1:72" ht="18" thickBot="1" x14ac:dyDescent="0.35">
      <c r="B202" s="1679" t="s">
        <v>615</v>
      </c>
      <c r="C202" s="1716"/>
      <c r="D202" s="491"/>
      <c r="E202" s="491"/>
      <c r="F202" s="491"/>
      <c r="G202" s="491"/>
      <c r="H202" s="491"/>
      <c r="I202" s="491"/>
      <c r="J202" s="491"/>
      <c r="K202" s="491"/>
      <c r="L202" s="491"/>
      <c r="M202" s="491"/>
      <c r="N202" s="491"/>
      <c r="O202" s="491"/>
      <c r="P202" s="491"/>
      <c r="Q202" s="491"/>
      <c r="R202" s="491"/>
      <c r="S202" s="491"/>
      <c r="T202" s="491"/>
      <c r="U202" s="491"/>
      <c r="V202" s="491"/>
      <c r="W202" s="491"/>
      <c r="X202" s="491"/>
      <c r="Y202" s="491"/>
      <c r="Z202" s="491"/>
      <c r="AA202" s="491"/>
      <c r="AB202" s="1681"/>
      <c r="AC202" s="491"/>
      <c r="AD202" s="491"/>
      <c r="AE202" s="491"/>
      <c r="AF202" s="491"/>
      <c r="AG202" s="491"/>
      <c r="AH202" s="491"/>
      <c r="AI202" s="491"/>
      <c r="AJ202" s="491"/>
      <c r="AK202" s="491"/>
      <c r="AL202" s="491"/>
      <c r="AM202" s="491"/>
      <c r="AN202" s="491"/>
      <c r="AO202" s="491"/>
      <c r="AP202" s="491"/>
      <c r="AQ202" s="491"/>
      <c r="AR202" s="491"/>
      <c r="AS202" s="491"/>
      <c r="AT202" s="491"/>
      <c r="AU202" s="491"/>
      <c r="AV202" s="491"/>
      <c r="AW202" s="491"/>
      <c r="AX202" s="491"/>
      <c r="AY202" s="491"/>
      <c r="AZ202" s="491"/>
      <c r="BA202" s="491"/>
      <c r="BB202" s="491"/>
      <c r="BC202" s="491"/>
      <c r="BD202" s="1681"/>
      <c r="BE202" s="491"/>
      <c r="BF202" s="491"/>
      <c r="BG202" s="1111"/>
      <c r="BH202" s="1111"/>
      <c r="BI202" s="1111"/>
      <c r="BJ202" s="1111"/>
      <c r="BK202" s="1111"/>
      <c r="BL202" s="23"/>
      <c r="BM202" s="23"/>
      <c r="BN202" s="23"/>
    </row>
    <row r="203" spans="1:72" x14ac:dyDescent="0.3">
      <c r="B203" s="1717" t="s">
        <v>1904</v>
      </c>
      <c r="C203" s="1216" t="s">
        <v>49</v>
      </c>
      <c r="D203" s="1701">
        <f t="shared" ref="D203:AI203" si="868">+D125/D$140*100</f>
        <v>39.200611117106291</v>
      </c>
      <c r="E203" s="704">
        <f t="shared" si="868"/>
        <v>39.189731289480896</v>
      </c>
      <c r="F203" s="132">
        <f t="shared" si="868"/>
        <v>38.360050648032043</v>
      </c>
      <c r="G203" s="704">
        <f t="shared" ref="G203:H203" si="869">+G125/G$140*100</f>
        <v>39.187319816506182</v>
      </c>
      <c r="H203" s="132">
        <f t="shared" si="869"/>
        <v>40.551896515192084</v>
      </c>
      <c r="I203" s="1332">
        <f t="shared" ref="I203:J203" si="870">+I125/I$140*100</f>
        <v>39.188508081673703</v>
      </c>
      <c r="J203" s="153">
        <f t="shared" si="870"/>
        <v>39.454602440878475</v>
      </c>
      <c r="K203" s="704">
        <f t="shared" si="868"/>
        <v>48.574343283186217</v>
      </c>
      <c r="L203" s="132">
        <f t="shared" si="868"/>
        <v>43.236167080101168</v>
      </c>
      <c r="M203" s="1437">
        <f t="shared" si="868"/>
        <v>46.303165420624651</v>
      </c>
      <c r="N203" s="161">
        <f t="shared" si="868"/>
        <v>43.659553581567778</v>
      </c>
      <c r="O203" s="704">
        <f t="shared" si="868"/>
        <v>48.574343283186217</v>
      </c>
      <c r="P203" s="132">
        <f t="shared" si="868"/>
        <v>43.999999866888686</v>
      </c>
      <c r="Q203" s="705">
        <f t="shared" si="868"/>
        <v>46.90601291202222</v>
      </c>
      <c r="R203" s="153">
        <f t="shared" si="868"/>
        <v>43.751223739142539</v>
      </c>
      <c r="S203" s="704">
        <f t="shared" si="868"/>
        <v>48.574343283186217</v>
      </c>
      <c r="T203" s="132">
        <f t="shared" si="868"/>
        <v>43.999999877526307</v>
      </c>
      <c r="U203" s="705">
        <f t="shared" si="868"/>
        <v>47.255957207987834</v>
      </c>
      <c r="V203" s="153">
        <f t="shared" si="868"/>
        <v>43.804253458456863</v>
      </c>
      <c r="W203" s="704">
        <f t="shared" si="868"/>
        <v>48.558095524130309</v>
      </c>
      <c r="X203" s="132">
        <f t="shared" si="868"/>
        <v>44.000056895406296</v>
      </c>
      <c r="Y203" s="1409">
        <f t="shared" si="868"/>
        <v>48.569180272561134</v>
      </c>
      <c r="Z203" s="1409">
        <f t="shared" si="868"/>
        <v>44.000018525534493</v>
      </c>
      <c r="AA203" s="2109">
        <f t="shared" si="868"/>
        <v>47.468804431155874</v>
      </c>
      <c r="AB203" s="442">
        <f t="shared" si="868"/>
        <v>43.837783395375979</v>
      </c>
      <c r="AC203" s="704">
        <f t="shared" si="868"/>
        <v>48.574343283186217</v>
      </c>
      <c r="AD203" s="132">
        <f t="shared" si="868"/>
        <v>44.000049612195291</v>
      </c>
      <c r="AE203" s="1332">
        <f t="shared" si="868"/>
        <v>47.633835622350475</v>
      </c>
      <c r="AF203" s="153">
        <f t="shared" si="868"/>
        <v>43.861856830937974</v>
      </c>
      <c r="AG203" s="704">
        <f t="shared" si="868"/>
        <v>48.574343283186217</v>
      </c>
      <c r="AH203" s="132">
        <f t="shared" si="868"/>
        <v>43.999999999999993</v>
      </c>
      <c r="AI203" s="1332">
        <f t="shared" si="868"/>
        <v>47.752552592197446</v>
      </c>
      <c r="AJ203" s="153">
        <f t="shared" ref="AJ203:BF203" si="871">+AJ125/AJ$140*100</f>
        <v>43.879221660263283</v>
      </c>
      <c r="AK203" s="704">
        <f t="shared" si="871"/>
        <v>48.574343283186217</v>
      </c>
      <c r="AL203" s="132">
        <f t="shared" si="871"/>
        <v>43.382402530235268</v>
      </c>
      <c r="AM203" s="1409">
        <f t="shared" si="871"/>
        <v>48.574343283186217</v>
      </c>
      <c r="AN203" s="1409">
        <f t="shared" si="871"/>
        <v>43.791812801636461</v>
      </c>
      <c r="AO203" s="1332">
        <f t="shared" si="871"/>
        <v>47.8473741094556</v>
      </c>
      <c r="AP203" s="153">
        <f t="shared" si="871"/>
        <v>43.82210700793199</v>
      </c>
      <c r="AQ203" s="704">
        <f t="shared" si="871"/>
        <v>48.574343283186217</v>
      </c>
      <c r="AR203" s="132">
        <f t="shared" si="871"/>
        <v>43.308685792679476</v>
      </c>
      <c r="AS203" s="1332">
        <f t="shared" si="871"/>
        <v>47.922577471829406</v>
      </c>
      <c r="AT203" s="153">
        <f t="shared" si="871"/>
        <v>43.76931746919611</v>
      </c>
      <c r="AU203" s="704">
        <f t="shared" si="871"/>
        <v>48.574343283186217</v>
      </c>
      <c r="AV203" s="132">
        <f t="shared" si="871"/>
        <v>42.553950130794078</v>
      </c>
      <c r="AW203" s="1332">
        <f t="shared" si="871"/>
        <v>47.978272383617075</v>
      </c>
      <c r="AX203" s="153">
        <f t="shared" si="871"/>
        <v>43.666076154120972</v>
      </c>
      <c r="AY203" s="704">
        <f t="shared" si="871"/>
        <v>48.574343283186217</v>
      </c>
      <c r="AZ203" s="132">
        <f t="shared" si="871"/>
        <v>39.139832436685701</v>
      </c>
      <c r="BA203" s="1409">
        <f t="shared" si="871"/>
        <v>48.574343283186217</v>
      </c>
      <c r="BB203" s="1409">
        <f t="shared" si="871"/>
        <v>41.623358327201238</v>
      </c>
      <c r="BC203" s="2109">
        <f t="shared" si="871"/>
        <v>48.574343283186217</v>
      </c>
      <c r="BD203" s="442">
        <f t="shared" si="871"/>
        <v>42.717847302529186</v>
      </c>
      <c r="BE203" s="1332">
        <f t="shared" si="871"/>
        <v>48.029791325093377</v>
      </c>
      <c r="BF203" s="153">
        <f t="shared" si="871"/>
        <v>43.270836761928827</v>
      </c>
      <c r="BG203" s="1111"/>
      <c r="BH203" s="1111"/>
      <c r="BI203" s="1111"/>
      <c r="BJ203" s="1111"/>
      <c r="BK203" s="1111"/>
      <c r="BL203" s="23"/>
      <c r="BM203" s="23"/>
      <c r="BN203" s="23"/>
      <c r="BP203" s="491"/>
      <c r="BQ203" s="491"/>
      <c r="BS203" s="491"/>
      <c r="BT203" s="491"/>
    </row>
    <row r="204" spans="1:72" x14ac:dyDescent="0.3">
      <c r="B204" s="1658" t="s">
        <v>581</v>
      </c>
      <c r="C204" s="1277" t="s">
        <v>49</v>
      </c>
      <c r="D204" s="130">
        <f>+D126/D$140*100</f>
        <v>9.4123979230101362</v>
      </c>
      <c r="E204" s="1248">
        <f>+E126/E$140*100</f>
        <v>9.3897460816988261</v>
      </c>
      <c r="F204" s="637">
        <f>+F126/F$140*100</f>
        <v>5.5036441703758543</v>
      </c>
      <c r="G204" s="1248">
        <f t="shared" ref="G204:H204" si="872">+G126/G$140*100</f>
        <v>9.3847253860563402</v>
      </c>
      <c r="H204" s="637">
        <f t="shared" si="872"/>
        <v>0</v>
      </c>
      <c r="I204" s="317">
        <f t="shared" ref="I204:J204" si="873">+I126/I$140*100</f>
        <v>9.3871993585251605</v>
      </c>
      <c r="J204" s="117">
        <f t="shared" si="873"/>
        <v>2.7552649690230488</v>
      </c>
      <c r="K204" s="1248">
        <f>+K126/K$140*100</f>
        <v>10.495031983023219</v>
      </c>
      <c r="L204" s="637">
        <f>+L126/L$140*100</f>
        <v>10.958410999038213</v>
      </c>
      <c r="M204" s="217">
        <f>+M126/M$140*100</f>
        <v>10.692637139575236</v>
      </c>
      <c r="N204" s="113">
        <f>+N126/N$140*100</f>
        <v>5.8765842026097515</v>
      </c>
      <c r="O204" s="1248">
        <f>+O126/O$140*100</f>
        <v>10.495031983023221</v>
      </c>
      <c r="P204" s="637">
        <f>+P126/P$140*100</f>
        <v>1.0573511330526661</v>
      </c>
      <c r="Q204" s="50">
        <f>+Q126/Q$140*100</f>
        <v>10.640186041456376</v>
      </c>
      <c r="R204" s="117">
        <f>+R126/R$140*100</f>
        <v>4.5789349876700172</v>
      </c>
      <c r="S204" s="1248">
        <f>+S126/S$140*100</f>
        <v>10.495031983023221</v>
      </c>
      <c r="T204" s="637">
        <f>+T126/T$140*100</f>
        <v>9.2760261794859264</v>
      </c>
      <c r="U204" s="50">
        <f>+U126/U$140*100</f>
        <v>10.609738933579592</v>
      </c>
      <c r="V204" s="117">
        <f>+V126/V$140*100</f>
        <v>5.5801782303458651</v>
      </c>
      <c r="W204" s="1248">
        <f>+W126/W$140*100</f>
        <v>10.4983478522183</v>
      </c>
      <c r="X204" s="637">
        <f>+X126/X$140*100</f>
        <v>10.946917752333137</v>
      </c>
      <c r="Y204" s="416">
        <f>+Y126/Y$140*100</f>
        <v>10.496085658660993</v>
      </c>
      <c r="Z204" s="416">
        <f>+Z126/Z$140*100</f>
        <v>7.065929521259898</v>
      </c>
      <c r="AA204" s="436">
        <f>+AA126/AA$140*100</f>
        <v>10.59153097359599</v>
      </c>
      <c r="AB204" s="444">
        <f>+AB126/AB$140*100</f>
        <v>6.4991939556931593</v>
      </c>
      <c r="AC204" s="1248">
        <f>+AC126/AC$140*100</f>
        <v>10.495031983023221</v>
      </c>
      <c r="AD204" s="637">
        <f>+AD126/AD$140*100</f>
        <v>7.3317781059680884</v>
      </c>
      <c r="AE204" s="317">
        <f>+AE126/AE$140*100</f>
        <v>10.57712592276123</v>
      </c>
      <c r="AF204" s="117">
        <f>+AF126/AF$140*100</f>
        <v>6.6227141885823997</v>
      </c>
      <c r="AG204" s="1248">
        <f>+AG126/AG$140*100</f>
        <v>10.495031983023219</v>
      </c>
      <c r="AH204" s="637">
        <f>+AH126/AH$140*100</f>
        <v>7.8913859669920887</v>
      </c>
      <c r="AI204" s="317">
        <f>+AI126/AI$140*100</f>
        <v>10.566763493857847</v>
      </c>
      <c r="AJ204" s="117">
        <f>+AJ126/AJ$140*100</f>
        <v>6.7821883707044543</v>
      </c>
      <c r="AK204" s="1248">
        <f>+AK126/AK$140*100</f>
        <v>10.495031983023221</v>
      </c>
      <c r="AL204" s="637">
        <f>+AL126/AL$140*100</f>
        <v>0.25026026100836413</v>
      </c>
      <c r="AM204" s="416">
        <f>+AM126/AM$140*100</f>
        <v>10.495031983023221</v>
      </c>
      <c r="AN204" s="416">
        <f>+AN126/AN$140*100</f>
        <v>5.1270299418886589</v>
      </c>
      <c r="AO204" s="317">
        <f>+AO126/AO$140*100</f>
        <v>10.558486823451208</v>
      </c>
      <c r="AP204" s="117">
        <f>+AP126/AP$140*100</f>
        <v>6.0312736403935867</v>
      </c>
      <c r="AQ204" s="1248">
        <f>+AQ126/AQ$140*100</f>
        <v>10.495031983023221</v>
      </c>
      <c r="AR204" s="637">
        <f>+AR126/AR$140*100</f>
        <v>0</v>
      </c>
      <c r="AS204" s="317">
        <f>+AS126/AS$140*100</f>
        <v>10.551922559749915</v>
      </c>
      <c r="AT204" s="117">
        <f>+AT126/AT$140*100</f>
        <v>5.4111431432352255</v>
      </c>
      <c r="AU204" s="1248">
        <f>+AU126/AU$140*100</f>
        <v>10.495031983023221</v>
      </c>
      <c r="AV204" s="637">
        <f>+AV126/AV$140*100</f>
        <v>2.0313553427872231</v>
      </c>
      <c r="AW204" s="317">
        <f>+AW126/AW$140*100</f>
        <v>10.547061127012677</v>
      </c>
      <c r="AX204" s="117">
        <f>+AX126/AX$140*100</f>
        <v>5.124041683316138</v>
      </c>
      <c r="AY204" s="1248">
        <f>+AY126/AY$140*100</f>
        <v>10.495031983023221</v>
      </c>
      <c r="AZ204" s="637">
        <f>+AZ126/AZ$140*100</f>
        <v>1.5630034256880296</v>
      </c>
      <c r="BA204" s="416">
        <f>+BA126/BA$140*100</f>
        <v>10.495031983023221</v>
      </c>
      <c r="BB204" s="416">
        <f>+BB126/BB$140*100</f>
        <v>1.1725148716704845</v>
      </c>
      <c r="BC204" s="436">
        <f>+BC126/BC$140*100</f>
        <v>10.495031983023219</v>
      </c>
      <c r="BD204" s="444">
        <f>+BD126/BD$140*100</f>
        <v>3.1684862873255351</v>
      </c>
      <c r="BE204" s="317">
        <f>+BE126/BE$140*100</f>
        <v>10.542564201519095</v>
      </c>
      <c r="BF204" s="117">
        <f>+BF126/BF$140*100</f>
        <v>4.8130856932318506</v>
      </c>
      <c r="BG204" s="1111"/>
      <c r="BH204" s="1111"/>
      <c r="BI204" s="1111"/>
      <c r="BJ204" s="1111"/>
      <c r="BK204" s="1111"/>
      <c r="BL204" s="23"/>
      <c r="BM204" s="23"/>
      <c r="BN204" s="23"/>
      <c r="BP204" s="491"/>
      <c r="BQ204" s="491"/>
      <c r="BS204" s="491"/>
      <c r="BT204" s="491"/>
    </row>
    <row r="205" spans="1:72" x14ac:dyDescent="0.3">
      <c r="B205" s="5168" t="s">
        <v>2218</v>
      </c>
      <c r="C205" s="1277" t="s">
        <v>49</v>
      </c>
      <c r="D205" s="130">
        <f>+D127/D$140*100</f>
        <v>1.3260419257749658</v>
      </c>
      <c r="E205" s="1248">
        <f>+E127/E$140*100</f>
        <v>1.3229810848680934</v>
      </c>
      <c r="F205" s="637">
        <f>+F127/F$140*100</f>
        <v>0</v>
      </c>
      <c r="G205" s="1248">
        <f t="shared" ref="G205:H205" si="874">+G127/G$140*100</f>
        <v>1.3223026609646116</v>
      </c>
      <c r="H205" s="637">
        <f t="shared" si="874"/>
        <v>0</v>
      </c>
      <c r="I205" s="317">
        <f t="shared" ref="I205:J205" si="875">+I127/I$140*100</f>
        <v>1.3226369576794337</v>
      </c>
      <c r="J205" s="317">
        <f t="shared" si="875"/>
        <v>0</v>
      </c>
      <c r="K205" s="317">
        <f>+K127/K$140*100</f>
        <v>2.6237579957558048</v>
      </c>
      <c r="L205" s="317">
        <f>+L127/L$140*100</f>
        <v>0</v>
      </c>
      <c r="M205" s="317">
        <f>+M127/M$140*100</f>
        <v>1.9069774929108245</v>
      </c>
      <c r="N205" s="317">
        <f>+N127/N$140*100</f>
        <v>0</v>
      </c>
      <c r="O205" s="317">
        <f>+O127/O$140*100</f>
        <v>2.6237579957558053</v>
      </c>
      <c r="P205" s="317">
        <f>+P127/P$140*100</f>
        <v>10.615058293259954</v>
      </c>
      <c r="Q205" s="317">
        <f>+Q127/Q$140*100</f>
        <v>2.0972353036907441</v>
      </c>
      <c r="R205" s="317">
        <f>+R127/R$140*100</f>
        <v>2.8582601965864796</v>
      </c>
      <c r="S205" s="317">
        <f>+S127/S$140*100</f>
        <v>2.6237579957558053</v>
      </c>
      <c r="T205" s="317">
        <f>+T127/T$140*100</f>
        <v>7.5087767707582795</v>
      </c>
      <c r="U205" s="317">
        <f>+U127/U$140*100</f>
        <v>2.2076772257280908</v>
      </c>
      <c r="V205" s="317">
        <f>+V127/V$140*100</f>
        <v>3.8495754818750783</v>
      </c>
      <c r="W205" s="317">
        <f>+W127/W$140*100</f>
        <v>2.6245869630545751</v>
      </c>
      <c r="X205" s="317">
        <f>+X127/X$140*100</f>
        <v>12.683204842414611</v>
      </c>
      <c r="Y205" s="317">
        <f>+Y127/Y$140*100</f>
        <v>2.6240214146652483</v>
      </c>
      <c r="Z205" s="317">
        <f>+Z127/Z$140*100</f>
        <v>10.243322090438514</v>
      </c>
      <c r="AA205" s="317">
        <f>+AA127/AA$140*100</f>
        <v>2.275825193422139</v>
      </c>
      <c r="AB205" s="317">
        <f>+AB127/AB$140*100</f>
        <v>5.3622712743511869</v>
      </c>
      <c r="AC205" s="317">
        <f>+AC127/AC$140*100</f>
        <v>2.6237579957558053</v>
      </c>
      <c r="AD205" s="317">
        <f>+AD127/AD$140*100</f>
        <v>9.5721944140171953</v>
      </c>
      <c r="AE205" s="317">
        <f>+AE127/AE$140*100</f>
        <v>2.3277634538635033</v>
      </c>
      <c r="AF205" s="317">
        <f>+AF127/AF$140*100</f>
        <v>5.9868456029468371</v>
      </c>
      <c r="AG205" s="317">
        <f>+AG127/AG$140*100</f>
        <v>2.6237579957558048</v>
      </c>
      <c r="AH205" s="317">
        <f>+AH127/AH$140*100</f>
        <v>6.585041668402182</v>
      </c>
      <c r="AI205" s="317">
        <f>+AI127/AI$140*100</f>
        <v>2.3651258024843207</v>
      </c>
      <c r="AJ205" s="317">
        <f>+AJ127/AJ$140*100</f>
        <v>6.0620398572138505</v>
      </c>
      <c r="AK205" s="317">
        <f>+AK127/AK$140*100</f>
        <v>2.6237579957558053</v>
      </c>
      <c r="AL205" s="317">
        <f>+AL127/AL$140*100</f>
        <v>0</v>
      </c>
      <c r="AM205" s="317">
        <f>+AM127/AM$140*100</f>
        <v>2.6237579957558053</v>
      </c>
      <c r="AN205" s="317">
        <f>+AN127/AN$140*100</f>
        <v>5.3706948448365956</v>
      </c>
      <c r="AO205" s="317">
        <f>+AO127/AO$140*100</f>
        <v>2.3949678258203368</v>
      </c>
      <c r="AP205" s="317">
        <f>+AP127/AP$140*100</f>
        <v>5.365143787926697</v>
      </c>
      <c r="AQ205" s="317">
        <f>+AQ127/AQ$140*100</f>
        <v>2.6237579957558053</v>
      </c>
      <c r="AR205" s="317">
        <f>+AR127/AR$140*100</f>
        <v>6.9521260459432312</v>
      </c>
      <c r="AS205" s="317">
        <f>+AS127/AS$140*100</f>
        <v>2.4186356657769132</v>
      </c>
      <c r="AT205" s="317">
        <f>+AT127/AT$140*100</f>
        <v>5.5283159726629654</v>
      </c>
      <c r="AU205" s="317">
        <f>+AU127/AU$140*100</f>
        <v>2.6237579957558053</v>
      </c>
      <c r="AV205" s="317">
        <f>+AV127/AV$140*100</f>
        <v>6.6573508359482041</v>
      </c>
      <c r="AW205" s="317">
        <f>+AW127/AW$140*100</f>
        <v>2.4361638482541035</v>
      </c>
      <c r="AX205" s="317">
        <f>+AX127/AX$140*100</f>
        <v>5.6242236380808288</v>
      </c>
      <c r="AY205" s="317">
        <f>+AY127/AY$140*100</f>
        <v>2.6237579957558053</v>
      </c>
      <c r="AZ205" s="317">
        <f>+AZ127/AZ$140*100</f>
        <v>0</v>
      </c>
      <c r="BA205" s="317">
        <f>+BA127/BA$140*100</f>
        <v>2.6237579957558053</v>
      </c>
      <c r="BB205" s="317">
        <f>+BB127/BB$140*100</f>
        <v>4.4396609848729298</v>
      </c>
      <c r="BC205" s="317">
        <f>+BC127/BC$140*100</f>
        <v>2.6237579957558048</v>
      </c>
      <c r="BD205" s="317">
        <f>+BD127/BD$140*100</f>
        <v>4.9095838296458894</v>
      </c>
      <c r="BE205" s="317">
        <f>+BE127/BE$140*100</f>
        <v>2.4523777783644696</v>
      </c>
      <c r="BF205" s="317">
        <f>+BF127/BF$140*100</f>
        <v>5.1331067493227307</v>
      </c>
      <c r="BG205" s="1111"/>
      <c r="BH205" s="1111"/>
      <c r="BI205" s="1111"/>
      <c r="BJ205" s="1111"/>
      <c r="BK205" s="1111"/>
      <c r="BL205" s="23"/>
      <c r="BM205" s="23"/>
      <c r="BN205" s="23"/>
      <c r="BP205" s="491"/>
      <c r="BQ205" s="491"/>
      <c r="BS205" s="491"/>
      <c r="BT205" s="491"/>
    </row>
    <row r="206" spans="1:72" x14ac:dyDescent="0.3">
      <c r="B206" s="1659" t="s">
        <v>10</v>
      </c>
      <c r="C206" s="1277" t="s">
        <v>49</v>
      </c>
      <c r="D206" s="130">
        <f>+D128/D$140*100</f>
        <v>5.0039040965576183</v>
      </c>
      <c r="E206" s="1248">
        <f>+E128/E$140*100</f>
        <v>5.0039243290633371</v>
      </c>
      <c r="F206" s="637">
        <f>+F128/F$140*100</f>
        <v>4.4863592809190997</v>
      </c>
      <c r="G206" s="1248">
        <f t="shared" ref="G206:H206" si="876">+G128/G$140*100</f>
        <v>5.0039288135223225</v>
      </c>
      <c r="H206" s="637">
        <f t="shared" si="876"/>
        <v>7.3609614433877892</v>
      </c>
      <c r="I206" s="317">
        <f t="shared" ref="I206:J206" si="877">+I128/I$140*100</f>
        <v>5.0039266037831025</v>
      </c>
      <c r="J206" s="117">
        <f t="shared" si="877"/>
        <v>5.9218621133911347</v>
      </c>
      <c r="K206" s="1248">
        <f t="shared" ref="K206:AL206" si="878">+K127/K$140*100</f>
        <v>2.6237579957558048</v>
      </c>
      <c r="L206" s="637">
        <f t="shared" si="878"/>
        <v>0</v>
      </c>
      <c r="M206" s="217">
        <f t="shared" si="878"/>
        <v>1.9069774929108245</v>
      </c>
      <c r="N206" s="113">
        <f t="shared" si="878"/>
        <v>0</v>
      </c>
      <c r="O206" s="1248">
        <f t="shared" si="878"/>
        <v>2.6237579957558053</v>
      </c>
      <c r="P206" s="637">
        <f t="shared" si="878"/>
        <v>10.615058293259954</v>
      </c>
      <c r="Q206" s="50">
        <f t="shared" si="878"/>
        <v>2.0972353036907441</v>
      </c>
      <c r="R206" s="117">
        <f t="shared" si="878"/>
        <v>2.8582601965864796</v>
      </c>
      <c r="S206" s="1248">
        <f t="shared" si="878"/>
        <v>2.6237579957558053</v>
      </c>
      <c r="T206" s="637">
        <f t="shared" si="878"/>
        <v>7.5087767707582795</v>
      </c>
      <c r="U206" s="50">
        <f t="shared" si="878"/>
        <v>2.2076772257280908</v>
      </c>
      <c r="V206" s="117">
        <f t="shared" si="878"/>
        <v>3.8495754818750783</v>
      </c>
      <c r="W206" s="1248">
        <f t="shared" si="878"/>
        <v>2.6245869630545751</v>
      </c>
      <c r="X206" s="637">
        <f t="shared" si="878"/>
        <v>12.683204842414611</v>
      </c>
      <c r="Y206" s="416">
        <f t="shared" si="878"/>
        <v>2.6240214146652483</v>
      </c>
      <c r="Z206" s="416">
        <f t="shared" si="878"/>
        <v>10.243322090438514</v>
      </c>
      <c r="AA206" s="436">
        <f t="shared" si="878"/>
        <v>2.275825193422139</v>
      </c>
      <c r="AB206" s="444">
        <f t="shared" si="878"/>
        <v>5.3622712743511869</v>
      </c>
      <c r="AC206" s="1248">
        <f t="shared" si="878"/>
        <v>2.6237579957558053</v>
      </c>
      <c r="AD206" s="637">
        <f t="shared" si="878"/>
        <v>9.5721944140171953</v>
      </c>
      <c r="AE206" s="317">
        <f t="shared" si="878"/>
        <v>2.3277634538635033</v>
      </c>
      <c r="AF206" s="117">
        <f t="shared" si="878"/>
        <v>5.9868456029468371</v>
      </c>
      <c r="AG206" s="1248">
        <f t="shared" si="878"/>
        <v>2.6237579957558048</v>
      </c>
      <c r="AH206" s="637">
        <f t="shared" si="878"/>
        <v>6.585041668402182</v>
      </c>
      <c r="AI206" s="317">
        <f t="shared" si="878"/>
        <v>2.3651258024843207</v>
      </c>
      <c r="AJ206" s="117">
        <f t="shared" si="878"/>
        <v>6.0620398572138505</v>
      </c>
      <c r="AK206" s="1248">
        <f t="shared" si="878"/>
        <v>2.6237579957558053</v>
      </c>
      <c r="AL206" s="637">
        <f t="shared" si="878"/>
        <v>0</v>
      </c>
      <c r="AM206" s="416">
        <f t="shared" ref="AM206:BF206" si="879">+AM127/AM$140*100</f>
        <v>2.6237579957558053</v>
      </c>
      <c r="AN206" s="416">
        <f t="shared" si="879"/>
        <v>5.3706948448365956</v>
      </c>
      <c r="AO206" s="317">
        <f t="shared" si="879"/>
        <v>2.3949678258203368</v>
      </c>
      <c r="AP206" s="117">
        <f t="shared" si="879"/>
        <v>5.365143787926697</v>
      </c>
      <c r="AQ206" s="1248">
        <f t="shared" si="879"/>
        <v>2.6237579957558053</v>
      </c>
      <c r="AR206" s="637">
        <f t="shared" si="879"/>
        <v>6.9521260459432312</v>
      </c>
      <c r="AS206" s="317">
        <f t="shared" si="879"/>
        <v>2.4186356657769132</v>
      </c>
      <c r="AT206" s="117">
        <f t="shared" si="879"/>
        <v>5.5283159726629654</v>
      </c>
      <c r="AU206" s="1248">
        <f t="shared" si="879"/>
        <v>2.6237579957558053</v>
      </c>
      <c r="AV206" s="637">
        <f t="shared" si="879"/>
        <v>6.6573508359482041</v>
      </c>
      <c r="AW206" s="317">
        <f t="shared" si="879"/>
        <v>2.4361638482541035</v>
      </c>
      <c r="AX206" s="117">
        <f t="shared" si="879"/>
        <v>5.6242236380808288</v>
      </c>
      <c r="AY206" s="1248">
        <f t="shared" si="879"/>
        <v>2.6237579957558053</v>
      </c>
      <c r="AZ206" s="637">
        <f t="shared" si="879"/>
        <v>0</v>
      </c>
      <c r="BA206" s="416">
        <f t="shared" si="879"/>
        <v>2.6237579957558053</v>
      </c>
      <c r="BB206" s="416">
        <f t="shared" si="879"/>
        <v>4.4396609848729298</v>
      </c>
      <c r="BC206" s="436">
        <f t="shared" si="879"/>
        <v>2.6237579957558048</v>
      </c>
      <c r="BD206" s="444">
        <f t="shared" si="879"/>
        <v>4.9095838296458894</v>
      </c>
      <c r="BE206" s="317">
        <f t="shared" si="879"/>
        <v>2.4523777783644696</v>
      </c>
      <c r="BF206" s="117">
        <f t="shared" si="879"/>
        <v>5.1331067493227307</v>
      </c>
      <c r="BG206" s="1111"/>
      <c r="BH206" s="1111"/>
      <c r="BI206" s="1111"/>
      <c r="BJ206" s="1111"/>
      <c r="BK206" s="1111"/>
      <c r="BL206" s="23"/>
      <c r="BM206" s="23"/>
      <c r="BN206" s="23"/>
      <c r="BP206" s="491"/>
      <c r="BQ206" s="491"/>
      <c r="BS206" s="491"/>
      <c r="BT206" s="491"/>
    </row>
    <row r="207" spans="1:72" x14ac:dyDescent="0.3">
      <c r="B207" s="1659" t="s">
        <v>1905</v>
      </c>
      <c r="C207" s="1277" t="s">
        <v>49</v>
      </c>
      <c r="D207" s="130">
        <f>+D129/D$140*100</f>
        <v>6.0046849158691424</v>
      </c>
      <c r="E207" s="1248">
        <f>+E129/E$140*100</f>
        <v>6.0047091948760043</v>
      </c>
      <c r="F207" s="637">
        <f>+F129/F$140*100</f>
        <v>11.551459268692177</v>
      </c>
      <c r="G207" s="1248">
        <f t="shared" ref="G207:H207" si="880">+G129/G$140*100</f>
        <v>6.0047145762267871</v>
      </c>
      <c r="H207" s="637">
        <f t="shared" si="880"/>
        <v>8.6718269637100835</v>
      </c>
      <c r="I207" s="317">
        <f t="shared" ref="I207:J207" si="881">+I129/I$140*100</f>
        <v>6.0047119245397251</v>
      </c>
      <c r="J207" s="117">
        <f t="shared" si="881"/>
        <v>10.113444511641497</v>
      </c>
      <c r="K207" s="1248">
        <f t="shared" ref="K207:AL207" si="882">+K128/K$140*100</f>
        <v>2.6237579957558048</v>
      </c>
      <c r="L207" s="637">
        <f t="shared" si="882"/>
        <v>0.59023275585510127</v>
      </c>
      <c r="M207" s="217">
        <f t="shared" si="882"/>
        <v>4.6609701903269993</v>
      </c>
      <c r="N207" s="113">
        <f t="shared" si="882"/>
        <v>4.4518614132353411</v>
      </c>
      <c r="O207" s="1248">
        <f t="shared" si="882"/>
        <v>2.6237579957558053</v>
      </c>
      <c r="P207" s="637">
        <f t="shared" si="882"/>
        <v>10.042294306321986</v>
      </c>
      <c r="Q207" s="50">
        <f t="shared" si="882"/>
        <v>4.1202251077042726</v>
      </c>
      <c r="R207" s="117">
        <f t="shared" si="882"/>
        <v>5.9571674962121248</v>
      </c>
      <c r="S207" s="1248">
        <f t="shared" si="882"/>
        <v>2.6237579957558053</v>
      </c>
      <c r="T207" s="637">
        <f t="shared" si="882"/>
        <v>1.3538633529205502</v>
      </c>
      <c r="U207" s="50">
        <f t="shared" si="882"/>
        <v>3.8063303666038371</v>
      </c>
      <c r="V207" s="117">
        <f t="shared" si="882"/>
        <v>4.9759161261124625</v>
      </c>
      <c r="W207" s="1248">
        <f t="shared" si="882"/>
        <v>2.6245869630545751</v>
      </c>
      <c r="X207" s="637">
        <f t="shared" si="882"/>
        <v>0</v>
      </c>
      <c r="Y207" s="416">
        <f t="shared" si="882"/>
        <v>2.6240214146652483</v>
      </c>
      <c r="Z207" s="416">
        <f t="shared" si="882"/>
        <v>3.8252293201816423</v>
      </c>
      <c r="AA207" s="436">
        <f t="shared" si="882"/>
        <v>3.6131628675567606</v>
      </c>
      <c r="AB207" s="444">
        <f t="shared" si="882"/>
        <v>4.1238261096003104</v>
      </c>
      <c r="AC207" s="1248">
        <f t="shared" si="882"/>
        <v>2.6237579957558053</v>
      </c>
      <c r="AD207" s="637">
        <f t="shared" si="882"/>
        <v>4.0795035498380923</v>
      </c>
      <c r="AE207" s="317">
        <f t="shared" si="882"/>
        <v>3.4654677736510369</v>
      </c>
      <c r="AF207" s="117">
        <f t="shared" si="882"/>
        <v>4.1172505185297048</v>
      </c>
      <c r="AG207" s="1248">
        <f t="shared" si="882"/>
        <v>2.6237579957558048</v>
      </c>
      <c r="AH207" s="637">
        <f t="shared" si="882"/>
        <v>4.1086140330079104</v>
      </c>
      <c r="AI207" s="317">
        <f t="shared" si="882"/>
        <v>3.359221712631725</v>
      </c>
      <c r="AJ207" s="117">
        <f t="shared" si="882"/>
        <v>4.116164897734448</v>
      </c>
      <c r="AK207" s="1248">
        <f t="shared" si="882"/>
        <v>2.6237579957558053</v>
      </c>
      <c r="AL207" s="637">
        <f t="shared" si="882"/>
        <v>11.440941004109273</v>
      </c>
      <c r="AM207" s="416">
        <f t="shared" ref="AM207:BF207" si="883">+AM128/AM$140*100</f>
        <v>2.6237579957558053</v>
      </c>
      <c r="AN207" s="416">
        <f t="shared" si="883"/>
        <v>6.5706816965107659</v>
      </c>
      <c r="AO207" s="317">
        <f t="shared" si="883"/>
        <v>3.274360949073317</v>
      </c>
      <c r="AP207" s="117">
        <f t="shared" si="883"/>
        <v>4.9582259526228549</v>
      </c>
      <c r="AQ207" s="1248">
        <f t="shared" si="883"/>
        <v>2.6237579957558053</v>
      </c>
      <c r="AR207" s="637">
        <f t="shared" si="883"/>
        <v>11.000000055985893</v>
      </c>
      <c r="AS207" s="317">
        <f t="shared" si="883"/>
        <v>3.207057504267369</v>
      </c>
      <c r="AT207" s="117">
        <f t="shared" si="883"/>
        <v>5.5794360985767923</v>
      </c>
      <c r="AU207" s="1248">
        <f t="shared" si="883"/>
        <v>2.6237579957558053</v>
      </c>
      <c r="AV207" s="637">
        <f t="shared" si="883"/>
        <v>10.936440724355906</v>
      </c>
      <c r="AW207" s="317">
        <f t="shared" si="883"/>
        <v>3.1572131980667812</v>
      </c>
      <c r="AX207" s="117">
        <f t="shared" si="883"/>
        <v>6.034495392136769</v>
      </c>
      <c r="AY207" s="1248">
        <f t="shared" si="883"/>
        <v>2.6237579957558053</v>
      </c>
      <c r="AZ207" s="637">
        <f t="shared" si="883"/>
        <v>14.187204879952272</v>
      </c>
      <c r="BA207" s="416">
        <f t="shared" si="883"/>
        <v>2.6237579957558053</v>
      </c>
      <c r="BB207" s="416">
        <f t="shared" si="883"/>
        <v>12.090397858221912</v>
      </c>
      <c r="BC207" s="436">
        <f t="shared" si="883"/>
        <v>2.6237579957558048</v>
      </c>
      <c r="BD207" s="444">
        <f t="shared" si="883"/>
        <v>9.3044189238448034</v>
      </c>
      <c r="BE207" s="317">
        <f t="shared" si="883"/>
        <v>3.1111061873605816</v>
      </c>
      <c r="BF207" s="117">
        <f t="shared" si="883"/>
        <v>6.7464040174436457</v>
      </c>
      <c r="BG207" s="1111"/>
      <c r="BH207" s="1111"/>
      <c r="BI207" s="1111"/>
      <c r="BJ207" s="1111"/>
      <c r="BK207" s="1111"/>
      <c r="BL207" s="23"/>
      <c r="BM207" s="23"/>
      <c r="BN207" s="23"/>
      <c r="BP207" s="491"/>
      <c r="BQ207" s="491"/>
      <c r="BS207" s="491"/>
      <c r="BT207" s="491"/>
    </row>
    <row r="208" spans="1:72" x14ac:dyDescent="0.3">
      <c r="B208" s="1658" t="s">
        <v>1906</v>
      </c>
      <c r="C208" s="1277" t="s">
        <v>49</v>
      </c>
      <c r="D208" s="130">
        <f>+D130/D$140*100</f>
        <v>6.3049485224113857</v>
      </c>
      <c r="E208" s="1248">
        <f>+E130/E$140*100</f>
        <v>6.2927092052850409</v>
      </c>
      <c r="F208" s="637">
        <f>+F130/F$140*100</f>
        <v>7.9876705349466652</v>
      </c>
      <c r="G208" s="1248">
        <f t="shared" ref="G208:H208" si="884">+G130/G$140*100</f>
        <v>6.2899964065629117</v>
      </c>
      <c r="H208" s="637">
        <f t="shared" si="884"/>
        <v>10.64329624248048</v>
      </c>
      <c r="I208" s="317">
        <f t="shared" ref="I208:J208" si="885">+I130/I$140*100</f>
        <v>6.2913331514743556</v>
      </c>
      <c r="J208" s="117">
        <f t="shared" si="885"/>
        <v>9.3138221238247887</v>
      </c>
      <c r="K208" s="1248">
        <f t="shared" ref="K208:AL208" si="886">+K130/K$140*100</f>
        <v>0</v>
      </c>
      <c r="L208" s="637">
        <f t="shared" si="886"/>
        <v>0</v>
      </c>
      <c r="M208" s="217">
        <f t="shared" si="886"/>
        <v>4.706580362268169</v>
      </c>
      <c r="N208" s="113">
        <f t="shared" si="886"/>
        <v>6.6711876895593338</v>
      </c>
      <c r="O208" s="1248">
        <f t="shared" si="886"/>
        <v>0</v>
      </c>
      <c r="P208" s="637">
        <f t="shared" si="886"/>
        <v>0.21146776216672394</v>
      </c>
      <c r="Q208" s="50">
        <f t="shared" si="886"/>
        <v>3.4572946012427157</v>
      </c>
      <c r="R208" s="117">
        <f t="shared" si="886"/>
        <v>4.9318133178438002</v>
      </c>
      <c r="S208" s="1248">
        <f t="shared" si="886"/>
        <v>0</v>
      </c>
      <c r="T208" s="637">
        <f t="shared" si="886"/>
        <v>0.31527789463808964</v>
      </c>
      <c r="U208" s="50">
        <f t="shared" si="886"/>
        <v>2.7321021896620818</v>
      </c>
      <c r="V208" s="117">
        <f t="shared" si="886"/>
        <v>3.9477415363309918</v>
      </c>
      <c r="W208" s="1248">
        <f t="shared" si="886"/>
        <v>0</v>
      </c>
      <c r="X208" s="637">
        <f t="shared" si="886"/>
        <v>0</v>
      </c>
      <c r="Y208" s="416">
        <f t="shared" si="886"/>
        <v>0</v>
      </c>
      <c r="Z208" s="416">
        <f t="shared" si="886"/>
        <v>0.17732522970989445</v>
      </c>
      <c r="AA208" s="436">
        <f t="shared" si="886"/>
        <v>2.2855134077547703</v>
      </c>
      <c r="AB208" s="444">
        <f t="shared" si="886"/>
        <v>3.2717190581333861</v>
      </c>
      <c r="AC208" s="1248">
        <f t="shared" si="886"/>
        <v>0</v>
      </c>
      <c r="AD208" s="637">
        <f t="shared" si="886"/>
        <v>0.63385470715110337</v>
      </c>
      <c r="AE208" s="317">
        <f t="shared" si="886"/>
        <v>1.9443395091800735</v>
      </c>
      <c r="AF208" s="117">
        <f t="shared" si="886"/>
        <v>2.8803716863920914</v>
      </c>
      <c r="AG208" s="1248">
        <f t="shared" si="886"/>
        <v>0</v>
      </c>
      <c r="AH208" s="637">
        <f t="shared" si="886"/>
        <v>0</v>
      </c>
      <c r="AI208" s="317">
        <f t="shared" si="886"/>
        <v>1.6989123803053532</v>
      </c>
      <c r="AJ208" s="117">
        <f t="shared" si="886"/>
        <v>2.5183041077542949</v>
      </c>
      <c r="AK208" s="1248">
        <f t="shared" si="886"/>
        <v>0</v>
      </c>
      <c r="AL208" s="637">
        <f t="shared" si="886"/>
        <v>0</v>
      </c>
      <c r="AM208" s="416">
        <f t="shared" ref="AM208:BF208" si="887">+AM130/AM$140*100</f>
        <v>0</v>
      </c>
      <c r="AN208" s="416">
        <f t="shared" si="887"/>
        <v>0.2133811374784792</v>
      </c>
      <c r="AO208" s="317">
        <f t="shared" si="887"/>
        <v>1.5028850325199994</v>
      </c>
      <c r="AP208" s="117">
        <f t="shared" si="887"/>
        <v>2.2287982194227935</v>
      </c>
      <c r="AQ208" s="1248">
        <f t="shared" si="887"/>
        <v>0</v>
      </c>
      <c r="AR208" s="637">
        <f t="shared" si="887"/>
        <v>0</v>
      </c>
      <c r="AS208" s="317">
        <f t="shared" si="887"/>
        <v>1.3474148808397459</v>
      </c>
      <c r="AT208" s="117">
        <f t="shared" si="887"/>
        <v>1.9996350558383054</v>
      </c>
      <c r="AU208" s="1248">
        <f t="shared" si="887"/>
        <v>0</v>
      </c>
      <c r="AV208" s="637">
        <f t="shared" si="887"/>
        <v>0</v>
      </c>
      <c r="AW208" s="317">
        <f t="shared" si="887"/>
        <v>1.2322751303002968</v>
      </c>
      <c r="AX208" s="117">
        <f t="shared" si="887"/>
        <v>1.8297728698867304</v>
      </c>
      <c r="AY208" s="1248">
        <f t="shared" si="887"/>
        <v>0</v>
      </c>
      <c r="AZ208" s="637">
        <f t="shared" si="887"/>
        <v>0</v>
      </c>
      <c r="BA208" s="416">
        <f t="shared" si="887"/>
        <v>0</v>
      </c>
      <c r="BB208" s="416">
        <f t="shared" si="887"/>
        <v>0</v>
      </c>
      <c r="BC208" s="436">
        <f t="shared" si="887"/>
        <v>0</v>
      </c>
      <c r="BD208" s="444">
        <f t="shared" si="887"/>
        <v>0.10770034845852985</v>
      </c>
      <c r="BE208" s="317">
        <f t="shared" si="887"/>
        <v>1.1257684876063925</v>
      </c>
      <c r="BF208" s="117">
        <f t="shared" si="887"/>
        <v>1.669993953396242</v>
      </c>
      <c r="BG208" s="1111"/>
      <c r="BH208" s="1111"/>
      <c r="BI208" s="1111"/>
      <c r="BJ208" s="1111"/>
      <c r="BK208" s="1111"/>
      <c r="BL208" s="23"/>
      <c r="BM208" s="23"/>
      <c r="BN208" s="23"/>
      <c r="BP208" s="491"/>
      <c r="BQ208" s="491"/>
      <c r="BS208" s="491"/>
      <c r="BT208" s="491"/>
    </row>
    <row r="209" spans="2:72" ht="15" thickBot="1" x14ac:dyDescent="0.35">
      <c r="B209" s="1659" t="s">
        <v>1222</v>
      </c>
      <c r="C209" s="1288" t="s">
        <v>49</v>
      </c>
      <c r="D209" s="130">
        <f>+D131/D$140*100</f>
        <v>0.70051721276927936</v>
      </c>
      <c r="E209" s="1248">
        <f>+E131/E$140*100</f>
        <v>0.71278485540363001</v>
      </c>
      <c r="F209" s="1289">
        <f>+F131/F$140*100</f>
        <v>0</v>
      </c>
      <c r="G209" s="1248">
        <f t="shared" ref="G209:H209" si="888">+G131/G$140*100</f>
        <v>0.71550393236834042</v>
      </c>
      <c r="H209" s="1289">
        <f t="shared" si="888"/>
        <v>0.6062508350032445</v>
      </c>
      <c r="I209" s="1290">
        <f t="shared" ref="I209:J209" si="889">+I131/I$140*100</f>
        <v>0.71416409382198898</v>
      </c>
      <c r="J209" s="1292">
        <f t="shared" si="889"/>
        <v>0.30274616856487285</v>
      </c>
      <c r="K209" s="1248">
        <f t="shared" ref="K209:AL209" si="890">+K131/K$140*100</f>
        <v>9.4455287847208975</v>
      </c>
      <c r="L209" s="1289">
        <f t="shared" si="890"/>
        <v>13.95841373989953</v>
      </c>
      <c r="M209" s="2210">
        <f t="shared" si="890"/>
        <v>3.8372902909441939</v>
      </c>
      <c r="N209" s="1433">
        <f t="shared" si="890"/>
        <v>5.1884413377414793</v>
      </c>
      <c r="O209" s="1248">
        <f t="shared" si="890"/>
        <v>9.4455287847208975</v>
      </c>
      <c r="P209" s="1289">
        <f t="shared" si="890"/>
        <v>3.3516126383296116</v>
      </c>
      <c r="Q209" s="2209">
        <f t="shared" si="890"/>
        <v>5.3259066440990885</v>
      </c>
      <c r="R209" s="1292">
        <f t="shared" si="890"/>
        <v>4.693848259264441</v>
      </c>
      <c r="S209" s="1248">
        <f t="shared" si="890"/>
        <v>9.4455287847208975</v>
      </c>
      <c r="T209" s="1289">
        <f t="shared" si="890"/>
        <v>6.4363904113389072</v>
      </c>
      <c r="U209" s="2209">
        <f t="shared" si="890"/>
        <v>6.1900270213109811</v>
      </c>
      <c r="V209" s="1292">
        <f t="shared" si="890"/>
        <v>5.0652927306603397</v>
      </c>
      <c r="W209" s="1248">
        <f t="shared" si="890"/>
        <v>9.4485130669964708</v>
      </c>
      <c r="X209" s="1289">
        <f t="shared" si="890"/>
        <v>1.2637172485979449</v>
      </c>
      <c r="Y209" s="416">
        <f t="shared" si="890"/>
        <v>9.4464770927948933</v>
      </c>
      <c r="Z209" s="416">
        <f t="shared" si="890"/>
        <v>3.7096318564135164</v>
      </c>
      <c r="AA209" s="436">
        <f t="shared" si="890"/>
        <v>6.722658384629292</v>
      </c>
      <c r="AB209" s="444">
        <f t="shared" si="890"/>
        <v>4.4143001429268534</v>
      </c>
      <c r="AC209" s="1248">
        <f t="shared" si="890"/>
        <v>9.4455287847208975</v>
      </c>
      <c r="AD209" s="1289">
        <f t="shared" si="890"/>
        <v>2.8556524848866642</v>
      </c>
      <c r="AE209" s="1290">
        <f t="shared" si="890"/>
        <v>7.1291194916002167</v>
      </c>
      <c r="AF209" s="1292">
        <f t="shared" si="890"/>
        <v>4.1830628299779855</v>
      </c>
      <c r="AG209" s="1248">
        <f t="shared" si="890"/>
        <v>9.4455287847208975</v>
      </c>
      <c r="AH209" s="1289">
        <f t="shared" si="890"/>
        <v>6.018266812343203</v>
      </c>
      <c r="AI209" s="1290">
        <f t="shared" si="890"/>
        <v>7.4215116789857776</v>
      </c>
      <c r="AJ209" s="1292">
        <f t="shared" si="890"/>
        <v>4.4137510655763981</v>
      </c>
      <c r="AK209" s="1248">
        <f t="shared" si="890"/>
        <v>9.4455287847208975</v>
      </c>
      <c r="AL209" s="1289">
        <f t="shared" si="890"/>
        <v>12.606809804661703</v>
      </c>
      <c r="AM209" s="416">
        <f t="shared" ref="AM209:BF209" si="891">+AM131/AM$140*100</f>
        <v>9.4455287847208975</v>
      </c>
      <c r="AN209" s="416">
        <f t="shared" si="891"/>
        <v>7.174726532184093</v>
      </c>
      <c r="AO209" s="1290">
        <f t="shared" si="891"/>
        <v>7.6550509183891249</v>
      </c>
      <c r="AP209" s="1292">
        <f t="shared" si="891"/>
        <v>5.3556304601687517</v>
      </c>
      <c r="AQ209" s="1248">
        <f t="shared" si="891"/>
        <v>9.4455287847208975</v>
      </c>
      <c r="AR209" s="1289">
        <f t="shared" si="891"/>
        <v>5.6282761506172561</v>
      </c>
      <c r="AS209" s="1290">
        <f t="shared" si="891"/>
        <v>7.84027191629339</v>
      </c>
      <c r="AT209" s="1292">
        <f t="shared" si="891"/>
        <v>5.3836636613874056</v>
      </c>
      <c r="AU209" s="1248">
        <f t="shared" si="891"/>
        <v>9.4455287847208975</v>
      </c>
      <c r="AV209" s="1289">
        <f t="shared" si="891"/>
        <v>5.7206876378915794</v>
      </c>
      <c r="AW209" s="1290">
        <f t="shared" si="891"/>
        <v>7.9774448672610161</v>
      </c>
      <c r="AX209" s="1292">
        <f t="shared" si="891"/>
        <v>5.4122927000712133</v>
      </c>
      <c r="AY209" s="1248">
        <f t="shared" si="891"/>
        <v>9.4455287847208975</v>
      </c>
      <c r="AZ209" s="1289">
        <f t="shared" si="891"/>
        <v>13.002501380497039</v>
      </c>
      <c r="BA209" s="416">
        <f t="shared" si="891"/>
        <v>9.4455287847208975</v>
      </c>
      <c r="BB209" s="416">
        <f t="shared" si="891"/>
        <v>8.225175597459554</v>
      </c>
      <c r="BC209" s="436">
        <f t="shared" si="891"/>
        <v>9.4455287847208975</v>
      </c>
      <c r="BD209" s="444">
        <f t="shared" si="891"/>
        <v>7.6949800436022491</v>
      </c>
      <c r="BE209" s="317">
        <f t="shared" si="891"/>
        <v>8.1043326745345947</v>
      </c>
      <c r="BF209" s="117">
        <f t="shared" si="891"/>
        <v>6.0750827866737138</v>
      </c>
      <c r="BG209" s="1111"/>
      <c r="BH209" s="1111"/>
      <c r="BI209" s="1111"/>
      <c r="BJ209" s="1111"/>
      <c r="BK209" s="1111"/>
      <c r="BL209" s="23"/>
      <c r="BM209" s="23"/>
      <c r="BN209" s="23"/>
      <c r="BP209" s="491"/>
      <c r="BQ209" s="491"/>
      <c r="BS209" s="491"/>
      <c r="BT209" s="491"/>
    </row>
    <row r="210" spans="2:72" ht="18.600000000000001" thickBot="1" x14ac:dyDescent="0.35">
      <c r="B210" s="1714" t="s">
        <v>13</v>
      </c>
      <c r="C210" s="677" t="s">
        <v>49</v>
      </c>
      <c r="D210" s="1324">
        <f t="shared" ref="D210:AX210" si="892">SUM(D203:D209)</f>
        <v>67.953105713498815</v>
      </c>
      <c r="E210" s="1271">
        <f t="shared" si="892"/>
        <v>67.916586040675824</v>
      </c>
      <c r="F210" s="131">
        <f t="shared" si="892"/>
        <v>67.88918390296584</v>
      </c>
      <c r="G210" s="1271">
        <f t="shared" ref="G210:H210" si="893">SUM(G203:G209)</f>
        <v>67.908491592207483</v>
      </c>
      <c r="H210" s="131">
        <f t="shared" si="893"/>
        <v>67.834231999773664</v>
      </c>
      <c r="I210" s="560">
        <f t="shared" si="892"/>
        <v>67.912480171497478</v>
      </c>
      <c r="J210" s="156">
        <f t="shared" si="892"/>
        <v>67.86174232732381</v>
      </c>
      <c r="K210" s="1271">
        <f t="shared" ref="K210:L210" si="894">SUM(K203:K209)</f>
        <v>76.386178038197741</v>
      </c>
      <c r="L210" s="131">
        <f t="shared" si="894"/>
        <v>68.743224574894015</v>
      </c>
      <c r="M210" s="1454">
        <f t="shared" si="892"/>
        <v>74.014598389560916</v>
      </c>
      <c r="N210" s="1455">
        <f t="shared" si="892"/>
        <v>65.847628224713674</v>
      </c>
      <c r="O210" s="1271">
        <f t="shared" ref="O210:P210" si="895">SUM(O203:O209)</f>
        <v>76.386178038197741</v>
      </c>
      <c r="P210" s="131">
        <f t="shared" si="895"/>
        <v>79.892842293279585</v>
      </c>
      <c r="Q210" s="1559">
        <f t="shared" si="892"/>
        <v>74.64409591390617</v>
      </c>
      <c r="R210" s="156">
        <f t="shared" si="892"/>
        <v>69.629508193305881</v>
      </c>
      <c r="S210" s="1271">
        <f t="shared" ref="S210:T210" si="896">SUM(S203:S209)</f>
        <v>76.386178038197741</v>
      </c>
      <c r="T210" s="131">
        <f t="shared" si="896"/>
        <v>76.399111257426341</v>
      </c>
      <c r="U210" s="1559">
        <f t="shared" si="892"/>
        <v>75.009510170600507</v>
      </c>
      <c r="V210" s="156">
        <f t="shared" si="892"/>
        <v>71.072533045656684</v>
      </c>
      <c r="W210" s="1271">
        <f t="shared" ref="W210:X210" si="897">SUM(W203:W209)</f>
        <v>76.378717332508799</v>
      </c>
      <c r="X210" s="131">
        <f t="shared" si="897"/>
        <v>81.577101581166588</v>
      </c>
      <c r="Y210" s="1270">
        <f t="shared" si="892"/>
        <v>76.383807268012774</v>
      </c>
      <c r="Z210" s="324">
        <f t="shared" si="892"/>
        <v>79.264778633976476</v>
      </c>
      <c r="AA210" s="2163">
        <f t="shared" si="892"/>
        <v>75.233320451536983</v>
      </c>
      <c r="AB210" s="2110">
        <f t="shared" si="892"/>
        <v>72.87136521043206</v>
      </c>
      <c r="AC210" s="1271">
        <f t="shared" ref="AC210:AD210" si="898">SUM(AC203:AC209)</f>
        <v>76.386178038197741</v>
      </c>
      <c r="AD210" s="131">
        <f t="shared" si="898"/>
        <v>78.045227288073633</v>
      </c>
      <c r="AE210" s="560">
        <f t="shared" si="892"/>
        <v>75.405415227270041</v>
      </c>
      <c r="AF210" s="156">
        <f t="shared" si="892"/>
        <v>73.638947260313827</v>
      </c>
      <c r="AG210" s="1271">
        <f t="shared" ref="AG210:AH210" si="899">SUM(AG203:AG209)</f>
        <v>76.386178038197741</v>
      </c>
      <c r="AH210" s="131">
        <f t="shared" si="899"/>
        <v>75.188350149147553</v>
      </c>
      <c r="AI210" s="560">
        <f t="shared" si="892"/>
        <v>75.529213462946799</v>
      </c>
      <c r="AJ210" s="156">
        <f t="shared" si="892"/>
        <v>73.833709816460569</v>
      </c>
      <c r="AK210" s="1271">
        <f t="shared" ref="AK210:AL210" si="900">SUM(AK203:AK209)</f>
        <v>76.386178038197741</v>
      </c>
      <c r="AL210" s="131">
        <f t="shared" si="900"/>
        <v>67.680413600014617</v>
      </c>
      <c r="AM210" s="1270">
        <f t="shared" si="892"/>
        <v>76.386178038197741</v>
      </c>
      <c r="AN210" s="324">
        <f t="shared" si="892"/>
        <v>73.619021799371637</v>
      </c>
      <c r="AO210" s="560">
        <f t="shared" si="892"/>
        <v>75.628093484529913</v>
      </c>
      <c r="AP210" s="156">
        <f t="shared" si="892"/>
        <v>73.126322856393386</v>
      </c>
      <c r="AQ210" s="1271">
        <f t="shared" ref="AQ210:AR210" si="901">SUM(AQ203:AQ209)</f>
        <v>76.386178038197741</v>
      </c>
      <c r="AR210" s="131">
        <f t="shared" si="901"/>
        <v>73.841214091169078</v>
      </c>
      <c r="AS210" s="560">
        <f t="shared" si="892"/>
        <v>75.706515664533654</v>
      </c>
      <c r="AT210" s="156">
        <f t="shared" si="892"/>
        <v>73.199827373559771</v>
      </c>
      <c r="AU210" s="1271">
        <f t="shared" ref="AU210:AV210" si="902">SUM(AU203:AU209)</f>
        <v>76.386178038197741</v>
      </c>
      <c r="AV210" s="131">
        <f t="shared" si="902"/>
        <v>74.557135507725206</v>
      </c>
      <c r="AW210" s="560">
        <f t="shared" si="892"/>
        <v>75.764594402766051</v>
      </c>
      <c r="AX210" s="156">
        <f t="shared" si="892"/>
        <v>73.31512607569347</v>
      </c>
      <c r="AY210" s="1271">
        <f t="shared" ref="AY210:AZ210" si="903">SUM(AY203:AY209)</f>
        <v>76.386178038197741</v>
      </c>
      <c r="AZ210" s="131">
        <f t="shared" si="903"/>
        <v>67.892542122823045</v>
      </c>
      <c r="BA210" s="1270">
        <f t="shared" ref="BA210:BF210" si="904">SUM(BA203:BA209)</f>
        <v>76.386178038197741</v>
      </c>
      <c r="BB210" s="324">
        <f t="shared" si="904"/>
        <v>71.990768624299051</v>
      </c>
      <c r="BC210" s="2163">
        <f t="shared" si="904"/>
        <v>76.386178038197741</v>
      </c>
      <c r="BD210" s="2110">
        <f t="shared" si="904"/>
        <v>72.81260056505208</v>
      </c>
      <c r="BE210" s="560">
        <f t="shared" si="904"/>
        <v>75.818318432842972</v>
      </c>
      <c r="BF210" s="156">
        <f t="shared" si="904"/>
        <v>72.841616711319745</v>
      </c>
      <c r="BG210" s="1111"/>
      <c r="BH210" s="1111"/>
      <c r="BI210" s="1111"/>
      <c r="BJ210" s="1111"/>
      <c r="BK210" s="1111"/>
      <c r="BL210" s="23"/>
      <c r="BM210" s="23"/>
      <c r="BN210" s="23"/>
      <c r="BP210" s="491"/>
      <c r="BQ210" s="491"/>
      <c r="BS210" s="491"/>
      <c r="BT210" s="491"/>
    </row>
    <row r="211" spans="2:72" ht="14.25" customHeight="1" x14ac:dyDescent="0.3">
      <c r="B211" s="1668" t="s">
        <v>1313</v>
      </c>
      <c r="C211" s="1291" t="s">
        <v>49</v>
      </c>
      <c r="D211" s="130">
        <f t="shared" ref="D211:AI211" si="905">+D133/D$140*100</f>
        <v>18.964840567076557</v>
      </c>
      <c r="E211" s="1248">
        <f t="shared" si="905"/>
        <v>18.946520033147902</v>
      </c>
      <c r="F211" s="637">
        <f t="shared" si="905"/>
        <v>17.648197258069239</v>
      </c>
      <c r="G211" s="1248">
        <f t="shared" ref="G211:H211" si="906">+G133/G$140*100</f>
        <v>18.94245935553678</v>
      </c>
      <c r="H211" s="637">
        <f t="shared" si="906"/>
        <v>15.436731680783321</v>
      </c>
      <c r="I211" s="317">
        <f t="shared" si="905"/>
        <v>18.944460274399429</v>
      </c>
      <c r="J211" s="117">
        <f t="shared" si="905"/>
        <v>16.543847883551951</v>
      </c>
      <c r="K211" s="1248">
        <f t="shared" si="905"/>
        <v>17.841554371139473</v>
      </c>
      <c r="L211" s="637">
        <f t="shared" si="905"/>
        <v>22.51985228159813</v>
      </c>
      <c r="M211" s="217">
        <f t="shared" si="905"/>
        <v>20.411491493704169</v>
      </c>
      <c r="N211" s="113">
        <f t="shared" si="905"/>
        <v>19.870757409140133</v>
      </c>
      <c r="O211" s="1248">
        <f t="shared" si="905"/>
        <v>17.841554371139473</v>
      </c>
      <c r="P211" s="637">
        <f t="shared" si="905"/>
        <v>20.216842157735574</v>
      </c>
      <c r="Q211" s="50">
        <f t="shared" si="905"/>
        <v>19.729343180740162</v>
      </c>
      <c r="R211" s="117">
        <f t="shared" si="905"/>
        <v>19.963945805682815</v>
      </c>
      <c r="S211" s="1248">
        <f t="shared" si="905"/>
        <v>17.841554371139473</v>
      </c>
      <c r="T211" s="637">
        <f t="shared" si="905"/>
        <v>17.40644387967744</v>
      </c>
      <c r="U211" s="50">
        <f t="shared" si="905"/>
        <v>19.333365898706635</v>
      </c>
      <c r="V211" s="117">
        <f t="shared" si="905"/>
        <v>19.418782551027462</v>
      </c>
      <c r="W211" s="1248">
        <f t="shared" si="905"/>
        <v>17.847191348771112</v>
      </c>
      <c r="X211" s="637">
        <f t="shared" si="905"/>
        <v>16.643579573649607</v>
      </c>
      <c r="Y211" s="322">
        <f t="shared" si="905"/>
        <v>17.843345619723685</v>
      </c>
      <c r="Z211" s="325">
        <f t="shared" si="905"/>
        <v>18.099549866288136</v>
      </c>
      <c r="AA211" s="430">
        <f t="shared" si="905"/>
        <v>19.090436156009329</v>
      </c>
      <c r="AB211" s="438">
        <f t="shared" si="905"/>
        <v>18.943548907435893</v>
      </c>
      <c r="AC211" s="1248">
        <f t="shared" si="905"/>
        <v>17.841554371139473</v>
      </c>
      <c r="AD211" s="637">
        <f t="shared" si="905"/>
        <v>16.045437805614394</v>
      </c>
      <c r="AE211" s="317">
        <f t="shared" si="905"/>
        <v>18.904007204878585</v>
      </c>
      <c r="AF211" s="117">
        <f t="shared" si="905"/>
        <v>18.513591937779829</v>
      </c>
      <c r="AG211" s="1248">
        <f t="shared" si="905"/>
        <v>17.841554371139473</v>
      </c>
      <c r="AH211" s="637">
        <f t="shared" si="905"/>
        <v>17.027153508251978</v>
      </c>
      <c r="AI211" s="317">
        <f t="shared" si="905"/>
        <v>18.769897525309627</v>
      </c>
      <c r="AJ211" s="117">
        <f t="shared" ref="AJ211:BF211" si="907">+AJ133/AJ$140*100</f>
        <v>18.326744120355457</v>
      </c>
      <c r="AK211" s="1248">
        <f t="shared" si="907"/>
        <v>17.841554371139473</v>
      </c>
      <c r="AL211" s="637">
        <f t="shared" si="907"/>
        <v>18.53624451632728</v>
      </c>
      <c r="AM211" s="322">
        <f t="shared" si="907"/>
        <v>17.841554371139473</v>
      </c>
      <c r="AN211" s="325">
        <f t="shared" si="907"/>
        <v>17.205411681038509</v>
      </c>
      <c r="AO211" s="317">
        <f t="shared" si="907"/>
        <v>18.662781556024648</v>
      </c>
      <c r="AP211" s="117">
        <f t="shared" si="907"/>
        <v>18.350828422983902</v>
      </c>
      <c r="AQ211" s="1248">
        <f t="shared" si="907"/>
        <v>17.841554371139473</v>
      </c>
      <c r="AR211" s="637">
        <f t="shared" si="907"/>
        <v>22.92605841688777</v>
      </c>
      <c r="AS211" s="317">
        <f t="shared" si="907"/>
        <v>18.577827409675898</v>
      </c>
      <c r="AT211" s="117">
        <f t="shared" si="907"/>
        <v>18.821249733622412</v>
      </c>
      <c r="AU211" s="1248">
        <f t="shared" si="907"/>
        <v>17.84155437113948</v>
      </c>
      <c r="AV211" s="637">
        <f t="shared" si="907"/>
        <v>19.967907565808314</v>
      </c>
      <c r="AW211" s="317">
        <f t="shared" si="907"/>
        <v>18.514911157828383</v>
      </c>
      <c r="AX211" s="117">
        <f t="shared" si="907"/>
        <v>18.918654410213236</v>
      </c>
      <c r="AY211" s="1248">
        <f t="shared" si="907"/>
        <v>17.841554371139473</v>
      </c>
      <c r="AZ211" s="637">
        <f t="shared" si="907"/>
        <v>18.351263533290641</v>
      </c>
      <c r="BA211" s="322">
        <f t="shared" si="907"/>
        <v>17.841554371139473</v>
      </c>
      <c r="BB211" s="325">
        <f t="shared" si="907"/>
        <v>20.417996822297241</v>
      </c>
      <c r="BC211" s="430">
        <f t="shared" si="907"/>
        <v>17.84155437113947</v>
      </c>
      <c r="BD211" s="438">
        <f t="shared" si="907"/>
        <v>18.79650139278133</v>
      </c>
      <c r="BE211" s="317">
        <f t="shared" si="907"/>
        <v>18.456712327938895</v>
      </c>
      <c r="BF211" s="117">
        <f t="shared" si="907"/>
        <v>18.869108862220219</v>
      </c>
      <c r="BG211" s="1111"/>
      <c r="BH211" s="1111"/>
      <c r="BI211" s="1111"/>
      <c r="BJ211" s="1111"/>
      <c r="BK211" s="1111"/>
      <c r="BL211" s="23"/>
      <c r="BM211" s="23"/>
      <c r="BN211" s="23"/>
      <c r="BP211" s="491"/>
      <c r="BQ211" s="491"/>
      <c r="BS211" s="491"/>
      <c r="BT211" s="491"/>
    </row>
    <row r="212" spans="2:72" x14ac:dyDescent="0.3">
      <c r="B212" s="1662" t="s">
        <v>595</v>
      </c>
      <c r="C212" s="1524" t="s">
        <v>49</v>
      </c>
      <c r="D212" s="130">
        <f t="shared" ref="D212:AI212" si="908">+D134/D$140*100</f>
        <v>0</v>
      </c>
      <c r="E212" s="1248">
        <f t="shared" si="908"/>
        <v>0</v>
      </c>
      <c r="F212" s="95">
        <f t="shared" si="908"/>
        <v>0</v>
      </c>
      <c r="G212" s="1248">
        <f t="shared" ref="G212:H212" si="909">+G134/G$140*100</f>
        <v>0</v>
      </c>
      <c r="H212" s="95">
        <f t="shared" si="909"/>
        <v>1.3764420552447822</v>
      </c>
      <c r="I212" s="240">
        <f t="shared" si="908"/>
        <v>0</v>
      </c>
      <c r="J212" s="101">
        <f t="shared" si="908"/>
        <v>0.68735997448100294</v>
      </c>
      <c r="K212" s="1248">
        <f t="shared" si="908"/>
        <v>5.2475159915116096</v>
      </c>
      <c r="L212" s="95">
        <f t="shared" si="908"/>
        <v>2.1745420004807348</v>
      </c>
      <c r="M212" s="217">
        <f t="shared" si="908"/>
        <v>1.8350112606859665</v>
      </c>
      <c r="N212" s="113">
        <f t="shared" si="908"/>
        <v>1.2668442383883565</v>
      </c>
      <c r="O212" s="1248">
        <f t="shared" si="908"/>
        <v>5.2475159915116105</v>
      </c>
      <c r="P212" s="95">
        <f t="shared" si="908"/>
        <v>0</v>
      </c>
      <c r="Q212" s="50">
        <f t="shared" si="908"/>
        <v>2.7408055405052929</v>
      </c>
      <c r="R212" s="117">
        <f t="shared" si="908"/>
        <v>0.92572783922929647</v>
      </c>
      <c r="S212" s="1248">
        <f t="shared" si="908"/>
        <v>5.2475159915116105</v>
      </c>
      <c r="T212" s="95">
        <f t="shared" si="908"/>
        <v>0</v>
      </c>
      <c r="U212" s="50">
        <f t="shared" si="908"/>
        <v>3.2666060888433566</v>
      </c>
      <c r="V212" s="117">
        <f t="shared" si="908"/>
        <v>0.72839746906313585</v>
      </c>
      <c r="W212" s="1248">
        <f t="shared" si="908"/>
        <v>5.2491739261091501</v>
      </c>
      <c r="X212" s="95">
        <f t="shared" si="908"/>
        <v>0</v>
      </c>
      <c r="Y212" s="322">
        <f t="shared" si="908"/>
        <v>5.2480428293304966</v>
      </c>
      <c r="Z212" s="325">
        <f t="shared" si="908"/>
        <v>0</v>
      </c>
      <c r="AA212" s="430">
        <f t="shared" si="908"/>
        <v>3.5906761616405429</v>
      </c>
      <c r="AB212" s="438">
        <f t="shared" si="908"/>
        <v>0.60366461671774863</v>
      </c>
      <c r="AC212" s="1248">
        <f t="shared" si="908"/>
        <v>5.2475159915116105</v>
      </c>
      <c r="AD212" s="95">
        <f t="shared" si="908"/>
        <v>0.39615911434329792</v>
      </c>
      <c r="AE212" s="240">
        <f t="shared" si="908"/>
        <v>3.838003743335308</v>
      </c>
      <c r="AF212" s="101">
        <f t="shared" si="908"/>
        <v>0.57287958679539552</v>
      </c>
      <c r="AG212" s="1248">
        <f t="shared" si="908"/>
        <v>5.2475159915116096</v>
      </c>
      <c r="AH212" s="95">
        <f t="shared" si="908"/>
        <v>0</v>
      </c>
      <c r="AI212" s="240">
        <f t="shared" si="908"/>
        <v>4.0159215105515598</v>
      </c>
      <c r="AJ212" s="101">
        <f t="shared" ref="AJ212:BF212" si="910">+AJ134/AJ$140*100</f>
        <v>0.50086765659140065</v>
      </c>
      <c r="AK212" s="1248">
        <f t="shared" si="910"/>
        <v>5.2475159915116105</v>
      </c>
      <c r="AL212" s="95">
        <f t="shared" si="910"/>
        <v>1.3824514418245548</v>
      </c>
      <c r="AM212" s="322">
        <f t="shared" si="910"/>
        <v>5.2475159915116105</v>
      </c>
      <c r="AN212" s="325">
        <f t="shared" si="910"/>
        <v>0.59941396319107065</v>
      </c>
      <c r="AO212" s="240">
        <f t="shared" si="910"/>
        <v>4.1580278383695291</v>
      </c>
      <c r="AP212" s="101">
        <f t="shared" si="910"/>
        <v>0.60221510549429236</v>
      </c>
      <c r="AQ212" s="1248">
        <f t="shared" si="910"/>
        <v>5.2475159915116105</v>
      </c>
      <c r="AR212" s="95">
        <f t="shared" si="910"/>
        <v>0</v>
      </c>
      <c r="AS212" s="240">
        <f t="shared" si="910"/>
        <v>4.2707329919625625</v>
      </c>
      <c r="AT212" s="101">
        <f t="shared" si="910"/>
        <v>0.54029585343693087</v>
      </c>
      <c r="AU212" s="1248">
        <f t="shared" si="910"/>
        <v>5.2475159915116105</v>
      </c>
      <c r="AV212" s="95">
        <f t="shared" si="910"/>
        <v>0</v>
      </c>
      <c r="AW212" s="240">
        <f t="shared" si="910"/>
        <v>4.3542013820616541</v>
      </c>
      <c r="AX212" s="101">
        <f t="shared" si="910"/>
        <v>0.49439956128231372</v>
      </c>
      <c r="AY212" s="1248">
        <f t="shared" si="910"/>
        <v>5.2475159915116105</v>
      </c>
      <c r="AZ212" s="95">
        <f t="shared" si="910"/>
        <v>0</v>
      </c>
      <c r="BA212" s="322">
        <f t="shared" si="910"/>
        <v>5.2475159915116105</v>
      </c>
      <c r="BB212" s="325">
        <f t="shared" si="910"/>
        <v>0</v>
      </c>
      <c r="BC212" s="430">
        <f t="shared" si="910"/>
        <v>5.2475159915116096</v>
      </c>
      <c r="BD212" s="438">
        <f t="shared" si="910"/>
        <v>0.30254357751325456</v>
      </c>
      <c r="BE212" s="240">
        <f t="shared" si="910"/>
        <v>4.4314113634874293</v>
      </c>
      <c r="BF212" s="101">
        <f t="shared" si="910"/>
        <v>0.45122774060713294</v>
      </c>
      <c r="BG212" s="1111"/>
      <c r="BH212" s="1111"/>
      <c r="BI212" s="1111"/>
      <c r="BJ212" s="1111"/>
      <c r="BK212" s="1111"/>
      <c r="BL212" s="23"/>
      <c r="BM212" s="23"/>
      <c r="BN212" s="23"/>
      <c r="BP212" s="491"/>
      <c r="BQ212" s="491"/>
      <c r="BS212" s="491"/>
      <c r="BT212" s="491"/>
    </row>
    <row r="213" spans="2:72" x14ac:dyDescent="0.3">
      <c r="B213" s="1662" t="s">
        <v>1299</v>
      </c>
      <c r="C213" s="1525" t="s">
        <v>49</v>
      </c>
      <c r="D213" s="130">
        <f t="shared" ref="D213:AI213" si="911">+D135/D$140*100</f>
        <v>6.0546799157115379</v>
      </c>
      <c r="E213" s="1248">
        <f t="shared" si="911"/>
        <v>6.0731016121687817</v>
      </c>
      <c r="F213" s="95">
        <f t="shared" si="911"/>
        <v>7.3518027419307632</v>
      </c>
      <c r="G213" s="1248">
        <f t="shared" ref="G213:H213" si="912">+G135/G$140*100</f>
        <v>6.0771847120748328</v>
      </c>
      <c r="H213" s="95">
        <f t="shared" si="912"/>
        <v>8.1868264226498777</v>
      </c>
      <c r="I213" s="240">
        <f t="shared" si="911"/>
        <v>6.0751727445160864</v>
      </c>
      <c r="J213" s="101">
        <f t="shared" si="911"/>
        <v>7.7687922212067733</v>
      </c>
      <c r="K213" s="1248">
        <f t="shared" si="911"/>
        <v>0</v>
      </c>
      <c r="L213" s="95">
        <f t="shared" si="911"/>
        <v>0</v>
      </c>
      <c r="M213" s="217">
        <f t="shared" si="911"/>
        <v>4.5448695925481983</v>
      </c>
      <c r="N213" s="113">
        <f t="shared" si="911"/>
        <v>5.5645330498942123</v>
      </c>
      <c r="O213" s="1248">
        <f t="shared" si="911"/>
        <v>0</v>
      </c>
      <c r="P213" s="95">
        <f t="shared" si="911"/>
        <v>2.1666654070142948</v>
      </c>
      <c r="Q213" s="50">
        <f t="shared" si="911"/>
        <v>3.3385073442359685</v>
      </c>
      <c r="R213" s="117">
        <f t="shared" si="911"/>
        <v>4.6496073312969406</v>
      </c>
      <c r="S213" s="1248">
        <f t="shared" si="911"/>
        <v>0</v>
      </c>
      <c r="T213" s="95">
        <f t="shared" si="911"/>
        <v>0</v>
      </c>
      <c r="U213" s="50">
        <f t="shared" si="911"/>
        <v>2.6382314142715697</v>
      </c>
      <c r="V213" s="117">
        <f t="shared" si="911"/>
        <v>3.6584858624039014</v>
      </c>
      <c r="W213" s="1248">
        <f t="shared" si="911"/>
        <v>0</v>
      </c>
      <c r="X213" s="95">
        <f t="shared" si="911"/>
        <v>5.6719706683835147</v>
      </c>
      <c r="Y213" s="322">
        <f t="shared" si="911"/>
        <v>0</v>
      </c>
      <c r="Z213" s="325">
        <f t="shared" si="911"/>
        <v>2.5821381575334823</v>
      </c>
      <c r="AA213" s="430">
        <f t="shared" si="911"/>
        <v>2.2069867272509609</v>
      </c>
      <c r="AB213" s="438">
        <f t="shared" si="911"/>
        <v>4.0032807219013682</v>
      </c>
      <c r="AC213" s="1248">
        <f t="shared" si="911"/>
        <v>0</v>
      </c>
      <c r="AD213" s="95">
        <f t="shared" si="911"/>
        <v>8.3289113122127567</v>
      </c>
      <c r="AE213" s="240">
        <f t="shared" si="911"/>
        <v>1.8775350323783782</v>
      </c>
      <c r="AF213" s="101">
        <f t="shared" si="911"/>
        <v>4.6450211366470109</v>
      </c>
      <c r="AG213" s="1248">
        <f t="shared" si="911"/>
        <v>0</v>
      </c>
      <c r="AH213" s="95">
        <f t="shared" si="911"/>
        <v>7.6576154972493402</v>
      </c>
      <c r="AI213" s="240">
        <f t="shared" si="911"/>
        <v>1.6405403973454005</v>
      </c>
      <c r="AJ213" s="101">
        <f t="shared" ref="AJ213:BF213" si="913">+AJ135/AJ$140*100</f>
        <v>5.0237093284225098</v>
      </c>
      <c r="AK213" s="1248">
        <f t="shared" si="913"/>
        <v>0</v>
      </c>
      <c r="AL213" s="95">
        <f t="shared" si="913"/>
        <v>4.7650726690876759</v>
      </c>
      <c r="AM213" s="322">
        <f t="shared" si="913"/>
        <v>0</v>
      </c>
      <c r="AN213" s="325">
        <f t="shared" si="913"/>
        <v>6.9084694069972254</v>
      </c>
      <c r="AO213" s="240">
        <f t="shared" si="913"/>
        <v>1.4512482438745142</v>
      </c>
      <c r="AP213" s="101">
        <f t="shared" si="913"/>
        <v>4.9939762888006198</v>
      </c>
      <c r="AQ213" s="1248">
        <f t="shared" si="913"/>
        <v>0</v>
      </c>
      <c r="AR213" s="95">
        <f t="shared" si="913"/>
        <v>2.4195983321951711</v>
      </c>
      <c r="AS213" s="240">
        <f t="shared" si="913"/>
        <v>1.3011198044272543</v>
      </c>
      <c r="AT213" s="101">
        <f t="shared" si="913"/>
        <v>4.7292809064834813</v>
      </c>
      <c r="AU213" s="1248">
        <f t="shared" si="913"/>
        <v>0</v>
      </c>
      <c r="AV213" s="95">
        <f t="shared" si="913"/>
        <v>5.3763901221649331</v>
      </c>
      <c r="AW213" s="240">
        <f t="shared" si="913"/>
        <v>1.1899360763610147</v>
      </c>
      <c r="AX213" s="101">
        <f t="shared" si="913"/>
        <v>4.7842506298858254</v>
      </c>
      <c r="AY213" s="1248">
        <f t="shared" si="913"/>
        <v>0</v>
      </c>
      <c r="AZ213" s="95">
        <f t="shared" si="913"/>
        <v>7.000015843524217</v>
      </c>
      <c r="BA213" s="322">
        <f t="shared" si="913"/>
        <v>0</v>
      </c>
      <c r="BB213" s="325">
        <f t="shared" si="913"/>
        <v>4.929197941385433</v>
      </c>
      <c r="BC213" s="430">
        <f t="shared" si="913"/>
        <v>0</v>
      </c>
      <c r="BD213" s="438">
        <f t="shared" si="913"/>
        <v>5.9282001449514095</v>
      </c>
      <c r="BE213" s="240">
        <f t="shared" si="913"/>
        <v>1.0870888360026993</v>
      </c>
      <c r="BF213" s="101">
        <f t="shared" si="913"/>
        <v>4.9777350622210639</v>
      </c>
      <c r="BG213" s="1111"/>
      <c r="BH213" s="1111"/>
      <c r="BI213" s="1111"/>
      <c r="BJ213" s="1111"/>
      <c r="BK213" s="1111"/>
      <c r="BL213" s="23"/>
      <c r="BM213" s="23"/>
      <c r="BN213" s="23"/>
      <c r="BP213" s="491"/>
      <c r="BQ213" s="491"/>
      <c r="BS213" s="491"/>
      <c r="BT213" s="491"/>
    </row>
    <row r="214" spans="2:72" ht="15" thickBot="1" x14ac:dyDescent="0.35">
      <c r="B214" s="1662" t="s">
        <v>1312</v>
      </c>
      <c r="C214" s="1525" t="s">
        <v>49</v>
      </c>
      <c r="D214" s="130">
        <f t="shared" ref="D214:AI214" si="914">+D136/D$140*100</f>
        <v>0</v>
      </c>
      <c r="E214" s="1248">
        <f t="shared" si="914"/>
        <v>0</v>
      </c>
      <c r="F214" s="122">
        <f t="shared" si="914"/>
        <v>0</v>
      </c>
      <c r="G214" s="1248">
        <f t="shared" ref="G214:H214" si="915">+G136/G$140*100</f>
        <v>0</v>
      </c>
      <c r="H214" s="122">
        <f t="shared" si="915"/>
        <v>0</v>
      </c>
      <c r="I214" s="559">
        <f t="shared" si="914"/>
        <v>0</v>
      </c>
      <c r="J214" s="102">
        <f t="shared" si="914"/>
        <v>0</v>
      </c>
      <c r="K214" s="1248">
        <f t="shared" si="914"/>
        <v>3.1485095949069652</v>
      </c>
      <c r="L214" s="122">
        <f t="shared" si="914"/>
        <v>0</v>
      </c>
      <c r="M214" s="1438">
        <f t="shared" si="914"/>
        <v>1.10100675641158</v>
      </c>
      <c r="N214" s="108">
        <f t="shared" si="914"/>
        <v>0</v>
      </c>
      <c r="O214" s="1248">
        <f t="shared" si="914"/>
        <v>3.1485095949069652</v>
      </c>
      <c r="P214" s="122">
        <f t="shared" si="914"/>
        <v>2.3053766268208857</v>
      </c>
      <c r="Q214" s="707">
        <f t="shared" si="914"/>
        <v>1.6444833243031753</v>
      </c>
      <c r="R214" s="102">
        <f t="shared" si="914"/>
        <v>0.62075648277568729</v>
      </c>
      <c r="S214" s="1248">
        <f t="shared" si="914"/>
        <v>3.1485095949069652</v>
      </c>
      <c r="T214" s="122">
        <f t="shared" si="914"/>
        <v>6.9451669371498088</v>
      </c>
      <c r="U214" s="707">
        <f t="shared" si="914"/>
        <v>1.9599636533060134</v>
      </c>
      <c r="V214" s="102">
        <f t="shared" si="914"/>
        <v>1.9688830089082372</v>
      </c>
      <c r="W214" s="1248">
        <f t="shared" si="914"/>
        <v>3.1495043556654911</v>
      </c>
      <c r="X214" s="122">
        <f t="shared" si="914"/>
        <v>2.0353833639675027</v>
      </c>
      <c r="Y214" s="322">
        <f t="shared" si="914"/>
        <v>3.1488256975982973</v>
      </c>
      <c r="Z214" s="325">
        <f t="shared" si="914"/>
        <v>3.7828281636217849</v>
      </c>
      <c r="AA214" s="430">
        <f t="shared" si="914"/>
        <v>2.1544056969843255</v>
      </c>
      <c r="AB214" s="438">
        <f t="shared" si="914"/>
        <v>1.9802707186694912</v>
      </c>
      <c r="AC214" s="1248">
        <f t="shared" si="914"/>
        <v>3.1485095949069652</v>
      </c>
      <c r="AD214" s="122">
        <f t="shared" si="914"/>
        <v>0</v>
      </c>
      <c r="AE214" s="559">
        <f t="shared" si="914"/>
        <v>2.302802246001185</v>
      </c>
      <c r="AF214" s="102">
        <f t="shared" si="914"/>
        <v>1.6864823967647016</v>
      </c>
      <c r="AG214" s="1248">
        <f t="shared" si="914"/>
        <v>3.1485095949069652</v>
      </c>
      <c r="AH214" s="122">
        <f t="shared" si="914"/>
        <v>0</v>
      </c>
      <c r="AI214" s="559">
        <f t="shared" si="914"/>
        <v>2.4095529063309362</v>
      </c>
      <c r="AJ214" s="102">
        <f t="shared" ref="AJ214:BF214" si="916">+AJ136/AJ$140*100</f>
        <v>1.4744887152906565</v>
      </c>
      <c r="AK214" s="1248">
        <f t="shared" si="916"/>
        <v>3.1485095949069652</v>
      </c>
      <c r="AL214" s="122">
        <f t="shared" si="916"/>
        <v>0</v>
      </c>
      <c r="AM214" s="322">
        <f t="shared" si="916"/>
        <v>3.1485095949069652</v>
      </c>
      <c r="AN214" s="325">
        <f t="shared" si="916"/>
        <v>0</v>
      </c>
      <c r="AO214" s="559">
        <f t="shared" si="916"/>
        <v>2.4948167030217174</v>
      </c>
      <c r="AP214" s="102">
        <f t="shared" si="916"/>
        <v>1.3049805276017357</v>
      </c>
      <c r="AQ214" s="1248">
        <f t="shared" si="916"/>
        <v>3.1485095949069652</v>
      </c>
      <c r="AR214" s="122">
        <f t="shared" si="916"/>
        <v>0</v>
      </c>
      <c r="AS214" s="559">
        <f t="shared" si="916"/>
        <v>2.5624397951775379</v>
      </c>
      <c r="AT214" s="102">
        <f t="shared" si="916"/>
        <v>1.1708035242663615</v>
      </c>
      <c r="AU214" s="1248">
        <f t="shared" si="916"/>
        <v>3.1485095949069661</v>
      </c>
      <c r="AV214" s="122">
        <f t="shared" si="916"/>
        <v>0</v>
      </c>
      <c r="AW214" s="559">
        <f t="shared" si="916"/>
        <v>2.6125208292369928</v>
      </c>
      <c r="AX214" s="102">
        <f t="shared" si="916"/>
        <v>1.071347753389051</v>
      </c>
      <c r="AY214" s="1248">
        <f t="shared" si="916"/>
        <v>3.1485095949069652</v>
      </c>
      <c r="AZ214" s="122">
        <f t="shared" si="916"/>
        <v>0</v>
      </c>
      <c r="BA214" s="322">
        <f t="shared" si="916"/>
        <v>3.1485095949069652</v>
      </c>
      <c r="BB214" s="325">
        <f t="shared" si="916"/>
        <v>0</v>
      </c>
      <c r="BC214" s="430">
        <f t="shared" si="916"/>
        <v>3.1485095949069652</v>
      </c>
      <c r="BD214" s="438">
        <f t="shared" si="916"/>
        <v>0</v>
      </c>
      <c r="BE214" s="559">
        <f t="shared" si="916"/>
        <v>2.6588468180924583</v>
      </c>
      <c r="BF214" s="102">
        <f t="shared" si="916"/>
        <v>0.97779582350847638</v>
      </c>
      <c r="BG214" s="1111"/>
      <c r="BH214" s="1111"/>
      <c r="BI214" s="1111"/>
      <c r="BJ214" s="1111"/>
      <c r="BK214" s="1111"/>
      <c r="BL214" s="23"/>
      <c r="BM214" s="23"/>
      <c r="BN214" s="23"/>
      <c r="BP214" s="491"/>
      <c r="BQ214" s="491"/>
      <c r="BS214" s="491"/>
      <c r="BT214" s="491"/>
    </row>
    <row r="215" spans="2:72" ht="18.600000000000001" thickBot="1" x14ac:dyDescent="0.35">
      <c r="B215" s="1715" t="s">
        <v>133</v>
      </c>
      <c r="C215" s="677" t="s">
        <v>49</v>
      </c>
      <c r="D215" s="1324">
        <f>SUM(D211:D214)</f>
        <v>25.019520482788096</v>
      </c>
      <c r="E215" s="1271">
        <f>SUM(E211:E214)</f>
        <v>25.019621645316683</v>
      </c>
      <c r="F215" s="131">
        <f>SUM(F211:F214)</f>
        <v>25</v>
      </c>
      <c r="G215" s="1271">
        <f>SUM(G211:G214)</f>
        <v>25.019644067611612</v>
      </c>
      <c r="H215" s="131">
        <f>SUM(H211:H214)</f>
        <v>25.000000158677985</v>
      </c>
      <c r="I215" s="560">
        <f t="shared" ref="I215:N215" si="917">SUM(I211:I214)</f>
        <v>25.019633018915513</v>
      </c>
      <c r="J215" s="156">
        <f t="shared" si="917"/>
        <v>25.000000079239726</v>
      </c>
      <c r="K215" s="1271">
        <f>SUM(K211:K214)</f>
        <v>26.237579957558047</v>
      </c>
      <c r="L215" s="131">
        <f>SUM(L211:L214)</f>
        <v>24.694394282078864</v>
      </c>
      <c r="M215" s="1454">
        <f t="shared" si="917"/>
        <v>27.892379103349914</v>
      </c>
      <c r="N215" s="1455">
        <f t="shared" si="917"/>
        <v>26.7021346974227</v>
      </c>
      <c r="O215" s="1271">
        <f>SUM(O211:O214)</f>
        <v>26.237579957558051</v>
      </c>
      <c r="P215" s="131">
        <f>SUM(P211:P214)</f>
        <v>24.688884191570757</v>
      </c>
      <c r="Q215" s="1559">
        <f t="shared" ref="Q215:R215" si="918">SUM(Q211:Q214)</f>
        <v>27.453139389784596</v>
      </c>
      <c r="R215" s="156">
        <f t="shared" si="918"/>
        <v>26.160037458984739</v>
      </c>
      <c r="S215" s="1271">
        <f>SUM(S211:S214)</f>
        <v>26.237579957558051</v>
      </c>
      <c r="T215" s="131">
        <f>SUM(T211:T214)</f>
        <v>24.351610816827247</v>
      </c>
      <c r="U215" s="1559">
        <f t="shared" ref="U215:V215" si="919">SUM(U211:U214)</f>
        <v>27.198167055127573</v>
      </c>
      <c r="V215" s="156">
        <f t="shared" si="919"/>
        <v>25.774548891402734</v>
      </c>
      <c r="W215" s="1271">
        <f>SUM(W211:W214)</f>
        <v>26.245869630545755</v>
      </c>
      <c r="X215" s="131">
        <f>SUM(X211:X214)</f>
        <v>24.350933606000623</v>
      </c>
      <c r="Y215" s="561">
        <f t="shared" ref="Y215:AF215" si="920">SUM(Y211:Y214)</f>
        <v>26.24021414665248</v>
      </c>
      <c r="Z215" s="324">
        <f t="shared" si="920"/>
        <v>24.464516187443401</v>
      </c>
      <c r="AA215" s="2164">
        <f t="shared" si="920"/>
        <v>27.042504741885157</v>
      </c>
      <c r="AB215" s="2110">
        <f t="shared" si="920"/>
        <v>25.530764964724501</v>
      </c>
      <c r="AC215" s="1271">
        <f>SUM(AC211:AC214)</f>
        <v>26.237579957558051</v>
      </c>
      <c r="AD215" s="131">
        <f>SUM(AD211:AD214)</f>
        <v>24.77050823217045</v>
      </c>
      <c r="AE215" s="560">
        <f t="shared" si="920"/>
        <v>26.922348226593456</v>
      </c>
      <c r="AF215" s="156">
        <f t="shared" si="920"/>
        <v>25.417975057986936</v>
      </c>
      <c r="AG215" s="1271">
        <f>SUM(AG211:AG214)</f>
        <v>26.237579957558047</v>
      </c>
      <c r="AH215" s="131">
        <f>SUM(AH211:AH214)</f>
        <v>24.684769005501316</v>
      </c>
      <c r="AI215" s="560">
        <f t="shared" ref="AI215:AN215" si="921">SUM(AI211:AI214)</f>
        <v>26.835912339537526</v>
      </c>
      <c r="AJ215" s="156">
        <f t="shared" si="921"/>
        <v>25.325809820660023</v>
      </c>
      <c r="AK215" s="1271">
        <f>SUM(AK211:AK214)</f>
        <v>26.237579957558051</v>
      </c>
      <c r="AL215" s="131">
        <f>SUM(AL211:AL214)</f>
        <v>24.683768627239509</v>
      </c>
      <c r="AM215" s="561">
        <f t="shared" si="921"/>
        <v>26.237579957558051</v>
      </c>
      <c r="AN215" s="324">
        <f t="shared" si="921"/>
        <v>24.713295051226808</v>
      </c>
      <c r="AO215" s="560">
        <f t="shared" ref="AO215:AT215" si="922">SUM(AO211:AO214)</f>
        <v>26.766874341290404</v>
      </c>
      <c r="AP215" s="156">
        <f t="shared" si="922"/>
        <v>25.25200034488055</v>
      </c>
      <c r="AQ215" s="1271">
        <f>SUM(AQ211:AQ214)</f>
        <v>26.237579957558051</v>
      </c>
      <c r="AR215" s="131">
        <f>SUM(AR211:AR214)</f>
        <v>25.345656749082941</v>
      </c>
      <c r="AS215" s="560">
        <f t="shared" si="922"/>
        <v>26.712120001243253</v>
      </c>
      <c r="AT215" s="156">
        <f t="shared" si="922"/>
        <v>25.261630017809185</v>
      </c>
      <c r="AU215" s="1271">
        <f>SUM(AU211:AU214)</f>
        <v>26.237579957558058</v>
      </c>
      <c r="AV215" s="131">
        <f>SUM(AV211:AV214)</f>
        <v>25.344297687973246</v>
      </c>
      <c r="AW215" s="560">
        <f t="shared" ref="AW215:AX215" si="923">SUM(AW211:AW214)</f>
        <v>26.671569445488043</v>
      </c>
      <c r="AX215" s="156">
        <f t="shared" si="923"/>
        <v>25.268652354770428</v>
      </c>
      <c r="AY215" s="1271">
        <f>SUM(AY211:AY214)</f>
        <v>26.237579957558051</v>
      </c>
      <c r="AZ215" s="131">
        <f>SUM(AZ211:AZ214)</f>
        <v>25.351279376814858</v>
      </c>
      <c r="BA215" s="561">
        <f t="shared" ref="BA215:BF215" si="924">SUM(BA211:BA214)</f>
        <v>26.237579957558051</v>
      </c>
      <c r="BB215" s="324">
        <f t="shared" si="924"/>
        <v>25.347194763682673</v>
      </c>
      <c r="BC215" s="2164">
        <f t="shared" si="924"/>
        <v>26.237579957558044</v>
      </c>
      <c r="BD215" s="2110">
        <f t="shared" si="924"/>
        <v>25.027245115245996</v>
      </c>
      <c r="BE215" s="560">
        <f t="shared" si="924"/>
        <v>26.634059345521479</v>
      </c>
      <c r="BF215" s="156">
        <f t="shared" si="924"/>
        <v>25.275867488556894</v>
      </c>
      <c r="BG215" s="1111"/>
      <c r="BH215" s="1111"/>
      <c r="BI215" s="1111"/>
      <c r="BJ215" s="1111"/>
      <c r="BK215" s="1111"/>
      <c r="BL215" s="23"/>
      <c r="BM215" s="23"/>
      <c r="BN215" s="23"/>
      <c r="BP215" s="491"/>
      <c r="BQ215" s="491"/>
      <c r="BS215" s="491"/>
      <c r="BT215" s="491"/>
    </row>
    <row r="216" spans="2:72" ht="18.600000000000001" thickBot="1" x14ac:dyDescent="0.35">
      <c r="B216" s="1714" t="s">
        <v>12</v>
      </c>
      <c r="C216" s="677" t="s">
        <v>49</v>
      </c>
      <c r="D216" s="1324">
        <f>+D210+D215</f>
        <v>92.97262619628691</v>
      </c>
      <c r="E216" s="1271">
        <f>+E210+E215</f>
        <v>92.936207685992514</v>
      </c>
      <c r="F216" s="131">
        <f>+F210+F215</f>
        <v>92.88918390296584</v>
      </c>
      <c r="G216" s="1271">
        <f>+G210+G215</f>
        <v>92.928135659819091</v>
      </c>
      <c r="H216" s="131">
        <f>+H210+H215</f>
        <v>92.834232158451641</v>
      </c>
      <c r="I216" s="560">
        <f t="shared" ref="I216:N216" si="925">+I210+I215</f>
        <v>92.932113190412991</v>
      </c>
      <c r="J216" s="156">
        <f t="shared" si="925"/>
        <v>92.861742406563536</v>
      </c>
      <c r="K216" s="1271">
        <f>+K210+K215</f>
        <v>102.6237579957558</v>
      </c>
      <c r="L216" s="131">
        <f>+L210+L215</f>
        <v>93.437618856972875</v>
      </c>
      <c r="M216" s="1454">
        <f t="shared" si="925"/>
        <v>101.90697749291083</v>
      </c>
      <c r="N216" s="1455">
        <f t="shared" si="925"/>
        <v>92.549762922136381</v>
      </c>
      <c r="O216" s="1271">
        <f>+O210+O215</f>
        <v>102.6237579957558</v>
      </c>
      <c r="P216" s="131">
        <f>+P210+P215</f>
        <v>104.58172648485035</v>
      </c>
      <c r="Q216" s="1559">
        <f t="shared" ref="Q216:R216" si="926">+Q210+Q215</f>
        <v>102.09723530369077</v>
      </c>
      <c r="R216" s="156">
        <f t="shared" si="926"/>
        <v>95.789545652290627</v>
      </c>
      <c r="S216" s="1271">
        <f>+S210+S215</f>
        <v>102.6237579957558</v>
      </c>
      <c r="T216" s="131">
        <f>+T210+T215</f>
        <v>100.75072207425359</v>
      </c>
      <c r="U216" s="1559">
        <f t="shared" ref="U216:V216" si="927">+U210+U215</f>
        <v>102.20767722572808</v>
      </c>
      <c r="V216" s="156">
        <f t="shared" si="927"/>
        <v>96.847081937059414</v>
      </c>
      <c r="W216" s="1271">
        <f>+W210+W215</f>
        <v>102.62458696305455</v>
      </c>
      <c r="X216" s="131">
        <f>+X210+X215</f>
        <v>105.92803518716721</v>
      </c>
      <c r="Y216" s="561">
        <f t="shared" ref="Y216:AF216" si="928">+Y210+Y215</f>
        <v>102.62402141466525</v>
      </c>
      <c r="Z216" s="324">
        <f t="shared" si="928"/>
        <v>103.72929482141987</v>
      </c>
      <c r="AA216" s="2164">
        <f t="shared" si="928"/>
        <v>102.27582519342214</v>
      </c>
      <c r="AB216" s="2110">
        <f t="shared" si="928"/>
        <v>98.402130175156557</v>
      </c>
      <c r="AC216" s="1271">
        <f>+AC210+AC215</f>
        <v>102.6237579957558</v>
      </c>
      <c r="AD216" s="131">
        <f>+AD210+AD215</f>
        <v>102.81573552024409</v>
      </c>
      <c r="AE216" s="560">
        <f t="shared" si="928"/>
        <v>102.3277634538635</v>
      </c>
      <c r="AF216" s="156">
        <f t="shared" si="928"/>
        <v>99.056922318300764</v>
      </c>
      <c r="AG216" s="1271">
        <f>+AG210+AG215</f>
        <v>102.6237579957558</v>
      </c>
      <c r="AH216" s="131">
        <f>+AH210+AH215</f>
        <v>99.873119154648862</v>
      </c>
      <c r="AI216" s="560">
        <f t="shared" ref="AI216:AN216" si="929">+AI210+AI215</f>
        <v>102.36512580248433</v>
      </c>
      <c r="AJ216" s="156">
        <f t="shared" si="929"/>
        <v>99.159519637120596</v>
      </c>
      <c r="AK216" s="1271">
        <f>+AK210+AK215</f>
        <v>102.6237579957558</v>
      </c>
      <c r="AL216" s="131">
        <f>+AL210+AL215</f>
        <v>92.364182227254133</v>
      </c>
      <c r="AM216" s="561">
        <f t="shared" si="929"/>
        <v>102.6237579957558</v>
      </c>
      <c r="AN216" s="324">
        <f t="shared" si="929"/>
        <v>98.332316850598446</v>
      </c>
      <c r="AO216" s="560">
        <f t="shared" ref="AO216:AT216" si="930">+AO210+AO215</f>
        <v>102.39496782582032</v>
      </c>
      <c r="AP216" s="156">
        <f t="shared" si="930"/>
        <v>98.378323201273929</v>
      </c>
      <c r="AQ216" s="1271">
        <f>+AQ210+AQ215</f>
        <v>102.6237579957558</v>
      </c>
      <c r="AR216" s="131">
        <f>+AR210+AR215</f>
        <v>99.186870840252027</v>
      </c>
      <c r="AS216" s="560">
        <f t="shared" si="930"/>
        <v>102.4186356657769</v>
      </c>
      <c r="AT216" s="156">
        <f t="shared" si="930"/>
        <v>98.461457391368953</v>
      </c>
      <c r="AU216" s="1271">
        <f>+AU210+AU215</f>
        <v>102.6237579957558</v>
      </c>
      <c r="AV216" s="131">
        <f>+AV210+AV215</f>
        <v>99.901433195698445</v>
      </c>
      <c r="AW216" s="560">
        <f t="shared" ref="AW216:AX216" si="931">+AW210+AW215</f>
        <v>102.4361638482541</v>
      </c>
      <c r="AX216" s="156">
        <f t="shared" si="931"/>
        <v>98.583778430463894</v>
      </c>
      <c r="AY216" s="1271">
        <f>+AY210+AY215</f>
        <v>102.6237579957558</v>
      </c>
      <c r="AZ216" s="131">
        <f>+AZ210+AZ215</f>
        <v>93.243821499637903</v>
      </c>
      <c r="BA216" s="561">
        <f t="shared" ref="BA216:BF216" si="932">+BA210+BA215</f>
        <v>102.6237579957558</v>
      </c>
      <c r="BB216" s="324">
        <f t="shared" si="932"/>
        <v>97.337963387981716</v>
      </c>
      <c r="BC216" s="2164">
        <f t="shared" si="932"/>
        <v>102.62375799575578</v>
      </c>
      <c r="BD216" s="2110">
        <f t="shared" si="932"/>
        <v>97.839845680298083</v>
      </c>
      <c r="BE216" s="560">
        <f t="shared" si="932"/>
        <v>102.45237777836445</v>
      </c>
      <c r="BF216" s="156">
        <f t="shared" si="932"/>
        <v>98.117484199876642</v>
      </c>
      <c r="BG216" s="1111"/>
      <c r="BH216" s="1111"/>
      <c r="BI216" s="1111"/>
      <c r="BJ216" s="1111"/>
      <c r="BK216" s="1111"/>
      <c r="BL216" s="23"/>
      <c r="BM216" s="23"/>
      <c r="BN216" s="23"/>
      <c r="BP216" s="491"/>
      <c r="BQ216" s="491"/>
      <c r="BS216" s="491"/>
      <c r="BT216" s="491"/>
    </row>
    <row r="217" spans="2:72" ht="15" thickBot="1" x14ac:dyDescent="0.35">
      <c r="B217" s="1669" t="s">
        <v>1134</v>
      </c>
      <c r="C217" s="1291" t="s">
        <v>49</v>
      </c>
      <c r="D217" s="5169">
        <f t="shared" ref="D217:J217" si="933">+D139/D$140*100</f>
        <v>7.0273738037130897</v>
      </c>
      <c r="E217" s="5170">
        <f t="shared" si="933"/>
        <v>7.0637923140074763</v>
      </c>
      <c r="F217" s="637">
        <f t="shared" si="933"/>
        <v>7.1108160970341654</v>
      </c>
      <c r="G217" s="5170">
        <f t="shared" si="933"/>
        <v>7.0718643401808903</v>
      </c>
      <c r="H217" s="637">
        <f t="shared" si="933"/>
        <v>7.1657678415483232</v>
      </c>
      <c r="I217" s="5154">
        <f t="shared" si="933"/>
        <v>7.0678868095869927</v>
      </c>
      <c r="J217" s="5154">
        <f t="shared" si="933"/>
        <v>7.1382575934364381</v>
      </c>
      <c r="K217" s="5153" t="e">
        <f>+#REF!/K$140*100</f>
        <v>#REF!</v>
      </c>
      <c r="L217" s="637" t="e">
        <f>+#REF!/L$140*100</f>
        <v>#REF!</v>
      </c>
      <c r="M217" s="2210" t="e">
        <f>+#REF!/M$140*100</f>
        <v>#REF!</v>
      </c>
      <c r="N217" s="113" t="e">
        <f>+#REF!/N$140*100</f>
        <v>#REF!</v>
      </c>
      <c r="O217" s="5153" t="e">
        <f>+#REF!/O$140*100</f>
        <v>#REF!</v>
      </c>
      <c r="P217" s="637" t="e">
        <f>+#REF!/P$140*100</f>
        <v>#REF!</v>
      </c>
      <c r="Q217" s="2209" t="e">
        <f>+#REF!/Q$140*100</f>
        <v>#REF!</v>
      </c>
      <c r="R217" s="117" t="e">
        <f>+#REF!/R$140*100</f>
        <v>#REF!</v>
      </c>
      <c r="S217" s="5153" t="e">
        <f>+#REF!/S$140*100</f>
        <v>#REF!</v>
      </c>
      <c r="T217" s="637" t="e">
        <f>+#REF!/T$140*100</f>
        <v>#REF!</v>
      </c>
      <c r="U217" s="2209" t="e">
        <f>+#REF!/U$140*100</f>
        <v>#REF!</v>
      </c>
      <c r="V217" s="117" t="e">
        <f>+#REF!/V$140*100</f>
        <v>#REF!</v>
      </c>
      <c r="W217" s="5153" t="e">
        <f>+#REF!/W$140*100</f>
        <v>#REF!</v>
      </c>
      <c r="X217" s="637" t="e">
        <f>+#REF!/X$140*100</f>
        <v>#REF!</v>
      </c>
      <c r="Y217" s="5151" t="e">
        <f>+#REF!/Y$140*100</f>
        <v>#REF!</v>
      </c>
      <c r="Z217" s="325" t="e">
        <f>+#REF!/Z$140*100</f>
        <v>#REF!</v>
      </c>
      <c r="AA217" s="5152" t="e">
        <f>+#REF!/AA$140*100</f>
        <v>#REF!</v>
      </c>
      <c r="AB217" s="438" t="e">
        <f>+#REF!/AB$140*100</f>
        <v>#REF!</v>
      </c>
      <c r="AC217" s="5153" t="e">
        <f>+#REF!/AC$140*100</f>
        <v>#REF!</v>
      </c>
      <c r="AD217" s="637" t="e">
        <f>+#REF!/AD$140*100</f>
        <v>#REF!</v>
      </c>
      <c r="AE217" s="1290" t="e">
        <f>+#REF!/AE$140*100</f>
        <v>#REF!</v>
      </c>
      <c r="AF217" s="117" t="e">
        <f>+#REF!/AF$140*100</f>
        <v>#REF!</v>
      </c>
      <c r="AG217" s="5153" t="e">
        <f>+#REF!/AG$140*100</f>
        <v>#REF!</v>
      </c>
      <c r="AH217" s="637" t="e">
        <f>+#REF!/AH$140*100</f>
        <v>#REF!</v>
      </c>
      <c r="AI217" s="1290" t="e">
        <f>+#REF!/AI$140*100</f>
        <v>#REF!</v>
      </c>
      <c r="AJ217" s="117" t="e">
        <f>+#REF!/AJ$140*100</f>
        <v>#REF!</v>
      </c>
      <c r="AK217" s="5153" t="e">
        <f>+#REF!/AK$140*100</f>
        <v>#REF!</v>
      </c>
      <c r="AL217" s="637" t="e">
        <f>+#REF!/AL$140*100</f>
        <v>#REF!</v>
      </c>
      <c r="AM217" s="5151" t="e">
        <f>+#REF!/AM$140*100</f>
        <v>#REF!</v>
      </c>
      <c r="AN217" s="325" t="e">
        <f>+#REF!/AN$140*100</f>
        <v>#REF!</v>
      </c>
      <c r="AO217" s="1290" t="e">
        <f>+#REF!/AO$140*100</f>
        <v>#REF!</v>
      </c>
      <c r="AP217" s="117" t="e">
        <f>+#REF!/AP$140*100</f>
        <v>#REF!</v>
      </c>
      <c r="AQ217" s="5153" t="e">
        <f>+#REF!/AQ$140*100</f>
        <v>#REF!</v>
      </c>
      <c r="AR217" s="637" t="e">
        <f>+#REF!/AR$140*100</f>
        <v>#REF!</v>
      </c>
      <c r="AS217" s="1290" t="e">
        <f>+#REF!/AS$140*100</f>
        <v>#REF!</v>
      </c>
      <c r="AT217" s="117" t="e">
        <f>+#REF!/AT$140*100</f>
        <v>#REF!</v>
      </c>
      <c r="AU217" s="5153" t="e">
        <f>+#REF!/AU$140*100</f>
        <v>#REF!</v>
      </c>
      <c r="AV217" s="637" t="e">
        <f>+#REF!/AV$140*100</f>
        <v>#REF!</v>
      </c>
      <c r="AW217" s="1290" t="e">
        <f>+#REF!/AW$140*100</f>
        <v>#REF!</v>
      </c>
      <c r="AX217" s="117" t="e">
        <f>+#REF!/AX$140*100</f>
        <v>#REF!</v>
      </c>
      <c r="AY217" s="5153" t="e">
        <f>+#REF!/AY$140*100</f>
        <v>#REF!</v>
      </c>
      <c r="AZ217" s="637" t="e">
        <f>+#REF!/AZ$140*100</f>
        <v>#REF!</v>
      </c>
      <c r="BA217" s="5151" t="e">
        <f>+#REF!/BA$140*100</f>
        <v>#REF!</v>
      </c>
      <c r="BB217" s="325" t="e">
        <f>+#REF!/BB$140*100</f>
        <v>#REF!</v>
      </c>
      <c r="BC217" s="5152" t="e">
        <f>+#REF!/BC$140*100</f>
        <v>#REF!</v>
      </c>
      <c r="BD217" s="438" t="e">
        <f>+#REF!/BD$140*100</f>
        <v>#REF!</v>
      </c>
      <c r="BE217" s="1290" t="e">
        <f>+#REF!/BE$140*100</f>
        <v>#REF!</v>
      </c>
      <c r="BF217" s="117" t="e">
        <f>+#REF!/BF$140*100</f>
        <v>#REF!</v>
      </c>
      <c r="BG217" s="1111"/>
      <c r="BH217" s="1111"/>
      <c r="BI217" s="1111"/>
      <c r="BJ217" s="1111"/>
      <c r="BK217" s="1111"/>
      <c r="BL217" s="23"/>
      <c r="BM217" s="23"/>
      <c r="BN217" s="23"/>
      <c r="BP217" s="491"/>
      <c r="BQ217" s="491"/>
      <c r="BS217" s="491"/>
      <c r="BT217" s="491"/>
    </row>
    <row r="218" spans="2:72" ht="18.600000000000001" thickBot="1" x14ac:dyDescent="0.35">
      <c r="B218" s="1714" t="s">
        <v>579</v>
      </c>
      <c r="C218" s="677" t="s">
        <v>49</v>
      </c>
      <c r="D218" s="1324">
        <f t="shared" ref="D218:AI218" si="934">SUM(D217:D217)</f>
        <v>7.0273738037130897</v>
      </c>
      <c r="E218" s="1271">
        <f t="shared" si="934"/>
        <v>7.0637923140074763</v>
      </c>
      <c r="F218" s="131">
        <f t="shared" si="934"/>
        <v>7.1108160970341654</v>
      </c>
      <c r="G218" s="1271">
        <f t="shared" ref="G218:H218" si="935">SUM(G217:G217)</f>
        <v>7.0718643401808903</v>
      </c>
      <c r="H218" s="131">
        <f t="shared" si="935"/>
        <v>7.1657678415483232</v>
      </c>
      <c r="I218" s="560">
        <f t="shared" si="934"/>
        <v>7.0678868095869927</v>
      </c>
      <c r="J218" s="156">
        <f t="shared" si="934"/>
        <v>7.1382575934364381</v>
      </c>
      <c r="K218" s="1271" t="e">
        <f t="shared" si="934"/>
        <v>#REF!</v>
      </c>
      <c r="L218" s="131" t="e">
        <f t="shared" si="934"/>
        <v>#REF!</v>
      </c>
      <c r="M218" s="1454" t="e">
        <f t="shared" si="934"/>
        <v>#REF!</v>
      </c>
      <c r="N218" s="1455" t="e">
        <f t="shared" si="934"/>
        <v>#REF!</v>
      </c>
      <c r="O218" s="1271" t="e">
        <f t="shared" si="934"/>
        <v>#REF!</v>
      </c>
      <c r="P218" s="131" t="e">
        <f t="shared" si="934"/>
        <v>#REF!</v>
      </c>
      <c r="Q218" s="1559" t="e">
        <f t="shared" si="934"/>
        <v>#REF!</v>
      </c>
      <c r="R218" s="156" t="e">
        <f t="shared" si="934"/>
        <v>#REF!</v>
      </c>
      <c r="S218" s="1271" t="e">
        <f t="shared" si="934"/>
        <v>#REF!</v>
      </c>
      <c r="T218" s="131" t="e">
        <f t="shared" si="934"/>
        <v>#REF!</v>
      </c>
      <c r="U218" s="1559" t="e">
        <f t="shared" si="934"/>
        <v>#REF!</v>
      </c>
      <c r="V218" s="156" t="e">
        <f t="shared" si="934"/>
        <v>#REF!</v>
      </c>
      <c r="W218" s="1271" t="e">
        <f t="shared" si="934"/>
        <v>#REF!</v>
      </c>
      <c r="X218" s="131" t="e">
        <f t="shared" si="934"/>
        <v>#REF!</v>
      </c>
      <c r="Y218" s="561" t="e">
        <f t="shared" si="934"/>
        <v>#REF!</v>
      </c>
      <c r="Z218" s="324" t="e">
        <f t="shared" si="934"/>
        <v>#REF!</v>
      </c>
      <c r="AA218" s="2164" t="e">
        <f t="shared" si="934"/>
        <v>#REF!</v>
      </c>
      <c r="AB218" s="2110" t="e">
        <f t="shared" si="934"/>
        <v>#REF!</v>
      </c>
      <c r="AC218" s="1271" t="e">
        <f t="shared" si="934"/>
        <v>#REF!</v>
      </c>
      <c r="AD218" s="131" t="e">
        <f t="shared" si="934"/>
        <v>#REF!</v>
      </c>
      <c r="AE218" s="560" t="e">
        <f t="shared" si="934"/>
        <v>#REF!</v>
      </c>
      <c r="AF218" s="156" t="e">
        <f t="shared" si="934"/>
        <v>#REF!</v>
      </c>
      <c r="AG218" s="1271" t="e">
        <f t="shared" si="934"/>
        <v>#REF!</v>
      </c>
      <c r="AH218" s="131" t="e">
        <f t="shared" si="934"/>
        <v>#REF!</v>
      </c>
      <c r="AI218" s="560" t="e">
        <f t="shared" si="934"/>
        <v>#REF!</v>
      </c>
      <c r="AJ218" s="156" t="e">
        <f t="shared" ref="AJ218:BF218" si="936">SUM(AJ217:AJ217)</f>
        <v>#REF!</v>
      </c>
      <c r="AK218" s="1271" t="e">
        <f t="shared" si="936"/>
        <v>#REF!</v>
      </c>
      <c r="AL218" s="131" t="e">
        <f t="shared" si="936"/>
        <v>#REF!</v>
      </c>
      <c r="AM218" s="561" t="e">
        <f t="shared" si="936"/>
        <v>#REF!</v>
      </c>
      <c r="AN218" s="324" t="e">
        <f t="shared" si="936"/>
        <v>#REF!</v>
      </c>
      <c r="AO218" s="560" t="e">
        <f t="shared" si="936"/>
        <v>#REF!</v>
      </c>
      <c r="AP218" s="156" t="e">
        <f t="shared" si="936"/>
        <v>#REF!</v>
      </c>
      <c r="AQ218" s="1271" t="e">
        <f t="shared" si="936"/>
        <v>#REF!</v>
      </c>
      <c r="AR218" s="131" t="e">
        <f t="shared" si="936"/>
        <v>#REF!</v>
      </c>
      <c r="AS218" s="560" t="e">
        <f t="shared" si="936"/>
        <v>#REF!</v>
      </c>
      <c r="AT218" s="156" t="e">
        <f t="shared" si="936"/>
        <v>#REF!</v>
      </c>
      <c r="AU218" s="1271" t="e">
        <f t="shared" si="936"/>
        <v>#REF!</v>
      </c>
      <c r="AV218" s="131" t="e">
        <f t="shared" si="936"/>
        <v>#REF!</v>
      </c>
      <c r="AW218" s="560" t="e">
        <f t="shared" si="936"/>
        <v>#REF!</v>
      </c>
      <c r="AX218" s="156" t="e">
        <f t="shared" si="936"/>
        <v>#REF!</v>
      </c>
      <c r="AY218" s="1271" t="e">
        <f t="shared" si="936"/>
        <v>#REF!</v>
      </c>
      <c r="AZ218" s="131" t="e">
        <f t="shared" si="936"/>
        <v>#REF!</v>
      </c>
      <c r="BA218" s="561" t="e">
        <f t="shared" si="936"/>
        <v>#REF!</v>
      </c>
      <c r="BB218" s="324" t="e">
        <f t="shared" si="936"/>
        <v>#REF!</v>
      </c>
      <c r="BC218" s="2164" t="e">
        <f t="shared" si="936"/>
        <v>#REF!</v>
      </c>
      <c r="BD218" s="2110" t="e">
        <f t="shared" si="936"/>
        <v>#REF!</v>
      </c>
      <c r="BE218" s="560" t="e">
        <f t="shared" si="936"/>
        <v>#REF!</v>
      </c>
      <c r="BF218" s="156" t="e">
        <f t="shared" si="936"/>
        <v>#REF!</v>
      </c>
      <c r="BG218" s="1111"/>
      <c r="BH218" s="1111"/>
      <c r="BI218" s="1111"/>
      <c r="BJ218" s="1111"/>
      <c r="BK218" s="1111"/>
      <c r="BL218" s="23"/>
      <c r="BM218" s="23"/>
      <c r="BN218" s="23"/>
      <c r="BP218" s="491"/>
      <c r="BQ218" s="491"/>
      <c r="BS218" s="491"/>
      <c r="BT218" s="491"/>
    </row>
    <row r="219" spans="2:72" ht="18" thickBot="1" x14ac:dyDescent="0.35">
      <c r="B219" s="1714" t="s">
        <v>11</v>
      </c>
      <c r="C219" s="677" t="s">
        <v>49</v>
      </c>
      <c r="D219" s="3800">
        <f t="shared" ref="D219:AI219" si="937">+D216+D218</f>
        <v>100</v>
      </c>
      <c r="E219" s="3801">
        <f t="shared" si="937"/>
        <v>99.999999999999986</v>
      </c>
      <c r="F219" s="128">
        <f t="shared" si="937"/>
        <v>100</v>
      </c>
      <c r="G219" s="3801">
        <f t="shared" ref="G219:H219" si="938">+G216+G218</f>
        <v>99.999999999999986</v>
      </c>
      <c r="H219" s="128">
        <f t="shared" si="938"/>
        <v>99.999999999999972</v>
      </c>
      <c r="I219" s="3802">
        <f t="shared" si="937"/>
        <v>99.999999999999986</v>
      </c>
      <c r="J219" s="3803">
        <f>+J216+J218</f>
        <v>99.999999999999972</v>
      </c>
      <c r="K219" s="3801" t="e">
        <f t="shared" si="937"/>
        <v>#REF!</v>
      </c>
      <c r="L219" s="128" t="e">
        <f t="shared" si="937"/>
        <v>#REF!</v>
      </c>
      <c r="M219" s="3804" t="e">
        <f t="shared" si="937"/>
        <v>#REF!</v>
      </c>
      <c r="N219" s="3805" t="e">
        <f t="shared" si="937"/>
        <v>#REF!</v>
      </c>
      <c r="O219" s="3801" t="e">
        <f t="shared" si="937"/>
        <v>#REF!</v>
      </c>
      <c r="P219" s="128" t="e">
        <f t="shared" si="937"/>
        <v>#REF!</v>
      </c>
      <c r="Q219" s="3806" t="e">
        <f t="shared" si="937"/>
        <v>#REF!</v>
      </c>
      <c r="R219" s="3803" t="e">
        <f t="shared" si="937"/>
        <v>#REF!</v>
      </c>
      <c r="S219" s="3801" t="e">
        <f t="shared" si="937"/>
        <v>#REF!</v>
      </c>
      <c r="T219" s="128" t="e">
        <f t="shared" si="937"/>
        <v>#REF!</v>
      </c>
      <c r="U219" s="3806" t="e">
        <f t="shared" si="937"/>
        <v>#REF!</v>
      </c>
      <c r="V219" s="3803" t="e">
        <f t="shared" si="937"/>
        <v>#REF!</v>
      </c>
      <c r="W219" s="3801" t="e">
        <f t="shared" si="937"/>
        <v>#REF!</v>
      </c>
      <c r="X219" s="128" t="e">
        <f t="shared" si="937"/>
        <v>#REF!</v>
      </c>
      <c r="Y219" s="3807" t="e">
        <f t="shared" si="937"/>
        <v>#REF!</v>
      </c>
      <c r="Z219" s="3808" t="e">
        <f t="shared" si="937"/>
        <v>#REF!</v>
      </c>
      <c r="AA219" s="3809" t="e">
        <f t="shared" si="937"/>
        <v>#REF!</v>
      </c>
      <c r="AB219" s="3810" t="e">
        <f t="shared" si="937"/>
        <v>#REF!</v>
      </c>
      <c r="AC219" s="3801" t="e">
        <f t="shared" si="937"/>
        <v>#REF!</v>
      </c>
      <c r="AD219" s="128" t="e">
        <f t="shared" si="937"/>
        <v>#REF!</v>
      </c>
      <c r="AE219" s="3802" t="e">
        <f t="shared" si="937"/>
        <v>#REF!</v>
      </c>
      <c r="AF219" s="3803" t="e">
        <f t="shared" si="937"/>
        <v>#REF!</v>
      </c>
      <c r="AG219" s="3801" t="e">
        <f t="shared" si="937"/>
        <v>#REF!</v>
      </c>
      <c r="AH219" s="128" t="e">
        <f t="shared" si="937"/>
        <v>#REF!</v>
      </c>
      <c r="AI219" s="3802" t="e">
        <f t="shared" si="937"/>
        <v>#REF!</v>
      </c>
      <c r="AJ219" s="3803" t="e">
        <f t="shared" ref="AJ219:BF219" si="939">+AJ216+AJ218</f>
        <v>#REF!</v>
      </c>
      <c r="AK219" s="3801" t="e">
        <f t="shared" si="939"/>
        <v>#REF!</v>
      </c>
      <c r="AL219" s="128" t="e">
        <f t="shared" si="939"/>
        <v>#REF!</v>
      </c>
      <c r="AM219" s="561" t="e">
        <f t="shared" si="939"/>
        <v>#REF!</v>
      </c>
      <c r="AN219" s="324" t="e">
        <f t="shared" si="939"/>
        <v>#REF!</v>
      </c>
      <c r="AO219" s="560" t="e">
        <f t="shared" si="939"/>
        <v>#REF!</v>
      </c>
      <c r="AP219" s="156" t="e">
        <f t="shared" si="939"/>
        <v>#REF!</v>
      </c>
      <c r="AQ219" s="1271" t="e">
        <f t="shared" si="939"/>
        <v>#REF!</v>
      </c>
      <c r="AR219" s="131" t="e">
        <f t="shared" si="939"/>
        <v>#REF!</v>
      </c>
      <c r="AS219" s="560" t="e">
        <f t="shared" si="939"/>
        <v>#REF!</v>
      </c>
      <c r="AT219" s="156" t="e">
        <f t="shared" si="939"/>
        <v>#REF!</v>
      </c>
      <c r="AU219" s="1271" t="e">
        <f t="shared" si="939"/>
        <v>#REF!</v>
      </c>
      <c r="AV219" s="131" t="e">
        <f t="shared" si="939"/>
        <v>#REF!</v>
      </c>
      <c r="AW219" s="560" t="e">
        <f t="shared" si="939"/>
        <v>#REF!</v>
      </c>
      <c r="AX219" s="156" t="e">
        <f t="shared" si="939"/>
        <v>#REF!</v>
      </c>
      <c r="AY219" s="1271" t="e">
        <f t="shared" si="939"/>
        <v>#REF!</v>
      </c>
      <c r="AZ219" s="131" t="e">
        <f t="shared" si="939"/>
        <v>#REF!</v>
      </c>
      <c r="BA219" s="561" t="e">
        <f t="shared" si="939"/>
        <v>#REF!</v>
      </c>
      <c r="BB219" s="324" t="e">
        <f t="shared" si="939"/>
        <v>#REF!</v>
      </c>
      <c r="BC219" s="1272" t="e">
        <f t="shared" si="939"/>
        <v>#REF!</v>
      </c>
      <c r="BD219" s="2110" t="e">
        <f t="shared" si="939"/>
        <v>#REF!</v>
      </c>
      <c r="BE219" s="560" t="e">
        <f t="shared" si="939"/>
        <v>#REF!</v>
      </c>
      <c r="BF219" s="156" t="e">
        <f t="shared" si="939"/>
        <v>#REF!</v>
      </c>
      <c r="BG219" s="1111"/>
      <c r="BH219" s="1111"/>
      <c r="BI219" s="1111"/>
      <c r="BJ219" s="1111"/>
      <c r="BK219" s="1111"/>
      <c r="BL219" s="23"/>
      <c r="BM219" s="23"/>
      <c r="BN219" s="23"/>
    </row>
    <row r="220" spans="2:72" x14ac:dyDescent="0.3">
      <c r="B220" s="4"/>
      <c r="C220" s="4"/>
      <c r="D220" s="41"/>
      <c r="E220" s="105"/>
      <c r="F220" s="41"/>
      <c r="G220" s="105"/>
      <c r="H220" s="41"/>
      <c r="I220" s="105"/>
      <c r="J220" s="41"/>
      <c r="K220" s="105"/>
      <c r="L220" s="41"/>
      <c r="M220" s="105"/>
      <c r="N220" s="41"/>
      <c r="O220" s="105"/>
      <c r="P220" s="41"/>
      <c r="Q220" s="105"/>
      <c r="R220" s="41"/>
      <c r="S220" s="105"/>
      <c r="T220" s="41"/>
      <c r="U220" s="105"/>
      <c r="V220" s="41"/>
      <c r="W220" s="105"/>
      <c r="X220" s="41"/>
      <c r="Y220" s="105"/>
      <c r="Z220" s="41"/>
      <c r="AA220" s="105"/>
      <c r="AB220" s="41"/>
      <c r="AC220" s="105"/>
      <c r="AD220" s="41"/>
      <c r="AE220" s="105"/>
      <c r="AF220" s="41"/>
      <c r="AG220" s="105"/>
      <c r="AH220" s="41"/>
      <c r="AI220" s="105"/>
      <c r="AJ220" s="41"/>
      <c r="AK220" s="105"/>
      <c r="AL220" s="41"/>
      <c r="AM220" s="105"/>
      <c r="AN220" s="41"/>
      <c r="AO220" s="105"/>
      <c r="AP220" s="41"/>
      <c r="AQ220" s="105"/>
      <c r="AR220" s="41"/>
      <c r="AS220" s="105"/>
      <c r="AT220" s="41"/>
      <c r="AU220" s="105"/>
      <c r="AV220" s="41"/>
      <c r="AW220" s="105"/>
      <c r="AX220" s="41"/>
      <c r="AY220" s="105"/>
      <c r="AZ220" s="41"/>
      <c r="BA220" s="105"/>
      <c r="BB220" s="41"/>
      <c r="BC220" s="105"/>
      <c r="BD220" s="41"/>
      <c r="BE220" s="105"/>
      <c r="BF220" s="41"/>
      <c r="BG220" s="1111"/>
      <c r="BH220" s="1111"/>
      <c r="BI220" s="1111"/>
      <c r="BJ220" s="1111"/>
      <c r="BK220" s="1111"/>
      <c r="BL220" s="23"/>
      <c r="BM220" s="23"/>
      <c r="BN220" s="23"/>
    </row>
    <row r="221" spans="2:72" x14ac:dyDescent="0.3">
      <c r="B221" s="2193" t="s">
        <v>131</v>
      </c>
      <c r="C221" s="2192" t="s">
        <v>174</v>
      </c>
      <c r="D221" s="3499">
        <v>75.92</v>
      </c>
      <c r="E221" s="3499">
        <f t="shared" ref="E221:AJ221" si="940">E12</f>
        <v>77.7</v>
      </c>
      <c r="F221" s="3499">
        <f t="shared" si="940"/>
        <v>77.83</v>
      </c>
      <c r="G221" s="3499">
        <f t="shared" ref="G221:H221" si="941">G12</f>
        <v>77.7</v>
      </c>
      <c r="H221" s="3499">
        <f t="shared" si="941"/>
        <v>77.7</v>
      </c>
      <c r="I221" s="3499">
        <f t="shared" si="940"/>
        <v>77.700000000000017</v>
      </c>
      <c r="J221" s="3499">
        <f t="shared" si="940"/>
        <v>77.763934426229511</v>
      </c>
      <c r="K221" s="3499">
        <f t="shared" si="940"/>
        <v>74</v>
      </c>
      <c r="L221" s="3499">
        <f t="shared" si="940"/>
        <v>76</v>
      </c>
      <c r="M221" s="3499">
        <f t="shared" si="940"/>
        <v>76.480219780219784</v>
      </c>
      <c r="N221" s="3499">
        <f t="shared" si="940"/>
        <v>77.182417582417585</v>
      </c>
      <c r="O221" s="3499">
        <f t="shared" si="940"/>
        <v>74</v>
      </c>
      <c r="P221" s="3499">
        <f t="shared" si="940"/>
        <v>74.930000000000007</v>
      </c>
      <c r="Q221" s="3499">
        <f t="shared" si="940"/>
        <v>75.850000000000009</v>
      </c>
      <c r="R221" s="3499">
        <f t="shared" si="940"/>
        <v>76.610081967213119</v>
      </c>
      <c r="S221" s="3499">
        <f t="shared" si="940"/>
        <v>74</v>
      </c>
      <c r="T221" s="3499">
        <f t="shared" si="940"/>
        <v>77.7</v>
      </c>
      <c r="U221" s="3499">
        <f t="shared" si="940"/>
        <v>75.475163398692814</v>
      </c>
      <c r="V221" s="3499">
        <f t="shared" si="940"/>
        <v>76.830915032679741</v>
      </c>
      <c r="W221" s="3499">
        <f t="shared" si="940"/>
        <v>74</v>
      </c>
      <c r="X221" s="3499">
        <f t="shared" si="940"/>
        <v>77.8</v>
      </c>
      <c r="Y221" s="3499">
        <f t="shared" si="940"/>
        <v>74</v>
      </c>
      <c r="Z221" s="3499">
        <f t="shared" si="940"/>
        <v>76.799239130434785</v>
      </c>
      <c r="AA221" s="3499">
        <f t="shared" si="940"/>
        <v>75.233333333333334</v>
      </c>
      <c r="AB221" s="3499">
        <f t="shared" si="940"/>
        <v>76.989781420765027</v>
      </c>
      <c r="AC221" s="3499">
        <f t="shared" si="940"/>
        <v>74</v>
      </c>
      <c r="AD221" s="3499">
        <f t="shared" si="940"/>
        <v>77.58</v>
      </c>
      <c r="AE221" s="3499">
        <f t="shared" si="940"/>
        <v>75.054672897196269</v>
      </c>
      <c r="AF221" s="3499">
        <f t="shared" si="940"/>
        <v>77.075280373831774</v>
      </c>
      <c r="AG221" s="3499">
        <f t="shared" si="940"/>
        <v>74</v>
      </c>
      <c r="AH221" s="3499">
        <f t="shared" si="940"/>
        <v>73.66</v>
      </c>
      <c r="AI221" s="3499">
        <f t="shared" si="940"/>
        <v>74.924999999999997</v>
      </c>
      <c r="AJ221" s="3499">
        <f t="shared" si="940"/>
        <v>76.65536885245902</v>
      </c>
      <c r="AK221" s="3499">
        <f t="shared" ref="AK221:BF221" si="942">AK12</f>
        <v>74</v>
      </c>
      <c r="AL221" s="3499">
        <f t="shared" si="942"/>
        <v>75.09</v>
      </c>
      <c r="AM221" s="3499">
        <f t="shared" si="942"/>
        <v>74</v>
      </c>
      <c r="AN221" s="3499">
        <f t="shared" si="942"/>
        <v>75.462717391304338</v>
      </c>
      <c r="AO221" s="3499">
        <f t="shared" si="942"/>
        <v>74.820727272727282</v>
      </c>
      <c r="AP221" s="3499">
        <f t="shared" si="942"/>
        <v>76.478909090909099</v>
      </c>
      <c r="AQ221" s="3499">
        <f t="shared" si="942"/>
        <v>74</v>
      </c>
      <c r="AR221" s="3499">
        <f t="shared" si="942"/>
        <v>75.58</v>
      </c>
      <c r="AS221" s="3499">
        <f t="shared" si="942"/>
        <v>74.737581699346421</v>
      </c>
      <c r="AT221" s="3499">
        <f t="shared" si="942"/>
        <v>76.387843137254904</v>
      </c>
      <c r="AU221" s="3499">
        <f t="shared" si="942"/>
        <v>74</v>
      </c>
      <c r="AV221" s="3499">
        <f t="shared" si="942"/>
        <v>74.709999999999994</v>
      </c>
      <c r="AW221" s="3499">
        <f t="shared" si="942"/>
        <v>74.675748502994026</v>
      </c>
      <c r="AX221" s="3499">
        <f t="shared" si="942"/>
        <v>76.247185628742514</v>
      </c>
      <c r="AY221" s="3499">
        <f t="shared" si="942"/>
        <v>74</v>
      </c>
      <c r="AZ221" s="3499">
        <f t="shared" si="942"/>
        <v>77.739999999999995</v>
      </c>
      <c r="BA221" s="3499">
        <f t="shared" si="942"/>
        <v>74</v>
      </c>
      <c r="BB221" s="3499">
        <f t="shared" si="942"/>
        <v>76.053333333333327</v>
      </c>
      <c r="BC221" s="3499">
        <f t="shared" si="942"/>
        <v>74</v>
      </c>
      <c r="BD221" s="3499">
        <f t="shared" si="942"/>
        <v>75.754780219780216</v>
      </c>
      <c r="BE221" s="3499">
        <f t="shared" si="942"/>
        <v>74.61835616438357</v>
      </c>
      <c r="BF221" s="3499">
        <f t="shared" si="942"/>
        <v>76.373972602739727</v>
      </c>
      <c r="BG221" s="1111"/>
      <c r="BH221" s="1111"/>
      <c r="BI221" s="1111"/>
      <c r="BJ221" s="1111"/>
      <c r="BK221" s="1111"/>
      <c r="BL221" s="23"/>
      <c r="BM221" s="23"/>
      <c r="BN221" s="23"/>
    </row>
    <row r="222" spans="2:72" x14ac:dyDescent="0.3">
      <c r="B222" s="2193" t="s">
        <v>132</v>
      </c>
      <c r="C222" s="2192" t="s">
        <v>174</v>
      </c>
      <c r="D222" s="3499">
        <v>73.5</v>
      </c>
      <c r="E222" s="3499">
        <f t="shared" ref="E222:AJ222" si="943">E13</f>
        <v>73.5</v>
      </c>
      <c r="F222" s="3499">
        <f t="shared" si="943"/>
        <v>74</v>
      </c>
      <c r="G222" s="3499">
        <f t="shared" ref="G222:H222" si="944">G13</f>
        <v>73.5</v>
      </c>
      <c r="H222" s="3499">
        <f t="shared" si="944"/>
        <v>74</v>
      </c>
      <c r="I222" s="3499">
        <f t="shared" si="943"/>
        <v>73.5</v>
      </c>
      <c r="J222" s="3499">
        <f t="shared" si="943"/>
        <v>74</v>
      </c>
      <c r="K222" s="3499">
        <f t="shared" si="943"/>
        <v>73.3</v>
      </c>
      <c r="L222" s="3499">
        <f t="shared" si="943"/>
        <v>74</v>
      </c>
      <c r="M222" s="3499">
        <f t="shared" si="943"/>
        <v>73.434065934065927</v>
      </c>
      <c r="N222" s="3499">
        <f t="shared" si="943"/>
        <v>74</v>
      </c>
      <c r="O222" s="3499">
        <f t="shared" si="943"/>
        <v>73.3</v>
      </c>
      <c r="P222" s="3499">
        <f t="shared" si="943"/>
        <v>74</v>
      </c>
      <c r="Q222" s="3499">
        <f t="shared" si="943"/>
        <v>73.399999999999991</v>
      </c>
      <c r="R222" s="3499">
        <f t="shared" si="943"/>
        <v>74</v>
      </c>
      <c r="S222" s="3499">
        <f t="shared" si="943"/>
        <v>73.3</v>
      </c>
      <c r="T222" s="3499">
        <f t="shared" si="943"/>
        <v>74</v>
      </c>
      <c r="U222" s="3499">
        <f t="shared" si="943"/>
        <v>73.379738562091489</v>
      </c>
      <c r="V222" s="3499">
        <f t="shared" si="943"/>
        <v>74</v>
      </c>
      <c r="W222" s="3499">
        <f t="shared" si="943"/>
        <v>73.3</v>
      </c>
      <c r="X222" s="3499">
        <f t="shared" si="943"/>
        <v>74</v>
      </c>
      <c r="Y222" s="3499">
        <f t="shared" si="943"/>
        <v>73.3</v>
      </c>
      <c r="Z222" s="3499">
        <f t="shared" si="943"/>
        <v>74</v>
      </c>
      <c r="AA222" s="3499">
        <f t="shared" si="943"/>
        <v>73.36666666666666</v>
      </c>
      <c r="AB222" s="3499">
        <f t="shared" si="943"/>
        <v>74</v>
      </c>
      <c r="AC222" s="3499">
        <f t="shared" si="943"/>
        <v>73.3</v>
      </c>
      <c r="AD222" s="3499">
        <f t="shared" si="943"/>
        <v>74</v>
      </c>
      <c r="AE222" s="3499">
        <f t="shared" si="943"/>
        <v>73.357009345794381</v>
      </c>
      <c r="AF222" s="3499">
        <f t="shared" si="943"/>
        <v>74</v>
      </c>
      <c r="AG222" s="3499">
        <f t="shared" si="943"/>
        <v>73.3</v>
      </c>
      <c r="AH222" s="3499">
        <f t="shared" si="943"/>
        <v>74</v>
      </c>
      <c r="AI222" s="3499">
        <f t="shared" si="943"/>
        <v>73.349999999999994</v>
      </c>
      <c r="AJ222" s="3499">
        <f t="shared" si="943"/>
        <v>74</v>
      </c>
      <c r="AK222" s="3499">
        <f t="shared" ref="AK222:BF222" si="945">AK13</f>
        <v>73.3</v>
      </c>
      <c r="AL222" s="3499">
        <f t="shared" si="945"/>
        <v>74</v>
      </c>
      <c r="AM222" s="3499">
        <f t="shared" si="945"/>
        <v>73.299999999999983</v>
      </c>
      <c r="AN222" s="3499">
        <f t="shared" si="945"/>
        <v>74</v>
      </c>
      <c r="AO222" s="3499">
        <f t="shared" si="945"/>
        <v>73.344363636363624</v>
      </c>
      <c r="AP222" s="3499">
        <f t="shared" si="945"/>
        <v>74</v>
      </c>
      <c r="AQ222" s="3499">
        <f t="shared" si="945"/>
        <v>73.3</v>
      </c>
      <c r="AR222" s="3499">
        <f t="shared" si="945"/>
        <v>74</v>
      </c>
      <c r="AS222" s="3499">
        <f t="shared" si="945"/>
        <v>73.339869281045736</v>
      </c>
      <c r="AT222" s="3499">
        <f t="shared" si="945"/>
        <v>74</v>
      </c>
      <c r="AU222" s="3499">
        <f t="shared" si="945"/>
        <v>73.3</v>
      </c>
      <c r="AV222" s="3499">
        <f t="shared" si="945"/>
        <v>74</v>
      </c>
      <c r="AW222" s="3499">
        <f t="shared" si="945"/>
        <v>73.336526946107782</v>
      </c>
      <c r="AX222" s="3499">
        <f t="shared" si="945"/>
        <v>74</v>
      </c>
      <c r="AY222" s="3499">
        <f t="shared" si="945"/>
        <v>73.3</v>
      </c>
      <c r="AZ222" s="3499">
        <f t="shared" si="945"/>
        <v>74</v>
      </c>
      <c r="BA222" s="3499">
        <f t="shared" si="945"/>
        <v>73.3</v>
      </c>
      <c r="BB222" s="3499">
        <f t="shared" si="945"/>
        <v>74</v>
      </c>
      <c r="BC222" s="3499">
        <f t="shared" si="945"/>
        <v>73.3</v>
      </c>
      <c r="BD222" s="3499">
        <f t="shared" si="945"/>
        <v>74</v>
      </c>
      <c r="BE222" s="3499">
        <f t="shared" si="945"/>
        <v>73.333424657534238</v>
      </c>
      <c r="BF222" s="3499">
        <f t="shared" si="945"/>
        <v>74</v>
      </c>
      <c r="BG222" s="1111"/>
      <c r="BH222" s="1111"/>
      <c r="BI222" s="1111"/>
      <c r="BJ222" s="1111"/>
      <c r="BK222" s="1111"/>
    </row>
    <row r="223" spans="2:72" ht="15" thickBot="1" x14ac:dyDescent="0.35">
      <c r="E223"/>
      <c r="F223"/>
      <c r="G223"/>
      <c r="H223"/>
      <c r="K223"/>
      <c r="L223"/>
      <c r="O223"/>
      <c r="P223"/>
      <c r="S223"/>
      <c r="V223" s="88"/>
      <c r="BG223" s="1111"/>
      <c r="BH223" s="1111"/>
      <c r="BI223" s="1111"/>
      <c r="BJ223" s="1111"/>
      <c r="BK223" s="1111"/>
    </row>
    <row r="224" spans="2:72" ht="18.600000000000001" thickBot="1" x14ac:dyDescent="0.4">
      <c r="B224" s="2397" t="s">
        <v>1701</v>
      </c>
      <c r="C224" s="2397" t="s">
        <v>174</v>
      </c>
      <c r="D224" s="3796"/>
      <c r="E224" s="3797"/>
      <c r="F224" s="3795">
        <v>0</v>
      </c>
      <c r="G224" s="3797"/>
      <c r="H224" s="3795">
        <v>0</v>
      </c>
      <c r="I224" s="3798"/>
      <c r="J224" s="3795">
        <f>F224+H224</f>
        <v>0</v>
      </c>
      <c r="K224" s="3797"/>
      <c r="L224" s="3795">
        <v>0</v>
      </c>
      <c r="M224" s="3798"/>
      <c r="N224" s="3795">
        <f>+L224+H224+F224</f>
        <v>0</v>
      </c>
      <c r="O224" s="3797"/>
      <c r="P224" s="3795">
        <v>0</v>
      </c>
      <c r="Q224" s="3798"/>
      <c r="R224" s="3799">
        <f>N224+P224</f>
        <v>0</v>
      </c>
      <c r="S224" s="3797"/>
      <c r="T224" s="3795">
        <v>0</v>
      </c>
      <c r="U224" s="3798"/>
      <c r="V224" s="3799">
        <f>R224+T224</f>
        <v>0</v>
      </c>
      <c r="W224" s="3797"/>
      <c r="X224" s="3795">
        <v>89</v>
      </c>
      <c r="Y224" s="3797"/>
      <c r="Z224" s="3797">
        <f>+P224+T224+X224</f>
        <v>89</v>
      </c>
      <c r="AA224" s="3797"/>
      <c r="AB224" s="3797">
        <f>+N224+Z224</f>
        <v>89</v>
      </c>
      <c r="AC224" s="3797"/>
      <c r="AD224" s="3795">
        <v>106</v>
      </c>
      <c r="AE224" s="3797"/>
      <c r="AF224" s="3797">
        <f t="shared" ref="AF224" si="946">+AB224+AD224</f>
        <v>195</v>
      </c>
      <c r="AG224" s="3797"/>
      <c r="AH224" s="3795">
        <v>3</v>
      </c>
      <c r="AI224" s="3797"/>
      <c r="AJ224" s="3797">
        <f>+AB224+AD224+AH224</f>
        <v>198</v>
      </c>
      <c r="AK224" s="3797"/>
      <c r="AL224" s="3795">
        <v>2</v>
      </c>
      <c r="AM224" s="3797"/>
      <c r="AN224" s="3797">
        <f>+AD224+AH224+AL224</f>
        <v>111</v>
      </c>
      <c r="AO224" s="2398"/>
      <c r="AP224" s="3797">
        <f>AJ224+AL224</f>
        <v>200</v>
      </c>
      <c r="AQ224" s="3797"/>
      <c r="AR224" s="3795">
        <v>0</v>
      </c>
      <c r="AS224" s="2398"/>
      <c r="AT224" s="3797">
        <f>AP224+AR224</f>
        <v>200</v>
      </c>
      <c r="AU224" s="3797"/>
      <c r="AV224" s="3795">
        <v>0</v>
      </c>
      <c r="AW224" s="2398"/>
      <c r="AX224" s="3797">
        <f>AT224+AV224</f>
        <v>200</v>
      </c>
      <c r="AY224" s="3797"/>
      <c r="AZ224" s="3795">
        <v>0</v>
      </c>
      <c r="BA224" s="2398"/>
      <c r="BB224" s="3795">
        <f>+AR224+AV224+AZ224</f>
        <v>0</v>
      </c>
      <c r="BC224" s="3795"/>
      <c r="BD224" s="3795">
        <f>+AN224+BB224</f>
        <v>111</v>
      </c>
      <c r="BE224" s="2398"/>
      <c r="BF224" s="3795">
        <f>AZ224+AX224</f>
        <v>200</v>
      </c>
      <c r="BG224" s="1111"/>
      <c r="BH224" s="1111"/>
      <c r="BI224" s="1111"/>
      <c r="BJ224" s="1111"/>
      <c r="BK224" s="1111"/>
    </row>
    <row r="225" spans="5:24" x14ac:dyDescent="0.3">
      <c r="E225"/>
      <c r="F225"/>
      <c r="G225"/>
      <c r="H225"/>
      <c r="K225"/>
      <c r="L225"/>
      <c r="T225" s="88"/>
      <c r="V225" s="88"/>
      <c r="W225" s="82"/>
      <c r="X225" s="88"/>
    </row>
    <row r="226" spans="5:24" x14ac:dyDescent="0.3">
      <c r="E226"/>
      <c r="F226"/>
      <c r="G226"/>
      <c r="H226"/>
      <c r="K226"/>
      <c r="L226"/>
      <c r="T226" s="88"/>
      <c r="V226" s="88"/>
      <c r="W226" s="82"/>
      <c r="X226" s="88"/>
    </row>
    <row r="227" spans="5:24" x14ac:dyDescent="0.3">
      <c r="E227"/>
      <c r="F227"/>
      <c r="G227"/>
      <c r="H227"/>
      <c r="K227"/>
      <c r="L227"/>
      <c r="T227" s="88"/>
      <c r="V227" s="88"/>
      <c r="W227" s="82"/>
      <c r="X227" s="88"/>
    </row>
    <row r="228" spans="5:24" x14ac:dyDescent="0.3">
      <c r="E228"/>
      <c r="F228"/>
      <c r="G228"/>
      <c r="H228"/>
      <c r="K228"/>
      <c r="L228"/>
      <c r="T228" s="88"/>
      <c r="V228" s="88"/>
      <c r="W228" s="82"/>
      <c r="X228" s="88"/>
    </row>
    <row r="229" spans="5:24" x14ac:dyDescent="0.3">
      <c r="E229"/>
      <c r="F229"/>
      <c r="G229"/>
      <c r="H229"/>
      <c r="K229"/>
      <c r="L229"/>
      <c r="T229" s="88"/>
      <c r="V229" s="88"/>
      <c r="W229" s="82"/>
      <c r="X229" s="88"/>
    </row>
    <row r="230" spans="5:24" x14ac:dyDescent="0.3">
      <c r="E230"/>
      <c r="F230"/>
      <c r="G230"/>
      <c r="H230"/>
      <c r="K230"/>
      <c r="L230"/>
      <c r="T230" s="88"/>
      <c r="V230" s="88"/>
      <c r="W230" s="82"/>
      <c r="X230" s="88"/>
    </row>
    <row r="231" spans="5:24" x14ac:dyDescent="0.3">
      <c r="E231"/>
      <c r="F231"/>
      <c r="G231"/>
      <c r="H231"/>
      <c r="K231"/>
      <c r="L231"/>
      <c r="T231" s="88"/>
      <c r="V231" s="88"/>
      <c r="W231" s="82"/>
      <c r="X231" s="88"/>
    </row>
    <row r="232" spans="5:24" x14ac:dyDescent="0.3">
      <c r="E232"/>
      <c r="F232"/>
      <c r="G232"/>
      <c r="H232"/>
      <c r="K232"/>
      <c r="L232"/>
      <c r="T232" s="88"/>
      <c r="V232" s="88"/>
      <c r="W232" s="82"/>
      <c r="X232" s="88"/>
    </row>
    <row r="233" spans="5:24" x14ac:dyDescent="0.3">
      <c r="E233"/>
      <c r="F233"/>
      <c r="G233"/>
      <c r="H233"/>
      <c r="T233" s="88"/>
      <c r="V233" s="88"/>
      <c r="W233" s="82"/>
      <c r="X233" s="88"/>
    </row>
    <row r="234" spans="5:24" x14ac:dyDescent="0.3">
      <c r="E234"/>
      <c r="F234"/>
      <c r="G234"/>
      <c r="H234"/>
      <c r="T234" s="88"/>
      <c r="V234" s="88"/>
      <c r="W234" s="82"/>
      <c r="X234" s="88"/>
    </row>
    <row r="235" spans="5:24" x14ac:dyDescent="0.3">
      <c r="E235"/>
      <c r="F235"/>
      <c r="G235"/>
      <c r="H235"/>
      <c r="T235" s="88"/>
      <c r="V235" s="88"/>
      <c r="W235" s="82"/>
      <c r="X235" s="88"/>
    </row>
    <row r="236" spans="5:24" x14ac:dyDescent="0.3">
      <c r="E236"/>
      <c r="F236"/>
      <c r="G236"/>
      <c r="H236"/>
      <c r="T236" s="88"/>
      <c r="V236" s="88"/>
      <c r="W236" s="82"/>
      <c r="X236" s="88"/>
    </row>
    <row r="237" spans="5:24" x14ac:dyDescent="0.3">
      <c r="E237"/>
      <c r="F237"/>
      <c r="G237"/>
      <c r="H237"/>
      <c r="T237" s="88"/>
      <c r="V237" s="88"/>
      <c r="W237" s="82"/>
      <c r="X237" s="88"/>
    </row>
    <row r="238" spans="5:24" x14ac:dyDescent="0.3">
      <c r="T238" s="88"/>
      <c r="V238" s="88"/>
      <c r="W238" s="82"/>
      <c r="X238" s="88"/>
    </row>
    <row r="239" spans="5:24" x14ac:dyDescent="0.3">
      <c r="T239" s="88"/>
      <c r="V239" s="88"/>
      <c r="W239" s="82"/>
      <c r="X239" s="88"/>
    </row>
    <row r="240" spans="5:24" x14ac:dyDescent="0.3">
      <c r="T240" s="88"/>
      <c r="V240" s="88"/>
      <c r="W240" s="82"/>
      <c r="X240" s="88"/>
    </row>
    <row r="241" spans="20:24" x14ac:dyDescent="0.3">
      <c r="T241" s="88"/>
      <c r="V241" s="88"/>
      <c r="W241" s="82"/>
      <c r="X241" s="88"/>
    </row>
    <row r="242" spans="20:24" x14ac:dyDescent="0.3">
      <c r="T242" s="88"/>
      <c r="V242" s="88"/>
    </row>
    <row r="243" spans="20:24" x14ac:dyDescent="0.3">
      <c r="T243" s="88"/>
      <c r="V243" s="88"/>
    </row>
    <row r="244" spans="20:24" x14ac:dyDescent="0.3">
      <c r="T244" s="88"/>
      <c r="V244" s="88"/>
    </row>
  </sheetData>
  <mergeCells count="78">
    <mergeCell ref="BE3:BF3"/>
    <mergeCell ref="BE122"/>
    <mergeCell ref="BE139"/>
    <mergeCell ref="BA3:BB3"/>
    <mergeCell ref="BC3:BD3"/>
    <mergeCell ref="BA122"/>
    <mergeCell ref="BC122"/>
    <mergeCell ref="BA139"/>
    <mergeCell ref="BC139"/>
    <mergeCell ref="AO3:AP3"/>
    <mergeCell ref="AO122"/>
    <mergeCell ref="AO139"/>
    <mergeCell ref="AM3:AN3"/>
    <mergeCell ref="AM122"/>
    <mergeCell ref="AM139"/>
    <mergeCell ref="AK3:AL3"/>
    <mergeCell ref="AK122"/>
    <mergeCell ref="AK139"/>
    <mergeCell ref="AA139"/>
    <mergeCell ref="M122"/>
    <mergeCell ref="O122"/>
    <mergeCell ref="AE139"/>
    <mergeCell ref="W122"/>
    <mergeCell ref="W139"/>
    <mergeCell ref="S122"/>
    <mergeCell ref="U122"/>
    <mergeCell ref="S139"/>
    <mergeCell ref="AA3:AB3"/>
    <mergeCell ref="S3:T3"/>
    <mergeCell ref="U3:V3"/>
    <mergeCell ref="Y122"/>
    <mergeCell ref="B3:B4"/>
    <mergeCell ref="K3:L3"/>
    <mergeCell ref="M3:N3"/>
    <mergeCell ref="E3:F3"/>
    <mergeCell ref="G3:H3"/>
    <mergeCell ref="I3:J3"/>
    <mergeCell ref="C3:C4"/>
    <mergeCell ref="D3:D4"/>
    <mergeCell ref="AA122"/>
    <mergeCell ref="Y139"/>
    <mergeCell ref="K122"/>
    <mergeCell ref="Q3:R3"/>
    <mergeCell ref="Y3:Z3"/>
    <mergeCell ref="W3:X3"/>
    <mergeCell ref="Q122"/>
    <mergeCell ref="O3:P3"/>
    <mergeCell ref="K139"/>
    <mergeCell ref="M139"/>
    <mergeCell ref="O139"/>
    <mergeCell ref="Q139"/>
    <mergeCell ref="U139"/>
    <mergeCell ref="AE3:AF3"/>
    <mergeCell ref="AC122"/>
    <mergeCell ref="AE122"/>
    <mergeCell ref="AG139"/>
    <mergeCell ref="AI139"/>
    <mergeCell ref="AG3:AH3"/>
    <mergeCell ref="AI3:AJ3"/>
    <mergeCell ref="AG122"/>
    <mergeCell ref="AI122"/>
    <mergeCell ref="AC3:AD3"/>
    <mergeCell ref="AC139"/>
    <mergeCell ref="AQ3:AR3"/>
    <mergeCell ref="AS3:AT3"/>
    <mergeCell ref="AQ122"/>
    <mergeCell ref="AS122"/>
    <mergeCell ref="AQ139"/>
    <mergeCell ref="AS139"/>
    <mergeCell ref="AY3:AZ3"/>
    <mergeCell ref="AY122"/>
    <mergeCell ref="AY139"/>
    <mergeCell ref="AU3:AV3"/>
    <mergeCell ref="AW3:AX3"/>
    <mergeCell ref="AU122"/>
    <mergeCell ref="AW122"/>
    <mergeCell ref="AU139"/>
    <mergeCell ref="AW139"/>
  </mergeCells>
  <printOptions horizontalCentered="1" verticalCentered="1"/>
  <pageMargins left="0" right="0" top="0" bottom="0" header="0.31496062992125984" footer="0.31496062992125984"/>
  <pageSetup orientation="landscape"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rgb="FFCC99FF"/>
    <pageSetUpPr fitToPage="1"/>
  </sheetPr>
  <dimension ref="B1:BT67"/>
  <sheetViews>
    <sheetView zoomScaleNormal="100" workbookViewId="0">
      <pane xSplit="4" ySplit="3" topLeftCell="E4" activePane="bottomRight" state="frozen"/>
      <selection pane="topRight" activeCell="E1" sqref="E1"/>
      <selection pane="bottomLeft" activeCell="A4" sqref="A4"/>
      <selection pane="bottomRight" activeCell="BI51" sqref="BI51"/>
    </sheetView>
  </sheetViews>
  <sheetFormatPr defaultRowHeight="14.4" x14ac:dyDescent="0.3"/>
  <cols>
    <col min="1" max="1" width="3.5546875" customWidth="1"/>
    <col min="2" max="2" width="32.109375" bestFit="1" customWidth="1"/>
    <col min="3" max="3" width="53.5546875" style="236" bestFit="1" customWidth="1"/>
    <col min="4" max="4" width="6.6640625" style="236" hidden="1" customWidth="1"/>
    <col min="5" max="5" width="15" style="236" customWidth="1"/>
    <col min="6" max="6" width="6.6640625" style="236" hidden="1" customWidth="1"/>
    <col min="7" max="7" width="13.109375" style="236" customWidth="1"/>
    <col min="8" max="8" width="6.6640625" style="236" hidden="1" customWidth="1"/>
    <col min="9" max="9" width="15.5546875" style="236" customWidth="1"/>
    <col min="10" max="10" width="6.6640625" style="236" hidden="1" customWidth="1"/>
    <col min="11" max="11" width="9.88671875" style="236" hidden="1" customWidth="1"/>
    <col min="12" max="12" width="6.6640625" style="236" hidden="1" customWidth="1"/>
    <col min="13" max="13" width="10.33203125" hidden="1" customWidth="1"/>
    <col min="14" max="14" width="6.6640625" hidden="1" customWidth="1"/>
    <col min="15" max="15" width="11" hidden="1" customWidth="1"/>
    <col min="16" max="16" width="6.6640625" hidden="1" customWidth="1"/>
    <col min="17" max="17" width="15.5546875" hidden="1" customWidth="1"/>
    <col min="18" max="19" width="9.88671875" hidden="1" customWidth="1"/>
    <col min="20" max="20" width="11.33203125" hidden="1" customWidth="1"/>
    <col min="21" max="21" width="10.33203125" hidden="1" customWidth="1"/>
    <col min="22" max="24" width="9.88671875" hidden="1" customWidth="1"/>
    <col min="25" max="25" width="10.33203125" hidden="1" customWidth="1"/>
    <col min="26" max="26" width="11.33203125" hidden="1" customWidth="1"/>
    <col min="27" max="27" width="10.33203125" hidden="1" customWidth="1"/>
    <col min="28" max="29" width="9.88671875" hidden="1" customWidth="1"/>
    <col min="30" max="30" width="11.33203125" hidden="1" customWidth="1"/>
    <col min="31" max="31" width="10.33203125" hidden="1" customWidth="1"/>
    <col min="32" max="32" width="11.33203125" hidden="1" customWidth="1"/>
    <col min="33" max="33" width="9.88671875" hidden="1" customWidth="1"/>
    <col min="34" max="34" width="11.33203125" hidden="1" customWidth="1"/>
    <col min="35" max="35" width="10.33203125" hidden="1" customWidth="1"/>
    <col min="36" max="36" width="8.88671875" hidden="1" customWidth="1"/>
    <col min="37" max="38" width="9.88671875" hidden="1" customWidth="1"/>
    <col min="39" max="39" width="10.33203125" hidden="1" customWidth="1"/>
    <col min="40" max="40" width="8.88671875" hidden="1" customWidth="1"/>
    <col min="41" max="41" width="12.5546875" hidden="1" customWidth="1"/>
    <col min="42" max="42" width="9.109375" hidden="1" customWidth="1"/>
    <col min="43" max="43" width="9.88671875" hidden="1" customWidth="1"/>
    <col min="44" max="44" width="9.109375" hidden="1" customWidth="1"/>
    <col min="45" max="45" width="11" hidden="1" customWidth="1"/>
    <col min="46" max="46" width="9.109375" hidden="1" customWidth="1"/>
    <col min="47" max="47" width="9.88671875" hidden="1" customWidth="1"/>
    <col min="48" max="48" width="9.109375" hidden="1" customWidth="1"/>
    <col min="49" max="49" width="10.33203125" hidden="1" customWidth="1"/>
    <col min="50" max="50" width="9.109375" hidden="1" customWidth="1"/>
    <col min="51" max="51" width="9.88671875" hidden="1" customWidth="1"/>
    <col min="52" max="52" width="9.109375" hidden="1" customWidth="1"/>
    <col min="53" max="53" width="10.33203125" hidden="1" customWidth="1"/>
    <col min="54" max="54" width="9.109375" hidden="1" customWidth="1"/>
    <col min="55" max="55" width="10.33203125" hidden="1" customWidth="1"/>
    <col min="56" max="56" width="9.109375" hidden="1" customWidth="1"/>
    <col min="57" max="57" width="10.33203125" hidden="1" customWidth="1"/>
    <col min="58" max="62" width="9.109375" customWidth="1"/>
  </cols>
  <sheetData>
    <row r="1" spans="2:70" x14ac:dyDescent="0.3">
      <c r="C1"/>
      <c r="D1"/>
      <c r="E1" s="23"/>
      <c r="F1" s="23"/>
      <c r="G1" s="23"/>
      <c r="H1" s="23"/>
      <c r="I1" s="23"/>
      <c r="J1" s="23"/>
      <c r="K1" s="23"/>
      <c r="L1" s="23"/>
      <c r="M1" s="23"/>
      <c r="N1" s="23"/>
      <c r="O1" s="23"/>
      <c r="P1" s="23"/>
      <c r="Q1" s="23"/>
    </row>
    <row r="2" spans="2:70" x14ac:dyDescent="0.3">
      <c r="C2"/>
      <c r="D2"/>
      <c r="E2"/>
      <c r="F2"/>
      <c r="G2"/>
      <c r="H2"/>
      <c r="I2"/>
      <c r="J2"/>
      <c r="K2"/>
      <c r="L2"/>
    </row>
    <row r="3" spans="2:70" s="137" customFormat="1" ht="17.399999999999999" x14ac:dyDescent="0.3">
      <c r="B3" s="171"/>
      <c r="C3" s="1898" t="s">
        <v>170</v>
      </c>
      <c r="D3" s="6132" t="s">
        <v>2211</v>
      </c>
      <c r="E3" s="6133"/>
      <c r="F3" s="6129" t="s">
        <v>2260</v>
      </c>
      <c r="G3" s="6129"/>
      <c r="H3" s="6127" t="s">
        <v>14</v>
      </c>
      <c r="I3" s="6127"/>
      <c r="J3" s="6129" t="s">
        <v>1963</v>
      </c>
      <c r="K3" s="6129"/>
      <c r="L3" s="6130" t="s">
        <v>604</v>
      </c>
      <c r="M3" s="6130"/>
      <c r="N3" s="6126" t="s">
        <v>1986</v>
      </c>
      <c r="O3" s="6126"/>
      <c r="P3" s="6127" t="s">
        <v>17</v>
      </c>
      <c r="Q3" s="6127"/>
      <c r="R3" s="6126" t="s">
        <v>1988</v>
      </c>
      <c r="S3" s="6126"/>
      <c r="T3" s="6127" t="s">
        <v>18</v>
      </c>
      <c r="U3" s="6127"/>
      <c r="V3" s="6126" t="s">
        <v>2019</v>
      </c>
      <c r="W3" s="6126"/>
      <c r="X3" s="2946"/>
      <c r="Y3" s="1877" t="s">
        <v>1809</v>
      </c>
      <c r="Z3" s="6128" t="s">
        <v>623</v>
      </c>
      <c r="AA3" s="6128"/>
      <c r="AB3" s="6126" t="s">
        <v>2043</v>
      </c>
      <c r="AC3" s="6126"/>
      <c r="AD3" s="6127" t="s">
        <v>24</v>
      </c>
      <c r="AE3" s="6127"/>
      <c r="AF3" s="6126" t="s">
        <v>2064</v>
      </c>
      <c r="AG3" s="6126"/>
      <c r="AH3" s="6127" t="s">
        <v>27</v>
      </c>
      <c r="AI3" s="6127"/>
      <c r="AJ3" s="6126" t="s">
        <v>2088</v>
      </c>
      <c r="AK3" s="6126"/>
      <c r="AL3" s="2946"/>
      <c r="AM3" s="1877" t="s">
        <v>1810</v>
      </c>
      <c r="AN3" s="6127" t="s">
        <v>1565</v>
      </c>
      <c r="AO3" s="6127"/>
      <c r="AP3" s="6126" t="s">
        <v>2099</v>
      </c>
      <c r="AQ3" s="6126"/>
      <c r="AR3" s="6127" t="s">
        <v>28</v>
      </c>
      <c r="AS3" s="6127"/>
      <c r="AT3" s="6126" t="s">
        <v>2136</v>
      </c>
      <c r="AU3" s="6126"/>
      <c r="AV3" s="6127" t="s">
        <v>30</v>
      </c>
      <c r="AW3" s="6127"/>
      <c r="AX3" s="6126" t="s">
        <v>2154</v>
      </c>
      <c r="AY3" s="6126"/>
      <c r="AZ3" s="2946"/>
      <c r="BA3" s="1877" t="s">
        <v>1840</v>
      </c>
      <c r="BB3" s="6128" t="s">
        <v>634</v>
      </c>
      <c r="BC3" s="6128"/>
      <c r="BD3" s="6127" t="s">
        <v>1961</v>
      </c>
      <c r="BE3" s="6127"/>
      <c r="BF3"/>
      <c r="BG3"/>
      <c r="BH3"/>
      <c r="BI3"/>
      <c r="BJ3"/>
      <c r="BK3"/>
      <c r="BL3"/>
      <c r="BM3"/>
      <c r="BN3"/>
      <c r="BO3"/>
      <c r="BP3"/>
      <c r="BQ3"/>
      <c r="BR3"/>
    </row>
    <row r="4" spans="2:70" ht="17.399999999999999" x14ac:dyDescent="0.3">
      <c r="B4" s="6143" t="s">
        <v>1489</v>
      </c>
      <c r="C4" s="1894"/>
      <c r="D4" s="925" t="s">
        <v>172</v>
      </c>
      <c r="E4" s="925" t="s">
        <v>173</v>
      </c>
      <c r="F4" s="925" t="s">
        <v>172</v>
      </c>
      <c r="G4" s="925" t="s">
        <v>173</v>
      </c>
      <c r="H4" s="1878" t="s">
        <v>172</v>
      </c>
      <c r="I4" s="1878" t="s">
        <v>173</v>
      </c>
      <c r="J4" s="242" t="s">
        <v>172</v>
      </c>
      <c r="K4" s="925" t="s">
        <v>173</v>
      </c>
      <c r="L4" s="1877" t="s">
        <v>172</v>
      </c>
      <c r="M4" s="1877" t="s">
        <v>173</v>
      </c>
      <c r="N4" s="242" t="s">
        <v>172</v>
      </c>
      <c r="O4" s="925" t="s">
        <v>173</v>
      </c>
      <c r="P4" s="1878" t="s">
        <v>172</v>
      </c>
      <c r="Q4" s="1878" t="s">
        <v>173</v>
      </c>
      <c r="R4" s="242" t="s">
        <v>172</v>
      </c>
      <c r="S4" s="925" t="s">
        <v>173</v>
      </c>
      <c r="T4" s="1878" t="s">
        <v>172</v>
      </c>
      <c r="U4" s="1878" t="s">
        <v>173</v>
      </c>
      <c r="V4" s="242" t="s">
        <v>172</v>
      </c>
      <c r="W4" s="925" t="s">
        <v>173</v>
      </c>
      <c r="X4" s="2660"/>
      <c r="Y4" s="1877" t="s">
        <v>173</v>
      </c>
      <c r="Z4" s="2027" t="s">
        <v>172</v>
      </c>
      <c r="AA4" s="2027" t="s">
        <v>173</v>
      </c>
      <c r="AB4" s="242" t="s">
        <v>172</v>
      </c>
      <c r="AC4" s="925" t="s">
        <v>173</v>
      </c>
      <c r="AD4" s="1878" t="s">
        <v>172</v>
      </c>
      <c r="AE4" s="1878" t="s">
        <v>173</v>
      </c>
      <c r="AF4" s="242" t="s">
        <v>172</v>
      </c>
      <c r="AG4" s="925" t="s">
        <v>173</v>
      </c>
      <c r="AH4" s="1878" t="s">
        <v>172</v>
      </c>
      <c r="AI4" s="1878" t="s">
        <v>173</v>
      </c>
      <c r="AJ4" s="242" t="s">
        <v>172</v>
      </c>
      <c r="AK4" s="925" t="s">
        <v>173</v>
      </c>
      <c r="AL4" s="2660"/>
      <c r="AM4" s="1877" t="s">
        <v>173</v>
      </c>
      <c r="AN4" s="1878" t="s">
        <v>172</v>
      </c>
      <c r="AO4" s="1878" t="s">
        <v>173</v>
      </c>
      <c r="AP4" s="242" t="s">
        <v>172</v>
      </c>
      <c r="AQ4" s="925" t="s">
        <v>173</v>
      </c>
      <c r="AR4" s="1878" t="s">
        <v>172</v>
      </c>
      <c r="AS4" s="1878" t="s">
        <v>173</v>
      </c>
      <c r="AT4" s="242" t="s">
        <v>172</v>
      </c>
      <c r="AU4" s="925" t="s">
        <v>173</v>
      </c>
      <c r="AV4" s="1878" t="s">
        <v>172</v>
      </c>
      <c r="AW4" s="1878" t="s">
        <v>173</v>
      </c>
      <c r="AX4" s="242" t="s">
        <v>172</v>
      </c>
      <c r="AY4" s="925" t="s">
        <v>173</v>
      </c>
      <c r="AZ4" s="2660"/>
      <c r="BA4" s="1877" t="s">
        <v>173</v>
      </c>
      <c r="BB4" s="2027" t="s">
        <v>172</v>
      </c>
      <c r="BC4" s="2027" t="s">
        <v>173</v>
      </c>
      <c r="BD4" s="1878" t="s">
        <v>172</v>
      </c>
      <c r="BE4" s="1878" t="s">
        <v>173</v>
      </c>
    </row>
    <row r="5" spans="2:70" ht="18" x14ac:dyDescent="0.3">
      <c r="B5" s="6138"/>
      <c r="C5" s="1886" t="s">
        <v>748</v>
      </c>
      <c r="D5" s="1554"/>
      <c r="E5" s="1874">
        <v>257934</v>
      </c>
      <c r="F5" s="1874"/>
      <c r="G5" s="1874">
        <v>123957</v>
      </c>
      <c r="H5" s="1876">
        <f>+D5+F5</f>
        <v>0</v>
      </c>
      <c r="I5" s="1959">
        <f>+E5+G5</f>
        <v>381891</v>
      </c>
      <c r="J5" s="1874"/>
      <c r="K5" s="1874">
        <v>280950</v>
      </c>
      <c r="L5" s="1875">
        <f>+H5+J5</f>
        <v>0</v>
      </c>
      <c r="M5" s="1875">
        <f t="shared" ref="M5:M24" si="0">E5+G5+K5</f>
        <v>662841</v>
      </c>
      <c r="N5" s="246"/>
      <c r="O5" s="1874">
        <v>294654</v>
      </c>
      <c r="P5" s="1876">
        <f>+L5+N5</f>
        <v>0</v>
      </c>
      <c r="Q5" s="1876">
        <f>+M5+O5</f>
        <v>957495</v>
      </c>
      <c r="R5" s="246"/>
      <c r="S5" s="1874">
        <v>284181</v>
      </c>
      <c r="T5" s="1876">
        <f>+P5+R5</f>
        <v>0</v>
      </c>
      <c r="U5" s="1876">
        <f>+Q5+S5</f>
        <v>1241676</v>
      </c>
      <c r="V5" s="246"/>
      <c r="W5" s="1874">
        <v>287145</v>
      </c>
      <c r="X5" s="3440"/>
      <c r="Y5" s="1875">
        <f>O5+S5+W5</f>
        <v>865980</v>
      </c>
      <c r="Z5" s="3990">
        <f>+T5+V5</f>
        <v>0</v>
      </c>
      <c r="AA5" s="3990">
        <f>+U5+W5</f>
        <v>1528821</v>
      </c>
      <c r="AB5" s="246"/>
      <c r="AC5" s="1874">
        <v>243307</v>
      </c>
      <c r="AD5" s="1876">
        <f>+Z5+AB5</f>
        <v>0</v>
      </c>
      <c r="AE5" s="1876">
        <f>+AA5+AC5</f>
        <v>1772128</v>
      </c>
      <c r="AF5" s="246"/>
      <c r="AG5" s="1874">
        <v>275399</v>
      </c>
      <c r="AH5" s="1876">
        <f>+AD5+AF5</f>
        <v>0</v>
      </c>
      <c r="AI5" s="1876">
        <f>+AE5+AG5</f>
        <v>2047527</v>
      </c>
      <c r="AJ5" s="246"/>
      <c r="AK5" s="1874">
        <v>267547</v>
      </c>
      <c r="AL5" s="3440"/>
      <c r="AM5" s="1875">
        <f>AC5+AG5+AK5</f>
        <v>786253</v>
      </c>
      <c r="AN5" s="1876">
        <f>+AH5+AJ5</f>
        <v>0</v>
      </c>
      <c r="AO5" s="1876">
        <f>+AI5+AK5</f>
        <v>2315074</v>
      </c>
      <c r="AP5" s="246"/>
      <c r="AQ5" s="1874">
        <v>268050</v>
      </c>
      <c r="AR5" s="1876">
        <f>+AN5+AP5</f>
        <v>0</v>
      </c>
      <c r="AS5" s="1876">
        <f>+AO5+AQ5</f>
        <v>2583124</v>
      </c>
      <c r="AT5" s="246"/>
      <c r="AU5" s="1874">
        <v>240017</v>
      </c>
      <c r="AV5" s="1876">
        <f>+AR5+AT5</f>
        <v>0</v>
      </c>
      <c r="AW5" s="1876">
        <f>+AS5+AU5</f>
        <v>2823141</v>
      </c>
      <c r="AX5" s="246"/>
      <c r="AY5" s="1874">
        <v>281675</v>
      </c>
      <c r="AZ5" s="3440"/>
      <c r="BA5" s="1875">
        <f>AQ5+AU5+AY5</f>
        <v>789742</v>
      </c>
      <c r="BB5" s="3990">
        <f>+AV5+AX5</f>
        <v>0</v>
      </c>
      <c r="BC5" s="3990">
        <f>AM5+BA5</f>
        <v>1575995</v>
      </c>
      <c r="BD5" s="1876">
        <f>+AV5+AX5</f>
        <v>0</v>
      </c>
      <c r="BE5" s="1876">
        <f>+AW5+AY5</f>
        <v>3104816</v>
      </c>
      <c r="BF5" s="491"/>
    </row>
    <row r="6" spans="2:70" ht="18" x14ac:dyDescent="0.3">
      <c r="B6" s="6138"/>
      <c r="C6" s="1886" t="s">
        <v>1135</v>
      </c>
      <c r="D6" s="1554"/>
      <c r="E6" s="1874">
        <v>10245</v>
      </c>
      <c r="F6" s="1874"/>
      <c r="G6" s="1874">
        <v>4178</v>
      </c>
      <c r="H6" s="1876">
        <f t="shared" ref="H6:H64" si="1">+D6+F6</f>
        <v>0</v>
      </c>
      <c r="I6" s="1959">
        <f t="shared" ref="I6:I64" si="2">+E6+G6</f>
        <v>14423</v>
      </c>
      <c r="J6" s="1874"/>
      <c r="K6" s="1874">
        <v>8611</v>
      </c>
      <c r="L6" s="1875">
        <f t="shared" ref="L6:L64" si="3">+H6+J6</f>
        <v>0</v>
      </c>
      <c r="M6" s="1875">
        <f t="shared" si="0"/>
        <v>23034</v>
      </c>
      <c r="N6" s="246"/>
      <c r="O6" s="1874">
        <v>7621</v>
      </c>
      <c r="P6" s="1876">
        <f t="shared" ref="P6:P64" si="4">+L6+N6</f>
        <v>0</v>
      </c>
      <c r="Q6" s="1876">
        <f t="shared" ref="Q6:Q7" si="5">+M6+O6</f>
        <v>30655</v>
      </c>
      <c r="R6" s="246"/>
      <c r="S6" s="1874">
        <v>7950</v>
      </c>
      <c r="T6" s="1876">
        <f t="shared" ref="T6:T19" si="6">+P6+R6</f>
        <v>0</v>
      </c>
      <c r="U6" s="1876">
        <f t="shared" ref="U6:U24" si="7">+Q6+S6</f>
        <v>38605</v>
      </c>
      <c r="V6" s="246"/>
      <c r="W6" s="1874">
        <v>5111</v>
      </c>
      <c r="X6" s="3440"/>
      <c r="Y6" s="1875">
        <f t="shared" ref="Y6:Y64" si="8">O6+S6+W6</f>
        <v>20682</v>
      </c>
      <c r="Z6" s="3990">
        <f t="shared" ref="Z6:Z19" si="9">+T6+V6</f>
        <v>0</v>
      </c>
      <c r="AA6" s="3990">
        <f t="shared" ref="AA6:AA24" si="10">+U6+W6</f>
        <v>43716</v>
      </c>
      <c r="AB6" s="246"/>
      <c r="AC6" s="1874">
        <v>6124</v>
      </c>
      <c r="AD6" s="1876">
        <f t="shared" ref="AD6:AD19" si="11">+Z6+AB6</f>
        <v>0</v>
      </c>
      <c r="AE6" s="1876">
        <f t="shared" ref="AE6:AE24" si="12">+AA6+AC6</f>
        <v>49840</v>
      </c>
      <c r="AF6" s="246"/>
      <c r="AG6" s="1874">
        <v>10121</v>
      </c>
      <c r="AH6" s="1876">
        <f t="shared" ref="AH6:AH19" si="13">+AD6+AF6</f>
        <v>0</v>
      </c>
      <c r="AI6" s="1876">
        <f t="shared" ref="AI6:AI24" si="14">+AE6+AG6</f>
        <v>59961</v>
      </c>
      <c r="AJ6" s="246"/>
      <c r="AK6" s="1874">
        <v>13032</v>
      </c>
      <c r="AL6" s="3440"/>
      <c r="AM6" s="1875">
        <f t="shared" ref="AM6:AM43" si="15">AC6+AG6+AK6</f>
        <v>29277</v>
      </c>
      <c r="AN6" s="1876">
        <f t="shared" ref="AN6:AN19" si="16">+AH6+AJ6</f>
        <v>0</v>
      </c>
      <c r="AO6" s="1876">
        <f t="shared" ref="AO6:AO24" si="17">+AI6+AK6</f>
        <v>72993</v>
      </c>
      <c r="AP6" s="246"/>
      <c r="AQ6" s="1874">
        <v>14778</v>
      </c>
      <c r="AR6" s="1876">
        <f t="shared" ref="AR6:AR21" si="18">+AN6+AP6</f>
        <v>0</v>
      </c>
      <c r="AS6" s="1876">
        <f t="shared" ref="AS6:AS24" si="19">+AO6+AQ6</f>
        <v>87771</v>
      </c>
      <c r="AT6" s="246"/>
      <c r="AU6" s="1874">
        <v>9877</v>
      </c>
      <c r="AV6" s="1876">
        <f t="shared" ref="AV6:AV24" si="20">+AR6+AT6</f>
        <v>0</v>
      </c>
      <c r="AW6" s="1876">
        <f t="shared" ref="AW6:AW24" si="21">+AS6+AU6</f>
        <v>97648</v>
      </c>
      <c r="AX6" s="246"/>
      <c r="AY6" s="1874">
        <v>9345</v>
      </c>
      <c r="AZ6" s="3440"/>
      <c r="BA6" s="1875">
        <f t="shared" ref="BA6:BA43" si="22">AQ6+AU6+AY6</f>
        <v>34000</v>
      </c>
      <c r="BB6" s="3990">
        <f t="shared" ref="BB6:BB19" si="23">+AV6+AX6</f>
        <v>0</v>
      </c>
      <c r="BC6" s="3990">
        <f t="shared" ref="BC6:BC7" si="24">AM6+BA6</f>
        <v>63277</v>
      </c>
      <c r="BD6" s="1876">
        <f t="shared" ref="BD6:BD24" si="25">+AV6+AX6</f>
        <v>0</v>
      </c>
      <c r="BE6" s="1876">
        <f t="shared" ref="BE6:BE24" si="26">+AW6+AY6</f>
        <v>106993</v>
      </c>
      <c r="BF6" s="491"/>
    </row>
    <row r="7" spans="2:70" ht="18" x14ac:dyDescent="0.3">
      <c r="B7" s="6138"/>
      <c r="C7" s="1886" t="s">
        <v>1136</v>
      </c>
      <c r="D7" s="1554"/>
      <c r="E7" s="1874">
        <v>1125</v>
      </c>
      <c r="F7" s="1874"/>
      <c r="G7" s="1874">
        <v>654</v>
      </c>
      <c r="H7" s="1876">
        <f t="shared" si="1"/>
        <v>0</v>
      </c>
      <c r="I7" s="1959">
        <f t="shared" si="2"/>
        <v>1779</v>
      </c>
      <c r="J7" s="1874"/>
      <c r="K7" s="1874">
        <v>2455</v>
      </c>
      <c r="L7" s="1875">
        <f t="shared" si="3"/>
        <v>0</v>
      </c>
      <c r="M7" s="1875">
        <f t="shared" si="0"/>
        <v>4234</v>
      </c>
      <c r="N7" s="246"/>
      <c r="O7" s="1874">
        <v>2024</v>
      </c>
      <c r="P7" s="1876">
        <f t="shared" si="4"/>
        <v>0</v>
      </c>
      <c r="Q7" s="1876">
        <f t="shared" si="5"/>
        <v>6258</v>
      </c>
      <c r="R7" s="246"/>
      <c r="S7" s="1874">
        <v>1124</v>
      </c>
      <c r="T7" s="1876">
        <f t="shared" si="6"/>
        <v>0</v>
      </c>
      <c r="U7" s="1876">
        <f t="shared" si="7"/>
        <v>7382</v>
      </c>
      <c r="V7" s="246"/>
      <c r="W7" s="1874">
        <v>1147</v>
      </c>
      <c r="X7" s="3440"/>
      <c r="Y7" s="1875">
        <f t="shared" si="8"/>
        <v>4295</v>
      </c>
      <c r="Z7" s="3990">
        <f t="shared" si="9"/>
        <v>0</v>
      </c>
      <c r="AA7" s="3990">
        <f t="shared" si="10"/>
        <v>8529</v>
      </c>
      <c r="AB7" s="246"/>
      <c r="AC7" s="1874">
        <v>788</v>
      </c>
      <c r="AD7" s="1876">
        <f t="shared" si="11"/>
        <v>0</v>
      </c>
      <c r="AE7" s="1876">
        <f t="shared" si="12"/>
        <v>9317</v>
      </c>
      <c r="AF7" s="246"/>
      <c r="AG7" s="1874">
        <v>989</v>
      </c>
      <c r="AH7" s="1876">
        <f t="shared" si="13"/>
        <v>0</v>
      </c>
      <c r="AI7" s="1876">
        <f t="shared" si="14"/>
        <v>10306</v>
      </c>
      <c r="AJ7" s="246"/>
      <c r="AK7" s="1874">
        <v>1141</v>
      </c>
      <c r="AL7" s="3440"/>
      <c r="AM7" s="1875">
        <f t="shared" si="15"/>
        <v>2918</v>
      </c>
      <c r="AN7" s="1876">
        <f t="shared" si="16"/>
        <v>0</v>
      </c>
      <c r="AO7" s="1876">
        <f t="shared" si="17"/>
        <v>11447</v>
      </c>
      <c r="AP7" s="246"/>
      <c r="AQ7" s="1874">
        <v>1818</v>
      </c>
      <c r="AR7" s="1876">
        <f t="shared" si="18"/>
        <v>0</v>
      </c>
      <c r="AS7" s="1876">
        <f t="shared" si="19"/>
        <v>13265</v>
      </c>
      <c r="AT7" s="246"/>
      <c r="AU7" s="1874">
        <v>924</v>
      </c>
      <c r="AV7" s="1876">
        <f t="shared" si="20"/>
        <v>0</v>
      </c>
      <c r="AW7" s="1876">
        <f t="shared" si="21"/>
        <v>14189</v>
      </c>
      <c r="AX7" s="246"/>
      <c r="AY7" s="1874">
        <v>1124</v>
      </c>
      <c r="AZ7" s="3440"/>
      <c r="BA7" s="1875">
        <f t="shared" si="22"/>
        <v>3866</v>
      </c>
      <c r="BB7" s="3990">
        <f t="shared" si="23"/>
        <v>0</v>
      </c>
      <c r="BC7" s="3990">
        <f t="shared" si="24"/>
        <v>6784</v>
      </c>
      <c r="BD7" s="1876">
        <f t="shared" si="25"/>
        <v>0</v>
      </c>
      <c r="BE7" s="1876">
        <f t="shared" si="26"/>
        <v>15313</v>
      </c>
      <c r="BF7" s="491"/>
    </row>
    <row r="8" spans="2:70" ht="18" x14ac:dyDescent="0.3">
      <c r="B8" s="6138"/>
      <c r="C8" s="1887" t="s">
        <v>1196</v>
      </c>
      <c r="D8" s="1882"/>
      <c r="E8" s="1895">
        <f>SUM(E5:E7)</f>
        <v>269304</v>
      </c>
      <c r="F8" s="1895">
        <f t="shared" ref="F8:N8" si="27">SUM(F5:F7)</f>
        <v>0</v>
      </c>
      <c r="G8" s="1895">
        <f>SUM(G5:G7)</f>
        <v>128789</v>
      </c>
      <c r="H8" s="1899">
        <f t="shared" si="1"/>
        <v>0</v>
      </c>
      <c r="I8" s="2868">
        <f t="shared" si="2"/>
        <v>398093</v>
      </c>
      <c r="J8" s="1895">
        <f t="shared" si="27"/>
        <v>0</v>
      </c>
      <c r="K8" s="1895">
        <f>SUM(K5:K7)</f>
        <v>292016</v>
      </c>
      <c r="L8" s="1900">
        <f t="shared" si="3"/>
        <v>0</v>
      </c>
      <c r="M8" s="1900">
        <f t="shared" si="0"/>
        <v>690109</v>
      </c>
      <c r="N8" s="1895">
        <f t="shared" si="27"/>
        <v>0</v>
      </c>
      <c r="O8" s="1895">
        <f>SUM(O5:O7)</f>
        <v>304299</v>
      </c>
      <c r="P8" s="1899">
        <f t="shared" si="4"/>
        <v>0</v>
      </c>
      <c r="Q8" s="1899">
        <f t="shared" ref="Q8:Q64" si="28">+M8+O8</f>
        <v>994408</v>
      </c>
      <c r="R8" s="1895">
        <f t="shared" ref="R8" si="29">SUM(R5:R7)</f>
        <v>0</v>
      </c>
      <c r="S8" s="1895">
        <f>SUM(S5:S7)</f>
        <v>293255</v>
      </c>
      <c r="T8" s="1899">
        <f t="shared" si="6"/>
        <v>0</v>
      </c>
      <c r="U8" s="1899">
        <f t="shared" si="7"/>
        <v>1287663</v>
      </c>
      <c r="V8" s="1895">
        <f t="shared" ref="V8" si="30">SUM(V5:V7)</f>
        <v>0</v>
      </c>
      <c r="W8" s="1895">
        <f>SUM(W5:W7)</f>
        <v>293403</v>
      </c>
      <c r="X8" s="3537"/>
      <c r="Y8" s="3544">
        <f t="shared" si="8"/>
        <v>890957</v>
      </c>
      <c r="Z8" s="3991">
        <f t="shared" si="9"/>
        <v>0</v>
      </c>
      <c r="AA8" s="3991">
        <f t="shared" si="10"/>
        <v>1581066</v>
      </c>
      <c r="AB8" s="1895">
        <f t="shared" ref="AB8" si="31">SUM(AB5:AB7)</f>
        <v>0</v>
      </c>
      <c r="AC8" s="1895">
        <f>SUM(AC5:AC7)</f>
        <v>250219</v>
      </c>
      <c r="AD8" s="1899">
        <f t="shared" si="11"/>
        <v>0</v>
      </c>
      <c r="AE8" s="1899">
        <f t="shared" si="12"/>
        <v>1831285</v>
      </c>
      <c r="AF8" s="1895">
        <f t="shared" ref="AF8" si="32">SUM(AF5:AF7)</f>
        <v>0</v>
      </c>
      <c r="AG8" s="1895">
        <f>SUM(AG5:AG7)</f>
        <v>286509</v>
      </c>
      <c r="AH8" s="1899">
        <f t="shared" si="13"/>
        <v>0</v>
      </c>
      <c r="AI8" s="1899">
        <f t="shared" si="14"/>
        <v>2117794</v>
      </c>
      <c r="AJ8" s="1895">
        <f t="shared" ref="AJ8" si="33">SUM(AJ5:AJ7)</f>
        <v>0</v>
      </c>
      <c r="AK8" s="1895">
        <f>SUM(AK5:AK7)</f>
        <v>281720</v>
      </c>
      <c r="AL8" s="3537"/>
      <c r="AM8" s="3544">
        <f t="shared" si="15"/>
        <v>818448</v>
      </c>
      <c r="AN8" s="1899">
        <f t="shared" si="16"/>
        <v>0</v>
      </c>
      <c r="AO8" s="1899">
        <f t="shared" si="17"/>
        <v>2399514</v>
      </c>
      <c r="AP8" s="1895">
        <f t="shared" ref="AP8" si="34">SUM(AP5:AP7)</f>
        <v>0</v>
      </c>
      <c r="AQ8" s="1895">
        <f>SUM(AQ5:AQ7)</f>
        <v>284646</v>
      </c>
      <c r="AR8" s="1899">
        <f t="shared" si="18"/>
        <v>0</v>
      </c>
      <c r="AS8" s="1899">
        <f t="shared" si="19"/>
        <v>2684160</v>
      </c>
      <c r="AT8" s="1895">
        <f t="shared" ref="AT8" si="35">SUM(AT5:AT7)</f>
        <v>0</v>
      </c>
      <c r="AU8" s="1895">
        <f>SUM(AU5:AU7)</f>
        <v>250818</v>
      </c>
      <c r="AV8" s="1899">
        <f t="shared" si="20"/>
        <v>0</v>
      </c>
      <c r="AW8" s="1899">
        <f t="shared" si="21"/>
        <v>2934978</v>
      </c>
      <c r="AX8" s="1895">
        <f t="shared" ref="AX8" si="36">SUM(AX5:AX7)</f>
        <v>0</v>
      </c>
      <c r="AY8" s="1895">
        <f>SUM(AY5:AY7)</f>
        <v>292144</v>
      </c>
      <c r="AZ8" s="3537"/>
      <c r="BA8" s="3544">
        <f t="shared" si="22"/>
        <v>827608</v>
      </c>
      <c r="BB8" s="3991">
        <f t="shared" si="23"/>
        <v>0</v>
      </c>
      <c r="BC8" s="3991">
        <f>SUM(BC5:BC7)</f>
        <v>1646056</v>
      </c>
      <c r="BD8" s="1899">
        <f t="shared" si="25"/>
        <v>0</v>
      </c>
      <c r="BE8" s="1899">
        <f t="shared" si="26"/>
        <v>3227122</v>
      </c>
      <c r="BF8" s="491"/>
    </row>
    <row r="9" spans="2:70" ht="18" x14ac:dyDescent="0.3">
      <c r="B9" s="6138"/>
      <c r="C9" s="1886" t="s">
        <v>750</v>
      </c>
      <c r="D9" s="1554"/>
      <c r="E9" s="1874">
        <v>5524</v>
      </c>
      <c r="F9" s="1874"/>
      <c r="G9" s="1874">
        <v>2602</v>
      </c>
      <c r="H9" s="1876">
        <f t="shared" si="1"/>
        <v>0</v>
      </c>
      <c r="I9" s="1959">
        <f t="shared" si="2"/>
        <v>8126</v>
      </c>
      <c r="J9" s="1874"/>
      <c r="K9" s="1874">
        <v>13125</v>
      </c>
      <c r="L9" s="1875">
        <f t="shared" si="3"/>
        <v>0</v>
      </c>
      <c r="M9" s="1875">
        <f t="shared" si="0"/>
        <v>21251</v>
      </c>
      <c r="N9" s="246"/>
      <c r="O9" s="1874">
        <v>14258</v>
      </c>
      <c r="P9" s="1876">
        <f t="shared" si="4"/>
        <v>0</v>
      </c>
      <c r="Q9" s="1876">
        <f t="shared" si="28"/>
        <v>35509</v>
      </c>
      <c r="R9" s="246"/>
      <c r="S9" s="1874">
        <v>11784</v>
      </c>
      <c r="T9" s="1876">
        <f t="shared" si="6"/>
        <v>0</v>
      </c>
      <c r="U9" s="1876">
        <f t="shared" si="7"/>
        <v>47293</v>
      </c>
      <c r="V9" s="246"/>
      <c r="W9" s="1874">
        <v>15189</v>
      </c>
      <c r="X9" s="3440"/>
      <c r="Y9" s="1875">
        <f t="shared" si="8"/>
        <v>41231</v>
      </c>
      <c r="Z9" s="3990">
        <f t="shared" si="9"/>
        <v>0</v>
      </c>
      <c r="AA9" s="3990">
        <f t="shared" si="10"/>
        <v>62482</v>
      </c>
      <c r="AB9" s="246"/>
      <c r="AC9" s="1874">
        <v>13084</v>
      </c>
      <c r="AD9" s="1876">
        <f t="shared" si="11"/>
        <v>0</v>
      </c>
      <c r="AE9" s="1876">
        <f t="shared" si="12"/>
        <v>75566</v>
      </c>
      <c r="AF9" s="246"/>
      <c r="AG9" s="1874">
        <v>12524</v>
      </c>
      <c r="AH9" s="1876">
        <f t="shared" si="13"/>
        <v>0</v>
      </c>
      <c r="AI9" s="1876">
        <f t="shared" si="14"/>
        <v>88090</v>
      </c>
      <c r="AJ9" s="246"/>
      <c r="AK9" s="1874">
        <v>14550</v>
      </c>
      <c r="AL9" s="3440"/>
      <c r="AM9" s="1875">
        <f t="shared" si="15"/>
        <v>40158</v>
      </c>
      <c r="AN9" s="1876">
        <f t="shared" si="16"/>
        <v>0</v>
      </c>
      <c r="AO9" s="1876">
        <f t="shared" si="17"/>
        <v>102640</v>
      </c>
      <c r="AP9" s="246"/>
      <c r="AQ9" s="1874">
        <v>11173</v>
      </c>
      <c r="AR9" s="1876">
        <f t="shared" si="18"/>
        <v>0</v>
      </c>
      <c r="AS9" s="1876">
        <f t="shared" si="19"/>
        <v>113813</v>
      </c>
      <c r="AT9" s="246"/>
      <c r="AU9" s="1874">
        <v>11241</v>
      </c>
      <c r="AV9" s="1876">
        <f t="shared" si="20"/>
        <v>0</v>
      </c>
      <c r="AW9" s="1876">
        <f t="shared" si="21"/>
        <v>125054</v>
      </c>
      <c r="AX9" s="246"/>
      <c r="AY9" s="1874">
        <v>13834</v>
      </c>
      <c r="AZ9" s="3440"/>
      <c r="BA9" s="1875">
        <f t="shared" si="22"/>
        <v>36248</v>
      </c>
      <c r="BB9" s="3990">
        <f t="shared" si="23"/>
        <v>0</v>
      </c>
      <c r="BC9" s="3990">
        <f t="shared" ref="BC9:BC24" si="37">AM9+BA9</f>
        <v>76406</v>
      </c>
      <c r="BD9" s="1876">
        <f t="shared" si="25"/>
        <v>0</v>
      </c>
      <c r="BE9" s="1876">
        <f t="shared" si="26"/>
        <v>138888</v>
      </c>
      <c r="BF9" s="491"/>
    </row>
    <row r="10" spans="2:70" ht="18" x14ac:dyDescent="0.3">
      <c r="B10" s="6138"/>
      <c r="C10" s="1886" t="s">
        <v>749</v>
      </c>
      <c r="D10" s="1554"/>
      <c r="E10" s="1874">
        <v>37624</v>
      </c>
      <c r="F10" s="1874"/>
      <c r="G10" s="1874">
        <v>19521</v>
      </c>
      <c r="H10" s="1876">
        <f t="shared" si="1"/>
        <v>0</v>
      </c>
      <c r="I10" s="1959">
        <f t="shared" si="2"/>
        <v>57145</v>
      </c>
      <c r="J10" s="1874"/>
      <c r="K10" s="1874">
        <v>32552</v>
      </c>
      <c r="L10" s="1875">
        <f t="shared" si="3"/>
        <v>0</v>
      </c>
      <c r="M10" s="1875">
        <f t="shared" si="0"/>
        <v>89697</v>
      </c>
      <c r="N10" s="246"/>
      <c r="O10" s="1874">
        <v>35815</v>
      </c>
      <c r="P10" s="1876">
        <f t="shared" si="4"/>
        <v>0</v>
      </c>
      <c r="Q10" s="1876">
        <f t="shared" si="28"/>
        <v>125512</v>
      </c>
      <c r="R10" s="246"/>
      <c r="S10" s="1874">
        <v>36757</v>
      </c>
      <c r="T10" s="1876">
        <f t="shared" si="6"/>
        <v>0</v>
      </c>
      <c r="U10" s="1876">
        <f t="shared" si="7"/>
        <v>162269</v>
      </c>
      <c r="V10" s="246"/>
      <c r="W10" s="1874">
        <v>34597</v>
      </c>
      <c r="X10" s="3440"/>
      <c r="Y10" s="1875">
        <f t="shared" si="8"/>
        <v>107169</v>
      </c>
      <c r="Z10" s="3990">
        <f t="shared" si="9"/>
        <v>0</v>
      </c>
      <c r="AA10" s="3990">
        <f t="shared" si="10"/>
        <v>196866</v>
      </c>
      <c r="AB10" s="246"/>
      <c r="AC10" s="1874">
        <v>30274</v>
      </c>
      <c r="AD10" s="1876">
        <f t="shared" si="11"/>
        <v>0</v>
      </c>
      <c r="AE10" s="1876">
        <f t="shared" si="12"/>
        <v>227140</v>
      </c>
      <c r="AF10" s="246"/>
      <c r="AG10" s="1874">
        <v>31941</v>
      </c>
      <c r="AH10" s="1876">
        <f t="shared" si="13"/>
        <v>0</v>
      </c>
      <c r="AI10" s="1876">
        <f t="shared" si="14"/>
        <v>259081</v>
      </c>
      <c r="AJ10" s="246"/>
      <c r="AK10" s="1874">
        <v>30174</v>
      </c>
      <c r="AL10" s="3440"/>
      <c r="AM10" s="1875">
        <f t="shared" si="15"/>
        <v>92389</v>
      </c>
      <c r="AN10" s="1876">
        <f t="shared" si="16"/>
        <v>0</v>
      </c>
      <c r="AO10" s="1876">
        <f t="shared" si="17"/>
        <v>289255</v>
      </c>
      <c r="AP10" s="246"/>
      <c r="AQ10" s="1874">
        <v>35212</v>
      </c>
      <c r="AR10" s="1876">
        <f t="shared" si="18"/>
        <v>0</v>
      </c>
      <c r="AS10" s="1876">
        <f t="shared" si="19"/>
        <v>324467</v>
      </c>
      <c r="AT10" s="246"/>
      <c r="AU10" s="1874">
        <v>33381</v>
      </c>
      <c r="AV10" s="1876">
        <f t="shared" si="20"/>
        <v>0</v>
      </c>
      <c r="AW10" s="1876">
        <f t="shared" si="21"/>
        <v>357848</v>
      </c>
      <c r="AX10" s="246"/>
      <c r="AY10" s="1874">
        <v>39754</v>
      </c>
      <c r="AZ10" s="3440"/>
      <c r="BA10" s="1875">
        <f t="shared" si="22"/>
        <v>108347</v>
      </c>
      <c r="BB10" s="3990">
        <f t="shared" si="23"/>
        <v>0</v>
      </c>
      <c r="BC10" s="3990">
        <f t="shared" si="37"/>
        <v>200736</v>
      </c>
      <c r="BD10" s="1876">
        <f t="shared" si="25"/>
        <v>0</v>
      </c>
      <c r="BE10" s="1876">
        <f t="shared" si="26"/>
        <v>397602</v>
      </c>
      <c r="BF10" s="491"/>
    </row>
    <row r="11" spans="2:70" ht="18" x14ac:dyDescent="0.3">
      <c r="B11" s="6138"/>
      <c r="C11" s="1886" t="s">
        <v>26</v>
      </c>
      <c r="D11" s="1554"/>
      <c r="E11" s="1874">
        <v>11328</v>
      </c>
      <c r="F11" s="1874"/>
      <c r="G11" s="1874">
        <v>5812</v>
      </c>
      <c r="H11" s="1876">
        <f t="shared" si="1"/>
        <v>0</v>
      </c>
      <c r="I11" s="1959">
        <f t="shared" si="2"/>
        <v>17140</v>
      </c>
      <c r="J11" s="1874"/>
      <c r="K11" s="1874">
        <v>13879</v>
      </c>
      <c r="L11" s="1875">
        <f t="shared" si="3"/>
        <v>0</v>
      </c>
      <c r="M11" s="1875">
        <f t="shared" si="0"/>
        <v>31019</v>
      </c>
      <c r="N11" s="246"/>
      <c r="O11" s="1874">
        <v>14787</v>
      </c>
      <c r="P11" s="1876">
        <f t="shared" si="4"/>
        <v>0</v>
      </c>
      <c r="Q11" s="1876">
        <f t="shared" si="28"/>
        <v>45806</v>
      </c>
      <c r="R11" s="246"/>
      <c r="S11" s="1874">
        <v>16050</v>
      </c>
      <c r="T11" s="1876">
        <f t="shared" si="6"/>
        <v>0</v>
      </c>
      <c r="U11" s="1876">
        <f t="shared" si="7"/>
        <v>61856</v>
      </c>
      <c r="V11" s="246"/>
      <c r="W11" s="1874">
        <v>13280</v>
      </c>
      <c r="X11" s="3440"/>
      <c r="Y11" s="1875">
        <f t="shared" si="8"/>
        <v>44117</v>
      </c>
      <c r="Z11" s="3990">
        <f t="shared" si="9"/>
        <v>0</v>
      </c>
      <c r="AA11" s="3990">
        <f t="shared" si="10"/>
        <v>75136</v>
      </c>
      <c r="AB11" s="246"/>
      <c r="AC11" s="1874">
        <v>12362</v>
      </c>
      <c r="AD11" s="1876">
        <f t="shared" si="11"/>
        <v>0</v>
      </c>
      <c r="AE11" s="1876">
        <f t="shared" si="12"/>
        <v>87498</v>
      </c>
      <c r="AF11" s="246"/>
      <c r="AG11" s="1874">
        <v>15264</v>
      </c>
      <c r="AH11" s="1876">
        <f t="shared" si="13"/>
        <v>0</v>
      </c>
      <c r="AI11" s="1876">
        <f t="shared" si="14"/>
        <v>102762</v>
      </c>
      <c r="AJ11" s="246"/>
      <c r="AK11" s="1874">
        <v>14002</v>
      </c>
      <c r="AL11" s="3440"/>
      <c r="AM11" s="1875">
        <f t="shared" si="15"/>
        <v>41628</v>
      </c>
      <c r="AN11" s="1876">
        <f t="shared" si="16"/>
        <v>0</v>
      </c>
      <c r="AO11" s="1876">
        <f t="shared" si="17"/>
        <v>116764</v>
      </c>
      <c r="AP11" s="246"/>
      <c r="AQ11" s="1874">
        <v>14102</v>
      </c>
      <c r="AR11" s="1876">
        <f t="shared" si="18"/>
        <v>0</v>
      </c>
      <c r="AS11" s="1876">
        <f t="shared" si="19"/>
        <v>130866</v>
      </c>
      <c r="AT11" s="246"/>
      <c r="AU11" s="1874">
        <v>12491</v>
      </c>
      <c r="AV11" s="1876">
        <f t="shared" si="20"/>
        <v>0</v>
      </c>
      <c r="AW11" s="1876">
        <f t="shared" si="21"/>
        <v>143357</v>
      </c>
      <c r="AX11" s="246"/>
      <c r="AY11" s="1874">
        <v>15688</v>
      </c>
      <c r="AZ11" s="3440"/>
      <c r="BA11" s="1875">
        <f t="shared" si="22"/>
        <v>42281</v>
      </c>
      <c r="BB11" s="3990">
        <f t="shared" si="23"/>
        <v>0</v>
      </c>
      <c r="BC11" s="3990">
        <f t="shared" si="37"/>
        <v>83909</v>
      </c>
      <c r="BD11" s="1876">
        <f t="shared" si="25"/>
        <v>0</v>
      </c>
      <c r="BE11" s="1876">
        <f t="shared" si="26"/>
        <v>159045</v>
      </c>
      <c r="BF11" s="491"/>
    </row>
    <row r="12" spans="2:70" ht="18" x14ac:dyDescent="0.3">
      <c r="B12" s="6138"/>
      <c r="C12" s="1886" t="s">
        <v>751</v>
      </c>
      <c r="D12" s="1554"/>
      <c r="E12" s="1874">
        <v>0</v>
      </c>
      <c r="F12" s="1874"/>
      <c r="G12" s="1874">
        <v>0</v>
      </c>
      <c r="H12" s="1876">
        <f t="shared" si="1"/>
        <v>0</v>
      </c>
      <c r="I12" s="1959">
        <f t="shared" si="2"/>
        <v>0</v>
      </c>
      <c r="J12" s="1874"/>
      <c r="K12" s="1874">
        <v>0</v>
      </c>
      <c r="L12" s="1875">
        <f t="shared" si="3"/>
        <v>0</v>
      </c>
      <c r="M12" s="1875">
        <f t="shared" si="0"/>
        <v>0</v>
      </c>
      <c r="N12" s="246"/>
      <c r="O12" s="1874">
        <v>0</v>
      </c>
      <c r="P12" s="1876">
        <f t="shared" si="4"/>
        <v>0</v>
      </c>
      <c r="Q12" s="1876">
        <f t="shared" si="28"/>
        <v>0</v>
      </c>
      <c r="R12" s="246"/>
      <c r="S12" s="1874">
        <v>0</v>
      </c>
      <c r="T12" s="1876">
        <f t="shared" si="6"/>
        <v>0</v>
      </c>
      <c r="U12" s="1876">
        <f t="shared" si="7"/>
        <v>0</v>
      </c>
      <c r="V12" s="246"/>
      <c r="W12" s="1874">
        <v>0</v>
      </c>
      <c r="X12" s="3440"/>
      <c r="Y12" s="1875">
        <f t="shared" si="8"/>
        <v>0</v>
      </c>
      <c r="Z12" s="3990">
        <f t="shared" si="9"/>
        <v>0</v>
      </c>
      <c r="AA12" s="3990">
        <f t="shared" si="10"/>
        <v>0</v>
      </c>
      <c r="AB12" s="246"/>
      <c r="AC12" s="1874">
        <v>0</v>
      </c>
      <c r="AD12" s="1876">
        <f t="shared" si="11"/>
        <v>0</v>
      </c>
      <c r="AE12" s="1876">
        <f t="shared" si="12"/>
        <v>0</v>
      </c>
      <c r="AF12" s="246"/>
      <c r="AG12" s="1874">
        <v>629</v>
      </c>
      <c r="AH12" s="1876">
        <f t="shared" si="13"/>
        <v>0</v>
      </c>
      <c r="AI12" s="1876">
        <f t="shared" si="14"/>
        <v>629</v>
      </c>
      <c r="AJ12" s="246"/>
      <c r="AK12" s="1874">
        <v>2070</v>
      </c>
      <c r="AL12" s="3440"/>
      <c r="AM12" s="1875">
        <f t="shared" si="15"/>
        <v>2699</v>
      </c>
      <c r="AN12" s="1876">
        <f t="shared" si="16"/>
        <v>0</v>
      </c>
      <c r="AO12" s="1876">
        <f t="shared" si="17"/>
        <v>2699</v>
      </c>
      <c r="AP12" s="246"/>
      <c r="AQ12" s="1874">
        <v>688</v>
      </c>
      <c r="AR12" s="1876">
        <f t="shared" si="18"/>
        <v>0</v>
      </c>
      <c r="AS12" s="1876">
        <f t="shared" si="19"/>
        <v>3387</v>
      </c>
      <c r="AT12" s="246"/>
      <c r="AU12" s="1874">
        <v>0</v>
      </c>
      <c r="AV12" s="1876">
        <f t="shared" si="20"/>
        <v>0</v>
      </c>
      <c r="AW12" s="1876">
        <f t="shared" si="21"/>
        <v>3387</v>
      </c>
      <c r="AX12" s="246"/>
      <c r="AY12" s="1874">
        <v>0</v>
      </c>
      <c r="AZ12" s="3440"/>
      <c r="BA12" s="1875">
        <f t="shared" si="22"/>
        <v>688</v>
      </c>
      <c r="BB12" s="3990">
        <f t="shared" si="23"/>
        <v>0</v>
      </c>
      <c r="BC12" s="3990">
        <f t="shared" si="37"/>
        <v>3387</v>
      </c>
      <c r="BD12" s="1876">
        <f t="shared" si="25"/>
        <v>0</v>
      </c>
      <c r="BE12" s="1876">
        <f t="shared" si="26"/>
        <v>3387</v>
      </c>
      <c r="BF12" s="491"/>
    </row>
    <row r="13" spans="2:70" ht="18" x14ac:dyDescent="0.3">
      <c r="B13" s="6138"/>
      <c r="C13" s="1886" t="s">
        <v>41</v>
      </c>
      <c r="D13" s="1554"/>
      <c r="E13" s="1874">
        <v>3178</v>
      </c>
      <c r="F13" s="1874"/>
      <c r="G13" s="1874">
        <v>2547</v>
      </c>
      <c r="H13" s="1876">
        <f t="shared" si="1"/>
        <v>0</v>
      </c>
      <c r="I13" s="1959">
        <f t="shared" si="2"/>
        <v>5725</v>
      </c>
      <c r="J13" s="1874"/>
      <c r="K13" s="1874">
        <v>1740</v>
      </c>
      <c r="L13" s="1875">
        <f t="shared" si="3"/>
        <v>0</v>
      </c>
      <c r="M13" s="1875">
        <f t="shared" si="0"/>
        <v>7465</v>
      </c>
      <c r="N13" s="246"/>
      <c r="O13" s="1874">
        <v>2300</v>
      </c>
      <c r="P13" s="1876">
        <f t="shared" si="4"/>
        <v>0</v>
      </c>
      <c r="Q13" s="1876">
        <f t="shared" si="28"/>
        <v>9765</v>
      </c>
      <c r="R13" s="246"/>
      <c r="S13" s="1874">
        <v>3716</v>
      </c>
      <c r="T13" s="1876">
        <f t="shared" si="6"/>
        <v>0</v>
      </c>
      <c r="U13" s="1876">
        <f t="shared" si="7"/>
        <v>13481</v>
      </c>
      <c r="V13" s="246"/>
      <c r="W13" s="1874">
        <v>3244</v>
      </c>
      <c r="X13" s="3440"/>
      <c r="Y13" s="1875">
        <f t="shared" si="8"/>
        <v>9260</v>
      </c>
      <c r="Z13" s="3990">
        <f t="shared" si="9"/>
        <v>0</v>
      </c>
      <c r="AA13" s="3990">
        <f t="shared" si="10"/>
        <v>16725</v>
      </c>
      <c r="AB13" s="246"/>
      <c r="AC13" s="1874">
        <v>3998</v>
      </c>
      <c r="AD13" s="1876">
        <f t="shared" si="11"/>
        <v>0</v>
      </c>
      <c r="AE13" s="1876">
        <f t="shared" si="12"/>
        <v>20723</v>
      </c>
      <c r="AF13" s="246"/>
      <c r="AG13" s="1874">
        <v>3564</v>
      </c>
      <c r="AH13" s="1876">
        <f t="shared" si="13"/>
        <v>0</v>
      </c>
      <c r="AI13" s="1876">
        <f t="shared" si="14"/>
        <v>24287</v>
      </c>
      <c r="AJ13" s="246"/>
      <c r="AK13" s="1874">
        <v>3964</v>
      </c>
      <c r="AL13" s="3440"/>
      <c r="AM13" s="1875">
        <f t="shared" si="15"/>
        <v>11526</v>
      </c>
      <c r="AN13" s="1876">
        <f t="shared" si="16"/>
        <v>0</v>
      </c>
      <c r="AO13" s="1876">
        <f t="shared" si="17"/>
        <v>28251</v>
      </c>
      <c r="AP13" s="246"/>
      <c r="AQ13" s="1874">
        <v>3608</v>
      </c>
      <c r="AR13" s="1876">
        <f t="shared" si="18"/>
        <v>0</v>
      </c>
      <c r="AS13" s="1876">
        <f t="shared" si="19"/>
        <v>31859</v>
      </c>
      <c r="AT13" s="246"/>
      <c r="AU13" s="1874">
        <v>4151</v>
      </c>
      <c r="AV13" s="1876">
        <f t="shared" si="20"/>
        <v>0</v>
      </c>
      <c r="AW13" s="1876">
        <f t="shared" si="21"/>
        <v>36010</v>
      </c>
      <c r="AX13" s="246"/>
      <c r="AY13" s="1874">
        <v>3325</v>
      </c>
      <c r="AZ13" s="3440"/>
      <c r="BA13" s="1875">
        <f t="shared" si="22"/>
        <v>11084</v>
      </c>
      <c r="BB13" s="3990">
        <f t="shared" si="23"/>
        <v>0</v>
      </c>
      <c r="BC13" s="3990">
        <f t="shared" si="37"/>
        <v>22610</v>
      </c>
      <c r="BD13" s="1876">
        <f t="shared" si="25"/>
        <v>0</v>
      </c>
      <c r="BE13" s="1876">
        <f t="shared" si="26"/>
        <v>39335</v>
      </c>
      <c r="BF13" s="491"/>
    </row>
    <row r="14" spans="2:70" ht="18" x14ac:dyDescent="0.3">
      <c r="B14" s="6138"/>
      <c r="C14" s="1886" t="s">
        <v>1464</v>
      </c>
      <c r="D14" s="1554"/>
      <c r="E14" s="1874">
        <v>620</v>
      </c>
      <c r="F14" s="1874"/>
      <c r="G14" s="1874">
        <v>610</v>
      </c>
      <c r="H14" s="1876">
        <f t="shared" si="1"/>
        <v>0</v>
      </c>
      <c r="I14" s="1959">
        <f t="shared" si="2"/>
        <v>1230</v>
      </c>
      <c r="J14" s="1874"/>
      <c r="K14" s="1874">
        <v>301</v>
      </c>
      <c r="L14" s="1875">
        <f t="shared" si="3"/>
        <v>0</v>
      </c>
      <c r="M14" s="1875">
        <f t="shared" si="0"/>
        <v>1531</v>
      </c>
      <c r="N14" s="246"/>
      <c r="O14" s="1874">
        <v>1020</v>
      </c>
      <c r="P14" s="1876">
        <f t="shared" si="4"/>
        <v>0</v>
      </c>
      <c r="Q14" s="1876">
        <f t="shared" si="28"/>
        <v>2551</v>
      </c>
      <c r="R14" s="246"/>
      <c r="S14" s="1874">
        <v>600</v>
      </c>
      <c r="T14" s="1876">
        <f t="shared" si="6"/>
        <v>0</v>
      </c>
      <c r="U14" s="1876">
        <f t="shared" si="7"/>
        <v>3151</v>
      </c>
      <c r="V14" s="246"/>
      <c r="W14" s="1874">
        <v>550</v>
      </c>
      <c r="X14" s="3440"/>
      <c r="Y14" s="1875">
        <f t="shared" si="8"/>
        <v>2170</v>
      </c>
      <c r="Z14" s="3990">
        <f t="shared" si="9"/>
        <v>0</v>
      </c>
      <c r="AA14" s="3990">
        <f t="shared" si="10"/>
        <v>3701</v>
      </c>
      <c r="AB14" s="246"/>
      <c r="AC14" s="1874">
        <v>628</v>
      </c>
      <c r="AD14" s="1876">
        <f t="shared" si="11"/>
        <v>0</v>
      </c>
      <c r="AE14" s="1876">
        <f t="shared" si="12"/>
        <v>4329</v>
      </c>
      <c r="AF14" s="246"/>
      <c r="AG14" s="1874">
        <v>440</v>
      </c>
      <c r="AH14" s="1876">
        <f t="shared" si="13"/>
        <v>0</v>
      </c>
      <c r="AI14" s="1876">
        <f t="shared" si="14"/>
        <v>4769</v>
      </c>
      <c r="AJ14" s="246"/>
      <c r="AK14" s="1874">
        <v>620</v>
      </c>
      <c r="AL14" s="3440"/>
      <c r="AM14" s="1875">
        <f t="shared" si="15"/>
        <v>1688</v>
      </c>
      <c r="AN14" s="1876">
        <f t="shared" si="16"/>
        <v>0</v>
      </c>
      <c r="AO14" s="1876">
        <f t="shared" si="17"/>
        <v>5389</v>
      </c>
      <c r="AP14" s="246"/>
      <c r="AQ14" s="1874">
        <v>0</v>
      </c>
      <c r="AR14" s="1876">
        <f t="shared" si="18"/>
        <v>0</v>
      </c>
      <c r="AS14" s="1876">
        <f t="shared" si="19"/>
        <v>5389</v>
      </c>
      <c r="AT14" s="246"/>
      <c r="AU14" s="1874">
        <v>620</v>
      </c>
      <c r="AV14" s="1876">
        <f t="shared" si="20"/>
        <v>0</v>
      </c>
      <c r="AW14" s="1876">
        <f t="shared" si="21"/>
        <v>6009</v>
      </c>
      <c r="AX14" s="246"/>
      <c r="AY14" s="1874">
        <v>645</v>
      </c>
      <c r="AZ14" s="3440"/>
      <c r="BA14" s="1875">
        <f t="shared" si="22"/>
        <v>1265</v>
      </c>
      <c r="BB14" s="3990">
        <f t="shared" si="23"/>
        <v>0</v>
      </c>
      <c r="BC14" s="3990">
        <f t="shared" si="37"/>
        <v>2953</v>
      </c>
      <c r="BD14" s="1876">
        <f t="shared" si="25"/>
        <v>0</v>
      </c>
      <c r="BE14" s="1876">
        <f t="shared" si="26"/>
        <v>6654</v>
      </c>
      <c r="BF14" s="491"/>
    </row>
    <row r="15" spans="2:70" ht="18" x14ac:dyDescent="0.3">
      <c r="B15" s="6138"/>
      <c r="C15" s="1886" t="s">
        <v>572</v>
      </c>
      <c r="D15" s="1554"/>
      <c r="E15" s="1874">
        <v>6380</v>
      </c>
      <c r="F15" s="1874"/>
      <c r="G15" s="1874">
        <v>1624</v>
      </c>
      <c r="H15" s="1876">
        <f t="shared" si="1"/>
        <v>0</v>
      </c>
      <c r="I15" s="1959">
        <f t="shared" si="2"/>
        <v>8004</v>
      </c>
      <c r="J15" s="1874"/>
      <c r="K15" s="1874">
        <v>2890</v>
      </c>
      <c r="L15" s="1875">
        <f t="shared" si="3"/>
        <v>0</v>
      </c>
      <c r="M15" s="1875">
        <f t="shared" si="0"/>
        <v>10894</v>
      </c>
      <c r="N15" s="246"/>
      <c r="O15" s="1874">
        <v>1258</v>
      </c>
      <c r="P15" s="1876">
        <f t="shared" si="4"/>
        <v>0</v>
      </c>
      <c r="Q15" s="1876">
        <f t="shared" si="28"/>
        <v>12152</v>
      </c>
      <c r="R15" s="246"/>
      <c r="S15" s="1874">
        <v>4201</v>
      </c>
      <c r="T15" s="1876">
        <f t="shared" si="6"/>
        <v>0</v>
      </c>
      <c r="U15" s="1876">
        <f t="shared" si="7"/>
        <v>16353</v>
      </c>
      <c r="V15" s="246"/>
      <c r="W15" s="1874">
        <v>200</v>
      </c>
      <c r="X15" s="3440"/>
      <c r="Y15" s="1875">
        <f t="shared" si="8"/>
        <v>5659</v>
      </c>
      <c r="Z15" s="3990">
        <f t="shared" si="9"/>
        <v>0</v>
      </c>
      <c r="AA15" s="3990">
        <f t="shared" si="10"/>
        <v>16553</v>
      </c>
      <c r="AB15" s="246"/>
      <c r="AC15" s="1874">
        <v>1686</v>
      </c>
      <c r="AD15" s="1876">
        <f t="shared" si="11"/>
        <v>0</v>
      </c>
      <c r="AE15" s="1876">
        <f t="shared" si="12"/>
        <v>18239</v>
      </c>
      <c r="AF15" s="246"/>
      <c r="AG15" s="1874">
        <v>7527</v>
      </c>
      <c r="AH15" s="1876">
        <f t="shared" si="13"/>
        <v>0</v>
      </c>
      <c r="AI15" s="1876">
        <f t="shared" si="14"/>
        <v>25766</v>
      </c>
      <c r="AJ15" s="246"/>
      <c r="AK15" s="1874">
        <v>10404</v>
      </c>
      <c r="AL15" s="3440"/>
      <c r="AM15" s="1875">
        <f t="shared" si="15"/>
        <v>19617</v>
      </c>
      <c r="AN15" s="1876">
        <f t="shared" si="16"/>
        <v>0</v>
      </c>
      <c r="AO15" s="1876">
        <f t="shared" si="17"/>
        <v>36170</v>
      </c>
      <c r="AP15" s="246"/>
      <c r="AQ15" s="1874">
        <v>8608</v>
      </c>
      <c r="AR15" s="1876">
        <f t="shared" si="18"/>
        <v>0</v>
      </c>
      <c r="AS15" s="1876">
        <f t="shared" si="19"/>
        <v>44778</v>
      </c>
      <c r="AT15" s="246"/>
      <c r="AU15" s="1874">
        <v>6201</v>
      </c>
      <c r="AV15" s="1876">
        <f t="shared" si="20"/>
        <v>0</v>
      </c>
      <c r="AW15" s="1876">
        <f t="shared" si="21"/>
        <v>50979</v>
      </c>
      <c r="AX15" s="246"/>
      <c r="AY15" s="1874">
        <v>10593</v>
      </c>
      <c r="AZ15" s="3440"/>
      <c r="BA15" s="1875">
        <f t="shared" si="22"/>
        <v>25402</v>
      </c>
      <c r="BB15" s="3990">
        <f t="shared" si="23"/>
        <v>0</v>
      </c>
      <c r="BC15" s="3990">
        <f t="shared" si="37"/>
        <v>45019</v>
      </c>
      <c r="BD15" s="1876">
        <f t="shared" si="25"/>
        <v>0</v>
      </c>
      <c r="BE15" s="1876">
        <f t="shared" si="26"/>
        <v>61572</v>
      </c>
      <c r="BF15" s="491"/>
    </row>
    <row r="16" spans="2:70" ht="18" x14ac:dyDescent="0.3">
      <c r="B16" s="6138"/>
      <c r="C16" s="1886" t="s">
        <v>752</v>
      </c>
      <c r="D16" s="1554"/>
      <c r="E16" s="1874">
        <v>5517</v>
      </c>
      <c r="F16" s="1874"/>
      <c r="G16" s="1874">
        <v>1442</v>
      </c>
      <c r="H16" s="1876">
        <f t="shared" si="1"/>
        <v>0</v>
      </c>
      <c r="I16" s="1959">
        <f t="shared" si="2"/>
        <v>6959</v>
      </c>
      <c r="J16" s="1874"/>
      <c r="K16" s="1874">
        <v>6700</v>
      </c>
      <c r="L16" s="1875">
        <f t="shared" si="3"/>
        <v>0</v>
      </c>
      <c r="M16" s="1875">
        <f t="shared" si="0"/>
        <v>13659</v>
      </c>
      <c r="N16" s="246"/>
      <c r="O16" s="1874">
        <v>5501</v>
      </c>
      <c r="P16" s="1876">
        <f t="shared" si="4"/>
        <v>0</v>
      </c>
      <c r="Q16" s="1876">
        <f t="shared" si="28"/>
        <v>19160</v>
      </c>
      <c r="R16" s="246"/>
      <c r="S16" s="1874">
        <v>6298</v>
      </c>
      <c r="T16" s="1876">
        <f t="shared" si="6"/>
        <v>0</v>
      </c>
      <c r="U16" s="1876">
        <f t="shared" si="7"/>
        <v>25458</v>
      </c>
      <c r="V16" s="246"/>
      <c r="W16" s="1874">
        <v>5358</v>
      </c>
      <c r="X16" s="3440"/>
      <c r="Y16" s="1875">
        <f t="shared" si="8"/>
        <v>17157</v>
      </c>
      <c r="Z16" s="3990">
        <f t="shared" si="9"/>
        <v>0</v>
      </c>
      <c r="AA16" s="3990">
        <f t="shared" si="10"/>
        <v>30816</v>
      </c>
      <c r="AB16" s="246"/>
      <c r="AC16" s="1874">
        <v>3638</v>
      </c>
      <c r="AD16" s="1876">
        <f t="shared" si="11"/>
        <v>0</v>
      </c>
      <c r="AE16" s="1876">
        <f t="shared" si="12"/>
        <v>34454</v>
      </c>
      <c r="AF16" s="246"/>
      <c r="AG16" s="1874">
        <v>5946</v>
      </c>
      <c r="AH16" s="1876">
        <f t="shared" si="13"/>
        <v>0</v>
      </c>
      <c r="AI16" s="1876">
        <f t="shared" si="14"/>
        <v>40400</v>
      </c>
      <c r="AJ16" s="246"/>
      <c r="AK16" s="1874">
        <v>5859</v>
      </c>
      <c r="AL16" s="3440"/>
      <c r="AM16" s="1875">
        <f t="shared" si="15"/>
        <v>15443</v>
      </c>
      <c r="AN16" s="1876">
        <f t="shared" si="16"/>
        <v>0</v>
      </c>
      <c r="AO16" s="1876">
        <f t="shared" si="17"/>
        <v>46259</v>
      </c>
      <c r="AP16" s="246"/>
      <c r="AQ16" s="1874">
        <v>5778</v>
      </c>
      <c r="AR16" s="1876">
        <f t="shared" si="18"/>
        <v>0</v>
      </c>
      <c r="AS16" s="1876">
        <f t="shared" si="19"/>
        <v>52037</v>
      </c>
      <c r="AT16" s="246"/>
      <c r="AU16" s="1874">
        <v>4480</v>
      </c>
      <c r="AV16" s="1876">
        <f t="shared" si="20"/>
        <v>0</v>
      </c>
      <c r="AW16" s="1876">
        <f t="shared" si="21"/>
        <v>56517</v>
      </c>
      <c r="AX16" s="246"/>
      <c r="AY16" s="1874">
        <v>5908</v>
      </c>
      <c r="AZ16" s="3440"/>
      <c r="BA16" s="1875">
        <f t="shared" si="22"/>
        <v>16166</v>
      </c>
      <c r="BB16" s="3990">
        <f t="shared" si="23"/>
        <v>0</v>
      </c>
      <c r="BC16" s="3990">
        <f t="shared" si="37"/>
        <v>31609</v>
      </c>
      <c r="BD16" s="1876">
        <f t="shared" si="25"/>
        <v>0</v>
      </c>
      <c r="BE16" s="1876">
        <f t="shared" si="26"/>
        <v>62425</v>
      </c>
      <c r="BF16" s="491"/>
    </row>
    <row r="17" spans="2:72" ht="18" x14ac:dyDescent="0.3">
      <c r="B17" s="6138"/>
      <c r="C17" s="1886" t="s">
        <v>98</v>
      </c>
      <c r="D17" s="1554"/>
      <c r="E17" s="1874">
        <v>73247</v>
      </c>
      <c r="F17" s="1874"/>
      <c r="G17" s="1874">
        <v>31024</v>
      </c>
      <c r="H17" s="1876">
        <f t="shared" si="1"/>
        <v>0</v>
      </c>
      <c r="I17" s="1959">
        <f t="shared" si="2"/>
        <v>104271</v>
      </c>
      <c r="J17" s="1874"/>
      <c r="K17" s="1874">
        <v>72124</v>
      </c>
      <c r="L17" s="1875">
        <f t="shared" si="3"/>
        <v>0</v>
      </c>
      <c r="M17" s="1875">
        <f t="shared" si="0"/>
        <v>176395</v>
      </c>
      <c r="N17" s="246"/>
      <c r="O17" s="1874">
        <v>77578</v>
      </c>
      <c r="P17" s="1876">
        <f t="shared" si="4"/>
        <v>0</v>
      </c>
      <c r="Q17" s="1876">
        <f t="shared" si="28"/>
        <v>253973</v>
      </c>
      <c r="R17" s="246"/>
      <c r="S17" s="1874">
        <v>74857</v>
      </c>
      <c r="T17" s="1876">
        <f t="shared" si="6"/>
        <v>0</v>
      </c>
      <c r="U17" s="1876">
        <f t="shared" si="7"/>
        <v>328830</v>
      </c>
      <c r="V17" s="246"/>
      <c r="W17" s="1874">
        <v>77679</v>
      </c>
      <c r="X17" s="3440"/>
      <c r="Y17" s="1875">
        <f t="shared" si="8"/>
        <v>230114</v>
      </c>
      <c r="Z17" s="3990">
        <f t="shared" si="9"/>
        <v>0</v>
      </c>
      <c r="AA17" s="3990">
        <f t="shared" si="10"/>
        <v>406509</v>
      </c>
      <c r="AB17" s="246"/>
      <c r="AC17" s="1874">
        <v>62985</v>
      </c>
      <c r="AD17" s="1876">
        <f t="shared" si="11"/>
        <v>0</v>
      </c>
      <c r="AE17" s="1876">
        <f t="shared" si="12"/>
        <v>469494</v>
      </c>
      <c r="AF17" s="246"/>
      <c r="AG17" s="1874">
        <v>71795</v>
      </c>
      <c r="AH17" s="1876">
        <f t="shared" si="13"/>
        <v>0</v>
      </c>
      <c r="AI17" s="1876">
        <f t="shared" si="14"/>
        <v>541289</v>
      </c>
      <c r="AJ17" s="246"/>
      <c r="AK17" s="1874">
        <v>70956</v>
      </c>
      <c r="AL17" s="3440"/>
      <c r="AM17" s="1875">
        <f t="shared" si="15"/>
        <v>205736</v>
      </c>
      <c r="AN17" s="1876">
        <f t="shared" si="16"/>
        <v>0</v>
      </c>
      <c r="AO17" s="1876">
        <f t="shared" si="17"/>
        <v>612245</v>
      </c>
      <c r="AP17" s="246"/>
      <c r="AQ17" s="1874">
        <v>76157</v>
      </c>
      <c r="AR17" s="1876">
        <f t="shared" si="18"/>
        <v>0</v>
      </c>
      <c r="AS17" s="1876">
        <f t="shared" si="19"/>
        <v>688402</v>
      </c>
      <c r="AT17" s="246"/>
      <c r="AU17" s="1874">
        <v>65445</v>
      </c>
      <c r="AV17" s="1876">
        <f t="shared" si="20"/>
        <v>0</v>
      </c>
      <c r="AW17" s="1876">
        <f t="shared" si="21"/>
        <v>753847</v>
      </c>
      <c r="AX17" s="246"/>
      <c r="AY17" s="1874">
        <v>81524</v>
      </c>
      <c r="AZ17" s="3440"/>
      <c r="BA17" s="1875">
        <f t="shared" si="22"/>
        <v>223126</v>
      </c>
      <c r="BB17" s="3990">
        <f t="shared" si="23"/>
        <v>0</v>
      </c>
      <c r="BC17" s="3990">
        <f t="shared" si="37"/>
        <v>428862</v>
      </c>
      <c r="BD17" s="1876">
        <f t="shared" si="25"/>
        <v>0</v>
      </c>
      <c r="BE17" s="1876">
        <f t="shared" si="26"/>
        <v>835371</v>
      </c>
      <c r="BF17" s="491"/>
    </row>
    <row r="18" spans="2:72" ht="18" x14ac:dyDescent="0.3">
      <c r="B18" s="6138"/>
      <c r="C18" s="1886" t="s">
        <v>1248</v>
      </c>
      <c r="D18" s="1554"/>
      <c r="E18" s="1874">
        <v>798</v>
      </c>
      <c r="F18" s="1874"/>
      <c r="G18" s="1874">
        <v>402</v>
      </c>
      <c r="H18" s="1876">
        <f t="shared" si="1"/>
        <v>0</v>
      </c>
      <c r="I18" s="1959">
        <f t="shared" si="2"/>
        <v>1200</v>
      </c>
      <c r="J18" s="1874"/>
      <c r="K18" s="1874">
        <v>901</v>
      </c>
      <c r="L18" s="1875">
        <f t="shared" si="3"/>
        <v>0</v>
      </c>
      <c r="M18" s="1875">
        <f t="shared" si="0"/>
        <v>2101</v>
      </c>
      <c r="N18" s="246"/>
      <c r="O18" s="1874">
        <v>855</v>
      </c>
      <c r="P18" s="1876">
        <f t="shared" si="4"/>
        <v>0</v>
      </c>
      <c r="Q18" s="1876">
        <f t="shared" si="28"/>
        <v>2956</v>
      </c>
      <c r="R18" s="246"/>
      <c r="S18" s="1874">
        <v>912</v>
      </c>
      <c r="T18" s="1876">
        <f t="shared" si="6"/>
        <v>0</v>
      </c>
      <c r="U18" s="1876">
        <f t="shared" si="7"/>
        <v>3868</v>
      </c>
      <c r="V18" s="246"/>
      <c r="W18" s="1874">
        <v>798</v>
      </c>
      <c r="X18" s="3440"/>
      <c r="Y18" s="1875">
        <f t="shared" si="8"/>
        <v>2565</v>
      </c>
      <c r="Z18" s="3990">
        <f t="shared" si="9"/>
        <v>0</v>
      </c>
      <c r="AA18" s="3990">
        <f t="shared" si="10"/>
        <v>4666</v>
      </c>
      <c r="AB18" s="246"/>
      <c r="AC18" s="1874">
        <v>998</v>
      </c>
      <c r="AD18" s="1876">
        <f t="shared" si="11"/>
        <v>0</v>
      </c>
      <c r="AE18" s="1876">
        <f t="shared" si="12"/>
        <v>5664</v>
      </c>
      <c r="AF18" s="246"/>
      <c r="AG18" s="1874">
        <v>1047</v>
      </c>
      <c r="AH18" s="1876">
        <f t="shared" si="13"/>
        <v>0</v>
      </c>
      <c r="AI18" s="1876">
        <f t="shared" si="14"/>
        <v>6711</v>
      </c>
      <c r="AJ18" s="246"/>
      <c r="AK18" s="1874">
        <v>1269</v>
      </c>
      <c r="AL18" s="3440"/>
      <c r="AM18" s="1875">
        <f t="shared" si="15"/>
        <v>3314</v>
      </c>
      <c r="AN18" s="1876">
        <f t="shared" si="16"/>
        <v>0</v>
      </c>
      <c r="AO18" s="1876">
        <f t="shared" si="17"/>
        <v>7980</v>
      </c>
      <c r="AP18" s="246"/>
      <c r="AQ18" s="1874">
        <v>988</v>
      </c>
      <c r="AR18" s="1876">
        <f t="shared" si="18"/>
        <v>0</v>
      </c>
      <c r="AS18" s="1876">
        <f t="shared" si="19"/>
        <v>8968</v>
      </c>
      <c r="AT18" s="246"/>
      <c r="AU18" s="1874">
        <v>655</v>
      </c>
      <c r="AV18" s="1876">
        <f t="shared" si="20"/>
        <v>0</v>
      </c>
      <c r="AW18" s="1876">
        <f t="shared" si="21"/>
        <v>9623</v>
      </c>
      <c r="AX18" s="246"/>
      <c r="AY18" s="1874">
        <v>925</v>
      </c>
      <c r="AZ18" s="3440"/>
      <c r="BA18" s="1875">
        <f t="shared" si="22"/>
        <v>2568</v>
      </c>
      <c r="BB18" s="3990">
        <f t="shared" si="23"/>
        <v>0</v>
      </c>
      <c r="BC18" s="3990">
        <f t="shared" si="37"/>
        <v>5882</v>
      </c>
      <c r="BD18" s="1876">
        <f t="shared" si="25"/>
        <v>0</v>
      </c>
      <c r="BE18" s="1876">
        <f t="shared" si="26"/>
        <v>10548</v>
      </c>
      <c r="BF18" s="491"/>
    </row>
    <row r="19" spans="2:72" s="137" customFormat="1" ht="18" x14ac:dyDescent="0.3">
      <c r="B19" s="6138"/>
      <c r="C19" s="1886" t="s">
        <v>176</v>
      </c>
      <c r="D19" s="1554"/>
      <c r="E19" s="1874">
        <v>0</v>
      </c>
      <c r="F19" s="1874"/>
      <c r="G19" s="1874">
        <v>0</v>
      </c>
      <c r="H19" s="1876">
        <f t="shared" si="1"/>
        <v>0</v>
      </c>
      <c r="I19" s="1959">
        <f t="shared" si="2"/>
        <v>0</v>
      </c>
      <c r="J19" s="1874"/>
      <c r="K19" s="1874">
        <v>390</v>
      </c>
      <c r="L19" s="1875">
        <f t="shared" si="3"/>
        <v>0</v>
      </c>
      <c r="M19" s="1875">
        <f t="shared" si="0"/>
        <v>390</v>
      </c>
      <c r="N19" s="246"/>
      <c r="O19" s="1874">
        <v>910</v>
      </c>
      <c r="P19" s="1876">
        <f t="shared" si="4"/>
        <v>0</v>
      </c>
      <c r="Q19" s="1876">
        <f t="shared" si="28"/>
        <v>1300</v>
      </c>
      <c r="R19" s="246"/>
      <c r="S19" s="1874">
        <v>712</v>
      </c>
      <c r="T19" s="1876">
        <f t="shared" si="6"/>
        <v>0</v>
      </c>
      <c r="U19" s="1876">
        <f t="shared" si="7"/>
        <v>2012</v>
      </c>
      <c r="V19" s="246"/>
      <c r="W19" s="1874">
        <v>0</v>
      </c>
      <c r="X19" s="3440"/>
      <c r="Y19" s="1875">
        <f t="shared" si="8"/>
        <v>1622</v>
      </c>
      <c r="Z19" s="3990">
        <f t="shared" si="9"/>
        <v>0</v>
      </c>
      <c r="AA19" s="3990">
        <f t="shared" si="10"/>
        <v>2012</v>
      </c>
      <c r="AB19" s="246"/>
      <c r="AC19" s="1874">
        <v>510</v>
      </c>
      <c r="AD19" s="1876">
        <f t="shared" si="11"/>
        <v>0</v>
      </c>
      <c r="AE19" s="1876">
        <f t="shared" si="12"/>
        <v>2522</v>
      </c>
      <c r="AF19" s="246"/>
      <c r="AG19" s="1874">
        <v>250</v>
      </c>
      <c r="AH19" s="1876">
        <f t="shared" si="13"/>
        <v>0</v>
      </c>
      <c r="AI19" s="1876">
        <f t="shared" si="14"/>
        <v>2772</v>
      </c>
      <c r="AJ19" s="246"/>
      <c r="AK19" s="1874">
        <v>0</v>
      </c>
      <c r="AL19" s="3440"/>
      <c r="AM19" s="1875">
        <f t="shared" si="15"/>
        <v>760</v>
      </c>
      <c r="AN19" s="1876">
        <f t="shared" si="16"/>
        <v>0</v>
      </c>
      <c r="AO19" s="1876">
        <f t="shared" si="17"/>
        <v>2772</v>
      </c>
      <c r="AP19" s="246"/>
      <c r="AQ19" s="1874">
        <v>0</v>
      </c>
      <c r="AR19" s="1876">
        <f t="shared" si="18"/>
        <v>0</v>
      </c>
      <c r="AS19" s="1876">
        <f t="shared" si="19"/>
        <v>2772</v>
      </c>
      <c r="AT19" s="246"/>
      <c r="AU19" s="1874">
        <v>0</v>
      </c>
      <c r="AV19" s="1876">
        <f t="shared" si="20"/>
        <v>0</v>
      </c>
      <c r="AW19" s="1876">
        <f t="shared" si="21"/>
        <v>2772</v>
      </c>
      <c r="AX19" s="246"/>
      <c r="AY19" s="1874">
        <v>0</v>
      </c>
      <c r="AZ19" s="3440"/>
      <c r="BA19" s="1875">
        <f t="shared" si="22"/>
        <v>0</v>
      </c>
      <c r="BB19" s="3990">
        <f t="shared" si="23"/>
        <v>0</v>
      </c>
      <c r="BC19" s="3990">
        <f t="shared" si="37"/>
        <v>760</v>
      </c>
      <c r="BD19" s="1876">
        <f t="shared" si="25"/>
        <v>0</v>
      </c>
      <c r="BE19" s="1876">
        <f t="shared" si="26"/>
        <v>2772</v>
      </c>
      <c r="BF19" s="491"/>
      <c r="BG19"/>
      <c r="BH19"/>
      <c r="BI19"/>
      <c r="BJ19"/>
    </row>
    <row r="20" spans="2:72" s="137" customFormat="1" ht="18" x14ac:dyDescent="0.3">
      <c r="B20" s="6138"/>
      <c r="C20" s="4398" t="s">
        <v>1591</v>
      </c>
      <c r="D20" s="4399"/>
      <c r="E20" s="4400">
        <v>452</v>
      </c>
      <c r="F20" s="4400"/>
      <c r="G20" s="4400">
        <v>400</v>
      </c>
      <c r="H20" s="4401">
        <v>0</v>
      </c>
      <c r="I20" s="1959">
        <f t="shared" si="2"/>
        <v>852</v>
      </c>
      <c r="J20" s="4400"/>
      <c r="K20" s="4400">
        <v>140</v>
      </c>
      <c r="L20" s="4402"/>
      <c r="M20" s="1875">
        <f t="shared" si="0"/>
        <v>992</v>
      </c>
      <c r="N20" s="4403"/>
      <c r="O20" s="4400">
        <v>306</v>
      </c>
      <c r="P20" s="4401"/>
      <c r="Q20" s="1876">
        <f t="shared" si="28"/>
        <v>1298</v>
      </c>
      <c r="R20" s="4403"/>
      <c r="S20" s="4400">
        <v>80</v>
      </c>
      <c r="T20" s="4401"/>
      <c r="U20" s="1876">
        <f t="shared" si="7"/>
        <v>1378</v>
      </c>
      <c r="V20" s="4403"/>
      <c r="W20" s="4400">
        <v>0</v>
      </c>
      <c r="X20" s="4400"/>
      <c r="Y20" s="1875">
        <f t="shared" ref="Y20" si="38">O20+S20+W20</f>
        <v>386</v>
      </c>
      <c r="Z20" s="3990">
        <f t="shared" ref="Z20" si="39">+T20+V20</f>
        <v>0</v>
      </c>
      <c r="AA20" s="3990">
        <f t="shared" ref="AA20" si="40">+U20+W20</f>
        <v>1378</v>
      </c>
      <c r="AB20" s="4403"/>
      <c r="AC20" s="4400">
        <v>0</v>
      </c>
      <c r="AD20" s="4401"/>
      <c r="AE20" s="1876">
        <f t="shared" si="12"/>
        <v>1378</v>
      </c>
      <c r="AF20" s="4403"/>
      <c r="AG20" s="4400">
        <v>307</v>
      </c>
      <c r="AH20" s="4401"/>
      <c r="AI20" s="1876">
        <f t="shared" si="14"/>
        <v>1685</v>
      </c>
      <c r="AJ20" s="4403"/>
      <c r="AK20" s="4400">
        <v>278</v>
      </c>
      <c r="AL20" s="4400"/>
      <c r="AM20" s="1875">
        <f t="shared" ref="AM20" si="41">AC20+AG20+AK20</f>
        <v>585</v>
      </c>
      <c r="AN20" s="1876">
        <f t="shared" ref="AN20" si="42">+AH20+AJ20</f>
        <v>0</v>
      </c>
      <c r="AO20" s="1876">
        <f t="shared" ref="AO20" si="43">+AI20+AK20</f>
        <v>1963</v>
      </c>
      <c r="AP20" s="4403"/>
      <c r="AQ20" s="4400">
        <v>440</v>
      </c>
      <c r="AR20" s="4401"/>
      <c r="AS20" s="1876">
        <f t="shared" si="19"/>
        <v>2403</v>
      </c>
      <c r="AT20" s="4403"/>
      <c r="AU20" s="4400">
        <v>228</v>
      </c>
      <c r="AV20" s="4401"/>
      <c r="AW20" s="1876">
        <f t="shared" si="21"/>
        <v>2631</v>
      </c>
      <c r="AX20" s="4403"/>
      <c r="AY20" s="4400">
        <v>1254</v>
      </c>
      <c r="AZ20" s="4400"/>
      <c r="BA20" s="1875">
        <f t="shared" ref="BA20" si="44">AQ20+AU20+AY20</f>
        <v>1922</v>
      </c>
      <c r="BB20" s="3990">
        <f t="shared" ref="BB20" si="45">+AV20+AX20</f>
        <v>0</v>
      </c>
      <c r="BC20" s="3990">
        <f t="shared" ref="BC20" si="46">AM20+BA20</f>
        <v>2507</v>
      </c>
      <c r="BD20" s="1876">
        <f t="shared" ref="BD20" si="47">+AV20+AX20</f>
        <v>0</v>
      </c>
      <c r="BE20" s="1876">
        <f t="shared" ref="BE20" si="48">+AW20+AY20</f>
        <v>3885</v>
      </c>
      <c r="BF20" s="491"/>
      <c r="BG20"/>
      <c r="BH20"/>
      <c r="BI20"/>
      <c r="BJ20"/>
    </row>
    <row r="21" spans="2:72" s="137" customFormat="1" ht="18" x14ac:dyDescent="0.3">
      <c r="B21" s="6138"/>
      <c r="C21" s="1886" t="s">
        <v>1943</v>
      </c>
      <c r="D21" s="2252"/>
      <c r="E21" s="2253">
        <v>0</v>
      </c>
      <c r="F21" s="2253"/>
      <c r="G21" s="2253">
        <v>0</v>
      </c>
      <c r="H21" s="1876">
        <f t="shared" si="1"/>
        <v>0</v>
      </c>
      <c r="I21" s="1959">
        <f t="shared" si="2"/>
        <v>0</v>
      </c>
      <c r="J21" s="2253"/>
      <c r="K21" s="2253">
        <v>0</v>
      </c>
      <c r="L21" s="2255"/>
      <c r="M21" s="1875">
        <f t="shared" si="0"/>
        <v>0</v>
      </c>
      <c r="N21" s="2256"/>
      <c r="O21" s="2253">
        <v>0</v>
      </c>
      <c r="P21" s="2254"/>
      <c r="Q21" s="1876">
        <f t="shared" si="28"/>
        <v>0</v>
      </c>
      <c r="R21" s="2256"/>
      <c r="S21" s="2253">
        <v>0</v>
      </c>
      <c r="T21" s="2254"/>
      <c r="U21" s="1876">
        <f t="shared" si="7"/>
        <v>0</v>
      </c>
      <c r="V21" s="2256"/>
      <c r="W21" s="2253">
        <v>0</v>
      </c>
      <c r="X21" s="3440"/>
      <c r="Y21" s="1875">
        <f t="shared" si="8"/>
        <v>0</v>
      </c>
      <c r="Z21" s="3992"/>
      <c r="AA21" s="3990">
        <f t="shared" si="10"/>
        <v>0</v>
      </c>
      <c r="AB21" s="2256"/>
      <c r="AC21" s="2253">
        <v>0</v>
      </c>
      <c r="AD21" s="2254"/>
      <c r="AE21" s="1876">
        <f t="shared" si="12"/>
        <v>0</v>
      </c>
      <c r="AF21" s="2256"/>
      <c r="AG21" s="2253">
        <v>0</v>
      </c>
      <c r="AH21" s="2254"/>
      <c r="AI21" s="1876">
        <f t="shared" si="14"/>
        <v>0</v>
      </c>
      <c r="AJ21" s="2256"/>
      <c r="AK21" s="2253">
        <v>0</v>
      </c>
      <c r="AL21" s="3440"/>
      <c r="AM21" s="1875">
        <f t="shared" si="15"/>
        <v>0</v>
      </c>
      <c r="AN21" s="2254"/>
      <c r="AO21" s="1876">
        <f t="shared" si="17"/>
        <v>0</v>
      </c>
      <c r="AP21" s="2256"/>
      <c r="AQ21" s="2253">
        <v>0</v>
      </c>
      <c r="AR21" s="1876">
        <f t="shared" si="18"/>
        <v>0</v>
      </c>
      <c r="AS21" s="1876">
        <f t="shared" si="19"/>
        <v>0</v>
      </c>
      <c r="AT21" s="2256"/>
      <c r="AU21" s="2253">
        <v>0</v>
      </c>
      <c r="AV21" s="1876">
        <f t="shared" si="20"/>
        <v>0</v>
      </c>
      <c r="AW21" s="1876">
        <f t="shared" si="21"/>
        <v>0</v>
      </c>
      <c r="AX21" s="2256"/>
      <c r="AY21" s="2253">
        <v>2160</v>
      </c>
      <c r="AZ21" s="3440"/>
      <c r="BA21" s="1875">
        <f t="shared" si="22"/>
        <v>2160</v>
      </c>
      <c r="BB21" s="3992"/>
      <c r="BC21" s="3990">
        <f t="shared" si="37"/>
        <v>2160</v>
      </c>
      <c r="BD21" s="1876">
        <f t="shared" si="25"/>
        <v>0</v>
      </c>
      <c r="BE21" s="1876">
        <f t="shared" si="26"/>
        <v>2160</v>
      </c>
      <c r="BF21" s="491"/>
      <c r="BG21"/>
      <c r="BH21"/>
      <c r="BI21"/>
      <c r="BJ21"/>
    </row>
    <row r="22" spans="2:72" s="137" customFormat="1" ht="18" x14ac:dyDescent="0.3">
      <c r="B22" s="6134" t="s">
        <v>940</v>
      </c>
      <c r="C22" s="1888" t="s">
        <v>1490</v>
      </c>
      <c r="D22" s="1883"/>
      <c r="E22" s="242">
        <f>SUM(E8:E21)</f>
        <v>413972</v>
      </c>
      <c r="F22" s="242">
        <f>SUM(F8:F19)</f>
        <v>0</v>
      </c>
      <c r="G22" s="242">
        <f>SUM(G8:G21)</f>
        <v>194773</v>
      </c>
      <c r="H22" s="1876">
        <f t="shared" si="1"/>
        <v>0</v>
      </c>
      <c r="I22" s="1959">
        <f t="shared" si="2"/>
        <v>608745</v>
      </c>
      <c r="J22" s="242">
        <f>SUM(J8:J19)</f>
        <v>0</v>
      </c>
      <c r="K22" s="242">
        <f>SUM(K8:K21)</f>
        <v>436758</v>
      </c>
      <c r="L22" s="1875">
        <f t="shared" si="3"/>
        <v>0</v>
      </c>
      <c r="M22" s="1875">
        <f t="shared" si="0"/>
        <v>1045503</v>
      </c>
      <c r="N22" s="242">
        <f>SUM(N8:N19)</f>
        <v>0</v>
      </c>
      <c r="O22" s="242">
        <f>SUM(O8:O21)</f>
        <v>458887</v>
      </c>
      <c r="P22" s="1876">
        <f t="shared" si="4"/>
        <v>0</v>
      </c>
      <c r="Q22" s="1876">
        <f t="shared" si="28"/>
        <v>1504390</v>
      </c>
      <c r="R22" s="242">
        <f>SUM(R8:R19)</f>
        <v>0</v>
      </c>
      <c r="S22" s="242">
        <f>SUM(S8:S21)</f>
        <v>449222</v>
      </c>
      <c r="T22" s="1876">
        <f t="shared" ref="T22:T24" si="49">+P22+R22</f>
        <v>0</v>
      </c>
      <c r="U22" s="1876">
        <f t="shared" si="7"/>
        <v>1953612</v>
      </c>
      <c r="V22" s="242">
        <f>SUM(V8:V19)</f>
        <v>0</v>
      </c>
      <c r="W22" s="242">
        <f>SUM(W8:W21)</f>
        <v>444298</v>
      </c>
      <c r="X22" s="2946"/>
      <c r="Y22" s="1875">
        <f t="shared" si="8"/>
        <v>1352407</v>
      </c>
      <c r="Z22" s="3990">
        <f t="shared" ref="Z22:Z24" si="50">+T22+V22</f>
        <v>0</v>
      </c>
      <c r="AA22" s="3990">
        <f t="shared" si="10"/>
        <v>2397910</v>
      </c>
      <c r="AB22" s="242">
        <f>SUM(AB8:AB19)</f>
        <v>0</v>
      </c>
      <c r="AC22" s="242">
        <f>SUM(AC8:AC21)</f>
        <v>380382</v>
      </c>
      <c r="AD22" s="1876">
        <f t="shared" ref="AD22:AD24" si="51">+Z22+AB22</f>
        <v>0</v>
      </c>
      <c r="AE22" s="1876">
        <f t="shared" si="12"/>
        <v>2778292</v>
      </c>
      <c r="AF22" s="242">
        <f>SUM(AF8:AF19)</f>
        <v>0</v>
      </c>
      <c r="AG22" s="242">
        <f>SUM(AG8:AG21)</f>
        <v>437743</v>
      </c>
      <c r="AH22" s="1876">
        <f t="shared" ref="AH22:AH24" si="52">+AD22+AF22</f>
        <v>0</v>
      </c>
      <c r="AI22" s="1876">
        <f t="shared" si="14"/>
        <v>3216035</v>
      </c>
      <c r="AJ22" s="242">
        <f>SUM(AJ8:AJ19)</f>
        <v>0</v>
      </c>
      <c r="AK22" s="242">
        <f>SUM(AK8:AK21)</f>
        <v>435866</v>
      </c>
      <c r="AL22" s="2946"/>
      <c r="AM22" s="1875">
        <f t="shared" si="15"/>
        <v>1253991</v>
      </c>
      <c r="AN22" s="1876">
        <f t="shared" ref="AN22:AN24" si="53">+AH22+AJ22</f>
        <v>0</v>
      </c>
      <c r="AO22" s="1876">
        <f t="shared" si="17"/>
        <v>3651901</v>
      </c>
      <c r="AP22" s="242">
        <f>SUM(AP8:AP19)</f>
        <v>0</v>
      </c>
      <c r="AQ22" s="242">
        <f>SUM(AQ8:AQ21)</f>
        <v>441400</v>
      </c>
      <c r="AR22" s="1876">
        <f t="shared" ref="AR22:AR24" si="54">+AN22+AP22</f>
        <v>0</v>
      </c>
      <c r="AS22" s="1876">
        <f t="shared" si="19"/>
        <v>4093301</v>
      </c>
      <c r="AT22" s="242">
        <f>SUM(AT8:AT19)</f>
        <v>0</v>
      </c>
      <c r="AU22" s="242">
        <f>SUM(AU8:AU21)</f>
        <v>389711</v>
      </c>
      <c r="AV22" s="1876">
        <f t="shared" si="20"/>
        <v>0</v>
      </c>
      <c r="AW22" s="1876">
        <f t="shared" si="21"/>
        <v>4483012</v>
      </c>
      <c r="AX22" s="242">
        <f>SUM(AX8:AX19)</f>
        <v>0</v>
      </c>
      <c r="AY22" s="242">
        <f>SUM(AY8:AY21)</f>
        <v>467754</v>
      </c>
      <c r="AZ22" s="2946"/>
      <c r="BA22" s="1875">
        <f t="shared" si="22"/>
        <v>1298865</v>
      </c>
      <c r="BB22" s="3990">
        <f t="shared" ref="BB22:BB24" si="55">+AV22+AX22</f>
        <v>0</v>
      </c>
      <c r="BC22" s="3990">
        <f t="shared" si="37"/>
        <v>2552856</v>
      </c>
      <c r="BD22" s="1876">
        <f t="shared" si="25"/>
        <v>0</v>
      </c>
      <c r="BE22" s="1876">
        <f t="shared" si="26"/>
        <v>4950766</v>
      </c>
      <c r="BF22" s="491"/>
      <c r="BG22"/>
      <c r="BH22"/>
      <c r="BI22"/>
      <c r="BJ22"/>
    </row>
    <row r="23" spans="2:72" ht="18" x14ac:dyDescent="0.3">
      <c r="B23" s="6135"/>
      <c r="C23" s="1888" t="s">
        <v>1491</v>
      </c>
      <c r="D23" s="1883"/>
      <c r="E23" s="242">
        <f>+E46+E47+E48</f>
        <v>23229</v>
      </c>
      <c r="F23" s="1883"/>
      <c r="G23" s="242">
        <f>+G46+G47+G48</f>
        <v>13478</v>
      </c>
      <c r="H23" s="1876">
        <f t="shared" si="1"/>
        <v>0</v>
      </c>
      <c r="I23" s="1959">
        <f t="shared" si="2"/>
        <v>36707</v>
      </c>
      <c r="J23" s="1883"/>
      <c r="K23" s="242">
        <f>+K46+K47+K48</f>
        <v>17423</v>
      </c>
      <c r="L23" s="1875">
        <f t="shared" si="3"/>
        <v>0</v>
      </c>
      <c r="M23" s="1875">
        <f t="shared" si="0"/>
        <v>54130</v>
      </c>
      <c r="N23" s="171"/>
      <c r="O23" s="242">
        <f>+O46+O47+O48</f>
        <v>26940</v>
      </c>
      <c r="P23" s="1876">
        <f t="shared" si="4"/>
        <v>0</v>
      </c>
      <c r="Q23" s="1876">
        <f t="shared" si="28"/>
        <v>81070</v>
      </c>
      <c r="R23" s="171"/>
      <c r="S23" s="242">
        <f>+S46+S47+S48</f>
        <v>20134</v>
      </c>
      <c r="T23" s="1876">
        <f t="shared" si="49"/>
        <v>0</v>
      </c>
      <c r="U23" s="1876">
        <f t="shared" si="7"/>
        <v>101204</v>
      </c>
      <c r="V23" s="171"/>
      <c r="W23" s="242">
        <f>+W46+W47+W48</f>
        <v>25770</v>
      </c>
      <c r="X23" s="2946"/>
      <c r="Y23" s="1875">
        <f t="shared" si="8"/>
        <v>72844</v>
      </c>
      <c r="Z23" s="3990">
        <f t="shared" si="50"/>
        <v>0</v>
      </c>
      <c r="AA23" s="3990">
        <f t="shared" si="10"/>
        <v>126974</v>
      </c>
      <c r="AB23" s="171"/>
      <c r="AC23" s="242">
        <f>+AC46+AC47+AC48</f>
        <v>29022</v>
      </c>
      <c r="AD23" s="1876">
        <f t="shared" si="51"/>
        <v>0</v>
      </c>
      <c r="AE23" s="1876">
        <f t="shared" si="12"/>
        <v>155996</v>
      </c>
      <c r="AF23" s="171"/>
      <c r="AG23" s="242">
        <f>+AG46+AG47+AG48</f>
        <v>25512</v>
      </c>
      <c r="AH23" s="1876">
        <f t="shared" si="52"/>
        <v>0</v>
      </c>
      <c r="AI23" s="1876">
        <f t="shared" si="14"/>
        <v>181508</v>
      </c>
      <c r="AJ23" s="171"/>
      <c r="AK23" s="242">
        <f>+AK46+AK47+AK48</f>
        <v>22853</v>
      </c>
      <c r="AL23" s="2946"/>
      <c r="AM23" s="1875">
        <f t="shared" si="15"/>
        <v>77387</v>
      </c>
      <c r="AN23" s="1876">
        <f t="shared" si="53"/>
        <v>0</v>
      </c>
      <c r="AO23" s="1876">
        <f t="shared" si="17"/>
        <v>204361</v>
      </c>
      <c r="AP23" s="171"/>
      <c r="AQ23" s="242">
        <f>+AQ46+AQ47+AQ48</f>
        <v>24050</v>
      </c>
      <c r="AR23" s="1876">
        <f t="shared" si="54"/>
        <v>0</v>
      </c>
      <c r="AS23" s="1876">
        <f t="shared" si="19"/>
        <v>228411</v>
      </c>
      <c r="AT23" s="171"/>
      <c r="AU23" s="242">
        <f>+AU46+AU47+AU48</f>
        <v>17230</v>
      </c>
      <c r="AV23" s="1876">
        <f t="shared" si="20"/>
        <v>0</v>
      </c>
      <c r="AW23" s="1876">
        <f t="shared" si="21"/>
        <v>245641</v>
      </c>
      <c r="AX23" s="171"/>
      <c r="AY23" s="242">
        <f>+AY46+AY47+AY48</f>
        <v>12584</v>
      </c>
      <c r="AZ23" s="2946"/>
      <c r="BA23" s="1875">
        <f t="shared" si="22"/>
        <v>53864</v>
      </c>
      <c r="BB23" s="3990">
        <f t="shared" si="55"/>
        <v>0</v>
      </c>
      <c r="BC23" s="3990">
        <f t="shared" si="37"/>
        <v>131251</v>
      </c>
      <c r="BD23" s="1876">
        <f t="shared" si="25"/>
        <v>0</v>
      </c>
      <c r="BE23" s="1876">
        <f t="shared" si="26"/>
        <v>258225</v>
      </c>
      <c r="BF23" s="491"/>
    </row>
    <row r="24" spans="2:72" ht="18" x14ac:dyDescent="0.3">
      <c r="B24" s="6136"/>
      <c r="C24" s="4117" t="s">
        <v>1492</v>
      </c>
      <c r="D24" s="1883"/>
      <c r="E24" s="242">
        <f>SUM(E22:E23)</f>
        <v>437201</v>
      </c>
      <c r="F24" s="1883"/>
      <c r="G24" s="242">
        <f>SUM(G22:G23)</f>
        <v>208251</v>
      </c>
      <c r="H24" s="1876">
        <f t="shared" si="1"/>
        <v>0</v>
      </c>
      <c r="I24" s="1959">
        <f t="shared" si="2"/>
        <v>645452</v>
      </c>
      <c r="J24" s="242">
        <f t="shared" ref="J24:N24" si="56">SUM(J22:J23)</f>
        <v>0</v>
      </c>
      <c r="K24" s="242">
        <f>SUM(K22:K23)</f>
        <v>454181</v>
      </c>
      <c r="L24" s="1875">
        <f t="shared" si="3"/>
        <v>0</v>
      </c>
      <c r="M24" s="1875">
        <f t="shared" si="0"/>
        <v>1099633</v>
      </c>
      <c r="N24" s="242">
        <f t="shared" si="56"/>
        <v>0</v>
      </c>
      <c r="O24" s="242">
        <f>SUM(O22:O23)</f>
        <v>485827</v>
      </c>
      <c r="P24" s="1876">
        <f t="shared" si="4"/>
        <v>0</v>
      </c>
      <c r="Q24" s="1876">
        <f t="shared" si="28"/>
        <v>1585460</v>
      </c>
      <c r="R24" s="242">
        <f t="shared" ref="R24" si="57">SUM(R22:R23)</f>
        <v>0</v>
      </c>
      <c r="S24" s="242">
        <f>SUM(S22:S23)</f>
        <v>469356</v>
      </c>
      <c r="T24" s="1876">
        <f t="shared" si="49"/>
        <v>0</v>
      </c>
      <c r="U24" s="1876">
        <f t="shared" si="7"/>
        <v>2054816</v>
      </c>
      <c r="V24" s="242">
        <f t="shared" ref="V24" si="58">SUM(V22:V23)</f>
        <v>0</v>
      </c>
      <c r="W24" s="242">
        <f>SUM(W22:W23)</f>
        <v>470068</v>
      </c>
      <c r="X24" s="2946"/>
      <c r="Y24" s="1875">
        <f t="shared" si="8"/>
        <v>1425251</v>
      </c>
      <c r="Z24" s="3990">
        <f t="shared" si="50"/>
        <v>0</v>
      </c>
      <c r="AA24" s="3990">
        <f t="shared" si="10"/>
        <v>2524884</v>
      </c>
      <c r="AB24" s="242">
        <f t="shared" ref="AB24" si="59">SUM(AB22:AB23)</f>
        <v>0</v>
      </c>
      <c r="AC24" s="242">
        <f>SUM(AC22:AC23)</f>
        <v>409404</v>
      </c>
      <c r="AD24" s="1876">
        <f t="shared" si="51"/>
        <v>0</v>
      </c>
      <c r="AE24" s="1876">
        <f t="shared" si="12"/>
        <v>2934288</v>
      </c>
      <c r="AF24" s="242">
        <f t="shared" ref="AF24" si="60">SUM(AF22:AF23)</f>
        <v>0</v>
      </c>
      <c r="AG24" s="242">
        <f>SUM(AG22:AG23)</f>
        <v>463255</v>
      </c>
      <c r="AH24" s="1876">
        <f t="shared" si="52"/>
        <v>0</v>
      </c>
      <c r="AI24" s="1876">
        <f t="shared" si="14"/>
        <v>3397543</v>
      </c>
      <c r="AJ24" s="242">
        <f t="shared" ref="AJ24" si="61">SUM(AJ22:AJ23)</f>
        <v>0</v>
      </c>
      <c r="AK24" s="242">
        <f>SUM(AK22:AK23)</f>
        <v>458719</v>
      </c>
      <c r="AL24" s="2946"/>
      <c r="AM24" s="1875">
        <f t="shared" si="15"/>
        <v>1331378</v>
      </c>
      <c r="AN24" s="1876">
        <f t="shared" si="53"/>
        <v>0</v>
      </c>
      <c r="AO24" s="1876">
        <f t="shared" si="17"/>
        <v>3856262</v>
      </c>
      <c r="AP24" s="242">
        <f t="shared" ref="AP24" si="62">SUM(AP22:AP23)</f>
        <v>0</v>
      </c>
      <c r="AQ24" s="242">
        <f>SUM(AQ22:AQ23)</f>
        <v>465450</v>
      </c>
      <c r="AR24" s="1876">
        <f t="shared" si="54"/>
        <v>0</v>
      </c>
      <c r="AS24" s="1876">
        <f t="shared" si="19"/>
        <v>4321712</v>
      </c>
      <c r="AT24" s="242">
        <f t="shared" ref="AT24" si="63">SUM(AT22:AT23)</f>
        <v>0</v>
      </c>
      <c r="AU24" s="242">
        <f>SUM(AU22:AU23)</f>
        <v>406941</v>
      </c>
      <c r="AV24" s="1876">
        <f t="shared" si="20"/>
        <v>0</v>
      </c>
      <c r="AW24" s="1876">
        <f t="shared" si="21"/>
        <v>4728653</v>
      </c>
      <c r="AX24" s="242">
        <f t="shared" ref="AX24" si="64">SUM(AX22:AX23)</f>
        <v>0</v>
      </c>
      <c r="AY24" s="242">
        <f>SUM(AY22:AY23)</f>
        <v>480338</v>
      </c>
      <c r="AZ24" s="2946"/>
      <c r="BA24" s="1875">
        <f t="shared" si="22"/>
        <v>1352729</v>
      </c>
      <c r="BB24" s="3990">
        <f t="shared" si="55"/>
        <v>0</v>
      </c>
      <c r="BC24" s="3990">
        <f t="shared" si="37"/>
        <v>2684107</v>
      </c>
      <c r="BD24" s="1876">
        <f t="shared" si="25"/>
        <v>0</v>
      </c>
      <c r="BE24" s="1876">
        <f t="shared" si="26"/>
        <v>5208991</v>
      </c>
      <c r="BF24" s="491"/>
    </row>
    <row r="25" spans="2:72" ht="18" x14ac:dyDescent="0.35">
      <c r="B25" s="1901"/>
      <c r="C25" s="1889"/>
      <c r="D25" s="875"/>
      <c r="E25" s="2036"/>
      <c r="F25" s="2036"/>
      <c r="G25" s="2036"/>
      <c r="H25" s="2036"/>
      <c r="I25" s="2036"/>
      <c r="J25" s="2036"/>
      <c r="K25" s="2036"/>
      <c r="L25" s="2036"/>
      <c r="M25" s="2036"/>
      <c r="N25" s="2036"/>
      <c r="O25" s="2036"/>
      <c r="P25" s="2036"/>
      <c r="Q25" s="2036"/>
      <c r="R25" s="2036"/>
      <c r="S25" s="2036"/>
      <c r="T25" s="2036"/>
      <c r="U25" s="2036"/>
      <c r="V25" s="2036"/>
      <c r="W25" s="2036"/>
      <c r="X25" s="3538"/>
      <c r="Y25" s="371"/>
      <c r="Z25" s="2036"/>
      <c r="AA25" s="2036"/>
      <c r="AB25" s="2036"/>
      <c r="AC25" s="2036"/>
      <c r="AD25" s="2036"/>
      <c r="AE25" s="2036"/>
      <c r="AF25" s="2036"/>
      <c r="AG25" s="2036"/>
      <c r="AH25" s="2036"/>
      <c r="AI25" s="2036"/>
      <c r="AJ25" s="2036"/>
      <c r="AK25" s="2036"/>
      <c r="AL25" s="3538"/>
      <c r="AM25" s="371"/>
      <c r="AN25" s="2036"/>
      <c r="AO25" s="2036"/>
      <c r="AP25" s="2036"/>
      <c r="AQ25" s="2036"/>
      <c r="AR25" s="2036"/>
      <c r="AS25" s="2036"/>
      <c r="AT25" s="2036"/>
      <c r="AU25" s="2036"/>
      <c r="AV25" s="2036"/>
      <c r="AW25" s="2036"/>
      <c r="AX25" s="2036"/>
      <c r="AY25" s="2036"/>
      <c r="AZ25" s="3538"/>
      <c r="BA25" s="371"/>
      <c r="BB25" s="2036"/>
      <c r="BC25" s="2036"/>
      <c r="BD25" s="2036"/>
      <c r="BE25" s="2036"/>
      <c r="BF25" s="491"/>
    </row>
    <row r="26" spans="2:72" ht="18" x14ac:dyDescent="0.35">
      <c r="B26" s="2218"/>
      <c r="C26" s="1889"/>
      <c r="D26" s="875"/>
      <c r="E26" s="2036"/>
      <c r="F26" s="2036"/>
      <c r="G26" s="2036"/>
      <c r="H26" s="2036"/>
      <c r="I26" s="2036"/>
      <c r="J26" s="2036"/>
      <c r="K26" s="2036"/>
      <c r="L26" s="2036"/>
      <c r="M26" s="2036"/>
      <c r="N26" s="2036"/>
      <c r="O26" s="2036"/>
      <c r="P26" s="2036"/>
      <c r="Q26" s="2036"/>
      <c r="R26" s="2036"/>
      <c r="S26" s="2036"/>
      <c r="T26" s="2036"/>
      <c r="U26" s="2036"/>
      <c r="V26" s="2036"/>
      <c r="W26" s="2036"/>
      <c r="X26" s="3538"/>
      <c r="Y26" s="371"/>
      <c r="Z26" s="2036"/>
      <c r="AA26" s="2036"/>
      <c r="AB26" s="2036"/>
      <c r="AC26" s="2036"/>
      <c r="AD26" s="2036"/>
      <c r="AE26" s="2036"/>
      <c r="AF26" s="2036"/>
      <c r="AG26" s="2036"/>
      <c r="AH26" s="2036"/>
      <c r="AI26" s="2036"/>
      <c r="AJ26" s="2036"/>
      <c r="AK26" s="2036"/>
      <c r="AL26" s="3538"/>
      <c r="AM26" s="371"/>
      <c r="AN26" s="2036"/>
      <c r="AO26" s="2036"/>
      <c r="AP26" s="2036"/>
      <c r="AQ26" s="2036"/>
      <c r="AR26" s="2036"/>
      <c r="AS26" s="2036"/>
      <c r="AT26" s="2036"/>
      <c r="AU26" s="2036"/>
      <c r="AV26" s="2036"/>
      <c r="AW26" s="2036"/>
      <c r="AX26" s="2036"/>
      <c r="AY26" s="2036"/>
      <c r="AZ26" s="3538"/>
      <c r="BA26" s="371"/>
      <c r="BB26" s="2036"/>
      <c r="BC26" s="2036"/>
      <c r="BD26" s="2036"/>
      <c r="BE26" s="2036"/>
      <c r="BF26" s="491"/>
    </row>
    <row r="27" spans="2:72" ht="18" x14ac:dyDescent="0.35">
      <c r="B27" s="6137" t="s">
        <v>1493</v>
      </c>
      <c r="C27" s="1890" t="s">
        <v>1494</v>
      </c>
      <c r="D27" s="1884"/>
      <c r="E27" s="2036"/>
      <c r="F27" s="2036"/>
      <c r="G27" s="2036"/>
      <c r="H27" s="2036"/>
      <c r="I27" s="2036"/>
      <c r="J27" s="2036"/>
      <c r="K27" s="2036"/>
      <c r="L27" s="2036"/>
      <c r="M27" s="2036"/>
      <c r="N27" s="2036"/>
      <c r="O27" s="2036"/>
      <c r="P27" s="2036"/>
      <c r="Q27" s="2036"/>
      <c r="R27" s="2036"/>
      <c r="S27" s="2036"/>
      <c r="T27" s="2036"/>
      <c r="U27" s="2036"/>
      <c r="V27" s="2036"/>
      <c r="W27" s="2036"/>
      <c r="X27" s="3538"/>
      <c r="Y27" s="371"/>
      <c r="Z27" s="2036"/>
      <c r="AA27" s="2036"/>
      <c r="AB27" s="2036"/>
      <c r="AC27" s="2036"/>
      <c r="AD27" s="2036"/>
      <c r="AE27" s="2036"/>
      <c r="AF27" s="2036"/>
      <c r="AG27" s="2036"/>
      <c r="AH27" s="2036"/>
      <c r="AI27" s="2036"/>
      <c r="AJ27" s="2036"/>
      <c r="AK27" s="2036"/>
      <c r="AL27" s="3538"/>
      <c r="AM27" s="371"/>
      <c r="AN27" s="2036"/>
      <c r="AO27" s="2036"/>
      <c r="AP27" s="2036"/>
      <c r="AQ27" s="2036"/>
      <c r="AR27" s="2036"/>
      <c r="AS27" s="2036"/>
      <c r="AT27" s="2036"/>
      <c r="AU27" s="2036"/>
      <c r="AV27" s="2036"/>
      <c r="AW27" s="2036"/>
      <c r="AX27" s="2036"/>
      <c r="AY27" s="2036"/>
      <c r="AZ27" s="3538"/>
      <c r="BA27" s="371"/>
      <c r="BB27" s="2036"/>
      <c r="BC27" s="2036"/>
      <c r="BD27" s="2036"/>
      <c r="BE27" s="2036"/>
      <c r="BF27" s="491"/>
    </row>
    <row r="28" spans="2:72" s="137" customFormat="1" ht="18" x14ac:dyDescent="0.3">
      <c r="B28" s="6138"/>
      <c r="C28" s="1886" t="s">
        <v>961</v>
      </c>
      <c r="D28" s="1554"/>
      <c r="E28" s="1874">
        <v>74827</v>
      </c>
      <c r="F28" s="1874"/>
      <c r="G28" s="1874">
        <v>31024</v>
      </c>
      <c r="H28" s="1876">
        <f t="shared" si="1"/>
        <v>0</v>
      </c>
      <c r="I28" s="1959">
        <f t="shared" si="2"/>
        <v>105851</v>
      </c>
      <c r="J28" s="1874"/>
      <c r="K28" s="1874">
        <v>70756</v>
      </c>
      <c r="L28" s="1875">
        <f t="shared" si="3"/>
        <v>0</v>
      </c>
      <c r="M28" s="1875">
        <f>E28+G28+K28</f>
        <v>176607</v>
      </c>
      <c r="N28" s="246"/>
      <c r="O28" s="1874">
        <v>77478</v>
      </c>
      <c r="P28" s="1876">
        <f t="shared" si="4"/>
        <v>0</v>
      </c>
      <c r="Q28" s="1876">
        <f t="shared" si="28"/>
        <v>254085</v>
      </c>
      <c r="R28" s="246"/>
      <c r="S28" s="1874">
        <v>74857</v>
      </c>
      <c r="T28" s="1876">
        <f t="shared" ref="T28:T31" si="65">+P28+R28</f>
        <v>0</v>
      </c>
      <c r="U28" s="1876">
        <f t="shared" ref="U28:U31" si="66">+Q28+S28</f>
        <v>328942</v>
      </c>
      <c r="V28" s="246"/>
      <c r="W28" s="1874">
        <v>77679</v>
      </c>
      <c r="X28" s="3440"/>
      <c r="Y28" s="1875">
        <f t="shared" si="8"/>
        <v>230014</v>
      </c>
      <c r="Z28" s="3990">
        <f t="shared" ref="Z28:Z31" si="67">+T28+V28</f>
        <v>0</v>
      </c>
      <c r="AA28" s="3990">
        <f t="shared" ref="AA28:AA31" si="68">+U28+W28</f>
        <v>406621</v>
      </c>
      <c r="AB28" s="246"/>
      <c r="AC28" s="1874">
        <v>62985</v>
      </c>
      <c r="AD28" s="1876">
        <f t="shared" ref="AD28:AD31" si="69">+Z28+AB28</f>
        <v>0</v>
      </c>
      <c r="AE28" s="1876">
        <f t="shared" ref="AE28:AE31" si="70">+AA28+AC28</f>
        <v>469606</v>
      </c>
      <c r="AF28" s="246"/>
      <c r="AG28" s="1874">
        <v>71795</v>
      </c>
      <c r="AH28" s="1876">
        <f t="shared" ref="AH28:AH31" si="71">+AD28+AF28</f>
        <v>0</v>
      </c>
      <c r="AI28" s="1876">
        <f t="shared" ref="AI28:AI31" si="72">+AE28+AG28</f>
        <v>541401</v>
      </c>
      <c r="AJ28" s="246"/>
      <c r="AK28" s="1874">
        <v>70956</v>
      </c>
      <c r="AL28" s="3440"/>
      <c r="AM28" s="1875">
        <f t="shared" si="15"/>
        <v>205736</v>
      </c>
      <c r="AN28" s="1876">
        <f t="shared" ref="AN28:AN31" si="73">+AH28+AJ28</f>
        <v>0</v>
      </c>
      <c r="AO28" s="1876">
        <f t="shared" ref="AO28:AO31" si="74">+AI28+AK28</f>
        <v>612357</v>
      </c>
      <c r="AP28" s="246"/>
      <c r="AQ28" s="1874">
        <v>76157</v>
      </c>
      <c r="AR28" s="1876">
        <f t="shared" ref="AR28:AR31" si="75">+AN28+AP28</f>
        <v>0</v>
      </c>
      <c r="AS28" s="1876">
        <f t="shared" ref="AS28:AS31" si="76">+AO28+AQ28</f>
        <v>688514</v>
      </c>
      <c r="AT28" s="246"/>
      <c r="AU28" s="1874">
        <v>64445</v>
      </c>
      <c r="AV28" s="1876">
        <f t="shared" ref="AV28:AV31" si="77">+AR28+AT28</f>
        <v>0</v>
      </c>
      <c r="AW28" s="1876">
        <f t="shared" ref="AW28:AW31" si="78">+AS28+AU28</f>
        <v>752959</v>
      </c>
      <c r="AX28" s="246"/>
      <c r="AY28" s="1874">
        <v>81524</v>
      </c>
      <c r="AZ28" s="3440"/>
      <c r="BA28" s="1875">
        <f t="shared" si="22"/>
        <v>222126</v>
      </c>
      <c r="BB28" s="3990">
        <f t="shared" ref="BB28:BB31" si="79">+AV28+AX28</f>
        <v>0</v>
      </c>
      <c r="BC28" s="3990">
        <f t="shared" ref="BC28:BC31" si="80">AM28+BA28</f>
        <v>427862</v>
      </c>
      <c r="BD28" s="1876">
        <f t="shared" ref="BD28:BD31" si="81">+AV28+AX28</f>
        <v>0</v>
      </c>
      <c r="BE28" s="1876">
        <f t="shared" ref="BE28:BE31" si="82">+AW28+AY28</f>
        <v>834483</v>
      </c>
      <c r="BF28" s="491"/>
      <c r="BG28"/>
      <c r="BH28"/>
      <c r="BI28"/>
      <c r="BJ28"/>
    </row>
    <row r="29" spans="2:72" s="137" customFormat="1" ht="18" x14ac:dyDescent="0.3">
      <c r="B29" s="6138"/>
      <c r="C29" s="1886" t="s">
        <v>962</v>
      </c>
      <c r="D29" s="1554"/>
      <c r="E29" s="1874">
        <v>10831</v>
      </c>
      <c r="F29" s="1554"/>
      <c r="G29" s="1874">
        <v>6750</v>
      </c>
      <c r="H29" s="1876">
        <f t="shared" si="1"/>
        <v>0</v>
      </c>
      <c r="I29" s="1959">
        <f t="shared" si="2"/>
        <v>17581</v>
      </c>
      <c r="J29" s="1554"/>
      <c r="K29" s="1874">
        <v>12596</v>
      </c>
      <c r="L29" s="1875">
        <f t="shared" si="3"/>
        <v>0</v>
      </c>
      <c r="M29" s="2344">
        <f>E29+G29+K29</f>
        <v>30177</v>
      </c>
      <c r="N29" s="171"/>
      <c r="O29" s="1874">
        <v>13988</v>
      </c>
      <c r="P29" s="1876">
        <f t="shared" si="4"/>
        <v>0</v>
      </c>
      <c r="Q29" s="1959">
        <f t="shared" si="28"/>
        <v>44165</v>
      </c>
      <c r="R29" s="171"/>
      <c r="S29" s="1874">
        <v>13411</v>
      </c>
      <c r="T29" s="1876">
        <f t="shared" si="65"/>
        <v>0</v>
      </c>
      <c r="U29" s="1959">
        <f t="shared" si="66"/>
        <v>57576</v>
      </c>
      <c r="V29" s="171"/>
      <c r="W29" s="1874">
        <v>13601</v>
      </c>
      <c r="X29" s="2482"/>
      <c r="Y29" s="2344">
        <f t="shared" si="8"/>
        <v>41000</v>
      </c>
      <c r="Z29" s="3990">
        <f t="shared" si="67"/>
        <v>0</v>
      </c>
      <c r="AA29" s="461">
        <f t="shared" si="68"/>
        <v>71177</v>
      </c>
      <c r="AB29" s="171"/>
      <c r="AC29" s="1874">
        <v>12900</v>
      </c>
      <c r="AD29" s="1876">
        <f t="shared" si="69"/>
        <v>0</v>
      </c>
      <c r="AE29" s="1959">
        <f t="shared" si="70"/>
        <v>84077</v>
      </c>
      <c r="AF29" s="171"/>
      <c r="AG29" s="1874">
        <v>12150</v>
      </c>
      <c r="AH29" s="1876">
        <f t="shared" si="71"/>
        <v>0</v>
      </c>
      <c r="AI29" s="1959">
        <f t="shared" si="72"/>
        <v>96227</v>
      </c>
      <c r="AJ29" s="171"/>
      <c r="AK29" s="1874">
        <v>11448</v>
      </c>
      <c r="AL29" s="2482"/>
      <c r="AM29" s="2344">
        <f t="shared" si="15"/>
        <v>36498</v>
      </c>
      <c r="AN29" s="1876">
        <f t="shared" si="73"/>
        <v>0</v>
      </c>
      <c r="AO29" s="1959">
        <f t="shared" si="74"/>
        <v>107675</v>
      </c>
      <c r="AP29" s="171"/>
      <c r="AQ29" s="1874">
        <v>10123</v>
      </c>
      <c r="AR29" s="1876">
        <f t="shared" si="75"/>
        <v>0</v>
      </c>
      <c r="AS29" s="1959">
        <f t="shared" si="76"/>
        <v>117798</v>
      </c>
      <c r="AT29" s="171"/>
      <c r="AU29" s="1874">
        <v>12986</v>
      </c>
      <c r="AV29" s="1876">
        <f t="shared" si="77"/>
        <v>0</v>
      </c>
      <c r="AW29" s="1959">
        <f t="shared" si="78"/>
        <v>130784</v>
      </c>
      <c r="AX29" s="171"/>
      <c r="AY29" s="1874">
        <v>12288</v>
      </c>
      <c r="AZ29" s="2482"/>
      <c r="BA29" s="2344">
        <f t="shared" si="22"/>
        <v>35397</v>
      </c>
      <c r="BB29" s="3990">
        <f t="shared" si="79"/>
        <v>0</v>
      </c>
      <c r="BC29" s="461">
        <f t="shared" si="80"/>
        <v>71895</v>
      </c>
      <c r="BD29" s="1876">
        <f t="shared" si="81"/>
        <v>0</v>
      </c>
      <c r="BE29" s="1959">
        <f t="shared" si="82"/>
        <v>143072</v>
      </c>
      <c r="BF29" s="491"/>
      <c r="BG29"/>
      <c r="BH29"/>
      <c r="BI29"/>
      <c r="BJ29"/>
      <c r="BK29"/>
      <c r="BL29"/>
      <c r="BM29"/>
      <c r="BN29"/>
      <c r="BO29"/>
      <c r="BP29"/>
      <c r="BQ29"/>
      <c r="BR29"/>
      <c r="BS29"/>
      <c r="BT29"/>
    </row>
    <row r="30" spans="2:72" ht="18" x14ac:dyDescent="0.3">
      <c r="B30" s="6138"/>
      <c r="C30" s="1886" t="s">
        <v>963</v>
      </c>
      <c r="D30" s="1554"/>
      <c r="E30" s="1874">
        <v>10245</v>
      </c>
      <c r="F30" s="1554"/>
      <c r="G30" s="1874">
        <v>4178</v>
      </c>
      <c r="H30" s="1876">
        <f t="shared" si="1"/>
        <v>0</v>
      </c>
      <c r="I30" s="1959">
        <f t="shared" si="2"/>
        <v>14423</v>
      </c>
      <c r="J30" s="1554"/>
      <c r="K30" s="1874">
        <v>8611</v>
      </c>
      <c r="L30" s="1875">
        <f t="shared" si="3"/>
        <v>0</v>
      </c>
      <c r="M30" s="1875">
        <f>E30+G30+K30</f>
        <v>23034</v>
      </c>
      <c r="N30" s="171"/>
      <c r="O30" s="1874">
        <v>7621</v>
      </c>
      <c r="P30" s="1876">
        <f t="shared" si="4"/>
        <v>0</v>
      </c>
      <c r="Q30" s="1876">
        <f t="shared" si="28"/>
        <v>30655</v>
      </c>
      <c r="R30" s="171"/>
      <c r="S30" s="1874">
        <v>7950</v>
      </c>
      <c r="T30" s="1876">
        <f t="shared" si="65"/>
        <v>0</v>
      </c>
      <c r="U30" s="1876">
        <f t="shared" si="66"/>
        <v>38605</v>
      </c>
      <c r="V30" s="171"/>
      <c r="W30" s="1874">
        <v>5111</v>
      </c>
      <c r="X30" s="3440"/>
      <c r="Y30" s="1875">
        <f t="shared" si="8"/>
        <v>20682</v>
      </c>
      <c r="Z30" s="3990">
        <f t="shared" si="67"/>
        <v>0</v>
      </c>
      <c r="AA30" s="3990">
        <f t="shared" si="68"/>
        <v>43716</v>
      </c>
      <c r="AB30" s="171"/>
      <c r="AC30" s="1874">
        <v>6124</v>
      </c>
      <c r="AD30" s="1876">
        <f t="shared" si="69"/>
        <v>0</v>
      </c>
      <c r="AE30" s="1876">
        <f t="shared" si="70"/>
        <v>49840</v>
      </c>
      <c r="AF30" s="171"/>
      <c r="AG30" s="1874">
        <v>10121</v>
      </c>
      <c r="AH30" s="1876">
        <f t="shared" si="71"/>
        <v>0</v>
      </c>
      <c r="AI30" s="1876">
        <f t="shared" si="72"/>
        <v>59961</v>
      </c>
      <c r="AJ30" s="171"/>
      <c r="AK30" s="1874">
        <v>13032</v>
      </c>
      <c r="AL30" s="3440"/>
      <c r="AM30" s="1875">
        <f t="shared" si="15"/>
        <v>29277</v>
      </c>
      <c r="AN30" s="1876">
        <f t="shared" si="73"/>
        <v>0</v>
      </c>
      <c r="AO30" s="1876">
        <f t="shared" si="74"/>
        <v>72993</v>
      </c>
      <c r="AP30" s="171"/>
      <c r="AQ30" s="1874">
        <v>14778</v>
      </c>
      <c r="AR30" s="1876">
        <f t="shared" si="75"/>
        <v>0</v>
      </c>
      <c r="AS30" s="1876">
        <f t="shared" si="76"/>
        <v>87771</v>
      </c>
      <c r="AT30" s="171"/>
      <c r="AU30" s="1874">
        <v>9877</v>
      </c>
      <c r="AV30" s="1876">
        <f t="shared" si="77"/>
        <v>0</v>
      </c>
      <c r="AW30" s="1876">
        <f t="shared" si="78"/>
        <v>97648</v>
      </c>
      <c r="AX30" s="171"/>
      <c r="AY30" s="1874">
        <v>9345</v>
      </c>
      <c r="AZ30" s="3440"/>
      <c r="BA30" s="1875">
        <f t="shared" si="22"/>
        <v>34000</v>
      </c>
      <c r="BB30" s="3990">
        <f t="shared" si="79"/>
        <v>0</v>
      </c>
      <c r="BC30" s="3990">
        <f t="shared" si="80"/>
        <v>63277</v>
      </c>
      <c r="BD30" s="1876">
        <f t="shared" si="81"/>
        <v>0</v>
      </c>
      <c r="BE30" s="1876">
        <f t="shared" si="82"/>
        <v>106993</v>
      </c>
      <c r="BF30" s="491"/>
    </row>
    <row r="31" spans="2:72" ht="18" x14ac:dyDescent="0.3">
      <c r="B31" s="6138"/>
      <c r="C31" s="1886" t="s">
        <v>1248</v>
      </c>
      <c r="D31" s="1554"/>
      <c r="E31" s="1874">
        <v>798</v>
      </c>
      <c r="F31" s="1554"/>
      <c r="G31" s="1874">
        <v>402</v>
      </c>
      <c r="H31" s="1876">
        <f t="shared" si="1"/>
        <v>0</v>
      </c>
      <c r="I31" s="1959">
        <f t="shared" si="2"/>
        <v>1200</v>
      </c>
      <c r="J31" s="1554"/>
      <c r="K31" s="1874">
        <v>901</v>
      </c>
      <c r="L31" s="1875">
        <f t="shared" si="3"/>
        <v>0</v>
      </c>
      <c r="M31" s="1875">
        <f>E31+G31+K31</f>
        <v>2101</v>
      </c>
      <c r="N31" s="171"/>
      <c r="O31" s="1874">
        <v>855</v>
      </c>
      <c r="P31" s="1876">
        <f t="shared" si="4"/>
        <v>0</v>
      </c>
      <c r="Q31" s="1876">
        <f t="shared" si="28"/>
        <v>2956</v>
      </c>
      <c r="R31" s="171"/>
      <c r="S31" s="1874">
        <v>912</v>
      </c>
      <c r="T31" s="1876">
        <f t="shared" si="65"/>
        <v>0</v>
      </c>
      <c r="U31" s="1876">
        <f t="shared" si="66"/>
        <v>3868</v>
      </c>
      <c r="V31" s="171"/>
      <c r="W31" s="1874">
        <v>798</v>
      </c>
      <c r="X31" s="3440"/>
      <c r="Y31" s="1875">
        <f t="shared" si="8"/>
        <v>2565</v>
      </c>
      <c r="Z31" s="3990">
        <f t="shared" si="67"/>
        <v>0</v>
      </c>
      <c r="AA31" s="3990">
        <f t="shared" si="68"/>
        <v>4666</v>
      </c>
      <c r="AB31" s="171"/>
      <c r="AC31" s="1874">
        <v>998</v>
      </c>
      <c r="AD31" s="1876">
        <f t="shared" si="69"/>
        <v>0</v>
      </c>
      <c r="AE31" s="1876">
        <f t="shared" si="70"/>
        <v>5664</v>
      </c>
      <c r="AF31" s="171"/>
      <c r="AG31" s="1874">
        <v>1097</v>
      </c>
      <c r="AH31" s="1876">
        <f t="shared" si="71"/>
        <v>0</v>
      </c>
      <c r="AI31" s="1876">
        <f t="shared" si="72"/>
        <v>6761</v>
      </c>
      <c r="AJ31" s="171"/>
      <c r="AK31" s="1874">
        <v>1269</v>
      </c>
      <c r="AL31" s="3440"/>
      <c r="AM31" s="1875">
        <f t="shared" si="15"/>
        <v>3364</v>
      </c>
      <c r="AN31" s="1876">
        <f t="shared" si="73"/>
        <v>0</v>
      </c>
      <c r="AO31" s="1876">
        <f t="shared" si="74"/>
        <v>8030</v>
      </c>
      <c r="AP31" s="171"/>
      <c r="AQ31" s="1874">
        <v>988</v>
      </c>
      <c r="AR31" s="1876">
        <f t="shared" si="75"/>
        <v>0</v>
      </c>
      <c r="AS31" s="1876">
        <f t="shared" si="76"/>
        <v>9018</v>
      </c>
      <c r="AT31" s="171"/>
      <c r="AU31" s="1874">
        <v>655</v>
      </c>
      <c r="AV31" s="1876">
        <f t="shared" si="77"/>
        <v>0</v>
      </c>
      <c r="AW31" s="1876">
        <f t="shared" si="78"/>
        <v>9673</v>
      </c>
      <c r="AX31" s="171"/>
      <c r="AY31" s="1874">
        <v>925</v>
      </c>
      <c r="AZ31" s="3440"/>
      <c r="BA31" s="1875">
        <f t="shared" si="22"/>
        <v>2568</v>
      </c>
      <c r="BB31" s="3990">
        <f t="shared" si="79"/>
        <v>0</v>
      </c>
      <c r="BC31" s="3990">
        <f t="shared" si="80"/>
        <v>5932</v>
      </c>
      <c r="BD31" s="1876">
        <f t="shared" si="81"/>
        <v>0</v>
      </c>
      <c r="BE31" s="1876">
        <f t="shared" si="82"/>
        <v>10598</v>
      </c>
      <c r="BF31" s="491"/>
    </row>
    <row r="32" spans="2:72" ht="18" x14ac:dyDescent="0.3">
      <c r="B32" s="6138"/>
      <c r="C32" s="1886"/>
      <c r="D32" s="1554"/>
      <c r="E32" s="1115"/>
      <c r="F32" s="1115"/>
      <c r="G32" s="1115"/>
      <c r="H32" s="371"/>
      <c r="I32" s="3121"/>
      <c r="J32" s="1115"/>
      <c r="K32" s="1115"/>
      <c r="L32" s="371"/>
      <c r="M32" s="371"/>
      <c r="N32" s="406"/>
      <c r="O32" s="1115"/>
      <c r="P32" s="371"/>
      <c r="Q32" s="371"/>
      <c r="R32" s="406"/>
      <c r="S32" s="1115"/>
      <c r="T32" s="371"/>
      <c r="U32" s="371"/>
      <c r="V32" s="406"/>
      <c r="W32" s="1115"/>
      <c r="X32" s="2481"/>
      <c r="Y32" s="371"/>
      <c r="Z32" s="371"/>
      <c r="AA32" s="371"/>
      <c r="AB32" s="406"/>
      <c r="AC32" s="1115"/>
      <c r="AD32" s="371"/>
      <c r="AE32" s="371"/>
      <c r="AF32" s="406"/>
      <c r="AG32" s="1115"/>
      <c r="AH32" s="371"/>
      <c r="AI32" s="371"/>
      <c r="AJ32" s="406"/>
      <c r="AK32" s="1115"/>
      <c r="AL32" s="2481"/>
      <c r="AM32" s="371"/>
      <c r="AN32" s="371"/>
      <c r="AO32" s="371"/>
      <c r="AP32" s="406"/>
      <c r="AQ32" s="1115"/>
      <c r="AR32" s="371"/>
      <c r="AS32" s="371"/>
      <c r="AT32" s="406"/>
      <c r="AU32" s="1115"/>
      <c r="AV32" s="371"/>
      <c r="AW32" s="371"/>
      <c r="AX32" s="406"/>
      <c r="AY32" s="1115"/>
      <c r="AZ32" s="2481"/>
      <c r="BA32" s="371"/>
      <c r="BB32" s="371"/>
      <c r="BC32" s="371"/>
      <c r="BD32" s="371"/>
      <c r="BE32" s="371"/>
      <c r="BF32" s="491"/>
    </row>
    <row r="33" spans="2:72" ht="18" x14ac:dyDescent="0.3">
      <c r="B33" s="6138"/>
      <c r="C33" s="1890" t="s">
        <v>1495</v>
      </c>
      <c r="D33" s="1884"/>
      <c r="E33" s="2369"/>
      <c r="F33" s="1884"/>
      <c r="G33" s="2369"/>
      <c r="H33" s="371"/>
      <c r="I33" s="3121"/>
      <c r="J33" s="1884"/>
      <c r="K33" s="2369"/>
      <c r="L33" s="371"/>
      <c r="M33" s="3121"/>
      <c r="N33" s="406"/>
      <c r="O33" s="2369"/>
      <c r="P33" s="371"/>
      <c r="Q33" s="371"/>
      <c r="R33" s="406"/>
      <c r="S33" s="2369"/>
      <c r="T33" s="371"/>
      <c r="U33" s="371"/>
      <c r="V33" s="406"/>
      <c r="W33" s="2369"/>
      <c r="X33" s="3539"/>
      <c r="Y33" s="371"/>
      <c r="Z33" s="371"/>
      <c r="AA33" s="371"/>
      <c r="AB33" s="406"/>
      <c r="AC33" s="2369"/>
      <c r="AD33" s="371"/>
      <c r="AE33" s="371"/>
      <c r="AF33" s="406"/>
      <c r="AG33" s="2369"/>
      <c r="AH33" s="371"/>
      <c r="AI33" s="371"/>
      <c r="AJ33" s="406"/>
      <c r="AK33" s="2369"/>
      <c r="AL33" s="3539"/>
      <c r="AM33" s="371"/>
      <c r="AN33" s="371"/>
      <c r="AO33" s="371"/>
      <c r="AP33" s="406"/>
      <c r="AQ33" s="2369"/>
      <c r="AR33" s="371"/>
      <c r="AS33" s="371"/>
      <c r="AT33" s="406"/>
      <c r="AU33" s="2369"/>
      <c r="AV33" s="371"/>
      <c r="AW33" s="371"/>
      <c r="AX33" s="406"/>
      <c r="AY33" s="2369"/>
      <c r="AZ33" s="3539"/>
      <c r="BA33" s="371"/>
      <c r="BB33" s="371"/>
      <c r="BC33" s="371"/>
      <c r="BD33" s="371"/>
      <c r="BE33" s="371"/>
      <c r="BF33" s="491"/>
    </row>
    <row r="34" spans="2:72" s="137" customFormat="1" ht="18" x14ac:dyDescent="0.3">
      <c r="B34" s="6138"/>
      <c r="C34" s="1886" t="s">
        <v>1496</v>
      </c>
      <c r="D34" s="1554"/>
      <c r="E34" s="3525">
        <f>+'COKE OVENS'!F48+'COKE OVENS'!F51</f>
        <v>5830.6483236687236</v>
      </c>
      <c r="F34" s="1896"/>
      <c r="G34" s="3525">
        <f>+'COKE OVENS'!H48+'COKE OVENS'!H51</f>
        <v>5837.0009280996583</v>
      </c>
      <c r="H34" s="1876">
        <f t="shared" si="1"/>
        <v>0</v>
      </c>
      <c r="I34" s="1959">
        <f t="shared" si="2"/>
        <v>11667.649251768382</v>
      </c>
      <c r="J34" s="1896"/>
      <c r="K34" s="3525">
        <f>+'COKE OVENS'!L48+'COKE OVENS'!L51</f>
        <v>6513.6344050280668</v>
      </c>
      <c r="L34" s="1875">
        <f t="shared" si="3"/>
        <v>0</v>
      </c>
      <c r="M34" s="2344">
        <f>E34+G34+K34</f>
        <v>18181.283656796448</v>
      </c>
      <c r="N34" s="1897"/>
      <c r="O34" s="3525">
        <f>+'COKE OVENS'!P48+'COKE OVENS'!P51</f>
        <v>6741.9473322326739</v>
      </c>
      <c r="P34" s="1876">
        <f t="shared" si="4"/>
        <v>0</v>
      </c>
      <c r="Q34" s="1959">
        <f t="shared" si="28"/>
        <v>24923.230989029122</v>
      </c>
      <c r="R34" s="1897"/>
      <c r="S34" s="3525">
        <f>+'COKE OVENS'!T48+'COKE OVENS'!T51</f>
        <v>6788.1643964847417</v>
      </c>
      <c r="T34" s="1876">
        <f t="shared" ref="T34" si="83">+P34+R34</f>
        <v>0</v>
      </c>
      <c r="U34" s="1959">
        <f t="shared" ref="U34" si="84">+Q34+S34</f>
        <v>31711.395385513864</v>
      </c>
      <c r="V34" s="1897"/>
      <c r="W34" s="3525">
        <f>+'COKE OVENS'!X48+'COKE OVENS'!X51</f>
        <v>7070.4688473453516</v>
      </c>
      <c r="X34" s="3540"/>
      <c r="Y34" s="2344">
        <f t="shared" si="8"/>
        <v>20600.58057606277</v>
      </c>
      <c r="Z34" s="3990">
        <f t="shared" ref="Z34" si="85">+T34+V34</f>
        <v>0</v>
      </c>
      <c r="AA34" s="461">
        <f t="shared" ref="AA34" si="86">+U34+W34</f>
        <v>38781.864232859218</v>
      </c>
      <c r="AB34" s="1897"/>
      <c r="AC34" s="3525">
        <f>+'COKE OVENS'!AD48+'COKE OVENS'!AD51</f>
        <v>7164.0221451495017</v>
      </c>
      <c r="AD34" s="1876">
        <f t="shared" ref="AD34" si="87">+Z34+AB34</f>
        <v>0</v>
      </c>
      <c r="AE34" s="1959">
        <f t="shared" ref="AE34" si="88">+AA34+AC34</f>
        <v>45945.886378008719</v>
      </c>
      <c r="AF34" s="1897"/>
      <c r="AG34" s="3525">
        <f>+'COKE OVENS'!AH48+'COKE OVENS'!AH51</f>
        <v>5763.2472920750388</v>
      </c>
      <c r="AH34" s="1876">
        <f t="shared" ref="AH34" si="89">+AD34+AF34</f>
        <v>0</v>
      </c>
      <c r="AI34" s="1959">
        <f t="shared" ref="AI34" si="90">+AE34+AG34</f>
        <v>51709.133670083756</v>
      </c>
      <c r="AJ34" s="1897"/>
      <c r="AK34" s="3525">
        <f>+'COKE OVENS'!AL48+'COKE OVENS'!AL51</f>
        <v>5955.1446482604897</v>
      </c>
      <c r="AL34" s="3540"/>
      <c r="AM34" s="2344">
        <f t="shared" si="15"/>
        <v>18882.41408548503</v>
      </c>
      <c r="AN34" s="1876">
        <f t="shared" ref="AN34" si="91">+AH34+AJ34</f>
        <v>0</v>
      </c>
      <c r="AO34" s="1959">
        <f t="shared" ref="AO34" si="92">+AI34+AK34</f>
        <v>57664.278318344244</v>
      </c>
      <c r="AP34" s="1897"/>
      <c r="AQ34" s="3525">
        <f>+'COKE OVENS'!AR48+'COKE OVENS'!AR51</f>
        <v>5940.0534707686529</v>
      </c>
      <c r="AR34" s="1876">
        <f t="shared" ref="AR34" si="93">+AN34+AP34</f>
        <v>0</v>
      </c>
      <c r="AS34" s="1959">
        <f t="shared" ref="AS34" si="94">+AO34+AQ34</f>
        <v>63604.331789112897</v>
      </c>
      <c r="AT34" s="1897"/>
      <c r="AU34" s="3525">
        <f>+'COKE OVENS'!AV48+'COKE OVENS'!AV51</f>
        <v>5362.1375210822534</v>
      </c>
      <c r="AV34" s="1876">
        <f t="shared" ref="AV34" si="95">+AR34+AT34</f>
        <v>0</v>
      </c>
      <c r="AW34" s="1959">
        <f t="shared" ref="AW34" si="96">+AS34+AU34</f>
        <v>68966.469310195156</v>
      </c>
      <c r="AX34" s="1897"/>
      <c r="AY34" s="3525">
        <f>+'COKE OVENS'!AZ48+'COKE OVENS'!AZ51</f>
        <v>6035.2102594471353</v>
      </c>
      <c r="AZ34" s="3540"/>
      <c r="BA34" s="2344">
        <f t="shared" si="22"/>
        <v>17337.401251298041</v>
      </c>
      <c r="BB34" s="3990">
        <f t="shared" ref="BB34" si="97">+AV34+AX34</f>
        <v>0</v>
      </c>
      <c r="BC34" s="461">
        <f>AM34+BA34</f>
        <v>36219.815336783067</v>
      </c>
      <c r="BD34" s="1876">
        <f t="shared" ref="BD34" si="98">+AV34+AX34</f>
        <v>0</v>
      </c>
      <c r="BE34" s="1959">
        <f t="shared" ref="BE34" si="99">+AW34+AY34</f>
        <v>75001.679569642292</v>
      </c>
      <c r="BF34" s="491"/>
      <c r="BG34"/>
      <c r="BH34"/>
      <c r="BI34"/>
      <c r="BJ34"/>
      <c r="BK34"/>
      <c r="BL34"/>
      <c r="BM34"/>
      <c r="BN34"/>
      <c r="BO34"/>
      <c r="BP34"/>
      <c r="BQ34"/>
      <c r="BR34"/>
      <c r="BS34"/>
      <c r="BT34"/>
    </row>
    <row r="35" spans="2:72" s="137" customFormat="1" ht="18" x14ac:dyDescent="0.3">
      <c r="B35" s="6138"/>
      <c r="C35" s="1886"/>
      <c r="D35" s="1554"/>
      <c r="E35" s="4115"/>
      <c r="F35" s="1115"/>
      <c r="G35" s="4115"/>
      <c r="H35" s="371"/>
      <c r="I35" s="3121"/>
      <c r="J35" s="1115"/>
      <c r="K35" s="4115"/>
      <c r="L35" s="371"/>
      <c r="M35" s="4115"/>
      <c r="N35" s="406"/>
      <c r="O35" s="4115"/>
      <c r="P35" s="371"/>
      <c r="Q35" s="371"/>
      <c r="R35" s="406"/>
      <c r="S35" s="4115"/>
      <c r="T35" s="371"/>
      <c r="U35" s="371"/>
      <c r="V35" s="406"/>
      <c r="W35" s="4115"/>
      <c r="X35" s="4116"/>
      <c r="Y35" s="371"/>
      <c r="Z35" s="371"/>
      <c r="AA35" s="371"/>
      <c r="AB35" s="406"/>
      <c r="AC35" s="4115"/>
      <c r="AD35" s="371"/>
      <c r="AE35" s="371"/>
      <c r="AF35" s="406"/>
      <c r="AG35" s="4115"/>
      <c r="AH35" s="371"/>
      <c r="AI35" s="371"/>
      <c r="AJ35" s="406"/>
      <c r="AK35" s="4115"/>
      <c r="AL35" s="4116"/>
      <c r="AM35" s="371"/>
      <c r="AN35" s="371"/>
      <c r="AO35" s="371"/>
      <c r="AP35" s="406"/>
      <c r="AQ35" s="4115"/>
      <c r="AR35" s="371"/>
      <c r="AS35" s="371"/>
      <c r="AT35" s="406"/>
      <c r="AU35" s="4115"/>
      <c r="AV35" s="371"/>
      <c r="AW35" s="371"/>
      <c r="AX35" s="406"/>
      <c r="AY35" s="4115"/>
      <c r="AZ35" s="4116"/>
      <c r="BA35" s="371"/>
      <c r="BB35" s="371"/>
      <c r="BC35" s="371"/>
      <c r="BD35" s="371"/>
      <c r="BE35" s="371"/>
      <c r="BF35" s="491"/>
      <c r="BG35"/>
      <c r="BH35"/>
      <c r="BI35"/>
      <c r="BJ35"/>
      <c r="BK35"/>
      <c r="BL35"/>
      <c r="BM35"/>
      <c r="BN35"/>
      <c r="BO35"/>
      <c r="BP35"/>
      <c r="BQ35"/>
      <c r="BR35"/>
      <c r="BS35"/>
      <c r="BT35"/>
    </row>
    <row r="36" spans="2:72" s="137" customFormat="1" ht="18" x14ac:dyDescent="0.3">
      <c r="B36" s="6138"/>
      <c r="C36" s="1890" t="s">
        <v>1497</v>
      </c>
      <c r="D36" s="1884"/>
      <c r="E36" s="1884"/>
      <c r="F36" s="1884"/>
      <c r="G36" s="1884"/>
      <c r="H36" s="371"/>
      <c r="I36" s="3121"/>
      <c r="J36" s="1884"/>
      <c r="K36" s="1884"/>
      <c r="L36" s="371"/>
      <c r="M36" s="371"/>
      <c r="N36" s="406"/>
      <c r="O36" s="1884"/>
      <c r="P36" s="371"/>
      <c r="Q36" s="371"/>
      <c r="R36" s="406"/>
      <c r="S36" s="1884"/>
      <c r="T36" s="371"/>
      <c r="U36" s="371"/>
      <c r="V36" s="406"/>
      <c r="W36" s="1884"/>
      <c r="X36" s="3541"/>
      <c r="Y36" s="371"/>
      <c r="Z36" s="371"/>
      <c r="AA36" s="371"/>
      <c r="AB36" s="406"/>
      <c r="AC36" s="1884"/>
      <c r="AD36" s="371"/>
      <c r="AE36" s="371"/>
      <c r="AF36" s="406"/>
      <c r="AG36" s="1884"/>
      <c r="AH36" s="371"/>
      <c r="AI36" s="371"/>
      <c r="AJ36" s="406"/>
      <c r="AK36" s="1884"/>
      <c r="AL36" s="3541"/>
      <c r="AM36" s="371"/>
      <c r="AN36" s="371"/>
      <c r="AO36" s="371"/>
      <c r="AP36" s="406"/>
      <c r="AQ36" s="1884"/>
      <c r="AR36" s="371"/>
      <c r="AS36" s="371"/>
      <c r="AT36" s="406"/>
      <c r="AU36" s="1884"/>
      <c r="AV36" s="371"/>
      <c r="AW36" s="371"/>
      <c r="AX36" s="406"/>
      <c r="AY36" s="1884"/>
      <c r="AZ36" s="3541"/>
      <c r="BA36" s="371"/>
      <c r="BB36" s="371"/>
      <c r="BC36" s="371"/>
      <c r="BD36" s="371"/>
      <c r="BE36" s="371"/>
      <c r="BF36" s="491"/>
      <c r="BG36"/>
      <c r="BH36"/>
      <c r="BI36"/>
      <c r="BJ36"/>
      <c r="BK36"/>
      <c r="BL36"/>
      <c r="BM36"/>
      <c r="BN36"/>
      <c r="BO36"/>
      <c r="BP36"/>
      <c r="BQ36"/>
      <c r="BR36"/>
      <c r="BS36"/>
      <c r="BT36"/>
    </row>
    <row r="37" spans="2:72" s="137" customFormat="1" ht="18" x14ac:dyDescent="0.3">
      <c r="B37" s="6138"/>
      <c r="C37" s="1886" t="s">
        <v>1498</v>
      </c>
      <c r="D37" s="1554"/>
      <c r="E37" s="1874">
        <v>1125</v>
      </c>
      <c r="F37" s="1554"/>
      <c r="G37" s="1874">
        <v>654</v>
      </c>
      <c r="H37" s="1876">
        <f t="shared" si="1"/>
        <v>0</v>
      </c>
      <c r="I37" s="1959">
        <f t="shared" si="2"/>
        <v>1779</v>
      </c>
      <c r="J37" s="1554"/>
      <c r="K37" s="1874">
        <v>2411</v>
      </c>
      <c r="L37" s="1875">
        <f t="shared" si="3"/>
        <v>0</v>
      </c>
      <c r="M37" s="1875">
        <f>E37+G37+K37</f>
        <v>4190</v>
      </c>
      <c r="N37" s="171"/>
      <c r="O37" s="1874">
        <v>2024</v>
      </c>
      <c r="P37" s="1876">
        <f t="shared" si="4"/>
        <v>0</v>
      </c>
      <c r="Q37" s="1876">
        <f t="shared" si="28"/>
        <v>6214</v>
      </c>
      <c r="R37" s="171"/>
      <c r="S37" s="1874">
        <v>1124</v>
      </c>
      <c r="T37" s="1876">
        <f t="shared" ref="T37:T39" si="100">+P37+R37</f>
        <v>0</v>
      </c>
      <c r="U37" s="1876">
        <f t="shared" ref="U37:U39" si="101">+Q37+S37</f>
        <v>7338</v>
      </c>
      <c r="V37" s="171"/>
      <c r="W37" s="1874">
        <v>1147</v>
      </c>
      <c r="X37" s="3440"/>
      <c r="Y37" s="1875">
        <f t="shared" si="8"/>
        <v>4295</v>
      </c>
      <c r="Z37" s="3990">
        <f t="shared" ref="Z37:Z39" si="102">+T37+V37</f>
        <v>0</v>
      </c>
      <c r="AA37" s="3990">
        <f t="shared" ref="AA37:AA39" si="103">+U37+W37</f>
        <v>8485</v>
      </c>
      <c r="AB37" s="171"/>
      <c r="AC37" s="1874">
        <v>788</v>
      </c>
      <c r="AD37" s="1876">
        <f t="shared" ref="AD37:AD39" si="104">+Z37+AB37</f>
        <v>0</v>
      </c>
      <c r="AE37" s="1876">
        <f t="shared" ref="AE37:AE39" si="105">+AA37+AC37</f>
        <v>9273</v>
      </c>
      <c r="AF37" s="171"/>
      <c r="AG37" s="1874">
        <v>1097</v>
      </c>
      <c r="AH37" s="1876">
        <f t="shared" ref="AH37:AH39" si="106">+AD37+AF37</f>
        <v>0</v>
      </c>
      <c r="AI37" s="1876">
        <f t="shared" ref="AI37:AI39" si="107">+AE37+AG37</f>
        <v>10370</v>
      </c>
      <c r="AJ37" s="171"/>
      <c r="AK37" s="1874">
        <v>1141</v>
      </c>
      <c r="AL37" s="3440"/>
      <c r="AM37" s="1875">
        <f t="shared" si="15"/>
        <v>3026</v>
      </c>
      <c r="AN37" s="1876">
        <f t="shared" ref="AN37:AN39" si="108">+AH37+AJ37</f>
        <v>0</v>
      </c>
      <c r="AO37" s="1876">
        <f t="shared" ref="AO37:AO39" si="109">+AI37+AK37</f>
        <v>11511</v>
      </c>
      <c r="AP37" s="171"/>
      <c r="AQ37" s="1874">
        <v>1818</v>
      </c>
      <c r="AR37" s="1876">
        <f t="shared" ref="AR37:AR39" si="110">+AN37+AP37</f>
        <v>0</v>
      </c>
      <c r="AS37" s="1876">
        <f t="shared" ref="AS37:AS39" si="111">+AO37+AQ37</f>
        <v>13329</v>
      </c>
      <c r="AT37" s="171"/>
      <c r="AU37" s="1874">
        <v>924</v>
      </c>
      <c r="AV37" s="1876">
        <f t="shared" ref="AV37:AV39" si="112">+AR37+AT37</f>
        <v>0</v>
      </c>
      <c r="AW37" s="1876">
        <f t="shared" ref="AW37:AW39" si="113">+AS37+AU37</f>
        <v>14253</v>
      </c>
      <c r="AX37" s="171"/>
      <c r="AY37" s="1874">
        <v>1124</v>
      </c>
      <c r="AZ37" s="3440"/>
      <c r="BA37" s="1875">
        <f t="shared" si="22"/>
        <v>3866</v>
      </c>
      <c r="BB37" s="3990">
        <f t="shared" ref="BB37:BB39" si="114">+AV37+AX37</f>
        <v>0</v>
      </c>
      <c r="BC37" s="461">
        <f t="shared" ref="BC37:BC39" si="115">AM37+BA37</f>
        <v>6892</v>
      </c>
      <c r="BD37" s="1876">
        <f t="shared" ref="BD37:BD39" si="116">+AV37+AX37</f>
        <v>0</v>
      </c>
      <c r="BE37" s="1876">
        <f t="shared" ref="BE37:BE39" si="117">+AW37+AY37</f>
        <v>15377</v>
      </c>
      <c r="BF37" s="491"/>
      <c r="BG37"/>
      <c r="BH37"/>
      <c r="BI37"/>
      <c r="BJ37"/>
      <c r="BK37"/>
      <c r="BL37"/>
      <c r="BM37"/>
      <c r="BN37"/>
      <c r="BO37"/>
      <c r="BP37"/>
      <c r="BQ37"/>
      <c r="BR37"/>
      <c r="BS37"/>
      <c r="BT37"/>
    </row>
    <row r="38" spans="2:72" ht="18" x14ac:dyDescent="0.35">
      <c r="B38" s="6138"/>
      <c r="C38" s="1891" t="s">
        <v>1499</v>
      </c>
      <c r="D38" s="1494"/>
      <c r="E38" s="1874">
        <v>12072</v>
      </c>
      <c r="F38" s="1554"/>
      <c r="G38" s="1874">
        <v>4956</v>
      </c>
      <c r="H38" s="1876">
        <f t="shared" si="1"/>
        <v>0</v>
      </c>
      <c r="I38" s="1959">
        <f t="shared" si="2"/>
        <v>17028</v>
      </c>
      <c r="J38" s="1554"/>
      <c r="K38" s="1874">
        <v>8837</v>
      </c>
      <c r="L38" s="1875">
        <f t="shared" si="3"/>
        <v>0</v>
      </c>
      <c r="M38" s="1875">
        <f>E38+G38+K38</f>
        <v>25865</v>
      </c>
      <c r="N38" s="171"/>
      <c r="O38" s="1874">
        <v>6122</v>
      </c>
      <c r="P38" s="1876">
        <f t="shared" si="4"/>
        <v>0</v>
      </c>
      <c r="Q38" s="1876">
        <f t="shared" si="28"/>
        <v>31987</v>
      </c>
      <c r="R38" s="171"/>
      <c r="S38" s="1874">
        <v>6784</v>
      </c>
      <c r="T38" s="1876">
        <f t="shared" si="100"/>
        <v>0</v>
      </c>
      <c r="U38" s="1876">
        <f t="shared" si="101"/>
        <v>38771</v>
      </c>
      <c r="V38" s="171"/>
      <c r="W38" s="1874">
        <v>13019</v>
      </c>
      <c r="X38" s="3440"/>
      <c r="Y38" s="1875">
        <f t="shared" si="8"/>
        <v>25925</v>
      </c>
      <c r="Z38" s="3990">
        <f t="shared" si="102"/>
        <v>0</v>
      </c>
      <c r="AA38" s="3990">
        <f t="shared" si="103"/>
        <v>51790</v>
      </c>
      <c r="AB38" s="171"/>
      <c r="AC38" s="1874">
        <v>7578</v>
      </c>
      <c r="AD38" s="1876">
        <f t="shared" si="104"/>
        <v>0</v>
      </c>
      <c r="AE38" s="1876">
        <f t="shared" si="105"/>
        <v>59368</v>
      </c>
      <c r="AF38" s="171"/>
      <c r="AG38" s="1874">
        <v>8256</v>
      </c>
      <c r="AH38" s="1876">
        <f t="shared" si="106"/>
        <v>0</v>
      </c>
      <c r="AI38" s="1876">
        <f t="shared" si="107"/>
        <v>67624</v>
      </c>
      <c r="AJ38" s="171"/>
      <c r="AK38" s="1874">
        <v>10799</v>
      </c>
      <c r="AL38" s="3440"/>
      <c r="AM38" s="1875">
        <f t="shared" si="15"/>
        <v>26633</v>
      </c>
      <c r="AN38" s="1876">
        <f t="shared" si="108"/>
        <v>0</v>
      </c>
      <c r="AO38" s="1876">
        <f t="shared" si="109"/>
        <v>78423</v>
      </c>
      <c r="AP38" s="171"/>
      <c r="AQ38" s="1874">
        <v>10154</v>
      </c>
      <c r="AR38" s="1876">
        <f t="shared" si="110"/>
        <v>0</v>
      </c>
      <c r="AS38" s="1876">
        <f t="shared" si="111"/>
        <v>88577</v>
      </c>
      <c r="AT38" s="171"/>
      <c r="AU38" s="1874">
        <v>9768</v>
      </c>
      <c r="AV38" s="1876">
        <f t="shared" si="112"/>
        <v>0</v>
      </c>
      <c r="AW38" s="1876">
        <f t="shared" si="113"/>
        <v>98345</v>
      </c>
      <c r="AX38" s="171"/>
      <c r="AY38" s="1874">
        <v>10693</v>
      </c>
      <c r="AZ38" s="3440"/>
      <c r="BA38" s="1875">
        <f t="shared" si="22"/>
        <v>30615</v>
      </c>
      <c r="BB38" s="3990">
        <f t="shared" si="114"/>
        <v>0</v>
      </c>
      <c r="BC38" s="461">
        <f t="shared" si="115"/>
        <v>57248</v>
      </c>
      <c r="BD38" s="1876">
        <f t="shared" si="116"/>
        <v>0</v>
      </c>
      <c r="BE38" s="1876">
        <f t="shared" si="117"/>
        <v>109038</v>
      </c>
      <c r="BF38" s="491"/>
    </row>
    <row r="39" spans="2:72" ht="18" x14ac:dyDescent="0.3">
      <c r="B39" s="6138"/>
      <c r="C39" s="1892" t="s">
        <v>1500</v>
      </c>
      <c r="D39" s="1115"/>
      <c r="E39" s="1874">
        <v>8537</v>
      </c>
      <c r="F39" s="1554"/>
      <c r="G39" s="1874">
        <v>1037</v>
      </c>
      <c r="H39" s="1876">
        <f t="shared" si="1"/>
        <v>0</v>
      </c>
      <c r="I39" s="1959">
        <f t="shared" si="2"/>
        <v>9574</v>
      </c>
      <c r="J39" s="1554"/>
      <c r="K39" s="1874">
        <v>6692</v>
      </c>
      <c r="L39" s="1875">
        <f t="shared" si="3"/>
        <v>0</v>
      </c>
      <c r="M39" s="1875">
        <f>E39+G39+K39</f>
        <v>16266</v>
      </c>
      <c r="N39" s="171"/>
      <c r="O39" s="1874">
        <v>5179</v>
      </c>
      <c r="P39" s="1876">
        <f t="shared" si="4"/>
        <v>0</v>
      </c>
      <c r="Q39" s="1876">
        <f t="shared" si="28"/>
        <v>21445</v>
      </c>
      <c r="R39" s="171"/>
      <c r="S39" s="1874">
        <v>6510</v>
      </c>
      <c r="T39" s="1876">
        <f t="shared" si="100"/>
        <v>0</v>
      </c>
      <c r="U39" s="1876">
        <f t="shared" si="101"/>
        <v>27955</v>
      </c>
      <c r="V39" s="171"/>
      <c r="W39" s="1874">
        <v>34414</v>
      </c>
      <c r="X39" s="3440"/>
      <c r="Y39" s="1875">
        <f t="shared" si="8"/>
        <v>46103</v>
      </c>
      <c r="Z39" s="3990">
        <f t="shared" si="102"/>
        <v>0</v>
      </c>
      <c r="AA39" s="3990">
        <f t="shared" si="103"/>
        <v>62369</v>
      </c>
      <c r="AB39" s="171"/>
      <c r="AC39" s="1874">
        <v>4130</v>
      </c>
      <c r="AD39" s="1876">
        <f t="shared" si="104"/>
        <v>0</v>
      </c>
      <c r="AE39" s="1876">
        <f t="shared" si="105"/>
        <v>66499</v>
      </c>
      <c r="AF39" s="171"/>
      <c r="AG39" s="1874">
        <v>3304</v>
      </c>
      <c r="AH39" s="1876">
        <f t="shared" si="106"/>
        <v>0</v>
      </c>
      <c r="AI39" s="1876">
        <f t="shared" si="107"/>
        <v>69803</v>
      </c>
      <c r="AJ39" s="171"/>
      <c r="AK39" s="1874">
        <v>0</v>
      </c>
      <c r="AL39" s="3440"/>
      <c r="AM39" s="1875">
        <f t="shared" si="15"/>
        <v>7434</v>
      </c>
      <c r="AN39" s="1876">
        <f t="shared" si="108"/>
        <v>0</v>
      </c>
      <c r="AO39" s="1876">
        <f t="shared" si="109"/>
        <v>69803</v>
      </c>
      <c r="AP39" s="171"/>
      <c r="AQ39" s="1874">
        <v>4233</v>
      </c>
      <c r="AR39" s="1876">
        <f t="shared" si="110"/>
        <v>0</v>
      </c>
      <c r="AS39" s="1876">
        <f t="shared" si="111"/>
        <v>74036</v>
      </c>
      <c r="AT39" s="171"/>
      <c r="AU39" s="1874">
        <v>8867</v>
      </c>
      <c r="AV39" s="1876">
        <f t="shared" si="112"/>
        <v>0</v>
      </c>
      <c r="AW39" s="1876">
        <f t="shared" si="113"/>
        <v>82903</v>
      </c>
      <c r="AX39" s="171"/>
      <c r="AY39" s="1874">
        <v>7637</v>
      </c>
      <c r="AZ39" s="3440"/>
      <c r="BA39" s="1875">
        <f t="shared" si="22"/>
        <v>20737</v>
      </c>
      <c r="BB39" s="3990">
        <f t="shared" si="114"/>
        <v>0</v>
      </c>
      <c r="BC39" s="461">
        <f t="shared" si="115"/>
        <v>28171</v>
      </c>
      <c r="BD39" s="1876">
        <f t="shared" si="116"/>
        <v>0</v>
      </c>
      <c r="BE39" s="1876">
        <f t="shared" si="117"/>
        <v>90540</v>
      </c>
      <c r="BF39" s="491"/>
    </row>
    <row r="40" spans="2:72" ht="18" x14ac:dyDescent="0.3">
      <c r="B40" s="6138"/>
      <c r="C40" s="1892"/>
      <c r="D40" s="1115"/>
      <c r="E40" s="1115"/>
      <c r="F40" s="1115"/>
      <c r="G40" s="1115"/>
      <c r="H40" s="371"/>
      <c r="I40" s="3121"/>
      <c r="J40" s="1115"/>
      <c r="K40" s="1115"/>
      <c r="L40" s="371"/>
      <c r="M40" s="371"/>
      <c r="N40" s="406"/>
      <c r="O40" s="1115"/>
      <c r="P40" s="371"/>
      <c r="Q40" s="371"/>
      <c r="R40" s="406"/>
      <c r="S40" s="1115"/>
      <c r="T40" s="371"/>
      <c r="U40" s="371"/>
      <c r="V40" s="406"/>
      <c r="W40" s="1115"/>
      <c r="X40" s="2481"/>
      <c r="Y40" s="371"/>
      <c r="Z40" s="371"/>
      <c r="AA40" s="371"/>
      <c r="AB40" s="406"/>
      <c r="AC40" s="1115"/>
      <c r="AD40" s="371"/>
      <c r="AE40" s="371"/>
      <c r="AF40" s="406"/>
      <c r="AG40" s="1115"/>
      <c r="AH40" s="371"/>
      <c r="AI40" s="371"/>
      <c r="AJ40" s="406"/>
      <c r="AK40" s="1115"/>
      <c r="AL40" s="2481"/>
      <c r="AM40" s="371"/>
      <c r="AN40" s="371"/>
      <c r="AO40" s="371"/>
      <c r="AP40" s="406"/>
      <c r="AQ40" s="1115"/>
      <c r="AR40" s="371"/>
      <c r="AS40" s="371"/>
      <c r="AT40" s="406"/>
      <c r="AU40" s="1115"/>
      <c r="AV40" s="371"/>
      <c r="AW40" s="371"/>
      <c r="AX40" s="406"/>
      <c r="AY40" s="1115"/>
      <c r="AZ40" s="2481"/>
      <c r="BA40" s="371"/>
      <c r="BB40" s="371"/>
      <c r="BC40" s="371"/>
      <c r="BD40" s="371"/>
      <c r="BE40" s="371"/>
      <c r="BF40" s="491"/>
    </row>
    <row r="41" spans="2:72" ht="18" x14ac:dyDescent="0.3">
      <c r="B41" s="6138"/>
      <c r="C41" s="1890" t="s">
        <v>1501</v>
      </c>
      <c r="D41" s="1884"/>
      <c r="E41" s="1884"/>
      <c r="F41" s="1884"/>
      <c r="G41" s="1884"/>
      <c r="H41" s="371"/>
      <c r="I41" s="3121"/>
      <c r="J41" s="1884"/>
      <c r="K41" s="1884"/>
      <c r="L41" s="371"/>
      <c r="M41" s="371"/>
      <c r="N41" s="406"/>
      <c r="O41" s="1884"/>
      <c r="P41" s="371"/>
      <c r="Q41" s="371"/>
      <c r="R41" s="406"/>
      <c r="S41" s="1884"/>
      <c r="T41" s="371"/>
      <c r="U41" s="371"/>
      <c r="V41" s="406"/>
      <c r="W41" s="1884"/>
      <c r="X41" s="3541"/>
      <c r="Y41" s="371"/>
      <c r="Z41" s="371"/>
      <c r="AA41" s="371"/>
      <c r="AB41" s="406"/>
      <c r="AC41" s="1884"/>
      <c r="AD41" s="371"/>
      <c r="AE41" s="371"/>
      <c r="AF41" s="406"/>
      <c r="AG41" s="1884"/>
      <c r="AH41" s="371"/>
      <c r="AI41" s="371"/>
      <c r="AJ41" s="406"/>
      <c r="AK41" s="1884"/>
      <c r="AL41" s="3541"/>
      <c r="AM41" s="371"/>
      <c r="AN41" s="371"/>
      <c r="AO41" s="371"/>
      <c r="AP41" s="406"/>
      <c r="AQ41" s="1884"/>
      <c r="AR41" s="371"/>
      <c r="AS41" s="371"/>
      <c r="AT41" s="406"/>
      <c r="AU41" s="1884"/>
      <c r="AV41" s="371"/>
      <c r="AW41" s="371"/>
      <c r="AX41" s="406"/>
      <c r="AY41" s="1884"/>
      <c r="AZ41" s="3541"/>
      <c r="BA41" s="371"/>
      <c r="BB41" s="371"/>
      <c r="BC41" s="371"/>
      <c r="BD41" s="371"/>
      <c r="BE41" s="371"/>
      <c r="BF41" s="491"/>
    </row>
    <row r="42" spans="2:72" ht="18" x14ac:dyDescent="0.35">
      <c r="B42" s="6138"/>
      <c r="C42" s="1893" t="s">
        <v>1137</v>
      </c>
      <c r="D42" s="1885"/>
      <c r="E42" s="3526">
        <f>+LDCP!F8</f>
        <v>21630</v>
      </c>
      <c r="F42" s="371"/>
      <c r="G42" s="3526">
        <f>+LDCP!H8</f>
        <v>6211</v>
      </c>
      <c r="H42" s="1876">
        <f t="shared" si="1"/>
        <v>0</v>
      </c>
      <c r="I42" s="1959">
        <f t="shared" si="2"/>
        <v>27841</v>
      </c>
      <c r="J42" s="371"/>
      <c r="K42" s="3526">
        <f>+LDCP!L8</f>
        <v>14309</v>
      </c>
      <c r="L42" s="1875">
        <f t="shared" si="3"/>
        <v>0</v>
      </c>
      <c r="M42" s="1875">
        <f>E42+G42+K42</f>
        <v>42150</v>
      </c>
      <c r="N42" s="246"/>
      <c r="O42" s="3526">
        <f>+LDCP!P8</f>
        <v>18251</v>
      </c>
      <c r="P42" s="1876">
        <f t="shared" si="4"/>
        <v>0</v>
      </c>
      <c r="Q42" s="1876">
        <f t="shared" si="28"/>
        <v>60401</v>
      </c>
      <c r="R42" s="246"/>
      <c r="S42" s="3526">
        <f>+LDCP!T8</f>
        <v>15345</v>
      </c>
      <c r="T42" s="1876">
        <f t="shared" ref="T42:T43" si="118">+P42+R42</f>
        <v>0</v>
      </c>
      <c r="U42" s="1876">
        <f t="shared" ref="U42:U43" si="119">+Q42+S42</f>
        <v>75746</v>
      </c>
      <c r="V42" s="246"/>
      <c r="W42" s="3526">
        <f>+LDCP!X8</f>
        <v>15590</v>
      </c>
      <c r="X42" s="3542"/>
      <c r="Y42" s="1875">
        <f t="shared" si="8"/>
        <v>49186</v>
      </c>
      <c r="Z42" s="3990">
        <f t="shared" ref="Z42:Z43" si="120">+T42+V42</f>
        <v>0</v>
      </c>
      <c r="AA42" s="3990">
        <f t="shared" ref="AA42:AA43" si="121">+U42+W42</f>
        <v>91336</v>
      </c>
      <c r="AB42" s="246"/>
      <c r="AC42" s="3526">
        <f>+LDCP!AD8</f>
        <v>14399</v>
      </c>
      <c r="AD42" s="1876">
        <f t="shared" ref="AD42:AD43" si="122">+Z42+AB42</f>
        <v>0</v>
      </c>
      <c r="AE42" s="1876">
        <f t="shared" ref="AE42:AE43" si="123">+AA42+AC42</f>
        <v>105735</v>
      </c>
      <c r="AF42" s="246"/>
      <c r="AG42" s="3526">
        <f>+LDCP!AH8</f>
        <v>13904</v>
      </c>
      <c r="AH42" s="1876">
        <f t="shared" ref="AH42:AH43" si="124">+AD42+AF42</f>
        <v>0</v>
      </c>
      <c r="AI42" s="1876">
        <f t="shared" ref="AI42:AI43" si="125">+AE42+AG42</f>
        <v>119639</v>
      </c>
      <c r="AJ42" s="246"/>
      <c r="AK42" s="3526">
        <f>+LDCP!AL8</f>
        <v>13680</v>
      </c>
      <c r="AL42" s="3542"/>
      <c r="AM42" s="1875">
        <f t="shared" si="15"/>
        <v>41983</v>
      </c>
      <c r="AN42" s="1876">
        <f t="shared" ref="AN42:AN43" si="126">+AH42+AJ42</f>
        <v>0</v>
      </c>
      <c r="AO42" s="1876">
        <f t="shared" ref="AO42:AO43" si="127">+AI42+AK42</f>
        <v>133319</v>
      </c>
      <c r="AP42" s="246"/>
      <c r="AQ42" s="3526">
        <f>+LDCP!AR8</f>
        <v>16886</v>
      </c>
      <c r="AR42" s="1876">
        <f t="shared" ref="AR42:AR43" si="128">+AN42+AP42</f>
        <v>0</v>
      </c>
      <c r="AS42" s="1876">
        <f t="shared" ref="AS42:AS43" si="129">+AO42+AQ42</f>
        <v>150205</v>
      </c>
      <c r="AT42" s="246"/>
      <c r="AU42" s="3526">
        <f>+LDCP!AV8</f>
        <v>13762</v>
      </c>
      <c r="AV42" s="1876">
        <f t="shared" ref="AV42:AV43" si="130">+AR42+AT42</f>
        <v>0</v>
      </c>
      <c r="AW42" s="1876">
        <f t="shared" ref="AW42:AW43" si="131">+AS42+AU42</f>
        <v>163967</v>
      </c>
      <c r="AX42" s="246"/>
      <c r="AY42" s="3526">
        <f>+LDCP!AZ8</f>
        <v>15445</v>
      </c>
      <c r="AZ42" s="3542"/>
      <c r="BA42" s="1875">
        <f t="shared" si="22"/>
        <v>46093</v>
      </c>
      <c r="BB42" s="3990">
        <f t="shared" ref="BB42:BB43" si="132">+AV42+AX42</f>
        <v>0</v>
      </c>
      <c r="BC42" s="461">
        <f t="shared" ref="BC42:BC43" si="133">AM42+BA42</f>
        <v>88076</v>
      </c>
      <c r="BD42" s="1876">
        <f t="shared" ref="BD42:BD43" si="134">+AV42+AX42</f>
        <v>0</v>
      </c>
      <c r="BE42" s="1876">
        <f t="shared" ref="BE42:BE43" si="135">+AW42+AY42</f>
        <v>179412</v>
      </c>
      <c r="BF42" s="491"/>
    </row>
    <row r="43" spans="2:72" ht="18" x14ac:dyDescent="0.35">
      <c r="B43" s="6139"/>
      <c r="C43" s="1893" t="s">
        <v>1138</v>
      </c>
      <c r="D43" s="1885"/>
      <c r="E43" s="3526">
        <f>+LDCP!F23</f>
        <v>7951</v>
      </c>
      <c r="F43" s="371"/>
      <c r="G43" s="3526">
        <f>+LDCP!H23</f>
        <v>2289</v>
      </c>
      <c r="H43" s="1876">
        <f t="shared" si="1"/>
        <v>0</v>
      </c>
      <c r="I43" s="1959">
        <f t="shared" si="2"/>
        <v>10240</v>
      </c>
      <c r="J43" s="371"/>
      <c r="K43" s="3526">
        <f>+LDCP!L23</f>
        <v>4718</v>
      </c>
      <c r="L43" s="1875">
        <f t="shared" si="3"/>
        <v>0</v>
      </c>
      <c r="M43" s="1875">
        <f>E43+G43+K43</f>
        <v>14958</v>
      </c>
      <c r="N43" s="246"/>
      <c r="O43" s="3526">
        <f>+LDCP!P23</f>
        <v>4945</v>
      </c>
      <c r="P43" s="1876">
        <f t="shared" si="4"/>
        <v>0</v>
      </c>
      <c r="Q43" s="1876">
        <f t="shared" si="28"/>
        <v>19903</v>
      </c>
      <c r="R43" s="246"/>
      <c r="S43" s="3526">
        <f>+LDCP!T23</f>
        <v>5736</v>
      </c>
      <c r="T43" s="1876">
        <f t="shared" si="118"/>
        <v>0</v>
      </c>
      <c r="U43" s="1876">
        <f t="shared" si="119"/>
        <v>25639</v>
      </c>
      <c r="V43" s="246"/>
      <c r="W43" s="3526">
        <f>+LDCP!X23</f>
        <v>7623</v>
      </c>
      <c r="X43" s="3542"/>
      <c r="Y43" s="1875">
        <f t="shared" si="8"/>
        <v>18304</v>
      </c>
      <c r="Z43" s="3990">
        <f t="shared" si="120"/>
        <v>0</v>
      </c>
      <c r="AA43" s="3990">
        <f t="shared" si="121"/>
        <v>33262</v>
      </c>
      <c r="AB43" s="246"/>
      <c r="AC43" s="3526">
        <f>+LDCP!AD23</f>
        <v>3494</v>
      </c>
      <c r="AD43" s="1876">
        <f t="shared" si="122"/>
        <v>0</v>
      </c>
      <c r="AE43" s="1876">
        <f t="shared" si="123"/>
        <v>36756</v>
      </c>
      <c r="AF43" s="246"/>
      <c r="AG43" s="3526">
        <f>+LDCP!AH23</f>
        <v>1815</v>
      </c>
      <c r="AH43" s="1876">
        <f t="shared" si="124"/>
        <v>0</v>
      </c>
      <c r="AI43" s="1876">
        <f t="shared" si="125"/>
        <v>38571</v>
      </c>
      <c r="AJ43" s="246"/>
      <c r="AK43" s="3526">
        <f>+LDCP!AL23</f>
        <v>0</v>
      </c>
      <c r="AL43" s="3542"/>
      <c r="AM43" s="1875">
        <f t="shared" si="15"/>
        <v>5309</v>
      </c>
      <c r="AN43" s="1876">
        <f t="shared" si="126"/>
        <v>0</v>
      </c>
      <c r="AO43" s="1876">
        <f t="shared" si="127"/>
        <v>38571</v>
      </c>
      <c r="AP43" s="246"/>
      <c r="AQ43" s="3526">
        <f>+LDCP!AR23</f>
        <v>3442</v>
      </c>
      <c r="AR43" s="1876">
        <f t="shared" si="128"/>
        <v>0</v>
      </c>
      <c r="AS43" s="1876">
        <f t="shared" si="129"/>
        <v>42013</v>
      </c>
      <c r="AT43" s="246"/>
      <c r="AU43" s="3526">
        <f>+LDCP!AV23</f>
        <v>5047</v>
      </c>
      <c r="AV43" s="1876">
        <f t="shared" si="130"/>
        <v>0</v>
      </c>
      <c r="AW43" s="1876">
        <f t="shared" si="131"/>
        <v>47060</v>
      </c>
      <c r="AX43" s="246"/>
      <c r="AY43" s="3526">
        <f>+LDCP!AZ23</f>
        <v>5187</v>
      </c>
      <c r="AZ43" s="3542"/>
      <c r="BA43" s="1875">
        <f t="shared" si="22"/>
        <v>13676</v>
      </c>
      <c r="BB43" s="3990">
        <f t="shared" si="132"/>
        <v>0</v>
      </c>
      <c r="BC43" s="461">
        <f t="shared" si="133"/>
        <v>18985</v>
      </c>
      <c r="BD43" s="1876">
        <f t="shared" si="134"/>
        <v>0</v>
      </c>
      <c r="BE43" s="1876">
        <f t="shared" si="135"/>
        <v>52247</v>
      </c>
      <c r="BF43" s="491"/>
    </row>
    <row r="44" spans="2:72" x14ac:dyDescent="0.3">
      <c r="C44"/>
      <c r="D44"/>
      <c r="E44"/>
      <c r="F44"/>
      <c r="G44"/>
      <c r="H44"/>
      <c r="I44"/>
      <c r="J44"/>
      <c r="K44"/>
      <c r="L44"/>
      <c r="BB44" s="417"/>
      <c r="BC44" s="417"/>
      <c r="BF44" s="491"/>
    </row>
    <row r="45" spans="2:72" ht="18" x14ac:dyDescent="0.3">
      <c r="B45" s="6140" t="s">
        <v>1502</v>
      </c>
      <c r="C45" s="1894" t="s">
        <v>1503</v>
      </c>
      <c r="D45" s="1881"/>
      <c r="E45" s="925">
        <f>+E46+E47+E48</f>
        <v>23229</v>
      </c>
      <c r="F45" s="1881"/>
      <c r="G45" s="925">
        <f>+G46+G47+G48</f>
        <v>13478</v>
      </c>
      <c r="H45" s="1876">
        <f t="shared" si="1"/>
        <v>0</v>
      </c>
      <c r="I45" s="604">
        <f t="shared" si="2"/>
        <v>36707</v>
      </c>
      <c r="J45" s="925">
        <f t="shared" ref="J45:N45" si="136">+J46+J47+J48</f>
        <v>0</v>
      </c>
      <c r="K45" s="925">
        <f>+K46+K47+K48</f>
        <v>17423</v>
      </c>
      <c r="L45" s="1875">
        <f t="shared" si="3"/>
        <v>0</v>
      </c>
      <c r="M45" s="1875">
        <f t="shared" ref="M45:M51" si="137">E45+G45+K45</f>
        <v>54130</v>
      </c>
      <c r="N45" s="925">
        <f t="shared" si="136"/>
        <v>0</v>
      </c>
      <c r="O45" s="925">
        <f>+O46+O47+O48</f>
        <v>26940</v>
      </c>
      <c r="P45" s="1876">
        <f t="shared" si="4"/>
        <v>0</v>
      </c>
      <c r="Q45" s="1959">
        <f t="shared" si="28"/>
        <v>81070</v>
      </c>
      <c r="R45" s="925">
        <f t="shared" ref="R45" si="138">+R46+R47+R48</f>
        <v>0</v>
      </c>
      <c r="S45" s="925">
        <f>+S46+S47+S48</f>
        <v>20134</v>
      </c>
      <c r="T45" s="1876">
        <f t="shared" ref="T45:T51" si="139">+P45+R45</f>
        <v>0</v>
      </c>
      <c r="U45" s="1959">
        <f t="shared" ref="U45:U51" si="140">+Q45+S45</f>
        <v>101204</v>
      </c>
      <c r="V45" s="925">
        <f t="shared" ref="V45" si="141">+V46+V47+V48</f>
        <v>0</v>
      </c>
      <c r="W45" s="925">
        <f>+W46+W47+W48</f>
        <v>25770</v>
      </c>
      <c r="X45" s="2660"/>
      <c r="Y45" s="1875">
        <f t="shared" si="8"/>
        <v>72844</v>
      </c>
      <c r="Z45" s="1876">
        <f t="shared" ref="Z45:Z51" si="142">+T45+V45</f>
        <v>0</v>
      </c>
      <c r="AA45" s="3990">
        <f t="shared" ref="AA45:AA51" si="143">+U45+W45</f>
        <v>126974</v>
      </c>
      <c r="AB45" s="925">
        <f t="shared" ref="AB45" si="144">+AB46+AB47+AB48</f>
        <v>0</v>
      </c>
      <c r="AC45" s="925">
        <f>+AC46+AC47+AC48</f>
        <v>29022</v>
      </c>
      <c r="AD45" s="1876">
        <f t="shared" ref="AD45:AD51" si="145">+Z45+AB45</f>
        <v>0</v>
      </c>
      <c r="AE45" s="1959">
        <f t="shared" ref="AE45:AE51" si="146">+AA45+AC45</f>
        <v>155996</v>
      </c>
      <c r="AF45" s="925">
        <f t="shared" ref="AF45" si="147">+AF46+AF47+AF48</f>
        <v>0</v>
      </c>
      <c r="AG45" s="925">
        <f>+AG46+AG47+AG48</f>
        <v>25512</v>
      </c>
      <c r="AH45" s="1876">
        <f t="shared" ref="AH45:AH51" si="148">+AD45+AF45</f>
        <v>0</v>
      </c>
      <c r="AI45" s="1959">
        <f t="shared" ref="AI45:AI51" si="149">+AE45+AG45</f>
        <v>181508</v>
      </c>
      <c r="AJ45" s="925">
        <f t="shared" ref="AJ45" si="150">+AJ46+AJ47+AJ48</f>
        <v>0</v>
      </c>
      <c r="AK45" s="925">
        <f>+AK46+AK47+AK48</f>
        <v>22853</v>
      </c>
      <c r="AL45" s="2660"/>
      <c r="AM45" s="1875">
        <f t="shared" ref="AM45:AM51" si="151">AC45+AG45+AK45</f>
        <v>77387</v>
      </c>
      <c r="AN45" s="1876">
        <f t="shared" ref="AN45:AN51" si="152">+AH45+AJ45</f>
        <v>0</v>
      </c>
      <c r="AO45" s="1959">
        <f t="shared" ref="AO45:AO51" si="153">+AI45+AK45</f>
        <v>204361</v>
      </c>
      <c r="AP45" s="925">
        <f t="shared" ref="AP45" si="154">+AP46+AP47+AP48</f>
        <v>0</v>
      </c>
      <c r="AQ45" s="925">
        <f>+AQ46+AQ47+AQ48</f>
        <v>24050</v>
      </c>
      <c r="AR45" s="1876">
        <f t="shared" ref="AR45:AR51" si="155">+AN45+AP45</f>
        <v>0</v>
      </c>
      <c r="AS45" s="1959">
        <f t="shared" ref="AS45:AS51" si="156">+AO45+AQ45</f>
        <v>228411</v>
      </c>
      <c r="AT45" s="925">
        <f t="shared" ref="AT45" si="157">+AT46+AT47+AT48</f>
        <v>0</v>
      </c>
      <c r="AU45" s="925">
        <f>+AU46+AU47+AU48</f>
        <v>17230</v>
      </c>
      <c r="AV45" s="1876">
        <f t="shared" ref="AV45:AV51" si="158">+AR45+AT45</f>
        <v>0</v>
      </c>
      <c r="AW45" s="1959">
        <f t="shared" ref="AW45:AW51" si="159">+AS45+AU45</f>
        <v>245641</v>
      </c>
      <c r="AX45" s="925">
        <f t="shared" ref="AX45" si="160">+AX46+AX47+AX48</f>
        <v>0</v>
      </c>
      <c r="AY45" s="925">
        <f>+AY46+AY47+AY48</f>
        <v>12584</v>
      </c>
      <c r="AZ45" s="2660"/>
      <c r="BA45" s="1875">
        <f t="shared" ref="BA45:BA51" si="161">AQ45+AU45+AY45</f>
        <v>53864</v>
      </c>
      <c r="BB45" s="3990">
        <f t="shared" ref="BB45:BB51" si="162">+AV45+AX45</f>
        <v>0</v>
      </c>
      <c r="BC45" s="461">
        <f t="shared" ref="BC45:BC51" si="163">AM45+BA45</f>
        <v>131251</v>
      </c>
      <c r="BD45" s="1876">
        <f t="shared" ref="BD45:BD51" si="164">+AV45+AX45</f>
        <v>0</v>
      </c>
      <c r="BE45" s="1959">
        <f t="shared" ref="BE45:BE51" si="165">+AW45+AY45</f>
        <v>258225</v>
      </c>
      <c r="BF45" s="491"/>
    </row>
    <row r="46" spans="2:72" ht="18" x14ac:dyDescent="0.3">
      <c r="B46" s="6141"/>
      <c r="C46" s="1886" t="s">
        <v>754</v>
      </c>
      <c r="D46" s="1554"/>
      <c r="E46" s="194">
        <f>+SINTER!F42</f>
        <v>11339</v>
      </c>
      <c r="F46" s="1554"/>
      <c r="G46" s="194">
        <f>+SINTER!H42</f>
        <v>7755</v>
      </c>
      <c r="H46" s="1876">
        <f t="shared" si="1"/>
        <v>0</v>
      </c>
      <c r="I46" s="1959">
        <f t="shared" si="2"/>
        <v>19094</v>
      </c>
      <c r="J46" s="1554"/>
      <c r="K46" s="194">
        <f>+SINTER!L42</f>
        <v>6321</v>
      </c>
      <c r="L46" s="1875">
        <f t="shared" si="3"/>
        <v>0</v>
      </c>
      <c r="M46" s="1875">
        <f t="shared" si="137"/>
        <v>25415</v>
      </c>
      <c r="N46" s="171"/>
      <c r="O46" s="194">
        <f>+SINTER!P42</f>
        <v>15515</v>
      </c>
      <c r="P46" s="1876">
        <f t="shared" si="4"/>
        <v>0</v>
      </c>
      <c r="Q46" s="1959">
        <f t="shared" si="28"/>
        <v>40930</v>
      </c>
      <c r="R46" s="171"/>
      <c r="S46" s="194">
        <f>+SINTER!T42</f>
        <v>12053</v>
      </c>
      <c r="T46" s="1876">
        <f t="shared" si="139"/>
        <v>0</v>
      </c>
      <c r="U46" s="1959">
        <f t="shared" si="140"/>
        <v>52983</v>
      </c>
      <c r="V46" s="171"/>
      <c r="W46" s="194">
        <f>+SINTER!X42</f>
        <v>14458</v>
      </c>
      <c r="X46" s="2482"/>
      <c r="Y46" s="1875">
        <f t="shared" si="8"/>
        <v>42026</v>
      </c>
      <c r="Z46" s="1876">
        <f t="shared" si="142"/>
        <v>0</v>
      </c>
      <c r="AA46" s="3990">
        <f t="shared" si="143"/>
        <v>67441</v>
      </c>
      <c r="AB46" s="171"/>
      <c r="AC46" s="194">
        <f>+SINTER!AD42</f>
        <v>17691</v>
      </c>
      <c r="AD46" s="1876">
        <f t="shared" si="145"/>
        <v>0</v>
      </c>
      <c r="AE46" s="1959">
        <f t="shared" si="146"/>
        <v>85132</v>
      </c>
      <c r="AF46" s="171"/>
      <c r="AG46" s="194">
        <f>+SINTER!AH42</f>
        <v>10278</v>
      </c>
      <c r="AH46" s="1876">
        <f t="shared" si="148"/>
        <v>0</v>
      </c>
      <c r="AI46" s="1959">
        <f t="shared" si="149"/>
        <v>95410</v>
      </c>
      <c r="AJ46" s="171"/>
      <c r="AK46" s="194">
        <f>+SINTER!AL42</f>
        <v>7828</v>
      </c>
      <c r="AL46" s="2482"/>
      <c r="AM46" s="1875">
        <f t="shared" si="151"/>
        <v>35797</v>
      </c>
      <c r="AN46" s="1876">
        <f t="shared" si="152"/>
        <v>0</v>
      </c>
      <c r="AO46" s="1959">
        <f t="shared" si="153"/>
        <v>103238</v>
      </c>
      <c r="AP46" s="171"/>
      <c r="AQ46" s="194">
        <f>+SINTER!AR42</f>
        <v>10781</v>
      </c>
      <c r="AR46" s="1876">
        <f t="shared" si="155"/>
        <v>0</v>
      </c>
      <c r="AS46" s="1959">
        <f t="shared" si="156"/>
        <v>114019</v>
      </c>
      <c r="AT46" s="171"/>
      <c r="AU46" s="194">
        <f>+SINTER!AV42</f>
        <v>6934</v>
      </c>
      <c r="AV46" s="1876">
        <f t="shared" si="158"/>
        <v>0</v>
      </c>
      <c r="AW46" s="1959">
        <f t="shared" si="159"/>
        <v>120953</v>
      </c>
      <c r="AX46" s="171"/>
      <c r="AY46" s="194">
        <f>+SINTER!AZ42</f>
        <v>2773</v>
      </c>
      <c r="AZ46" s="2482"/>
      <c r="BA46" s="1875">
        <f t="shared" si="161"/>
        <v>20488</v>
      </c>
      <c r="BB46" s="3990">
        <f t="shared" si="162"/>
        <v>0</v>
      </c>
      <c r="BC46" s="461">
        <f t="shared" si="163"/>
        <v>56285</v>
      </c>
      <c r="BD46" s="1876">
        <f t="shared" si="164"/>
        <v>0</v>
      </c>
      <c r="BE46" s="1959">
        <f t="shared" si="165"/>
        <v>123726</v>
      </c>
      <c r="BF46" s="491"/>
    </row>
    <row r="47" spans="2:72" ht="18" x14ac:dyDescent="0.3">
      <c r="B47" s="6141"/>
      <c r="C47" s="1886" t="s">
        <v>753</v>
      </c>
      <c r="D47" s="1554"/>
      <c r="E47" s="194">
        <f>+SINTER!F43</f>
        <v>1763</v>
      </c>
      <c r="F47" s="1554"/>
      <c r="G47" s="194">
        <f>+SINTER!H43</f>
        <v>1309</v>
      </c>
      <c r="H47" s="1876">
        <f t="shared" si="1"/>
        <v>0</v>
      </c>
      <c r="I47" s="1959">
        <f t="shared" si="2"/>
        <v>3072</v>
      </c>
      <c r="J47" s="1554"/>
      <c r="K47" s="194">
        <f>+SINTER!L43</f>
        <v>1148</v>
      </c>
      <c r="L47" s="1875">
        <f t="shared" si="3"/>
        <v>0</v>
      </c>
      <c r="M47" s="1875">
        <f t="shared" si="137"/>
        <v>4220</v>
      </c>
      <c r="N47" s="171"/>
      <c r="O47" s="194">
        <f>+SINTER!P43</f>
        <v>872</v>
      </c>
      <c r="P47" s="1876">
        <f t="shared" si="4"/>
        <v>0</v>
      </c>
      <c r="Q47" s="1959">
        <f t="shared" si="28"/>
        <v>5092</v>
      </c>
      <c r="R47" s="171"/>
      <c r="S47" s="194">
        <f>+SINTER!T43</f>
        <v>302</v>
      </c>
      <c r="T47" s="1876">
        <f t="shared" si="139"/>
        <v>0</v>
      </c>
      <c r="U47" s="1959">
        <f t="shared" si="140"/>
        <v>5394</v>
      </c>
      <c r="V47" s="171"/>
      <c r="W47" s="194">
        <f>+SINTER!X43</f>
        <v>928</v>
      </c>
      <c r="X47" s="2482"/>
      <c r="Y47" s="1875">
        <f t="shared" si="8"/>
        <v>2102</v>
      </c>
      <c r="Z47" s="1876">
        <f t="shared" si="142"/>
        <v>0</v>
      </c>
      <c r="AA47" s="3990">
        <f t="shared" si="143"/>
        <v>6322</v>
      </c>
      <c r="AB47" s="171"/>
      <c r="AC47" s="194">
        <f>+SINTER!AD43</f>
        <v>2770</v>
      </c>
      <c r="AD47" s="1876">
        <f t="shared" si="145"/>
        <v>0</v>
      </c>
      <c r="AE47" s="1959">
        <f t="shared" si="146"/>
        <v>9092</v>
      </c>
      <c r="AF47" s="171"/>
      <c r="AG47" s="194">
        <f>+SINTER!AH43</f>
        <v>5274</v>
      </c>
      <c r="AH47" s="1876">
        <f t="shared" si="148"/>
        <v>0</v>
      </c>
      <c r="AI47" s="1959">
        <f t="shared" si="149"/>
        <v>14366</v>
      </c>
      <c r="AJ47" s="171"/>
      <c r="AK47" s="194">
        <f>+SINTER!AL43</f>
        <v>6649</v>
      </c>
      <c r="AL47" s="2482"/>
      <c r="AM47" s="1875">
        <f t="shared" si="151"/>
        <v>14693</v>
      </c>
      <c r="AN47" s="1876">
        <f t="shared" si="152"/>
        <v>0</v>
      </c>
      <c r="AO47" s="1959">
        <f t="shared" si="153"/>
        <v>21015</v>
      </c>
      <c r="AP47" s="171"/>
      <c r="AQ47" s="194">
        <f>+SINTER!AR43</f>
        <v>4936</v>
      </c>
      <c r="AR47" s="1876">
        <f t="shared" si="155"/>
        <v>0</v>
      </c>
      <c r="AS47" s="1959">
        <f t="shared" si="156"/>
        <v>25951</v>
      </c>
      <c r="AT47" s="171"/>
      <c r="AU47" s="194">
        <f>+SINTER!AV43</f>
        <v>3545</v>
      </c>
      <c r="AV47" s="1876">
        <f t="shared" si="158"/>
        <v>0</v>
      </c>
      <c r="AW47" s="1959">
        <f t="shared" si="159"/>
        <v>29496</v>
      </c>
      <c r="AX47" s="171"/>
      <c r="AY47" s="194">
        <f>+SINTER!AZ43</f>
        <v>2632</v>
      </c>
      <c r="AZ47" s="2482"/>
      <c r="BA47" s="1875">
        <f t="shared" si="161"/>
        <v>11113</v>
      </c>
      <c r="BB47" s="3990">
        <f t="shared" si="162"/>
        <v>0</v>
      </c>
      <c r="BC47" s="461">
        <f t="shared" si="163"/>
        <v>25806</v>
      </c>
      <c r="BD47" s="1876">
        <f t="shared" si="164"/>
        <v>0</v>
      </c>
      <c r="BE47" s="1959">
        <f t="shared" si="165"/>
        <v>32128</v>
      </c>
      <c r="BF47" s="491"/>
    </row>
    <row r="48" spans="2:72" ht="18" x14ac:dyDescent="0.3">
      <c r="B48" s="6142"/>
      <c r="C48" s="1886" t="s">
        <v>948</v>
      </c>
      <c r="D48" s="1554"/>
      <c r="E48" s="194">
        <f>+SINTER!F45</f>
        <v>10127</v>
      </c>
      <c r="F48" s="1554"/>
      <c r="G48" s="194">
        <f>+SINTER!H45</f>
        <v>4414</v>
      </c>
      <c r="H48" s="1876">
        <f t="shared" si="1"/>
        <v>0</v>
      </c>
      <c r="I48" s="1959">
        <f t="shared" si="2"/>
        <v>14541</v>
      </c>
      <c r="J48" s="1554"/>
      <c r="K48" s="194">
        <f>+SINTER!L45</f>
        <v>9954</v>
      </c>
      <c r="L48" s="1875">
        <f t="shared" si="3"/>
        <v>0</v>
      </c>
      <c r="M48" s="1875">
        <f t="shared" si="137"/>
        <v>24495</v>
      </c>
      <c r="N48" s="171"/>
      <c r="O48" s="194">
        <f>+SINTER!P45</f>
        <v>10553</v>
      </c>
      <c r="P48" s="1876">
        <f t="shared" si="4"/>
        <v>0</v>
      </c>
      <c r="Q48" s="1959">
        <f t="shared" si="28"/>
        <v>35048</v>
      </c>
      <c r="R48" s="171"/>
      <c r="S48" s="194">
        <f>+SINTER!T45</f>
        <v>7779</v>
      </c>
      <c r="T48" s="1876">
        <f t="shared" si="139"/>
        <v>0</v>
      </c>
      <c r="U48" s="1959">
        <f t="shared" si="140"/>
        <v>42827</v>
      </c>
      <c r="V48" s="171"/>
      <c r="W48" s="194">
        <f>+SINTER!X45</f>
        <v>10384</v>
      </c>
      <c r="X48" s="2482"/>
      <c r="Y48" s="1875">
        <f t="shared" si="8"/>
        <v>28716</v>
      </c>
      <c r="Z48" s="1876">
        <f t="shared" si="142"/>
        <v>0</v>
      </c>
      <c r="AA48" s="3990">
        <f t="shared" si="143"/>
        <v>53211</v>
      </c>
      <c r="AB48" s="171"/>
      <c r="AC48" s="194">
        <f>+SINTER!AD45</f>
        <v>8561</v>
      </c>
      <c r="AD48" s="1876">
        <f t="shared" si="145"/>
        <v>0</v>
      </c>
      <c r="AE48" s="1959">
        <f t="shared" si="146"/>
        <v>61772</v>
      </c>
      <c r="AF48" s="171"/>
      <c r="AG48" s="194">
        <f>+SINTER!AH45</f>
        <v>9960</v>
      </c>
      <c r="AH48" s="1876">
        <f t="shared" si="148"/>
        <v>0</v>
      </c>
      <c r="AI48" s="1959">
        <f t="shared" si="149"/>
        <v>71732</v>
      </c>
      <c r="AJ48" s="171"/>
      <c r="AK48" s="194">
        <f>+SINTER!AL45</f>
        <v>8376</v>
      </c>
      <c r="AL48" s="2482"/>
      <c r="AM48" s="1875">
        <f t="shared" si="151"/>
        <v>26897</v>
      </c>
      <c r="AN48" s="1876">
        <f t="shared" si="152"/>
        <v>0</v>
      </c>
      <c r="AO48" s="1959">
        <f t="shared" si="153"/>
        <v>80108</v>
      </c>
      <c r="AP48" s="171"/>
      <c r="AQ48" s="194">
        <f>+SINTER!AR45</f>
        <v>8333</v>
      </c>
      <c r="AR48" s="1876">
        <f t="shared" si="155"/>
        <v>0</v>
      </c>
      <c r="AS48" s="1959">
        <f t="shared" si="156"/>
        <v>88441</v>
      </c>
      <c r="AT48" s="171"/>
      <c r="AU48" s="194">
        <f>+SINTER!AV45</f>
        <v>6751</v>
      </c>
      <c r="AV48" s="1876">
        <f t="shared" si="158"/>
        <v>0</v>
      </c>
      <c r="AW48" s="1959">
        <f t="shared" si="159"/>
        <v>95192</v>
      </c>
      <c r="AX48" s="171"/>
      <c r="AY48" s="194">
        <f>+SINTER!AZ45</f>
        <v>7179</v>
      </c>
      <c r="AZ48" s="2482"/>
      <c r="BA48" s="1875">
        <f t="shared" si="161"/>
        <v>22263</v>
      </c>
      <c r="BB48" s="3990">
        <f t="shared" si="162"/>
        <v>0</v>
      </c>
      <c r="BC48" s="461">
        <f t="shared" si="163"/>
        <v>49160</v>
      </c>
      <c r="BD48" s="1876">
        <f t="shared" si="164"/>
        <v>0</v>
      </c>
      <c r="BE48" s="1959">
        <f t="shared" si="165"/>
        <v>102371</v>
      </c>
      <c r="BF48" s="491"/>
    </row>
    <row r="49" spans="2:66" ht="18" x14ac:dyDescent="0.3">
      <c r="B49" s="6140" t="s">
        <v>941</v>
      </c>
      <c r="C49" s="1888" t="s">
        <v>1504</v>
      </c>
      <c r="D49" s="1883"/>
      <c r="E49" s="577">
        <f>+SINTER!F21</f>
        <v>424907</v>
      </c>
      <c r="F49" s="1883"/>
      <c r="G49" s="577">
        <f>+SINTER!H21</f>
        <v>182564</v>
      </c>
      <c r="H49" s="1876">
        <f t="shared" si="1"/>
        <v>0</v>
      </c>
      <c r="I49" s="604">
        <f t="shared" si="2"/>
        <v>607471</v>
      </c>
      <c r="J49" s="1883"/>
      <c r="K49" s="577">
        <f>+SINTER!L21</f>
        <v>441570</v>
      </c>
      <c r="L49" s="1875">
        <f t="shared" si="3"/>
        <v>0</v>
      </c>
      <c r="M49" s="2344">
        <f t="shared" si="137"/>
        <v>1049041</v>
      </c>
      <c r="N49" s="171"/>
      <c r="O49" s="577">
        <f>+SINTER!P21</f>
        <v>470314</v>
      </c>
      <c r="P49" s="1876">
        <f t="shared" si="4"/>
        <v>0</v>
      </c>
      <c r="Q49" s="1959">
        <f t="shared" si="28"/>
        <v>1519355</v>
      </c>
      <c r="R49" s="171"/>
      <c r="S49" s="577">
        <f>+SINTER!T21</f>
        <v>459502</v>
      </c>
      <c r="T49" s="1876">
        <f t="shared" si="139"/>
        <v>0</v>
      </c>
      <c r="U49" s="1959">
        <f t="shared" si="140"/>
        <v>1978857</v>
      </c>
      <c r="V49" s="171"/>
      <c r="W49" s="577">
        <f>+SINTER!X21</f>
        <v>440393</v>
      </c>
      <c r="X49" s="2358"/>
      <c r="Y49" s="1875">
        <f t="shared" si="8"/>
        <v>1370209</v>
      </c>
      <c r="Z49" s="1876">
        <f t="shared" si="142"/>
        <v>0</v>
      </c>
      <c r="AA49" s="3990">
        <f t="shared" si="143"/>
        <v>2419250</v>
      </c>
      <c r="AB49" s="171"/>
      <c r="AC49" s="577">
        <f>+SINTER!AD21</f>
        <v>360664</v>
      </c>
      <c r="AD49" s="1876">
        <f t="shared" si="145"/>
        <v>0</v>
      </c>
      <c r="AE49" s="1959">
        <f t="shared" si="146"/>
        <v>2779914</v>
      </c>
      <c r="AF49" s="171"/>
      <c r="AG49" s="577">
        <f>+SINTER!AH21</f>
        <v>437318</v>
      </c>
      <c r="AH49" s="1876">
        <f t="shared" si="148"/>
        <v>0</v>
      </c>
      <c r="AI49" s="1959">
        <f t="shared" si="149"/>
        <v>3217232</v>
      </c>
      <c r="AJ49" s="171"/>
      <c r="AK49" s="577">
        <f>+SINTER!AL21</f>
        <v>435350</v>
      </c>
      <c r="AL49" s="2358"/>
      <c r="AM49" s="2344">
        <f t="shared" si="151"/>
        <v>1233332</v>
      </c>
      <c r="AN49" s="1876">
        <f t="shared" si="152"/>
        <v>0</v>
      </c>
      <c r="AO49" s="1959">
        <f t="shared" si="153"/>
        <v>3652582</v>
      </c>
      <c r="AP49" s="171"/>
      <c r="AQ49" s="577">
        <f>+SINTER!AR21</f>
        <v>443510</v>
      </c>
      <c r="AR49" s="1876">
        <f t="shared" si="155"/>
        <v>0</v>
      </c>
      <c r="AS49" s="1959">
        <f t="shared" si="156"/>
        <v>4096092</v>
      </c>
      <c r="AT49" s="171"/>
      <c r="AU49" s="577">
        <f>+SINTER!AV21</f>
        <v>381651.88</v>
      </c>
      <c r="AV49" s="1876">
        <f t="shared" si="158"/>
        <v>0</v>
      </c>
      <c r="AW49" s="1959">
        <f t="shared" si="159"/>
        <v>4477743.88</v>
      </c>
      <c r="AX49" s="171"/>
      <c r="AY49" s="577">
        <f>+SINTER!AZ21</f>
        <v>473785</v>
      </c>
      <c r="AZ49" s="2358"/>
      <c r="BA49" s="1875">
        <f t="shared" si="161"/>
        <v>1298946.8799999999</v>
      </c>
      <c r="BB49" s="3990">
        <f t="shared" si="162"/>
        <v>0</v>
      </c>
      <c r="BC49" s="461">
        <f t="shared" si="163"/>
        <v>2532278.88</v>
      </c>
      <c r="BD49" s="1876">
        <f t="shared" si="164"/>
        <v>0</v>
      </c>
      <c r="BE49" s="1959">
        <f t="shared" si="165"/>
        <v>4951528.88</v>
      </c>
      <c r="BF49" s="491"/>
    </row>
    <row r="50" spans="2:66" ht="18" x14ac:dyDescent="0.3">
      <c r="B50" s="6141"/>
      <c r="C50" s="1888" t="s">
        <v>1505</v>
      </c>
      <c r="D50" s="1883"/>
      <c r="E50" s="242">
        <f t="shared" ref="E50:N50" si="166">SUM(E46:E48)</f>
        <v>23229</v>
      </c>
      <c r="F50" s="242">
        <f t="shared" si="166"/>
        <v>0</v>
      </c>
      <c r="G50" s="242">
        <f t="shared" ref="G50" si="167">SUM(G46:G48)</f>
        <v>13478</v>
      </c>
      <c r="H50" s="1876">
        <f t="shared" si="1"/>
        <v>0</v>
      </c>
      <c r="I50" s="604">
        <f t="shared" si="2"/>
        <v>36707</v>
      </c>
      <c r="J50" s="242">
        <f t="shared" si="166"/>
        <v>0</v>
      </c>
      <c r="K50" s="242">
        <f t="shared" si="166"/>
        <v>17423</v>
      </c>
      <c r="L50" s="1875">
        <f t="shared" si="3"/>
        <v>0</v>
      </c>
      <c r="M50" s="2344">
        <f t="shared" si="137"/>
        <v>54130</v>
      </c>
      <c r="N50" s="242">
        <f t="shared" si="166"/>
        <v>0</v>
      </c>
      <c r="O50" s="242">
        <f t="shared" ref="O50" si="168">SUM(O46:O48)</f>
        <v>26940</v>
      </c>
      <c r="P50" s="1876">
        <f t="shared" si="4"/>
        <v>0</v>
      </c>
      <c r="Q50" s="1959">
        <f t="shared" si="28"/>
        <v>81070</v>
      </c>
      <c r="R50" s="242">
        <f t="shared" ref="R50:S50" si="169">SUM(R46:R48)</f>
        <v>0</v>
      </c>
      <c r="S50" s="242">
        <f t="shared" si="169"/>
        <v>20134</v>
      </c>
      <c r="T50" s="1876">
        <f t="shared" si="139"/>
        <v>0</v>
      </c>
      <c r="U50" s="1959">
        <f t="shared" si="140"/>
        <v>101204</v>
      </c>
      <c r="V50" s="242">
        <f t="shared" ref="V50:W50" si="170">SUM(V46:V48)</f>
        <v>0</v>
      </c>
      <c r="W50" s="242">
        <f t="shared" si="170"/>
        <v>25770</v>
      </c>
      <c r="X50" s="2946"/>
      <c r="Y50" s="1875">
        <f t="shared" si="8"/>
        <v>72844</v>
      </c>
      <c r="Z50" s="1876">
        <f t="shared" si="142"/>
        <v>0</v>
      </c>
      <c r="AA50" s="3990">
        <f t="shared" si="143"/>
        <v>126974</v>
      </c>
      <c r="AB50" s="242">
        <f t="shared" ref="AB50:AC50" si="171">SUM(AB46:AB48)</f>
        <v>0</v>
      </c>
      <c r="AC50" s="242">
        <f t="shared" si="171"/>
        <v>29022</v>
      </c>
      <c r="AD50" s="1876">
        <f t="shared" si="145"/>
        <v>0</v>
      </c>
      <c r="AE50" s="1959">
        <f t="shared" si="146"/>
        <v>155996</v>
      </c>
      <c r="AF50" s="242">
        <f t="shared" ref="AF50:AG50" si="172">SUM(AF46:AF48)</f>
        <v>0</v>
      </c>
      <c r="AG50" s="242">
        <f t="shared" si="172"/>
        <v>25512</v>
      </c>
      <c r="AH50" s="1876">
        <f t="shared" si="148"/>
        <v>0</v>
      </c>
      <c r="AI50" s="1959">
        <f t="shared" si="149"/>
        <v>181508</v>
      </c>
      <c r="AJ50" s="242">
        <f t="shared" ref="AJ50:AK50" si="173">SUM(AJ46:AJ48)</f>
        <v>0</v>
      </c>
      <c r="AK50" s="242">
        <f t="shared" si="173"/>
        <v>22853</v>
      </c>
      <c r="AL50" s="2946"/>
      <c r="AM50" s="2344">
        <f t="shared" si="151"/>
        <v>77387</v>
      </c>
      <c r="AN50" s="1876">
        <f t="shared" si="152"/>
        <v>0</v>
      </c>
      <c r="AO50" s="1959">
        <f t="shared" si="153"/>
        <v>204361</v>
      </c>
      <c r="AP50" s="242">
        <f t="shared" ref="AP50:AQ50" si="174">SUM(AP46:AP48)</f>
        <v>0</v>
      </c>
      <c r="AQ50" s="242">
        <f t="shared" si="174"/>
        <v>24050</v>
      </c>
      <c r="AR50" s="1876">
        <f t="shared" si="155"/>
        <v>0</v>
      </c>
      <c r="AS50" s="1959">
        <f t="shared" si="156"/>
        <v>228411</v>
      </c>
      <c r="AT50" s="242">
        <f t="shared" ref="AT50:AU50" si="175">SUM(AT46:AT48)</f>
        <v>0</v>
      </c>
      <c r="AU50" s="242">
        <f t="shared" si="175"/>
        <v>17230</v>
      </c>
      <c r="AV50" s="1876">
        <f t="shared" si="158"/>
        <v>0</v>
      </c>
      <c r="AW50" s="1959">
        <f t="shared" si="159"/>
        <v>245641</v>
      </c>
      <c r="AX50" s="242">
        <f t="shared" ref="AX50:AY50" si="176">SUM(AX46:AX48)</f>
        <v>0</v>
      </c>
      <c r="AY50" s="242">
        <f t="shared" si="176"/>
        <v>12584</v>
      </c>
      <c r="AZ50" s="2946"/>
      <c r="BA50" s="1875">
        <f t="shared" si="161"/>
        <v>53864</v>
      </c>
      <c r="BB50" s="3990">
        <f t="shared" si="162"/>
        <v>0</v>
      </c>
      <c r="BC50" s="461">
        <f t="shared" si="163"/>
        <v>131251</v>
      </c>
      <c r="BD50" s="1876">
        <f t="shared" si="164"/>
        <v>0</v>
      </c>
      <c r="BE50" s="1959">
        <f t="shared" si="165"/>
        <v>258225</v>
      </c>
      <c r="BF50" s="491"/>
    </row>
    <row r="51" spans="2:66" ht="18" x14ac:dyDescent="0.3">
      <c r="B51" s="6142"/>
      <c r="C51" s="1888" t="s">
        <v>1506</v>
      </c>
      <c r="D51" s="1883"/>
      <c r="E51" s="242">
        <f t="shared" ref="E51:N51" si="177">SUM(E49:E50)</f>
        <v>448136</v>
      </c>
      <c r="F51" s="242">
        <f t="shared" si="177"/>
        <v>0</v>
      </c>
      <c r="G51" s="242">
        <f t="shared" ref="G51" si="178">SUM(G49:G50)</f>
        <v>196042</v>
      </c>
      <c r="H51" s="1876">
        <f t="shared" si="1"/>
        <v>0</v>
      </c>
      <c r="I51" s="604">
        <f t="shared" si="2"/>
        <v>644178</v>
      </c>
      <c r="J51" s="242">
        <f t="shared" si="177"/>
        <v>0</v>
      </c>
      <c r="K51" s="577">
        <f t="shared" si="177"/>
        <v>458993</v>
      </c>
      <c r="L51" s="1875">
        <f t="shared" si="3"/>
        <v>0</v>
      </c>
      <c r="M51" s="2344">
        <f t="shared" si="137"/>
        <v>1103171</v>
      </c>
      <c r="N51" s="242">
        <f t="shared" si="177"/>
        <v>0</v>
      </c>
      <c r="O51" s="577">
        <f t="shared" ref="O51" si="179">SUM(O49:O50)</f>
        <v>497254</v>
      </c>
      <c r="P51" s="1876">
        <f t="shared" si="4"/>
        <v>0</v>
      </c>
      <c r="Q51" s="1959">
        <f t="shared" si="28"/>
        <v>1600425</v>
      </c>
      <c r="R51" s="242">
        <f t="shared" ref="R51:S51" si="180">SUM(R49:R50)</f>
        <v>0</v>
      </c>
      <c r="S51" s="577">
        <f t="shared" si="180"/>
        <v>479636</v>
      </c>
      <c r="T51" s="1876">
        <f t="shared" si="139"/>
        <v>0</v>
      </c>
      <c r="U51" s="1959">
        <f t="shared" si="140"/>
        <v>2080061</v>
      </c>
      <c r="V51" s="242">
        <f t="shared" ref="V51:W51" si="181">SUM(V49:V50)</f>
        <v>0</v>
      </c>
      <c r="W51" s="577">
        <f t="shared" si="181"/>
        <v>466163</v>
      </c>
      <c r="X51" s="2358"/>
      <c r="Y51" s="1875">
        <f t="shared" si="8"/>
        <v>1443053</v>
      </c>
      <c r="Z51" s="1876">
        <f t="shared" si="142"/>
        <v>0</v>
      </c>
      <c r="AA51" s="3990">
        <f t="shared" si="143"/>
        <v>2546224</v>
      </c>
      <c r="AB51" s="242">
        <f t="shared" ref="AB51:AC51" si="182">SUM(AB49:AB50)</f>
        <v>0</v>
      </c>
      <c r="AC51" s="577">
        <f t="shared" si="182"/>
        <v>389686</v>
      </c>
      <c r="AD51" s="1876">
        <f t="shared" si="145"/>
        <v>0</v>
      </c>
      <c r="AE51" s="1959">
        <f t="shared" si="146"/>
        <v>2935910</v>
      </c>
      <c r="AF51" s="242">
        <f t="shared" ref="AF51:AG51" si="183">SUM(AF49:AF50)</f>
        <v>0</v>
      </c>
      <c r="AG51" s="577">
        <f t="shared" si="183"/>
        <v>462830</v>
      </c>
      <c r="AH51" s="1876">
        <f t="shared" si="148"/>
        <v>0</v>
      </c>
      <c r="AI51" s="1959">
        <f t="shared" si="149"/>
        <v>3398740</v>
      </c>
      <c r="AJ51" s="242">
        <f t="shared" ref="AJ51:AK51" si="184">SUM(AJ49:AJ50)</f>
        <v>0</v>
      </c>
      <c r="AK51" s="577">
        <f t="shared" si="184"/>
        <v>458203</v>
      </c>
      <c r="AL51" s="2358"/>
      <c r="AM51" s="2344">
        <f t="shared" si="151"/>
        <v>1310719</v>
      </c>
      <c r="AN51" s="1876">
        <f t="shared" si="152"/>
        <v>0</v>
      </c>
      <c r="AO51" s="1959">
        <f t="shared" si="153"/>
        <v>3856943</v>
      </c>
      <c r="AP51" s="242">
        <f t="shared" ref="AP51:AQ51" si="185">SUM(AP49:AP50)</f>
        <v>0</v>
      </c>
      <c r="AQ51" s="577">
        <f t="shared" si="185"/>
        <v>467560</v>
      </c>
      <c r="AR51" s="1876">
        <f t="shared" si="155"/>
        <v>0</v>
      </c>
      <c r="AS51" s="1959">
        <f t="shared" si="156"/>
        <v>4324503</v>
      </c>
      <c r="AT51" s="242">
        <f t="shared" ref="AT51:AU51" si="186">SUM(AT49:AT50)</f>
        <v>0</v>
      </c>
      <c r="AU51" s="577">
        <f t="shared" si="186"/>
        <v>398881.88</v>
      </c>
      <c r="AV51" s="1876">
        <f t="shared" si="158"/>
        <v>0</v>
      </c>
      <c r="AW51" s="1959">
        <f t="shared" si="159"/>
        <v>4723384.88</v>
      </c>
      <c r="AX51" s="242">
        <f t="shared" ref="AX51:AY51" si="187">SUM(AX49:AX50)</f>
        <v>0</v>
      </c>
      <c r="AY51" s="577">
        <f t="shared" si="187"/>
        <v>486369</v>
      </c>
      <c r="AZ51" s="2358"/>
      <c r="BA51" s="1875">
        <f t="shared" si="161"/>
        <v>1352810.88</v>
      </c>
      <c r="BB51" s="3990">
        <f t="shared" si="162"/>
        <v>0</v>
      </c>
      <c r="BC51" s="461">
        <f t="shared" si="163"/>
        <v>2663529.88</v>
      </c>
      <c r="BD51" s="1876">
        <f t="shared" si="164"/>
        <v>0</v>
      </c>
      <c r="BE51" s="1959">
        <f t="shared" si="165"/>
        <v>5209753.88</v>
      </c>
      <c r="BF51" s="491"/>
    </row>
    <row r="52" spans="2:66" ht="18" x14ac:dyDescent="0.35">
      <c r="B52" s="1901"/>
      <c r="C52" s="1893"/>
      <c r="D52" s="1885"/>
      <c r="E52" s="2368"/>
      <c r="F52" s="2368"/>
      <c r="G52" s="2368"/>
      <c r="H52" s="2368"/>
      <c r="I52" s="2368"/>
      <c r="J52" s="2368"/>
      <c r="K52" s="2368"/>
      <c r="L52" s="2368"/>
      <c r="M52" s="2368"/>
      <c r="N52" s="2368"/>
      <c r="O52" s="2368"/>
      <c r="P52" s="2368"/>
      <c r="Q52" s="2368"/>
      <c r="R52" s="2368"/>
      <c r="S52" s="2368"/>
      <c r="T52" s="2368"/>
      <c r="U52" s="2368"/>
      <c r="V52" s="2368"/>
      <c r="W52" s="2368"/>
      <c r="X52" s="3543"/>
      <c r="Y52" s="1875"/>
      <c r="Z52" s="2368"/>
      <c r="AA52" s="2368"/>
      <c r="AB52" s="2368"/>
      <c r="AC52" s="2368"/>
      <c r="AD52" s="2368"/>
      <c r="AE52" s="2368"/>
      <c r="AF52" s="2368"/>
      <c r="AG52" s="2368"/>
      <c r="AH52" s="2368"/>
      <c r="AI52" s="2368"/>
      <c r="AJ52" s="2368"/>
      <c r="AK52" s="2368"/>
      <c r="AL52" s="3543"/>
      <c r="AM52" s="1875"/>
      <c r="AN52" s="2368"/>
      <c r="AO52" s="2368"/>
      <c r="AP52" s="2368"/>
      <c r="AQ52" s="2368"/>
      <c r="AR52" s="2368"/>
      <c r="AS52" s="2368"/>
      <c r="AT52" s="2368"/>
      <c r="AU52" s="2368"/>
      <c r="AV52" s="2368"/>
      <c r="AW52" s="2368"/>
      <c r="AX52" s="2368"/>
      <c r="AY52" s="2368"/>
      <c r="AZ52" s="3543"/>
      <c r="BA52" s="1875"/>
      <c r="BB52" s="4019"/>
      <c r="BC52" s="4019"/>
      <c r="BD52" s="2368"/>
      <c r="BE52" s="2368"/>
      <c r="BF52" s="491"/>
    </row>
    <row r="53" spans="2:66" ht="18" x14ac:dyDescent="0.3">
      <c r="B53" s="6131" t="s">
        <v>1507</v>
      </c>
      <c r="C53" s="1890" t="s">
        <v>1381</v>
      </c>
      <c r="D53" s="1884"/>
      <c r="E53" s="2369"/>
      <c r="F53" s="2369"/>
      <c r="G53" s="2369"/>
      <c r="H53" s="2369"/>
      <c r="I53" s="2369"/>
      <c r="J53" s="2369"/>
      <c r="K53" s="2369"/>
      <c r="L53" s="2369"/>
      <c r="M53" s="2369"/>
      <c r="N53" s="2369"/>
      <c r="O53" s="2369"/>
      <c r="P53" s="2369">
        <f t="shared" ref="P53" si="188">+P50-P52</f>
        <v>0</v>
      </c>
      <c r="Q53" s="2369"/>
      <c r="R53" s="2369"/>
      <c r="S53" s="2369"/>
      <c r="T53" s="2369">
        <f t="shared" ref="T53" si="189">+T50-T52</f>
        <v>0</v>
      </c>
      <c r="U53" s="2369"/>
      <c r="V53" s="2369"/>
      <c r="W53" s="2369"/>
      <c r="X53" s="3539"/>
      <c r="Y53" s="1875"/>
      <c r="Z53" s="2369"/>
      <c r="AA53" s="2369"/>
      <c r="AB53" s="2369"/>
      <c r="AC53" s="2369"/>
      <c r="AD53" s="2369">
        <f t="shared" ref="AD53" si="190">+AD50-AD52</f>
        <v>0</v>
      </c>
      <c r="AE53" s="2369"/>
      <c r="AF53" s="2369"/>
      <c r="AG53" s="2369"/>
      <c r="AH53" s="2369">
        <f t="shared" ref="AH53" si="191">+AH50-AH52</f>
        <v>0</v>
      </c>
      <c r="AI53" s="2369"/>
      <c r="AJ53" s="2369"/>
      <c r="AK53" s="2369"/>
      <c r="AL53" s="3539"/>
      <c r="AM53" s="1875"/>
      <c r="AN53" s="2369">
        <f t="shared" ref="AN53" si="192">+AN50-AN52</f>
        <v>0</v>
      </c>
      <c r="AO53" s="2369"/>
      <c r="AP53" s="2369"/>
      <c r="AQ53" s="2369"/>
      <c r="AR53" s="2369"/>
      <c r="AS53" s="2369"/>
      <c r="AT53" s="2369"/>
      <c r="AU53" s="2369"/>
      <c r="AV53" s="2369"/>
      <c r="AW53" s="2369"/>
      <c r="AX53" s="2369"/>
      <c r="AY53" s="2369"/>
      <c r="AZ53" s="3539"/>
      <c r="BA53" s="1875"/>
      <c r="BB53" s="4020"/>
      <c r="BC53" s="4020"/>
      <c r="BD53" s="2369"/>
      <c r="BE53" s="2369"/>
      <c r="BF53" s="491"/>
    </row>
    <row r="54" spans="2:66" ht="18" x14ac:dyDescent="0.3">
      <c r="B54" s="6131"/>
      <c r="C54" s="1886" t="s">
        <v>1508</v>
      </c>
      <c r="D54" s="1554"/>
      <c r="E54" s="1874">
        <v>68001</v>
      </c>
      <c r="F54" s="1554"/>
      <c r="G54" s="1874">
        <v>30331</v>
      </c>
      <c r="H54" s="1876">
        <f t="shared" si="1"/>
        <v>0</v>
      </c>
      <c r="I54" s="1959">
        <f t="shared" si="2"/>
        <v>98332</v>
      </c>
      <c r="J54" s="1554"/>
      <c r="K54" s="1874">
        <v>75651</v>
      </c>
      <c r="L54" s="1875">
        <f t="shared" si="3"/>
        <v>0</v>
      </c>
      <c r="M54" s="1875">
        <f t="shared" ref="M54:M62" si="193">E54+G54+K54</f>
        <v>173983</v>
      </c>
      <c r="N54" s="171"/>
      <c r="O54" s="1874">
        <v>80235</v>
      </c>
      <c r="P54" s="1876">
        <f t="shared" si="4"/>
        <v>0</v>
      </c>
      <c r="Q54" s="1876">
        <f t="shared" si="28"/>
        <v>254218</v>
      </c>
      <c r="R54" s="171"/>
      <c r="S54" s="1874">
        <v>57375</v>
      </c>
      <c r="T54" s="1876">
        <f t="shared" ref="T54:T61" si="194">+P54+R54</f>
        <v>0</v>
      </c>
      <c r="U54" s="1876">
        <f t="shared" ref="U54:U62" si="195">+Q54+S54</f>
        <v>311593</v>
      </c>
      <c r="V54" s="171"/>
      <c r="W54" s="1874">
        <v>51110</v>
      </c>
      <c r="X54" s="3440"/>
      <c r="Y54" s="1875">
        <f t="shared" si="8"/>
        <v>188720</v>
      </c>
      <c r="Z54" s="1876">
        <f t="shared" ref="Z54:Z61" si="196">+T54+V54</f>
        <v>0</v>
      </c>
      <c r="AA54" s="3990">
        <f t="shared" ref="AA54:AA61" si="197">+U54+W54</f>
        <v>362703</v>
      </c>
      <c r="AB54" s="171"/>
      <c r="AC54" s="1874">
        <v>50456</v>
      </c>
      <c r="AD54" s="1876">
        <f t="shared" ref="AD54:AD61" si="198">+Z54+AB54</f>
        <v>0</v>
      </c>
      <c r="AE54" s="1876">
        <f t="shared" ref="AE54:AE62" si="199">+AA54+AC54</f>
        <v>413159</v>
      </c>
      <c r="AF54" s="171"/>
      <c r="AG54" s="1874">
        <v>57451</v>
      </c>
      <c r="AH54" s="1876">
        <f t="shared" ref="AH54:AH61" si="200">+AD54+AF54</f>
        <v>0</v>
      </c>
      <c r="AI54" s="1876">
        <f t="shared" ref="AI54:AI62" si="201">+AE54+AG54</f>
        <v>470610</v>
      </c>
      <c r="AJ54" s="171"/>
      <c r="AK54" s="1874">
        <v>81924</v>
      </c>
      <c r="AL54" s="3440"/>
      <c r="AM54" s="1875">
        <f t="shared" ref="AM54:AM62" si="202">AC54+AG54+AK54</f>
        <v>189831</v>
      </c>
      <c r="AN54" s="1876">
        <f t="shared" ref="AN54:AN61" si="203">+AH54+AJ54</f>
        <v>0</v>
      </c>
      <c r="AO54" s="1876">
        <f t="shared" ref="AO54:AO62" si="204">+AI54+AK54</f>
        <v>552534</v>
      </c>
      <c r="AP54" s="171"/>
      <c r="AQ54" s="1874">
        <v>83700</v>
      </c>
      <c r="AR54" s="1876">
        <f t="shared" ref="AR54:AR61" si="205">+AN54+AP54</f>
        <v>0</v>
      </c>
      <c r="AS54" s="1876">
        <f t="shared" ref="AS54:AS62" si="206">+AO54+AQ54</f>
        <v>636234</v>
      </c>
      <c r="AT54" s="171"/>
      <c r="AU54" s="1874">
        <v>52667</v>
      </c>
      <c r="AV54" s="1876">
        <f t="shared" ref="AV54:AV61" si="207">+AR54+AT54</f>
        <v>0</v>
      </c>
      <c r="AW54" s="1876">
        <f t="shared" ref="AW54:AW62" si="208">+AS54+AU54</f>
        <v>688901</v>
      </c>
      <c r="AX54" s="171"/>
      <c r="AY54" s="1874">
        <v>61570</v>
      </c>
      <c r="AZ54" s="3440"/>
      <c r="BA54" s="1875">
        <f t="shared" ref="BA54:BA62" si="209">AQ54+AU54+AY54</f>
        <v>197937</v>
      </c>
      <c r="BB54" s="3990">
        <f t="shared" ref="BB54:BB62" si="210">+AV54+AX54</f>
        <v>0</v>
      </c>
      <c r="BC54" s="461">
        <f t="shared" ref="BC54:BC62" si="211">AM54+BA54</f>
        <v>387768</v>
      </c>
      <c r="BD54" s="1876">
        <f t="shared" ref="BD54:BD61" si="212">+AV54+AX54</f>
        <v>0</v>
      </c>
      <c r="BE54" s="1876">
        <f t="shared" ref="BE54:BE62" si="213">+AW54+AY54</f>
        <v>750471</v>
      </c>
      <c r="BF54" s="491"/>
    </row>
    <row r="55" spans="2:66" ht="18" x14ac:dyDescent="0.3">
      <c r="B55" s="6131"/>
      <c r="C55" s="1886" t="s">
        <v>1509</v>
      </c>
      <c r="D55" s="1554"/>
      <c r="E55" s="1874">
        <v>60</v>
      </c>
      <c r="F55" s="1554"/>
      <c r="G55" s="1874">
        <v>1350</v>
      </c>
      <c r="H55" s="1876">
        <f t="shared" si="1"/>
        <v>0</v>
      </c>
      <c r="I55" s="1959">
        <f t="shared" si="2"/>
        <v>1410</v>
      </c>
      <c r="J55" s="1554"/>
      <c r="K55" s="1874">
        <v>1325</v>
      </c>
      <c r="L55" s="1875">
        <f t="shared" si="3"/>
        <v>0</v>
      </c>
      <c r="M55" s="1875">
        <f t="shared" si="193"/>
        <v>2735</v>
      </c>
      <c r="N55" s="171"/>
      <c r="O55" s="1874">
        <v>406</v>
      </c>
      <c r="P55" s="1876">
        <f t="shared" si="4"/>
        <v>0</v>
      </c>
      <c r="Q55" s="1876">
        <f t="shared" si="28"/>
        <v>3141</v>
      </c>
      <c r="R55" s="171"/>
      <c r="S55" s="1874">
        <v>1422</v>
      </c>
      <c r="T55" s="1876">
        <f t="shared" si="194"/>
        <v>0</v>
      </c>
      <c r="U55" s="1876">
        <f t="shared" si="195"/>
        <v>4563</v>
      </c>
      <c r="V55" s="171"/>
      <c r="W55" s="1874">
        <v>706</v>
      </c>
      <c r="X55" s="3440"/>
      <c r="Y55" s="1875">
        <f t="shared" si="8"/>
        <v>2534</v>
      </c>
      <c r="Z55" s="1876">
        <f t="shared" si="196"/>
        <v>0</v>
      </c>
      <c r="AA55" s="3990">
        <f t="shared" si="197"/>
        <v>5269</v>
      </c>
      <c r="AB55" s="171"/>
      <c r="AC55" s="1874">
        <v>1243</v>
      </c>
      <c r="AD55" s="1876">
        <f t="shared" si="198"/>
        <v>0</v>
      </c>
      <c r="AE55" s="1876">
        <f t="shared" si="199"/>
        <v>6512</v>
      </c>
      <c r="AF55" s="171"/>
      <c r="AG55" s="1874">
        <v>443</v>
      </c>
      <c r="AH55" s="1876">
        <f t="shared" si="200"/>
        <v>0</v>
      </c>
      <c r="AI55" s="1876">
        <f t="shared" si="201"/>
        <v>6955</v>
      </c>
      <c r="AJ55" s="171"/>
      <c r="AK55" s="1874">
        <v>766</v>
      </c>
      <c r="AL55" s="3440"/>
      <c r="AM55" s="1875">
        <f t="shared" si="202"/>
        <v>2452</v>
      </c>
      <c r="AN55" s="1876">
        <f t="shared" si="203"/>
        <v>0</v>
      </c>
      <c r="AO55" s="1876">
        <f t="shared" si="204"/>
        <v>7721</v>
      </c>
      <c r="AP55" s="171"/>
      <c r="AQ55" s="1874">
        <v>4283</v>
      </c>
      <c r="AR55" s="1876">
        <f t="shared" si="205"/>
        <v>0</v>
      </c>
      <c r="AS55" s="1876">
        <f t="shared" si="206"/>
        <v>12004</v>
      </c>
      <c r="AT55" s="171"/>
      <c r="AU55" s="1874">
        <v>3004</v>
      </c>
      <c r="AV55" s="1876">
        <f t="shared" si="207"/>
        <v>0</v>
      </c>
      <c r="AW55" s="1876">
        <f t="shared" si="208"/>
        <v>15008</v>
      </c>
      <c r="AX55" s="171"/>
      <c r="AY55" s="1874">
        <v>95</v>
      </c>
      <c r="AZ55" s="3440"/>
      <c r="BA55" s="1875">
        <f t="shared" si="209"/>
        <v>7382</v>
      </c>
      <c r="BB55" s="3990">
        <f t="shared" si="210"/>
        <v>0</v>
      </c>
      <c r="BC55" s="461">
        <f t="shared" si="211"/>
        <v>9834</v>
      </c>
      <c r="BD55" s="1876">
        <f t="shared" si="212"/>
        <v>0</v>
      </c>
      <c r="BE55" s="1876">
        <f t="shared" si="213"/>
        <v>15103</v>
      </c>
      <c r="BF55" s="491"/>
    </row>
    <row r="56" spans="2:66" ht="18" x14ac:dyDescent="0.3">
      <c r="B56" s="6131"/>
      <c r="C56" s="1886" t="s">
        <v>1510</v>
      </c>
      <c r="D56" s="1554"/>
      <c r="E56" s="1874">
        <v>0</v>
      </c>
      <c r="F56" s="1554"/>
      <c r="G56" s="1874">
        <v>461</v>
      </c>
      <c r="H56" s="1876">
        <f t="shared" si="1"/>
        <v>0</v>
      </c>
      <c r="I56" s="1959">
        <f t="shared" si="2"/>
        <v>461</v>
      </c>
      <c r="J56" s="1554"/>
      <c r="K56" s="1874">
        <v>0</v>
      </c>
      <c r="L56" s="1875">
        <f t="shared" si="3"/>
        <v>0</v>
      </c>
      <c r="M56" s="1875">
        <f t="shared" si="193"/>
        <v>461</v>
      </c>
      <c r="N56" s="171"/>
      <c r="O56" s="1874">
        <v>0</v>
      </c>
      <c r="P56" s="1876">
        <f t="shared" si="4"/>
        <v>0</v>
      </c>
      <c r="Q56" s="1876">
        <f t="shared" si="28"/>
        <v>461</v>
      </c>
      <c r="R56" s="171"/>
      <c r="S56" s="1874">
        <v>0</v>
      </c>
      <c r="T56" s="1876">
        <f t="shared" si="194"/>
        <v>0</v>
      </c>
      <c r="U56" s="1876">
        <f t="shared" si="195"/>
        <v>461</v>
      </c>
      <c r="V56" s="171"/>
      <c r="W56" s="1874">
        <v>0</v>
      </c>
      <c r="X56" s="3440"/>
      <c r="Y56" s="1875">
        <f t="shared" si="8"/>
        <v>0</v>
      </c>
      <c r="Z56" s="1876">
        <f t="shared" si="196"/>
        <v>0</v>
      </c>
      <c r="AA56" s="3990">
        <f t="shared" si="197"/>
        <v>461</v>
      </c>
      <c r="AB56" s="171"/>
      <c r="AC56" s="1874">
        <v>0</v>
      </c>
      <c r="AD56" s="1876">
        <f t="shared" si="198"/>
        <v>0</v>
      </c>
      <c r="AE56" s="1876">
        <f t="shared" si="199"/>
        <v>461</v>
      </c>
      <c r="AF56" s="171"/>
      <c r="AG56" s="1874">
        <v>0</v>
      </c>
      <c r="AH56" s="1876">
        <f t="shared" si="200"/>
        <v>0</v>
      </c>
      <c r="AI56" s="1876">
        <f t="shared" si="201"/>
        <v>461</v>
      </c>
      <c r="AJ56" s="171"/>
      <c r="AK56" s="1874">
        <v>0</v>
      </c>
      <c r="AL56" s="3440"/>
      <c r="AM56" s="1875">
        <f t="shared" si="202"/>
        <v>0</v>
      </c>
      <c r="AN56" s="1876">
        <f t="shared" si="203"/>
        <v>0</v>
      </c>
      <c r="AO56" s="1876">
        <f t="shared" si="204"/>
        <v>461</v>
      </c>
      <c r="AP56" s="171"/>
      <c r="AQ56" s="1874">
        <v>809</v>
      </c>
      <c r="AR56" s="1876">
        <f t="shared" si="205"/>
        <v>0</v>
      </c>
      <c r="AS56" s="1876">
        <f t="shared" si="206"/>
        <v>1270</v>
      </c>
      <c r="AT56" s="171"/>
      <c r="AU56" s="1874">
        <v>231</v>
      </c>
      <c r="AV56" s="1876">
        <f t="shared" si="207"/>
        <v>0</v>
      </c>
      <c r="AW56" s="1876">
        <f t="shared" si="208"/>
        <v>1501</v>
      </c>
      <c r="AX56" s="171"/>
      <c r="AY56" s="1874">
        <v>509</v>
      </c>
      <c r="AZ56" s="3440"/>
      <c r="BA56" s="1875">
        <f t="shared" si="209"/>
        <v>1549</v>
      </c>
      <c r="BB56" s="3990">
        <f t="shared" si="210"/>
        <v>0</v>
      </c>
      <c r="BC56" s="461">
        <f t="shared" si="211"/>
        <v>1549</v>
      </c>
      <c r="BD56" s="1876">
        <f t="shared" si="212"/>
        <v>0</v>
      </c>
      <c r="BE56" s="1876">
        <f t="shared" si="213"/>
        <v>2010</v>
      </c>
      <c r="BF56" s="491"/>
    </row>
    <row r="57" spans="2:66" ht="18" x14ac:dyDescent="0.3">
      <c r="B57" s="6131"/>
      <c r="C57" s="1886" t="s">
        <v>1511</v>
      </c>
      <c r="D57" s="1554"/>
      <c r="E57" s="1874">
        <v>57732</v>
      </c>
      <c r="F57" s="1554"/>
      <c r="G57" s="1874">
        <v>36736</v>
      </c>
      <c r="H57" s="1876">
        <f t="shared" si="1"/>
        <v>0</v>
      </c>
      <c r="I57" s="1959">
        <f t="shared" si="2"/>
        <v>94468</v>
      </c>
      <c r="J57" s="1554"/>
      <c r="K57" s="1874">
        <v>66338</v>
      </c>
      <c r="L57" s="1875">
        <f t="shared" si="3"/>
        <v>0</v>
      </c>
      <c r="M57" s="1875">
        <f t="shared" si="193"/>
        <v>160806</v>
      </c>
      <c r="N57" s="171"/>
      <c r="O57" s="1874">
        <v>55130</v>
      </c>
      <c r="P57" s="1876">
        <f t="shared" si="4"/>
        <v>0</v>
      </c>
      <c r="Q57" s="1876">
        <f t="shared" si="28"/>
        <v>215936</v>
      </c>
      <c r="R57" s="171"/>
      <c r="S57" s="1874">
        <v>68594</v>
      </c>
      <c r="T57" s="1876">
        <f t="shared" si="194"/>
        <v>0</v>
      </c>
      <c r="U57" s="1876">
        <f t="shared" si="195"/>
        <v>284530</v>
      </c>
      <c r="V57" s="171"/>
      <c r="W57" s="1874">
        <v>71031</v>
      </c>
      <c r="X57" s="3440"/>
      <c r="Y57" s="1875">
        <f t="shared" si="8"/>
        <v>194755</v>
      </c>
      <c r="Z57" s="1876">
        <f t="shared" si="196"/>
        <v>0</v>
      </c>
      <c r="AA57" s="3990">
        <f t="shared" si="197"/>
        <v>355561</v>
      </c>
      <c r="AB57" s="171"/>
      <c r="AC57" s="1874">
        <v>56395</v>
      </c>
      <c r="AD57" s="1876">
        <f t="shared" si="198"/>
        <v>0</v>
      </c>
      <c r="AE57" s="1876">
        <f t="shared" si="199"/>
        <v>411956</v>
      </c>
      <c r="AF57" s="171"/>
      <c r="AG57" s="1874">
        <v>56395</v>
      </c>
      <c r="AH57" s="1876">
        <f t="shared" si="200"/>
        <v>0</v>
      </c>
      <c r="AI57" s="1876">
        <f t="shared" si="201"/>
        <v>468351</v>
      </c>
      <c r="AJ57" s="171"/>
      <c r="AK57" s="1874">
        <v>74128</v>
      </c>
      <c r="AL57" s="3440"/>
      <c r="AM57" s="1875">
        <f t="shared" si="202"/>
        <v>186918</v>
      </c>
      <c r="AN57" s="1876">
        <f t="shared" si="203"/>
        <v>0</v>
      </c>
      <c r="AO57" s="1876">
        <f t="shared" si="204"/>
        <v>542479</v>
      </c>
      <c r="AP57" s="171"/>
      <c r="AQ57" s="1874">
        <v>56821</v>
      </c>
      <c r="AR57" s="1876">
        <f t="shared" si="205"/>
        <v>0</v>
      </c>
      <c r="AS57" s="1876">
        <f t="shared" si="206"/>
        <v>599300</v>
      </c>
      <c r="AT57" s="171"/>
      <c r="AU57" s="1874">
        <v>47844</v>
      </c>
      <c r="AV57" s="1876">
        <f t="shared" si="207"/>
        <v>0</v>
      </c>
      <c r="AW57" s="1876">
        <f t="shared" si="208"/>
        <v>647144</v>
      </c>
      <c r="AX57" s="171"/>
      <c r="AY57" s="1874">
        <v>64087</v>
      </c>
      <c r="AZ57" s="3440"/>
      <c r="BA57" s="1875">
        <f t="shared" si="209"/>
        <v>168752</v>
      </c>
      <c r="BB57" s="3990">
        <f t="shared" si="210"/>
        <v>0</v>
      </c>
      <c r="BC57" s="461">
        <f t="shared" si="211"/>
        <v>355670</v>
      </c>
      <c r="BD57" s="1876">
        <f t="shared" si="212"/>
        <v>0</v>
      </c>
      <c r="BE57" s="1876">
        <f t="shared" si="213"/>
        <v>711231</v>
      </c>
      <c r="BF57" s="491"/>
    </row>
    <row r="58" spans="2:66" ht="18" x14ac:dyDescent="0.3">
      <c r="B58" s="6131"/>
      <c r="C58" s="1886" t="s">
        <v>1512</v>
      </c>
      <c r="D58" s="1554"/>
      <c r="E58" s="1874">
        <v>5700</v>
      </c>
      <c r="F58" s="1554"/>
      <c r="G58" s="1874">
        <v>7500</v>
      </c>
      <c r="H58" s="1876">
        <f t="shared" si="1"/>
        <v>0</v>
      </c>
      <c r="I58" s="1959">
        <f t="shared" si="2"/>
        <v>13200</v>
      </c>
      <c r="J58" s="1554"/>
      <c r="K58" s="1874">
        <v>8636</v>
      </c>
      <c r="L58" s="1875">
        <f t="shared" si="3"/>
        <v>0</v>
      </c>
      <c r="M58" s="1875">
        <f t="shared" si="193"/>
        <v>21836</v>
      </c>
      <c r="N58" s="171"/>
      <c r="O58" s="1874">
        <v>7057</v>
      </c>
      <c r="P58" s="1876">
        <f t="shared" si="4"/>
        <v>0</v>
      </c>
      <c r="Q58" s="1876">
        <f t="shared" si="28"/>
        <v>28893</v>
      </c>
      <c r="R58" s="171"/>
      <c r="S58" s="1874">
        <v>11629</v>
      </c>
      <c r="T58" s="1876">
        <f t="shared" si="194"/>
        <v>0</v>
      </c>
      <c r="U58" s="1876">
        <f t="shared" si="195"/>
        <v>40522</v>
      </c>
      <c r="V58" s="171"/>
      <c r="W58" s="1874">
        <v>2789</v>
      </c>
      <c r="X58" s="3440"/>
      <c r="Y58" s="1875">
        <f t="shared" si="8"/>
        <v>21475</v>
      </c>
      <c r="Z58" s="1876">
        <f t="shared" si="196"/>
        <v>0</v>
      </c>
      <c r="AA58" s="3990">
        <f t="shared" si="197"/>
        <v>43311</v>
      </c>
      <c r="AB58" s="171"/>
      <c r="AC58" s="1874">
        <v>3151</v>
      </c>
      <c r="AD58" s="1876">
        <f t="shared" si="198"/>
        <v>0</v>
      </c>
      <c r="AE58" s="1876">
        <f t="shared" si="199"/>
        <v>46462</v>
      </c>
      <c r="AF58" s="171"/>
      <c r="AG58" s="1874">
        <v>0</v>
      </c>
      <c r="AH58" s="1876">
        <f t="shared" si="200"/>
        <v>0</v>
      </c>
      <c r="AI58" s="1876">
        <f t="shared" si="201"/>
        <v>46462</v>
      </c>
      <c r="AJ58" s="171"/>
      <c r="AK58" s="1874">
        <v>7118</v>
      </c>
      <c r="AL58" s="3440"/>
      <c r="AM58" s="1875">
        <f t="shared" si="202"/>
        <v>10269</v>
      </c>
      <c r="AN58" s="1876">
        <f t="shared" si="203"/>
        <v>0</v>
      </c>
      <c r="AO58" s="1876">
        <f t="shared" si="204"/>
        <v>53580</v>
      </c>
      <c r="AP58" s="171"/>
      <c r="AQ58" s="1874">
        <v>8655</v>
      </c>
      <c r="AR58" s="1876">
        <f t="shared" si="205"/>
        <v>0</v>
      </c>
      <c r="AS58" s="1876">
        <f t="shared" si="206"/>
        <v>62235</v>
      </c>
      <c r="AT58" s="171"/>
      <c r="AU58" s="1874">
        <v>18895</v>
      </c>
      <c r="AV58" s="1876">
        <f t="shared" si="207"/>
        <v>0</v>
      </c>
      <c r="AW58" s="1876">
        <f t="shared" si="208"/>
        <v>81130</v>
      </c>
      <c r="AX58" s="171"/>
      <c r="AY58" s="1874">
        <v>24850</v>
      </c>
      <c r="AZ58" s="3440"/>
      <c r="BA58" s="1875">
        <f t="shared" si="209"/>
        <v>52400</v>
      </c>
      <c r="BB58" s="3990">
        <f t="shared" si="210"/>
        <v>0</v>
      </c>
      <c r="BC58" s="461">
        <f t="shared" si="211"/>
        <v>62669</v>
      </c>
      <c r="BD58" s="1876">
        <f t="shared" si="212"/>
        <v>0</v>
      </c>
      <c r="BE58" s="1876">
        <f t="shared" si="213"/>
        <v>105980</v>
      </c>
      <c r="BF58" s="491"/>
    </row>
    <row r="59" spans="2:66" ht="18" x14ac:dyDescent="0.3">
      <c r="B59" s="6131"/>
      <c r="C59" s="1886" t="s">
        <v>1513</v>
      </c>
      <c r="D59" s="1554"/>
      <c r="E59" s="1874">
        <v>0</v>
      </c>
      <c r="F59" s="1554"/>
      <c r="G59" s="1874">
        <v>0</v>
      </c>
      <c r="H59" s="1876">
        <f t="shared" si="1"/>
        <v>0</v>
      </c>
      <c r="I59" s="1959">
        <f t="shared" si="2"/>
        <v>0</v>
      </c>
      <c r="J59" s="1554"/>
      <c r="K59" s="1874">
        <v>0</v>
      </c>
      <c r="L59" s="1875">
        <f t="shared" si="3"/>
        <v>0</v>
      </c>
      <c r="M59" s="1875">
        <f t="shared" si="193"/>
        <v>0</v>
      </c>
      <c r="N59" s="171"/>
      <c r="O59" s="1874">
        <v>0</v>
      </c>
      <c r="P59" s="1876">
        <f t="shared" si="4"/>
        <v>0</v>
      </c>
      <c r="Q59" s="1876">
        <f t="shared" si="28"/>
        <v>0</v>
      </c>
      <c r="R59" s="171"/>
      <c r="S59" s="1874">
        <v>0</v>
      </c>
      <c r="T59" s="1876">
        <f t="shared" si="194"/>
        <v>0</v>
      </c>
      <c r="U59" s="1876">
        <f t="shared" si="195"/>
        <v>0</v>
      </c>
      <c r="V59" s="171"/>
      <c r="W59" s="1874">
        <v>0</v>
      </c>
      <c r="X59" s="3440"/>
      <c r="Y59" s="1875">
        <f t="shared" si="8"/>
        <v>0</v>
      </c>
      <c r="Z59" s="1876">
        <f t="shared" si="196"/>
        <v>0</v>
      </c>
      <c r="AA59" s="3990">
        <f t="shared" si="197"/>
        <v>0</v>
      </c>
      <c r="AB59" s="171"/>
      <c r="AC59" s="1874">
        <v>0</v>
      </c>
      <c r="AD59" s="1876">
        <f t="shared" si="198"/>
        <v>0</v>
      </c>
      <c r="AE59" s="1876">
        <f t="shared" si="199"/>
        <v>0</v>
      </c>
      <c r="AF59" s="171"/>
      <c r="AG59" s="1874">
        <v>0</v>
      </c>
      <c r="AH59" s="1876">
        <f t="shared" si="200"/>
        <v>0</v>
      </c>
      <c r="AI59" s="1876">
        <f t="shared" si="201"/>
        <v>0</v>
      </c>
      <c r="AJ59" s="171"/>
      <c r="AK59" s="1874">
        <v>0</v>
      </c>
      <c r="AL59" s="3440"/>
      <c r="AM59" s="1875">
        <f t="shared" si="202"/>
        <v>0</v>
      </c>
      <c r="AN59" s="1876">
        <f t="shared" si="203"/>
        <v>0</v>
      </c>
      <c r="AO59" s="1876">
        <f t="shared" si="204"/>
        <v>0</v>
      </c>
      <c r="AP59" s="171"/>
      <c r="AQ59" s="1874">
        <v>0</v>
      </c>
      <c r="AR59" s="1876">
        <f t="shared" si="205"/>
        <v>0</v>
      </c>
      <c r="AS59" s="1876">
        <f t="shared" si="206"/>
        <v>0</v>
      </c>
      <c r="AT59" s="171"/>
      <c r="AU59" s="1874">
        <v>0</v>
      </c>
      <c r="AV59" s="1876">
        <f t="shared" si="207"/>
        <v>0</v>
      </c>
      <c r="AW59" s="1876">
        <f t="shared" si="208"/>
        <v>0</v>
      </c>
      <c r="AX59" s="171"/>
      <c r="AY59" s="1874">
        <v>0</v>
      </c>
      <c r="AZ59" s="3440"/>
      <c r="BA59" s="1875">
        <f t="shared" si="209"/>
        <v>0</v>
      </c>
      <c r="BB59" s="3990">
        <f t="shared" si="210"/>
        <v>0</v>
      </c>
      <c r="BC59" s="461">
        <f t="shared" si="211"/>
        <v>0</v>
      </c>
      <c r="BD59" s="1876">
        <f t="shared" si="212"/>
        <v>0</v>
      </c>
      <c r="BE59" s="1876">
        <f t="shared" si="213"/>
        <v>0</v>
      </c>
      <c r="BF59" s="491"/>
    </row>
    <row r="60" spans="2:66" ht="18" x14ac:dyDescent="0.3">
      <c r="B60" s="6131"/>
      <c r="C60" s="1886" t="s">
        <v>1514</v>
      </c>
      <c r="D60" s="1554"/>
      <c r="E60" s="3526">
        <f>+LDCP!F7</f>
        <v>62695</v>
      </c>
      <c r="F60" s="1554"/>
      <c r="G60" s="3526">
        <f>+LDCP!H7</f>
        <v>24846</v>
      </c>
      <c r="H60" s="1876">
        <f t="shared" si="1"/>
        <v>0</v>
      </c>
      <c r="I60" s="1959">
        <f t="shared" si="2"/>
        <v>87541</v>
      </c>
      <c r="J60" s="1554"/>
      <c r="K60" s="3526">
        <f>+LDCP!L7</f>
        <v>59622</v>
      </c>
      <c r="L60" s="1875">
        <f t="shared" si="3"/>
        <v>0</v>
      </c>
      <c r="M60" s="1875">
        <f t="shared" si="193"/>
        <v>147163</v>
      </c>
      <c r="N60" s="171"/>
      <c r="O60" s="3526">
        <f>+LDCP!P7</f>
        <v>66125</v>
      </c>
      <c r="P60" s="1876">
        <f t="shared" si="4"/>
        <v>0</v>
      </c>
      <c r="Q60" s="1876">
        <f t="shared" si="28"/>
        <v>213288</v>
      </c>
      <c r="R60" s="171"/>
      <c r="S60" s="3526">
        <f>+LDCP!T7</f>
        <v>59020</v>
      </c>
      <c r="T60" s="1876">
        <f t="shared" si="194"/>
        <v>0</v>
      </c>
      <c r="U60" s="1876">
        <f t="shared" si="195"/>
        <v>272308</v>
      </c>
      <c r="V60" s="171"/>
      <c r="W60" s="3526">
        <f>+LDCP!X7</f>
        <v>57997</v>
      </c>
      <c r="X60" s="3542"/>
      <c r="Y60" s="1875">
        <f t="shared" si="8"/>
        <v>183142</v>
      </c>
      <c r="Z60" s="1876">
        <f t="shared" si="196"/>
        <v>0</v>
      </c>
      <c r="AA60" s="3990">
        <f t="shared" si="197"/>
        <v>330305</v>
      </c>
      <c r="AB60" s="171"/>
      <c r="AC60" s="3526">
        <f>+LDCP!AD7</f>
        <v>47901</v>
      </c>
      <c r="AD60" s="1876">
        <f t="shared" si="198"/>
        <v>0</v>
      </c>
      <c r="AE60" s="1876">
        <f t="shared" si="199"/>
        <v>378206</v>
      </c>
      <c r="AF60" s="171"/>
      <c r="AG60" s="3526">
        <f>+LDCP!AH7</f>
        <v>54250</v>
      </c>
      <c r="AH60" s="1876">
        <f t="shared" si="200"/>
        <v>0</v>
      </c>
      <c r="AI60" s="1876">
        <f t="shared" si="201"/>
        <v>432456</v>
      </c>
      <c r="AJ60" s="171"/>
      <c r="AK60" s="3526">
        <f>+LDCP!AL7</f>
        <v>55839</v>
      </c>
      <c r="AL60" s="3542"/>
      <c r="AM60" s="1875">
        <f t="shared" si="202"/>
        <v>157990</v>
      </c>
      <c r="AN60" s="1876">
        <f t="shared" si="203"/>
        <v>0</v>
      </c>
      <c r="AO60" s="1876">
        <f t="shared" si="204"/>
        <v>488295</v>
      </c>
      <c r="AP60" s="171"/>
      <c r="AQ60" s="3526">
        <f>+LDCP!AR7</f>
        <v>62540</v>
      </c>
      <c r="AR60" s="1876">
        <f t="shared" si="205"/>
        <v>0</v>
      </c>
      <c r="AS60" s="1876">
        <f t="shared" si="206"/>
        <v>550835</v>
      </c>
      <c r="AT60" s="171"/>
      <c r="AU60" s="3526">
        <f>+LDCP!AV7</f>
        <v>51931</v>
      </c>
      <c r="AV60" s="1876">
        <f t="shared" si="207"/>
        <v>0</v>
      </c>
      <c r="AW60" s="1876">
        <f t="shared" si="208"/>
        <v>602766</v>
      </c>
      <c r="AX60" s="171"/>
      <c r="AY60" s="3526">
        <f>+LDCP!AZ7</f>
        <v>56061</v>
      </c>
      <c r="AZ60" s="3542"/>
      <c r="BA60" s="1875">
        <f t="shared" si="209"/>
        <v>170532</v>
      </c>
      <c r="BB60" s="3990">
        <f t="shared" si="210"/>
        <v>0</v>
      </c>
      <c r="BC60" s="461">
        <f t="shared" si="211"/>
        <v>328522</v>
      </c>
      <c r="BD60" s="1876">
        <f t="shared" si="212"/>
        <v>0</v>
      </c>
      <c r="BE60" s="1876">
        <f t="shared" si="213"/>
        <v>658827</v>
      </c>
      <c r="BF60" s="491"/>
    </row>
    <row r="61" spans="2:66" ht="18" x14ac:dyDescent="0.3">
      <c r="B61" s="6131"/>
      <c r="C61" s="1886" t="s">
        <v>1515</v>
      </c>
      <c r="D61" s="1554"/>
      <c r="E61" s="3526">
        <f>+LDCP!F22</f>
        <v>18070</v>
      </c>
      <c r="F61" s="1554"/>
      <c r="G61" s="3526">
        <f>+LDCP!H22</f>
        <v>6541</v>
      </c>
      <c r="H61" s="1876">
        <f t="shared" si="1"/>
        <v>0</v>
      </c>
      <c r="I61" s="1959">
        <f t="shared" si="2"/>
        <v>24611</v>
      </c>
      <c r="J61" s="1554"/>
      <c r="K61" s="3526">
        <f>+LDCP!L22</f>
        <v>15520</v>
      </c>
      <c r="L61" s="1875">
        <f t="shared" si="3"/>
        <v>0</v>
      </c>
      <c r="M61" s="1875">
        <f t="shared" si="193"/>
        <v>40131</v>
      </c>
      <c r="N61" s="171"/>
      <c r="O61" s="3526">
        <f>+LDCP!P22</f>
        <v>16160</v>
      </c>
      <c r="P61" s="1876">
        <f t="shared" si="4"/>
        <v>0</v>
      </c>
      <c r="Q61" s="1876">
        <f t="shared" si="28"/>
        <v>56291</v>
      </c>
      <c r="R61" s="171"/>
      <c r="S61" s="3526">
        <f>+LDCP!T22</f>
        <v>15934</v>
      </c>
      <c r="T61" s="1876">
        <f t="shared" si="194"/>
        <v>0</v>
      </c>
      <c r="U61" s="1876">
        <f t="shared" si="195"/>
        <v>72225</v>
      </c>
      <c r="V61" s="171"/>
      <c r="W61" s="3526">
        <f>+LDCP!X22</f>
        <v>17396</v>
      </c>
      <c r="X61" s="3542"/>
      <c r="Y61" s="1875">
        <f t="shared" si="8"/>
        <v>49490</v>
      </c>
      <c r="Z61" s="1876">
        <f t="shared" si="196"/>
        <v>0</v>
      </c>
      <c r="AA61" s="3990">
        <f t="shared" si="197"/>
        <v>89621</v>
      </c>
      <c r="AB61" s="171"/>
      <c r="AC61" s="3526">
        <f>+LDCP!AD22</f>
        <v>11392</v>
      </c>
      <c r="AD61" s="1876">
        <f t="shared" si="198"/>
        <v>0</v>
      </c>
      <c r="AE61" s="1876">
        <f t="shared" si="199"/>
        <v>101013</v>
      </c>
      <c r="AF61" s="171"/>
      <c r="AG61" s="3526">
        <f>+LDCP!AH22</f>
        <v>10726</v>
      </c>
      <c r="AH61" s="1876">
        <f t="shared" si="200"/>
        <v>0</v>
      </c>
      <c r="AI61" s="1876">
        <f t="shared" si="201"/>
        <v>111739</v>
      </c>
      <c r="AJ61" s="171"/>
      <c r="AK61" s="3526">
        <f>+LDCP!AL22</f>
        <v>0</v>
      </c>
      <c r="AL61" s="3542"/>
      <c r="AM61" s="1875">
        <f t="shared" si="202"/>
        <v>22118</v>
      </c>
      <c r="AN61" s="1876">
        <f t="shared" si="203"/>
        <v>0</v>
      </c>
      <c r="AO61" s="1876">
        <f t="shared" si="204"/>
        <v>111739</v>
      </c>
      <c r="AP61" s="171"/>
      <c r="AQ61" s="3526">
        <f>+LDCP!AR22</f>
        <v>9304</v>
      </c>
      <c r="AR61" s="1876">
        <f t="shared" si="205"/>
        <v>0</v>
      </c>
      <c r="AS61" s="1876">
        <f t="shared" si="206"/>
        <v>121043</v>
      </c>
      <c r="AT61" s="171"/>
      <c r="AU61" s="3526">
        <f>+LDCP!AV22</f>
        <v>13642</v>
      </c>
      <c r="AV61" s="1876">
        <f t="shared" si="207"/>
        <v>0</v>
      </c>
      <c r="AW61" s="1876">
        <f t="shared" si="208"/>
        <v>134685</v>
      </c>
      <c r="AX61" s="171"/>
      <c r="AY61" s="3526">
        <f>+LDCP!AZ22</f>
        <v>14879</v>
      </c>
      <c r="AZ61" s="3542"/>
      <c r="BA61" s="1875">
        <f t="shared" si="209"/>
        <v>37825</v>
      </c>
      <c r="BB61" s="3990">
        <f t="shared" si="210"/>
        <v>0</v>
      </c>
      <c r="BC61" s="461">
        <f t="shared" si="211"/>
        <v>59943</v>
      </c>
      <c r="BD61" s="1876">
        <f t="shared" si="212"/>
        <v>0</v>
      </c>
      <c r="BE61" s="1876">
        <f t="shared" si="213"/>
        <v>149564</v>
      </c>
      <c r="BF61" s="491"/>
    </row>
    <row r="62" spans="2:66" ht="18" x14ac:dyDescent="0.3">
      <c r="B62" s="3552"/>
      <c r="C62" s="1886" t="s">
        <v>1771</v>
      </c>
      <c r="D62" s="1554"/>
      <c r="E62" s="1874">
        <v>520</v>
      </c>
      <c r="F62" s="1554"/>
      <c r="G62" s="1874">
        <v>0</v>
      </c>
      <c r="H62" s="1876"/>
      <c r="I62" s="1959">
        <f t="shared" si="2"/>
        <v>520</v>
      </c>
      <c r="J62" s="1554"/>
      <c r="K62" s="1874">
        <v>703</v>
      </c>
      <c r="L62" s="1875"/>
      <c r="M62" s="1875">
        <f t="shared" si="193"/>
        <v>1223</v>
      </c>
      <c r="N62" s="171"/>
      <c r="O62" s="1874">
        <v>341</v>
      </c>
      <c r="P62" s="1876"/>
      <c r="Q62" s="1876">
        <f t="shared" si="28"/>
        <v>1564</v>
      </c>
      <c r="R62" s="171"/>
      <c r="S62" s="1874">
        <v>766</v>
      </c>
      <c r="T62" s="1876"/>
      <c r="U62" s="1876">
        <f t="shared" si="195"/>
        <v>2330</v>
      </c>
      <c r="V62" s="171"/>
      <c r="W62" s="1874">
        <v>423</v>
      </c>
      <c r="X62" s="3440"/>
      <c r="Y62" s="1875">
        <f t="shared" ref="Y62" si="214">O62+S62+W62</f>
        <v>1530</v>
      </c>
      <c r="Z62" s="1876">
        <f t="shared" ref="Z62" si="215">+T62+V62</f>
        <v>0</v>
      </c>
      <c r="AA62" s="3990">
        <f t="shared" ref="AA62" si="216">+U62+W62</f>
        <v>2753</v>
      </c>
      <c r="AB62" s="171"/>
      <c r="AC62" s="1874">
        <v>464</v>
      </c>
      <c r="AD62" s="1876"/>
      <c r="AE62" s="1876">
        <f t="shared" si="199"/>
        <v>3217</v>
      </c>
      <c r="AF62" s="171"/>
      <c r="AG62" s="1874">
        <v>305</v>
      </c>
      <c r="AH62" s="1876"/>
      <c r="AI62" s="1876">
        <f t="shared" si="201"/>
        <v>3522</v>
      </c>
      <c r="AJ62" s="171"/>
      <c r="AK62" s="1874">
        <v>877</v>
      </c>
      <c r="AL62" s="3440"/>
      <c r="AM62" s="1875">
        <f t="shared" si="202"/>
        <v>1646</v>
      </c>
      <c r="AN62" s="1876"/>
      <c r="AO62" s="1876">
        <f t="shared" si="204"/>
        <v>4399</v>
      </c>
      <c r="AP62" s="171"/>
      <c r="AQ62" s="1874">
        <v>566</v>
      </c>
      <c r="AR62" s="1876"/>
      <c r="AS62" s="1876">
        <f t="shared" si="206"/>
        <v>4965</v>
      </c>
      <c r="AT62" s="171"/>
      <c r="AU62" s="1874">
        <v>989</v>
      </c>
      <c r="AV62" s="1876"/>
      <c r="AW62" s="1876">
        <f t="shared" si="208"/>
        <v>5954</v>
      </c>
      <c r="AX62" s="171"/>
      <c r="AY62" s="1874">
        <v>1910</v>
      </c>
      <c r="AZ62" s="3440"/>
      <c r="BA62" s="1875">
        <f t="shared" si="209"/>
        <v>3465</v>
      </c>
      <c r="BB62" s="3990">
        <f t="shared" si="210"/>
        <v>0</v>
      </c>
      <c r="BC62" s="461">
        <f t="shared" si="211"/>
        <v>5111</v>
      </c>
      <c r="BD62" s="1876"/>
      <c r="BE62" s="1876">
        <f t="shared" si="213"/>
        <v>7864</v>
      </c>
      <c r="BF62" s="491"/>
    </row>
    <row r="63" spans="2:66" s="137" customFormat="1" ht="18" x14ac:dyDescent="0.3">
      <c r="B63" s="406"/>
      <c r="C63" s="3952"/>
      <c r="D63" s="406"/>
      <c r="E63" s="371"/>
      <c r="F63" s="1115"/>
      <c r="G63" s="371"/>
      <c r="H63" s="371"/>
      <c r="I63" s="3121"/>
      <c r="J63" s="1115"/>
      <c r="K63" s="371"/>
      <c r="L63" s="371"/>
      <c r="M63" s="371"/>
      <c r="N63" s="406"/>
      <c r="O63" s="371"/>
      <c r="P63" s="371"/>
      <c r="Q63" s="371"/>
      <c r="R63" s="406"/>
      <c r="S63" s="371"/>
      <c r="T63" s="371"/>
      <c r="U63" s="371"/>
      <c r="V63" s="406"/>
      <c r="W63" s="371"/>
      <c r="X63" s="2483"/>
      <c r="Y63" s="371"/>
      <c r="Z63" s="371"/>
      <c r="AA63" s="371"/>
      <c r="AB63" s="406"/>
      <c r="AC63" s="371"/>
      <c r="AD63" s="371"/>
      <c r="AE63" s="371"/>
      <c r="AF63" s="406"/>
      <c r="AG63" s="371"/>
      <c r="AH63" s="371"/>
      <c r="AI63" s="371"/>
      <c r="AJ63" s="406"/>
      <c r="AK63" s="371"/>
      <c r="AL63" s="2483"/>
      <c r="AM63" s="371"/>
      <c r="AN63" s="371"/>
      <c r="AO63" s="371"/>
      <c r="AP63" s="406"/>
      <c r="AQ63" s="371"/>
      <c r="AR63" s="371"/>
      <c r="AS63" s="371"/>
      <c r="AT63" s="406"/>
      <c r="AU63" s="371"/>
      <c r="AV63" s="371"/>
      <c r="AW63" s="371"/>
      <c r="AX63" s="406"/>
      <c r="AY63" s="371"/>
      <c r="AZ63"/>
      <c r="BA63"/>
      <c r="BB63"/>
      <c r="BC63"/>
      <c r="BD63"/>
      <c r="BE63"/>
      <c r="BF63" s="491"/>
      <c r="BG63"/>
      <c r="BH63"/>
      <c r="BI63"/>
      <c r="BJ63"/>
      <c r="BK63"/>
      <c r="BL63"/>
      <c r="BM63"/>
      <c r="BN63"/>
    </row>
    <row r="64" spans="2:66" ht="18" x14ac:dyDescent="0.35">
      <c r="B64" s="953" t="s">
        <v>1483</v>
      </c>
      <c r="C64" s="1880"/>
      <c r="D64" s="171"/>
      <c r="E64" s="1874">
        <v>8554</v>
      </c>
      <c r="F64" s="1554"/>
      <c r="G64" s="1874">
        <v>8017</v>
      </c>
      <c r="H64" s="1876">
        <f t="shared" si="1"/>
        <v>0</v>
      </c>
      <c r="I64" s="1959">
        <f t="shared" si="2"/>
        <v>16571</v>
      </c>
      <c r="J64" s="1554"/>
      <c r="K64" s="1874">
        <v>9397</v>
      </c>
      <c r="L64" s="1875">
        <f t="shared" si="3"/>
        <v>0</v>
      </c>
      <c r="M64" s="1875">
        <f>E64+G64+K64</f>
        <v>25968</v>
      </c>
      <c r="N64" s="171"/>
      <c r="O64" s="1874">
        <v>10586</v>
      </c>
      <c r="P64" s="1876">
        <f t="shared" si="4"/>
        <v>0</v>
      </c>
      <c r="Q64" s="1876">
        <f t="shared" si="28"/>
        <v>36554</v>
      </c>
      <c r="R64" s="171"/>
      <c r="S64" s="1874">
        <v>10058</v>
      </c>
      <c r="T64" s="1876">
        <f t="shared" ref="T64" si="217">+P64+R64</f>
        <v>0</v>
      </c>
      <c r="U64" s="1876">
        <f t="shared" ref="U64" si="218">+Q64+S64</f>
        <v>46612</v>
      </c>
      <c r="V64" s="171"/>
      <c r="W64" s="1874">
        <v>10349</v>
      </c>
      <c r="X64" s="3440"/>
      <c r="Y64" s="1875">
        <f t="shared" si="8"/>
        <v>30993</v>
      </c>
      <c r="Z64" s="1876">
        <f t="shared" ref="Z64" si="219">+T64+V64</f>
        <v>0</v>
      </c>
      <c r="AA64" s="3990">
        <f t="shared" ref="AA64" si="220">+U64+W64</f>
        <v>56961</v>
      </c>
      <c r="AB64" s="171"/>
      <c r="AC64" s="1874">
        <v>10113</v>
      </c>
      <c r="AD64" s="1876">
        <f t="shared" ref="AD64" si="221">+Z64+AB64</f>
        <v>0</v>
      </c>
      <c r="AE64" s="1876">
        <f t="shared" ref="AE64" si="222">+AA64+AC64</f>
        <v>67074</v>
      </c>
      <c r="AF64" s="171"/>
      <c r="AG64" s="1874">
        <v>8738</v>
      </c>
      <c r="AH64" s="1876">
        <f t="shared" ref="AH64" si="223">+AD64+AF64</f>
        <v>0</v>
      </c>
      <c r="AI64" s="1876">
        <f t="shared" ref="AI64" si="224">+AE64+AG64</f>
        <v>75812</v>
      </c>
      <c r="AJ64" s="171"/>
      <c r="AK64" s="1874">
        <v>10023</v>
      </c>
      <c r="AL64" s="3440"/>
      <c r="AM64" s="1875">
        <f t="shared" ref="AM64" si="225">AC64+AG64+AK64</f>
        <v>28874</v>
      </c>
      <c r="AN64" s="1876">
        <f t="shared" ref="AN64" si="226">+AH64+AJ64</f>
        <v>0</v>
      </c>
      <c r="AO64" s="1876">
        <f t="shared" ref="AO64" si="227">+AI64+AK64</f>
        <v>85835</v>
      </c>
      <c r="AP64" s="171"/>
      <c r="AQ64" s="1874">
        <v>9272</v>
      </c>
      <c r="AR64" s="1876">
        <f t="shared" ref="AR64" si="228">+AN64+AP64</f>
        <v>0</v>
      </c>
      <c r="AS64" s="1876">
        <f t="shared" ref="AS64" si="229">+AO64+AQ64</f>
        <v>95107</v>
      </c>
      <c r="AT64" s="171"/>
      <c r="AU64" s="1874">
        <v>8617</v>
      </c>
      <c r="AV64" s="1876">
        <f t="shared" ref="AV64" si="230">+AR64+AT64</f>
        <v>0</v>
      </c>
      <c r="AW64" s="1876">
        <f t="shared" ref="AW64" si="231">+AS64+AU64</f>
        <v>103724</v>
      </c>
      <c r="AX64" s="171"/>
      <c r="AY64" s="1874">
        <v>9338</v>
      </c>
      <c r="AZ64" s="3440"/>
      <c r="BA64" s="1875">
        <f t="shared" ref="BA64" si="232">AQ64+AU64+AY64</f>
        <v>27227</v>
      </c>
      <c r="BB64" s="3990">
        <f t="shared" ref="BB64" si="233">+AV64+AX64</f>
        <v>0</v>
      </c>
      <c r="BC64" s="461">
        <f>AM64+BA64</f>
        <v>56101</v>
      </c>
      <c r="BD64" s="1876">
        <f t="shared" ref="BD64" si="234">+AV64+AX64</f>
        <v>0</v>
      </c>
      <c r="BE64" s="1876">
        <f t="shared" ref="BE64" si="235">+AW64+AY64</f>
        <v>113062</v>
      </c>
      <c r="BF64" s="491"/>
    </row>
    <row r="65" spans="3:58" x14ac:dyDescent="0.3">
      <c r="C65"/>
      <c r="D65"/>
      <c r="E65"/>
      <c r="F65"/>
      <c r="G65"/>
      <c r="H65"/>
      <c r="I65"/>
      <c r="J65"/>
      <c r="K65"/>
      <c r="L65"/>
      <c r="BF65" s="491"/>
    </row>
    <row r="66" spans="3:58" ht="18" x14ac:dyDescent="0.35">
      <c r="C66" s="953" t="s">
        <v>1516</v>
      </c>
      <c r="D66"/>
      <c r="E66" s="1874">
        <v>83.63</v>
      </c>
      <c r="F66" s="1554"/>
      <c r="G66" s="1874">
        <v>83.9</v>
      </c>
      <c r="H66" s="2292"/>
      <c r="I66" s="2292">
        <f>AVERAGE(E66,G66)</f>
        <v>83.765000000000001</v>
      </c>
      <c r="J66" s="4500"/>
      <c r="K66" s="2291">
        <v>83.46</v>
      </c>
      <c r="L66" s="1875"/>
      <c r="M66" s="372">
        <v>83.376666666666665</v>
      </c>
      <c r="N66" s="171"/>
      <c r="O66" s="2291">
        <v>83.55</v>
      </c>
      <c r="P66" s="1876"/>
      <c r="Q66" s="2292">
        <v>83.42</v>
      </c>
      <c r="R66" s="171"/>
      <c r="S66" s="2291">
        <v>84.05</v>
      </c>
      <c r="T66" s="1876"/>
      <c r="U66" s="2292">
        <v>83.546000000000006</v>
      </c>
      <c r="V66" s="171"/>
      <c r="W66" s="2291">
        <v>84</v>
      </c>
      <c r="X66" s="3440"/>
      <c r="Y66" s="372">
        <f>+AVERAGE(O66,S66,W66)</f>
        <v>83.86666666666666</v>
      </c>
      <c r="Z66" s="1876"/>
      <c r="AA66" s="462">
        <f>+AVERAGE(M66,Y66)</f>
        <v>83.62166666666667</v>
      </c>
      <c r="AB66" s="171"/>
      <c r="AC66" s="2291">
        <v>84.35</v>
      </c>
      <c r="AD66" s="1876"/>
      <c r="AE66" s="2292">
        <v>83.72571428571429</v>
      </c>
      <c r="AF66" s="171"/>
      <c r="AG66" s="2291">
        <v>83.71</v>
      </c>
      <c r="AH66" s="1876"/>
      <c r="AI66" s="2292">
        <v>83.72375000000001</v>
      </c>
      <c r="AJ66" s="171"/>
      <c r="AK66" s="2291">
        <v>83.16</v>
      </c>
      <c r="AL66" s="3440"/>
      <c r="AM66" s="372">
        <f>+AVERAGE(AC66,AG66,AK66)</f>
        <v>83.74</v>
      </c>
      <c r="AN66" s="1876"/>
      <c r="AO66" s="2292">
        <v>83.661111111111111</v>
      </c>
      <c r="AP66" s="171"/>
      <c r="AQ66" s="2291">
        <v>83.66</v>
      </c>
      <c r="AR66" s="1876"/>
      <c r="AS66" s="2292">
        <v>83.661000000000001</v>
      </c>
      <c r="AT66" s="171"/>
      <c r="AU66" s="2291">
        <v>83.51</v>
      </c>
      <c r="AV66" s="1876"/>
      <c r="AW66" s="2292">
        <v>83.647272727272721</v>
      </c>
      <c r="AX66" s="171"/>
      <c r="AY66" s="2291">
        <v>83.57</v>
      </c>
      <c r="AZ66" s="3440"/>
      <c r="BA66" s="372">
        <f>+AVERAGE(AQ66,AU66,AY66)</f>
        <v>83.58</v>
      </c>
      <c r="BB66" s="3990"/>
      <c r="BC66" s="4098">
        <f>+AVERAGE(AM66,BA66)</f>
        <v>83.66</v>
      </c>
      <c r="BD66" s="1876"/>
      <c r="BE66" s="2292">
        <f>+AVERAGE(AA66,BC66)</f>
        <v>83.640833333333333</v>
      </c>
      <c r="BF66" s="491"/>
    </row>
    <row r="67" spans="3:58" ht="18" x14ac:dyDescent="0.35">
      <c r="C67" s="953" t="s">
        <v>1517</v>
      </c>
      <c r="D67"/>
      <c r="E67" s="1874">
        <v>89.48</v>
      </c>
      <c r="F67" s="1554"/>
      <c r="G67" s="1874">
        <v>90.5</v>
      </c>
      <c r="H67" s="1876"/>
      <c r="I67" s="2292">
        <f>AVERAGE(E67,G67)</f>
        <v>89.990000000000009</v>
      </c>
      <c r="J67" s="1554"/>
      <c r="K67" s="1874">
        <v>89.39</v>
      </c>
      <c r="L67" s="1875"/>
      <c r="M67" s="372">
        <v>89.55</v>
      </c>
      <c r="N67" s="171"/>
      <c r="O67" s="1874">
        <v>89.7</v>
      </c>
      <c r="P67" s="1876"/>
      <c r="Q67" s="2292">
        <v>89.587499999999991</v>
      </c>
      <c r="R67" s="171"/>
      <c r="S67" s="1874">
        <v>89.49</v>
      </c>
      <c r="T67" s="1876"/>
      <c r="U67" s="2292">
        <v>89.567999999999998</v>
      </c>
      <c r="V67" s="171"/>
      <c r="W67" s="1874">
        <v>89.5</v>
      </c>
      <c r="X67" s="3440"/>
      <c r="Y67" s="372">
        <f>+AVERAGE(O67,S67,W67)</f>
        <v>89.563333333333333</v>
      </c>
      <c r="Z67" s="1876"/>
      <c r="AA67" s="462">
        <f>+AVERAGE(M67,Y67)</f>
        <v>89.556666666666672</v>
      </c>
      <c r="AB67" s="171"/>
      <c r="AC67" s="2291">
        <v>89.18</v>
      </c>
      <c r="AD67" s="2292"/>
      <c r="AE67" s="2292">
        <v>89.502857142857138</v>
      </c>
      <c r="AF67" s="4660"/>
      <c r="AG67" s="2291">
        <v>89.17</v>
      </c>
      <c r="AH67" s="2292"/>
      <c r="AI67" s="2292">
        <v>89.461249999999993</v>
      </c>
      <c r="AJ67" s="171"/>
      <c r="AK67" s="2291">
        <v>89.59</v>
      </c>
      <c r="AL67" s="3440"/>
      <c r="AM67" s="372">
        <f>+AVERAGE(AC67,AG67,AK67)</f>
        <v>89.313333333333347</v>
      </c>
      <c r="AN67" s="1876"/>
      <c r="AO67" s="2292">
        <v>89.475555555555559</v>
      </c>
      <c r="AP67" s="171"/>
      <c r="AQ67" s="2291">
        <v>90.26</v>
      </c>
      <c r="AR67" s="1876"/>
      <c r="AS67" s="2292">
        <v>89.554000000000002</v>
      </c>
      <c r="AT67" s="171"/>
      <c r="AU67" s="2291">
        <v>90.18</v>
      </c>
      <c r="AV67" s="1876"/>
      <c r="AW67" s="2292">
        <v>89.61090909090909</v>
      </c>
      <c r="AX67" s="171"/>
      <c r="AY67" s="2291">
        <v>89.93</v>
      </c>
      <c r="AZ67" s="3440"/>
      <c r="BA67" s="372">
        <f>+AVERAGE(AQ67,AU67,AY67)</f>
        <v>90.123333333333335</v>
      </c>
      <c r="BB67" s="3990"/>
      <c r="BC67" s="4098">
        <f>+AVERAGE(AM67,BA67)</f>
        <v>89.718333333333334</v>
      </c>
      <c r="BD67" s="1876"/>
      <c r="BE67" s="2292">
        <f>+AVERAGE(AA67,BC67)</f>
        <v>89.637500000000003</v>
      </c>
      <c r="BF67" s="491"/>
    </row>
  </sheetData>
  <mergeCells count="30">
    <mergeCell ref="B53:B61"/>
    <mergeCell ref="D3:E3"/>
    <mergeCell ref="F3:G3"/>
    <mergeCell ref="H3:I3"/>
    <mergeCell ref="B22:B24"/>
    <mergeCell ref="B27:B43"/>
    <mergeCell ref="B45:B48"/>
    <mergeCell ref="B49:B51"/>
    <mergeCell ref="B4:B21"/>
    <mergeCell ref="J3:K3"/>
    <mergeCell ref="L3:M3"/>
    <mergeCell ref="V3:W3"/>
    <mergeCell ref="Z3:AA3"/>
    <mergeCell ref="R3:S3"/>
    <mergeCell ref="T3:U3"/>
    <mergeCell ref="N3:O3"/>
    <mergeCell ref="P3:Q3"/>
    <mergeCell ref="AB3:AC3"/>
    <mergeCell ref="AD3:AE3"/>
    <mergeCell ref="AF3:AG3"/>
    <mergeCell ref="AH3:AI3"/>
    <mergeCell ref="BD3:BE3"/>
    <mergeCell ref="BB3:BC3"/>
    <mergeCell ref="AT3:AU3"/>
    <mergeCell ref="AV3:AW3"/>
    <mergeCell ref="AP3:AQ3"/>
    <mergeCell ref="AX3:AY3"/>
    <mergeCell ref="AR3:AS3"/>
    <mergeCell ref="AJ3:AK3"/>
    <mergeCell ref="AN3:AO3"/>
  </mergeCells>
  <printOptions horizontalCentered="1" verticalCentered="1"/>
  <pageMargins left="0" right="0" top="0" bottom="0" header="0" footer="0"/>
  <pageSetup paperSize="9" scale="46"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tabColor theme="9" tint="-0.499984740745262"/>
    <pageSetUpPr fitToPage="1"/>
  </sheetPr>
  <dimension ref="A1:BM165"/>
  <sheetViews>
    <sheetView zoomScaleNormal="100" workbookViewId="0">
      <pane xSplit="3" ySplit="4" topLeftCell="D100" activePane="bottomRight" state="frozen"/>
      <selection pane="topRight" activeCell="D1" sqref="D1"/>
      <selection pane="bottomLeft" activeCell="A5" sqref="A5"/>
      <selection pane="bottomRight" activeCell="B112" sqref="B112"/>
    </sheetView>
  </sheetViews>
  <sheetFormatPr defaultColWidth="8.88671875" defaultRowHeight="14.4" x14ac:dyDescent="0.3"/>
  <cols>
    <col min="1" max="1" width="6.88671875" customWidth="1"/>
    <col min="2" max="2" width="68.6640625" bestFit="1" customWidth="1"/>
    <col min="3" max="3" width="12.33203125" bestFit="1" customWidth="1"/>
    <col min="4" max="4" width="13.6640625" style="88" bestFit="1" customWidth="1"/>
    <col min="5" max="5" width="9.88671875" style="82" customWidth="1"/>
    <col min="6" max="6" width="9.88671875" style="88" bestFit="1" customWidth="1"/>
    <col min="7" max="7" width="12" style="82" bestFit="1" customWidth="1"/>
    <col min="8" max="8" width="9.88671875" style="88" customWidth="1"/>
    <col min="9" max="9" width="10" style="82" customWidth="1"/>
    <col min="10" max="10" width="10" style="88" customWidth="1"/>
    <col min="11" max="11" width="9.33203125" style="190" hidden="1" customWidth="1"/>
    <col min="12" max="12" width="9.88671875" style="88" hidden="1" customWidth="1"/>
    <col min="13" max="13" width="10.5546875" style="82" hidden="1" customWidth="1"/>
    <col min="14" max="14" width="10" hidden="1" customWidth="1"/>
    <col min="15" max="15" width="9.88671875" style="190" hidden="1" customWidth="1"/>
    <col min="16" max="16" width="9.88671875" hidden="1" customWidth="1"/>
    <col min="17" max="17" width="10" style="82" hidden="1" customWidth="1"/>
    <col min="18" max="18" width="10" hidden="1" customWidth="1"/>
    <col min="19" max="19" width="9.88671875" style="82" hidden="1" customWidth="1"/>
    <col min="20" max="20" width="9.88671875" hidden="1" customWidth="1"/>
    <col min="21" max="21" width="10" style="82" hidden="1" customWidth="1"/>
    <col min="22" max="22" width="13" hidden="1" customWidth="1"/>
    <col min="23" max="23" width="9.88671875" style="82" hidden="1" customWidth="1"/>
    <col min="24" max="24" width="9.88671875" hidden="1" customWidth="1"/>
    <col min="25" max="25" width="13" style="82" hidden="1" customWidth="1"/>
    <col min="26" max="26" width="15.109375" hidden="1" customWidth="1"/>
    <col min="27" max="27" width="13" style="82" hidden="1" customWidth="1"/>
    <col min="28" max="28" width="15.109375" hidden="1" customWidth="1"/>
    <col min="29" max="29" width="8.88671875" hidden="1" customWidth="1"/>
    <col min="30" max="30" width="10" hidden="1" customWidth="1"/>
    <col min="31" max="31" width="9.44140625" hidden="1" customWidth="1"/>
    <col min="32" max="32" width="9" hidden="1" customWidth="1"/>
    <col min="33" max="34" width="8.88671875" hidden="1" customWidth="1"/>
    <col min="35" max="35" width="9.44140625" hidden="1" customWidth="1"/>
    <col min="36" max="36" width="12.33203125" hidden="1" customWidth="1"/>
    <col min="37" max="38" width="8.88671875" hidden="1" customWidth="1"/>
    <col min="39" max="39" width="9.44140625" hidden="1" customWidth="1"/>
    <col min="40" max="40" width="9.33203125" hidden="1" customWidth="1"/>
    <col min="41" max="42" width="10.33203125" hidden="1" customWidth="1"/>
    <col min="43" max="44" width="8.88671875" hidden="1" customWidth="1"/>
    <col min="45" max="45" width="10" hidden="1" customWidth="1"/>
    <col min="46" max="46" width="12" hidden="1" customWidth="1"/>
    <col min="47" max="47" width="9" hidden="1" customWidth="1"/>
    <col min="48" max="48" width="12" hidden="1" customWidth="1"/>
    <col min="49" max="49" width="10" hidden="1" customWidth="1"/>
    <col min="50" max="50" width="12" hidden="1" customWidth="1"/>
    <col min="51" max="52" width="9" hidden="1" customWidth="1"/>
    <col min="53" max="53" width="9.44140625" hidden="1" customWidth="1"/>
    <col min="54" max="54" width="9" hidden="1" customWidth="1"/>
    <col min="55" max="55" width="10" hidden="1" customWidth="1"/>
    <col min="56" max="56" width="9" hidden="1" customWidth="1"/>
    <col min="57" max="58" width="10" hidden="1" customWidth="1"/>
    <col min="59" max="59" width="8.88671875" customWidth="1"/>
  </cols>
  <sheetData>
    <row r="1" spans="1:64" ht="22.8" x14ac:dyDescent="0.4">
      <c r="A1" s="137"/>
      <c r="B1" s="1165" t="s">
        <v>111</v>
      </c>
      <c r="C1" s="1166"/>
      <c r="D1" s="1325">
        <f>+D74/24</f>
        <v>325.41666666666669</v>
      </c>
      <c r="E1" s="1167">
        <f>+E74/24</f>
        <v>21.666666666666668</v>
      </c>
      <c r="F1" s="1167">
        <f t="shared" ref="F1:R1" si="0">+F74/24</f>
        <v>27.707083333333333</v>
      </c>
      <c r="G1" s="1167">
        <f t="shared" si="0"/>
        <v>21.666666666666668</v>
      </c>
      <c r="H1" s="1167">
        <f t="shared" si="0"/>
        <v>12.100833333333334</v>
      </c>
      <c r="I1" s="1167">
        <f t="shared" si="0"/>
        <v>43.333333333333336</v>
      </c>
      <c r="J1" s="1167">
        <f t="shared" si="0"/>
        <v>39.807916666666671</v>
      </c>
      <c r="K1" s="1168">
        <f t="shared" si="0"/>
        <v>28.174999999999997</v>
      </c>
      <c r="L1" s="1167">
        <f t="shared" si="0"/>
        <v>28.435416666666669</v>
      </c>
      <c r="M1" s="1167">
        <f t="shared" si="0"/>
        <v>71.508333333333326</v>
      </c>
      <c r="N1" s="1167">
        <f t="shared" si="0"/>
        <v>68.243333333333339</v>
      </c>
      <c r="O1" s="1168">
        <f t="shared" si="0"/>
        <v>29.155000000000001</v>
      </c>
      <c r="P1" s="1167">
        <f t="shared" si="0"/>
        <v>29.734166666666667</v>
      </c>
      <c r="Q1" s="1167">
        <f t="shared" si="0"/>
        <v>100.66333333333334</v>
      </c>
      <c r="R1" s="1167">
        <f t="shared" si="0"/>
        <v>97.977500000000006</v>
      </c>
      <c r="S1" s="1167">
        <f>+S74/24</f>
        <v>29.155000000000001</v>
      </c>
      <c r="T1" s="1167">
        <f>+T74/24</f>
        <v>28.982083333333335</v>
      </c>
      <c r="U1" s="1167">
        <f>+U74/24</f>
        <v>129.81833333333336</v>
      </c>
      <c r="V1" s="1167">
        <f>+V74/24</f>
        <v>126.95958333333334</v>
      </c>
      <c r="W1" s="1167">
        <f t="shared" ref="W1:AF1" si="1">+W74/24</f>
        <v>15.924999999999999</v>
      </c>
      <c r="X1" s="1167">
        <f t="shared" si="1"/>
        <v>28.558333333333334</v>
      </c>
      <c r="Y1" s="1167">
        <f>+O1+S1+W1</f>
        <v>74.234999999999999</v>
      </c>
      <c r="Z1" s="1167">
        <f>+P1+T1+X1</f>
        <v>87.274583333333339</v>
      </c>
      <c r="AA1" s="1167">
        <f t="shared" si="1"/>
        <v>145.74333333333334</v>
      </c>
      <c r="AB1" s="1167">
        <f t="shared" si="1"/>
        <v>155.51791666666668</v>
      </c>
      <c r="AC1" s="1167">
        <f t="shared" si="1"/>
        <v>29.155000000000001</v>
      </c>
      <c r="AD1" s="1167">
        <f t="shared" si="1"/>
        <v>22.749166666666667</v>
      </c>
      <c r="AE1" s="1167">
        <f t="shared" si="1"/>
        <v>174.89833333333334</v>
      </c>
      <c r="AF1" s="1167">
        <f t="shared" si="1"/>
        <v>178.26708333333332</v>
      </c>
      <c r="AG1" s="1167">
        <f t="shared" ref="AG1:AL1" si="2">+AG74/24</f>
        <v>28.174999999999997</v>
      </c>
      <c r="AH1" s="1167">
        <f t="shared" si="2"/>
        <v>26.732083333333335</v>
      </c>
      <c r="AI1" s="1167">
        <f t="shared" si="2"/>
        <v>203.07333333333335</v>
      </c>
      <c r="AJ1" s="1167">
        <f t="shared" si="2"/>
        <v>204.99916666666664</v>
      </c>
      <c r="AK1" s="1167">
        <f t="shared" si="2"/>
        <v>29.155000000000001</v>
      </c>
      <c r="AL1" s="1167">
        <f t="shared" si="2"/>
        <v>26.346249999999998</v>
      </c>
      <c r="AM1" s="1167">
        <f>+AC1+AG1+AK1</f>
        <v>86.484999999999999</v>
      </c>
      <c r="AN1" s="1167">
        <f>+AD1+AH1+AL1</f>
        <v>75.827500000000001</v>
      </c>
      <c r="AO1" s="1167">
        <f>AI1+AK1</f>
        <v>232.22833333333335</v>
      </c>
      <c r="AP1" s="1167">
        <f>AJ1+AL1</f>
        <v>231.34541666666664</v>
      </c>
      <c r="AQ1" s="1167">
        <f t="shared" ref="AQ1:AT1" si="3">+AQ74/24</f>
        <v>29.155000000000001</v>
      </c>
      <c r="AR1" s="1167">
        <f t="shared" si="3"/>
        <v>28.592500000000001</v>
      </c>
      <c r="AS1" s="1167">
        <f t="shared" si="3"/>
        <v>261.38333333333338</v>
      </c>
      <c r="AT1" s="1167">
        <f t="shared" si="3"/>
        <v>259.93791666666664</v>
      </c>
      <c r="AU1" s="1167">
        <f t="shared" ref="AU1:AX1" si="4">+AU74/24</f>
        <v>26.215</v>
      </c>
      <c r="AV1" s="1167">
        <f t="shared" si="4"/>
        <v>24.425416666666667</v>
      </c>
      <c r="AW1" s="1167">
        <f t="shared" si="4"/>
        <v>287.59833333333336</v>
      </c>
      <c r="AX1" s="1167">
        <f t="shared" si="4"/>
        <v>284.36333333333329</v>
      </c>
      <c r="AY1" s="1167">
        <f t="shared" ref="AY1:BF1" si="5">+AY74/24</f>
        <v>29.155000000000001</v>
      </c>
      <c r="AZ1" s="1167">
        <f t="shared" si="5"/>
        <v>28.0625</v>
      </c>
      <c r="BA1" s="1167">
        <f>+AQ1+AU1+AY1</f>
        <v>84.525000000000006</v>
      </c>
      <c r="BB1" s="1167">
        <f>+AR1+AV1+AZ1</f>
        <v>81.080416666666665</v>
      </c>
      <c r="BC1" s="1167">
        <f t="shared" ref="BC1:BD1" si="6">+BC74/24</f>
        <v>171.01000000000002</v>
      </c>
      <c r="BD1" s="1167">
        <f t="shared" si="6"/>
        <v>156.90791666666667</v>
      </c>
      <c r="BE1" s="1167">
        <f t="shared" si="5"/>
        <v>316.75333333333339</v>
      </c>
      <c r="BF1" s="1167">
        <f t="shared" si="5"/>
        <v>312.42583333333329</v>
      </c>
    </row>
    <row r="2" spans="1:64" x14ac:dyDescent="0.3">
      <c r="B2" s="4"/>
      <c r="C2" s="4"/>
      <c r="D2" s="91">
        <v>365</v>
      </c>
      <c r="E2" s="30">
        <v>30</v>
      </c>
      <c r="F2" s="30">
        <v>30</v>
      </c>
      <c r="G2" s="30">
        <v>31</v>
      </c>
      <c r="H2" s="30">
        <v>31</v>
      </c>
      <c r="I2" s="30">
        <f>+E2+G2</f>
        <v>61</v>
      </c>
      <c r="J2" s="30">
        <f>+F2+H2</f>
        <v>61</v>
      </c>
      <c r="K2" s="412">
        <v>30</v>
      </c>
      <c r="L2" s="30">
        <v>30</v>
      </c>
      <c r="M2" s="30">
        <f>+I2+K2</f>
        <v>91</v>
      </c>
      <c r="N2" s="30">
        <f>+J2+L2</f>
        <v>91</v>
      </c>
      <c r="O2" s="412">
        <v>31</v>
      </c>
      <c r="P2" s="30">
        <v>31</v>
      </c>
      <c r="Q2" s="30">
        <f>+M2+O2</f>
        <v>122</v>
      </c>
      <c r="R2" s="30">
        <f>+N2+P2</f>
        <v>122</v>
      </c>
      <c r="S2" s="30">
        <v>31</v>
      </c>
      <c r="T2" s="30">
        <v>31</v>
      </c>
      <c r="U2" s="30">
        <f>+Q2+S2</f>
        <v>153</v>
      </c>
      <c r="V2" s="30">
        <f>+R2+T2</f>
        <v>153</v>
      </c>
      <c r="W2" s="30">
        <v>30</v>
      </c>
      <c r="X2" s="30">
        <v>30</v>
      </c>
      <c r="Y2" s="30">
        <f>+O2+S2+W2</f>
        <v>92</v>
      </c>
      <c r="Z2" s="30">
        <f>+P2+T2+X2</f>
        <v>92</v>
      </c>
      <c r="AA2" s="30">
        <f>+U2+W2</f>
        <v>183</v>
      </c>
      <c r="AB2" s="30">
        <f>+V2+X2</f>
        <v>183</v>
      </c>
      <c r="AC2" s="30">
        <v>31</v>
      </c>
      <c r="AD2" s="30">
        <v>31</v>
      </c>
      <c r="AE2" s="30">
        <f>+AA2+AC2</f>
        <v>214</v>
      </c>
      <c r="AF2" s="30">
        <f>+AB2+AD2</f>
        <v>214</v>
      </c>
      <c r="AG2" s="30">
        <v>30</v>
      </c>
      <c r="AH2" s="30">
        <v>30</v>
      </c>
      <c r="AI2" s="30">
        <f>+AE2+AG2</f>
        <v>244</v>
      </c>
      <c r="AJ2" s="30">
        <f>+AF2+AH2</f>
        <v>244</v>
      </c>
      <c r="AK2" s="30">
        <v>31</v>
      </c>
      <c r="AL2" s="30">
        <v>31</v>
      </c>
      <c r="AM2" s="30">
        <f>+AC2+AG2+AK2</f>
        <v>92</v>
      </c>
      <c r="AN2" s="30">
        <f>+AD2+AH2+AL2</f>
        <v>92</v>
      </c>
      <c r="AO2" s="1167">
        <f>AI2+AK2</f>
        <v>275</v>
      </c>
      <c r="AP2" s="1167">
        <f>AJ2+AL2</f>
        <v>275</v>
      </c>
      <c r="AQ2" s="30">
        <v>31</v>
      </c>
      <c r="AR2" s="30">
        <v>31</v>
      </c>
      <c r="AS2" s="30">
        <f>+AO2+AQ2</f>
        <v>306</v>
      </c>
      <c r="AT2" s="30">
        <f>+AP2+AR2</f>
        <v>306</v>
      </c>
      <c r="AU2" s="30">
        <v>28</v>
      </c>
      <c r="AV2" s="30">
        <v>28</v>
      </c>
      <c r="AW2" s="30">
        <f>+AS2+AU2</f>
        <v>334</v>
      </c>
      <c r="AX2" s="30">
        <f>+AT2+AV2</f>
        <v>334</v>
      </c>
      <c r="AY2" s="30">
        <v>31</v>
      </c>
      <c r="AZ2" s="30">
        <v>31</v>
      </c>
      <c r="BA2" s="30">
        <f>+AQ2+AU2+AY2</f>
        <v>90</v>
      </c>
      <c r="BB2" s="30">
        <f>+AR2+AV2+AZ2</f>
        <v>90</v>
      </c>
      <c r="BC2" s="30">
        <f>+AM2+BA2</f>
        <v>182</v>
      </c>
      <c r="BD2" s="30">
        <f>+AN2+BB2</f>
        <v>182</v>
      </c>
      <c r="BE2" s="30">
        <f>+AW2+AY2</f>
        <v>365</v>
      </c>
      <c r="BF2" s="30">
        <f>+AX2+AZ2</f>
        <v>365</v>
      </c>
    </row>
    <row r="3" spans="1:64" x14ac:dyDescent="0.3">
      <c r="B3" s="6156" t="s">
        <v>170</v>
      </c>
      <c r="C3" s="6147" t="s">
        <v>171</v>
      </c>
      <c r="D3" s="6067" t="s">
        <v>2212</v>
      </c>
      <c r="E3" s="6147" t="s">
        <v>2211</v>
      </c>
      <c r="F3" s="6147"/>
      <c r="G3" s="6147" t="s">
        <v>2260</v>
      </c>
      <c r="H3" s="6147"/>
      <c r="I3" s="6146" t="s">
        <v>14</v>
      </c>
      <c r="J3" s="6146"/>
      <c r="K3" s="6147" t="s">
        <v>1963</v>
      </c>
      <c r="L3" s="6147"/>
      <c r="M3" s="6148" t="s">
        <v>604</v>
      </c>
      <c r="N3" s="6148"/>
      <c r="O3" s="6147" t="s">
        <v>1985</v>
      </c>
      <c r="P3" s="6147"/>
      <c r="Q3" s="6146" t="s">
        <v>17</v>
      </c>
      <c r="R3" s="6146"/>
      <c r="S3" s="6147" t="s">
        <v>1988</v>
      </c>
      <c r="T3" s="6147"/>
      <c r="U3" s="6146" t="s">
        <v>18</v>
      </c>
      <c r="V3" s="6146"/>
      <c r="W3" s="6147" t="s">
        <v>2019</v>
      </c>
      <c r="X3" s="6147"/>
      <c r="Y3" s="6148" t="s">
        <v>625</v>
      </c>
      <c r="Z3" s="6148"/>
      <c r="AA3" s="6153" t="s">
        <v>623</v>
      </c>
      <c r="AB3" s="6153"/>
      <c r="AC3" s="6147" t="s">
        <v>2043</v>
      </c>
      <c r="AD3" s="6147"/>
      <c r="AE3" s="6146" t="s">
        <v>24</v>
      </c>
      <c r="AF3" s="6146"/>
      <c r="AG3" s="6147" t="s">
        <v>2064</v>
      </c>
      <c r="AH3" s="6147"/>
      <c r="AI3" s="6146" t="s">
        <v>27</v>
      </c>
      <c r="AJ3" s="6146"/>
      <c r="AK3" s="6147" t="s">
        <v>2088</v>
      </c>
      <c r="AL3" s="6147"/>
      <c r="AM3" s="6148" t="s">
        <v>627</v>
      </c>
      <c r="AN3" s="6148"/>
      <c r="AO3" s="6146" t="s">
        <v>1565</v>
      </c>
      <c r="AP3" s="6146"/>
      <c r="AQ3" s="6147" t="s">
        <v>2099</v>
      </c>
      <c r="AR3" s="6147"/>
      <c r="AS3" s="6146" t="s">
        <v>28</v>
      </c>
      <c r="AT3" s="6146"/>
      <c r="AU3" s="6147" t="s">
        <v>2136</v>
      </c>
      <c r="AV3" s="6147"/>
      <c r="AW3" s="6146" t="s">
        <v>30</v>
      </c>
      <c r="AX3" s="6146"/>
      <c r="AY3" s="6147" t="s">
        <v>2154</v>
      </c>
      <c r="AZ3" s="6147"/>
      <c r="BA3" s="6148" t="s">
        <v>628</v>
      </c>
      <c r="BB3" s="6148"/>
      <c r="BC3" s="6153" t="s">
        <v>634</v>
      </c>
      <c r="BD3" s="6153"/>
      <c r="BE3" s="6146" t="s">
        <v>1961</v>
      </c>
      <c r="BF3" s="6146"/>
    </row>
    <row r="4" spans="1:64" x14ac:dyDescent="0.3">
      <c r="B4" s="6156"/>
      <c r="C4" s="6147"/>
      <c r="D4" s="6067"/>
      <c r="E4" s="506" t="s">
        <v>172</v>
      </c>
      <c r="F4" s="506" t="s">
        <v>173</v>
      </c>
      <c r="G4" s="506" t="s">
        <v>172</v>
      </c>
      <c r="H4" s="506" t="s">
        <v>173</v>
      </c>
      <c r="I4" s="176" t="s">
        <v>172</v>
      </c>
      <c r="J4" s="176" t="s">
        <v>173</v>
      </c>
      <c r="K4" s="1418" t="s">
        <v>172</v>
      </c>
      <c r="L4" s="506" t="s">
        <v>173</v>
      </c>
      <c r="M4" s="177" t="s">
        <v>172</v>
      </c>
      <c r="N4" s="177" t="s">
        <v>173</v>
      </c>
      <c r="O4" s="1418" t="s">
        <v>172</v>
      </c>
      <c r="P4" s="506" t="s">
        <v>173</v>
      </c>
      <c r="Q4" s="176" t="s">
        <v>172</v>
      </c>
      <c r="R4" s="176" t="s">
        <v>173</v>
      </c>
      <c r="S4" s="506" t="s">
        <v>172</v>
      </c>
      <c r="T4" s="506" t="s">
        <v>173</v>
      </c>
      <c r="U4" s="176" t="s">
        <v>172</v>
      </c>
      <c r="V4" s="176" t="s">
        <v>173</v>
      </c>
      <c r="W4" s="506" t="s">
        <v>172</v>
      </c>
      <c r="X4" s="506" t="s">
        <v>173</v>
      </c>
      <c r="Y4" s="177" t="s">
        <v>172</v>
      </c>
      <c r="Z4" s="177" t="s">
        <v>173</v>
      </c>
      <c r="AA4" s="1169" t="s">
        <v>172</v>
      </c>
      <c r="AB4" s="1169" t="s">
        <v>173</v>
      </c>
      <c r="AC4" s="506" t="s">
        <v>172</v>
      </c>
      <c r="AD4" s="506" t="s">
        <v>173</v>
      </c>
      <c r="AE4" s="176" t="s">
        <v>172</v>
      </c>
      <c r="AF4" s="176" t="s">
        <v>173</v>
      </c>
      <c r="AG4" s="506" t="s">
        <v>172</v>
      </c>
      <c r="AH4" s="506" t="s">
        <v>173</v>
      </c>
      <c r="AI4" s="176" t="s">
        <v>172</v>
      </c>
      <c r="AJ4" s="176" t="s">
        <v>173</v>
      </c>
      <c r="AK4" s="506" t="s">
        <v>172</v>
      </c>
      <c r="AL4" s="506" t="s">
        <v>173</v>
      </c>
      <c r="AM4" s="177" t="s">
        <v>172</v>
      </c>
      <c r="AN4" s="177" t="s">
        <v>173</v>
      </c>
      <c r="AO4" s="176" t="s">
        <v>172</v>
      </c>
      <c r="AP4" s="176" t="s">
        <v>173</v>
      </c>
      <c r="AQ4" s="506" t="s">
        <v>172</v>
      </c>
      <c r="AR4" s="506" t="s">
        <v>173</v>
      </c>
      <c r="AS4" s="176" t="s">
        <v>172</v>
      </c>
      <c r="AT4" s="176" t="s">
        <v>173</v>
      </c>
      <c r="AU4" s="506" t="s">
        <v>172</v>
      </c>
      <c r="AV4" s="506" t="s">
        <v>173</v>
      </c>
      <c r="AW4" s="176" t="s">
        <v>172</v>
      </c>
      <c r="AX4" s="176" t="s">
        <v>173</v>
      </c>
      <c r="AY4" s="506" t="s">
        <v>172</v>
      </c>
      <c r="AZ4" s="506" t="s">
        <v>173</v>
      </c>
      <c r="BA4" s="177" t="s">
        <v>172</v>
      </c>
      <c r="BB4" s="177" t="s">
        <v>173</v>
      </c>
      <c r="BC4" s="1169" t="s">
        <v>172</v>
      </c>
      <c r="BD4" s="1169" t="s">
        <v>173</v>
      </c>
      <c r="BE4" s="176" t="s">
        <v>172</v>
      </c>
      <c r="BF4" s="176" t="s">
        <v>173</v>
      </c>
    </row>
    <row r="5" spans="1:64" ht="17.399999999999999" x14ac:dyDescent="0.3">
      <c r="A5" s="137"/>
      <c r="B5" s="1170" t="s">
        <v>889</v>
      </c>
      <c r="C5" s="1170"/>
      <c r="D5" s="227"/>
      <c r="E5" s="1170"/>
      <c r="F5" s="1170"/>
      <c r="G5" s="1170"/>
      <c r="H5" s="1170"/>
      <c r="I5" s="1170"/>
      <c r="J5" s="1170"/>
      <c r="K5" s="1170"/>
      <c r="L5" s="1170"/>
      <c r="M5" s="1170"/>
      <c r="N5" s="1170"/>
      <c r="O5" s="1170"/>
      <c r="P5" s="1170"/>
      <c r="Q5" s="1170"/>
      <c r="R5" s="1170"/>
      <c r="S5" s="1170"/>
      <c r="T5" s="1588"/>
      <c r="U5" s="1170"/>
      <c r="V5" s="1170"/>
      <c r="W5" s="1170"/>
      <c r="X5" s="1170"/>
      <c r="Y5" s="1170"/>
      <c r="Z5" s="1170"/>
      <c r="AA5" s="1170"/>
      <c r="AB5" s="1170"/>
      <c r="AC5" s="1170"/>
      <c r="AD5" s="1170"/>
      <c r="AE5" s="1170"/>
      <c r="AF5" s="1170"/>
      <c r="AG5" s="1170"/>
      <c r="AH5" s="1170"/>
      <c r="AI5" s="1170"/>
      <c r="AJ5" s="1170"/>
      <c r="AK5" s="1170"/>
      <c r="AL5" s="1170"/>
      <c r="AM5" s="1170"/>
      <c r="AN5" s="1170"/>
      <c r="AO5" s="1170"/>
      <c r="AP5" s="1170"/>
      <c r="AQ5" s="1170"/>
      <c r="AR5" s="1170"/>
      <c r="AS5" s="1170"/>
      <c r="AT5" s="1170"/>
      <c r="AU5" s="1170"/>
      <c r="AV5" s="1170"/>
      <c r="AW5" s="1170"/>
      <c r="AX5" s="1170"/>
      <c r="AY5" s="1170"/>
      <c r="AZ5" s="1170"/>
      <c r="BA5" s="1170"/>
      <c r="BB5" s="1170"/>
      <c r="BC5" s="1170"/>
      <c r="BD5" s="1170"/>
      <c r="BE5" s="1170"/>
      <c r="BF5" s="1170"/>
    </row>
    <row r="6" spans="1:64" x14ac:dyDescent="0.3">
      <c r="B6" s="1171" t="s">
        <v>37</v>
      </c>
      <c r="C6" s="60" t="s">
        <v>50</v>
      </c>
      <c r="D6" s="1094">
        <v>3280260.1012940393</v>
      </c>
      <c r="E6" s="1172">
        <v>227431.36702305343</v>
      </c>
      <c r="F6" s="5173">
        <v>275112</v>
      </c>
      <c r="G6" s="1172">
        <v>204469.54631399515</v>
      </c>
      <c r="H6" s="5173">
        <v>120653</v>
      </c>
      <c r="I6" s="1173">
        <f>+E6+G6</f>
        <v>431900.91333704861</v>
      </c>
      <c r="J6" s="1173">
        <f>+F6+H6</f>
        <v>395765</v>
      </c>
      <c r="K6" s="1172">
        <v>291765.43036840716</v>
      </c>
      <c r="L6" s="1172">
        <v>294702</v>
      </c>
      <c r="M6" s="1175">
        <f>+K6+G6+E6</f>
        <v>723666.34370545577</v>
      </c>
      <c r="N6" s="1175">
        <f>+L6+H6+F6</f>
        <v>690467</v>
      </c>
      <c r="O6" s="1172">
        <v>295052.18257349316</v>
      </c>
      <c r="P6" s="1172">
        <v>311810</v>
      </c>
      <c r="Q6" s="1173">
        <f>+M6+O6</f>
        <v>1018718.5262789489</v>
      </c>
      <c r="R6" s="1173">
        <f>+N6+P6</f>
        <v>1002277</v>
      </c>
      <c r="S6" s="1172">
        <v>295052.18257349316</v>
      </c>
      <c r="T6" s="1172">
        <v>299997</v>
      </c>
      <c r="U6" s="1173">
        <f>+Q6+S6</f>
        <v>1313770.708852442</v>
      </c>
      <c r="V6" s="1173">
        <f>+R6+T6</f>
        <v>1302274</v>
      </c>
      <c r="W6" s="1172">
        <v>162788.71665538964</v>
      </c>
      <c r="X6" s="1172">
        <v>293194</v>
      </c>
      <c r="Y6" s="1175">
        <f>+O6+S6+W6</f>
        <v>752893.08180237596</v>
      </c>
      <c r="Z6" s="1175">
        <f>+P6+T6+X6</f>
        <v>905001</v>
      </c>
      <c r="AA6" s="1114">
        <f>M6+Y6</f>
        <v>1476559.4255078319</v>
      </c>
      <c r="AB6" s="1114">
        <f>N6+Z6</f>
        <v>1595468</v>
      </c>
      <c r="AC6" s="1172">
        <v>300530.10291530337</v>
      </c>
      <c r="AD6" s="1172">
        <v>236018</v>
      </c>
      <c r="AE6" s="1173">
        <f>+AA6+AC6</f>
        <v>1777089.5284231352</v>
      </c>
      <c r="AF6" s="1173">
        <f>+AB6+AD6</f>
        <v>1831486</v>
      </c>
      <c r="AG6" s="1172">
        <v>294901.07939664274</v>
      </c>
      <c r="AH6" s="1172">
        <v>286007</v>
      </c>
      <c r="AI6" s="1173">
        <f>+AE6+AG6</f>
        <v>2071990.6078197779</v>
      </c>
      <c r="AJ6" s="1173">
        <f>+AF6+AH6</f>
        <v>2117493</v>
      </c>
      <c r="AK6" s="1172">
        <v>303665.7519435389</v>
      </c>
      <c r="AL6" s="1172">
        <v>281356</v>
      </c>
      <c r="AM6" s="1175">
        <f>+AC6+AG6+AK6</f>
        <v>899096.93425548496</v>
      </c>
      <c r="AN6" s="1175">
        <f>+AD6+AH6+AL6</f>
        <v>803381</v>
      </c>
      <c r="AO6" s="1173">
        <f>AI6+AK6</f>
        <v>2375656.3597633168</v>
      </c>
      <c r="AP6" s="1173">
        <f>AJ6+AL6</f>
        <v>2398849</v>
      </c>
      <c r="AQ6" s="1172">
        <v>304912.43918875139</v>
      </c>
      <c r="AR6" s="1172">
        <v>285935</v>
      </c>
      <c r="AS6" s="1173">
        <f>+AO6+AQ6</f>
        <v>2680568.7989520682</v>
      </c>
      <c r="AT6" s="1173">
        <f>+AP6+AR6</f>
        <v>2684784</v>
      </c>
      <c r="AU6" s="1172">
        <v>274236.0852746148</v>
      </c>
      <c r="AV6" s="1172">
        <v>245579.88</v>
      </c>
      <c r="AW6" s="1173">
        <f>+AS6+AU6</f>
        <v>2954804.8842266831</v>
      </c>
      <c r="AX6" s="1173">
        <f>+AT6+AV6</f>
        <v>2930363.88</v>
      </c>
      <c r="AY6" s="1172">
        <v>304912.43918875139</v>
      </c>
      <c r="AZ6" s="1172">
        <v>295911</v>
      </c>
      <c r="BA6" s="1175">
        <f>+AQ6+AU6+AY6</f>
        <v>884060.96365211764</v>
      </c>
      <c r="BB6" s="1175">
        <f>+AR6+AV6+AZ6</f>
        <v>827425.88</v>
      </c>
      <c r="BC6" s="1114">
        <f>AM6+BA6</f>
        <v>1783157.8979076026</v>
      </c>
      <c r="BD6" s="1114">
        <f t="shared" ref="BD6" si="7">AN6+BB6</f>
        <v>1630806.88</v>
      </c>
      <c r="BE6" s="1173">
        <f>+AW6+AY6</f>
        <v>3259717.3234154345</v>
      </c>
      <c r="BF6" s="1173">
        <f>+AX6+AZ6</f>
        <v>3226274.88</v>
      </c>
      <c r="BG6" s="23"/>
      <c r="BH6" s="23"/>
      <c r="BI6" s="23"/>
      <c r="BJ6" s="23"/>
      <c r="BK6" s="23"/>
      <c r="BL6" s="23"/>
    </row>
    <row r="7" spans="1:64" x14ac:dyDescent="0.3">
      <c r="B7" s="1171" t="s">
        <v>38</v>
      </c>
      <c r="C7" s="60" t="s">
        <v>50</v>
      </c>
      <c r="D7" s="1094">
        <v>176601.6661032578</v>
      </c>
      <c r="E7" s="1172">
        <v>12244.38218315921</v>
      </c>
      <c r="F7" s="5173">
        <v>5643</v>
      </c>
      <c r="G7" s="1172">
        <v>11008.170520436404</v>
      </c>
      <c r="H7" s="5173">
        <v>2445</v>
      </c>
      <c r="I7" s="1173">
        <f t="shared" ref="I7:I20" si="8">+E7+G7</f>
        <v>23252.552703595615</v>
      </c>
      <c r="J7" s="1173">
        <f t="shared" ref="J7:J20" si="9">+F7+H7</f>
        <v>8088</v>
      </c>
      <c r="K7" s="1172">
        <v>16918.564343025799</v>
      </c>
      <c r="L7" s="139">
        <v>13246</v>
      </c>
      <c r="M7" s="1175">
        <f t="shared" ref="M7:M20" si="10">+K7+G7+E7</f>
        <v>40171.11704662141</v>
      </c>
      <c r="N7" s="1175">
        <f t="shared" ref="N7:N20" si="11">+L7+H7+F7</f>
        <v>21334</v>
      </c>
      <c r="O7" s="1172">
        <v>17109.152818813061</v>
      </c>
      <c r="P7" s="1172">
        <v>14610</v>
      </c>
      <c r="Q7" s="1173">
        <f t="shared" ref="Q7:Q20" si="12">+M7+O7</f>
        <v>57280.269865434471</v>
      </c>
      <c r="R7" s="1173">
        <f t="shared" ref="R7:R20" si="13">+N7+P7</f>
        <v>35944</v>
      </c>
      <c r="S7" s="1172">
        <v>17109.152818813061</v>
      </c>
      <c r="T7" s="1172">
        <v>11983</v>
      </c>
      <c r="U7" s="1173">
        <f t="shared" ref="U7:U20" si="14">+Q7+S7</f>
        <v>74389.422684247533</v>
      </c>
      <c r="V7" s="1173">
        <f t="shared" ref="V7:V20" si="15">+R7+T7</f>
        <v>47927</v>
      </c>
      <c r="W7" s="1172">
        <v>9439.6082962096843</v>
      </c>
      <c r="X7" s="139">
        <v>12979</v>
      </c>
      <c r="Y7" s="1175">
        <f t="shared" ref="Y7:Y20" si="16">+O7+S7+W7</f>
        <v>43657.913933835807</v>
      </c>
      <c r="Z7" s="1175">
        <f t="shared" ref="Z7:Z20" si="17">+P7+T7+X7</f>
        <v>39572</v>
      </c>
      <c r="AA7" s="1114">
        <f t="shared" ref="AA7:AA20" si="18">M7+Y7</f>
        <v>83829.030980457217</v>
      </c>
      <c r="AB7" s="1114">
        <f t="shared" ref="AB7:AB20" si="19">N7+Z7</f>
        <v>60906</v>
      </c>
      <c r="AC7" s="1172">
        <v>17426.800278458504</v>
      </c>
      <c r="AD7" s="1172">
        <v>12341</v>
      </c>
      <c r="AE7" s="1173">
        <f t="shared" ref="AE7:AE20" si="20">+AA7+AC7</f>
        <v>101255.83125891571</v>
      </c>
      <c r="AF7" s="1173">
        <f t="shared" ref="AF7:AF14" si="21">+AB7+AD7</f>
        <v>73247</v>
      </c>
      <c r="AG7" s="1172">
        <v>17100.390818404881</v>
      </c>
      <c r="AH7" s="1172">
        <v>14520</v>
      </c>
      <c r="AI7" s="1173">
        <f t="shared" ref="AI7:AI20" si="22">+AE7+AG7</f>
        <v>118356.22207732059</v>
      </c>
      <c r="AJ7" s="1173">
        <f t="shared" ref="AJ7:AJ20" si="23">+AF7+AH7</f>
        <v>87767</v>
      </c>
      <c r="AK7" s="1172">
        <v>17608.626753837594</v>
      </c>
      <c r="AL7" s="1172">
        <v>14536</v>
      </c>
      <c r="AM7" s="1175">
        <f t="shared" ref="AM7:AM20" si="24">+AC7+AG7+AK7</f>
        <v>52135.817850700987</v>
      </c>
      <c r="AN7" s="1175">
        <f t="shared" ref="AN7:AN20" si="25">+AD7+AH7+AL7</f>
        <v>41397</v>
      </c>
      <c r="AO7" s="1173">
        <f t="shared" ref="AO7:AO20" si="26">AI7+AK7</f>
        <v>135964.84883115819</v>
      </c>
      <c r="AP7" s="1173">
        <f t="shared" ref="AP7:AP20" si="27">AJ7+AL7</f>
        <v>102303</v>
      </c>
      <c r="AQ7" s="1172">
        <v>17680.918246174861</v>
      </c>
      <c r="AR7" s="1172">
        <v>11224</v>
      </c>
      <c r="AS7" s="1173">
        <f t="shared" ref="AS7:AS20" si="28">+AO7+AQ7</f>
        <v>153645.76707733306</v>
      </c>
      <c r="AT7" s="1173">
        <f t="shared" ref="AT7:AT20" si="29">+AP7+AR7</f>
        <v>113527</v>
      </c>
      <c r="AU7" s="1172">
        <v>15902.092472160377</v>
      </c>
      <c r="AV7" s="1172">
        <v>11013</v>
      </c>
      <c r="AW7" s="1173">
        <f t="shared" ref="AW7:AW18" si="30">+AS7+AU7</f>
        <v>169547.85954949344</v>
      </c>
      <c r="AX7" s="1173">
        <f t="shared" ref="AX7:AX18" si="31">+AT7+AV7</f>
        <v>124540</v>
      </c>
      <c r="AY7" s="1172">
        <v>17680.918246174861</v>
      </c>
      <c r="AZ7" s="1172">
        <v>14012</v>
      </c>
      <c r="BA7" s="1175">
        <f t="shared" ref="BA7:BA20" si="32">+AQ7+AU7+AY7</f>
        <v>51263.928964510094</v>
      </c>
      <c r="BB7" s="1175">
        <f t="shared" ref="BB7:BB20" si="33">+AR7+AV7+AZ7</f>
        <v>36249</v>
      </c>
      <c r="BC7" s="1114">
        <f t="shared" ref="BC7:BC20" si="34">AM7+BA7</f>
        <v>103399.74681521108</v>
      </c>
      <c r="BD7" s="1114">
        <f t="shared" ref="BD7:BD20" si="35">AN7+BB7</f>
        <v>77646</v>
      </c>
      <c r="BE7" s="1173">
        <f t="shared" ref="BE7:BE16" si="36">+AW7+AY7</f>
        <v>187228.77779566831</v>
      </c>
      <c r="BF7" s="1173">
        <f>+AX7+AZ7</f>
        <v>138552</v>
      </c>
      <c r="BG7" s="23"/>
      <c r="BH7" s="23"/>
      <c r="BI7" s="23"/>
      <c r="BJ7" s="23"/>
      <c r="BK7" s="23"/>
      <c r="BL7" s="23"/>
    </row>
    <row r="8" spans="1:64" x14ac:dyDescent="0.3">
      <c r="B8" s="1171" t="s">
        <v>39</v>
      </c>
      <c r="C8" s="60" t="s">
        <v>50</v>
      </c>
      <c r="D8" s="1094">
        <v>398640.93288760155</v>
      </c>
      <c r="E8" s="1172">
        <v>27639.104680207049</v>
      </c>
      <c r="F8" s="5174">
        <v>38435</v>
      </c>
      <c r="G8" s="1172">
        <v>24848.618149993832</v>
      </c>
      <c r="H8" s="5174">
        <v>18208</v>
      </c>
      <c r="I8" s="1173">
        <f t="shared" si="8"/>
        <v>52487.722830200881</v>
      </c>
      <c r="J8" s="1173">
        <f t="shared" si="9"/>
        <v>56643</v>
      </c>
      <c r="K8" s="1172">
        <v>35307.812513713536</v>
      </c>
      <c r="L8" s="139">
        <v>32851</v>
      </c>
      <c r="M8" s="1175">
        <f t="shared" si="10"/>
        <v>87795.535343914409</v>
      </c>
      <c r="N8" s="1175">
        <f t="shared" si="11"/>
        <v>89494</v>
      </c>
      <c r="O8" s="1172">
        <v>35705.556792361218</v>
      </c>
      <c r="P8" s="139">
        <v>36699</v>
      </c>
      <c r="Q8" s="1173">
        <f t="shared" si="12"/>
        <v>123501.09213627563</v>
      </c>
      <c r="R8" s="1173">
        <f t="shared" si="13"/>
        <v>126193</v>
      </c>
      <c r="S8" s="1172">
        <v>35705.556792361218</v>
      </c>
      <c r="T8" s="1172">
        <v>37500</v>
      </c>
      <c r="U8" s="1173">
        <f t="shared" si="14"/>
        <v>159206.64892863686</v>
      </c>
      <c r="V8" s="1173">
        <f t="shared" si="15"/>
        <v>163693</v>
      </c>
      <c r="W8" s="1172">
        <v>19699.7755346101</v>
      </c>
      <c r="X8" s="139">
        <v>35093</v>
      </c>
      <c r="Y8" s="1175">
        <f t="shared" si="16"/>
        <v>91110.88911933254</v>
      </c>
      <c r="Z8" s="1175">
        <f t="shared" si="17"/>
        <v>109292</v>
      </c>
      <c r="AA8" s="1114">
        <f t="shared" si="18"/>
        <v>178906.42446324695</v>
      </c>
      <c r="AB8" s="1114">
        <f t="shared" si="19"/>
        <v>198786</v>
      </c>
      <c r="AC8" s="1172">
        <v>36368.463923440693</v>
      </c>
      <c r="AD8" s="139">
        <v>28556</v>
      </c>
      <c r="AE8" s="1173">
        <f t="shared" si="20"/>
        <v>215274.88838668764</v>
      </c>
      <c r="AF8" s="1173">
        <f t="shared" si="21"/>
        <v>227342</v>
      </c>
      <c r="AG8" s="1172">
        <v>35687.27113517515</v>
      </c>
      <c r="AH8" s="139">
        <v>31931</v>
      </c>
      <c r="AI8" s="1173">
        <f t="shared" si="22"/>
        <v>250962.15952186281</v>
      </c>
      <c r="AJ8" s="1173">
        <f t="shared" si="23"/>
        <v>259273</v>
      </c>
      <c r="AK8" s="1172">
        <v>36747.9225449023</v>
      </c>
      <c r="AL8" s="139">
        <v>30144</v>
      </c>
      <c r="AM8" s="1175">
        <f t="shared" si="24"/>
        <v>108803.65760351814</v>
      </c>
      <c r="AN8" s="1175">
        <f t="shared" si="25"/>
        <v>90631</v>
      </c>
      <c r="AO8" s="1173">
        <f t="shared" si="26"/>
        <v>287710.08206676511</v>
      </c>
      <c r="AP8" s="1173">
        <f t="shared" si="27"/>
        <v>289417</v>
      </c>
      <c r="AQ8" s="1172">
        <v>36898.789628304265</v>
      </c>
      <c r="AR8" s="139">
        <v>35371</v>
      </c>
      <c r="AS8" s="1173">
        <f t="shared" si="28"/>
        <v>324608.87169506936</v>
      </c>
      <c r="AT8" s="1173">
        <f t="shared" si="29"/>
        <v>324788</v>
      </c>
      <c r="AU8" s="1172">
        <v>33186.509694259221</v>
      </c>
      <c r="AV8" s="1172">
        <v>32409</v>
      </c>
      <c r="AW8" s="1173">
        <f t="shared" si="30"/>
        <v>357795.38138932857</v>
      </c>
      <c r="AX8" s="1173">
        <f t="shared" si="31"/>
        <v>357197</v>
      </c>
      <c r="AY8" s="1172">
        <v>36898.789628304265</v>
      </c>
      <c r="AZ8" s="252">
        <v>40267</v>
      </c>
      <c r="BA8" s="1175">
        <f t="shared" si="32"/>
        <v>106984.08895086775</v>
      </c>
      <c r="BB8" s="1175">
        <f t="shared" si="33"/>
        <v>108047</v>
      </c>
      <c r="BC8" s="1114">
        <f t="shared" si="34"/>
        <v>215787.74655438587</v>
      </c>
      <c r="BD8" s="1114">
        <f t="shared" si="35"/>
        <v>198678</v>
      </c>
      <c r="BE8" s="1173">
        <f t="shared" si="36"/>
        <v>394694.17101763282</v>
      </c>
      <c r="BF8" s="1173">
        <f>+AX8+AZ8</f>
        <v>397464</v>
      </c>
      <c r="BG8" s="23"/>
      <c r="BH8" s="23"/>
      <c r="BI8" s="23"/>
      <c r="BJ8" s="23"/>
      <c r="BK8" s="23"/>
      <c r="BL8" s="23"/>
    </row>
    <row r="9" spans="1:64" x14ac:dyDescent="0.3">
      <c r="B9" s="1171" t="s">
        <v>40</v>
      </c>
      <c r="C9" s="60" t="s">
        <v>50</v>
      </c>
      <c r="D9" s="1094">
        <v>185523.6888703226</v>
      </c>
      <c r="E9" s="1172">
        <v>12862.975761675698</v>
      </c>
      <c r="F9" s="5173">
        <v>11579</v>
      </c>
      <c r="G9" s="1172">
        <v>11564.309939583442</v>
      </c>
      <c r="H9" s="5173">
        <v>5415</v>
      </c>
      <c r="I9" s="1173">
        <f t="shared" si="8"/>
        <v>24427.285701259141</v>
      </c>
      <c r="J9" s="1173">
        <f t="shared" si="9"/>
        <v>16994</v>
      </c>
      <c r="K9" s="1172">
        <v>16543.909427482569</v>
      </c>
      <c r="L9" s="139">
        <v>14107</v>
      </c>
      <c r="M9" s="1175">
        <f t="shared" si="10"/>
        <v>40971.195128741711</v>
      </c>
      <c r="N9" s="1175">
        <f t="shared" si="11"/>
        <v>31101</v>
      </c>
      <c r="O9" s="1172">
        <v>16730.277396857357</v>
      </c>
      <c r="P9" s="139">
        <v>15252</v>
      </c>
      <c r="Q9" s="1173">
        <f t="shared" si="12"/>
        <v>57701.472525599063</v>
      </c>
      <c r="R9" s="1173">
        <f t="shared" si="13"/>
        <v>46353</v>
      </c>
      <c r="S9" s="1172">
        <v>16730.277396857357</v>
      </c>
      <c r="T9" s="139">
        <v>16545</v>
      </c>
      <c r="U9" s="1173">
        <f t="shared" si="14"/>
        <v>74431.749922456424</v>
      </c>
      <c r="V9" s="1173">
        <f t="shared" si="15"/>
        <v>62898</v>
      </c>
      <c r="W9" s="1172">
        <v>9230.571904156981</v>
      </c>
      <c r="X9" s="139">
        <v>13797</v>
      </c>
      <c r="Y9" s="1175">
        <f t="shared" si="16"/>
        <v>42691.126697871696</v>
      </c>
      <c r="Z9" s="1175">
        <f t="shared" si="17"/>
        <v>45594</v>
      </c>
      <c r="AA9" s="1114">
        <f t="shared" si="18"/>
        <v>83662.321826613406</v>
      </c>
      <c r="AB9" s="1114">
        <f t="shared" si="19"/>
        <v>76695</v>
      </c>
      <c r="AC9" s="1172">
        <v>17040.890679148677</v>
      </c>
      <c r="AD9" s="139">
        <v>11749</v>
      </c>
      <c r="AE9" s="1173">
        <f t="shared" si="20"/>
        <v>100703.21250576209</v>
      </c>
      <c r="AF9" s="1173">
        <f t="shared" si="21"/>
        <v>88444</v>
      </c>
      <c r="AG9" s="1172">
        <v>16721.709427482569</v>
      </c>
      <c r="AH9" s="139">
        <v>14310</v>
      </c>
      <c r="AI9" s="1173">
        <f t="shared" si="22"/>
        <v>117424.92193324465</v>
      </c>
      <c r="AJ9" s="1173">
        <f t="shared" si="23"/>
        <v>102754</v>
      </c>
      <c r="AK9" s="1172">
        <v>17218.690679148676</v>
      </c>
      <c r="AL9" s="139">
        <v>13988</v>
      </c>
      <c r="AM9" s="1175">
        <f t="shared" si="24"/>
        <v>50981.290785779922</v>
      </c>
      <c r="AN9" s="1175">
        <f t="shared" si="25"/>
        <v>40047</v>
      </c>
      <c r="AO9" s="1173">
        <f t="shared" si="26"/>
        <v>134643.61261239334</v>
      </c>
      <c r="AP9" s="1173">
        <f t="shared" si="27"/>
        <v>116742</v>
      </c>
      <c r="AQ9" s="1172">
        <v>17289.381304981736</v>
      </c>
      <c r="AR9" s="139">
        <v>14166</v>
      </c>
      <c r="AS9" s="1173">
        <f t="shared" si="28"/>
        <v>151932.99391737508</v>
      </c>
      <c r="AT9" s="1173">
        <f t="shared" si="29"/>
        <v>130908</v>
      </c>
      <c r="AU9" s="1172">
        <v>15549.946924150338</v>
      </c>
      <c r="AV9" s="1172">
        <v>12237</v>
      </c>
      <c r="AW9" s="1173">
        <f t="shared" si="30"/>
        <v>167482.94084152541</v>
      </c>
      <c r="AX9" s="1173">
        <f t="shared" si="31"/>
        <v>143145</v>
      </c>
      <c r="AY9" s="1172">
        <v>17289.381304981736</v>
      </c>
      <c r="AZ9" s="1172">
        <v>15890</v>
      </c>
      <c r="BA9" s="1175">
        <f t="shared" si="32"/>
        <v>50128.709534113805</v>
      </c>
      <c r="BB9" s="1175">
        <f t="shared" si="33"/>
        <v>42293</v>
      </c>
      <c r="BC9" s="1114">
        <f t="shared" si="34"/>
        <v>101110.00031989373</v>
      </c>
      <c r="BD9" s="1114">
        <f t="shared" si="35"/>
        <v>82340</v>
      </c>
      <c r="BE9" s="1173">
        <f t="shared" si="36"/>
        <v>184772.32214650715</v>
      </c>
      <c r="BF9" s="1173">
        <f t="shared" ref="BF9:BF12" si="37">+AX9+AZ9</f>
        <v>159035</v>
      </c>
      <c r="BG9" s="23"/>
      <c r="BH9" s="23"/>
      <c r="BI9" s="23"/>
      <c r="BJ9" s="23"/>
      <c r="BK9" s="23"/>
      <c r="BL9" s="23"/>
    </row>
    <row r="10" spans="1:64" ht="15" customHeight="1" x14ac:dyDescent="0.3">
      <c r="B10" s="1171" t="s">
        <v>1386</v>
      </c>
      <c r="C10" s="60" t="s">
        <v>50</v>
      </c>
      <c r="D10" s="1094">
        <v>6310.3295534123336</v>
      </c>
      <c r="E10" s="1172">
        <v>437.51618236992181</v>
      </c>
      <c r="F10" s="5174">
        <v>0</v>
      </c>
      <c r="G10" s="1172">
        <v>393.34387549603542</v>
      </c>
      <c r="H10" s="5174"/>
      <c r="I10" s="1173">
        <f t="shared" si="8"/>
        <v>830.86005786595729</v>
      </c>
      <c r="J10" s="1173">
        <f t="shared" si="9"/>
        <v>0</v>
      </c>
      <c r="K10" s="1172">
        <v>148.87657527543368</v>
      </c>
      <c r="L10" s="139">
        <v>394</v>
      </c>
      <c r="M10" s="1175">
        <f t="shared" si="10"/>
        <v>979.73663314139094</v>
      </c>
      <c r="N10" s="1175">
        <f t="shared" si="11"/>
        <v>394</v>
      </c>
      <c r="O10" s="1172">
        <v>150.55367736204596</v>
      </c>
      <c r="P10" s="139">
        <v>932</v>
      </c>
      <c r="Q10" s="1173">
        <f t="shared" si="12"/>
        <v>1130.290310503437</v>
      </c>
      <c r="R10" s="1173">
        <f t="shared" si="13"/>
        <v>1326</v>
      </c>
      <c r="S10" s="1172">
        <v>150.55367736204596</v>
      </c>
      <c r="T10" s="139">
        <v>728</v>
      </c>
      <c r="U10" s="1173">
        <f t="shared" si="14"/>
        <v>1280.8439878654831</v>
      </c>
      <c r="V10" s="1173">
        <f t="shared" si="15"/>
        <v>2054</v>
      </c>
      <c r="W10" s="1172">
        <v>83.064764041907608</v>
      </c>
      <c r="X10" s="139">
        <v>0</v>
      </c>
      <c r="Y10" s="1175">
        <f t="shared" si="16"/>
        <v>384.17211876599953</v>
      </c>
      <c r="Z10" s="1175">
        <f t="shared" si="17"/>
        <v>1660</v>
      </c>
      <c r="AA10" s="1114">
        <f t="shared" si="18"/>
        <v>1363.9087519073905</v>
      </c>
      <c r="AB10" s="1114">
        <f t="shared" si="19"/>
        <v>2054</v>
      </c>
      <c r="AC10" s="1172">
        <v>153.34884750639981</v>
      </c>
      <c r="AD10" s="139">
        <v>481</v>
      </c>
      <c r="AE10" s="1173">
        <f t="shared" si="20"/>
        <v>1517.2575994137903</v>
      </c>
      <c r="AF10" s="1173">
        <f t="shared" si="21"/>
        <v>2535</v>
      </c>
      <c r="AG10" s="1172">
        <v>150.47657527543367</v>
      </c>
      <c r="AH10" s="139">
        <v>250</v>
      </c>
      <c r="AI10" s="1173">
        <f t="shared" si="22"/>
        <v>1667.7341746892239</v>
      </c>
      <c r="AJ10" s="1173">
        <f t="shared" si="23"/>
        <v>2785</v>
      </c>
      <c r="AK10" s="1172">
        <v>154.94884750639983</v>
      </c>
      <c r="AL10" s="139">
        <v>0</v>
      </c>
      <c r="AM10" s="1175">
        <f t="shared" si="24"/>
        <v>458.77427028823331</v>
      </c>
      <c r="AN10" s="1175">
        <f t="shared" si="25"/>
        <v>731</v>
      </c>
      <c r="AO10" s="1173">
        <f t="shared" si="26"/>
        <v>1822.6830221956238</v>
      </c>
      <c r="AP10" s="1173">
        <f t="shared" si="27"/>
        <v>2785</v>
      </c>
      <c r="AQ10" s="1172">
        <v>155.58498362188288</v>
      </c>
      <c r="AR10" s="139">
        <v>0</v>
      </c>
      <c r="AS10" s="1173">
        <f t="shared" si="28"/>
        <v>1978.2680058175067</v>
      </c>
      <c r="AT10" s="1173">
        <f t="shared" si="29"/>
        <v>2785</v>
      </c>
      <c r="AU10" s="1172">
        <v>139.9320308135014</v>
      </c>
      <c r="AV10" s="1172">
        <v>0</v>
      </c>
      <c r="AW10" s="1173">
        <f t="shared" si="30"/>
        <v>2118.2000366310081</v>
      </c>
      <c r="AX10" s="1173">
        <f t="shared" si="31"/>
        <v>2785</v>
      </c>
      <c r="AY10" s="1172">
        <v>155.58498362188288</v>
      </c>
      <c r="BA10" s="1175">
        <f t="shared" si="32"/>
        <v>451.10199805726717</v>
      </c>
      <c r="BB10" s="1175">
        <f t="shared" si="33"/>
        <v>0</v>
      </c>
      <c r="BC10" s="1114">
        <f t="shared" si="34"/>
        <v>909.87626834550042</v>
      </c>
      <c r="BD10" s="1114">
        <f t="shared" si="35"/>
        <v>731</v>
      </c>
      <c r="BE10" s="1173">
        <f t="shared" si="36"/>
        <v>2273.7850202528907</v>
      </c>
      <c r="BF10" s="1173">
        <f t="shared" si="37"/>
        <v>2785</v>
      </c>
      <c r="BG10" s="23"/>
      <c r="BH10" s="23"/>
      <c r="BI10" s="23"/>
      <c r="BJ10" s="23"/>
      <c r="BK10" s="23"/>
      <c r="BL10" s="23"/>
    </row>
    <row r="11" spans="1:64" ht="15.75" customHeight="1" x14ac:dyDescent="0.3">
      <c r="B11" s="1171" t="s">
        <v>528</v>
      </c>
      <c r="C11" s="60" t="s">
        <v>50</v>
      </c>
      <c r="D11" s="1094">
        <v>63103.295534123332</v>
      </c>
      <c r="E11" s="1172">
        <v>4375.1618236992181</v>
      </c>
      <c r="F11" s="5173">
        <v>5636</v>
      </c>
      <c r="G11" s="1172">
        <v>3933.4387549603543</v>
      </c>
      <c r="H11" s="5173">
        <v>1351</v>
      </c>
      <c r="I11" s="1173">
        <f t="shared" si="8"/>
        <v>8308.6005786595724</v>
      </c>
      <c r="J11" s="1173">
        <f t="shared" si="9"/>
        <v>6987</v>
      </c>
      <c r="K11" s="1172">
        <v>5419.1073400257865</v>
      </c>
      <c r="L11" s="139">
        <v>6762</v>
      </c>
      <c r="M11" s="1175">
        <f t="shared" si="10"/>
        <v>13727.707918685359</v>
      </c>
      <c r="N11" s="1175">
        <f t="shared" si="11"/>
        <v>13749</v>
      </c>
      <c r="O11" s="1172">
        <v>5480.153855978474</v>
      </c>
      <c r="P11" s="139">
        <v>5637</v>
      </c>
      <c r="Q11" s="1173">
        <f t="shared" si="12"/>
        <v>19207.861774663834</v>
      </c>
      <c r="R11" s="1173">
        <f t="shared" si="13"/>
        <v>19386</v>
      </c>
      <c r="S11" s="1172">
        <v>5480.153855978474</v>
      </c>
      <c r="T11" s="1172">
        <v>6443</v>
      </c>
      <c r="U11" s="1173">
        <f t="shared" si="14"/>
        <v>24688.015630642309</v>
      </c>
      <c r="V11" s="1173">
        <f t="shared" si="15"/>
        <v>25829</v>
      </c>
      <c r="W11" s="1172">
        <v>3023.5574111254364</v>
      </c>
      <c r="X11" s="1172">
        <v>5359</v>
      </c>
      <c r="Y11" s="1175">
        <f t="shared" si="16"/>
        <v>13983.865123082385</v>
      </c>
      <c r="Z11" s="1175">
        <f t="shared" si="17"/>
        <v>17439</v>
      </c>
      <c r="AA11" s="1114">
        <f t="shared" si="18"/>
        <v>27711.573041767744</v>
      </c>
      <c r="AB11" s="1114">
        <f t="shared" si="19"/>
        <v>31188</v>
      </c>
      <c r="AC11" s="1172">
        <v>5581.8980492329538</v>
      </c>
      <c r="AD11" s="1172">
        <v>3432</v>
      </c>
      <c r="AE11" s="1173">
        <f t="shared" si="20"/>
        <v>33293.471091000698</v>
      </c>
      <c r="AF11" s="1173">
        <f t="shared" si="21"/>
        <v>34620</v>
      </c>
      <c r="AG11" s="1172">
        <v>5477.3473400257863</v>
      </c>
      <c r="AH11" s="139">
        <v>5944</v>
      </c>
      <c r="AI11" s="1173">
        <f t="shared" si="22"/>
        <v>38770.818431026484</v>
      </c>
      <c r="AJ11" s="1173">
        <f t="shared" si="23"/>
        <v>40564</v>
      </c>
      <c r="AK11" s="1172">
        <v>5640.1380492329545</v>
      </c>
      <c r="AL11" s="139">
        <v>5853</v>
      </c>
      <c r="AM11" s="1175">
        <f t="shared" si="24"/>
        <v>16699.383438491695</v>
      </c>
      <c r="AN11" s="1175">
        <f t="shared" si="25"/>
        <v>15229</v>
      </c>
      <c r="AO11" s="1173">
        <f t="shared" si="26"/>
        <v>44410.95648025944</v>
      </c>
      <c r="AP11" s="1173">
        <f t="shared" si="27"/>
        <v>46417</v>
      </c>
      <c r="AQ11" s="1172">
        <v>5663.2934038365374</v>
      </c>
      <c r="AR11" s="139">
        <v>5804</v>
      </c>
      <c r="AS11" s="1173">
        <f t="shared" si="28"/>
        <v>50074.249884095974</v>
      </c>
      <c r="AT11" s="1173">
        <f t="shared" si="29"/>
        <v>52221</v>
      </c>
      <c r="AU11" s="1172">
        <v>5093.5259216114509</v>
      </c>
      <c r="AV11" s="1172">
        <v>4389</v>
      </c>
      <c r="AW11" s="1173">
        <f t="shared" si="30"/>
        <v>55167.775805707424</v>
      </c>
      <c r="AX11" s="1173">
        <f t="shared" si="31"/>
        <v>56610</v>
      </c>
      <c r="AY11" s="1172">
        <v>5663.2934038365374</v>
      </c>
      <c r="AZ11" s="1172">
        <v>5984</v>
      </c>
      <c r="BA11" s="1175">
        <f t="shared" si="32"/>
        <v>16420.112729284527</v>
      </c>
      <c r="BB11" s="1175">
        <f t="shared" si="33"/>
        <v>16177</v>
      </c>
      <c r="BC11" s="1114">
        <f t="shared" si="34"/>
        <v>33119.496167776218</v>
      </c>
      <c r="BD11" s="1114">
        <f t="shared" si="35"/>
        <v>31406</v>
      </c>
      <c r="BE11" s="1173">
        <f t="shared" si="36"/>
        <v>60831.069209543959</v>
      </c>
      <c r="BF11" s="1173">
        <f t="shared" si="37"/>
        <v>62594</v>
      </c>
      <c r="BG11" s="23"/>
      <c r="BH11" s="23"/>
      <c r="BI11" s="23"/>
      <c r="BJ11" s="23"/>
      <c r="BK11" s="23"/>
      <c r="BL11" s="23"/>
    </row>
    <row r="12" spans="1:64" x14ac:dyDescent="0.3">
      <c r="B12" s="1171" t="s">
        <v>41</v>
      </c>
      <c r="C12" s="60" t="s">
        <v>50</v>
      </c>
      <c r="D12" s="6157">
        <v>38100.65099603813</v>
      </c>
      <c r="E12" s="6149">
        <v>2641.6451357253104</v>
      </c>
      <c r="F12" s="5173">
        <v>3247</v>
      </c>
      <c r="G12" s="6149">
        <v>2374.94057875304</v>
      </c>
      <c r="H12" s="5173">
        <v>1586</v>
      </c>
      <c r="I12" s="6151">
        <f t="shared" si="8"/>
        <v>5016.5857144783504</v>
      </c>
      <c r="J12" s="1173">
        <f t="shared" si="9"/>
        <v>4833</v>
      </c>
      <c r="K12" s="1172">
        <v>3876.220941124509</v>
      </c>
      <c r="L12" s="1172">
        <v>1756</v>
      </c>
      <c r="M12" s="1175">
        <f t="shared" si="10"/>
        <v>8892.8066556028589</v>
      </c>
      <c r="N12" s="1175">
        <f t="shared" si="11"/>
        <v>6589</v>
      </c>
      <c r="O12" s="1172">
        <v>3919.8867644180868</v>
      </c>
      <c r="P12" s="1172">
        <v>2357</v>
      </c>
      <c r="Q12" s="1173">
        <f t="shared" si="12"/>
        <v>12812.693420020945</v>
      </c>
      <c r="R12" s="1173">
        <f t="shared" si="13"/>
        <v>8946</v>
      </c>
      <c r="S12" s="1172">
        <v>3919.8867644180868</v>
      </c>
      <c r="T12" s="1172">
        <v>3801</v>
      </c>
      <c r="U12" s="1173">
        <f t="shared" si="14"/>
        <v>16732.580184439033</v>
      </c>
      <c r="V12" s="1173">
        <f t="shared" si="15"/>
        <v>12747</v>
      </c>
      <c r="W12" s="1172">
        <v>2162.7134910453456</v>
      </c>
      <c r="X12" s="1172">
        <v>3261</v>
      </c>
      <c r="Y12" s="1175">
        <f t="shared" si="16"/>
        <v>10002.487019881519</v>
      </c>
      <c r="Z12" s="1175">
        <f t="shared" si="17"/>
        <v>9419</v>
      </c>
      <c r="AA12" s="1114">
        <f t="shared" si="18"/>
        <v>18895.293675484376</v>
      </c>
      <c r="AB12" s="1114">
        <f t="shared" si="19"/>
        <v>16008</v>
      </c>
      <c r="AC12" s="1172">
        <v>3992.6631365740518</v>
      </c>
      <c r="AD12" s="1172">
        <v>3784</v>
      </c>
      <c r="AE12" s="1173">
        <f t="shared" si="20"/>
        <v>22887.956812058426</v>
      </c>
      <c r="AF12" s="1173">
        <f t="shared" si="21"/>
        <v>19792</v>
      </c>
      <c r="AG12" s="1172">
        <v>3917.8792980172916</v>
      </c>
      <c r="AH12" s="1172">
        <v>3563</v>
      </c>
      <c r="AI12" s="1173">
        <f t="shared" si="22"/>
        <v>26805.836110075717</v>
      </c>
      <c r="AJ12" s="1173">
        <f t="shared" si="23"/>
        <v>23355</v>
      </c>
      <c r="AK12" s="1172">
        <v>4034.321493466834</v>
      </c>
      <c r="AL12" s="1172">
        <v>3960</v>
      </c>
      <c r="AM12" s="1175">
        <f t="shared" si="24"/>
        <v>11944.863928058177</v>
      </c>
      <c r="AN12" s="1175">
        <f t="shared" si="25"/>
        <v>11307</v>
      </c>
      <c r="AO12" s="1173">
        <f t="shared" si="26"/>
        <v>30840.157603542553</v>
      </c>
      <c r="AP12" s="1173">
        <f t="shared" si="27"/>
        <v>27315</v>
      </c>
      <c r="AQ12" s="1172">
        <v>4050.8842342988223</v>
      </c>
      <c r="AR12" s="1172">
        <v>3624</v>
      </c>
      <c r="AS12" s="1173">
        <f t="shared" si="28"/>
        <v>34891.041837841374</v>
      </c>
      <c r="AT12" s="1173">
        <f t="shared" si="29"/>
        <v>30939</v>
      </c>
      <c r="AU12" s="1172">
        <v>3643.3365502254233</v>
      </c>
      <c r="AV12" s="1172">
        <v>4361</v>
      </c>
      <c r="AW12" s="1173">
        <f t="shared" si="30"/>
        <v>38534.378388066798</v>
      </c>
      <c r="AX12" s="1173">
        <f t="shared" si="31"/>
        <v>35300</v>
      </c>
      <c r="AY12" s="1172">
        <v>4050.8842342988223</v>
      </c>
      <c r="AZ12" s="1172">
        <v>3368</v>
      </c>
      <c r="BA12" s="1175">
        <f t="shared" si="32"/>
        <v>11745.105018823067</v>
      </c>
      <c r="BB12" s="1175">
        <f t="shared" si="33"/>
        <v>11353</v>
      </c>
      <c r="BC12" s="1114">
        <f t="shared" si="34"/>
        <v>23689.968946881243</v>
      </c>
      <c r="BD12" s="1114">
        <f t="shared" si="35"/>
        <v>22660</v>
      </c>
      <c r="BE12" s="1173">
        <f t="shared" si="36"/>
        <v>42585.262622365619</v>
      </c>
      <c r="BF12" s="1173">
        <f t="shared" si="37"/>
        <v>38668</v>
      </c>
      <c r="BG12" s="23"/>
      <c r="BH12" s="23"/>
      <c r="BI12" s="23"/>
      <c r="BJ12" s="23"/>
      <c r="BK12" s="23"/>
      <c r="BL12" s="23"/>
    </row>
    <row r="13" spans="1:64" x14ac:dyDescent="0.3">
      <c r="B13" s="4922" t="s">
        <v>1464</v>
      </c>
      <c r="C13" s="60" t="s">
        <v>50</v>
      </c>
      <c r="D13" s="6158"/>
      <c r="E13" s="6150"/>
      <c r="F13" s="4924">
        <v>633</v>
      </c>
      <c r="G13" s="6150"/>
      <c r="H13" s="4924">
        <v>271</v>
      </c>
      <c r="I13" s="6152"/>
      <c r="J13" s="1173">
        <f t="shared" ref="J13" si="38">+F13+H13</f>
        <v>904</v>
      </c>
      <c r="K13" s="4924"/>
      <c r="L13" s="4924"/>
      <c r="M13" s="4926"/>
      <c r="N13" s="4926"/>
      <c r="O13" s="4924"/>
      <c r="P13" s="4924"/>
      <c r="Q13" s="4925"/>
      <c r="R13" s="4925"/>
      <c r="S13" s="4924"/>
      <c r="T13" s="4924"/>
      <c r="U13" s="4925"/>
      <c r="V13" s="4925"/>
      <c r="W13" s="4924"/>
      <c r="X13" s="4924"/>
      <c r="Y13" s="4926"/>
      <c r="Z13" s="4926"/>
      <c r="AA13" s="4927"/>
      <c r="AB13" s="4927"/>
      <c r="AC13" s="4924"/>
      <c r="AD13" s="4924"/>
      <c r="AE13" s="4925"/>
      <c r="AF13" s="4925"/>
      <c r="AG13" s="4924"/>
      <c r="AH13" s="4924"/>
      <c r="AI13" s="4925"/>
      <c r="AJ13" s="4925"/>
      <c r="AK13" s="4924"/>
      <c r="AL13" s="4924"/>
      <c r="AM13" s="4926"/>
      <c r="AN13" s="4926"/>
      <c r="AO13" s="4925"/>
      <c r="AP13" s="4925"/>
      <c r="AQ13" s="4924"/>
      <c r="AR13" s="4924"/>
      <c r="AS13" s="4925"/>
      <c r="AT13" s="4925"/>
      <c r="AU13" s="4924"/>
      <c r="AV13" s="4924"/>
      <c r="AW13" s="4925"/>
      <c r="AX13" s="4925"/>
      <c r="AY13" s="4924"/>
      <c r="AZ13" s="4924"/>
      <c r="BA13" s="4926"/>
      <c r="BB13" s="4926"/>
      <c r="BC13" s="4927"/>
      <c r="BD13" s="4927"/>
      <c r="BE13" s="4925"/>
      <c r="BF13" s="4925"/>
      <c r="BG13" s="23"/>
      <c r="BH13" s="23"/>
      <c r="BI13" s="23"/>
      <c r="BJ13" s="23"/>
      <c r="BK13" s="23"/>
      <c r="BL13" s="23"/>
    </row>
    <row r="14" spans="1:64" x14ac:dyDescent="0.3">
      <c r="B14" s="1171" t="s">
        <v>572</v>
      </c>
      <c r="C14" s="60" t="s">
        <v>50</v>
      </c>
      <c r="D14" s="1094">
        <v>63103.295534123332</v>
      </c>
      <c r="E14" s="1172">
        <v>4375.1618236992181</v>
      </c>
      <c r="F14" s="5173">
        <v>6518</v>
      </c>
      <c r="G14" s="1172">
        <v>3933.4387549603543</v>
      </c>
      <c r="H14" s="5173">
        <v>2845</v>
      </c>
      <c r="I14" s="1173">
        <f t="shared" si="8"/>
        <v>8308.6005786595724</v>
      </c>
      <c r="J14" s="1173">
        <f t="shared" si="9"/>
        <v>9363</v>
      </c>
      <c r="K14" s="1172">
        <v>0</v>
      </c>
      <c r="L14" s="1172">
        <v>0</v>
      </c>
      <c r="M14" s="1175">
        <f t="shared" ref="M14" si="39">+K14+G14+E14</f>
        <v>8308.6005786595724</v>
      </c>
      <c r="N14" s="1175">
        <f t="shared" si="11"/>
        <v>9363</v>
      </c>
      <c r="O14" s="1172">
        <v>0</v>
      </c>
      <c r="P14" s="1172">
        <v>1045</v>
      </c>
      <c r="Q14" s="1173">
        <f t="shared" ref="Q14" si="40">+M14+O14</f>
        <v>8308.6005786595724</v>
      </c>
      <c r="R14" s="1173">
        <f t="shared" ref="R14" si="41">+N14+P14</f>
        <v>10408</v>
      </c>
      <c r="S14" s="1172">
        <v>0</v>
      </c>
      <c r="T14" s="1172">
        <v>614</v>
      </c>
      <c r="U14" s="1173">
        <f t="shared" si="14"/>
        <v>8308.6005786595724</v>
      </c>
      <c r="V14" s="1173">
        <f t="shared" si="15"/>
        <v>11022</v>
      </c>
      <c r="W14" s="1172">
        <v>0</v>
      </c>
      <c r="X14" s="1172">
        <v>562</v>
      </c>
      <c r="Y14" s="1175">
        <f t="shared" si="16"/>
        <v>0</v>
      </c>
      <c r="Z14" s="1175">
        <f t="shared" si="17"/>
        <v>2221</v>
      </c>
      <c r="AA14" s="1114">
        <f t="shared" si="18"/>
        <v>8308.6005786595724</v>
      </c>
      <c r="AB14" s="1114">
        <f t="shared" si="19"/>
        <v>11584</v>
      </c>
      <c r="AC14" s="1172">
        <v>0</v>
      </c>
      <c r="AD14" s="1172">
        <v>592</v>
      </c>
      <c r="AE14" s="1173">
        <f t="shared" si="20"/>
        <v>8308.6005786595724</v>
      </c>
      <c r="AF14" s="1173">
        <f t="shared" si="21"/>
        <v>12176</v>
      </c>
      <c r="AG14" s="1172">
        <v>0</v>
      </c>
      <c r="AH14" s="1172">
        <v>440</v>
      </c>
      <c r="AI14" s="1173">
        <f t="shared" si="22"/>
        <v>8308.6005786595724</v>
      </c>
      <c r="AJ14" s="1173">
        <f t="shared" si="23"/>
        <v>12616</v>
      </c>
      <c r="AK14" s="1172">
        <v>0</v>
      </c>
      <c r="AL14" s="1172">
        <v>619</v>
      </c>
      <c r="AM14" s="1175">
        <f t="shared" si="24"/>
        <v>0</v>
      </c>
      <c r="AN14" s="1175">
        <f t="shared" si="25"/>
        <v>1651</v>
      </c>
      <c r="AO14" s="1173">
        <f t="shared" si="26"/>
        <v>8308.6005786595724</v>
      </c>
      <c r="AP14" s="1173">
        <f t="shared" si="27"/>
        <v>13235</v>
      </c>
      <c r="AQ14" s="1172">
        <v>0</v>
      </c>
      <c r="AR14" s="1172">
        <v>0</v>
      </c>
      <c r="AS14" s="1173">
        <f t="shared" si="28"/>
        <v>8308.6005786595724</v>
      </c>
      <c r="AT14" s="1173">
        <f t="shared" si="29"/>
        <v>13235</v>
      </c>
      <c r="AU14" s="1172">
        <v>0</v>
      </c>
      <c r="AV14" s="1172">
        <v>607</v>
      </c>
      <c r="AW14" s="1173">
        <f t="shared" si="30"/>
        <v>8308.6005786595724</v>
      </c>
      <c r="AX14" s="1173">
        <f t="shared" si="31"/>
        <v>13842</v>
      </c>
      <c r="AY14" s="1172">
        <v>0</v>
      </c>
      <c r="AZ14" s="1172">
        <v>653</v>
      </c>
      <c r="BA14" s="1175">
        <f t="shared" si="32"/>
        <v>0</v>
      </c>
      <c r="BB14" s="1175">
        <f t="shared" si="33"/>
        <v>1260</v>
      </c>
      <c r="BC14" s="1114">
        <f t="shared" si="34"/>
        <v>0</v>
      </c>
      <c r="BD14" s="1114">
        <f t="shared" si="35"/>
        <v>2911</v>
      </c>
      <c r="BE14" s="1173">
        <f t="shared" si="36"/>
        <v>8308.6005786595724</v>
      </c>
      <c r="BF14" s="1173">
        <f t="shared" ref="BF14:BF16" si="42">+AX14+AZ14</f>
        <v>14495</v>
      </c>
      <c r="BG14" s="23"/>
      <c r="BH14" s="23"/>
      <c r="BI14" s="23"/>
      <c r="BJ14" s="23"/>
      <c r="BK14" s="23"/>
      <c r="BL14" s="23"/>
    </row>
    <row r="15" spans="1:64" x14ac:dyDescent="0.3">
      <c r="B15" s="1171" t="s">
        <v>42</v>
      </c>
      <c r="C15" s="60" t="s">
        <v>50</v>
      </c>
      <c r="D15" s="1094">
        <v>16827.545475766223</v>
      </c>
      <c r="E15" s="1172">
        <v>1166.7098196531247</v>
      </c>
      <c r="F15" s="5173">
        <v>0</v>
      </c>
      <c r="G15" s="1172">
        <v>1048.9170013227613</v>
      </c>
      <c r="H15" s="5173"/>
      <c r="I15" s="1173">
        <f t="shared" si="8"/>
        <v>2215.6268209758859</v>
      </c>
      <c r="J15" s="1173">
        <f t="shared" si="9"/>
        <v>0</v>
      </c>
      <c r="K15" s="1172">
        <v>0</v>
      </c>
      <c r="L15" s="1172">
        <v>0</v>
      </c>
      <c r="M15" s="1175">
        <f t="shared" si="10"/>
        <v>2215.6268209758859</v>
      </c>
      <c r="N15" s="1175">
        <f t="shared" si="11"/>
        <v>0</v>
      </c>
      <c r="O15" s="1172">
        <v>0</v>
      </c>
      <c r="P15" s="1172"/>
      <c r="Q15" s="1173">
        <f t="shared" si="12"/>
        <v>2215.6268209758859</v>
      </c>
      <c r="R15" s="1173">
        <f t="shared" si="13"/>
        <v>0</v>
      </c>
      <c r="S15" s="1172">
        <v>0</v>
      </c>
      <c r="T15" s="1172">
        <v>0</v>
      </c>
      <c r="U15" s="1173">
        <f t="shared" si="14"/>
        <v>2215.6268209758859</v>
      </c>
      <c r="V15" s="1173">
        <f t="shared" si="15"/>
        <v>0</v>
      </c>
      <c r="W15" s="1172">
        <v>0</v>
      </c>
      <c r="X15" s="1172">
        <v>0</v>
      </c>
      <c r="Y15" s="1175">
        <f t="shared" si="16"/>
        <v>0</v>
      </c>
      <c r="Z15" s="1175">
        <f t="shared" si="17"/>
        <v>0</v>
      </c>
      <c r="AA15" s="1114">
        <f t="shared" si="18"/>
        <v>2215.6268209758859</v>
      </c>
      <c r="AB15" s="1114">
        <f t="shared" si="19"/>
        <v>0</v>
      </c>
      <c r="AC15" s="1172">
        <v>0</v>
      </c>
      <c r="AD15" s="1172">
        <v>0</v>
      </c>
      <c r="AE15" s="1173">
        <f t="shared" si="20"/>
        <v>2215.6268209758859</v>
      </c>
      <c r="AF15" s="1173">
        <f t="shared" ref="AF15:AF20" si="43">+AB15+AD15</f>
        <v>0</v>
      </c>
      <c r="AG15" s="1172">
        <v>0</v>
      </c>
      <c r="AH15" s="1172">
        <v>629</v>
      </c>
      <c r="AI15" s="1173">
        <f t="shared" si="22"/>
        <v>2215.6268209758859</v>
      </c>
      <c r="AJ15" s="1173">
        <f t="shared" si="23"/>
        <v>629</v>
      </c>
      <c r="AK15" s="1172">
        <v>0</v>
      </c>
      <c r="AL15" s="1172">
        <v>2068</v>
      </c>
      <c r="AM15" s="1175">
        <f t="shared" si="24"/>
        <v>0</v>
      </c>
      <c r="AN15" s="1175">
        <f t="shared" si="25"/>
        <v>2697</v>
      </c>
      <c r="AO15" s="1173">
        <f t="shared" si="26"/>
        <v>2215.6268209758859</v>
      </c>
      <c r="AP15" s="1173">
        <f t="shared" si="27"/>
        <v>2697</v>
      </c>
      <c r="AQ15" s="1172">
        <v>0</v>
      </c>
      <c r="AR15" s="1172">
        <v>691</v>
      </c>
      <c r="AS15" s="1173">
        <f t="shared" si="28"/>
        <v>2215.6268209758859</v>
      </c>
      <c r="AT15" s="1173">
        <f t="shared" si="29"/>
        <v>3388</v>
      </c>
      <c r="AU15" s="1172">
        <v>0</v>
      </c>
      <c r="AV15" s="1172">
        <v>0</v>
      </c>
      <c r="AW15" s="1173">
        <f t="shared" si="30"/>
        <v>2215.6268209758859</v>
      </c>
      <c r="AX15" s="1173">
        <f t="shared" si="31"/>
        <v>3388</v>
      </c>
      <c r="AY15" s="1172">
        <v>0</v>
      </c>
      <c r="AZ15" s="1172">
        <v>0</v>
      </c>
      <c r="BA15" s="1175">
        <f t="shared" si="32"/>
        <v>0</v>
      </c>
      <c r="BB15" s="1175">
        <f t="shared" si="33"/>
        <v>691</v>
      </c>
      <c r="BC15" s="1114">
        <f t="shared" si="34"/>
        <v>0</v>
      </c>
      <c r="BD15" s="1114">
        <f t="shared" si="35"/>
        <v>3388</v>
      </c>
      <c r="BE15" s="1173">
        <f t="shared" si="36"/>
        <v>2215.6268209758859</v>
      </c>
      <c r="BF15" s="1173">
        <f t="shared" si="42"/>
        <v>3388</v>
      </c>
      <c r="BG15" s="23"/>
      <c r="BH15" s="23"/>
      <c r="BI15" s="23"/>
      <c r="BJ15" s="23"/>
      <c r="BK15" s="23"/>
      <c r="BL15" s="23"/>
    </row>
    <row r="16" spans="1:64" ht="15" customHeight="1" x14ac:dyDescent="0.3">
      <c r="B16" s="1171" t="s">
        <v>1591</v>
      </c>
      <c r="C16" s="60" t="s">
        <v>50</v>
      </c>
      <c r="D16" s="1094">
        <v>2103.4431844707779</v>
      </c>
      <c r="E16" s="1172">
        <v>145.83872745664058</v>
      </c>
      <c r="F16" s="5173">
        <v>462</v>
      </c>
      <c r="G16" s="1172">
        <v>131.11462516534516</v>
      </c>
      <c r="H16" s="5173">
        <v>375</v>
      </c>
      <c r="I16" s="1173">
        <f t="shared" si="8"/>
        <v>276.95335262198574</v>
      </c>
      <c r="J16" s="1173">
        <f t="shared" si="9"/>
        <v>837</v>
      </c>
      <c r="K16" s="1172">
        <v>3721.9143818858424</v>
      </c>
      <c r="L16" s="1172">
        <v>3220</v>
      </c>
      <c r="M16" s="1175">
        <f t="shared" si="10"/>
        <v>3998.8677345078281</v>
      </c>
      <c r="N16" s="1175">
        <f t="shared" si="11"/>
        <v>4057</v>
      </c>
      <c r="O16" s="1172">
        <v>3763.8419340511496</v>
      </c>
      <c r="P16" s="1172">
        <v>1289</v>
      </c>
      <c r="Q16" s="1173">
        <f t="shared" si="12"/>
        <v>7762.7096685589777</v>
      </c>
      <c r="R16" s="1173">
        <f t="shared" si="13"/>
        <v>5346</v>
      </c>
      <c r="S16" s="1172">
        <v>3763.8419340511496</v>
      </c>
      <c r="T16" s="1172">
        <v>4298</v>
      </c>
      <c r="U16" s="1173">
        <f t="shared" si="14"/>
        <v>11526.551602610127</v>
      </c>
      <c r="V16" s="1173">
        <f t="shared" si="15"/>
        <v>9644</v>
      </c>
      <c r="W16" s="1172">
        <v>2076.61910104769</v>
      </c>
      <c r="X16" s="1172">
        <v>187</v>
      </c>
      <c r="Y16" s="1175">
        <f t="shared" si="16"/>
        <v>9604.3029691499887</v>
      </c>
      <c r="Z16" s="1175">
        <f t="shared" si="17"/>
        <v>5774</v>
      </c>
      <c r="AA16" s="1114">
        <f t="shared" si="18"/>
        <v>13603.170703657817</v>
      </c>
      <c r="AB16" s="1114">
        <f t="shared" si="19"/>
        <v>9831</v>
      </c>
      <c r="AC16" s="1172">
        <v>3833.7211876599958</v>
      </c>
      <c r="AD16" s="1172">
        <v>1590</v>
      </c>
      <c r="AE16" s="1173">
        <f t="shared" si="20"/>
        <v>17436.891891317813</v>
      </c>
      <c r="AF16" s="1173">
        <f t="shared" si="43"/>
        <v>11421</v>
      </c>
      <c r="AG16" s="1172">
        <v>3761.9143818858424</v>
      </c>
      <c r="AH16" s="1172">
        <v>6525</v>
      </c>
      <c r="AI16" s="1173">
        <f t="shared" si="22"/>
        <v>21198.806273203656</v>
      </c>
      <c r="AJ16" s="1173">
        <f t="shared" si="23"/>
        <v>17946</v>
      </c>
      <c r="AK16" s="1172">
        <v>3873.7211876599958</v>
      </c>
      <c r="AL16" s="1172">
        <v>10394</v>
      </c>
      <c r="AM16" s="1175">
        <f t="shared" si="24"/>
        <v>11469.356757205835</v>
      </c>
      <c r="AN16" s="1175">
        <f t="shared" si="25"/>
        <v>18509</v>
      </c>
      <c r="AO16" s="1173">
        <f t="shared" si="26"/>
        <v>25072.527460863654</v>
      </c>
      <c r="AP16" s="1173">
        <f t="shared" si="27"/>
        <v>28340</v>
      </c>
      <c r="AQ16" s="1172">
        <v>3889.6245905470719</v>
      </c>
      <c r="AR16" s="1172">
        <v>8647</v>
      </c>
      <c r="AS16" s="1173">
        <f t="shared" si="28"/>
        <v>28962.152051410725</v>
      </c>
      <c r="AT16" s="1173">
        <f t="shared" si="29"/>
        <v>36987</v>
      </c>
      <c r="AU16" s="1172">
        <v>3498.3007703375347</v>
      </c>
      <c r="AV16" s="1172">
        <v>6075</v>
      </c>
      <c r="AW16" s="1173">
        <f t="shared" si="30"/>
        <v>32460.452821748258</v>
      </c>
      <c r="AX16" s="1173">
        <f t="shared" si="31"/>
        <v>43062</v>
      </c>
      <c r="AY16" s="1172">
        <v>3889.6245905470719</v>
      </c>
      <c r="AZ16" s="1172">
        <v>10730</v>
      </c>
      <c r="BA16" s="1175">
        <f t="shared" si="32"/>
        <v>11277.549951431678</v>
      </c>
      <c r="BB16" s="1175">
        <f t="shared" si="33"/>
        <v>25452</v>
      </c>
      <c r="BC16" s="1114">
        <f t="shared" si="34"/>
        <v>22746.906708637514</v>
      </c>
      <c r="BD16" s="1114">
        <f t="shared" si="35"/>
        <v>43961</v>
      </c>
      <c r="BE16" s="1173">
        <f t="shared" si="36"/>
        <v>36350.07741229533</v>
      </c>
      <c r="BF16" s="1173">
        <f t="shared" si="42"/>
        <v>53792</v>
      </c>
      <c r="BG16" s="23"/>
      <c r="BH16" s="23"/>
      <c r="BI16" s="23"/>
      <c r="BJ16" s="23"/>
      <c r="BK16" s="23"/>
      <c r="BL16" s="23"/>
    </row>
    <row r="17" spans="2:64" ht="15" customHeight="1" x14ac:dyDescent="0.3">
      <c r="B17" s="2442" t="s">
        <v>98</v>
      </c>
      <c r="C17" s="60" t="s">
        <v>50</v>
      </c>
      <c r="D17" s="2348">
        <v>757239.54640948027</v>
      </c>
      <c r="E17" s="2443">
        <v>52501.941884390602</v>
      </c>
      <c r="F17" s="5173">
        <v>74827</v>
      </c>
      <c r="G17" s="2443">
        <v>47201.265059524245</v>
      </c>
      <c r="H17" s="5173">
        <v>29038</v>
      </c>
      <c r="I17" s="1173">
        <f t="shared" ref="I17" si="44">+E17+G17</f>
        <v>99703.206943914847</v>
      </c>
      <c r="J17" s="1173">
        <f t="shared" ref="J17" si="45">+F17+H17</f>
        <v>103865</v>
      </c>
      <c r="K17" s="2443">
        <v>260.53400673200895</v>
      </c>
      <c r="L17" s="2443">
        <v>141</v>
      </c>
      <c r="M17" s="1175">
        <f t="shared" ref="M17" si="46">+K17+G17+E17</f>
        <v>99963.740950646854</v>
      </c>
      <c r="N17" s="1175">
        <f t="shared" ref="N17" si="47">+L17+H17+F17</f>
        <v>104006</v>
      </c>
      <c r="O17" s="2443">
        <v>263.46893538358046</v>
      </c>
      <c r="P17" s="2443">
        <v>314</v>
      </c>
      <c r="Q17" s="1173">
        <f t="shared" ref="Q17:Q18" si="48">+M17+O17</f>
        <v>100227.20988603044</v>
      </c>
      <c r="R17" s="1173">
        <f t="shared" ref="R17:R18" si="49">+N17+P17</f>
        <v>104320</v>
      </c>
      <c r="S17" s="2443">
        <v>263.46893538358046</v>
      </c>
      <c r="T17" s="2443">
        <v>82</v>
      </c>
      <c r="U17" s="1173">
        <f t="shared" si="14"/>
        <v>100490.67882141403</v>
      </c>
      <c r="V17" s="1173">
        <f t="shared" si="15"/>
        <v>104402</v>
      </c>
      <c r="W17" s="2443">
        <v>145.36333707333827</v>
      </c>
      <c r="X17" s="2443">
        <v>0</v>
      </c>
      <c r="Y17" s="1175">
        <f t="shared" ref="Y17:Y18" si="50">+O17+S17+W17</f>
        <v>672.30120784049916</v>
      </c>
      <c r="Z17" s="1175">
        <f t="shared" ref="Z17:Z18" si="51">+P17+T17+X17</f>
        <v>396</v>
      </c>
      <c r="AA17" s="1114">
        <f t="shared" ref="AA17:AA18" si="52">M17+Y17</f>
        <v>100636.04215848735</v>
      </c>
      <c r="AB17" s="1114">
        <f t="shared" ref="AB17:AB18" si="53">N17+Z17</f>
        <v>104402</v>
      </c>
      <c r="AC17" s="2443">
        <v>268.36048313619972</v>
      </c>
      <c r="AD17" s="2443">
        <v>0</v>
      </c>
      <c r="AE17" s="1173">
        <f t="shared" ref="AE17:AE18" si="54">+AA17+AC17</f>
        <v>100904.40264162356</v>
      </c>
      <c r="AF17" s="1173">
        <f t="shared" ref="AF17:AF18" si="55">+AB17+AD17</f>
        <v>104402</v>
      </c>
      <c r="AG17" s="2443">
        <v>263.33400673200896</v>
      </c>
      <c r="AH17" s="2443">
        <v>307</v>
      </c>
      <c r="AI17" s="1173">
        <f t="shared" si="22"/>
        <v>101167.73664835557</v>
      </c>
      <c r="AJ17" s="1173">
        <f t="shared" si="23"/>
        <v>104709</v>
      </c>
      <c r="AK17" s="2443">
        <v>271.16048313619973</v>
      </c>
      <c r="AL17" s="2443">
        <v>278</v>
      </c>
      <c r="AM17" s="1175">
        <f t="shared" si="24"/>
        <v>802.85497300440829</v>
      </c>
      <c r="AN17" s="1175">
        <f t="shared" si="25"/>
        <v>585</v>
      </c>
      <c r="AO17" s="1173">
        <f t="shared" ref="AO17" si="56">AI17+AK17</f>
        <v>101438.89713149177</v>
      </c>
      <c r="AP17" s="1173">
        <f t="shared" ref="AP17" si="57">AJ17+AL17</f>
        <v>104987</v>
      </c>
      <c r="AQ17" s="2443">
        <v>272.27372133829505</v>
      </c>
      <c r="AR17" s="2443">
        <v>442</v>
      </c>
      <c r="AS17" s="1173">
        <f t="shared" ref="AS17" si="58">+AO17+AQ17</f>
        <v>101711.17085283007</v>
      </c>
      <c r="AT17" s="1173">
        <f t="shared" ref="AT17" si="59">+AP17+AR17</f>
        <v>105429</v>
      </c>
      <c r="AU17" s="2443">
        <v>244.88105392362738</v>
      </c>
      <c r="AV17" s="2443">
        <v>223</v>
      </c>
      <c r="AW17" s="1173">
        <f t="shared" si="30"/>
        <v>101956.0519067537</v>
      </c>
      <c r="AX17" s="1173">
        <f t="shared" si="31"/>
        <v>105652</v>
      </c>
      <c r="AY17" s="2443">
        <v>272.27372133829505</v>
      </c>
      <c r="AZ17" s="2443">
        <v>1270</v>
      </c>
      <c r="BA17" s="1175">
        <f t="shared" si="32"/>
        <v>789.42849660021739</v>
      </c>
      <c r="BB17" s="1175">
        <f t="shared" si="33"/>
        <v>1935</v>
      </c>
      <c r="BC17" s="1114">
        <f t="shared" si="34"/>
        <v>1592.2834696046257</v>
      </c>
      <c r="BD17" s="1114">
        <f t="shared" si="35"/>
        <v>2520</v>
      </c>
      <c r="BE17" s="1173">
        <f t="shared" ref="BE17" si="60">+AW17+AY17</f>
        <v>102228.32562809199</v>
      </c>
      <c r="BF17" s="1173">
        <f t="shared" ref="BF17" si="61">+AX17+AZ17</f>
        <v>106922</v>
      </c>
      <c r="BG17" s="23"/>
      <c r="BH17" s="23"/>
      <c r="BI17" s="23"/>
      <c r="BJ17" s="23"/>
      <c r="BK17" s="23"/>
      <c r="BL17" s="23"/>
    </row>
    <row r="18" spans="2:64" ht="15" customHeight="1" x14ac:dyDescent="0.3">
      <c r="B18" s="4383" t="s">
        <v>1264</v>
      </c>
      <c r="C18" s="4384" t="s">
        <v>50</v>
      </c>
      <c r="D18" s="4385">
        <v>12757.939662736389</v>
      </c>
      <c r="E18" s="4924">
        <v>884.55048328305566</v>
      </c>
      <c r="F18" s="5173">
        <v>815</v>
      </c>
      <c r="G18" s="4924">
        <v>795.24490564389998</v>
      </c>
      <c r="H18" s="5173">
        <v>377</v>
      </c>
      <c r="I18" s="1173">
        <f t="shared" ref="I18" si="62">+E18+G18</f>
        <v>1679.7953889269556</v>
      </c>
      <c r="J18" s="1173">
        <f t="shared" ref="J18" si="63">+F18+H18</f>
        <v>1192</v>
      </c>
      <c r="K18" s="4386">
        <v>0</v>
      </c>
      <c r="L18" s="4386">
        <v>0</v>
      </c>
      <c r="M18" s="1175">
        <f t="shared" ref="M18:M19" si="64">+K18+G18+E18</f>
        <v>1679.7953889269556</v>
      </c>
      <c r="N18" s="1175">
        <f t="shared" ref="N18:N19" si="65">+L18+H18+F18</f>
        <v>1192</v>
      </c>
      <c r="O18" s="4386">
        <v>0</v>
      </c>
      <c r="P18" s="4386"/>
      <c r="Q18" s="1173">
        <f t="shared" si="48"/>
        <v>1679.7953889269556</v>
      </c>
      <c r="R18" s="1173">
        <f t="shared" si="49"/>
        <v>1192</v>
      </c>
      <c r="S18" s="4386">
        <v>0</v>
      </c>
      <c r="T18" s="4386">
        <v>0</v>
      </c>
      <c r="U18" s="1173">
        <f t="shared" ref="U18" si="66">+Q18+S18</f>
        <v>1679.7953889269556</v>
      </c>
      <c r="V18" s="1173">
        <f t="shared" ref="V18" si="67">+R18+T18</f>
        <v>1192</v>
      </c>
      <c r="W18" s="4386">
        <v>0</v>
      </c>
      <c r="X18" s="4386">
        <v>0</v>
      </c>
      <c r="Y18" s="4388">
        <f t="shared" si="50"/>
        <v>0</v>
      </c>
      <c r="Z18" s="1175">
        <f t="shared" si="51"/>
        <v>0</v>
      </c>
      <c r="AA18" s="4389">
        <f t="shared" si="52"/>
        <v>1679.7953889269556</v>
      </c>
      <c r="AB18" s="1114">
        <f t="shared" si="53"/>
        <v>1192</v>
      </c>
      <c r="AC18" s="4386">
        <v>0</v>
      </c>
      <c r="AD18" s="4386">
        <v>0</v>
      </c>
      <c r="AE18" s="1173">
        <f t="shared" si="54"/>
        <v>1679.7953889269556</v>
      </c>
      <c r="AF18" s="1173">
        <f t="shared" si="55"/>
        <v>1192</v>
      </c>
      <c r="AG18" s="4386">
        <v>0</v>
      </c>
      <c r="AH18" s="4386"/>
      <c r="AI18" s="4387">
        <f t="shared" si="22"/>
        <v>1679.7953889269556</v>
      </c>
      <c r="AJ18" s="1173">
        <f t="shared" si="23"/>
        <v>1192</v>
      </c>
      <c r="AK18" s="4386">
        <v>0</v>
      </c>
      <c r="AL18" s="4386">
        <v>0</v>
      </c>
      <c r="AM18" s="1175">
        <f t="shared" si="24"/>
        <v>0</v>
      </c>
      <c r="AN18" s="1175">
        <f t="shared" si="25"/>
        <v>0</v>
      </c>
      <c r="AO18" s="1173">
        <f t="shared" ref="AO18" si="68">AI18+AK18</f>
        <v>1679.7953889269556</v>
      </c>
      <c r="AP18" s="1173">
        <f t="shared" ref="AP18" si="69">AJ18+AL18</f>
        <v>1192</v>
      </c>
      <c r="AQ18" s="4386">
        <v>0</v>
      </c>
      <c r="AR18" s="4386">
        <v>0</v>
      </c>
      <c r="AS18" s="1173">
        <f t="shared" ref="AS18" si="70">+AO18+AQ18</f>
        <v>1679.7953889269556</v>
      </c>
      <c r="AT18" s="1173">
        <f t="shared" ref="AT18" si="71">+AP18+AR18</f>
        <v>1192</v>
      </c>
      <c r="AU18" s="4875">
        <v>0</v>
      </c>
      <c r="AV18" s="4386">
        <v>0</v>
      </c>
      <c r="AW18" s="1173">
        <f t="shared" si="30"/>
        <v>1679.7953889269556</v>
      </c>
      <c r="AX18" s="1173">
        <f t="shared" si="31"/>
        <v>1192</v>
      </c>
      <c r="AY18" s="4924">
        <v>0</v>
      </c>
      <c r="AZ18" s="4386">
        <v>2188</v>
      </c>
      <c r="BA18" s="1175">
        <f t="shared" si="32"/>
        <v>0</v>
      </c>
      <c r="BB18" s="1175">
        <f t="shared" si="33"/>
        <v>2188</v>
      </c>
      <c r="BC18" s="1114">
        <f t="shared" si="34"/>
        <v>0</v>
      </c>
      <c r="BD18" s="1114">
        <f t="shared" si="35"/>
        <v>2188</v>
      </c>
      <c r="BE18" s="1173">
        <f t="shared" ref="BE18:BE20" si="72">+AW18+AY18</f>
        <v>1679.7953889269556</v>
      </c>
      <c r="BF18" s="1173">
        <f t="shared" ref="BF18:BF20" si="73">+AX18+AZ18</f>
        <v>3380</v>
      </c>
      <c r="BG18" s="23"/>
      <c r="BH18" s="23"/>
      <c r="BI18" s="23"/>
      <c r="BJ18" s="23"/>
      <c r="BK18" s="23"/>
      <c r="BL18" s="23"/>
    </row>
    <row r="19" spans="2:64" ht="15.9" customHeight="1" x14ac:dyDescent="0.3">
      <c r="B19" s="1171" t="s">
        <v>1940</v>
      </c>
      <c r="C19" s="60" t="s">
        <v>50</v>
      </c>
      <c r="D19" s="1094">
        <v>0</v>
      </c>
      <c r="E19" s="4386">
        <v>0</v>
      </c>
      <c r="F19" s="5173">
        <v>0</v>
      </c>
      <c r="G19" s="4386">
        <v>0</v>
      </c>
      <c r="H19" s="5173"/>
      <c r="I19" s="1173">
        <f t="shared" si="8"/>
        <v>0</v>
      </c>
      <c r="J19" s="1173">
        <f t="shared" si="9"/>
        <v>0</v>
      </c>
      <c r="K19" s="1172">
        <v>63394.45887394523</v>
      </c>
      <c r="L19" s="1172">
        <v>73482</v>
      </c>
      <c r="M19" s="1175">
        <f t="shared" si="64"/>
        <v>63394.45887394523</v>
      </c>
      <c r="N19" s="1175">
        <f t="shared" si="65"/>
        <v>73482</v>
      </c>
      <c r="O19" s="1172">
        <v>64149.154812920722</v>
      </c>
      <c r="P19" s="1172">
        <v>79493</v>
      </c>
      <c r="Q19" s="1173">
        <f t="shared" ref="Q19" si="74">+M19+O19</f>
        <v>127543.61368686595</v>
      </c>
      <c r="R19" s="1173">
        <f t="shared" ref="R19" si="75">+N19+P19</f>
        <v>152975</v>
      </c>
      <c r="S19" s="1172">
        <v>64149.154812920722</v>
      </c>
      <c r="T19" s="1172">
        <v>76578</v>
      </c>
      <c r="U19" s="1173">
        <f t="shared" si="14"/>
        <v>191692.76849978667</v>
      </c>
      <c r="V19" s="1173">
        <f t="shared" si="15"/>
        <v>229553</v>
      </c>
      <c r="W19" s="1172">
        <v>35219.143818858458</v>
      </c>
      <c r="X19" s="1172">
        <v>75174</v>
      </c>
      <c r="Y19" s="1175">
        <f t="shared" si="16"/>
        <v>163517.4534446999</v>
      </c>
      <c r="Z19" s="1175">
        <f t="shared" si="17"/>
        <v>231245</v>
      </c>
      <c r="AA19" s="1114">
        <f t="shared" si="18"/>
        <v>226911.91231864513</v>
      </c>
      <c r="AB19" s="1114">
        <f t="shared" si="19"/>
        <v>304727</v>
      </c>
      <c r="AC19" s="1172">
        <v>65406.981377879973</v>
      </c>
      <c r="AD19" s="1172">
        <v>61180</v>
      </c>
      <c r="AE19" s="1173">
        <f t="shared" si="20"/>
        <v>292318.89369652513</v>
      </c>
      <c r="AF19" s="1173">
        <f t="shared" si="43"/>
        <v>365907</v>
      </c>
      <c r="AG19" s="1172">
        <v>63394.45887394523</v>
      </c>
      <c r="AH19" s="1172">
        <v>71795</v>
      </c>
      <c r="AI19" s="1173">
        <f t="shared" si="22"/>
        <v>355713.35257047036</v>
      </c>
      <c r="AJ19" s="1173">
        <f t="shared" si="23"/>
        <v>437702</v>
      </c>
      <c r="AK19" s="1172">
        <v>65406.981377879973</v>
      </c>
      <c r="AL19" s="1172">
        <v>70886</v>
      </c>
      <c r="AM19" s="1175">
        <f t="shared" si="24"/>
        <v>194208.42162970518</v>
      </c>
      <c r="AN19" s="1175">
        <f t="shared" si="25"/>
        <v>203861</v>
      </c>
      <c r="AO19" s="1173">
        <f t="shared" si="26"/>
        <v>421120.33394835034</v>
      </c>
      <c r="AP19" s="1173">
        <f t="shared" si="27"/>
        <v>508588</v>
      </c>
      <c r="AQ19" s="1172">
        <v>66413.242629847315</v>
      </c>
      <c r="AR19" s="1172">
        <v>76614</v>
      </c>
      <c r="AS19" s="1173">
        <f t="shared" si="28"/>
        <v>487533.57657819765</v>
      </c>
      <c r="AT19" s="1173">
        <f t="shared" si="29"/>
        <v>585202</v>
      </c>
      <c r="AU19" s="4386">
        <v>59369.413866075687</v>
      </c>
      <c r="AV19" s="1172">
        <v>64116</v>
      </c>
      <c r="AW19" s="4387">
        <f t="shared" ref="AW19:AW20" si="76">+AS19+AU19</f>
        <v>546902.99044427334</v>
      </c>
      <c r="AX19" s="4387">
        <f t="shared" ref="AX19:AX20" si="77">+AT19+AV19</f>
        <v>649318</v>
      </c>
      <c r="AY19" s="4386">
        <v>66413.242629847315</v>
      </c>
      <c r="AZ19" s="1172">
        <v>82575</v>
      </c>
      <c r="BA19" s="1175">
        <f t="shared" si="32"/>
        <v>192195.89912577032</v>
      </c>
      <c r="BB19" s="1175">
        <f t="shared" si="33"/>
        <v>223305</v>
      </c>
      <c r="BC19" s="1114">
        <f t="shared" si="34"/>
        <v>386404.32075547549</v>
      </c>
      <c r="BD19" s="1114">
        <f t="shared" si="35"/>
        <v>427166</v>
      </c>
      <c r="BE19" s="1173">
        <f t="shared" si="72"/>
        <v>613316.23307412071</v>
      </c>
      <c r="BF19" s="1173">
        <f t="shared" si="73"/>
        <v>731893</v>
      </c>
      <c r="BG19" s="23"/>
      <c r="BH19" s="23"/>
      <c r="BI19" s="23"/>
      <c r="BJ19" s="23"/>
      <c r="BK19" s="23"/>
      <c r="BL19" s="23"/>
    </row>
    <row r="20" spans="2:64" ht="15.9" customHeight="1" x14ac:dyDescent="0.3">
      <c r="B20" s="1171" t="s">
        <v>2163</v>
      </c>
      <c r="C20" s="60" t="s">
        <v>50</v>
      </c>
      <c r="D20" s="1094">
        <v>0</v>
      </c>
      <c r="E20" s="1172">
        <v>0</v>
      </c>
      <c r="F20" s="5173">
        <v>2000</v>
      </c>
      <c r="G20" s="1172">
        <v>0</v>
      </c>
      <c r="H20" s="5173"/>
      <c r="I20" s="1173">
        <f t="shared" si="8"/>
        <v>0</v>
      </c>
      <c r="J20" s="1173">
        <f t="shared" si="9"/>
        <v>2000</v>
      </c>
      <c r="K20" s="1172">
        <v>1057.0236844555791</v>
      </c>
      <c r="L20" s="1172">
        <v>909</v>
      </c>
      <c r="M20" s="1175">
        <f t="shared" si="10"/>
        <v>1057.0236844555791</v>
      </c>
      <c r="N20" s="1175">
        <f t="shared" si="11"/>
        <v>2909</v>
      </c>
      <c r="O20" s="1172">
        <v>1069.6143643789533</v>
      </c>
      <c r="P20" s="1172">
        <v>876</v>
      </c>
      <c r="Q20" s="1173">
        <f t="shared" si="12"/>
        <v>2126.6380488345321</v>
      </c>
      <c r="R20" s="1173">
        <f t="shared" si="13"/>
        <v>3785</v>
      </c>
      <c r="S20" s="1172">
        <v>1069.6143643789533</v>
      </c>
      <c r="T20" s="1172">
        <v>933</v>
      </c>
      <c r="U20" s="1173">
        <f t="shared" si="14"/>
        <v>3196.2524132134854</v>
      </c>
      <c r="V20" s="1173">
        <f t="shared" si="15"/>
        <v>4718</v>
      </c>
      <c r="W20" s="1172">
        <v>587.20900562605334</v>
      </c>
      <c r="X20" s="1172">
        <v>787</v>
      </c>
      <c r="Y20" s="1175">
        <f t="shared" si="16"/>
        <v>2726.4377343839597</v>
      </c>
      <c r="Z20" s="1175">
        <f t="shared" si="17"/>
        <v>2596</v>
      </c>
      <c r="AA20" s="1114">
        <f t="shared" si="18"/>
        <v>3783.461418839539</v>
      </c>
      <c r="AB20" s="1114">
        <f t="shared" si="19"/>
        <v>5505</v>
      </c>
      <c r="AC20" s="1172">
        <v>1090.5988309179249</v>
      </c>
      <c r="AD20" s="1172">
        <v>941</v>
      </c>
      <c r="AE20" s="1173">
        <f t="shared" si="20"/>
        <v>4874.0602497574637</v>
      </c>
      <c r="AF20" s="1173">
        <f t="shared" si="43"/>
        <v>6446</v>
      </c>
      <c r="AG20" s="1172">
        <v>1056.9049986338748</v>
      </c>
      <c r="AH20" s="1172">
        <v>1097</v>
      </c>
      <c r="AI20" s="1173">
        <f t="shared" si="22"/>
        <v>5930.9652483913387</v>
      </c>
      <c r="AJ20" s="1173">
        <f t="shared" si="23"/>
        <v>7543</v>
      </c>
      <c r="AK20" s="1172">
        <v>1090.4801450962204</v>
      </c>
      <c r="AL20" s="1172">
        <v>1268</v>
      </c>
      <c r="AM20" s="1175">
        <f t="shared" si="24"/>
        <v>3237.9839746480202</v>
      </c>
      <c r="AN20" s="1175">
        <f t="shared" si="25"/>
        <v>3306</v>
      </c>
      <c r="AO20" s="1173">
        <f t="shared" si="26"/>
        <v>7021.4453934875592</v>
      </c>
      <c r="AP20" s="1173">
        <f t="shared" si="27"/>
        <v>8811</v>
      </c>
      <c r="AQ20" s="1172">
        <v>1107.3864041490904</v>
      </c>
      <c r="AR20" s="1172">
        <v>992</v>
      </c>
      <c r="AS20" s="1173">
        <f t="shared" si="28"/>
        <v>8128.8317976366498</v>
      </c>
      <c r="AT20" s="1173">
        <f t="shared" si="29"/>
        <v>9803</v>
      </c>
      <c r="AU20" s="1172">
        <v>989.87339153085861</v>
      </c>
      <c r="AV20" s="1172">
        <v>642</v>
      </c>
      <c r="AW20" s="4387">
        <f t="shared" si="76"/>
        <v>9118.7051891675092</v>
      </c>
      <c r="AX20" s="4387">
        <f t="shared" si="77"/>
        <v>10445</v>
      </c>
      <c r="AY20" s="1172">
        <v>1107.3864041490904</v>
      </c>
      <c r="AZ20" s="1172">
        <v>937</v>
      </c>
      <c r="BA20" s="1175">
        <f t="shared" si="32"/>
        <v>3204.6461998290397</v>
      </c>
      <c r="BB20" s="1175">
        <f t="shared" si="33"/>
        <v>2571</v>
      </c>
      <c r="BC20" s="1114">
        <f t="shared" si="34"/>
        <v>6442.6301744770599</v>
      </c>
      <c r="BD20" s="1114">
        <f t="shared" si="35"/>
        <v>5877</v>
      </c>
      <c r="BE20" s="1173">
        <f t="shared" si="72"/>
        <v>10226.0915933166</v>
      </c>
      <c r="BF20" s="1173">
        <f t="shared" si="73"/>
        <v>11382</v>
      </c>
      <c r="BG20" s="23"/>
      <c r="BH20" s="23"/>
      <c r="BI20" s="23"/>
      <c r="BJ20" s="23"/>
      <c r="BK20" s="23"/>
      <c r="BL20" s="23"/>
    </row>
    <row r="21" spans="2:64" ht="15.6" x14ac:dyDescent="0.3">
      <c r="B21" s="1177" t="s">
        <v>21</v>
      </c>
      <c r="C21" s="1178" t="s">
        <v>50</v>
      </c>
      <c r="D21" s="187">
        <f t="shared" ref="D21:AI21" si="78">SUM(D6:D20)</f>
        <v>5000572.4355053725</v>
      </c>
      <c r="E21" s="187">
        <f t="shared" si="78"/>
        <v>346706.3555283724</v>
      </c>
      <c r="F21" s="187">
        <f t="shared" si="78"/>
        <v>424907</v>
      </c>
      <c r="G21" s="187">
        <f t="shared" ref="G21:H21" si="79">SUM(G6:G20)</f>
        <v>311702.34847983491</v>
      </c>
      <c r="H21" s="187">
        <f t="shared" si="79"/>
        <v>182564</v>
      </c>
      <c r="I21" s="187">
        <f t="shared" si="78"/>
        <v>658408.70400820742</v>
      </c>
      <c r="J21" s="187">
        <f t="shared" si="78"/>
        <v>607471</v>
      </c>
      <c r="K21" s="187">
        <f t="shared" si="78"/>
        <v>438413.85245607345</v>
      </c>
      <c r="L21" s="187">
        <f t="shared" si="78"/>
        <v>441570</v>
      </c>
      <c r="M21" s="1382">
        <f t="shared" si="78"/>
        <v>1096822.5564642807</v>
      </c>
      <c r="N21" s="1382">
        <f t="shared" si="78"/>
        <v>1048137</v>
      </c>
      <c r="O21" s="187">
        <f t="shared" si="78"/>
        <v>443393.84392601775</v>
      </c>
      <c r="P21" s="187">
        <f t="shared" si="78"/>
        <v>470314</v>
      </c>
      <c r="Q21" s="187">
        <f t="shared" si="78"/>
        <v>1540216.4003902988</v>
      </c>
      <c r="R21" s="187">
        <f t="shared" si="78"/>
        <v>1518451</v>
      </c>
      <c r="S21" s="187">
        <f t="shared" si="78"/>
        <v>443393.84392601775</v>
      </c>
      <c r="T21" s="187">
        <f t="shared" si="78"/>
        <v>459502</v>
      </c>
      <c r="U21" s="187">
        <f t="shared" si="78"/>
        <v>1983610.2443163167</v>
      </c>
      <c r="V21" s="187">
        <f t="shared" si="78"/>
        <v>1977953</v>
      </c>
      <c r="W21" s="187">
        <f t="shared" si="78"/>
        <v>244456.34331918461</v>
      </c>
      <c r="X21" s="187">
        <f t="shared" si="78"/>
        <v>440393</v>
      </c>
      <c r="Y21" s="187">
        <f t="shared" si="78"/>
        <v>1131244.0311712201</v>
      </c>
      <c r="Z21" s="187">
        <f t="shared" si="78"/>
        <v>1370209</v>
      </c>
      <c r="AA21" s="187">
        <f t="shared" si="78"/>
        <v>2228066.5876355018</v>
      </c>
      <c r="AB21" s="187">
        <f t="shared" si="78"/>
        <v>2418346</v>
      </c>
      <c r="AC21" s="187">
        <f t="shared" si="78"/>
        <v>451693.82970925875</v>
      </c>
      <c r="AD21" s="187">
        <f t="shared" si="78"/>
        <v>360664</v>
      </c>
      <c r="AE21" s="187">
        <f t="shared" si="78"/>
        <v>2679760.4173447606</v>
      </c>
      <c r="AF21" s="187">
        <f t="shared" si="78"/>
        <v>2779010</v>
      </c>
      <c r="AG21" s="187">
        <f t="shared" si="78"/>
        <v>442432.76625222078</v>
      </c>
      <c r="AH21" s="187">
        <f t="shared" si="78"/>
        <v>437318</v>
      </c>
      <c r="AI21" s="187">
        <f t="shared" si="78"/>
        <v>3122193.1835969812</v>
      </c>
      <c r="AJ21" s="187">
        <f t="shared" ref="AJ21:BF21" si="80">SUM(AJ6:AJ20)</f>
        <v>3216328</v>
      </c>
      <c r="AK21" s="187">
        <f t="shared" si="80"/>
        <v>455712.74350540602</v>
      </c>
      <c r="AL21" s="187">
        <f t="shared" si="80"/>
        <v>435350</v>
      </c>
      <c r="AM21" s="187">
        <f t="shared" si="80"/>
        <v>1349839.3394668857</v>
      </c>
      <c r="AN21" s="187">
        <f t="shared" si="80"/>
        <v>1233332</v>
      </c>
      <c r="AO21" s="187">
        <f t="shared" si="80"/>
        <v>3577905.9271023865</v>
      </c>
      <c r="AP21" s="187">
        <f t="shared" si="80"/>
        <v>3651678</v>
      </c>
      <c r="AQ21" s="187">
        <f t="shared" si="80"/>
        <v>458333.81833585131</v>
      </c>
      <c r="AR21" s="187">
        <f t="shared" si="80"/>
        <v>443510</v>
      </c>
      <c r="AS21" s="187">
        <f t="shared" si="80"/>
        <v>4036239.7454382381</v>
      </c>
      <c r="AT21" s="187">
        <f t="shared" si="80"/>
        <v>4095188</v>
      </c>
      <c r="AU21" s="187">
        <f t="shared" si="80"/>
        <v>411853.8979497028</v>
      </c>
      <c r="AV21" s="187">
        <f t="shared" si="80"/>
        <v>381651.88</v>
      </c>
      <c r="AW21" s="187">
        <f t="shared" si="80"/>
        <v>4448093.6433879416</v>
      </c>
      <c r="AX21" s="187">
        <f t="shared" si="80"/>
        <v>4476839.88</v>
      </c>
      <c r="AY21" s="187">
        <f t="shared" si="80"/>
        <v>458333.81833585131</v>
      </c>
      <c r="AZ21" s="187">
        <f t="shared" si="80"/>
        <v>473785</v>
      </c>
      <c r="BA21" s="187">
        <f t="shared" si="80"/>
        <v>1328521.5346214049</v>
      </c>
      <c r="BB21" s="187">
        <f t="shared" si="80"/>
        <v>1298946.8799999999</v>
      </c>
      <c r="BC21" s="187">
        <f t="shared" si="80"/>
        <v>2678360.8740882915</v>
      </c>
      <c r="BD21" s="187">
        <f t="shared" si="80"/>
        <v>2532278.88</v>
      </c>
      <c r="BE21" s="187">
        <f t="shared" si="80"/>
        <v>4906427.4617237924</v>
      </c>
      <c r="BF21" s="187">
        <f t="shared" si="80"/>
        <v>4950624.88</v>
      </c>
      <c r="BG21" s="23"/>
      <c r="BH21" s="23"/>
      <c r="BI21" s="23"/>
      <c r="BJ21" s="23"/>
      <c r="BK21" s="23"/>
      <c r="BL21" s="23"/>
    </row>
    <row r="22" spans="2:64" ht="17.399999999999999" x14ac:dyDescent="0.3">
      <c r="B22" s="1170" t="s">
        <v>890</v>
      </c>
      <c r="C22" s="1170"/>
      <c r="D22" s="3966"/>
      <c r="E22" s="1170"/>
      <c r="F22" s="1170"/>
      <c r="G22" s="1170"/>
      <c r="H22" s="1170"/>
      <c r="I22" s="1170"/>
      <c r="J22" s="1170"/>
      <c r="K22" s="1170"/>
      <c r="L22" s="1170"/>
      <c r="M22" s="2222"/>
      <c r="N22" s="1170"/>
      <c r="O22" s="1170"/>
      <c r="P22" s="1170"/>
      <c r="Q22" s="1170"/>
      <c r="R22" s="1170"/>
      <c r="S22" s="1170"/>
      <c r="T22" s="1170"/>
      <c r="U22" s="1170"/>
      <c r="V22" s="1170"/>
      <c r="W22" s="1170"/>
      <c r="X22" s="1170"/>
      <c r="Y22" s="1170"/>
      <c r="Z22" s="1170"/>
      <c r="AA22" s="1170"/>
      <c r="AB22" s="1170"/>
      <c r="AC22" s="1170"/>
      <c r="AD22" s="1170"/>
      <c r="AE22" s="1170"/>
      <c r="AF22" s="1170"/>
      <c r="AG22" s="1170"/>
      <c r="AH22" s="1170"/>
      <c r="AI22" s="1170"/>
      <c r="AJ22" s="1170"/>
      <c r="AK22" s="1170"/>
      <c r="AL22" s="1170"/>
      <c r="AM22" s="1170"/>
      <c r="AN22" s="1170"/>
      <c r="AO22" s="1170"/>
      <c r="AP22" s="1170"/>
      <c r="AQ22" s="1170"/>
      <c r="AR22" s="1170"/>
      <c r="AS22" s="1170"/>
      <c r="AT22" s="1170"/>
      <c r="AU22" s="1170"/>
      <c r="AV22" s="1170"/>
      <c r="AW22" s="1170"/>
      <c r="AX22" s="1170"/>
      <c r="AY22" s="1170"/>
      <c r="AZ22" s="1170"/>
      <c r="BA22" s="1170"/>
      <c r="BB22" s="1170"/>
      <c r="BC22" s="1170"/>
      <c r="BD22" s="1170"/>
      <c r="BE22" s="1170"/>
      <c r="BF22" s="1170"/>
      <c r="BH22" s="23"/>
      <c r="BI22" s="23"/>
      <c r="BJ22" s="23"/>
      <c r="BK22" s="23"/>
      <c r="BL22" s="23"/>
    </row>
    <row r="23" spans="2:64" x14ac:dyDescent="0.3">
      <c r="B23" s="5175" t="s">
        <v>37</v>
      </c>
      <c r="C23" s="60" t="s">
        <v>217</v>
      </c>
      <c r="D23" s="1031">
        <f t="shared" ref="D23" si="81">+D6/D$67*1000</f>
        <v>779.73584585298556</v>
      </c>
      <c r="E23" s="1172">
        <f>+E6/E$67*1000</f>
        <v>779.73584585298568</v>
      </c>
      <c r="F23" s="1172">
        <f t="shared" ref="F23:BF23" si="82">+F6/F$67*1000</f>
        <v>778.23415594555149</v>
      </c>
      <c r="G23" s="1172">
        <f>+G6/G$67*1000</f>
        <v>779.73584585298568</v>
      </c>
      <c r="H23" s="1172">
        <f t="shared" ref="H23" si="83">+H6/H$67*1000</f>
        <v>780.45577742847354</v>
      </c>
      <c r="I23" s="1173">
        <f t="shared" si="82"/>
        <v>779.7358458529859</v>
      </c>
      <c r="J23" s="1173">
        <f t="shared" si="82"/>
        <v>778.91009858276209</v>
      </c>
      <c r="K23" s="1031">
        <f t="shared" si="82"/>
        <v>783.9122570588894</v>
      </c>
      <c r="L23" s="1172">
        <f t="shared" si="82"/>
        <v>783.21117058313894</v>
      </c>
      <c r="M23" s="1175">
        <f t="shared" si="82"/>
        <v>781.41431211945587</v>
      </c>
      <c r="N23" s="1175">
        <f t="shared" si="82"/>
        <v>780.74007067137802</v>
      </c>
      <c r="O23" s="1031">
        <f t="shared" si="82"/>
        <v>783.9122570588894</v>
      </c>
      <c r="P23" s="1172">
        <f t="shared" si="82"/>
        <v>783.52095688008853</v>
      </c>
      <c r="Q23" s="1173">
        <f t="shared" si="82"/>
        <v>782.13615453114005</v>
      </c>
      <c r="R23" s="1173">
        <f t="shared" si="82"/>
        <v>781.60309123590957</v>
      </c>
      <c r="S23" s="1031">
        <f t="shared" si="82"/>
        <v>783.9122570588894</v>
      </c>
      <c r="T23" s="1172">
        <f t="shared" si="82"/>
        <v>782.91607838634161</v>
      </c>
      <c r="U23" s="1173">
        <f t="shared" si="82"/>
        <v>782.53433801104711</v>
      </c>
      <c r="V23" s="1173">
        <f t="shared" si="82"/>
        <v>781.90516561253764</v>
      </c>
      <c r="W23" s="1031">
        <f t="shared" si="82"/>
        <v>783.9122570588894</v>
      </c>
      <c r="X23" s="1172">
        <f t="shared" si="82"/>
        <v>782.30127219945359</v>
      </c>
      <c r="Y23" s="1175">
        <f t="shared" si="82"/>
        <v>783.91225705888928</v>
      </c>
      <c r="Z23" s="1175">
        <f t="shared" si="82"/>
        <v>782.92498721800678</v>
      </c>
      <c r="AA23" s="1114">
        <f t="shared" si="82"/>
        <v>782.68601412433816</v>
      </c>
      <c r="AB23" s="1114">
        <f t="shared" si="82"/>
        <v>781.97792675383698</v>
      </c>
      <c r="AC23" s="1031">
        <f t="shared" si="82"/>
        <v>783.91225705888951</v>
      </c>
      <c r="AD23" s="1172">
        <f t="shared" si="82"/>
        <v>782.94763939385905</v>
      </c>
      <c r="AE23" s="1173">
        <f t="shared" si="82"/>
        <v>782.89311894664104</v>
      </c>
      <c r="AF23" s="1173">
        <f t="shared" si="82"/>
        <v>782.10275580699181</v>
      </c>
      <c r="AG23" s="1031">
        <f t="shared" si="82"/>
        <v>783.9122570588894</v>
      </c>
      <c r="AH23" s="1172">
        <f t="shared" si="82"/>
        <v>781.00031130019715</v>
      </c>
      <c r="AI23" s="1173">
        <f t="shared" si="82"/>
        <v>783.03800847903472</v>
      </c>
      <c r="AJ23" s="1173">
        <f t="shared" si="82"/>
        <v>781.95366830726687</v>
      </c>
      <c r="AK23" s="1031">
        <f t="shared" si="82"/>
        <v>783.9122570588894</v>
      </c>
      <c r="AL23" s="1172">
        <f t="shared" si="82"/>
        <v>779.99961187980466</v>
      </c>
      <c r="AM23" s="1175">
        <f t="shared" si="82"/>
        <v>783.9122570588894</v>
      </c>
      <c r="AN23" s="1175">
        <f t="shared" si="82"/>
        <v>781.22012861167264</v>
      </c>
      <c r="AO23" s="1173">
        <f t="shared" si="82"/>
        <v>783.14964966276011</v>
      </c>
      <c r="AP23" s="1173">
        <f t="shared" si="82"/>
        <v>781.72397443187833</v>
      </c>
      <c r="AQ23" s="1031">
        <f t="shared" si="82"/>
        <v>783.9122570588894</v>
      </c>
      <c r="AR23" s="1172">
        <f t="shared" si="82"/>
        <v>780.00709258552024</v>
      </c>
      <c r="AS23" s="1173">
        <f t="shared" si="82"/>
        <v>783.23632081306266</v>
      </c>
      <c r="AT23" s="1173">
        <f t="shared" si="82"/>
        <v>781.54076346810791</v>
      </c>
      <c r="AU23" s="1031">
        <f t="shared" si="82"/>
        <v>783.9122570588894</v>
      </c>
      <c r="AV23" s="1172">
        <f t="shared" si="82"/>
        <v>780</v>
      </c>
      <c r="AW23" s="1173">
        <f t="shared" si="82"/>
        <v>783.29900552694926</v>
      </c>
      <c r="AX23" s="1173">
        <f t="shared" si="82"/>
        <v>781.41140574988708</v>
      </c>
      <c r="AY23" s="1172">
        <f t="shared" si="82"/>
        <v>783.9122570588894</v>
      </c>
      <c r="AZ23" s="1172">
        <f t="shared" si="82"/>
        <v>779.06578767231485</v>
      </c>
      <c r="BA23" s="1175">
        <f t="shared" si="82"/>
        <v>783.9122570588894</v>
      </c>
      <c r="BB23" s="1175">
        <f t="shared" si="82"/>
        <v>779.66809076809125</v>
      </c>
      <c r="BC23" s="1114">
        <f t="shared" si="82"/>
        <v>783.9122570588894</v>
      </c>
      <c r="BD23" s="1114">
        <f t="shared" si="82"/>
        <v>780.4318965018058</v>
      </c>
      <c r="BE23" s="1173">
        <f t="shared" si="82"/>
        <v>783.35632810898778</v>
      </c>
      <c r="BF23" s="1188">
        <f t="shared" si="82"/>
        <v>781.19567962470933</v>
      </c>
      <c r="BG23" s="23"/>
      <c r="BH23" s="23"/>
      <c r="BI23" s="23"/>
      <c r="BJ23" s="23"/>
      <c r="BK23" s="23"/>
      <c r="BL23" s="23"/>
    </row>
    <row r="24" spans="2:64" x14ac:dyDescent="0.3">
      <c r="B24" s="5175" t="s">
        <v>38</v>
      </c>
      <c r="C24" s="60" t="s">
        <v>217</v>
      </c>
      <c r="D24" s="1031">
        <f t="shared" ref="D24:E29" si="84">+D7/D$67*1000</f>
        <v>41.979186176043648</v>
      </c>
      <c r="E24" s="1172">
        <f t="shared" si="84"/>
        <v>41.979186176043655</v>
      </c>
      <c r="F24" s="1172">
        <f t="shared" ref="F24:BF24" si="85">+F7/F$67*1000</f>
        <v>15.962863640992566</v>
      </c>
      <c r="G24" s="1172">
        <f t="shared" si="85"/>
        <v>41.979186176043655</v>
      </c>
      <c r="H24" s="1172">
        <f t="shared" ref="H24" si="86">+H7/H$67*1000</f>
        <v>15.815722574760823</v>
      </c>
      <c r="I24" s="1173">
        <f t="shared" si="85"/>
        <v>41.979186176043662</v>
      </c>
      <c r="J24" s="1173">
        <f t="shared" si="85"/>
        <v>15.918095024414436</v>
      </c>
      <c r="K24" s="1031">
        <f t="shared" si="85"/>
        <v>45.456618844771484</v>
      </c>
      <c r="L24" s="1172">
        <f t="shared" si="85"/>
        <v>35.203070103169495</v>
      </c>
      <c r="M24" s="1175">
        <f t="shared" si="85"/>
        <v>43.376738557890135</v>
      </c>
      <c r="N24" s="1175">
        <f t="shared" si="85"/>
        <v>24.123250883392227</v>
      </c>
      <c r="O24" s="1031">
        <f t="shared" si="85"/>
        <v>45.456618844771477</v>
      </c>
      <c r="P24" s="1172">
        <f t="shared" si="85"/>
        <v>36.712232385164334</v>
      </c>
      <c r="Q24" s="1173">
        <f t="shared" si="85"/>
        <v>43.977770941989633</v>
      </c>
      <c r="R24" s="1173">
        <f t="shared" si="85"/>
        <v>28.030116935122258</v>
      </c>
      <c r="S24" s="1031">
        <f t="shared" si="85"/>
        <v>45.456618844771477</v>
      </c>
      <c r="T24" s="1172">
        <f t="shared" si="85"/>
        <v>31.272590616917942</v>
      </c>
      <c r="U24" s="1173">
        <f t="shared" si="85"/>
        <v>44.309313065815815</v>
      </c>
      <c r="V24" s="1173">
        <f t="shared" si="85"/>
        <v>28.776101551833246</v>
      </c>
      <c r="W24" s="1031">
        <f t="shared" si="85"/>
        <v>45.456618844771484</v>
      </c>
      <c r="X24" s="1172">
        <f t="shared" si="85"/>
        <v>34.630613900273218</v>
      </c>
      <c r="Y24" s="1175">
        <f t="shared" si="85"/>
        <v>45.456618844771477</v>
      </c>
      <c r="Z24" s="1175">
        <f t="shared" si="85"/>
        <v>34.23411421002956</v>
      </c>
      <c r="AA24" s="1114">
        <f t="shared" si="85"/>
        <v>44.43560414335095</v>
      </c>
      <c r="AB24" s="1114">
        <f t="shared" si="85"/>
        <v>29.851521689478695</v>
      </c>
      <c r="AC24" s="1031">
        <f t="shared" si="85"/>
        <v>45.456618844771477</v>
      </c>
      <c r="AD24" s="1172">
        <f t="shared" si="85"/>
        <v>40.939067434516069</v>
      </c>
      <c r="AE24" s="1173">
        <f t="shared" si="85"/>
        <v>44.608047190603941</v>
      </c>
      <c r="AF24" s="1173">
        <f t="shared" si="85"/>
        <v>31.278797956738263</v>
      </c>
      <c r="AG24" s="1031">
        <f t="shared" si="85"/>
        <v>45.456618844771469</v>
      </c>
      <c r="AH24" s="1172">
        <f t="shared" si="85"/>
        <v>39.64981458523345</v>
      </c>
      <c r="AI24" s="1173">
        <f t="shared" si="85"/>
        <v>44.728687512751783</v>
      </c>
      <c r="AJ24" s="1173">
        <f t="shared" si="85"/>
        <v>32.410840369400937</v>
      </c>
      <c r="AK24" s="1031">
        <f t="shared" si="85"/>
        <v>45.456618844771484</v>
      </c>
      <c r="AL24" s="1172">
        <f t="shared" si="85"/>
        <v>40.297965418490598</v>
      </c>
      <c r="AM24" s="1175">
        <f t="shared" si="85"/>
        <v>45.456618844771484</v>
      </c>
      <c r="AN24" s="1175">
        <f t="shared" si="85"/>
        <v>40.255084031284547</v>
      </c>
      <c r="AO24" s="1173">
        <f t="shared" si="85"/>
        <v>44.821644044166476</v>
      </c>
      <c r="AP24" s="1173">
        <f t="shared" si="85"/>
        <v>33.337949890261726</v>
      </c>
      <c r="AQ24" s="1031">
        <f t="shared" si="85"/>
        <v>45.456618844771477</v>
      </c>
      <c r="AR24" s="1172">
        <f t="shared" si="85"/>
        <v>30.618146107261715</v>
      </c>
      <c r="AS24" s="1173">
        <f t="shared" si="85"/>
        <v>44.893809612794414</v>
      </c>
      <c r="AT24" s="1173">
        <f t="shared" si="85"/>
        <v>33.047715665112676</v>
      </c>
      <c r="AU24" s="1031">
        <f t="shared" si="85"/>
        <v>45.456618844771484</v>
      </c>
      <c r="AV24" s="1172">
        <f t="shared" si="85"/>
        <v>34.979005609091431</v>
      </c>
      <c r="AW24" s="1173">
        <f t="shared" si="85"/>
        <v>44.946003197466148</v>
      </c>
      <c r="AX24" s="1173">
        <f t="shared" si="85"/>
        <v>33.209860774045218</v>
      </c>
      <c r="AY24" s="1172">
        <f t="shared" si="85"/>
        <v>45.456618844771477</v>
      </c>
      <c r="AZ24" s="1172">
        <f t="shared" si="85"/>
        <v>36.890381962361914</v>
      </c>
      <c r="BA24" s="1175">
        <f t="shared" si="85"/>
        <v>45.456618844771477</v>
      </c>
      <c r="BB24" s="1175">
        <f t="shared" si="85"/>
        <v>34.156761717741468</v>
      </c>
      <c r="BC24" s="1114">
        <f t="shared" si="85"/>
        <v>45.456618844771477</v>
      </c>
      <c r="BD24" s="1114">
        <f t="shared" si="85"/>
        <v>37.157934381402178</v>
      </c>
      <c r="BE24" s="1188">
        <f t="shared" si="85"/>
        <v>44.993732075109868</v>
      </c>
      <c r="BF24" s="1188">
        <f t="shared" si="85"/>
        <v>33.548357728081356</v>
      </c>
      <c r="BG24" s="23"/>
      <c r="BH24" s="23"/>
      <c r="BI24" s="23"/>
      <c r="BJ24" s="23"/>
      <c r="BK24" s="23"/>
      <c r="BL24" s="23"/>
    </row>
    <row r="25" spans="2:64" x14ac:dyDescent="0.3">
      <c r="B25" s="5175" t="s">
        <v>39</v>
      </c>
      <c r="C25" s="60" t="s">
        <v>217</v>
      </c>
      <c r="D25" s="1031">
        <f t="shared" si="84"/>
        <v>94.759139640821545</v>
      </c>
      <c r="E25" s="1172">
        <f t="shared" si="84"/>
        <v>94.759139640821573</v>
      </c>
      <c r="F25" s="1172">
        <f t="shared" ref="F25:BF25" si="87">+F8/F$67*1000</f>
        <v>108.72455503128641</v>
      </c>
      <c r="G25" s="1172">
        <f t="shared" si="87"/>
        <v>94.759139640821559</v>
      </c>
      <c r="H25" s="1172">
        <f t="shared" ref="H25" si="88">+H8/H$67*1000</f>
        <v>117.78023584509</v>
      </c>
      <c r="I25" s="1173">
        <f t="shared" si="87"/>
        <v>94.759139640821573</v>
      </c>
      <c r="J25" s="1173">
        <f t="shared" si="87"/>
        <v>111.47980421215468</v>
      </c>
      <c r="K25" s="1031">
        <f t="shared" si="87"/>
        <v>94.86465536540247</v>
      </c>
      <c r="L25" s="1172">
        <f t="shared" si="87"/>
        <v>87.306058882622779</v>
      </c>
      <c r="M25" s="1175">
        <f t="shared" si="87"/>
        <v>94.801545566761234</v>
      </c>
      <c r="N25" s="1175">
        <f t="shared" si="87"/>
        <v>101.19462897526502</v>
      </c>
      <c r="O25" s="1031">
        <f t="shared" si="87"/>
        <v>94.864655365402484</v>
      </c>
      <c r="P25" s="1172">
        <f t="shared" si="87"/>
        <v>92.217810835259826</v>
      </c>
      <c r="Q25" s="1173">
        <f t="shared" si="87"/>
        <v>94.819782689819036</v>
      </c>
      <c r="R25" s="1173">
        <f t="shared" si="87"/>
        <v>98.408762140938222</v>
      </c>
      <c r="S25" s="1031">
        <f t="shared" si="87"/>
        <v>94.864655365402484</v>
      </c>
      <c r="T25" s="1172">
        <f t="shared" si="87"/>
        <v>97.865488453177235</v>
      </c>
      <c r="U25" s="1173">
        <f t="shared" si="87"/>
        <v>94.829842671063034</v>
      </c>
      <c r="V25" s="1173">
        <f t="shared" si="87"/>
        <v>98.283773057446524</v>
      </c>
      <c r="W25" s="1031">
        <f t="shared" si="87"/>
        <v>94.864655365402484</v>
      </c>
      <c r="X25" s="1172">
        <f t="shared" si="87"/>
        <v>93.635267247267763</v>
      </c>
      <c r="Y25" s="1175">
        <f t="shared" si="87"/>
        <v>94.864655365402484</v>
      </c>
      <c r="Z25" s="1175">
        <f t="shared" si="87"/>
        <v>94.5495504458342</v>
      </c>
      <c r="AA25" s="1114">
        <f t="shared" si="87"/>
        <v>94.833674720688037</v>
      </c>
      <c r="AB25" s="1114">
        <f t="shared" si="87"/>
        <v>97.429885242253818</v>
      </c>
      <c r="AC25" s="1031">
        <f t="shared" si="87"/>
        <v>94.86465536540247</v>
      </c>
      <c r="AD25" s="1172">
        <f t="shared" si="87"/>
        <v>94.729439239935246</v>
      </c>
      <c r="AE25" s="1173">
        <f t="shared" si="87"/>
        <v>94.838907159332635</v>
      </c>
      <c r="AF25" s="1173">
        <f t="shared" si="87"/>
        <v>97.082262551105032</v>
      </c>
      <c r="AG25" s="1031">
        <f t="shared" si="87"/>
        <v>94.864655365402484</v>
      </c>
      <c r="AH25" s="1172">
        <f t="shared" si="87"/>
        <v>87.194092942223776</v>
      </c>
      <c r="AI25" s="1173">
        <f t="shared" si="87"/>
        <v>94.842567748111151</v>
      </c>
      <c r="AJ25" s="1173">
        <f t="shared" si="87"/>
        <v>95.745050133828073</v>
      </c>
      <c r="AK25" s="1031">
        <f t="shared" si="87"/>
        <v>94.86465536540247</v>
      </c>
      <c r="AL25" s="1172">
        <f t="shared" si="87"/>
        <v>83.567822617981605</v>
      </c>
      <c r="AM25" s="1175">
        <f t="shared" si="87"/>
        <v>94.864655365402456</v>
      </c>
      <c r="AN25" s="1175">
        <f t="shared" si="87"/>
        <v>88.130988256138139</v>
      </c>
      <c r="AO25" s="1173">
        <f t="shared" si="87"/>
        <v>94.845388327745937</v>
      </c>
      <c r="AP25" s="1173">
        <f t="shared" si="87"/>
        <v>94.313651050212385</v>
      </c>
      <c r="AQ25" s="1031">
        <f t="shared" si="87"/>
        <v>94.864655365402456</v>
      </c>
      <c r="AR25" s="1172">
        <f t="shared" si="87"/>
        <v>96.489170167494123</v>
      </c>
      <c r="AS25" s="1173">
        <f t="shared" si="87"/>
        <v>94.847578047285864</v>
      </c>
      <c r="AT25" s="1173">
        <f t="shared" si="87"/>
        <v>94.545803865517598</v>
      </c>
      <c r="AU25" s="1031">
        <f t="shared" si="87"/>
        <v>94.864655365402484</v>
      </c>
      <c r="AV25" s="1172">
        <f t="shared" si="87"/>
        <v>102.93603857123802</v>
      </c>
      <c r="AW25" s="1173">
        <f t="shared" si="87"/>
        <v>94.849161757002122</v>
      </c>
      <c r="AX25" s="1173">
        <f t="shared" si="87"/>
        <v>95.250221927947877</v>
      </c>
      <c r="AY25" s="1172">
        <f t="shared" si="87"/>
        <v>94.864655365402456</v>
      </c>
      <c r="AZ25" s="1172">
        <f t="shared" si="87"/>
        <v>106.01377465589688</v>
      </c>
      <c r="BA25" s="1175">
        <f t="shared" si="87"/>
        <v>94.86465536540247</v>
      </c>
      <c r="BB25" s="1175">
        <f t="shared" si="87"/>
        <v>101.81068811048063</v>
      </c>
      <c r="BC25" s="1114">
        <f t="shared" si="87"/>
        <v>94.864655365402456</v>
      </c>
      <c r="BD25" s="1114">
        <f t="shared" si="87"/>
        <v>95.078485524408492</v>
      </c>
      <c r="BE25" s="1188">
        <f t="shared" si="87"/>
        <v>94.850609994132157</v>
      </c>
      <c r="BF25" s="1188">
        <f t="shared" si="87"/>
        <v>96.240144177161824</v>
      </c>
      <c r="BG25" s="23"/>
      <c r="BH25" s="23"/>
      <c r="BI25" s="23"/>
      <c r="BJ25" s="23"/>
      <c r="BK25" s="23"/>
      <c r="BL25" s="23"/>
    </row>
    <row r="26" spans="2:64" x14ac:dyDescent="0.3">
      <c r="B26" s="5175" t="s">
        <v>40</v>
      </c>
      <c r="C26" s="60" t="s">
        <v>217</v>
      </c>
      <c r="D26" s="1031">
        <f t="shared" si="84"/>
        <v>44.1</v>
      </c>
      <c r="E26" s="1172">
        <f t="shared" si="84"/>
        <v>44.099999999999994</v>
      </c>
      <c r="F26" s="1172">
        <f t="shared" ref="F26:BF26" si="89">+F9/F$67*1000</f>
        <v>32.754562838747631</v>
      </c>
      <c r="G26" s="1172">
        <f t="shared" si="89"/>
        <v>44.1</v>
      </c>
      <c r="H26" s="1172">
        <f t="shared" ref="H26" si="90">+H9/H$67*1000</f>
        <v>35.027459199316915</v>
      </c>
      <c r="I26" s="1173">
        <f t="shared" si="89"/>
        <v>44.1</v>
      </c>
      <c r="J26" s="1173">
        <f t="shared" si="89"/>
        <v>33.446106187549326</v>
      </c>
      <c r="K26" s="1031">
        <f t="shared" si="89"/>
        <v>44.45</v>
      </c>
      <c r="L26" s="1172">
        <f t="shared" si="89"/>
        <v>37.491296236253369</v>
      </c>
      <c r="M26" s="1175">
        <f t="shared" si="89"/>
        <v>44.240662201182232</v>
      </c>
      <c r="N26" s="1175">
        <f t="shared" si="89"/>
        <v>35.167208480565371</v>
      </c>
      <c r="O26" s="1031">
        <f t="shared" si="89"/>
        <v>44.449999999999996</v>
      </c>
      <c r="P26" s="1172">
        <f t="shared" si="89"/>
        <v>38.325459845210574</v>
      </c>
      <c r="Q26" s="1173">
        <f t="shared" si="89"/>
        <v>44.301155488752272</v>
      </c>
      <c r="R26" s="1173">
        <f t="shared" si="89"/>
        <v>36.14734059352665</v>
      </c>
      <c r="S26" s="1031">
        <f t="shared" si="89"/>
        <v>44.449999999999996</v>
      </c>
      <c r="T26" s="1172">
        <f t="shared" si="89"/>
        <v>43.178253505541797</v>
      </c>
      <c r="U26" s="1173">
        <f t="shared" si="89"/>
        <v>44.334524860467987</v>
      </c>
      <c r="V26" s="1173">
        <f t="shared" si="89"/>
        <v>37.764918217439181</v>
      </c>
      <c r="W26" s="1031">
        <f t="shared" si="89"/>
        <v>44.449999999999996</v>
      </c>
      <c r="X26" s="1172">
        <f t="shared" si="89"/>
        <v>36.8132044057377</v>
      </c>
      <c r="Y26" s="1175">
        <f t="shared" si="89"/>
        <v>44.449999999999996</v>
      </c>
      <c r="Z26" s="1175">
        <f t="shared" si="89"/>
        <v>39.44380378277792</v>
      </c>
      <c r="AA26" s="1114">
        <f t="shared" si="89"/>
        <v>44.34723592674824</v>
      </c>
      <c r="AB26" s="1114">
        <f t="shared" si="89"/>
        <v>37.590097132869808</v>
      </c>
      <c r="AC26" s="1031">
        <f t="shared" si="89"/>
        <v>44.449999999999989</v>
      </c>
      <c r="AD26" s="1172">
        <f t="shared" si="89"/>
        <v>38.975212972054884</v>
      </c>
      <c r="AE26" s="1173">
        <f t="shared" si="89"/>
        <v>44.364592141027039</v>
      </c>
      <c r="AF26" s="1173">
        <f t="shared" si="89"/>
        <v>37.768400159539077</v>
      </c>
      <c r="AG26" s="1031">
        <f t="shared" si="89"/>
        <v>44.449999999999996</v>
      </c>
      <c r="AH26" s="1172">
        <f t="shared" si="89"/>
        <v>39.076366853628826</v>
      </c>
      <c r="AI26" s="1173">
        <f t="shared" si="89"/>
        <v>44.376734464624413</v>
      </c>
      <c r="AJ26" s="1173">
        <f t="shared" si="89"/>
        <v>37.945281157125386</v>
      </c>
      <c r="AK26" s="1031">
        <f t="shared" si="89"/>
        <v>44.449999999999989</v>
      </c>
      <c r="AL26" s="1172">
        <f t="shared" si="89"/>
        <v>38.77875208268069</v>
      </c>
      <c r="AM26" s="1175">
        <f t="shared" si="89"/>
        <v>44.449999999999989</v>
      </c>
      <c r="AN26" s="1175">
        <f t="shared" si="89"/>
        <v>38.942323120053445</v>
      </c>
      <c r="AO26" s="1173">
        <f t="shared" si="89"/>
        <v>44.386090443328968</v>
      </c>
      <c r="AP26" s="1173">
        <f t="shared" si="89"/>
        <v>38.043253336548631</v>
      </c>
      <c r="AQ26" s="1031">
        <f t="shared" si="89"/>
        <v>44.449999999999996</v>
      </c>
      <c r="AR26" s="1172">
        <f t="shared" si="89"/>
        <v>38.643679415134493</v>
      </c>
      <c r="AS26" s="1173">
        <f t="shared" si="89"/>
        <v>44.393353833141489</v>
      </c>
      <c r="AT26" s="1173">
        <f t="shared" si="89"/>
        <v>38.107325678372284</v>
      </c>
      <c r="AU26" s="1031">
        <f t="shared" si="89"/>
        <v>44.449999999999989</v>
      </c>
      <c r="AV26" s="1172">
        <f t="shared" si="89"/>
        <v>38.866620506533351</v>
      </c>
      <c r="AW26" s="1173">
        <f t="shared" si="89"/>
        <v>44.398607063433886</v>
      </c>
      <c r="AX26" s="1173">
        <f t="shared" si="89"/>
        <v>38.171073715277842</v>
      </c>
      <c r="AY26" s="1172">
        <f t="shared" si="89"/>
        <v>44.449999999999996</v>
      </c>
      <c r="AZ26" s="1172">
        <f t="shared" si="89"/>
        <v>41.834725191402427</v>
      </c>
      <c r="BA26" s="1175">
        <f t="shared" si="89"/>
        <v>44.449999999999989</v>
      </c>
      <c r="BB26" s="1175">
        <f t="shared" si="89"/>
        <v>39.851911041089132</v>
      </c>
      <c r="BC26" s="1114">
        <f t="shared" si="89"/>
        <v>44.449999999999996</v>
      </c>
      <c r="BD26" s="1114">
        <f t="shared" si="89"/>
        <v>39.404274746473163</v>
      </c>
      <c r="BE26" s="1188">
        <f t="shared" si="89"/>
        <v>44.403410925583543</v>
      </c>
      <c r="BF26" s="1188">
        <f t="shared" si="89"/>
        <v>38.508019164540521</v>
      </c>
      <c r="BG26" s="23"/>
      <c r="BH26" s="23"/>
      <c r="BI26" s="23"/>
      <c r="BJ26" s="23"/>
      <c r="BK26" s="23"/>
      <c r="BL26" s="23"/>
    </row>
    <row r="27" spans="2:64" x14ac:dyDescent="0.3">
      <c r="B27" s="5175" t="s">
        <v>1386</v>
      </c>
      <c r="C27" s="60" t="s">
        <v>217</v>
      </c>
      <c r="D27" s="1031">
        <f t="shared" si="84"/>
        <v>1.5</v>
      </c>
      <c r="E27" s="1172">
        <f t="shared" si="84"/>
        <v>1.5</v>
      </c>
      <c r="F27" s="1172">
        <f t="shared" ref="F27:BF27" si="91">+F10/F$67*1000</f>
        <v>0</v>
      </c>
      <c r="G27" s="1172">
        <f t="shared" si="91"/>
        <v>1.5</v>
      </c>
      <c r="H27" s="1172">
        <f t="shared" ref="H27" si="92">+H10/H$67*1000</f>
        <v>0</v>
      </c>
      <c r="I27" s="1173">
        <f t="shared" si="91"/>
        <v>1.5000000000000002</v>
      </c>
      <c r="J27" s="1173">
        <f t="shared" si="91"/>
        <v>0</v>
      </c>
      <c r="K27" s="1031">
        <f t="shared" si="91"/>
        <v>0.39999999999999997</v>
      </c>
      <c r="L27" s="1172">
        <f t="shared" si="91"/>
        <v>1.0471092873810042</v>
      </c>
      <c r="M27" s="1175">
        <f t="shared" si="91"/>
        <v>1.0579187962844043</v>
      </c>
      <c r="N27" s="1186">
        <f t="shared" si="91"/>
        <v>0.44551236749116607</v>
      </c>
      <c r="O27" s="1031">
        <f t="shared" si="91"/>
        <v>0.39999999999999997</v>
      </c>
      <c r="P27" s="1172">
        <f t="shared" si="91"/>
        <v>2.3419439139612024</v>
      </c>
      <c r="Q27" s="1173">
        <f t="shared" si="91"/>
        <v>0.8677970353499741</v>
      </c>
      <c r="R27" s="1188">
        <f t="shared" si="91"/>
        <v>1.0340511644773012</v>
      </c>
      <c r="S27" s="1031">
        <f t="shared" si="91"/>
        <v>0.39999999999999997</v>
      </c>
      <c r="T27" s="1172">
        <f t="shared" si="91"/>
        <v>1.8998953491710142</v>
      </c>
      <c r="U27" s="1173">
        <f t="shared" si="91"/>
        <v>0.76292186710057075</v>
      </c>
      <c r="V27" s="1188">
        <f t="shared" si="91"/>
        <v>1.2332529177178937</v>
      </c>
      <c r="W27" s="1031">
        <f t="shared" si="91"/>
        <v>0.40000000000000008</v>
      </c>
      <c r="X27" s="1172">
        <f t="shared" si="91"/>
        <v>0</v>
      </c>
      <c r="Y27" s="1175">
        <f t="shared" si="91"/>
        <v>0.39999999999999997</v>
      </c>
      <c r="Z27" s="1175">
        <f t="shared" si="91"/>
        <v>1.4360818151382055</v>
      </c>
      <c r="AA27" s="1114">
        <f t="shared" si="91"/>
        <v>0.72297280164836408</v>
      </c>
      <c r="AB27" s="1114">
        <f t="shared" si="91"/>
        <v>1.0067156856498414</v>
      </c>
      <c r="AC27" s="1031">
        <f t="shared" si="91"/>
        <v>0.39999999999999997</v>
      </c>
      <c r="AD27" s="1172">
        <f t="shared" si="91"/>
        <v>1.5956317507497146</v>
      </c>
      <c r="AE27" s="1173">
        <f t="shared" si="91"/>
        <v>0.6684246996292702</v>
      </c>
      <c r="AF27" s="1173">
        <f t="shared" si="91"/>
        <v>1.0825256026913253</v>
      </c>
      <c r="AG27" s="1031">
        <f t="shared" si="91"/>
        <v>0.39999999999999997</v>
      </c>
      <c r="AH27" s="1172">
        <f t="shared" si="91"/>
        <v>0.68267587095787607</v>
      </c>
      <c r="AI27" s="1173">
        <f t="shared" si="91"/>
        <v>0.63026311118040723</v>
      </c>
      <c r="AJ27" s="1173">
        <f t="shared" si="91"/>
        <v>1.0284524984194698</v>
      </c>
      <c r="AK27" s="1031">
        <f t="shared" si="91"/>
        <v>0.4</v>
      </c>
      <c r="AL27" s="1172">
        <f t="shared" si="91"/>
        <v>0</v>
      </c>
      <c r="AM27" s="1175">
        <f t="shared" si="91"/>
        <v>0.39999999999999997</v>
      </c>
      <c r="AN27" s="1175">
        <f t="shared" si="91"/>
        <v>0.71083572304439946</v>
      </c>
      <c r="AO27" s="1173">
        <f t="shared" si="91"/>
        <v>0.60085860668037727</v>
      </c>
      <c r="AP27" s="1173">
        <f t="shared" si="91"/>
        <v>0.90756077968758397</v>
      </c>
      <c r="AQ27" s="1031">
        <f t="shared" si="91"/>
        <v>0.39999999999999997</v>
      </c>
      <c r="AR27" s="1172">
        <f t="shared" si="91"/>
        <v>0</v>
      </c>
      <c r="AS27" s="1173">
        <f t="shared" si="91"/>
        <v>0.57803081012672963</v>
      </c>
      <c r="AT27" s="1173">
        <f t="shared" si="91"/>
        <v>0.81071364633381315</v>
      </c>
      <c r="AU27" s="1031">
        <f t="shared" si="91"/>
        <v>0.40000000000000008</v>
      </c>
      <c r="AV27" s="1172">
        <f t="shared" si="91"/>
        <v>0</v>
      </c>
      <c r="AW27" s="1188">
        <f t="shared" si="91"/>
        <v>0.561520657779219</v>
      </c>
      <c r="AX27" s="1173">
        <f t="shared" si="91"/>
        <v>0.74264864505954653</v>
      </c>
      <c r="AY27" s="1172">
        <f t="shared" si="91"/>
        <v>0.39999999999999997</v>
      </c>
      <c r="AZ27" s="1172">
        <f t="shared" si="91"/>
        <v>0</v>
      </c>
      <c r="BA27" s="1186">
        <f t="shared" si="91"/>
        <v>0.4</v>
      </c>
      <c r="BB27" s="1175">
        <f t="shared" si="91"/>
        <v>0</v>
      </c>
      <c r="BC27" s="1114">
        <f t="shared" si="91"/>
        <v>0.39999999999999997</v>
      </c>
      <c r="BD27" s="1114">
        <f t="shared" si="91"/>
        <v>0.3498242025707054</v>
      </c>
      <c r="BE27" s="1188">
        <f t="shared" si="91"/>
        <v>0.54642280530885223</v>
      </c>
      <c r="BF27" s="1188">
        <f t="shared" si="91"/>
        <v>0.67434736613478374</v>
      </c>
      <c r="BG27" s="23"/>
      <c r="BH27" s="23"/>
      <c r="BI27" s="23"/>
      <c r="BJ27" s="23"/>
      <c r="BK27" s="23"/>
      <c r="BL27" s="23"/>
    </row>
    <row r="28" spans="2:64" x14ac:dyDescent="0.3">
      <c r="B28" s="5175" t="s">
        <v>528</v>
      </c>
      <c r="C28" s="60" t="s">
        <v>217</v>
      </c>
      <c r="D28" s="1031">
        <f t="shared" si="84"/>
        <v>15</v>
      </c>
      <c r="E28" s="1172">
        <f t="shared" si="84"/>
        <v>15.000000000000002</v>
      </c>
      <c r="F28" s="1172">
        <f t="shared" ref="F28:BF28" si="93">+F11/F$67*1000</f>
        <v>15.943062108919742</v>
      </c>
      <c r="G28" s="1172">
        <f t="shared" si="93"/>
        <v>15</v>
      </c>
      <c r="H28" s="1172">
        <f t="shared" ref="H28" si="94">+H11/H$67*1000</f>
        <v>8.7390761548064919</v>
      </c>
      <c r="I28" s="1173">
        <f t="shared" si="93"/>
        <v>15.000000000000002</v>
      </c>
      <c r="J28" s="1173">
        <f t="shared" si="93"/>
        <v>13.751203008850602</v>
      </c>
      <c r="K28" s="1031">
        <f t="shared" si="93"/>
        <v>14.56</v>
      </c>
      <c r="L28" s="1172">
        <f t="shared" si="93"/>
        <v>17.970946703731855</v>
      </c>
      <c r="M28" s="1175">
        <f t="shared" si="93"/>
        <v>14.823167518513761</v>
      </c>
      <c r="N28" s="1175">
        <f t="shared" si="93"/>
        <v>15.546572438162544</v>
      </c>
      <c r="O28" s="1031">
        <f t="shared" si="93"/>
        <v>14.560000000000002</v>
      </c>
      <c r="P28" s="1172">
        <f t="shared" si="93"/>
        <v>14.164740174891948</v>
      </c>
      <c r="Q28" s="1173">
        <f t="shared" si="93"/>
        <v>14.74711881413999</v>
      </c>
      <c r="R28" s="1173">
        <f t="shared" si="93"/>
        <v>15.11773444536724</v>
      </c>
      <c r="S28" s="1031">
        <f t="shared" si="93"/>
        <v>14.560000000000002</v>
      </c>
      <c r="T28" s="1172">
        <f t="shared" si="93"/>
        <v>16.814595789435224</v>
      </c>
      <c r="U28" s="1173">
        <f t="shared" si="93"/>
        <v>14.705168746840227</v>
      </c>
      <c r="V28" s="1173">
        <f t="shared" si="93"/>
        <v>15.508125419540153</v>
      </c>
      <c r="W28" s="1031">
        <f t="shared" si="93"/>
        <v>14.56</v>
      </c>
      <c r="X28" s="1172">
        <f t="shared" si="93"/>
        <v>14.298902834699454</v>
      </c>
      <c r="Y28" s="1175">
        <f t="shared" si="93"/>
        <v>14.560000000000002</v>
      </c>
      <c r="Z28" s="1175">
        <f t="shared" si="93"/>
        <v>15.086645044695883</v>
      </c>
      <c r="AA28" s="1114">
        <f t="shared" si="93"/>
        <v>14.689189120659345</v>
      </c>
      <c r="AB28" s="1114">
        <f t="shared" si="93"/>
        <v>15.286002338874027</v>
      </c>
      <c r="AC28" s="1031">
        <f t="shared" si="93"/>
        <v>14.56</v>
      </c>
      <c r="AD28" s="1172">
        <f t="shared" si="93"/>
        <v>11.385048167511478</v>
      </c>
      <c r="AE28" s="1173">
        <f t="shared" si="93"/>
        <v>14.667369879851705</v>
      </c>
      <c r="AF28" s="1173">
        <f t="shared" si="93"/>
        <v>14.78384077521644</v>
      </c>
      <c r="AG28" s="1031">
        <f t="shared" si="93"/>
        <v>14.56</v>
      </c>
      <c r="AH28" s="1172">
        <f t="shared" si="93"/>
        <v>16.231301507894461</v>
      </c>
      <c r="AI28" s="1173">
        <f t="shared" si="93"/>
        <v>14.652105244472162</v>
      </c>
      <c r="AJ28" s="1173">
        <f t="shared" si="93"/>
        <v>14.979586048792592</v>
      </c>
      <c r="AK28" s="1031">
        <f t="shared" si="93"/>
        <v>14.560000000000002</v>
      </c>
      <c r="AL28" s="1172">
        <f t="shared" si="93"/>
        <v>16.22619644980913</v>
      </c>
      <c r="AM28" s="1175">
        <f t="shared" si="93"/>
        <v>14.56</v>
      </c>
      <c r="AN28" s="1175">
        <f t="shared" si="93"/>
        <v>14.80891549417669</v>
      </c>
      <c r="AO28" s="1173">
        <f t="shared" si="93"/>
        <v>14.640343442672151</v>
      </c>
      <c r="AP28" s="1173">
        <f t="shared" si="93"/>
        <v>15.126121619661971</v>
      </c>
      <c r="AQ28" s="1031">
        <f t="shared" si="93"/>
        <v>14.56</v>
      </c>
      <c r="AR28" s="1172">
        <f t="shared" si="93"/>
        <v>15.832833215123577</v>
      </c>
      <c r="AS28" s="1173">
        <f t="shared" si="93"/>
        <v>14.631212324050692</v>
      </c>
      <c r="AT28" s="1173">
        <f t="shared" si="93"/>
        <v>15.20153584387722</v>
      </c>
      <c r="AU28" s="1031">
        <f t="shared" si="93"/>
        <v>14.560000000000002</v>
      </c>
      <c r="AV28" s="1172">
        <f t="shared" si="93"/>
        <v>13.940148517052782</v>
      </c>
      <c r="AW28" s="1173">
        <f t="shared" si="93"/>
        <v>14.624608263111687</v>
      </c>
      <c r="AX28" s="1173">
        <f t="shared" si="93"/>
        <v>15.095633679289381</v>
      </c>
      <c r="AY28" s="1172">
        <f t="shared" si="93"/>
        <v>14.56</v>
      </c>
      <c r="AZ28" s="1172">
        <f t="shared" si="93"/>
        <v>15.754499404993838</v>
      </c>
      <c r="BA28" s="1175">
        <f t="shared" si="93"/>
        <v>14.560000000000002</v>
      </c>
      <c r="BB28" s="1175">
        <f t="shared" si="93"/>
        <v>15.243287657808592</v>
      </c>
      <c r="BC28" s="1114">
        <f t="shared" si="93"/>
        <v>14.56</v>
      </c>
      <c r="BD28" s="1114">
        <f t="shared" si="93"/>
        <v>15.029519707162207</v>
      </c>
      <c r="BE28" s="1188">
        <f t="shared" si="93"/>
        <v>14.618569122123541</v>
      </c>
      <c r="BF28" s="1188">
        <f t="shared" si="93"/>
        <v>15.156229456316215</v>
      </c>
      <c r="BG28" s="23"/>
      <c r="BH28" s="23"/>
      <c r="BI28" s="23"/>
      <c r="BJ28" s="23"/>
      <c r="BK28" s="23"/>
      <c r="BL28" s="23"/>
    </row>
    <row r="29" spans="2:64" x14ac:dyDescent="0.3">
      <c r="B29" s="1171" t="s">
        <v>41</v>
      </c>
      <c r="C29" s="60" t="s">
        <v>217</v>
      </c>
      <c r="D29" s="5984">
        <f t="shared" si="84"/>
        <v>9.0567340438111668</v>
      </c>
      <c r="E29" s="6149">
        <f t="shared" si="84"/>
        <v>9.0567340438111668</v>
      </c>
      <c r="F29" s="1172">
        <f t="shared" ref="F29:BF30" si="95">+F12/F$67*1000</f>
        <v>9.185082091494392</v>
      </c>
      <c r="G29" s="6149">
        <f t="shared" si="95"/>
        <v>9.0567340438111525</v>
      </c>
      <c r="H29" s="1172">
        <f t="shared" ref="H29" si="96">+H12/H$67*1000</f>
        <v>10.259196729476756</v>
      </c>
      <c r="I29" s="6151">
        <f t="shared" si="95"/>
        <v>9.0567340438111614</v>
      </c>
      <c r="J29" s="1188">
        <f t="shared" si="95"/>
        <v>9.5118883843960162</v>
      </c>
      <c r="K29" s="1031">
        <f t="shared" si="95"/>
        <v>10.414589223195621</v>
      </c>
      <c r="L29" s="1172">
        <f t="shared" si="95"/>
        <v>4.6668119508655925</v>
      </c>
      <c r="M29" s="1186">
        <f t="shared" si="95"/>
        <v>9.6024451821509214</v>
      </c>
      <c r="N29" s="1186">
        <f t="shared" si="95"/>
        <v>7.4504593639575969</v>
      </c>
      <c r="O29" s="1031">
        <f t="shared" si="95"/>
        <v>10.414589223195621</v>
      </c>
      <c r="P29" s="1172">
        <f t="shared" si="95"/>
        <v>5.9227057995778472</v>
      </c>
      <c r="Q29" s="1188">
        <f t="shared" si="95"/>
        <v>9.837134107422294</v>
      </c>
      <c r="R29" s="1188">
        <f t="shared" si="95"/>
        <v>6.9763361368129235</v>
      </c>
      <c r="S29" s="1031">
        <f t="shared" si="95"/>
        <v>10.414589223195621</v>
      </c>
      <c r="T29" s="1172">
        <f t="shared" si="95"/>
        <v>9.9196459096140455</v>
      </c>
      <c r="U29" s="1188">
        <f t="shared" si="95"/>
        <v>9.9665934623279941</v>
      </c>
      <c r="V29" s="1188">
        <f t="shared" si="95"/>
        <v>7.6534931558665971</v>
      </c>
      <c r="W29" s="1031">
        <f t="shared" si="95"/>
        <v>10.414589223195623</v>
      </c>
      <c r="X29" s="1172">
        <f t="shared" si="95"/>
        <v>8.7010117827868854</v>
      </c>
      <c r="Y29" s="1186">
        <f t="shared" si="95"/>
        <v>10.414589223195621</v>
      </c>
      <c r="Z29" s="1186">
        <f t="shared" si="95"/>
        <v>8.1484666366185294</v>
      </c>
      <c r="AA29" s="1114">
        <f t="shared" si="95"/>
        <v>10.015907139996946</v>
      </c>
      <c r="AB29" s="1114">
        <f t="shared" si="95"/>
        <v>7.8459127049087929</v>
      </c>
      <c r="AC29" s="1031">
        <f t="shared" si="95"/>
        <v>10.414589223195623</v>
      </c>
      <c r="AD29" s="1172">
        <f t="shared" si="95"/>
        <v>12.552745415461372</v>
      </c>
      <c r="AE29" s="1173">
        <f t="shared" si="95"/>
        <v>10.083242069862598</v>
      </c>
      <c r="AF29" s="1188">
        <f t="shared" si="95"/>
        <v>8.4518133051150723</v>
      </c>
      <c r="AG29" s="1031">
        <f t="shared" si="95"/>
        <v>10.414589223195623</v>
      </c>
      <c r="AH29" s="1172">
        <f t="shared" si="95"/>
        <v>9.729496512891652</v>
      </c>
      <c r="AI29" s="1173">
        <f t="shared" si="95"/>
        <v>10.130349261252443</v>
      </c>
      <c r="AJ29" s="1188">
        <f t="shared" si="95"/>
        <v>8.6245989589180301</v>
      </c>
      <c r="AK29" s="1031">
        <f t="shared" si="95"/>
        <v>10.414589223195623</v>
      </c>
      <c r="AL29" s="1172">
        <f t="shared" si="95"/>
        <v>10.978256952202997</v>
      </c>
      <c r="AM29" s="1186">
        <f t="shared" si="95"/>
        <v>10.414589223195621</v>
      </c>
      <c r="AN29" s="1186">
        <f t="shared" si="95"/>
        <v>10.995101943177874</v>
      </c>
      <c r="AO29" s="1173">
        <f t="shared" si="95"/>
        <v>10.166646587372986</v>
      </c>
      <c r="AP29" s="1188">
        <f t="shared" si="95"/>
        <v>8.901264882285945</v>
      </c>
      <c r="AQ29" s="1031">
        <f t="shared" si="95"/>
        <v>10.414589223195621</v>
      </c>
      <c r="AR29" s="1172">
        <f t="shared" si="95"/>
        <v>9.8859730481750248</v>
      </c>
      <c r="AS29" s="1173">
        <f t="shared" si="95"/>
        <v>10.194825534449627</v>
      </c>
      <c r="AT29" s="1188">
        <f t="shared" si="95"/>
        <v>9.0063445256451864</v>
      </c>
      <c r="AU29" s="178">
        <f t="shared" si="95"/>
        <v>10.414589223195623</v>
      </c>
      <c r="AV29" s="1172">
        <f t="shared" si="95"/>
        <v>13.851216150117835</v>
      </c>
      <c r="AW29" s="1173">
        <f t="shared" si="95"/>
        <v>10.21520589433826</v>
      </c>
      <c r="AX29" s="1188">
        <f t="shared" si="95"/>
        <v>9.4131049086542156</v>
      </c>
      <c r="AY29" s="1172">
        <f t="shared" si="95"/>
        <v>10.414589223195621</v>
      </c>
      <c r="AZ29" s="1172">
        <f t="shared" si="95"/>
        <v>8.8671714565540185</v>
      </c>
      <c r="BA29" s="1186">
        <f t="shared" si="95"/>
        <v>10.414589223195621</v>
      </c>
      <c r="BB29" s="1186">
        <f t="shared" si="95"/>
        <v>10.697721751814363</v>
      </c>
      <c r="BC29" s="1114">
        <f t="shared" si="95"/>
        <v>10.414589223195621</v>
      </c>
      <c r="BD29" s="1114">
        <f t="shared" si="95"/>
        <v>10.844071724011197</v>
      </c>
      <c r="BE29" s="1188">
        <f t="shared" si="95"/>
        <v>10.233842891769596</v>
      </c>
      <c r="BF29" s="1188">
        <f t="shared" si="95"/>
        <v>9.3628954950448193</v>
      </c>
      <c r="BG29" s="23"/>
      <c r="BH29" s="23"/>
      <c r="BI29" s="23"/>
      <c r="BJ29" s="23"/>
      <c r="BK29" s="23"/>
      <c r="BL29" s="23"/>
    </row>
    <row r="30" spans="2:64" x14ac:dyDescent="0.3">
      <c r="B30" s="4922" t="s">
        <v>1464</v>
      </c>
      <c r="C30" s="60" t="s">
        <v>217</v>
      </c>
      <c r="D30" s="5986"/>
      <c r="E30" s="6150"/>
      <c r="F30" s="1172">
        <f t="shared" si="95"/>
        <v>1.7906242574425473</v>
      </c>
      <c r="G30" s="6150"/>
      <c r="H30" s="1172">
        <f t="shared" ref="H30:J30" si="97">+H13/H$67*1000</f>
        <v>1.7529901095133673</v>
      </c>
      <c r="I30" s="6152"/>
      <c r="J30" s="5222">
        <f t="shared" si="97"/>
        <v>1.7791738256763912</v>
      </c>
      <c r="K30" s="4928"/>
      <c r="L30" s="4924"/>
      <c r="M30" s="5223"/>
      <c r="N30" s="5223"/>
      <c r="O30" s="4928"/>
      <c r="P30" s="4924"/>
      <c r="Q30" s="5222"/>
      <c r="R30" s="5222"/>
      <c r="S30" s="4928"/>
      <c r="T30" s="4924"/>
      <c r="U30" s="5222"/>
      <c r="V30" s="5222"/>
      <c r="W30" s="4928"/>
      <c r="X30" s="4924"/>
      <c r="Y30" s="5223"/>
      <c r="Z30" s="5223"/>
      <c r="AA30" s="4927"/>
      <c r="AB30" s="4927"/>
      <c r="AC30" s="4928"/>
      <c r="AD30" s="4924"/>
      <c r="AE30" s="4925"/>
      <c r="AF30" s="5222"/>
      <c r="AG30" s="4928"/>
      <c r="AH30" s="4924"/>
      <c r="AI30" s="4925"/>
      <c r="AJ30" s="5222"/>
      <c r="AK30" s="4928"/>
      <c r="AL30" s="4924"/>
      <c r="AM30" s="5223"/>
      <c r="AN30" s="5223"/>
      <c r="AO30" s="4925"/>
      <c r="AP30" s="5222"/>
      <c r="AQ30" s="4928"/>
      <c r="AR30" s="4924"/>
      <c r="AS30" s="4925"/>
      <c r="AT30" s="5222"/>
      <c r="AU30" s="5224"/>
      <c r="AV30" s="4924"/>
      <c r="AW30" s="4925"/>
      <c r="AX30" s="5222"/>
      <c r="AY30" s="4924"/>
      <c r="AZ30" s="4924"/>
      <c r="BA30" s="5223"/>
      <c r="BB30" s="5223"/>
      <c r="BC30" s="4927"/>
      <c r="BD30" s="4927"/>
      <c r="BE30" s="5222"/>
      <c r="BF30" s="5222"/>
      <c r="BG30" s="23"/>
      <c r="BH30" s="23"/>
      <c r="BI30" s="23"/>
      <c r="BJ30" s="23"/>
      <c r="BK30" s="23"/>
      <c r="BL30" s="23"/>
    </row>
    <row r="31" spans="2:64" x14ac:dyDescent="0.3">
      <c r="B31" s="5175" t="s">
        <v>572</v>
      </c>
      <c r="C31" s="60" t="s">
        <v>217</v>
      </c>
      <c r="D31" s="1031">
        <f t="shared" ref="D31:D37" si="98">+D14/D$67*1000</f>
        <v>15</v>
      </c>
      <c r="E31" s="1172">
        <f t="shared" ref="E31:H37" si="99">+E14/E$67*1000</f>
        <v>15.000000000000002</v>
      </c>
      <c r="F31" s="1172">
        <f t="shared" ref="F31:BF31" si="100">+F14/F$67*1000</f>
        <v>18.438055150095614</v>
      </c>
      <c r="G31" s="1172">
        <f t="shared" si="99"/>
        <v>15</v>
      </c>
      <c r="H31" s="1172">
        <f t="shared" si="99"/>
        <v>18.403161850795314</v>
      </c>
      <c r="I31" s="1173">
        <f t="shared" si="100"/>
        <v>15.000000000000002</v>
      </c>
      <c r="J31" s="1188">
        <f t="shared" si="100"/>
        <v>18.427438639168198</v>
      </c>
      <c r="K31" s="1031">
        <f t="shared" si="100"/>
        <v>0</v>
      </c>
      <c r="L31" s="1172">
        <f t="shared" si="100"/>
        <v>0</v>
      </c>
      <c r="M31" s="1186">
        <f t="shared" si="100"/>
        <v>8.9716199493327853</v>
      </c>
      <c r="N31" s="1186">
        <f t="shared" si="100"/>
        <v>10.587137809187279</v>
      </c>
      <c r="O31" s="1031">
        <f t="shared" si="100"/>
        <v>0</v>
      </c>
      <c r="P31" s="1172">
        <f t="shared" si="100"/>
        <v>2.6258920494522062</v>
      </c>
      <c r="Q31" s="1188">
        <f t="shared" si="100"/>
        <v>6.3790504820451011</v>
      </c>
      <c r="R31" s="1188">
        <f t="shared" si="100"/>
        <v>8.1164438309802041</v>
      </c>
      <c r="S31" s="1031">
        <f t="shared" si="100"/>
        <v>0</v>
      </c>
      <c r="T31" s="1172">
        <f t="shared" si="100"/>
        <v>1.6023842642733552</v>
      </c>
      <c r="U31" s="1188">
        <f t="shared" si="100"/>
        <v>4.9489345513714191</v>
      </c>
      <c r="V31" s="1188">
        <f t="shared" si="100"/>
        <v>6.6177768544725533</v>
      </c>
      <c r="W31" s="1031">
        <f t="shared" si="100"/>
        <v>0</v>
      </c>
      <c r="X31" s="1172">
        <f t="shared" si="100"/>
        <v>1.4995303961748634</v>
      </c>
      <c r="Y31" s="1186">
        <f t="shared" si="100"/>
        <v>0</v>
      </c>
      <c r="Z31" s="1186">
        <f t="shared" si="100"/>
        <v>1.9214082598927438</v>
      </c>
      <c r="AA31" s="1114">
        <f t="shared" si="100"/>
        <v>4.4041745679322393</v>
      </c>
      <c r="AB31" s="1189">
        <f t="shared" si="100"/>
        <v>5.6776019973552883</v>
      </c>
      <c r="AC31" s="178">
        <f t="shared" si="100"/>
        <v>0</v>
      </c>
      <c r="AD31" s="1185">
        <f t="shared" si="100"/>
        <v>1.9638544624611876</v>
      </c>
      <c r="AE31" s="1188">
        <f t="shared" si="100"/>
        <v>3.6603368131264133</v>
      </c>
      <c r="AF31" s="1188">
        <f t="shared" si="100"/>
        <v>5.1995391472858286</v>
      </c>
      <c r="AG31" s="178">
        <f t="shared" si="100"/>
        <v>0</v>
      </c>
      <c r="AH31" s="1185">
        <f t="shared" si="100"/>
        <v>1.201509532885862</v>
      </c>
      <c r="AI31" s="1173">
        <f t="shared" si="100"/>
        <v>3.1399515160964642</v>
      </c>
      <c r="AJ31" s="1188">
        <f t="shared" si="100"/>
        <v>4.6588713537019855</v>
      </c>
      <c r="AK31" s="178">
        <f t="shared" si="100"/>
        <v>0</v>
      </c>
      <c r="AL31" s="1185">
        <f t="shared" si="100"/>
        <v>1.7160457205590041</v>
      </c>
      <c r="AM31" s="1186">
        <f t="shared" si="100"/>
        <v>0</v>
      </c>
      <c r="AN31" s="1186">
        <f t="shared" si="100"/>
        <v>1.6054579736611541</v>
      </c>
      <c r="AO31" s="1173">
        <f t="shared" si="100"/>
        <v>2.7389810001869632</v>
      </c>
      <c r="AP31" s="1188">
        <f t="shared" si="100"/>
        <v>4.3129504198079625</v>
      </c>
      <c r="AQ31" s="178">
        <f t="shared" si="100"/>
        <v>0</v>
      </c>
      <c r="AR31" s="1185">
        <f t="shared" si="100"/>
        <v>0</v>
      </c>
      <c r="AS31" s="1173">
        <f t="shared" si="100"/>
        <v>2.4276928653644938</v>
      </c>
      <c r="AT31" s="1188">
        <f t="shared" si="100"/>
        <v>3.8527091954140098</v>
      </c>
      <c r="AU31" s="1031">
        <f t="shared" si="100"/>
        <v>0</v>
      </c>
      <c r="AV31" s="1172">
        <f t="shared" si="100"/>
        <v>1.9279266689111501</v>
      </c>
      <c r="AW31" s="1188">
        <f t="shared" si="100"/>
        <v>2.2025544242620785</v>
      </c>
      <c r="AX31" s="1188">
        <f t="shared" si="100"/>
        <v>3.6911104290535883</v>
      </c>
      <c r="AY31" s="1172">
        <f t="shared" si="100"/>
        <v>0</v>
      </c>
      <c r="AZ31" s="1172">
        <f t="shared" si="100"/>
        <v>1.7191992164874628</v>
      </c>
      <c r="BA31" s="1186">
        <f t="shared" si="100"/>
        <v>0</v>
      </c>
      <c r="BB31" s="1186">
        <f t="shared" si="100"/>
        <v>1.1872746769387914</v>
      </c>
      <c r="BC31" s="1114">
        <f t="shared" si="100"/>
        <v>0</v>
      </c>
      <c r="BD31" s="1114">
        <f t="shared" si="100"/>
        <v>1.3930755864340949</v>
      </c>
      <c r="BE31" s="1188">
        <f t="shared" si="100"/>
        <v>1.9966746178479866</v>
      </c>
      <c r="BF31" s="1188">
        <f t="shared" si="100"/>
        <v>3.5097540653945032</v>
      </c>
      <c r="BG31" s="23"/>
      <c r="BH31" s="23"/>
      <c r="BI31" s="23"/>
      <c r="BJ31" s="23"/>
      <c r="BK31" s="23"/>
      <c r="BL31" s="23"/>
    </row>
    <row r="32" spans="2:64" x14ac:dyDescent="0.3">
      <c r="B32" s="5175" t="s">
        <v>42</v>
      </c>
      <c r="C32" s="60" t="s">
        <v>217</v>
      </c>
      <c r="D32" s="1031">
        <f t="shared" si="98"/>
        <v>4</v>
      </c>
      <c r="E32" s="1172">
        <f t="shared" si="99"/>
        <v>3.9999999999999991</v>
      </c>
      <c r="F32" s="1172">
        <f t="shared" ref="F32:BF32" si="101">+F15/F$67*1000</f>
        <v>0</v>
      </c>
      <c r="G32" s="1172">
        <f t="shared" si="99"/>
        <v>4</v>
      </c>
      <c r="H32" s="1172">
        <f t="shared" si="99"/>
        <v>0</v>
      </c>
      <c r="I32" s="1173">
        <f t="shared" si="101"/>
        <v>4</v>
      </c>
      <c r="J32" s="1188">
        <f t="shared" si="101"/>
        <v>0</v>
      </c>
      <c r="K32" s="1031">
        <f t="shared" si="101"/>
        <v>0</v>
      </c>
      <c r="L32" s="1172">
        <f t="shared" si="101"/>
        <v>0</v>
      </c>
      <c r="M32" s="1186">
        <f t="shared" si="101"/>
        <v>2.3924319864887429</v>
      </c>
      <c r="N32" s="1186">
        <f t="shared" si="101"/>
        <v>0</v>
      </c>
      <c r="O32" s="1031">
        <f t="shared" si="101"/>
        <v>0</v>
      </c>
      <c r="P32" s="1172">
        <f t="shared" si="101"/>
        <v>0</v>
      </c>
      <c r="Q32" s="1188">
        <f t="shared" si="101"/>
        <v>1.7010801285453601</v>
      </c>
      <c r="R32" s="1188">
        <f t="shared" si="101"/>
        <v>0</v>
      </c>
      <c r="S32" s="1031">
        <f t="shared" si="101"/>
        <v>0</v>
      </c>
      <c r="T32" s="1172">
        <f t="shared" si="101"/>
        <v>0</v>
      </c>
      <c r="U32" s="1188">
        <f t="shared" si="101"/>
        <v>1.3197158803657116</v>
      </c>
      <c r="V32" s="1188">
        <f t="shared" si="101"/>
        <v>0</v>
      </c>
      <c r="W32" s="1031">
        <f t="shared" si="101"/>
        <v>0</v>
      </c>
      <c r="X32" s="1172">
        <f t="shared" si="101"/>
        <v>0</v>
      </c>
      <c r="Y32" s="1186">
        <f t="shared" si="101"/>
        <v>0</v>
      </c>
      <c r="Z32" s="1186">
        <f t="shared" si="101"/>
        <v>0</v>
      </c>
      <c r="AA32" s="1114">
        <f t="shared" si="101"/>
        <v>1.1744465514485969</v>
      </c>
      <c r="AB32" s="1114">
        <f t="shared" si="101"/>
        <v>0</v>
      </c>
      <c r="AC32" s="1031">
        <f t="shared" si="101"/>
        <v>0</v>
      </c>
      <c r="AD32" s="1172">
        <f t="shared" si="101"/>
        <v>0</v>
      </c>
      <c r="AE32" s="1173">
        <f t="shared" si="101"/>
        <v>0.97608981683371021</v>
      </c>
      <c r="AF32" s="1188">
        <f t="shared" si="101"/>
        <v>0</v>
      </c>
      <c r="AG32" s="1031">
        <f t="shared" si="101"/>
        <v>0</v>
      </c>
      <c r="AH32" s="1172">
        <f t="shared" si="101"/>
        <v>1.7176124913300164</v>
      </c>
      <c r="AI32" s="1173">
        <f t="shared" si="101"/>
        <v>0.83732040429239052</v>
      </c>
      <c r="AJ32" s="1188">
        <f t="shared" si="101"/>
        <v>0.23227885870946013</v>
      </c>
      <c r="AK32" s="1031">
        <f t="shared" si="101"/>
        <v>0</v>
      </c>
      <c r="AL32" s="1172">
        <f t="shared" si="101"/>
        <v>5.73308974170601</v>
      </c>
      <c r="AM32" s="1186">
        <f t="shared" si="101"/>
        <v>0</v>
      </c>
      <c r="AN32" s="1186">
        <f t="shared" si="101"/>
        <v>2.6226045759928116</v>
      </c>
      <c r="AO32" s="1173">
        <f t="shared" si="101"/>
        <v>0.73039493338319028</v>
      </c>
      <c r="AP32" s="1188">
        <f t="shared" si="101"/>
        <v>0.87888381429709661</v>
      </c>
      <c r="AQ32" s="1031">
        <f t="shared" si="101"/>
        <v>0</v>
      </c>
      <c r="AR32" s="1172">
        <f t="shared" si="101"/>
        <v>1.8849909978722243</v>
      </c>
      <c r="AS32" s="1173">
        <f t="shared" si="101"/>
        <v>0.64738476409719836</v>
      </c>
      <c r="AT32" s="1188">
        <f t="shared" si="101"/>
        <v>0.98624697801757955</v>
      </c>
      <c r="AU32" s="178">
        <f t="shared" si="101"/>
        <v>0</v>
      </c>
      <c r="AV32" s="1172">
        <f t="shared" si="101"/>
        <v>0</v>
      </c>
      <c r="AW32" s="1173">
        <f t="shared" si="101"/>
        <v>0.58734784646988758</v>
      </c>
      <c r="AX32" s="1188">
        <f t="shared" si="101"/>
        <v>0.90344474307423472</v>
      </c>
      <c r="AY32" s="1172">
        <f t="shared" si="101"/>
        <v>0</v>
      </c>
      <c r="AZ32" s="1172">
        <f t="shared" si="101"/>
        <v>0</v>
      </c>
      <c r="BA32" s="1186">
        <f t="shared" si="101"/>
        <v>0</v>
      </c>
      <c r="BB32" s="1186">
        <f t="shared" si="101"/>
        <v>0.65111650933706733</v>
      </c>
      <c r="BC32" s="1114">
        <f t="shared" si="101"/>
        <v>0</v>
      </c>
      <c r="BD32" s="1114">
        <f t="shared" si="101"/>
        <v>1.6213466461142954</v>
      </c>
      <c r="BE32" s="1188">
        <f t="shared" si="101"/>
        <v>0.53244656475946306</v>
      </c>
      <c r="BF32" s="1188">
        <f t="shared" si="101"/>
        <v>0.82035507233919114</v>
      </c>
      <c r="BG32" s="23"/>
      <c r="BH32" s="23"/>
      <c r="BI32" s="23"/>
      <c r="BJ32" s="23"/>
      <c r="BK32" s="23"/>
      <c r="BL32" s="23"/>
    </row>
    <row r="33" spans="2:65" ht="15" customHeight="1" x14ac:dyDescent="0.3">
      <c r="B33" s="5175" t="s">
        <v>1591</v>
      </c>
      <c r="C33" s="60" t="s">
        <v>217</v>
      </c>
      <c r="D33" s="1031">
        <f t="shared" si="98"/>
        <v>0.5</v>
      </c>
      <c r="E33" s="1172">
        <f t="shared" si="99"/>
        <v>0.49999999999999989</v>
      </c>
      <c r="F33" s="1172">
        <f t="shared" ref="F33:BF33" si="102">+F16/F$67*1000</f>
        <v>1.3069011168064089</v>
      </c>
      <c r="G33" s="1172">
        <f t="shared" si="99"/>
        <v>0.5</v>
      </c>
      <c r="H33" s="1172">
        <f t="shared" si="99"/>
        <v>2.4257243212823347</v>
      </c>
      <c r="I33" s="1173">
        <f t="shared" si="102"/>
        <v>0.5</v>
      </c>
      <c r="J33" s="1173">
        <f t="shared" si="102"/>
        <v>1.6473102788618799</v>
      </c>
      <c r="K33" s="1031">
        <f t="shared" si="102"/>
        <v>10</v>
      </c>
      <c r="L33" s="1172">
        <f t="shared" si="102"/>
        <v>8.5575936684437401</v>
      </c>
      <c r="M33" s="1175">
        <f t="shared" si="102"/>
        <v>4.3179740320892366</v>
      </c>
      <c r="N33" s="1175">
        <f t="shared" si="102"/>
        <v>4.5874204946996464</v>
      </c>
      <c r="O33" s="1031">
        <f t="shared" si="102"/>
        <v>10</v>
      </c>
      <c r="P33" s="1172">
        <f t="shared" si="102"/>
        <v>3.2390189968841088</v>
      </c>
      <c r="Q33" s="1173">
        <f t="shared" si="102"/>
        <v>5.9599346947047698</v>
      </c>
      <c r="R33" s="1173">
        <f t="shared" si="102"/>
        <v>4.1689574097252278</v>
      </c>
      <c r="S33" s="1031">
        <f t="shared" si="102"/>
        <v>10</v>
      </c>
      <c r="T33" s="1172">
        <f t="shared" si="102"/>
        <v>11.216689849913488</v>
      </c>
      <c r="U33" s="1173">
        <f t="shared" si="102"/>
        <v>6.865674784131433</v>
      </c>
      <c r="V33" s="1173">
        <f t="shared" si="102"/>
        <v>5.7904046438516881</v>
      </c>
      <c r="W33" s="1031">
        <f t="shared" si="102"/>
        <v>10</v>
      </c>
      <c r="X33" s="1172">
        <f t="shared" si="102"/>
        <v>0.49895406420765026</v>
      </c>
      <c r="Y33" s="1175">
        <f t="shared" si="102"/>
        <v>10</v>
      </c>
      <c r="Z33" s="1175">
        <f t="shared" si="102"/>
        <v>4.9951424100048181</v>
      </c>
      <c r="AA33" s="1114">
        <f t="shared" si="102"/>
        <v>7.2106894403095811</v>
      </c>
      <c r="AB33" s="1114">
        <f t="shared" si="102"/>
        <v>4.8184137807320297</v>
      </c>
      <c r="AC33" s="1031">
        <f t="shared" si="102"/>
        <v>10</v>
      </c>
      <c r="AD33" s="1172">
        <f t="shared" si="102"/>
        <v>5.2745415461373106</v>
      </c>
      <c r="AE33" s="1173">
        <f t="shared" si="102"/>
        <v>7.6817866850199357</v>
      </c>
      <c r="AF33" s="1173">
        <f t="shared" si="102"/>
        <v>4.8771301413560648</v>
      </c>
      <c r="AG33" s="1031">
        <f t="shared" si="102"/>
        <v>10</v>
      </c>
      <c r="AH33" s="1172">
        <f t="shared" si="102"/>
        <v>17.81784023200057</v>
      </c>
      <c r="AI33" s="1173">
        <f t="shared" si="102"/>
        <v>8.0113640398055725</v>
      </c>
      <c r="AJ33" s="1173">
        <f t="shared" si="102"/>
        <v>6.6271484871223709</v>
      </c>
      <c r="AK33" s="1031">
        <f t="shared" si="102"/>
        <v>10</v>
      </c>
      <c r="AL33" s="1172">
        <f t="shared" si="102"/>
        <v>28.81515221242373</v>
      </c>
      <c r="AM33" s="1175">
        <f t="shared" si="102"/>
        <v>10</v>
      </c>
      <c r="AN33" s="1175">
        <f t="shared" si="102"/>
        <v>17.998438300723379</v>
      </c>
      <c r="AO33" s="1173">
        <f t="shared" si="102"/>
        <v>8.2653120332149221</v>
      </c>
      <c r="AP33" s="1173">
        <f t="shared" si="102"/>
        <v>9.2352863541637813</v>
      </c>
      <c r="AQ33" s="1031">
        <f t="shared" si="102"/>
        <v>9.9999999999999982</v>
      </c>
      <c r="AR33" s="1172">
        <f t="shared" si="102"/>
        <v>23.588302689726664</v>
      </c>
      <c r="AS33" s="1173">
        <f t="shared" si="102"/>
        <v>8.462461185269154</v>
      </c>
      <c r="AT33" s="1173">
        <f t="shared" si="102"/>
        <v>10.766917643428634</v>
      </c>
      <c r="AU33" s="1031">
        <f t="shared" si="102"/>
        <v>10</v>
      </c>
      <c r="AV33" s="1172">
        <f t="shared" si="102"/>
        <v>19.295147468921314</v>
      </c>
      <c r="AW33" s="1173">
        <f t="shared" si="102"/>
        <v>8.605048864634016</v>
      </c>
      <c r="AX33" s="1173">
        <f t="shared" si="102"/>
        <v>11.482921347775294</v>
      </c>
      <c r="AY33" s="1172">
        <f t="shared" si="102"/>
        <v>9.9999999999999982</v>
      </c>
      <c r="AZ33" s="1172">
        <f t="shared" si="102"/>
        <v>28.249628779342228</v>
      </c>
      <c r="BA33" s="1175">
        <f t="shared" si="102"/>
        <v>9.9999999999999982</v>
      </c>
      <c r="BB33" s="1175">
        <f t="shared" si="102"/>
        <v>23.982948474163585</v>
      </c>
      <c r="BC33" s="1114">
        <f t="shared" si="102"/>
        <v>10</v>
      </c>
      <c r="BD33" s="1114">
        <f t="shared" si="102"/>
        <v>21.037786277990122</v>
      </c>
      <c r="BE33" s="1188">
        <f t="shared" si="102"/>
        <v>8.7354394086962763</v>
      </c>
      <c r="BF33" s="1188">
        <f t="shared" si="102"/>
        <v>13.024952789630984</v>
      </c>
      <c r="BG33" s="23"/>
      <c r="BH33" s="23"/>
      <c r="BI33" s="23"/>
      <c r="BJ33" s="23"/>
      <c r="BK33" s="23"/>
      <c r="BL33" s="23"/>
    </row>
    <row r="34" spans="2:65" ht="15" customHeight="1" x14ac:dyDescent="0.3">
      <c r="B34" s="5176" t="s">
        <v>98</v>
      </c>
      <c r="C34" s="60" t="s">
        <v>217</v>
      </c>
      <c r="D34" s="1031">
        <f t="shared" si="98"/>
        <v>180.00000000000006</v>
      </c>
      <c r="E34" s="1172">
        <f t="shared" si="99"/>
        <v>179.99999999999997</v>
      </c>
      <c r="F34" s="1172">
        <f t="shared" ref="F34:BF34" si="103">+F17/F$67*1000</f>
        <v>211.66989148760425</v>
      </c>
      <c r="G34" s="1172">
        <f t="shared" si="99"/>
        <v>179.99999999999997</v>
      </c>
      <c r="H34" s="1172">
        <f t="shared" si="99"/>
        <v>187.83515424372385</v>
      </c>
      <c r="I34" s="1173">
        <f t="shared" si="103"/>
        <v>180</v>
      </c>
      <c r="J34" s="1173">
        <f t="shared" si="103"/>
        <v>204.41801925207784</v>
      </c>
      <c r="K34" s="1031">
        <f t="shared" si="103"/>
        <v>0.7</v>
      </c>
      <c r="L34" s="1172">
        <f t="shared" si="103"/>
        <v>0.37472692771756749</v>
      </c>
      <c r="M34" s="2445">
        <f t="shared" si="103"/>
        <v>107.94076379435786</v>
      </c>
      <c r="N34" s="1175">
        <f t="shared" si="103"/>
        <v>117.60395759717314</v>
      </c>
      <c r="O34" s="1031">
        <f t="shared" si="103"/>
        <v>0.7</v>
      </c>
      <c r="P34" s="1172">
        <f t="shared" si="103"/>
        <v>0.78902402251482562</v>
      </c>
      <c r="Q34" s="2444">
        <f t="shared" si="103"/>
        <v>76.95091676204575</v>
      </c>
      <c r="R34" s="1173">
        <f t="shared" si="103"/>
        <v>81.351596891607883</v>
      </c>
      <c r="S34" s="1031">
        <f t="shared" si="103"/>
        <v>0.7</v>
      </c>
      <c r="T34" s="1172">
        <f t="shared" si="103"/>
        <v>0.21399920141761422</v>
      </c>
      <c r="U34" s="2444">
        <f t="shared" si="103"/>
        <v>59.856264337393021</v>
      </c>
      <c r="V34" s="1173">
        <f t="shared" si="103"/>
        <v>62.68455263660347</v>
      </c>
      <c r="W34" s="1031">
        <f t="shared" si="103"/>
        <v>0.69999999999999984</v>
      </c>
      <c r="X34" s="1172">
        <f t="shared" si="103"/>
        <v>0</v>
      </c>
      <c r="Y34" s="2445">
        <f t="shared" si="103"/>
        <v>0.69999999999999984</v>
      </c>
      <c r="Z34" s="1175">
        <f t="shared" si="103"/>
        <v>0.34258337276790929</v>
      </c>
      <c r="AA34" s="2447">
        <f t="shared" si="103"/>
        <v>53.344566668683349</v>
      </c>
      <c r="AB34" s="1114">
        <f t="shared" si="103"/>
        <v>51.169976150542716</v>
      </c>
      <c r="AC34" s="1031">
        <f t="shared" si="103"/>
        <v>0.70000000000000007</v>
      </c>
      <c r="AD34" s="1172">
        <f t="shared" si="103"/>
        <v>0</v>
      </c>
      <c r="AE34" s="2444">
        <f t="shared" si="103"/>
        <v>44.453226039571057</v>
      </c>
      <c r="AF34" s="1173">
        <f t="shared" si="103"/>
        <v>44.582973559045257</v>
      </c>
      <c r="AG34" s="1031">
        <f t="shared" si="103"/>
        <v>0.7</v>
      </c>
      <c r="AH34" s="1172">
        <f t="shared" si="103"/>
        <v>0.83832596953627192</v>
      </c>
      <c r="AI34" s="2444">
        <f t="shared" si="103"/>
        <v>38.232887122406396</v>
      </c>
      <c r="AJ34" s="1173">
        <f t="shared" si="103"/>
        <v>38.667228961222357</v>
      </c>
      <c r="AK34" s="1031">
        <f t="shared" si="103"/>
        <v>0.70000000000000007</v>
      </c>
      <c r="AL34" s="1172">
        <f t="shared" si="103"/>
        <v>0.77069581634152362</v>
      </c>
      <c r="AM34" s="2445">
        <f t="shared" si="103"/>
        <v>0.69999999999999984</v>
      </c>
      <c r="AN34" s="1175">
        <f t="shared" si="103"/>
        <v>0.56886306153347976</v>
      </c>
      <c r="AO34" s="2444">
        <f t="shared" si="103"/>
        <v>33.439952888901495</v>
      </c>
      <c r="AP34" s="1173">
        <f t="shared" si="103"/>
        <v>34.212597334671592</v>
      </c>
      <c r="AQ34" s="1031">
        <f t="shared" si="103"/>
        <v>0.69999999999999984</v>
      </c>
      <c r="AR34" s="1172">
        <f t="shared" si="103"/>
        <v>1.2057395384363576</v>
      </c>
      <c r="AS34" s="1173">
        <f t="shared" si="103"/>
        <v>29.719022050656914</v>
      </c>
      <c r="AT34" s="1173">
        <f t="shared" si="103"/>
        <v>30.690387439614934</v>
      </c>
      <c r="AU34" s="1031">
        <f t="shared" si="103"/>
        <v>0.69999999999999984</v>
      </c>
      <c r="AV34" s="1172">
        <f t="shared" si="103"/>
        <v>0.70828277951760543</v>
      </c>
      <c r="AW34" s="1173">
        <f t="shared" si="103"/>
        <v>27.027867218012705</v>
      </c>
      <c r="AX34" s="1173">
        <f t="shared" si="103"/>
        <v>28.173182997425929</v>
      </c>
      <c r="AY34" s="1172">
        <f t="shared" si="103"/>
        <v>0.69999999999999984</v>
      </c>
      <c r="AZ34" s="1172">
        <f t="shared" si="103"/>
        <v>3.343618690565203</v>
      </c>
      <c r="BA34" s="1175">
        <f t="shared" si="103"/>
        <v>0.69999999999999984</v>
      </c>
      <c r="BB34" s="1175">
        <f t="shared" si="103"/>
        <v>1.8233146824417152</v>
      </c>
      <c r="BC34" s="1114">
        <f t="shared" si="103"/>
        <v>0.69999999999999984</v>
      </c>
      <c r="BD34" s="1114">
        <f t="shared" si="103"/>
        <v>1.2059603152916247</v>
      </c>
      <c r="BE34" s="1188">
        <f t="shared" si="103"/>
        <v>24.56691726534293</v>
      </c>
      <c r="BF34" s="1188">
        <f t="shared" si="103"/>
        <v>25.889611878586482</v>
      </c>
      <c r="BG34" s="23"/>
      <c r="BH34" s="23"/>
      <c r="BI34" s="23"/>
      <c r="BJ34" s="23"/>
      <c r="BK34" s="23"/>
      <c r="BL34" s="23"/>
    </row>
    <row r="35" spans="2:65" ht="15" customHeight="1" x14ac:dyDescent="0.3">
      <c r="B35" s="5177" t="s">
        <v>1264</v>
      </c>
      <c r="C35" s="4384" t="s">
        <v>217</v>
      </c>
      <c r="D35" s="1031">
        <f t="shared" si="98"/>
        <v>3.0326323422769939</v>
      </c>
      <c r="E35" s="1172">
        <f t="shared" si="99"/>
        <v>3.0326323422769921</v>
      </c>
      <c r="F35" s="1172">
        <f t="shared" ref="F35:BF35" si="104">+F18/F$67*1000</f>
        <v>2.3054640913359812</v>
      </c>
      <c r="G35" s="1172">
        <f t="shared" si="99"/>
        <v>3.0326323422769885</v>
      </c>
      <c r="H35" s="1172">
        <f t="shared" si="99"/>
        <v>2.4386615176625073</v>
      </c>
      <c r="I35" s="1173">
        <f t="shared" si="104"/>
        <v>3.0326323422769907</v>
      </c>
      <c r="J35" s="1173">
        <f t="shared" si="104"/>
        <v>2.345990265714887</v>
      </c>
      <c r="K35" s="1031">
        <f t="shared" si="104"/>
        <v>0</v>
      </c>
      <c r="L35" s="1172">
        <f t="shared" si="104"/>
        <v>0</v>
      </c>
      <c r="M35" s="2445">
        <f t="shared" si="104"/>
        <v>1.8138416547309371</v>
      </c>
      <c r="N35" s="1175">
        <f t="shared" si="104"/>
        <v>1.3478445229681977</v>
      </c>
      <c r="O35" s="1031">
        <f t="shared" si="104"/>
        <v>0</v>
      </c>
      <c r="P35" s="1172">
        <f t="shared" si="104"/>
        <v>0</v>
      </c>
      <c r="Q35" s="2444">
        <f t="shared" si="104"/>
        <v>1.2896876536578397</v>
      </c>
      <c r="R35" s="1173">
        <f t="shared" si="104"/>
        <v>0.92955428963570363</v>
      </c>
      <c r="S35" s="1031">
        <f t="shared" si="104"/>
        <v>0</v>
      </c>
      <c r="T35" s="1172">
        <f t="shared" si="104"/>
        <v>0</v>
      </c>
      <c r="U35" s="2444">
        <f t="shared" si="104"/>
        <v>1.0005532653534022</v>
      </c>
      <c r="V35" s="1173">
        <f t="shared" si="104"/>
        <v>0.71569497464446408</v>
      </c>
      <c r="W35" s="1031">
        <f t="shared" si="104"/>
        <v>0</v>
      </c>
      <c r="X35" s="1172">
        <f t="shared" si="104"/>
        <v>0</v>
      </c>
      <c r="Y35" s="2445">
        <f t="shared" si="104"/>
        <v>0</v>
      </c>
      <c r="Z35" s="1175">
        <f t="shared" si="104"/>
        <v>0</v>
      </c>
      <c r="AA35" s="2447">
        <f t="shared" si="104"/>
        <v>0.89041614904967314</v>
      </c>
      <c r="AB35" s="1114">
        <f t="shared" si="104"/>
        <v>0.58422838232454277</v>
      </c>
      <c r="AC35" s="1031">
        <f t="shared" si="104"/>
        <v>0</v>
      </c>
      <c r="AD35" s="1172">
        <f t="shared" si="104"/>
        <v>0</v>
      </c>
      <c r="AE35" s="2444">
        <f t="shared" si="104"/>
        <v>0.74003038687428313</v>
      </c>
      <c r="AF35" s="1173">
        <f t="shared" si="104"/>
        <v>0.50902190075268616</v>
      </c>
      <c r="AG35" s="1031">
        <f t="shared" si="104"/>
        <v>0</v>
      </c>
      <c r="AH35" s="1172">
        <f t="shared" si="104"/>
        <v>0</v>
      </c>
      <c r="AI35" s="2444">
        <f t="shared" si="104"/>
        <v>0.63482123472638718</v>
      </c>
      <c r="AJ35" s="1173">
        <f t="shared" si="104"/>
        <v>0.44018505497881794</v>
      </c>
      <c r="AK35" s="1031">
        <f t="shared" si="104"/>
        <v>0</v>
      </c>
      <c r="AL35" s="1172">
        <f t="shared" si="104"/>
        <v>0</v>
      </c>
      <c r="AM35" s="2445">
        <f t="shared" si="104"/>
        <v>0</v>
      </c>
      <c r="AN35" s="1175">
        <f t="shared" si="104"/>
        <v>0</v>
      </c>
      <c r="AO35" s="2444">
        <f t="shared" si="104"/>
        <v>0.55375482440327761</v>
      </c>
      <c r="AP35" s="1173">
        <f t="shared" si="104"/>
        <v>0.38844253119842015</v>
      </c>
      <c r="AQ35" s="1031">
        <f t="shared" si="104"/>
        <v>0</v>
      </c>
      <c r="AR35" s="1172">
        <f t="shared" si="104"/>
        <v>0</v>
      </c>
      <c r="AS35" s="1173">
        <f t="shared" si="104"/>
        <v>0.49081999337463089</v>
      </c>
      <c r="AT35" s="1173">
        <f t="shared" si="104"/>
        <v>0.34699126263192287</v>
      </c>
      <c r="AU35" s="1031">
        <f t="shared" si="104"/>
        <v>0</v>
      </c>
      <c r="AV35" s="1172">
        <f t="shared" si="104"/>
        <v>0</v>
      </c>
      <c r="AW35" s="1173">
        <f t="shared" si="104"/>
        <v>0.44530251884283023</v>
      </c>
      <c r="AX35" s="1173">
        <f t="shared" si="104"/>
        <v>0.31785895328940017</v>
      </c>
      <c r="AY35" s="1172">
        <f t="shared" si="104"/>
        <v>0</v>
      </c>
      <c r="AZ35" s="1172">
        <f t="shared" si="104"/>
        <v>5.7605021220131221</v>
      </c>
      <c r="BA35" s="1175">
        <f t="shared" si="104"/>
        <v>0</v>
      </c>
      <c r="BB35" s="1175">
        <f t="shared" si="104"/>
        <v>2.0617118993191075</v>
      </c>
      <c r="BC35" s="1114">
        <f t="shared" si="104"/>
        <v>0</v>
      </c>
      <c r="BD35" s="1114">
        <f t="shared" si="104"/>
        <v>1.04707982930876</v>
      </c>
      <c r="BE35" s="1188">
        <f t="shared" si="104"/>
        <v>0.40367866820595688</v>
      </c>
      <c r="BF35" s="1188">
        <f t="shared" si="104"/>
        <v>0.81841798834311275</v>
      </c>
      <c r="BG35" s="23"/>
      <c r="BH35" s="23"/>
      <c r="BI35" s="23"/>
      <c r="BJ35" s="23"/>
      <c r="BK35" s="23"/>
      <c r="BL35" s="23"/>
    </row>
    <row r="36" spans="2:65" ht="15" customHeight="1" x14ac:dyDescent="0.3">
      <c r="B36" s="5178" t="s">
        <v>1940</v>
      </c>
      <c r="C36" s="4384" t="s">
        <v>217</v>
      </c>
      <c r="D36" s="1031">
        <f t="shared" si="98"/>
        <v>0</v>
      </c>
      <c r="E36" s="1172">
        <f t="shared" si="99"/>
        <v>0</v>
      </c>
      <c r="F36" s="1172">
        <f t="shared" ref="F36:BF36" si="105">+F19/F$67*1000</f>
        <v>0</v>
      </c>
      <c r="G36" s="1172">
        <f t="shared" si="99"/>
        <v>0</v>
      </c>
      <c r="H36" s="1172">
        <f t="shared" si="99"/>
        <v>0</v>
      </c>
      <c r="I36" s="4925">
        <f t="shared" si="105"/>
        <v>0</v>
      </c>
      <c r="J36" s="4925">
        <f t="shared" si="105"/>
        <v>0</v>
      </c>
      <c r="K36" s="4928">
        <f t="shared" si="105"/>
        <v>170.3275582653896</v>
      </c>
      <c r="L36" s="4924">
        <f t="shared" si="105"/>
        <v>195.28853973434252</v>
      </c>
      <c r="M36" s="4926">
        <f t="shared" si="105"/>
        <v>68.453283621728815</v>
      </c>
      <c r="N36" s="4926">
        <f t="shared" si="105"/>
        <v>83.089187279151943</v>
      </c>
      <c r="O36" s="4928">
        <f t="shared" si="105"/>
        <v>170.43530503385097</v>
      </c>
      <c r="P36" s="4924">
        <f t="shared" si="105"/>
        <v>199.75123127952557</v>
      </c>
      <c r="Q36" s="4925">
        <f t="shared" si="105"/>
        <v>97.923488157645394</v>
      </c>
      <c r="R36" s="4925">
        <f t="shared" si="105"/>
        <v>119.29410021562228</v>
      </c>
      <c r="S36" s="4928">
        <f t="shared" si="105"/>
        <v>170.43530503385097</v>
      </c>
      <c r="T36" s="4924">
        <f t="shared" si="105"/>
        <v>199.84915666046416</v>
      </c>
      <c r="U36" s="4925">
        <f t="shared" si="105"/>
        <v>114.17987376999255</v>
      </c>
      <c r="V36" s="4925">
        <f t="shared" si="105"/>
        <v>137.82712123704755</v>
      </c>
      <c r="W36" s="4928">
        <f t="shared" si="105"/>
        <v>169.59847764614028</v>
      </c>
      <c r="X36" s="4924">
        <f t="shared" si="105"/>
        <v>200.57953381147541</v>
      </c>
      <c r="Y36" s="4926">
        <f t="shared" si="105"/>
        <v>170.25436824508225</v>
      </c>
      <c r="Z36" s="4926">
        <f t="shared" si="105"/>
        <v>200.05225261544237</v>
      </c>
      <c r="AA36" s="4927">
        <f t="shared" si="105"/>
        <v>120.28014392236842</v>
      </c>
      <c r="AB36" s="4927">
        <f t="shared" si="105"/>
        <v>149.35416297031119</v>
      </c>
      <c r="AC36" s="4928">
        <f t="shared" si="105"/>
        <v>170.60964576248358</v>
      </c>
      <c r="AD36" s="4924">
        <f t="shared" si="105"/>
        <v>202.95374326583689</v>
      </c>
      <c r="AE36" s="4925">
        <f t="shared" si="105"/>
        <v>128.78048446786673</v>
      </c>
      <c r="AF36" s="4925">
        <f t="shared" si="105"/>
        <v>156.25392335462516</v>
      </c>
      <c r="AG36" s="4928">
        <f t="shared" si="105"/>
        <v>168.51648506196378</v>
      </c>
      <c r="AH36" s="4924">
        <f t="shared" si="105"/>
        <v>196.05085662168287</v>
      </c>
      <c r="AI36" s="4925">
        <f t="shared" si="105"/>
        <v>134.42969969794817</v>
      </c>
      <c r="AJ36" s="4925">
        <f t="shared" si="105"/>
        <v>161.63580447511626</v>
      </c>
      <c r="AK36" s="4928">
        <f t="shared" si="105"/>
        <v>168.84793254155306</v>
      </c>
      <c r="AL36" s="4924">
        <f t="shared" si="105"/>
        <v>196.51634401865195</v>
      </c>
      <c r="AM36" s="4926">
        <f t="shared" si="105"/>
        <v>169.32808503640814</v>
      </c>
      <c r="AN36" s="4926">
        <f t="shared" si="105"/>
        <v>198.23759416628499</v>
      </c>
      <c r="AO36" s="4925">
        <f t="shared" si="105"/>
        <v>138.82489386233144</v>
      </c>
      <c r="AP36" s="4925">
        <f t="shared" si="105"/>
        <v>165.73591447746821</v>
      </c>
      <c r="AQ36" s="4928">
        <f t="shared" si="105"/>
        <v>170.74460808184665</v>
      </c>
      <c r="AR36" s="4924">
        <f t="shared" si="105"/>
        <v>208.99667194064051</v>
      </c>
      <c r="AS36" s="4925">
        <f t="shared" si="105"/>
        <v>142.45260369411957</v>
      </c>
      <c r="AT36" s="4925">
        <f t="shared" si="105"/>
        <v>170.35233294859609</v>
      </c>
      <c r="AU36" s="1031">
        <f t="shared" si="105"/>
        <v>169.70928963419979</v>
      </c>
      <c r="AV36" s="1172">
        <f t="shared" si="105"/>
        <v>203.64241565717845</v>
      </c>
      <c r="AW36" s="4925">
        <f t="shared" si="105"/>
        <v>144.98032368280374</v>
      </c>
      <c r="AX36" s="4925">
        <f t="shared" si="105"/>
        <v>173.14726495970365</v>
      </c>
      <c r="AY36" s="1172">
        <f t="shared" si="105"/>
        <v>170.74460808184665</v>
      </c>
      <c r="AZ36" s="1172">
        <f t="shared" si="105"/>
        <v>217.40103415230053</v>
      </c>
      <c r="BA36" s="1175">
        <f t="shared" si="105"/>
        <v>170.42345186098788</v>
      </c>
      <c r="BB36" s="1175">
        <f t="shared" si="105"/>
        <v>210.41616804271175</v>
      </c>
      <c r="BC36" s="1114">
        <f t="shared" si="105"/>
        <v>169.87115026446608</v>
      </c>
      <c r="BD36" s="1189">
        <f t="shared" si="105"/>
        <v>204.42271588962782</v>
      </c>
      <c r="BE36" s="1188">
        <f t="shared" si="105"/>
        <v>147.38859374689071</v>
      </c>
      <c r="BF36" s="1188">
        <f t="shared" si="105"/>
        <v>177.21727714272362</v>
      </c>
      <c r="BG36" s="23"/>
      <c r="BH36" s="23"/>
      <c r="BI36" s="23"/>
      <c r="BJ36" s="23"/>
      <c r="BK36" s="23"/>
      <c r="BL36" s="23"/>
    </row>
    <row r="37" spans="2:65" x14ac:dyDescent="0.3">
      <c r="B37" s="5175" t="s">
        <v>2163</v>
      </c>
      <c r="C37" s="60" t="s">
        <v>217</v>
      </c>
      <c r="D37" s="1031">
        <f t="shared" si="98"/>
        <v>0</v>
      </c>
      <c r="E37" s="1172">
        <f t="shared" si="99"/>
        <v>0</v>
      </c>
      <c r="F37" s="1172">
        <f t="shared" ref="F37:BF37" si="106">+F20/F$67*1000</f>
        <v>5.6575805922355364</v>
      </c>
      <c r="G37" s="1172">
        <f t="shared" si="99"/>
        <v>0</v>
      </c>
      <c r="H37" s="1172">
        <f t="shared" si="99"/>
        <v>0</v>
      </c>
      <c r="I37" s="1173">
        <f t="shared" si="106"/>
        <v>0</v>
      </c>
      <c r="J37" s="1173">
        <f t="shared" si="106"/>
        <v>3.9362252780451126</v>
      </c>
      <c r="K37" s="1031">
        <f t="shared" si="106"/>
        <v>2.84</v>
      </c>
      <c r="L37" s="1172">
        <f t="shared" si="106"/>
        <v>2.4157927467749567</v>
      </c>
      <c r="M37" s="1175">
        <f t="shared" si="106"/>
        <v>1.1413732895929924</v>
      </c>
      <c r="N37" s="1175">
        <f t="shared" si="106"/>
        <v>3.289328621908127</v>
      </c>
      <c r="O37" s="1031">
        <f t="shared" si="106"/>
        <v>2.8418153129711574</v>
      </c>
      <c r="P37" s="1172">
        <f t="shared" si="106"/>
        <v>2.2012262538948635</v>
      </c>
      <c r="Q37" s="1173">
        <f t="shared" si="106"/>
        <v>1.6327576879068084</v>
      </c>
      <c r="R37" s="1173">
        <f t="shared" si="106"/>
        <v>2.9516468005630356</v>
      </c>
      <c r="S37" s="1031">
        <f t="shared" si="106"/>
        <v>2.8418153129711574</v>
      </c>
      <c r="T37" s="1172">
        <f t="shared" si="106"/>
        <v>2.4348933527150494</v>
      </c>
      <c r="U37" s="1173">
        <f t="shared" si="106"/>
        <v>1.9038156730370137</v>
      </c>
      <c r="V37" s="1173">
        <f t="shared" si="106"/>
        <v>2.8327591362186086</v>
      </c>
      <c r="W37" s="1031">
        <f t="shared" si="106"/>
        <v>2.8277164807440918</v>
      </c>
      <c r="X37" s="1172">
        <f t="shared" si="106"/>
        <v>2.0998761953551912</v>
      </c>
      <c r="Y37" s="1175">
        <f t="shared" si="106"/>
        <v>2.8387668976515616</v>
      </c>
      <c r="Z37" s="1175">
        <f t="shared" si="106"/>
        <v>2.2458243325896277</v>
      </c>
      <c r="AA37" s="1114">
        <f t="shared" si="106"/>
        <v>2.005515176936592</v>
      </c>
      <c r="AB37" s="1114">
        <f t="shared" si="106"/>
        <v>2.6981352723964833</v>
      </c>
      <c r="AC37" s="1031">
        <f t="shared" si="106"/>
        <v>2.8447525981502015</v>
      </c>
      <c r="AD37" s="1172">
        <f t="shared" si="106"/>
        <v>3.1215997452296915</v>
      </c>
      <c r="AE37" s="1173">
        <f t="shared" si="106"/>
        <v>2.1472571695655644</v>
      </c>
      <c r="AF37" s="1173">
        <f t="shared" si="106"/>
        <v>2.7526469565870935</v>
      </c>
      <c r="AG37" s="1031">
        <f t="shared" si="106"/>
        <v>2.8094871157169981</v>
      </c>
      <c r="AH37" s="1172">
        <f t="shared" si="106"/>
        <v>2.9955817217631608</v>
      </c>
      <c r="AI37" s="1173">
        <f t="shared" si="106"/>
        <v>2.2414055348182678</v>
      </c>
      <c r="AJ37" s="1173">
        <f t="shared" si="106"/>
        <v>2.7854998906923019</v>
      </c>
      <c r="AK37" s="1031">
        <f t="shared" si="106"/>
        <v>2.8150713287523628</v>
      </c>
      <c r="AL37" s="1172">
        <f t="shared" si="106"/>
        <v>3.515260054392273</v>
      </c>
      <c r="AM37" s="1175">
        <f t="shared" si="106"/>
        <v>2.8231609175586043</v>
      </c>
      <c r="AN37" s="1175">
        <f t="shared" si="106"/>
        <v>3.2148056092815112</v>
      </c>
      <c r="AO37" s="1173">
        <f t="shared" si="106"/>
        <v>2.3146624205294679</v>
      </c>
      <c r="AP37" s="1173">
        <f t="shared" si="106"/>
        <v>2.8712811597225505</v>
      </c>
      <c r="AQ37" s="1031">
        <f t="shared" si="106"/>
        <v>2.8470264375651158</v>
      </c>
      <c r="AR37" s="1172">
        <f t="shared" si="106"/>
        <v>2.7060941677123682</v>
      </c>
      <c r="AS37" s="1173">
        <f t="shared" si="106"/>
        <v>2.375166163307644</v>
      </c>
      <c r="AT37" s="1173">
        <f t="shared" si="106"/>
        <v>2.8536538150845137</v>
      </c>
      <c r="AU37" s="1031">
        <f t="shared" si="106"/>
        <v>2.8295834364046129</v>
      </c>
      <c r="AV37" s="1172">
        <f t="shared" si="106"/>
        <v>2.0390921275798326</v>
      </c>
      <c r="AW37" s="1173">
        <f t="shared" si="106"/>
        <v>2.4173077364591156</v>
      </c>
      <c r="AX37" s="1173">
        <f t="shared" si="106"/>
        <v>2.78526574421794</v>
      </c>
      <c r="AY37" s="1172">
        <f t="shared" si="106"/>
        <v>2.8470264375651158</v>
      </c>
      <c r="AZ37" s="1172">
        <f t="shared" si="106"/>
        <v>2.4669060732752723</v>
      </c>
      <c r="BA37" s="1175">
        <f t="shared" si="106"/>
        <v>2.8416156112190056</v>
      </c>
      <c r="BB37" s="1175">
        <f t="shared" si="106"/>
        <v>2.4226057098489147</v>
      </c>
      <c r="BC37" s="1114">
        <f t="shared" si="106"/>
        <v>2.832310457417337</v>
      </c>
      <c r="BD37" s="1114">
        <f t="shared" si="106"/>
        <v>2.8124717353051101</v>
      </c>
      <c r="BE37" s="1188">
        <f t="shared" si="106"/>
        <v>2.4574749178107678</v>
      </c>
      <c r="BF37" s="1188">
        <f t="shared" si="106"/>
        <v>2.7559862554205057</v>
      </c>
      <c r="BG37" s="23"/>
      <c r="BH37" s="23"/>
      <c r="BI37" s="23"/>
      <c r="BJ37" s="23"/>
      <c r="BK37" s="23"/>
      <c r="BL37" s="23"/>
    </row>
    <row r="38" spans="2:65" ht="15.6" x14ac:dyDescent="0.3">
      <c r="B38" s="1177" t="s">
        <v>21</v>
      </c>
      <c r="C38" s="1178" t="s">
        <v>217</v>
      </c>
      <c r="D38" s="187">
        <f t="shared" ref="D38:AI38" si="107">SUM(D23:D37)</f>
        <v>1188.6635380559389</v>
      </c>
      <c r="E38" s="187">
        <f t="shared" si="107"/>
        <v>1188.6635380559389</v>
      </c>
      <c r="F38" s="187">
        <f t="shared" si="107"/>
        <v>1201.9727983525127</v>
      </c>
      <c r="G38" s="187">
        <f t="shared" ref="G38:H38" si="108">SUM(G23:G37)</f>
        <v>1188.6635380559389</v>
      </c>
      <c r="H38" s="187">
        <f t="shared" si="108"/>
        <v>1180.9331599749019</v>
      </c>
      <c r="I38" s="187">
        <f t="shared" si="107"/>
        <v>1188.6635380559392</v>
      </c>
      <c r="J38" s="187">
        <f t="shared" si="107"/>
        <v>1195.5713529396712</v>
      </c>
      <c r="K38" s="187">
        <f t="shared" si="107"/>
        <v>1177.9256787576485</v>
      </c>
      <c r="L38" s="187">
        <f t="shared" si="107"/>
        <v>1173.5331168244418</v>
      </c>
      <c r="M38" s="187">
        <f t="shared" si="107"/>
        <v>1184.3480782705601</v>
      </c>
      <c r="N38" s="187">
        <f t="shared" si="107"/>
        <v>1185.1725795053005</v>
      </c>
      <c r="O38" s="187">
        <f t="shared" si="107"/>
        <v>1178.0352408390813</v>
      </c>
      <c r="P38" s="187">
        <f t="shared" si="107"/>
        <v>1181.812242436426</v>
      </c>
      <c r="Q38" s="187">
        <f t="shared" si="107"/>
        <v>1182.5238291751646</v>
      </c>
      <c r="R38" s="187">
        <f t="shared" si="107"/>
        <v>1184.1297320902886</v>
      </c>
      <c r="S38" s="187">
        <f t="shared" si="107"/>
        <v>1178.0352408390813</v>
      </c>
      <c r="T38" s="187">
        <f t="shared" si="107"/>
        <v>1199.1836713389825</v>
      </c>
      <c r="U38" s="187">
        <f t="shared" si="107"/>
        <v>1181.5175349463073</v>
      </c>
      <c r="V38" s="187">
        <f t="shared" si="107"/>
        <v>1187.5931394152196</v>
      </c>
      <c r="W38" s="187">
        <f t="shared" si="107"/>
        <v>1177.1843146191436</v>
      </c>
      <c r="X38" s="187">
        <f t="shared" si="107"/>
        <v>1175.0581668374316</v>
      </c>
      <c r="Y38" s="187">
        <f t="shared" si="107"/>
        <v>1177.8512556349929</v>
      </c>
      <c r="Z38" s="187">
        <f t="shared" si="107"/>
        <v>1185.3808601437984</v>
      </c>
      <c r="AA38" s="187">
        <f t="shared" si="107"/>
        <v>1181.0405504541584</v>
      </c>
      <c r="AB38" s="187">
        <f t="shared" si="107"/>
        <v>1185.290580101534</v>
      </c>
      <c r="AC38" s="187">
        <f t="shared" si="107"/>
        <v>1178.212518852893</v>
      </c>
      <c r="AD38" s="187">
        <f t="shared" si="107"/>
        <v>1196.438523393753</v>
      </c>
      <c r="AE38" s="187">
        <f t="shared" si="107"/>
        <v>1180.5629134658059</v>
      </c>
      <c r="AF38" s="187">
        <f t="shared" si="107"/>
        <v>1186.7256312170489</v>
      </c>
      <c r="AG38" s="187">
        <f t="shared" si="107"/>
        <v>1176.08409266994</v>
      </c>
      <c r="AH38" s="187">
        <f t="shared" si="107"/>
        <v>1194.1857861422259</v>
      </c>
      <c r="AI38" s="187">
        <f t="shared" si="107"/>
        <v>1179.9261653715209</v>
      </c>
      <c r="AJ38" s="187">
        <f t="shared" ref="AJ38:BF38" si="109">SUM(AJ23:AJ37)</f>
        <v>1187.7344945552948</v>
      </c>
      <c r="AK38" s="187">
        <f t="shared" si="109"/>
        <v>1176.4211243625643</v>
      </c>
      <c r="AL38" s="187">
        <f t="shared" si="109"/>
        <v>1206.9151929650441</v>
      </c>
      <c r="AM38" s="734">
        <f t="shared" si="109"/>
        <v>1176.9093664462257</v>
      </c>
      <c r="AN38" s="734">
        <f t="shared" si="109"/>
        <v>1199.3111408670252</v>
      </c>
      <c r="AO38" s="231">
        <f t="shared" si="109"/>
        <v>1179.4785730776778</v>
      </c>
      <c r="AP38" s="231">
        <f t="shared" si="109"/>
        <v>1189.989132081866</v>
      </c>
      <c r="AQ38" s="187">
        <f t="shared" si="109"/>
        <v>1178.3497550116708</v>
      </c>
      <c r="AR38" s="187">
        <f t="shared" si="109"/>
        <v>1209.8586938730973</v>
      </c>
      <c r="AS38" s="187">
        <f t="shared" si="109"/>
        <v>1179.3502816911007</v>
      </c>
      <c r="AT38" s="187">
        <f t="shared" si="109"/>
        <v>1192.1094419757544</v>
      </c>
      <c r="AU38" s="187">
        <f t="shared" si="109"/>
        <v>1177.2969935628637</v>
      </c>
      <c r="AV38" s="187">
        <f t="shared" si="109"/>
        <v>1212.1858940561417</v>
      </c>
      <c r="AW38" s="187">
        <f t="shared" si="109"/>
        <v>1179.1598646515652</v>
      </c>
      <c r="AX38" s="187">
        <f t="shared" si="109"/>
        <v>1193.7949985747011</v>
      </c>
      <c r="AY38" s="187">
        <f t="shared" si="109"/>
        <v>1178.3497550116708</v>
      </c>
      <c r="AZ38" s="187">
        <f t="shared" si="109"/>
        <v>1247.3672293775078</v>
      </c>
      <c r="BA38" s="187">
        <f t="shared" si="109"/>
        <v>1178.0231879644657</v>
      </c>
      <c r="BB38" s="187">
        <f t="shared" si="109"/>
        <v>1223.9736010417864</v>
      </c>
      <c r="BC38" s="187">
        <f t="shared" si="109"/>
        <v>1177.4615812141424</v>
      </c>
      <c r="BD38" s="187">
        <f t="shared" si="109"/>
        <v>1211.8364430679055</v>
      </c>
      <c r="BE38" s="187">
        <f t="shared" si="109"/>
        <v>1179.0841411125691</v>
      </c>
      <c r="BF38" s="187">
        <f t="shared" si="109"/>
        <v>1198.7220282044273</v>
      </c>
      <c r="BG38" s="23"/>
      <c r="BH38" s="23"/>
      <c r="BI38" s="23"/>
      <c r="BJ38" s="23"/>
      <c r="BK38" s="23"/>
      <c r="BL38" s="23"/>
    </row>
    <row r="39" spans="2:65" ht="15.6" x14ac:dyDescent="0.3">
      <c r="B39" s="1177"/>
      <c r="C39" s="1178"/>
      <c r="D39" s="187"/>
      <c r="E39" s="187"/>
      <c r="F39" s="187"/>
      <c r="G39" s="187"/>
      <c r="H39" s="187"/>
      <c r="I39" s="187"/>
      <c r="J39" s="187"/>
      <c r="K39" s="187"/>
      <c r="L39" s="187"/>
      <c r="M39" s="187"/>
      <c r="N39" s="187"/>
      <c r="O39" s="187"/>
      <c r="P39" s="187"/>
      <c r="Q39" s="187"/>
      <c r="R39" s="187"/>
      <c r="S39" s="187"/>
      <c r="T39" s="187"/>
      <c r="U39" s="187"/>
      <c r="V39" s="187"/>
      <c r="W39" s="187"/>
      <c r="X39" s="187"/>
      <c r="Y39" s="187"/>
      <c r="Z39" s="187"/>
      <c r="AA39" s="187"/>
      <c r="AB39" s="187"/>
      <c r="AC39" s="187"/>
      <c r="AD39" s="187"/>
      <c r="AE39" s="187"/>
      <c r="AF39" s="187"/>
      <c r="AG39" s="187"/>
      <c r="AH39" s="187"/>
      <c r="AI39" s="187"/>
      <c r="AJ39" s="187"/>
      <c r="AK39" s="187"/>
      <c r="AL39" s="187"/>
      <c r="AM39" s="187"/>
      <c r="AN39" s="187"/>
      <c r="AO39" s="187"/>
      <c r="AP39" s="187"/>
      <c r="AQ39" s="187"/>
      <c r="AR39" s="187"/>
      <c r="AS39" s="187"/>
      <c r="AT39" s="187"/>
      <c r="AU39" s="187"/>
      <c r="AV39" s="187"/>
      <c r="AW39" s="187"/>
      <c r="AX39" s="187"/>
      <c r="AY39" s="187"/>
      <c r="AZ39" s="187"/>
      <c r="BA39" s="187"/>
      <c r="BB39" s="187"/>
      <c r="BC39" s="187"/>
      <c r="BD39" s="187"/>
      <c r="BE39" s="187"/>
      <c r="BF39" s="187"/>
      <c r="BG39" s="23"/>
      <c r="BH39" s="23"/>
      <c r="BI39" s="23"/>
      <c r="BJ39" s="23"/>
      <c r="BK39" s="23"/>
      <c r="BL39" s="23"/>
    </row>
    <row r="40" spans="2:65" ht="17.399999999999999" x14ac:dyDescent="0.3">
      <c r="B40" s="1170" t="s">
        <v>891</v>
      </c>
      <c r="C40" s="1170"/>
      <c r="D40" s="227"/>
      <c r="E40" s="2222"/>
      <c r="F40" s="2222"/>
      <c r="G40" s="2222"/>
      <c r="H40" s="2222"/>
      <c r="I40" s="1170"/>
      <c r="J40" s="1170"/>
      <c r="K40" s="1170"/>
      <c r="L40" s="1170"/>
      <c r="M40" s="1170"/>
      <c r="N40" s="1170"/>
      <c r="O40" s="1170"/>
      <c r="P40" s="1170"/>
      <c r="Q40" s="1170"/>
      <c r="R40" s="1170"/>
      <c r="S40" s="1170"/>
      <c r="T40" s="1170"/>
      <c r="U40" s="1170"/>
      <c r="V40" s="1170"/>
      <c r="W40" s="1170"/>
      <c r="X40" s="1170"/>
      <c r="Y40" s="1170"/>
      <c r="Z40" s="1170"/>
      <c r="AA40" s="1170"/>
      <c r="AB40" s="1170"/>
      <c r="AC40" s="1170"/>
      <c r="AD40" s="1170"/>
      <c r="AE40" s="1170"/>
      <c r="AF40" s="1170"/>
      <c r="AG40" s="1170"/>
      <c r="AH40" s="1170"/>
      <c r="AI40" s="1170"/>
      <c r="AJ40" s="1170"/>
      <c r="AK40" s="1170"/>
      <c r="AL40" s="1170"/>
      <c r="AM40" s="1170"/>
      <c r="AN40" s="1170"/>
      <c r="AO40" s="1170"/>
      <c r="AP40" s="1170"/>
      <c r="AQ40" s="1170"/>
      <c r="AR40" s="1170"/>
      <c r="AS40" s="1170"/>
      <c r="AT40" s="1170"/>
      <c r="AU40" s="2222"/>
      <c r="AV40" s="2222"/>
      <c r="AW40" s="2222"/>
      <c r="AX40" s="2222"/>
      <c r="AY40" s="2222"/>
      <c r="AZ40" s="2222"/>
      <c r="BA40" s="1170"/>
      <c r="BB40" s="1170"/>
      <c r="BC40" s="1170"/>
      <c r="BD40" s="1170"/>
      <c r="BE40" s="1170"/>
      <c r="BF40" s="1170"/>
      <c r="BG40" s="23"/>
      <c r="BH40" s="23"/>
      <c r="BI40" s="23"/>
      <c r="BJ40" s="23"/>
      <c r="BK40" s="23"/>
      <c r="BL40" s="23"/>
    </row>
    <row r="41" spans="2:65" x14ac:dyDescent="0.3">
      <c r="B41" s="1171" t="s">
        <v>43</v>
      </c>
      <c r="C41" s="60" t="s">
        <v>50</v>
      </c>
      <c r="D41" s="1031">
        <v>5000572.4355053725</v>
      </c>
      <c r="E41" s="1172">
        <f>+E21</f>
        <v>346706.3555283724</v>
      </c>
      <c r="F41" s="1172">
        <f>+F21</f>
        <v>424907</v>
      </c>
      <c r="G41" s="1172">
        <f>+G21</f>
        <v>311702.34847983491</v>
      </c>
      <c r="H41" s="1172">
        <f>+H21</f>
        <v>182564</v>
      </c>
      <c r="I41" s="1173">
        <f>+E41+G41</f>
        <v>658408.70400820731</v>
      </c>
      <c r="J41" s="1173">
        <f>+F41+H41</f>
        <v>607471</v>
      </c>
      <c r="K41" s="1172">
        <f>+K21</f>
        <v>438413.85245607345</v>
      </c>
      <c r="L41" s="1172">
        <f>+L21</f>
        <v>441570</v>
      </c>
      <c r="M41" s="1175">
        <f t="shared" ref="M41:M50" si="110">+K41+G41+E41</f>
        <v>1096822.5564642807</v>
      </c>
      <c r="N41" s="1175">
        <f t="shared" ref="N41:N50" si="111">+L41+H41+F41</f>
        <v>1049041</v>
      </c>
      <c r="O41" s="1172">
        <f>+O21</f>
        <v>443393.84392601775</v>
      </c>
      <c r="P41" s="1172">
        <f>+P21</f>
        <v>470314</v>
      </c>
      <c r="Q41" s="1173">
        <f>+M41+O41</f>
        <v>1540216.4003902986</v>
      </c>
      <c r="R41" s="1174">
        <f>+N41+P41</f>
        <v>1519355</v>
      </c>
      <c r="S41" s="1172">
        <f>+S21</f>
        <v>443393.84392601775</v>
      </c>
      <c r="T41" s="1172">
        <f>+T21</f>
        <v>459502</v>
      </c>
      <c r="U41" s="1173">
        <f>+Q41+S41</f>
        <v>1983610.2443163162</v>
      </c>
      <c r="V41" s="1174">
        <f>+R41+T41</f>
        <v>1978857</v>
      </c>
      <c r="W41" s="1172">
        <f>+W21</f>
        <v>244456.34331918461</v>
      </c>
      <c r="X41" s="1172">
        <f>+X21</f>
        <v>440393</v>
      </c>
      <c r="Y41" s="1175">
        <f t="shared" ref="Y41:Y50" si="112">+O41+S41+W41</f>
        <v>1131244.0311712201</v>
      </c>
      <c r="Z41" s="1175">
        <f t="shared" ref="Z41:Z50" si="113">+P41+T41+X41</f>
        <v>1370209</v>
      </c>
      <c r="AA41" s="1114">
        <f>M41+Y41</f>
        <v>2228066.5876355008</v>
      </c>
      <c r="AB41" s="1114">
        <f>N41+Z41</f>
        <v>2419250</v>
      </c>
      <c r="AC41" s="1172">
        <f>+AC21</f>
        <v>451693.82970925875</v>
      </c>
      <c r="AD41" s="1172">
        <f>+AD21</f>
        <v>360664</v>
      </c>
      <c r="AE41" s="1173">
        <f>+AA41+AC41</f>
        <v>2679760.4173447597</v>
      </c>
      <c r="AF41" s="1173">
        <f>+AB41+AD41</f>
        <v>2779914</v>
      </c>
      <c r="AG41" s="1172">
        <f>+AG21</f>
        <v>442432.76625222078</v>
      </c>
      <c r="AH41" s="1172">
        <f>+AH21</f>
        <v>437318</v>
      </c>
      <c r="AI41" s="1173">
        <f>+AE41+AG41</f>
        <v>3122193.1835969803</v>
      </c>
      <c r="AJ41" s="1173">
        <f>+AF41+AH41</f>
        <v>3217232</v>
      </c>
      <c r="AK41" s="1172">
        <f>+AK21</f>
        <v>455712.74350540602</v>
      </c>
      <c r="AL41" s="1172">
        <f>+AL21</f>
        <v>435350</v>
      </c>
      <c r="AM41" s="1175">
        <f t="shared" ref="AM41:AM50" si="114">+AC41+AG41+AK41</f>
        <v>1349839.3394668854</v>
      </c>
      <c r="AN41" s="1175">
        <f t="shared" ref="AN41:AN50" si="115">+AD41+AH41+AL41</f>
        <v>1233332</v>
      </c>
      <c r="AO41" s="1173">
        <f t="shared" ref="AO41:AP41" si="116">AI41+AK41</f>
        <v>3577905.9271023865</v>
      </c>
      <c r="AP41" s="1173">
        <f t="shared" si="116"/>
        <v>3652582</v>
      </c>
      <c r="AQ41" s="1172">
        <f>+AQ21</f>
        <v>458333.81833585131</v>
      </c>
      <c r="AR41" s="1172">
        <f>+AR21</f>
        <v>443510</v>
      </c>
      <c r="AS41" s="1173">
        <f>+AO41+AQ41</f>
        <v>4036239.7454382377</v>
      </c>
      <c r="AT41" s="1173">
        <f>+AP41+AR41</f>
        <v>4096092</v>
      </c>
      <c r="AU41" s="1172">
        <f>+AU21</f>
        <v>411853.8979497028</v>
      </c>
      <c r="AV41" s="1172">
        <f>+AV21</f>
        <v>381651.88</v>
      </c>
      <c r="AW41" s="1173">
        <f>+AS41+AU41</f>
        <v>4448093.6433879407</v>
      </c>
      <c r="AX41" s="1173">
        <f>+AT41+AV41</f>
        <v>4477743.88</v>
      </c>
      <c r="AY41" s="1172">
        <f>+AY21</f>
        <v>458333.81833585131</v>
      </c>
      <c r="AZ41" s="1172">
        <f>+AZ21</f>
        <v>473785</v>
      </c>
      <c r="BA41" s="1175">
        <f t="shared" ref="BA41:BA50" si="117">+AQ41+AU41+AY41</f>
        <v>1328521.5346214054</v>
      </c>
      <c r="BB41" s="1175">
        <f t="shared" ref="BB41:BB50" si="118">+AR41+AV41+AZ41</f>
        <v>1298946.8799999999</v>
      </c>
      <c r="BC41" s="1114">
        <f t="shared" ref="BC41:BC50" si="119">AM41+BA41</f>
        <v>2678360.8740882911</v>
      </c>
      <c r="BD41" s="1114">
        <f t="shared" ref="BD41:BD50" si="120">AN41+BB41</f>
        <v>2532278.88</v>
      </c>
      <c r="BE41" s="1173">
        <f>+AW41+AY41</f>
        <v>4906427.4617237924</v>
      </c>
      <c r="BF41" s="1173">
        <f>+AX41+AZ41</f>
        <v>4951528.88</v>
      </c>
      <c r="BG41" s="23"/>
      <c r="BH41" s="23"/>
      <c r="BI41" s="23"/>
      <c r="BJ41" s="23"/>
      <c r="BK41" s="23"/>
      <c r="BL41" s="23"/>
      <c r="BM41" s="23"/>
    </row>
    <row r="42" spans="2:65" x14ac:dyDescent="0.3">
      <c r="B42" s="1171" t="s">
        <v>70</v>
      </c>
      <c r="C42" s="60" t="s">
        <v>50</v>
      </c>
      <c r="D42" s="1094">
        <v>75686.428329967675</v>
      </c>
      <c r="E42" s="1172">
        <v>5247.592364211092</v>
      </c>
      <c r="F42" s="139">
        <v>11339</v>
      </c>
      <c r="G42" s="1172">
        <v>4717.7873659013176</v>
      </c>
      <c r="H42" s="139">
        <v>7755</v>
      </c>
      <c r="I42" s="1173">
        <f t="shared" ref="I42:I50" si="121">+E42+G42</f>
        <v>9965.3797301124105</v>
      </c>
      <c r="J42" s="1173">
        <f t="shared" ref="J42:J50" si="122">+F42+H42</f>
        <v>19094</v>
      </c>
      <c r="K42" s="1172">
        <v>7250.8132898682006</v>
      </c>
      <c r="L42" s="139">
        <v>6321</v>
      </c>
      <c r="M42" s="1175">
        <f t="shared" si="110"/>
        <v>17216.193019980608</v>
      </c>
      <c r="N42" s="1175">
        <f>+L42+H42+F42</f>
        <v>25415</v>
      </c>
      <c r="O42" s="1172">
        <v>7332.4940652055993</v>
      </c>
      <c r="P42" s="139">
        <v>15515</v>
      </c>
      <c r="Q42" s="1173">
        <f t="shared" ref="Q42:Q50" si="123">+M42+O42</f>
        <v>24548.687085186208</v>
      </c>
      <c r="R42" s="1174">
        <f t="shared" ref="R42:R50" si="124">+N42+P42</f>
        <v>40930</v>
      </c>
      <c r="S42" s="1172">
        <v>7332.4940652055993</v>
      </c>
      <c r="T42" s="139">
        <v>12053</v>
      </c>
      <c r="U42" s="1173">
        <f t="shared" ref="U42:U50" si="125">+Q42+S42</f>
        <v>31881.181150391807</v>
      </c>
      <c r="V42" s="1174">
        <f t="shared" ref="V42:V50" si="126">+R42+T42</f>
        <v>52983</v>
      </c>
      <c r="W42" s="1172">
        <v>4045.5464126612937</v>
      </c>
      <c r="X42" s="139">
        <v>14458</v>
      </c>
      <c r="Y42" s="1175">
        <f t="shared" si="112"/>
        <v>18710.534543072492</v>
      </c>
      <c r="Z42" s="1175">
        <f t="shared" si="113"/>
        <v>42026</v>
      </c>
      <c r="AA42" s="1114">
        <f t="shared" ref="AA42:AA50" si="127">M42+Y42</f>
        <v>35926.7275630531</v>
      </c>
      <c r="AB42" s="1114">
        <f t="shared" ref="AB42:AB50" si="128">N42+Z42</f>
        <v>67441</v>
      </c>
      <c r="AC42" s="1172">
        <v>7468.6286907679323</v>
      </c>
      <c r="AD42" s="139">
        <v>17691</v>
      </c>
      <c r="AE42" s="1173">
        <f t="shared" ref="AE42:AE48" si="129">+AA42+AC42</f>
        <v>43395.356253821032</v>
      </c>
      <c r="AF42" s="1174">
        <f t="shared" ref="AF42:AF48" si="130">+AB42+AD42</f>
        <v>85132</v>
      </c>
      <c r="AG42" s="1172">
        <v>7328.738922173522</v>
      </c>
      <c r="AH42" s="139">
        <v>10278</v>
      </c>
      <c r="AI42" s="1173">
        <f t="shared" ref="AI42:AI50" si="131">+AE42+AG42</f>
        <v>50724.095175994553</v>
      </c>
      <c r="AJ42" s="1174">
        <f t="shared" ref="AJ42:AJ50" si="132">+AF42+AH42</f>
        <v>95410</v>
      </c>
      <c r="AK42" s="1172">
        <v>7546.5543230732546</v>
      </c>
      <c r="AL42" s="139">
        <v>7828</v>
      </c>
      <c r="AM42" s="1175">
        <f t="shared" si="114"/>
        <v>22343.921936014711</v>
      </c>
      <c r="AN42" s="1175">
        <f t="shared" si="115"/>
        <v>35797</v>
      </c>
      <c r="AO42" s="1173">
        <f t="shared" ref="AO42:AO50" si="133">AI42+AK42</f>
        <v>58270.649499067804</v>
      </c>
      <c r="AP42" s="1173">
        <f t="shared" ref="AP42:AP50" si="134">AJ42+AL42</f>
        <v>103238</v>
      </c>
      <c r="AQ42" s="1172">
        <v>7577.5363912177982</v>
      </c>
      <c r="AR42" s="139">
        <v>10781</v>
      </c>
      <c r="AS42" s="1173">
        <f t="shared" ref="AS42:AS50" si="135">+AO42+AQ42</f>
        <v>65848.185890285604</v>
      </c>
      <c r="AT42" s="1174">
        <f t="shared" ref="AT42:AT50" si="136">+AP42+AR42</f>
        <v>114019</v>
      </c>
      <c r="AU42" s="1172">
        <v>6815.1824880687336</v>
      </c>
      <c r="AV42" s="139">
        <v>6934</v>
      </c>
      <c r="AW42" s="1173">
        <f t="shared" ref="AW42:AW50" si="137">+AS42+AU42</f>
        <v>72663.368378354338</v>
      </c>
      <c r="AX42" s="1174">
        <f t="shared" ref="AX42:AX50" si="138">+AT42+AV42</f>
        <v>120953</v>
      </c>
      <c r="AY42" s="1172">
        <v>7577.5363912177982</v>
      </c>
      <c r="AZ42" s="139">
        <v>2773</v>
      </c>
      <c r="BA42" s="1175">
        <f t="shared" si="117"/>
        <v>21970.255270504327</v>
      </c>
      <c r="BB42" s="1175">
        <f t="shared" si="118"/>
        <v>20488</v>
      </c>
      <c r="BC42" s="1114">
        <f t="shared" si="119"/>
        <v>44314.177206519038</v>
      </c>
      <c r="BD42" s="1114">
        <f t="shared" si="120"/>
        <v>56285</v>
      </c>
      <c r="BE42" s="1173">
        <f t="shared" ref="BE42:BE50" si="139">+AW42+AY42</f>
        <v>80240.904769572138</v>
      </c>
      <c r="BF42" s="1173">
        <f t="shared" ref="BF42:BF50" si="140">+AX42+AZ42</f>
        <v>123726</v>
      </c>
      <c r="BG42" s="23"/>
      <c r="BH42" s="23"/>
      <c r="BI42" s="23"/>
      <c r="BJ42" s="23"/>
      <c r="BK42" s="23"/>
      <c r="BL42" s="23"/>
    </row>
    <row r="43" spans="2:65" x14ac:dyDescent="0.3">
      <c r="B43" s="1171" t="s">
        <v>637</v>
      </c>
      <c r="C43" s="60" t="s">
        <v>50</v>
      </c>
      <c r="D43" s="1094">
        <v>20981.101730926446</v>
      </c>
      <c r="E43" s="1172">
        <v>1454.6897200108999</v>
      </c>
      <c r="F43" s="139">
        <v>1763</v>
      </c>
      <c r="G43" s="1172">
        <v>1307.822007894415</v>
      </c>
      <c r="H43" s="139">
        <v>1309</v>
      </c>
      <c r="I43" s="1173">
        <f t="shared" si="121"/>
        <v>2762.5117279053147</v>
      </c>
      <c r="J43" s="1173">
        <f t="shared" si="122"/>
        <v>3072</v>
      </c>
      <c r="K43" s="1172">
        <v>1858.3059217743978</v>
      </c>
      <c r="L43" s="139">
        <v>1148</v>
      </c>
      <c r="M43" s="1175">
        <f t="shared" si="110"/>
        <v>4620.8176496797123</v>
      </c>
      <c r="N43" s="1175">
        <f t="shared" si="111"/>
        <v>4220</v>
      </c>
      <c r="O43" s="1172">
        <v>1879.2398311769073</v>
      </c>
      <c r="P43" s="139">
        <v>872</v>
      </c>
      <c r="Q43" s="1173">
        <f t="shared" si="123"/>
        <v>6500.0574808566198</v>
      </c>
      <c r="R43" s="1174">
        <f t="shared" si="124"/>
        <v>5092</v>
      </c>
      <c r="S43" s="1172">
        <v>1879.2398311769073</v>
      </c>
      <c r="T43" s="139">
        <v>302</v>
      </c>
      <c r="U43" s="1173">
        <f t="shared" si="125"/>
        <v>8379.2973120335264</v>
      </c>
      <c r="V43" s="1174">
        <f t="shared" si="126"/>
        <v>5394</v>
      </c>
      <c r="W43" s="1172">
        <v>1036.830291295269</v>
      </c>
      <c r="X43" s="139">
        <v>928</v>
      </c>
      <c r="Y43" s="1175">
        <f t="shared" si="112"/>
        <v>4795.3099536490836</v>
      </c>
      <c r="Z43" s="1175">
        <f t="shared" si="113"/>
        <v>2102</v>
      </c>
      <c r="AA43" s="1114">
        <f t="shared" si="127"/>
        <v>9416.1276033287959</v>
      </c>
      <c r="AB43" s="1114">
        <f t="shared" si="128"/>
        <v>6322</v>
      </c>
      <c r="AC43" s="1172">
        <v>1914.1296801810902</v>
      </c>
      <c r="AD43" s="139">
        <v>2770</v>
      </c>
      <c r="AE43" s="1173">
        <f t="shared" si="129"/>
        <v>11330.257283509885</v>
      </c>
      <c r="AF43" s="1174">
        <f t="shared" si="130"/>
        <v>9092</v>
      </c>
      <c r="AG43" s="1172">
        <v>1878.2774281671143</v>
      </c>
      <c r="AH43" s="139">
        <v>5274</v>
      </c>
      <c r="AI43" s="1173">
        <f t="shared" si="131"/>
        <v>13208.534711676999</v>
      </c>
      <c r="AJ43" s="1174">
        <f t="shared" si="132"/>
        <v>14366</v>
      </c>
      <c r="AK43" s="1172">
        <v>1934.1011865738067</v>
      </c>
      <c r="AL43" s="139">
        <v>6649</v>
      </c>
      <c r="AM43" s="1175">
        <f t="shared" si="114"/>
        <v>5726.5082949220114</v>
      </c>
      <c r="AN43" s="1175">
        <f t="shared" si="115"/>
        <v>14693</v>
      </c>
      <c r="AO43" s="1173">
        <f t="shared" si="133"/>
        <v>15142.635898250806</v>
      </c>
      <c r="AP43" s="1173">
        <f t="shared" si="134"/>
        <v>21015</v>
      </c>
      <c r="AQ43" s="1172">
        <v>1942.0415593844364</v>
      </c>
      <c r="AR43" s="139">
        <v>4936</v>
      </c>
      <c r="AS43" s="1173">
        <f t="shared" si="135"/>
        <v>17084.677457635244</v>
      </c>
      <c r="AT43" s="1174">
        <f t="shared" si="136"/>
        <v>25951</v>
      </c>
      <c r="AU43" s="1172">
        <v>1746.6584049610126</v>
      </c>
      <c r="AV43" s="139">
        <v>3545</v>
      </c>
      <c r="AW43" s="1173">
        <f t="shared" si="137"/>
        <v>18831.335862596257</v>
      </c>
      <c r="AX43" s="1174">
        <f t="shared" si="138"/>
        <v>29496</v>
      </c>
      <c r="AY43" s="1172">
        <v>1942.0415593844364</v>
      </c>
      <c r="AZ43" s="139">
        <v>2632</v>
      </c>
      <c r="BA43" s="1175">
        <f t="shared" si="117"/>
        <v>5630.7415237298856</v>
      </c>
      <c r="BB43" s="1175">
        <f t="shared" si="118"/>
        <v>11113</v>
      </c>
      <c r="BC43" s="1114">
        <f t="shared" si="119"/>
        <v>11357.249818651897</v>
      </c>
      <c r="BD43" s="1114">
        <f t="shared" si="120"/>
        <v>25806</v>
      </c>
      <c r="BE43" s="1173">
        <f t="shared" si="139"/>
        <v>20773.377421980695</v>
      </c>
      <c r="BF43" s="1173">
        <f t="shared" si="140"/>
        <v>32128</v>
      </c>
      <c r="BG43" s="23"/>
      <c r="BH43" s="23"/>
      <c r="BI43" s="23"/>
      <c r="BJ43" s="23"/>
      <c r="BK43" s="23"/>
      <c r="BL43" s="23"/>
    </row>
    <row r="44" spans="2:65" x14ac:dyDescent="0.3">
      <c r="B44" s="1171" t="s">
        <v>44</v>
      </c>
      <c r="C44" s="60" t="s">
        <v>50</v>
      </c>
      <c r="D44" s="1094">
        <v>94376.027677751743</v>
      </c>
      <c r="E44" s="1172">
        <v>6543.4045856574548</v>
      </c>
      <c r="F44" s="139">
        <v>6933</v>
      </c>
      <c r="G44" s="1172">
        <v>5882.7723919131922</v>
      </c>
      <c r="H44" s="139">
        <v>2138</v>
      </c>
      <c r="I44" s="1173">
        <f t="shared" si="121"/>
        <v>12426.176977570647</v>
      </c>
      <c r="J44" s="1173">
        <f t="shared" si="122"/>
        <v>9071</v>
      </c>
      <c r="K44" s="1172">
        <v>8358.9285899414353</v>
      </c>
      <c r="L44" s="139">
        <v>8277</v>
      </c>
      <c r="M44" s="1175">
        <f t="shared" si="110"/>
        <v>20785.105567512084</v>
      </c>
      <c r="N44" s="1175">
        <f t="shared" si="111"/>
        <v>17348</v>
      </c>
      <c r="O44" s="1172">
        <v>8453.0923397059505</v>
      </c>
      <c r="P44" s="139">
        <v>7984</v>
      </c>
      <c r="Q44" s="1173">
        <f t="shared" si="123"/>
        <v>29238.197907218033</v>
      </c>
      <c r="R44" s="1174">
        <f t="shared" si="124"/>
        <v>25332</v>
      </c>
      <c r="S44" s="1172">
        <v>8453.0923397059505</v>
      </c>
      <c r="T44" s="139">
        <v>7337</v>
      </c>
      <c r="U44" s="1173">
        <f t="shared" si="125"/>
        <v>37691.290246923985</v>
      </c>
      <c r="V44" s="1174">
        <f t="shared" si="126"/>
        <v>32669</v>
      </c>
      <c r="W44" s="1172">
        <v>4663.8124881773347</v>
      </c>
      <c r="X44" s="139">
        <v>7087</v>
      </c>
      <c r="Y44" s="1175">
        <f t="shared" si="112"/>
        <v>21569.997167589238</v>
      </c>
      <c r="Z44" s="1175">
        <f t="shared" si="113"/>
        <v>22408</v>
      </c>
      <c r="AA44" s="1114">
        <f t="shared" si="127"/>
        <v>42355.102735101318</v>
      </c>
      <c r="AB44" s="1114">
        <f t="shared" si="128"/>
        <v>39756</v>
      </c>
      <c r="AC44" s="1172">
        <v>8610.0319226468109</v>
      </c>
      <c r="AD44" s="139">
        <v>4824</v>
      </c>
      <c r="AE44" s="1173">
        <f t="shared" si="129"/>
        <v>50965.134657748131</v>
      </c>
      <c r="AF44" s="1174">
        <f t="shared" si="130"/>
        <v>44580</v>
      </c>
      <c r="AG44" s="1172">
        <v>8448.7633118858575</v>
      </c>
      <c r="AH44" s="139">
        <v>7057</v>
      </c>
      <c r="AI44" s="1173">
        <f t="shared" si="131"/>
        <v>59413.897969633988</v>
      </c>
      <c r="AJ44" s="1174">
        <f t="shared" si="132"/>
        <v>51637</v>
      </c>
      <c r="AK44" s="1172">
        <v>8699.8666445912331</v>
      </c>
      <c r="AL44" s="139">
        <v>7476</v>
      </c>
      <c r="AM44" s="1175">
        <f t="shared" si="114"/>
        <v>25758.661879123902</v>
      </c>
      <c r="AN44" s="1175">
        <f t="shared" si="115"/>
        <v>19357</v>
      </c>
      <c r="AO44" s="1173">
        <f t="shared" si="133"/>
        <v>68113.76461422522</v>
      </c>
      <c r="AP44" s="1173">
        <f t="shared" si="134"/>
        <v>59113</v>
      </c>
      <c r="AQ44" s="1172">
        <v>8735.583588999496</v>
      </c>
      <c r="AR44" s="139">
        <v>7478</v>
      </c>
      <c r="AS44" s="1173">
        <f t="shared" si="135"/>
        <v>76849.348203224712</v>
      </c>
      <c r="AT44" s="1174">
        <f t="shared" si="136"/>
        <v>66591</v>
      </c>
      <c r="AU44" s="1172">
        <v>7856.7219245306842</v>
      </c>
      <c r="AV44" s="139">
        <v>6008</v>
      </c>
      <c r="AW44" s="1173">
        <f t="shared" si="137"/>
        <v>84706.070127755404</v>
      </c>
      <c r="AX44" s="1174">
        <f t="shared" si="138"/>
        <v>72599</v>
      </c>
      <c r="AY44" s="1172">
        <v>8735.583588999496</v>
      </c>
      <c r="AZ44" s="139">
        <v>6683</v>
      </c>
      <c r="BA44" s="1175">
        <f t="shared" si="117"/>
        <v>25327.889102529676</v>
      </c>
      <c r="BB44" s="1175">
        <f t="shared" si="118"/>
        <v>20169</v>
      </c>
      <c r="BC44" s="1114">
        <f t="shared" si="119"/>
        <v>51086.550981653578</v>
      </c>
      <c r="BD44" s="1114">
        <f t="shared" si="120"/>
        <v>39526</v>
      </c>
      <c r="BE44" s="1173">
        <f t="shared" si="139"/>
        <v>93441.653716754896</v>
      </c>
      <c r="BF44" s="1173">
        <f t="shared" si="140"/>
        <v>79282</v>
      </c>
      <c r="BG44" s="23"/>
      <c r="BH44" s="23"/>
      <c r="BI44" s="23"/>
      <c r="BJ44" s="23"/>
      <c r="BK44" s="23"/>
      <c r="BL44" s="23"/>
    </row>
    <row r="45" spans="2:65" x14ac:dyDescent="0.3">
      <c r="B45" s="1171" t="s">
        <v>71</v>
      </c>
      <c r="C45" s="60" t="s">
        <v>50</v>
      </c>
      <c r="D45" s="1094">
        <v>79510.152372995421</v>
      </c>
      <c r="E45" s="1172">
        <v>5512.7038978610162</v>
      </c>
      <c r="F45" s="139">
        <v>10127</v>
      </c>
      <c r="G45" s="1172">
        <v>4956.1328312500482</v>
      </c>
      <c r="H45" s="139">
        <v>4414</v>
      </c>
      <c r="I45" s="1173">
        <f t="shared" si="121"/>
        <v>10468.836729111064</v>
      </c>
      <c r="J45" s="1173">
        <f t="shared" si="122"/>
        <v>14541</v>
      </c>
      <c r="K45" s="1172">
        <v>7090.2468974925305</v>
      </c>
      <c r="L45" s="139">
        <v>9954</v>
      </c>
      <c r="M45" s="1175">
        <f t="shared" si="110"/>
        <v>17559.083626603595</v>
      </c>
      <c r="N45" s="1175">
        <f t="shared" si="111"/>
        <v>24495</v>
      </c>
      <c r="O45" s="1172">
        <v>7170.1188843674408</v>
      </c>
      <c r="P45" s="139">
        <v>10553</v>
      </c>
      <c r="Q45" s="1173">
        <f t="shared" si="123"/>
        <v>24729.202510971038</v>
      </c>
      <c r="R45" s="1174">
        <f t="shared" si="124"/>
        <v>35048</v>
      </c>
      <c r="S45" s="1172">
        <v>7170.1188843674408</v>
      </c>
      <c r="T45" s="139">
        <v>7779</v>
      </c>
      <c r="U45" s="1173">
        <f t="shared" si="125"/>
        <v>31899.321395338477</v>
      </c>
      <c r="V45" s="1174">
        <f t="shared" si="126"/>
        <v>42827</v>
      </c>
      <c r="W45" s="1172">
        <v>3955.95938749585</v>
      </c>
      <c r="X45" s="139">
        <v>10384</v>
      </c>
      <c r="Y45" s="1175">
        <f t="shared" si="112"/>
        <v>18296.19715623073</v>
      </c>
      <c r="Z45" s="1175">
        <f t="shared" si="113"/>
        <v>28716</v>
      </c>
      <c r="AA45" s="1114">
        <f t="shared" si="127"/>
        <v>35855.280782834321</v>
      </c>
      <c r="AB45" s="1114">
        <f t="shared" si="128"/>
        <v>53211</v>
      </c>
      <c r="AC45" s="1172">
        <v>7303.2388624922933</v>
      </c>
      <c r="AD45" s="139">
        <v>8561</v>
      </c>
      <c r="AE45" s="1173">
        <f t="shared" si="129"/>
        <v>43158.519645326611</v>
      </c>
      <c r="AF45" s="1174">
        <f t="shared" si="130"/>
        <v>61772</v>
      </c>
      <c r="AG45" s="1172">
        <v>7166.4468974925312</v>
      </c>
      <c r="AH45" s="139">
        <v>9960</v>
      </c>
      <c r="AI45" s="1173">
        <f t="shared" si="131"/>
        <v>50324.966542819144</v>
      </c>
      <c r="AJ45" s="1174">
        <f t="shared" si="132"/>
        <v>71732</v>
      </c>
      <c r="AK45" s="1172">
        <v>7379.4388624922931</v>
      </c>
      <c r="AL45" s="139">
        <v>8376</v>
      </c>
      <c r="AM45" s="1175">
        <f t="shared" si="114"/>
        <v>21849.124622477117</v>
      </c>
      <c r="AN45" s="1175">
        <f t="shared" si="115"/>
        <v>26897</v>
      </c>
      <c r="AO45" s="1173">
        <f t="shared" si="133"/>
        <v>57704.405405311438</v>
      </c>
      <c r="AP45" s="1173">
        <f t="shared" si="134"/>
        <v>80108</v>
      </c>
      <c r="AQ45" s="1172">
        <v>7409.7348449921737</v>
      </c>
      <c r="AR45" s="139">
        <v>8333</v>
      </c>
      <c r="AS45" s="1173">
        <f t="shared" si="135"/>
        <v>65114.140250303608</v>
      </c>
      <c r="AT45" s="1174">
        <f t="shared" si="136"/>
        <v>88441</v>
      </c>
      <c r="AU45" s="1172">
        <v>6664.2629674930049</v>
      </c>
      <c r="AV45" s="139">
        <v>6751</v>
      </c>
      <c r="AW45" s="1173">
        <f t="shared" si="137"/>
        <v>71778.403217796615</v>
      </c>
      <c r="AX45" s="1174">
        <f t="shared" si="138"/>
        <v>95192</v>
      </c>
      <c r="AY45" s="1172">
        <v>7409.7348449921737</v>
      </c>
      <c r="AZ45" s="139">
        <v>7179</v>
      </c>
      <c r="BA45" s="1175">
        <f t="shared" si="117"/>
        <v>21483.732657477354</v>
      </c>
      <c r="BB45" s="1175">
        <f t="shared" si="118"/>
        <v>22263</v>
      </c>
      <c r="BC45" s="1114">
        <f t="shared" si="119"/>
        <v>43332.857279954471</v>
      </c>
      <c r="BD45" s="1114">
        <f t="shared" si="120"/>
        <v>49160</v>
      </c>
      <c r="BE45" s="1173">
        <f t="shared" si="139"/>
        <v>79188.138062788785</v>
      </c>
      <c r="BF45" s="1173">
        <f t="shared" si="140"/>
        <v>102371</v>
      </c>
      <c r="BG45" s="23"/>
      <c r="BH45" s="23"/>
      <c r="BI45" s="23"/>
      <c r="BJ45" s="23"/>
      <c r="BK45" s="23"/>
      <c r="BL45" s="23"/>
    </row>
    <row r="46" spans="2:65" x14ac:dyDescent="0.3">
      <c r="B46" s="1171" t="s">
        <v>67</v>
      </c>
      <c r="C46" s="60" t="s">
        <v>50</v>
      </c>
      <c r="D46" s="1094">
        <v>336550.90951532446</v>
      </c>
      <c r="E46" s="1172">
        <v>23334.196393062495</v>
      </c>
      <c r="F46" s="139">
        <v>28280.639999999999</v>
      </c>
      <c r="G46" s="1172">
        <v>20978.340026455222</v>
      </c>
      <c r="H46" s="139">
        <v>12367.44</v>
      </c>
      <c r="I46" s="1173">
        <f t="shared" si="121"/>
        <v>44312.536419517717</v>
      </c>
      <c r="J46" s="1173">
        <f t="shared" si="122"/>
        <v>40648.080000000002</v>
      </c>
      <c r="K46" s="1172">
        <v>33497.229436972579</v>
      </c>
      <c r="L46" s="139">
        <v>30101.920000000002</v>
      </c>
      <c r="M46" s="1175">
        <f t="shared" si="110"/>
        <v>77809.765856490296</v>
      </c>
      <c r="N46" s="1175">
        <f t="shared" si="111"/>
        <v>70750</v>
      </c>
      <c r="O46" s="1172">
        <v>33874.577406460347</v>
      </c>
      <c r="P46" s="139">
        <v>31836.799999999999</v>
      </c>
      <c r="Q46" s="1173">
        <f t="shared" si="123"/>
        <v>111684.34326295064</v>
      </c>
      <c r="R46" s="1173">
        <f t="shared" si="124"/>
        <v>102586.8</v>
      </c>
      <c r="S46" s="1172">
        <v>33874.577406460347</v>
      </c>
      <c r="T46" s="139">
        <v>30654.32</v>
      </c>
      <c r="U46" s="1173">
        <f t="shared" si="125"/>
        <v>145558.92066941099</v>
      </c>
      <c r="V46" s="1173">
        <f t="shared" si="126"/>
        <v>133241.12</v>
      </c>
      <c r="W46" s="1172">
        <v>18689.571909429207</v>
      </c>
      <c r="X46" s="139">
        <v>29982.720000000001</v>
      </c>
      <c r="Y46" s="1175">
        <f t="shared" si="112"/>
        <v>86438.726722349908</v>
      </c>
      <c r="Z46" s="1175">
        <f t="shared" si="113"/>
        <v>92473.84</v>
      </c>
      <c r="AA46" s="1114">
        <f t="shared" si="127"/>
        <v>164248.4925788402</v>
      </c>
      <c r="AB46" s="1114">
        <f t="shared" si="128"/>
        <v>163223.84</v>
      </c>
      <c r="AC46" s="1172">
        <v>34503.490688939957</v>
      </c>
      <c r="AD46" s="139">
        <v>24115.84</v>
      </c>
      <c r="AE46" s="1173">
        <f t="shared" si="129"/>
        <v>198751.98326778016</v>
      </c>
      <c r="AF46" s="1173">
        <f t="shared" si="130"/>
        <v>187339.68</v>
      </c>
      <c r="AG46" s="1172">
        <v>33857.229436972579</v>
      </c>
      <c r="AH46" s="139">
        <v>29296.48</v>
      </c>
      <c r="AI46" s="1173">
        <f t="shared" si="131"/>
        <v>232609.21270475275</v>
      </c>
      <c r="AJ46" s="1173">
        <f t="shared" si="132"/>
        <v>216636.16</v>
      </c>
      <c r="AK46" s="1172">
        <v>34863.490688939957</v>
      </c>
      <c r="AL46" s="139">
        <v>28857.040000000001</v>
      </c>
      <c r="AM46" s="1175">
        <f t="shared" si="114"/>
        <v>103224.2108148525</v>
      </c>
      <c r="AN46" s="1175">
        <f t="shared" si="115"/>
        <v>82269.36</v>
      </c>
      <c r="AO46" s="1173">
        <f t="shared" si="133"/>
        <v>267472.70339369273</v>
      </c>
      <c r="AP46" s="1173">
        <f t="shared" si="134"/>
        <v>245493.2</v>
      </c>
      <c r="AQ46" s="1172">
        <v>35006.62131492365</v>
      </c>
      <c r="AR46" s="139">
        <v>29326.400000000001</v>
      </c>
      <c r="AS46" s="1173">
        <f t="shared" si="135"/>
        <v>302479.32470861636</v>
      </c>
      <c r="AT46" s="1173">
        <f t="shared" si="136"/>
        <v>274819.60000000003</v>
      </c>
      <c r="AU46" s="1172">
        <v>31484.706933037811</v>
      </c>
      <c r="AV46" s="139">
        <v>25187.68</v>
      </c>
      <c r="AW46" s="1173">
        <f t="shared" si="137"/>
        <v>333964.03164165415</v>
      </c>
      <c r="AX46" s="1173">
        <f t="shared" si="138"/>
        <v>300007.28000000003</v>
      </c>
      <c r="AY46" s="1172">
        <v>35006.62131492365</v>
      </c>
      <c r="AZ46" s="139">
        <v>30386.240000000002</v>
      </c>
      <c r="BA46" s="1175">
        <f t="shared" si="117"/>
        <v>101497.9495628851</v>
      </c>
      <c r="BB46" s="1175">
        <f t="shared" si="118"/>
        <v>84900.32</v>
      </c>
      <c r="BC46" s="1114">
        <f t="shared" si="119"/>
        <v>204722.1603777376</v>
      </c>
      <c r="BD46" s="1114">
        <f t="shared" si="120"/>
        <v>167169.68</v>
      </c>
      <c r="BE46" s="1173">
        <f t="shared" si="139"/>
        <v>368970.65295657777</v>
      </c>
      <c r="BF46" s="1173">
        <f t="shared" si="140"/>
        <v>330393.52</v>
      </c>
      <c r="BG46" s="23"/>
      <c r="BH46" s="23"/>
      <c r="BI46" s="23"/>
      <c r="BJ46" s="23"/>
      <c r="BK46" s="23"/>
      <c r="BL46" s="23"/>
    </row>
    <row r="47" spans="2:65" x14ac:dyDescent="0.3">
      <c r="B47" s="1171" t="s">
        <v>97</v>
      </c>
      <c r="C47" s="60" t="s">
        <v>50</v>
      </c>
      <c r="D47" s="1094">
        <v>631032.95534123341</v>
      </c>
      <c r="E47" s="1172">
        <v>43751.618236992181</v>
      </c>
      <c r="F47" s="1172">
        <v>69891</v>
      </c>
      <c r="G47" s="1172">
        <v>39334.387549603547</v>
      </c>
      <c r="H47" s="1172">
        <v>24989</v>
      </c>
      <c r="I47" s="1173">
        <f t="shared" si="121"/>
        <v>83086.005786595721</v>
      </c>
      <c r="J47" s="1173">
        <f t="shared" si="122"/>
        <v>94880</v>
      </c>
      <c r="K47" s="1172">
        <v>55828.715728287636</v>
      </c>
      <c r="L47" s="1172">
        <v>80586</v>
      </c>
      <c r="M47" s="1175">
        <f t="shared" si="110"/>
        <v>138914.72151488336</v>
      </c>
      <c r="N47" s="1175">
        <f t="shared" si="111"/>
        <v>175466</v>
      </c>
      <c r="O47" s="1172">
        <v>56457.629010767239</v>
      </c>
      <c r="P47" s="1172">
        <v>75199</v>
      </c>
      <c r="Q47" s="1173">
        <f t="shared" si="123"/>
        <v>195372.3505256506</v>
      </c>
      <c r="R47" s="1173">
        <f t="shared" si="124"/>
        <v>250665</v>
      </c>
      <c r="S47" s="1172">
        <v>56457.629010767239</v>
      </c>
      <c r="T47" s="1172">
        <v>57997</v>
      </c>
      <c r="U47" s="1173">
        <f t="shared" si="125"/>
        <v>251829.97953641784</v>
      </c>
      <c r="V47" s="1173">
        <f t="shared" si="126"/>
        <v>308662</v>
      </c>
      <c r="W47" s="1172">
        <v>31149.28651571535</v>
      </c>
      <c r="X47" s="1172">
        <v>61535</v>
      </c>
      <c r="Y47" s="1175">
        <f t="shared" si="112"/>
        <v>144064.54453724984</v>
      </c>
      <c r="Z47" s="1175">
        <f t="shared" si="113"/>
        <v>194731</v>
      </c>
      <c r="AA47" s="1114">
        <f t="shared" si="127"/>
        <v>282979.26605213317</v>
      </c>
      <c r="AB47" s="1114">
        <f t="shared" si="128"/>
        <v>370197</v>
      </c>
      <c r="AC47" s="1172">
        <v>57505.817814899936</v>
      </c>
      <c r="AD47" s="1172">
        <v>44951</v>
      </c>
      <c r="AE47" s="1173">
        <f t="shared" si="129"/>
        <v>340485.08386703313</v>
      </c>
      <c r="AF47" s="1174">
        <f t="shared" si="130"/>
        <v>415148</v>
      </c>
      <c r="AG47" s="1172">
        <v>56428.715728287636</v>
      </c>
      <c r="AH47" s="1172">
        <v>54117</v>
      </c>
      <c r="AI47" s="1173">
        <f t="shared" si="131"/>
        <v>396913.79959532077</v>
      </c>
      <c r="AJ47" s="1174">
        <f t="shared" si="132"/>
        <v>469265</v>
      </c>
      <c r="AK47" s="1172">
        <v>58105.817814899936</v>
      </c>
      <c r="AL47" s="1172">
        <v>52676</v>
      </c>
      <c r="AM47" s="1175">
        <f t="shared" si="114"/>
        <v>172040.3513580875</v>
      </c>
      <c r="AN47" s="1175">
        <f t="shared" si="115"/>
        <v>151744</v>
      </c>
      <c r="AO47" s="1173">
        <f t="shared" si="133"/>
        <v>455019.61741022073</v>
      </c>
      <c r="AP47" s="1173">
        <f t="shared" si="134"/>
        <v>521941</v>
      </c>
      <c r="AQ47" s="1172">
        <v>58344.368858206079</v>
      </c>
      <c r="AR47" s="1172">
        <v>59609</v>
      </c>
      <c r="AS47" s="1173">
        <f t="shared" si="135"/>
        <v>513363.98626842682</v>
      </c>
      <c r="AT47" s="1174">
        <f t="shared" si="136"/>
        <v>581550</v>
      </c>
      <c r="AU47" s="1172">
        <v>52474.511555063014</v>
      </c>
      <c r="AV47" s="1172">
        <v>60065</v>
      </c>
      <c r="AW47" s="1173">
        <f t="shared" si="137"/>
        <v>565838.49782348983</v>
      </c>
      <c r="AX47" s="1174">
        <f t="shared" si="138"/>
        <v>641615</v>
      </c>
      <c r="AY47" s="1172">
        <v>58344.368858206079</v>
      </c>
      <c r="AZ47" s="1172">
        <v>65994</v>
      </c>
      <c r="BA47" s="1175">
        <f t="shared" si="117"/>
        <v>169163.24927147519</v>
      </c>
      <c r="BB47" s="1175">
        <f t="shared" si="118"/>
        <v>185668</v>
      </c>
      <c r="BC47" s="1114">
        <f t="shared" si="119"/>
        <v>341203.60062956269</v>
      </c>
      <c r="BD47" s="1114">
        <f t="shared" si="120"/>
        <v>337412</v>
      </c>
      <c r="BE47" s="1173">
        <f t="shared" si="139"/>
        <v>624182.86668169592</v>
      </c>
      <c r="BF47" s="1173">
        <f t="shared" si="140"/>
        <v>707609</v>
      </c>
      <c r="BG47" s="23"/>
      <c r="BH47" s="23"/>
      <c r="BI47" s="23"/>
      <c r="BJ47" s="23"/>
      <c r="BK47" s="23"/>
      <c r="BL47" s="23"/>
    </row>
    <row r="48" spans="2:65" x14ac:dyDescent="0.3">
      <c r="B48" s="1171" t="s">
        <v>652</v>
      </c>
      <c r="C48" s="60" t="s">
        <v>50</v>
      </c>
      <c r="D48" s="1094">
        <v>12620.659106824667</v>
      </c>
      <c r="E48" s="1172">
        <v>875.03236473984362</v>
      </c>
      <c r="F48" s="1172">
        <v>0</v>
      </c>
      <c r="G48" s="1172">
        <v>786.68775099207085</v>
      </c>
      <c r="H48" s="1172"/>
      <c r="I48" s="1173">
        <f t="shared" si="121"/>
        <v>1661.7201157319146</v>
      </c>
      <c r="J48" s="1173">
        <f t="shared" si="122"/>
        <v>0</v>
      </c>
      <c r="K48" s="1172">
        <v>2605.3400673200899</v>
      </c>
      <c r="L48" s="1172">
        <v>800</v>
      </c>
      <c r="M48" s="1175">
        <f t="shared" si="110"/>
        <v>4267.0601830520045</v>
      </c>
      <c r="N48" s="1175">
        <f t="shared" si="111"/>
        <v>800</v>
      </c>
      <c r="O48" s="1172">
        <v>2634.6893538358045</v>
      </c>
      <c r="P48" s="1172">
        <v>0</v>
      </c>
      <c r="Q48" s="1173">
        <f t="shared" si="123"/>
        <v>6901.749536887809</v>
      </c>
      <c r="R48" s="1173">
        <f t="shared" si="124"/>
        <v>800</v>
      </c>
      <c r="S48" s="1172">
        <v>2634.6893538358045</v>
      </c>
      <c r="T48" s="1172">
        <v>750</v>
      </c>
      <c r="U48" s="1173">
        <f t="shared" si="125"/>
        <v>9536.4388907236134</v>
      </c>
      <c r="V48" s="1173">
        <f t="shared" si="126"/>
        <v>1550</v>
      </c>
      <c r="W48" s="1172">
        <v>1453.6333707333829</v>
      </c>
      <c r="X48" s="1172">
        <v>0</v>
      </c>
      <c r="Y48" s="1175">
        <f t="shared" si="112"/>
        <v>6723.0120784049923</v>
      </c>
      <c r="Z48" s="1175">
        <f t="shared" si="113"/>
        <v>750</v>
      </c>
      <c r="AA48" s="1114">
        <f t="shared" si="127"/>
        <v>10990.072261456997</v>
      </c>
      <c r="AB48" s="1114">
        <f t="shared" si="128"/>
        <v>1550</v>
      </c>
      <c r="AC48" s="1172">
        <v>2683.6048313619967</v>
      </c>
      <c r="AD48" s="1172">
        <v>0</v>
      </c>
      <c r="AE48" s="1173">
        <f t="shared" si="129"/>
        <v>13673.677092818994</v>
      </c>
      <c r="AF48" s="1174">
        <f t="shared" si="130"/>
        <v>1550</v>
      </c>
      <c r="AG48" s="1172">
        <v>2633.3400673200899</v>
      </c>
      <c r="AH48" s="1172">
        <v>2500</v>
      </c>
      <c r="AI48" s="1173">
        <f t="shared" si="131"/>
        <v>16307.017160139085</v>
      </c>
      <c r="AJ48" s="1174">
        <f t="shared" si="132"/>
        <v>4050</v>
      </c>
      <c r="AK48" s="1172">
        <v>2711.6048313619967</v>
      </c>
      <c r="AL48" s="1172">
        <v>0</v>
      </c>
      <c r="AM48" s="1175">
        <f t="shared" si="114"/>
        <v>8028.5497300440829</v>
      </c>
      <c r="AN48" s="1175">
        <f t="shared" si="115"/>
        <v>2500</v>
      </c>
      <c r="AO48" s="1173">
        <f t="shared" si="133"/>
        <v>19018.621991501081</v>
      </c>
      <c r="AP48" s="1173">
        <f t="shared" si="134"/>
        <v>4050</v>
      </c>
      <c r="AQ48" s="1172">
        <v>2722.7372133829504</v>
      </c>
      <c r="AR48" s="1172">
        <v>2000</v>
      </c>
      <c r="AS48" s="1173">
        <f t="shared" si="135"/>
        <v>21741.359204884029</v>
      </c>
      <c r="AT48" s="1174">
        <f t="shared" si="136"/>
        <v>6050</v>
      </c>
      <c r="AU48" s="1172">
        <v>2448.8105392362741</v>
      </c>
      <c r="AV48" s="1172">
        <v>0</v>
      </c>
      <c r="AW48" s="1173">
        <f t="shared" si="137"/>
        <v>24190.169744120303</v>
      </c>
      <c r="AX48" s="1174">
        <f t="shared" si="138"/>
        <v>6050</v>
      </c>
      <c r="AY48" s="1172">
        <v>2722.7372133829504</v>
      </c>
      <c r="AZ48" s="1172">
        <v>0</v>
      </c>
      <c r="BA48" s="1175">
        <f t="shared" si="117"/>
        <v>7894.2849660021748</v>
      </c>
      <c r="BB48" s="1175">
        <f t="shared" si="118"/>
        <v>2000</v>
      </c>
      <c r="BC48" s="1114">
        <f t="shared" si="119"/>
        <v>15922.834696046259</v>
      </c>
      <c r="BD48" s="1114">
        <f t="shared" si="120"/>
        <v>4500</v>
      </c>
      <c r="BE48" s="1173">
        <f t="shared" si="139"/>
        <v>26912.906957503255</v>
      </c>
      <c r="BF48" s="1173">
        <f t="shared" si="140"/>
        <v>6050</v>
      </c>
      <c r="BG48" s="23"/>
      <c r="BH48" s="23"/>
      <c r="BI48" s="23"/>
      <c r="BJ48" s="23"/>
      <c r="BK48" s="23"/>
      <c r="BL48" s="23"/>
    </row>
    <row r="49" spans="2:64" x14ac:dyDescent="0.3">
      <c r="B49" s="2442" t="s">
        <v>1772</v>
      </c>
      <c r="C49" s="2892" t="s">
        <v>50</v>
      </c>
      <c r="D49" s="2348">
        <v>25241.318213649334</v>
      </c>
      <c r="E49" s="2443">
        <v>1750.0647294796872</v>
      </c>
      <c r="F49" s="2443">
        <v>520</v>
      </c>
      <c r="G49" s="2443">
        <v>1573.3755019841417</v>
      </c>
      <c r="H49" s="2443"/>
      <c r="I49" s="1173">
        <f t="shared" ref="I49" si="141">+E49+G49</f>
        <v>3323.4402314638292</v>
      </c>
      <c r="J49" s="1173">
        <f t="shared" ref="J49" si="142">+F49+H49</f>
        <v>520</v>
      </c>
      <c r="K49" s="2443">
        <v>2233.1486291315055</v>
      </c>
      <c r="L49" s="2443">
        <v>687</v>
      </c>
      <c r="M49" s="1175">
        <f t="shared" ref="M49" si="143">+K49+G49+E49</f>
        <v>5556.5888605953342</v>
      </c>
      <c r="N49" s="1175">
        <f t="shared" ref="N49" si="144">+L49+H49+F49</f>
        <v>1207</v>
      </c>
      <c r="O49" s="2443">
        <v>2258.3051604306893</v>
      </c>
      <c r="P49" s="2443">
        <v>341</v>
      </c>
      <c r="Q49" s="1173">
        <f t="shared" ref="Q49" si="145">+M49+O49</f>
        <v>7814.8940210260234</v>
      </c>
      <c r="R49" s="1173">
        <f t="shared" ref="R49" si="146">+N49+P49</f>
        <v>1548</v>
      </c>
      <c r="S49" s="2443">
        <v>2258.3051604306893</v>
      </c>
      <c r="T49" s="2443">
        <v>766</v>
      </c>
      <c r="U49" s="1173">
        <f t="shared" ref="U49" si="147">+Q49+S49</f>
        <v>10073.199181456712</v>
      </c>
      <c r="V49" s="1173">
        <f t="shared" ref="V49" si="148">+R49+T49</f>
        <v>2314</v>
      </c>
      <c r="W49" s="2443">
        <v>1245.9714606286138</v>
      </c>
      <c r="X49" s="2443">
        <v>423</v>
      </c>
      <c r="Y49" s="1175">
        <f t="shared" ref="Y49" si="149">+O49+S49+W49</f>
        <v>5762.5817814899929</v>
      </c>
      <c r="Z49" s="1175">
        <f t="shared" ref="Z49" si="150">+P49+T49+X49</f>
        <v>1530</v>
      </c>
      <c r="AA49" s="1114">
        <f t="shared" ref="AA49" si="151">M49+Y49</f>
        <v>11319.170642085326</v>
      </c>
      <c r="AB49" s="1114">
        <f t="shared" ref="AB49" si="152">N49+Z49</f>
        <v>2737</v>
      </c>
      <c r="AC49" s="2443">
        <v>2300.2327125959973</v>
      </c>
      <c r="AD49" s="2443">
        <v>464</v>
      </c>
      <c r="AE49" s="1173">
        <f t="shared" ref="AE49:AE50" si="153">+AA49+AC49</f>
        <v>13619.403354681323</v>
      </c>
      <c r="AF49" s="1173">
        <f t="shared" ref="AF49:AF50" si="154">+AB49+AD49</f>
        <v>3201</v>
      </c>
      <c r="AG49" s="2443">
        <v>2257.1486291315055</v>
      </c>
      <c r="AH49" s="2443">
        <v>305</v>
      </c>
      <c r="AI49" s="1173">
        <f t="shared" si="131"/>
        <v>15876.551983812828</v>
      </c>
      <c r="AJ49" s="1173">
        <f t="shared" si="132"/>
        <v>3506</v>
      </c>
      <c r="AK49" s="2443">
        <v>2324.2327125959973</v>
      </c>
      <c r="AL49" s="2443">
        <v>771</v>
      </c>
      <c r="AM49" s="2445">
        <f t="shared" si="114"/>
        <v>6881.6140543235006</v>
      </c>
      <c r="AN49" s="1175">
        <f t="shared" si="115"/>
        <v>1540</v>
      </c>
      <c r="AO49" s="2444">
        <f t="shared" si="133"/>
        <v>18200.784696408824</v>
      </c>
      <c r="AP49" s="1173">
        <f t="shared" si="134"/>
        <v>4277</v>
      </c>
      <c r="AQ49" s="2443">
        <v>2333.7747543282435</v>
      </c>
      <c r="AR49" s="2443">
        <v>1464</v>
      </c>
      <c r="AS49" s="1173">
        <f t="shared" ref="AS49" si="155">+AO49+AQ49</f>
        <v>20534.559450737066</v>
      </c>
      <c r="AT49" s="1173">
        <f t="shared" ref="AT49" si="156">+AP49+AR49</f>
        <v>5741</v>
      </c>
      <c r="AU49" s="2443">
        <v>2098.9804622025204</v>
      </c>
      <c r="AV49" s="2443">
        <v>989</v>
      </c>
      <c r="AW49" s="1173">
        <f t="shared" si="137"/>
        <v>22633.539912939588</v>
      </c>
      <c r="AX49" s="1173">
        <f t="shared" si="138"/>
        <v>6730</v>
      </c>
      <c r="AY49" s="2443">
        <v>2333.7747543282435</v>
      </c>
      <c r="AZ49" s="2443">
        <v>840</v>
      </c>
      <c r="BA49" s="1175">
        <f t="shared" ref="BA49" si="157">+AQ49+AU49+AY49</f>
        <v>6766.5299708590082</v>
      </c>
      <c r="BB49" s="1175">
        <f t="shared" ref="BB49" si="158">+AR49+AV49+AZ49</f>
        <v>3293</v>
      </c>
      <c r="BC49" s="1114">
        <f t="shared" ref="BC49" si="159">AM49+BA49</f>
        <v>13648.144025182508</v>
      </c>
      <c r="BD49" s="1114">
        <f t="shared" ref="BD49" si="160">AN49+BB49</f>
        <v>4833</v>
      </c>
      <c r="BE49" s="1173">
        <f t="shared" ref="BE49" si="161">+AW49+AY49</f>
        <v>24967.31466726783</v>
      </c>
      <c r="BF49" s="1173">
        <f t="shared" ref="BF49" si="162">+AX49+AZ49</f>
        <v>7570</v>
      </c>
      <c r="BG49" s="23"/>
      <c r="BH49" s="23"/>
      <c r="BI49" s="23"/>
      <c r="BJ49" s="23"/>
      <c r="BK49" s="23"/>
      <c r="BL49" s="23"/>
    </row>
    <row r="50" spans="2:64" x14ac:dyDescent="0.3">
      <c r="B50" s="1171" t="s">
        <v>68</v>
      </c>
      <c r="C50" s="60" t="s">
        <v>50</v>
      </c>
      <c r="D50" s="1094">
        <v>315516.4776706167</v>
      </c>
      <c r="E50" s="2443">
        <v>21875.80911849609</v>
      </c>
      <c r="F50" s="1172">
        <v>14140.32</v>
      </c>
      <c r="G50" s="2443">
        <v>19667.193774801774</v>
      </c>
      <c r="H50" s="1172">
        <v>6183.72</v>
      </c>
      <c r="I50" s="1173">
        <f t="shared" si="121"/>
        <v>41543.00289329786</v>
      </c>
      <c r="J50" s="1173">
        <f t="shared" si="122"/>
        <v>20324.04</v>
      </c>
      <c r="K50" s="1172">
        <v>14887.65752754337</v>
      </c>
      <c r="L50" s="1172">
        <v>15050.960000000001</v>
      </c>
      <c r="M50" s="1175">
        <f t="shared" si="110"/>
        <v>56430.660420841232</v>
      </c>
      <c r="N50" s="1175">
        <f t="shared" si="111"/>
        <v>35375</v>
      </c>
      <c r="O50" s="1172">
        <v>15055.367736204598</v>
      </c>
      <c r="P50" s="1172">
        <v>15918.4</v>
      </c>
      <c r="Q50" s="1173">
        <f t="shared" si="123"/>
        <v>71486.028157045832</v>
      </c>
      <c r="R50" s="1173">
        <f t="shared" si="124"/>
        <v>51293.4</v>
      </c>
      <c r="S50" s="1172">
        <v>15055.367736204598</v>
      </c>
      <c r="T50" s="1172">
        <v>15327.16</v>
      </c>
      <c r="U50" s="1173">
        <f t="shared" si="125"/>
        <v>86541.395893250432</v>
      </c>
      <c r="V50" s="1173">
        <f t="shared" si="126"/>
        <v>66620.56</v>
      </c>
      <c r="W50" s="1172">
        <v>8306.4764041907601</v>
      </c>
      <c r="X50" s="1172">
        <v>14991.36</v>
      </c>
      <c r="Y50" s="1175">
        <f t="shared" si="112"/>
        <v>38417.211876599955</v>
      </c>
      <c r="Z50" s="1175">
        <f t="shared" si="113"/>
        <v>46236.92</v>
      </c>
      <c r="AA50" s="1114">
        <f t="shared" si="127"/>
        <v>94847.872297441179</v>
      </c>
      <c r="AB50" s="1114">
        <f t="shared" si="128"/>
        <v>81611.92</v>
      </c>
      <c r="AC50" s="1172">
        <v>15334.884750639983</v>
      </c>
      <c r="AD50" s="1172">
        <v>12057.92</v>
      </c>
      <c r="AE50" s="1173">
        <f t="shared" si="153"/>
        <v>110182.75704808117</v>
      </c>
      <c r="AF50" s="1173">
        <f t="shared" si="154"/>
        <v>93669.84</v>
      </c>
      <c r="AG50" s="1172">
        <v>15047.65752754337</v>
      </c>
      <c r="AH50" s="1172">
        <v>14648.24</v>
      </c>
      <c r="AI50" s="1173">
        <f t="shared" si="131"/>
        <v>125230.41457562454</v>
      </c>
      <c r="AJ50" s="1173">
        <f t="shared" si="132"/>
        <v>108318.08</v>
      </c>
      <c r="AK50" s="1172">
        <v>15494.884750639983</v>
      </c>
      <c r="AL50" s="1172">
        <v>14428.52</v>
      </c>
      <c r="AM50" s="1175">
        <f t="shared" si="114"/>
        <v>45877.427028823338</v>
      </c>
      <c r="AN50" s="1175">
        <f t="shared" si="115"/>
        <v>41134.68</v>
      </c>
      <c r="AO50" s="1173">
        <f t="shared" si="133"/>
        <v>140725.29932626453</v>
      </c>
      <c r="AP50" s="1173">
        <f t="shared" si="134"/>
        <v>122746.6</v>
      </c>
      <c r="AQ50" s="1172">
        <v>15558.498362188288</v>
      </c>
      <c r="AR50" s="1172">
        <v>14663.2</v>
      </c>
      <c r="AS50" s="1173">
        <f t="shared" si="135"/>
        <v>156283.79768845282</v>
      </c>
      <c r="AT50" s="1173">
        <f t="shared" si="136"/>
        <v>137409.80000000002</v>
      </c>
      <c r="AU50" s="2443">
        <v>13993.203081350139</v>
      </c>
      <c r="AV50" s="1172">
        <v>12593.84</v>
      </c>
      <c r="AW50" s="1173">
        <f t="shared" si="137"/>
        <v>170277.00076980295</v>
      </c>
      <c r="AX50" s="1173">
        <f t="shared" si="138"/>
        <v>150003.64000000001</v>
      </c>
      <c r="AY50" s="2443">
        <v>15558.498362188288</v>
      </c>
      <c r="AZ50" s="1172">
        <v>15193.12</v>
      </c>
      <c r="BA50" s="1175">
        <f t="shared" si="117"/>
        <v>45110.199805726712</v>
      </c>
      <c r="BB50" s="1175">
        <f t="shared" si="118"/>
        <v>42450.16</v>
      </c>
      <c r="BC50" s="1114">
        <f t="shared" si="119"/>
        <v>90987.626834550058</v>
      </c>
      <c r="BD50" s="1114">
        <f t="shared" si="120"/>
        <v>83584.84</v>
      </c>
      <c r="BE50" s="1173">
        <f t="shared" si="139"/>
        <v>185835.49913199124</v>
      </c>
      <c r="BF50" s="1173">
        <f t="shared" si="140"/>
        <v>165196.76</v>
      </c>
      <c r="BG50" s="23"/>
      <c r="BH50" s="23"/>
      <c r="BI50" s="23"/>
      <c r="BJ50" s="23"/>
      <c r="BK50" s="23"/>
      <c r="BL50" s="23"/>
    </row>
    <row r="51" spans="2:64" ht="15.6" x14ac:dyDescent="0.3">
      <c r="B51" s="1177" t="s">
        <v>21</v>
      </c>
      <c r="C51" s="1178" t="s">
        <v>50</v>
      </c>
      <c r="D51" s="187">
        <f t="shared" ref="D51:R51" si="163">SUM(D41:D50)</f>
        <v>6592088.4654646618</v>
      </c>
      <c r="E51" s="1179">
        <f t="shared" ref="E51:F51" si="164">SUM(E41:E50)</f>
        <v>457051.46693888312</v>
      </c>
      <c r="F51" s="1179">
        <f t="shared" si="164"/>
        <v>567900.96</v>
      </c>
      <c r="G51" s="1179">
        <f t="shared" ref="G51:H51" si="165">SUM(G41:G50)</f>
        <v>410906.84768063063</v>
      </c>
      <c r="H51" s="1179">
        <f t="shared" si="165"/>
        <v>241720.16</v>
      </c>
      <c r="I51" s="1180">
        <f t="shared" si="163"/>
        <v>867958.31461951381</v>
      </c>
      <c r="J51" s="1180">
        <f t="shared" si="163"/>
        <v>809621.12</v>
      </c>
      <c r="K51" s="1179">
        <f t="shared" ref="K51:L51" si="166">SUM(K41:K50)</f>
        <v>572024.23854440509</v>
      </c>
      <c r="L51" s="1179">
        <f t="shared" si="166"/>
        <v>594495.87999999989</v>
      </c>
      <c r="M51" s="1182">
        <f t="shared" si="163"/>
        <v>1439982.5531639191</v>
      </c>
      <c r="N51" s="1182">
        <f t="shared" si="163"/>
        <v>1404117</v>
      </c>
      <c r="O51" s="1179">
        <f t="shared" ref="O51:P51" si="167">SUM(O41:O50)</f>
        <v>578509.35771417245</v>
      </c>
      <c r="P51" s="1179">
        <f t="shared" si="167"/>
        <v>628533.20000000007</v>
      </c>
      <c r="Q51" s="1180">
        <f t="shared" si="163"/>
        <v>2018491.9108780914</v>
      </c>
      <c r="R51" s="1180">
        <f t="shared" si="163"/>
        <v>2032650.2</v>
      </c>
      <c r="S51" s="1179">
        <f t="shared" ref="S51:T51" si="168">SUM(S41:S50)</f>
        <v>578509.35771417245</v>
      </c>
      <c r="T51" s="1179">
        <f t="shared" si="168"/>
        <v>592467.4800000001</v>
      </c>
      <c r="U51" s="1180">
        <f t="shared" ref="U51:X51" si="169">SUM(U41:U50)</f>
        <v>2597001.2685922636</v>
      </c>
      <c r="V51" s="1180">
        <f t="shared" si="169"/>
        <v>2625117.6800000002</v>
      </c>
      <c r="W51" s="1179">
        <f t="shared" si="169"/>
        <v>319003.43155951163</v>
      </c>
      <c r="X51" s="1179">
        <f t="shared" si="169"/>
        <v>580182.07999999996</v>
      </c>
      <c r="Y51" s="1182">
        <f t="shared" ref="Y51:AD51" si="170">SUM(Y41:Y50)</f>
        <v>1476022.1469878561</v>
      </c>
      <c r="Z51" s="1182">
        <f t="shared" si="170"/>
        <v>1801182.76</v>
      </c>
      <c r="AA51" s="1183">
        <f t="shared" si="170"/>
        <v>2916004.700151775</v>
      </c>
      <c r="AB51" s="1183">
        <f t="shared" si="170"/>
        <v>3205299.76</v>
      </c>
      <c r="AC51" s="1179">
        <f t="shared" si="170"/>
        <v>589317.88966378476</v>
      </c>
      <c r="AD51" s="1179">
        <f t="shared" si="170"/>
        <v>476098.76</v>
      </c>
      <c r="AE51" s="1180">
        <f t="shared" ref="AE51:AH51" si="171">SUM(AE41:AE50)</f>
        <v>3505322.5898155598</v>
      </c>
      <c r="AF51" s="1180">
        <f t="shared" si="171"/>
        <v>3681398.52</v>
      </c>
      <c r="AG51" s="1179">
        <f t="shared" si="171"/>
        <v>577479.08420119493</v>
      </c>
      <c r="AH51" s="1179">
        <f t="shared" si="171"/>
        <v>570753.72</v>
      </c>
      <c r="AI51" s="1180">
        <f t="shared" ref="AI51:AL51" si="172">SUM(AI41:AI50)</f>
        <v>4082801.6740167546</v>
      </c>
      <c r="AJ51" s="1180">
        <f t="shared" si="172"/>
        <v>4252152.24</v>
      </c>
      <c r="AK51" s="1179">
        <f t="shared" si="172"/>
        <v>594772.73532057449</v>
      </c>
      <c r="AL51" s="1179">
        <f t="shared" si="172"/>
        <v>562411.56000000006</v>
      </c>
      <c r="AM51" s="1182">
        <f t="shared" ref="AM51:AN51" si="173">SUM(AM41:AM50)</f>
        <v>1761569.7091855542</v>
      </c>
      <c r="AN51" s="1182">
        <f t="shared" si="173"/>
        <v>1609264.04</v>
      </c>
      <c r="AO51" s="1180">
        <f t="shared" ref="AO51:AT51" si="174">SUM(AO41:AO50)</f>
        <v>4677574.4093373287</v>
      </c>
      <c r="AP51" s="1180">
        <f t="shared" si="174"/>
        <v>4814563.8</v>
      </c>
      <c r="AQ51" s="1179">
        <f t="shared" si="174"/>
        <v>597964.71522347443</v>
      </c>
      <c r="AR51" s="1179">
        <f t="shared" si="174"/>
        <v>582100.6</v>
      </c>
      <c r="AS51" s="1180">
        <f t="shared" si="174"/>
        <v>5275539.1245608041</v>
      </c>
      <c r="AT51" s="1180">
        <f t="shared" si="174"/>
        <v>5396664.3999999994</v>
      </c>
      <c r="AU51" s="1179">
        <f t="shared" ref="AU51:AX51" si="175">SUM(AU41:AU50)</f>
        <v>537436.93630564597</v>
      </c>
      <c r="AV51" s="1179">
        <f t="shared" si="175"/>
        <v>503725.4</v>
      </c>
      <c r="AW51" s="1180">
        <f t="shared" si="175"/>
        <v>5812976.06086645</v>
      </c>
      <c r="AX51" s="1180">
        <f t="shared" si="175"/>
        <v>5900389.7999999998</v>
      </c>
      <c r="AY51" s="1179">
        <f t="shared" ref="AY51:AZ51" si="176">SUM(AY41:AY50)</f>
        <v>597964.71522347443</v>
      </c>
      <c r="AZ51" s="1179">
        <f t="shared" si="176"/>
        <v>605465.36</v>
      </c>
      <c r="BA51" s="1182">
        <f t="shared" ref="BA51:BF51" si="177">SUM(BA41:BA50)</f>
        <v>1733366.3667525949</v>
      </c>
      <c r="BB51" s="1182">
        <f t="shared" si="177"/>
        <v>1691291.3599999999</v>
      </c>
      <c r="BC51" s="1183">
        <f t="shared" si="177"/>
        <v>3494936.0759381484</v>
      </c>
      <c r="BD51" s="1183">
        <f t="shared" si="177"/>
        <v>3300555.4</v>
      </c>
      <c r="BE51" s="1180">
        <f t="shared" si="177"/>
        <v>6410940.7760899263</v>
      </c>
      <c r="BF51" s="1180">
        <f t="shared" si="177"/>
        <v>6505855.1600000001</v>
      </c>
      <c r="BG51" s="23"/>
      <c r="BH51" s="23"/>
      <c r="BI51" s="23"/>
      <c r="BJ51" s="23"/>
      <c r="BK51" s="23"/>
      <c r="BL51" s="23"/>
    </row>
    <row r="52" spans="2:64" ht="17.399999999999999" x14ac:dyDescent="0.3">
      <c r="B52" s="1170" t="s">
        <v>892</v>
      </c>
      <c r="C52" s="1170"/>
      <c r="D52" s="227"/>
      <c r="E52" s="1170"/>
      <c r="F52" s="1170"/>
      <c r="G52" s="1170"/>
      <c r="H52" s="1170"/>
      <c r="I52" s="1170"/>
      <c r="J52" s="1170"/>
      <c r="K52" s="1170"/>
      <c r="L52" s="1170"/>
      <c r="M52" s="1170"/>
      <c r="N52" s="2222"/>
      <c r="O52" s="1170"/>
      <c r="P52" s="1170"/>
      <c r="Q52" s="1170"/>
      <c r="R52" s="1170"/>
      <c r="S52" s="1170"/>
      <c r="T52" s="1170"/>
      <c r="U52" s="1170"/>
      <c r="V52" s="1170"/>
      <c r="W52" s="1170"/>
      <c r="X52" s="1170"/>
      <c r="Y52" s="1170"/>
      <c r="Z52" s="1170"/>
      <c r="AA52" s="1170"/>
      <c r="AB52" s="1170"/>
      <c r="AC52" s="1170"/>
      <c r="AD52" s="1170"/>
      <c r="AE52" s="1170"/>
      <c r="AF52" s="1170"/>
      <c r="AG52" s="1170"/>
      <c r="AH52" s="1170"/>
      <c r="AI52" s="1170"/>
      <c r="AJ52" s="1170"/>
      <c r="AK52" s="1170"/>
      <c r="AL52" s="1170"/>
      <c r="AM52" s="1170"/>
      <c r="AN52" s="1170"/>
      <c r="AO52" s="1170"/>
      <c r="AP52" s="1170"/>
      <c r="AQ52" s="1170"/>
      <c r="AR52" s="1170"/>
      <c r="AS52" s="1170"/>
      <c r="AT52" s="1170"/>
      <c r="AU52" s="1170"/>
      <c r="AV52" s="1170"/>
      <c r="AW52" s="1170"/>
      <c r="AX52" s="1170"/>
      <c r="AY52" s="1170"/>
      <c r="AZ52" s="1170"/>
      <c r="BA52" s="1170"/>
      <c r="BB52" s="1170"/>
      <c r="BC52" s="1170"/>
      <c r="BD52" s="1170"/>
      <c r="BE52" s="1170"/>
      <c r="BF52" s="1170"/>
      <c r="BG52" s="23"/>
      <c r="BH52" s="23"/>
      <c r="BI52" s="23"/>
      <c r="BJ52" s="23"/>
      <c r="BK52" s="23"/>
      <c r="BL52" s="23"/>
    </row>
    <row r="53" spans="2:64" x14ac:dyDescent="0.3">
      <c r="B53" s="1171" t="s">
        <v>43</v>
      </c>
      <c r="C53" s="60" t="s">
        <v>217</v>
      </c>
      <c r="D53" s="1094">
        <f>+D38</f>
        <v>1188.6635380559389</v>
      </c>
      <c r="E53" s="1172">
        <f t="shared" ref="E53:H53" si="178">+E38</f>
        <v>1188.6635380559389</v>
      </c>
      <c r="F53" s="1172">
        <f t="shared" ref="F53:BF53" si="179">+F38</f>
        <v>1201.9727983525127</v>
      </c>
      <c r="G53" s="1172">
        <f t="shared" si="178"/>
        <v>1188.6635380559389</v>
      </c>
      <c r="H53" s="1172">
        <f t="shared" si="178"/>
        <v>1180.9331599749019</v>
      </c>
      <c r="I53" s="1173">
        <f t="shared" si="179"/>
        <v>1188.6635380559392</v>
      </c>
      <c r="J53" s="1173">
        <f t="shared" si="179"/>
        <v>1195.5713529396712</v>
      </c>
      <c r="K53" s="1172">
        <f t="shared" si="179"/>
        <v>1177.9256787576485</v>
      </c>
      <c r="L53" s="1172">
        <f t="shared" si="179"/>
        <v>1173.5331168244418</v>
      </c>
      <c r="M53" s="1175">
        <f t="shared" si="179"/>
        <v>1184.3480782705601</v>
      </c>
      <c r="N53" s="1175">
        <f t="shared" si="179"/>
        <v>1185.1725795053005</v>
      </c>
      <c r="O53" s="1172">
        <f t="shared" si="179"/>
        <v>1178.0352408390813</v>
      </c>
      <c r="P53" s="1172">
        <f t="shared" si="179"/>
        <v>1181.812242436426</v>
      </c>
      <c r="Q53" s="1173">
        <f t="shared" si="179"/>
        <v>1182.5238291751646</v>
      </c>
      <c r="R53" s="1173">
        <f t="shared" si="179"/>
        <v>1184.1297320902886</v>
      </c>
      <c r="S53" s="1172">
        <f t="shared" si="179"/>
        <v>1178.0352408390813</v>
      </c>
      <c r="T53" s="1172">
        <f t="shared" si="179"/>
        <v>1199.1836713389825</v>
      </c>
      <c r="U53" s="1173">
        <f t="shared" si="179"/>
        <v>1181.5175349463073</v>
      </c>
      <c r="V53" s="1173">
        <f t="shared" si="179"/>
        <v>1187.5931394152196</v>
      </c>
      <c r="W53" s="1172">
        <f t="shared" si="179"/>
        <v>1177.1843146191436</v>
      </c>
      <c r="X53" s="1172">
        <f t="shared" si="179"/>
        <v>1175.0581668374316</v>
      </c>
      <c r="Y53" s="1175">
        <f t="shared" si="179"/>
        <v>1177.8512556349929</v>
      </c>
      <c r="Z53" s="1175">
        <f t="shared" si="179"/>
        <v>1185.3808601437984</v>
      </c>
      <c r="AA53" s="1114">
        <f t="shared" si="179"/>
        <v>1181.0405504541584</v>
      </c>
      <c r="AB53" s="1114">
        <f t="shared" si="179"/>
        <v>1185.290580101534</v>
      </c>
      <c r="AC53" s="1172">
        <f t="shared" si="179"/>
        <v>1178.212518852893</v>
      </c>
      <c r="AD53" s="1172">
        <f t="shared" si="179"/>
        <v>1196.438523393753</v>
      </c>
      <c r="AE53" s="1173">
        <f t="shared" si="179"/>
        <v>1180.5629134658059</v>
      </c>
      <c r="AF53" s="1173">
        <f t="shared" si="179"/>
        <v>1186.7256312170489</v>
      </c>
      <c r="AG53" s="1172">
        <f t="shared" si="179"/>
        <v>1176.08409266994</v>
      </c>
      <c r="AH53" s="1172">
        <f t="shared" si="179"/>
        <v>1194.1857861422259</v>
      </c>
      <c r="AI53" s="1173">
        <f t="shared" si="179"/>
        <v>1179.9261653715209</v>
      </c>
      <c r="AJ53" s="1173">
        <f t="shared" si="179"/>
        <v>1187.7344945552948</v>
      </c>
      <c r="AK53" s="1172">
        <f t="shared" si="179"/>
        <v>1176.4211243625643</v>
      </c>
      <c r="AL53" s="1172">
        <f t="shared" si="179"/>
        <v>1206.9151929650441</v>
      </c>
      <c r="AM53" s="1175">
        <f t="shared" si="179"/>
        <v>1176.9093664462257</v>
      </c>
      <c r="AN53" s="1175">
        <f t="shared" si="179"/>
        <v>1199.3111408670252</v>
      </c>
      <c r="AO53" s="1173">
        <f t="shared" si="179"/>
        <v>1179.4785730776778</v>
      </c>
      <c r="AP53" s="1173">
        <f t="shared" si="179"/>
        <v>1189.989132081866</v>
      </c>
      <c r="AQ53" s="1172">
        <f t="shared" si="179"/>
        <v>1178.3497550116708</v>
      </c>
      <c r="AR53" s="1172">
        <f t="shared" si="179"/>
        <v>1209.8586938730973</v>
      </c>
      <c r="AS53" s="1173">
        <f t="shared" si="179"/>
        <v>1179.3502816911007</v>
      </c>
      <c r="AT53" s="1173">
        <f t="shared" si="179"/>
        <v>1192.1094419757544</v>
      </c>
      <c r="AU53" s="1172">
        <f t="shared" si="179"/>
        <v>1177.2969935628637</v>
      </c>
      <c r="AV53" s="1172">
        <f t="shared" si="179"/>
        <v>1212.1858940561417</v>
      </c>
      <c r="AW53" s="1173">
        <f t="shared" si="179"/>
        <v>1179.1598646515652</v>
      </c>
      <c r="AX53" s="1173">
        <f t="shared" si="179"/>
        <v>1193.7949985747011</v>
      </c>
      <c r="AY53" s="1172">
        <f t="shared" si="179"/>
        <v>1178.3497550116708</v>
      </c>
      <c r="AZ53" s="1172">
        <f t="shared" si="179"/>
        <v>1247.3672293775078</v>
      </c>
      <c r="BA53" s="1175">
        <f t="shared" si="179"/>
        <v>1178.0231879644657</v>
      </c>
      <c r="BB53" s="1175">
        <f t="shared" si="179"/>
        <v>1223.9736010417864</v>
      </c>
      <c r="BC53" s="1114">
        <f t="shared" si="179"/>
        <v>1177.4615812141424</v>
      </c>
      <c r="BD53" s="1114">
        <f t="shared" si="179"/>
        <v>1211.8364430679055</v>
      </c>
      <c r="BE53" s="1188">
        <f t="shared" si="179"/>
        <v>1179.0841411125691</v>
      </c>
      <c r="BF53" s="1188">
        <f t="shared" si="179"/>
        <v>1198.7220282044273</v>
      </c>
      <c r="BG53" s="23"/>
      <c r="BH53" s="23"/>
      <c r="BI53" s="23"/>
      <c r="BJ53" s="23"/>
      <c r="BK53" s="23"/>
      <c r="BL53" s="23"/>
    </row>
    <row r="54" spans="2:64" x14ac:dyDescent="0.3">
      <c r="B54" s="5175" t="s">
        <v>70</v>
      </c>
      <c r="C54" s="60" t="s">
        <v>217</v>
      </c>
      <c r="D54" s="1094">
        <f t="shared" ref="D54:D61" si="180">D42/$D$67*1000</f>
        <v>17.991079789733</v>
      </c>
      <c r="E54" s="1172">
        <f t="shared" ref="E54:H54" si="181">+E42/E$67*1000</f>
        <v>17.991079789733</v>
      </c>
      <c r="F54" s="1172">
        <f t="shared" ref="F54:BF54" si="182">+F42/F$67*1000</f>
        <v>32.07565316767937</v>
      </c>
      <c r="G54" s="1172">
        <f t="shared" si="181"/>
        <v>17.991079789732996</v>
      </c>
      <c r="H54" s="1172">
        <f t="shared" si="181"/>
        <v>50.163978964118684</v>
      </c>
      <c r="I54" s="1188">
        <f t="shared" si="182"/>
        <v>17.991079789733003</v>
      </c>
      <c r="J54" s="1188">
        <f t="shared" si="182"/>
        <v>37.579142729496695</v>
      </c>
      <c r="K54" s="1185">
        <f t="shared" si="182"/>
        <v>19.481408076330638</v>
      </c>
      <c r="L54" s="1185">
        <f t="shared" si="182"/>
        <v>16.798928440444993</v>
      </c>
      <c r="M54" s="1186">
        <f t="shared" si="182"/>
        <v>18.59003081052435</v>
      </c>
      <c r="N54" s="1186">
        <f t="shared" si="182"/>
        <v>28.737809187279154</v>
      </c>
      <c r="O54" s="1185">
        <f t="shared" si="182"/>
        <v>19.481408076330638</v>
      </c>
      <c r="P54" s="1185">
        <f t="shared" si="182"/>
        <v>38.986330284450702</v>
      </c>
      <c r="Q54" s="1188">
        <f t="shared" si="182"/>
        <v>18.847616117995564</v>
      </c>
      <c r="R54" s="1188">
        <f t="shared" si="182"/>
        <v>31.918336472138716</v>
      </c>
      <c r="S54" s="1185">
        <f t="shared" si="182"/>
        <v>19.481408076330638</v>
      </c>
      <c r="T54" s="1185">
        <f t="shared" si="182"/>
        <v>31.455272862030537</v>
      </c>
      <c r="U54" s="1188">
        <f t="shared" si="182"/>
        <v>18.989705599635354</v>
      </c>
      <c r="V54" s="1188">
        <f t="shared" si="182"/>
        <v>31.811801041600368</v>
      </c>
      <c r="W54" s="1185">
        <f t="shared" si="182"/>
        <v>19.481408076330638</v>
      </c>
      <c r="X54" s="1185">
        <f t="shared" si="182"/>
        <v>38.576886953551913</v>
      </c>
      <c r="Y54" s="1186">
        <f t="shared" si="182"/>
        <v>19.481408076330638</v>
      </c>
      <c r="Z54" s="1186">
        <f t="shared" si="182"/>
        <v>36.357092989757973</v>
      </c>
      <c r="AA54" s="1114">
        <f t="shared" si="182"/>
        <v>19.043830347150411</v>
      </c>
      <c r="AB54" s="1189">
        <f t="shared" si="182"/>
        <v>33.054485178145548</v>
      </c>
      <c r="AC54" s="1185">
        <f t="shared" si="182"/>
        <v>19.481408076330638</v>
      </c>
      <c r="AD54" s="1185">
        <f t="shared" si="182"/>
        <v>58.686738674663623</v>
      </c>
      <c r="AE54" s="1173">
        <f t="shared" si="182"/>
        <v>19.117734510258835</v>
      </c>
      <c r="AF54" s="1188">
        <f t="shared" si="182"/>
        <v>36.354070851407457</v>
      </c>
      <c r="AG54" s="1185">
        <f t="shared" si="182"/>
        <v>19.481408076330634</v>
      </c>
      <c r="AH54" s="1185">
        <f t="shared" si="182"/>
        <v>28.066170406820206</v>
      </c>
      <c r="AI54" s="1173">
        <f t="shared" si="182"/>
        <v>19.169437505465051</v>
      </c>
      <c r="AJ54" s="1188">
        <f t="shared" si="182"/>
        <v>35.233268536517635</v>
      </c>
      <c r="AK54" s="1185">
        <f t="shared" si="182"/>
        <v>19.481408076330638</v>
      </c>
      <c r="AL54" s="1185">
        <f t="shared" si="182"/>
        <v>21.701463490364915</v>
      </c>
      <c r="AM54" s="1186">
        <f t="shared" si="182"/>
        <v>19.481408076330638</v>
      </c>
      <c r="AN54" s="1186">
        <f t="shared" si="182"/>
        <v>34.809557288399958</v>
      </c>
      <c r="AO54" s="1173">
        <f t="shared" si="182"/>
        <v>19.209276018928492</v>
      </c>
      <c r="AP54" s="1188">
        <f t="shared" si="182"/>
        <v>33.642642647535659</v>
      </c>
      <c r="AQ54" s="1185">
        <f t="shared" si="182"/>
        <v>19.481408076330634</v>
      </c>
      <c r="AR54" s="1185">
        <f t="shared" si="182"/>
        <v>29.409678651317584</v>
      </c>
      <c r="AS54" s="1173">
        <f t="shared" si="182"/>
        <v>19.240204119769036</v>
      </c>
      <c r="AT54" s="1188">
        <f t="shared" si="182"/>
        <v>33.19093689096411</v>
      </c>
      <c r="AU54" s="1185">
        <f t="shared" si="182"/>
        <v>19.481408076330638</v>
      </c>
      <c r="AV54" s="1185">
        <f t="shared" si="182"/>
        <v>22.023465440246976</v>
      </c>
      <c r="AW54" s="1173">
        <f t="shared" si="182"/>
        <v>19.262572798914064</v>
      </c>
      <c r="AX54" s="1188">
        <f t="shared" si="182"/>
        <v>32.253350652024174</v>
      </c>
      <c r="AY54" s="1185">
        <f t="shared" si="182"/>
        <v>19.481408076330634</v>
      </c>
      <c r="AZ54" s="1185">
        <f t="shared" si="182"/>
        <v>7.3006729361711091</v>
      </c>
      <c r="BA54" s="1186">
        <f t="shared" si="182"/>
        <v>19.481408076330634</v>
      </c>
      <c r="BB54" s="1186">
        <f t="shared" si="182"/>
        <v>19.305463159620601</v>
      </c>
      <c r="BC54" s="1114">
        <f t="shared" si="182"/>
        <v>19.481408076330634</v>
      </c>
      <c r="BD54" s="1189">
        <f t="shared" si="182"/>
        <v>26.935506486582973</v>
      </c>
      <c r="BE54" s="1188">
        <f t="shared" si="182"/>
        <v>19.283028032189947</v>
      </c>
      <c r="BF54" s="1188">
        <f t="shared" si="182"/>
        <v>29.958456812349102</v>
      </c>
      <c r="BG54" s="23"/>
      <c r="BH54" s="23"/>
      <c r="BI54" s="23"/>
      <c r="BJ54" s="23"/>
      <c r="BK54" s="23"/>
      <c r="BL54" s="23"/>
    </row>
    <row r="55" spans="2:64" x14ac:dyDescent="0.3">
      <c r="B55" s="5175" t="s">
        <v>637</v>
      </c>
      <c r="C55" s="60" t="s">
        <v>217</v>
      </c>
      <c r="D55" s="1094">
        <f t="shared" si="180"/>
        <v>4.987323138990619</v>
      </c>
      <c r="E55" s="1185">
        <f t="shared" ref="E55:H55" si="183">+E43/E$67*1000</f>
        <v>4.9873231389906181</v>
      </c>
      <c r="F55" s="1185">
        <f t="shared" ref="F55:BF55" si="184">+F43/F$67*1000</f>
        <v>4.9871572920556249</v>
      </c>
      <c r="G55" s="1185">
        <f t="shared" si="183"/>
        <v>4.987323138990619</v>
      </c>
      <c r="H55" s="1185">
        <f t="shared" si="183"/>
        <v>8.4673950308228711</v>
      </c>
      <c r="I55" s="1188">
        <f t="shared" si="184"/>
        <v>4.987323138990619</v>
      </c>
      <c r="J55" s="1188">
        <f t="shared" si="184"/>
        <v>6.0460420270772932</v>
      </c>
      <c r="K55" s="1185">
        <f t="shared" si="184"/>
        <v>4.9928765981790804</v>
      </c>
      <c r="L55" s="1185">
        <f t="shared" si="184"/>
        <v>3.0509681774451596</v>
      </c>
      <c r="M55" s="1186">
        <f t="shared" si="184"/>
        <v>4.9895550298295452</v>
      </c>
      <c r="N55" s="1186">
        <f t="shared" si="184"/>
        <v>4.7717314487632505</v>
      </c>
      <c r="O55" s="1185">
        <f t="shared" si="184"/>
        <v>4.9928765981790804</v>
      </c>
      <c r="P55" s="1185">
        <f t="shared" si="184"/>
        <v>2.191174992461554</v>
      </c>
      <c r="Q55" s="1173">
        <f t="shared" si="184"/>
        <v>4.9905148784115339</v>
      </c>
      <c r="R55" s="1188">
        <f t="shared" si="184"/>
        <v>3.9708812439807071</v>
      </c>
      <c r="S55" s="1185">
        <f t="shared" si="184"/>
        <v>4.9928765981790804</v>
      </c>
      <c r="T55" s="1185">
        <f t="shared" si="184"/>
        <v>0.78814340034292063</v>
      </c>
      <c r="U55" s="1173">
        <f t="shared" si="184"/>
        <v>4.9910443511085854</v>
      </c>
      <c r="V55" s="1188">
        <f t="shared" si="184"/>
        <v>3.2386398433156369</v>
      </c>
      <c r="W55" s="1185">
        <f t="shared" si="184"/>
        <v>4.9928765981790804</v>
      </c>
      <c r="X55" s="1185">
        <f t="shared" si="184"/>
        <v>2.4760928961748636</v>
      </c>
      <c r="Y55" s="1186">
        <f t="shared" si="184"/>
        <v>4.9928765981790804</v>
      </c>
      <c r="Z55" s="1186">
        <f t="shared" si="184"/>
        <v>1.8184602261569327</v>
      </c>
      <c r="AA55" s="1114">
        <f t="shared" si="184"/>
        <v>4.9912460379309538</v>
      </c>
      <c r="AB55" s="1189">
        <f t="shared" si="184"/>
        <v>3.0985669740400668</v>
      </c>
      <c r="AC55" s="1185">
        <f t="shared" si="184"/>
        <v>4.9928765981790804</v>
      </c>
      <c r="AD55" s="1185">
        <f t="shared" si="184"/>
        <v>9.1889811841511637</v>
      </c>
      <c r="AE55" s="1173">
        <f t="shared" si="184"/>
        <v>4.9915214294385635</v>
      </c>
      <c r="AF55" s="1188">
        <f t="shared" si="184"/>
        <v>3.8825730886270331</v>
      </c>
      <c r="AG55" s="1185">
        <f t="shared" si="184"/>
        <v>4.9928765981790804</v>
      </c>
      <c r="AH55" s="1185">
        <f t="shared" si="184"/>
        <v>14.401730173727355</v>
      </c>
      <c r="AI55" s="1173">
        <f t="shared" si="184"/>
        <v>4.9917140920058527</v>
      </c>
      <c r="AJ55" s="1188">
        <f t="shared" si="184"/>
        <v>5.3051161911289419</v>
      </c>
      <c r="AK55" s="1185">
        <f t="shared" si="184"/>
        <v>4.9928765981790804</v>
      </c>
      <c r="AL55" s="1185">
        <f t="shared" si="184"/>
        <v>18.432936988686297</v>
      </c>
      <c r="AM55" s="1186">
        <f t="shared" si="184"/>
        <v>4.9928765981790804</v>
      </c>
      <c r="AN55" s="1186">
        <f t="shared" si="184"/>
        <v>14.28770079164345</v>
      </c>
      <c r="AO55" s="1173">
        <f t="shared" si="184"/>
        <v>4.9918625435655786</v>
      </c>
      <c r="AP55" s="1188">
        <f t="shared" si="184"/>
        <v>6.8482548600124158</v>
      </c>
      <c r="AQ55" s="1185">
        <f t="shared" si="184"/>
        <v>4.9928765981790795</v>
      </c>
      <c r="AR55" s="1185">
        <f t="shared" si="184"/>
        <v>13.465000818375252</v>
      </c>
      <c r="AS55" s="1173">
        <f t="shared" si="184"/>
        <v>4.9919777919624186</v>
      </c>
      <c r="AT55" s="1188">
        <f t="shared" si="184"/>
        <v>7.5543374635579124</v>
      </c>
      <c r="AU55" s="1185">
        <f t="shared" si="184"/>
        <v>4.9928765981790804</v>
      </c>
      <c r="AV55" s="1185">
        <f t="shared" si="184"/>
        <v>11.259472885156553</v>
      </c>
      <c r="AW55" s="1173">
        <f t="shared" si="184"/>
        <v>4.9920611451053798</v>
      </c>
      <c r="AX55" s="1188">
        <f t="shared" si="184"/>
        <v>7.8654091327383799</v>
      </c>
      <c r="AY55" s="1185">
        <f t="shared" si="184"/>
        <v>4.9928765981790795</v>
      </c>
      <c r="AZ55" s="1185">
        <f t="shared" si="184"/>
        <v>6.9294522783996966</v>
      </c>
      <c r="BA55" s="1186">
        <f t="shared" si="184"/>
        <v>4.9928765981790804</v>
      </c>
      <c r="BB55" s="1186">
        <f t="shared" si="184"/>
        <v>10.471574194302212</v>
      </c>
      <c r="BC55" s="1114">
        <f t="shared" si="184"/>
        <v>4.9928765981790804</v>
      </c>
      <c r="BD55" s="1189">
        <f t="shared" si="184"/>
        <v>12.349607895403041</v>
      </c>
      <c r="BE55" s="1188">
        <f t="shared" si="184"/>
        <v>4.9921373681122239</v>
      </c>
      <c r="BF55" s="1188">
        <f t="shared" si="184"/>
        <v>7.7793293282507472</v>
      </c>
      <c r="BG55" s="23"/>
      <c r="BH55" s="23"/>
      <c r="BI55" s="23"/>
      <c r="BJ55" s="23"/>
      <c r="BK55" s="23"/>
      <c r="BL55" s="23"/>
    </row>
    <row r="56" spans="2:64" x14ac:dyDescent="0.3">
      <c r="B56" s="5175" t="s">
        <v>44</v>
      </c>
      <c r="C56" s="60" t="s">
        <v>217</v>
      </c>
      <c r="D56" s="1094">
        <f t="shared" si="180"/>
        <v>22.433700224115288</v>
      </c>
      <c r="E56" s="1185">
        <f t="shared" ref="E56:H56" si="185">+E44/E$67*1000</f>
        <v>22.433700224115292</v>
      </c>
      <c r="F56" s="1185">
        <f t="shared" ref="F56:BF56" si="186">+F44/F$67*1000</f>
        <v>19.612003122984486</v>
      </c>
      <c r="G56" s="1185">
        <f t="shared" si="185"/>
        <v>22.433700224115292</v>
      </c>
      <c r="H56" s="1185">
        <f t="shared" si="185"/>
        <v>13.829862930404353</v>
      </c>
      <c r="I56" s="1188">
        <f t="shared" si="186"/>
        <v>22.433700224115295</v>
      </c>
      <c r="J56" s="1188">
        <f t="shared" si="186"/>
        <v>17.852749748573611</v>
      </c>
      <c r="K56" s="1185">
        <f t="shared" si="186"/>
        <v>22.45868048610533</v>
      </c>
      <c r="L56" s="1185">
        <f t="shared" si="186"/>
        <v>21.997267948356782</v>
      </c>
      <c r="M56" s="1186">
        <f t="shared" si="186"/>
        <v>22.443739591651376</v>
      </c>
      <c r="N56" s="1186">
        <f t="shared" si="186"/>
        <v>19.616113074204947</v>
      </c>
      <c r="O56" s="1185">
        <f t="shared" si="186"/>
        <v>22.458680486105333</v>
      </c>
      <c r="P56" s="1185">
        <f t="shared" si="186"/>
        <v>20.06231782088652</v>
      </c>
      <c r="Q56" s="1188">
        <f t="shared" si="186"/>
        <v>22.448057129286052</v>
      </c>
      <c r="R56" s="1188">
        <f t="shared" si="186"/>
        <v>19.754588309607083</v>
      </c>
      <c r="S56" s="1185">
        <f t="shared" si="186"/>
        <v>22.458680486105333</v>
      </c>
      <c r="T56" s="1185">
        <f t="shared" si="186"/>
        <v>19.147709034158968</v>
      </c>
      <c r="U56" s="1188">
        <f t="shared" si="186"/>
        <v>22.450438773994343</v>
      </c>
      <c r="V56" s="1188">
        <f t="shared" si="186"/>
        <v>19.614965710285237</v>
      </c>
      <c r="W56" s="1185">
        <f t="shared" si="186"/>
        <v>22.45868048610533</v>
      </c>
      <c r="X56" s="1185">
        <f t="shared" si="186"/>
        <v>18.909558572404372</v>
      </c>
      <c r="Y56" s="1186">
        <f t="shared" si="186"/>
        <v>22.458680486105333</v>
      </c>
      <c r="Z56" s="1186">
        <f t="shared" si="186"/>
        <v>19.385374285311393</v>
      </c>
      <c r="AA56" s="1114">
        <f t="shared" si="186"/>
        <v>22.451345990468209</v>
      </c>
      <c r="AB56" s="1189">
        <f t="shared" si="186"/>
        <v>19.485388899072586</v>
      </c>
      <c r="AC56" s="1185">
        <f t="shared" si="186"/>
        <v>22.458680486105333</v>
      </c>
      <c r="AD56" s="1185">
        <f t="shared" si="186"/>
        <v>16.002760011676973</v>
      </c>
      <c r="AE56" s="1173">
        <f t="shared" si="186"/>
        <v>22.452584741267749</v>
      </c>
      <c r="AF56" s="1188">
        <f t="shared" si="186"/>
        <v>19.037077462713718</v>
      </c>
      <c r="AG56" s="1185">
        <f t="shared" si="186"/>
        <v>22.458680486105333</v>
      </c>
      <c r="AH56" s="1185">
        <f t="shared" si="186"/>
        <v>19.270574485398928</v>
      </c>
      <c r="AI56" s="1173">
        <f t="shared" si="186"/>
        <v>22.453451365338125</v>
      </c>
      <c r="AJ56" s="1188">
        <f t="shared" si="186"/>
        <v>19.068654097266126</v>
      </c>
      <c r="AK56" s="1185">
        <f t="shared" si="186"/>
        <v>22.458680486105333</v>
      </c>
      <c r="AL56" s="1185">
        <f t="shared" si="186"/>
        <v>20.725618427946873</v>
      </c>
      <c r="AM56" s="1186">
        <f t="shared" si="186"/>
        <v>22.458680486105333</v>
      </c>
      <c r="AN56" s="1186">
        <f t="shared" si="186"/>
        <v>18.823046636074473</v>
      </c>
      <c r="AO56" s="1173">
        <f t="shared" si="186"/>
        <v>22.454119121907304</v>
      </c>
      <c r="AP56" s="1188">
        <f t="shared" si="186"/>
        <v>19.263425626453195</v>
      </c>
      <c r="AQ56" s="1185">
        <f t="shared" si="186"/>
        <v>22.45868048610533</v>
      </c>
      <c r="AR56" s="1185">
        <f t="shared" si="186"/>
        <v>20.399367123138195</v>
      </c>
      <c r="AS56" s="1173">
        <f t="shared" si="186"/>
        <v>22.454637525851453</v>
      </c>
      <c r="AT56" s="1188">
        <f t="shared" si="186"/>
        <v>19.384643598928172</v>
      </c>
      <c r="AU56" s="1185">
        <f t="shared" si="186"/>
        <v>22.458680486105333</v>
      </c>
      <c r="AV56" s="1185">
        <f t="shared" si="186"/>
        <v>19.082345019469837</v>
      </c>
      <c r="AW56" s="1173">
        <f t="shared" si="186"/>
        <v>22.455012460334306</v>
      </c>
      <c r="AX56" s="1188">
        <f t="shared" si="186"/>
        <v>19.359263548537889</v>
      </c>
      <c r="AY56" s="1185">
        <f t="shared" si="186"/>
        <v>22.45868048610533</v>
      </c>
      <c r="AZ56" s="1185">
        <f t="shared" si="186"/>
        <v>17.594806070115951</v>
      </c>
      <c r="BA56" s="1186">
        <f t="shared" si="186"/>
        <v>22.45868048610533</v>
      </c>
      <c r="BB56" s="1186">
        <f t="shared" si="186"/>
        <v>19.004875364427367</v>
      </c>
      <c r="BC56" s="1114">
        <f t="shared" si="186"/>
        <v>22.45868048610533</v>
      </c>
      <c r="BD56" s="1189">
        <f t="shared" si="186"/>
        <v>18.915391834212997</v>
      </c>
      <c r="BE56" s="1188">
        <f t="shared" si="186"/>
        <v>22.455355322434485</v>
      </c>
      <c r="BF56" s="1188">
        <f t="shared" si="186"/>
        <v>19.196986672135701</v>
      </c>
      <c r="BG56" s="23"/>
      <c r="BH56" s="23"/>
      <c r="BI56" s="23"/>
      <c r="BJ56" s="23"/>
      <c r="BK56" s="23"/>
      <c r="BL56" s="23"/>
    </row>
    <row r="57" spans="2:64" x14ac:dyDescent="0.3">
      <c r="B57" s="5175" t="s">
        <v>71</v>
      </c>
      <c r="C57" s="60" t="s">
        <v>217</v>
      </c>
      <c r="D57" s="1094">
        <f t="shared" si="180"/>
        <v>18.900000000000002</v>
      </c>
      <c r="E57" s="1185">
        <f t="shared" ref="E57:H57" si="187">+E45/E$67*1000</f>
        <v>18.900000000000006</v>
      </c>
      <c r="F57" s="1185">
        <f t="shared" ref="F57:BF57" si="188">+F45/F$67*1000</f>
        <v>28.647159328784635</v>
      </c>
      <c r="G57" s="1185">
        <f t="shared" si="187"/>
        <v>18.900000000000006</v>
      </c>
      <c r="H57" s="1185">
        <f t="shared" si="187"/>
        <v>28.552392411040604</v>
      </c>
      <c r="I57" s="1188">
        <f t="shared" si="188"/>
        <v>18.900000000000006</v>
      </c>
      <c r="J57" s="1188">
        <f t="shared" si="188"/>
        <v>28.618325884026994</v>
      </c>
      <c r="K57" s="1185">
        <f t="shared" si="188"/>
        <v>19.05</v>
      </c>
      <c r="L57" s="1185">
        <f t="shared" si="188"/>
        <v>26.454126514189127</v>
      </c>
      <c r="M57" s="1186">
        <f t="shared" si="188"/>
        <v>18.960283800506676</v>
      </c>
      <c r="N57" s="1186">
        <f t="shared" si="188"/>
        <v>27.697526501766784</v>
      </c>
      <c r="O57" s="1185">
        <f t="shared" si="188"/>
        <v>19.050000000000004</v>
      </c>
      <c r="P57" s="1185">
        <f t="shared" si="188"/>
        <v>26.517740476429793</v>
      </c>
      <c r="Q57" s="1188">
        <f t="shared" si="188"/>
        <v>18.986209495179555</v>
      </c>
      <c r="R57" s="1188">
        <f t="shared" si="188"/>
        <v>27.331391563047099</v>
      </c>
      <c r="S57" s="1185">
        <f t="shared" si="188"/>
        <v>19.050000000000004</v>
      </c>
      <c r="T57" s="1185">
        <f t="shared" si="188"/>
        <v>20.301216924727086</v>
      </c>
      <c r="U57" s="1188">
        <f t="shared" si="188"/>
        <v>19.000510654486288</v>
      </c>
      <c r="V57" s="1188">
        <f t="shared" si="188"/>
        <v>25.713983791189989</v>
      </c>
      <c r="W57" s="1185">
        <f t="shared" si="188"/>
        <v>19.050000000000004</v>
      </c>
      <c r="X57" s="1185">
        <f t="shared" si="188"/>
        <v>27.706625683060111</v>
      </c>
      <c r="Y57" s="1186">
        <f t="shared" si="188"/>
        <v>19.05</v>
      </c>
      <c r="Z57" s="1186">
        <f t="shared" si="188"/>
        <v>24.842485182836572</v>
      </c>
      <c r="AA57" s="1114">
        <f t="shared" si="188"/>
        <v>19.005958254320674</v>
      </c>
      <c r="AB57" s="1189">
        <f t="shared" si="188"/>
        <v>26.080013801905409</v>
      </c>
      <c r="AC57" s="1185">
        <f t="shared" si="188"/>
        <v>19.050000000000004</v>
      </c>
      <c r="AD57" s="1185">
        <f t="shared" si="188"/>
        <v>28.39959130596322</v>
      </c>
      <c r="AE57" s="1173">
        <f t="shared" si="188"/>
        <v>19.013396631868734</v>
      </c>
      <c r="AF57" s="1188">
        <f t="shared" si="188"/>
        <v>26.378608098401791</v>
      </c>
      <c r="AG57" s="1185">
        <f t="shared" si="188"/>
        <v>19.050000000000004</v>
      </c>
      <c r="AH57" s="1185">
        <f t="shared" si="188"/>
        <v>27.197806698961784</v>
      </c>
      <c r="AI57" s="1173">
        <f t="shared" si="188"/>
        <v>19.018600484839034</v>
      </c>
      <c r="AJ57" s="1188">
        <f t="shared" si="188"/>
        <v>26.489391244748798</v>
      </c>
      <c r="AK57" s="1185">
        <f t="shared" si="188"/>
        <v>19.050000000000004</v>
      </c>
      <c r="AL57" s="1185">
        <f t="shared" si="188"/>
        <v>23.220676826174827</v>
      </c>
      <c r="AM57" s="1186">
        <f t="shared" si="188"/>
        <v>19.05</v>
      </c>
      <c r="AN57" s="1186">
        <f t="shared" si="188"/>
        <v>26.15505942917266</v>
      </c>
      <c r="AO57" s="1173">
        <f t="shared" si="188"/>
        <v>19.022610189998129</v>
      </c>
      <c r="AP57" s="1188">
        <f t="shared" si="188"/>
        <v>26.105162994331408</v>
      </c>
      <c r="AQ57" s="1185">
        <f t="shared" si="188"/>
        <v>19.05</v>
      </c>
      <c r="AR57" s="1185">
        <f t="shared" si="188"/>
        <v>22.731736592285447</v>
      </c>
      <c r="AS57" s="1173">
        <f t="shared" si="188"/>
        <v>19.025723071346352</v>
      </c>
      <c r="AT57" s="1188">
        <f t="shared" si="188"/>
        <v>25.745179747004943</v>
      </c>
      <c r="AU57" s="1185">
        <f t="shared" si="188"/>
        <v>19.050000000000004</v>
      </c>
      <c r="AV57" s="1185">
        <f t="shared" si="188"/>
        <v>21.442228899207866</v>
      </c>
      <c r="AW57" s="1173">
        <f t="shared" si="188"/>
        <v>19.027974455757381</v>
      </c>
      <c r="AX57" s="1188">
        <f t="shared" si="188"/>
        <v>25.383917350272299</v>
      </c>
      <c r="AY57" s="1185">
        <f t="shared" si="188"/>
        <v>19.05</v>
      </c>
      <c r="AZ57" s="1185">
        <f t="shared" si="188"/>
        <v>18.900660298872122</v>
      </c>
      <c r="BA57" s="1186">
        <f t="shared" si="188"/>
        <v>19.050000000000004</v>
      </c>
      <c r="BB57" s="1186">
        <f t="shared" si="188"/>
        <v>20.978012803720883</v>
      </c>
      <c r="BC57" s="1114">
        <f t="shared" si="188"/>
        <v>19.050000000000004</v>
      </c>
      <c r="BD57" s="1189">
        <f t="shared" si="188"/>
        <v>23.525797261800108</v>
      </c>
      <c r="BE57" s="1188">
        <f t="shared" si="188"/>
        <v>19.030033253821522</v>
      </c>
      <c r="BF57" s="1188">
        <f t="shared" si="188"/>
        <v>24.787653220317395</v>
      </c>
      <c r="BG57" s="23"/>
      <c r="BH57" s="23"/>
      <c r="BI57" s="23"/>
      <c r="BJ57" s="23"/>
      <c r="BK57" s="23"/>
      <c r="BL57" s="23"/>
    </row>
    <row r="58" spans="2:64" x14ac:dyDescent="0.3">
      <c r="B58" s="5175" t="s">
        <v>67</v>
      </c>
      <c r="C58" s="60" t="s">
        <v>217</v>
      </c>
      <c r="D58" s="1094">
        <f t="shared" si="180"/>
        <v>80</v>
      </c>
      <c r="E58" s="1185">
        <f t="shared" ref="E58:H58" si="189">+E46/E$67*1000</f>
        <v>80</v>
      </c>
      <c r="F58" s="1185">
        <f t="shared" ref="F58:BF58" si="190">+F46/F$67*1000</f>
        <v>80</v>
      </c>
      <c r="G58" s="1185">
        <f t="shared" si="189"/>
        <v>79.999999999999986</v>
      </c>
      <c r="H58" s="1185">
        <f t="shared" si="189"/>
        <v>80</v>
      </c>
      <c r="I58" s="1188">
        <f t="shared" si="190"/>
        <v>80</v>
      </c>
      <c r="J58" s="1188">
        <f t="shared" si="190"/>
        <v>80</v>
      </c>
      <c r="K58" s="1185">
        <f t="shared" si="190"/>
        <v>90</v>
      </c>
      <c r="L58" s="1185">
        <f t="shared" si="190"/>
        <v>80</v>
      </c>
      <c r="M58" s="1186">
        <f t="shared" si="190"/>
        <v>84.018920033778144</v>
      </c>
      <c r="N58" s="1186">
        <f t="shared" si="190"/>
        <v>80</v>
      </c>
      <c r="O58" s="1185">
        <f t="shared" si="190"/>
        <v>90.000000000000014</v>
      </c>
      <c r="P58" s="1185">
        <f t="shared" si="190"/>
        <v>80</v>
      </c>
      <c r="Q58" s="1173">
        <f t="shared" si="190"/>
        <v>85.747299678636594</v>
      </c>
      <c r="R58" s="1188">
        <f t="shared" si="190"/>
        <v>80</v>
      </c>
      <c r="S58" s="1185">
        <f t="shared" si="190"/>
        <v>90.000000000000014</v>
      </c>
      <c r="T58" s="1185">
        <f t="shared" si="190"/>
        <v>80</v>
      </c>
      <c r="U58" s="1173">
        <f t="shared" si="190"/>
        <v>86.700710299085713</v>
      </c>
      <c r="V58" s="1188">
        <f t="shared" si="190"/>
        <v>80</v>
      </c>
      <c r="W58" s="1185">
        <f t="shared" si="190"/>
        <v>90</v>
      </c>
      <c r="X58" s="1185">
        <f t="shared" si="190"/>
        <v>80</v>
      </c>
      <c r="Y58" s="1186">
        <f t="shared" si="190"/>
        <v>90.000000000000014</v>
      </c>
      <c r="Z58" s="1186">
        <f t="shared" si="190"/>
        <v>80</v>
      </c>
      <c r="AA58" s="1114">
        <f t="shared" si="190"/>
        <v>87.063883621378494</v>
      </c>
      <c r="AB58" s="1189">
        <f t="shared" si="190"/>
        <v>80</v>
      </c>
      <c r="AC58" s="1185">
        <f t="shared" si="190"/>
        <v>90</v>
      </c>
      <c r="AD58" s="1185">
        <f t="shared" si="190"/>
        <v>80</v>
      </c>
      <c r="AE58" s="1173">
        <f t="shared" si="190"/>
        <v>87.559775457915705</v>
      </c>
      <c r="AF58" s="1188">
        <f t="shared" si="190"/>
        <v>80</v>
      </c>
      <c r="AG58" s="1185">
        <f t="shared" si="190"/>
        <v>90</v>
      </c>
      <c r="AH58" s="1185">
        <f t="shared" si="190"/>
        <v>80</v>
      </c>
      <c r="AI58" s="1173">
        <f t="shared" si="190"/>
        <v>87.906698989269017</v>
      </c>
      <c r="AJ58" s="1188">
        <f t="shared" si="190"/>
        <v>80</v>
      </c>
      <c r="AK58" s="1185">
        <f t="shared" si="190"/>
        <v>90</v>
      </c>
      <c r="AL58" s="1185">
        <f t="shared" si="190"/>
        <v>80</v>
      </c>
      <c r="AM58" s="1186">
        <f t="shared" si="190"/>
        <v>90</v>
      </c>
      <c r="AN58" s="1186">
        <f t="shared" si="190"/>
        <v>80</v>
      </c>
      <c r="AO58" s="1173">
        <f t="shared" si="190"/>
        <v>88.174012666542026</v>
      </c>
      <c r="AP58" s="1188">
        <f t="shared" si="190"/>
        <v>80</v>
      </c>
      <c r="AQ58" s="1185">
        <f t="shared" si="190"/>
        <v>90</v>
      </c>
      <c r="AR58" s="1185">
        <f t="shared" si="190"/>
        <v>80</v>
      </c>
      <c r="AS58" s="1173">
        <f t="shared" si="190"/>
        <v>88.381538089757001</v>
      </c>
      <c r="AT58" s="1188">
        <f t="shared" si="190"/>
        <v>80.000000000000014</v>
      </c>
      <c r="AU58" s="1185">
        <f t="shared" si="190"/>
        <v>90</v>
      </c>
      <c r="AV58" s="1185">
        <f t="shared" si="190"/>
        <v>80</v>
      </c>
      <c r="AW58" s="1173">
        <f t="shared" si="190"/>
        <v>88.531630383825274</v>
      </c>
      <c r="AX58" s="1188">
        <f t="shared" si="190"/>
        <v>80</v>
      </c>
      <c r="AY58" s="1185">
        <f t="shared" si="190"/>
        <v>90</v>
      </c>
      <c r="AZ58" s="1185">
        <f t="shared" si="190"/>
        <v>80</v>
      </c>
      <c r="BA58" s="1186">
        <f t="shared" si="190"/>
        <v>89.999999999999986</v>
      </c>
      <c r="BB58" s="1186">
        <f t="shared" si="190"/>
        <v>80</v>
      </c>
      <c r="BC58" s="1114">
        <f t="shared" si="190"/>
        <v>90</v>
      </c>
      <c r="BD58" s="1189">
        <f t="shared" si="190"/>
        <v>80</v>
      </c>
      <c r="BE58" s="1188">
        <f t="shared" si="190"/>
        <v>88.668883588101338</v>
      </c>
      <c r="BF58" s="1188">
        <f t="shared" si="190"/>
        <v>80</v>
      </c>
      <c r="BG58" s="23"/>
      <c r="BH58" s="23"/>
      <c r="BI58" s="23"/>
      <c r="BJ58" s="23"/>
      <c r="BK58" s="23"/>
      <c r="BL58" s="23"/>
    </row>
    <row r="59" spans="2:64" x14ac:dyDescent="0.3">
      <c r="B59" s="5175" t="s">
        <v>97</v>
      </c>
      <c r="C59" s="60" t="s">
        <v>217</v>
      </c>
      <c r="D59" s="1094">
        <f t="shared" si="180"/>
        <v>150.00000000000003</v>
      </c>
      <c r="E59" s="1172">
        <f t="shared" ref="E59:H59" si="191">+E47/E$67*1000</f>
        <v>150</v>
      </c>
      <c r="F59" s="1172">
        <f t="shared" ref="F59:BF59" si="192">+F47/F$67*1000</f>
        <v>197.70698258596695</v>
      </c>
      <c r="G59" s="1172">
        <f t="shared" si="191"/>
        <v>150.00000000000003</v>
      </c>
      <c r="H59" s="1172">
        <f t="shared" si="191"/>
        <v>161.64380017206469</v>
      </c>
      <c r="I59" s="1188">
        <f t="shared" si="192"/>
        <v>150.00000000000003</v>
      </c>
      <c r="J59" s="1188">
        <f t="shared" si="192"/>
        <v>186.73452719046017</v>
      </c>
      <c r="K59" s="1185">
        <f t="shared" si="192"/>
        <v>150</v>
      </c>
      <c r="L59" s="1185">
        <f t="shared" si="192"/>
        <v>214.16839856062336</v>
      </c>
      <c r="M59" s="1186">
        <f t="shared" si="192"/>
        <v>150</v>
      </c>
      <c r="N59" s="1186">
        <f t="shared" si="192"/>
        <v>198.40678445229682</v>
      </c>
      <c r="O59" s="1185">
        <f t="shared" si="192"/>
        <v>150</v>
      </c>
      <c r="P59" s="1185">
        <f t="shared" si="192"/>
        <v>188.96120213086743</v>
      </c>
      <c r="Q59" s="1173">
        <f t="shared" si="192"/>
        <v>150</v>
      </c>
      <c r="R59" s="1188">
        <f t="shared" si="192"/>
        <v>195.47544128484367</v>
      </c>
      <c r="S59" s="1185">
        <f t="shared" si="192"/>
        <v>150</v>
      </c>
      <c r="T59" s="1185">
        <f t="shared" si="192"/>
        <v>151.35745956850454</v>
      </c>
      <c r="U59" s="1173">
        <f t="shared" si="192"/>
        <v>150</v>
      </c>
      <c r="V59" s="1188">
        <f t="shared" si="192"/>
        <v>185.325371026602</v>
      </c>
      <c r="W59" s="1185">
        <f t="shared" si="192"/>
        <v>150</v>
      </c>
      <c r="X59" s="1185">
        <f t="shared" si="192"/>
        <v>164.18790556693989</v>
      </c>
      <c r="Y59" s="1186">
        <f t="shared" si="192"/>
        <v>150</v>
      </c>
      <c r="Z59" s="1186">
        <f t="shared" si="192"/>
        <v>168.46364333956501</v>
      </c>
      <c r="AA59" s="1114">
        <f t="shared" si="192"/>
        <v>149.99999999999997</v>
      </c>
      <c r="AB59" s="1189">
        <f t="shared" si="192"/>
        <v>181.44261279479761</v>
      </c>
      <c r="AC59" s="1185">
        <f t="shared" si="192"/>
        <v>150</v>
      </c>
      <c r="AD59" s="1185">
        <f t="shared" si="192"/>
        <v>149.1169289562379</v>
      </c>
      <c r="AE59" s="1173">
        <f t="shared" si="192"/>
        <v>149.99999999999997</v>
      </c>
      <c r="AF59" s="1188">
        <f t="shared" si="192"/>
        <v>177.28139601818472</v>
      </c>
      <c r="AG59" s="1185">
        <f t="shared" si="192"/>
        <v>150</v>
      </c>
      <c r="AH59" s="1185">
        <f t="shared" si="192"/>
        <v>147.77748043450953</v>
      </c>
      <c r="AI59" s="1173">
        <f t="shared" si="192"/>
        <v>150</v>
      </c>
      <c r="AJ59" s="1188">
        <f t="shared" si="192"/>
        <v>173.29147636294883</v>
      </c>
      <c r="AK59" s="1185">
        <f t="shared" si="192"/>
        <v>150</v>
      </c>
      <c r="AL59" s="1185">
        <f t="shared" si="192"/>
        <v>146.03299576117303</v>
      </c>
      <c r="AM59" s="1186">
        <f t="shared" si="192"/>
        <v>150</v>
      </c>
      <c r="AN59" s="1186">
        <f t="shared" si="192"/>
        <v>147.55821608433564</v>
      </c>
      <c r="AO59" s="1173">
        <f t="shared" si="192"/>
        <v>150</v>
      </c>
      <c r="AP59" s="1188">
        <f t="shared" si="192"/>
        <v>170.08731810086798</v>
      </c>
      <c r="AQ59" s="1185">
        <f t="shared" si="192"/>
        <v>149.99999999999997</v>
      </c>
      <c r="AR59" s="1185">
        <f t="shared" si="192"/>
        <v>162.60843472093404</v>
      </c>
      <c r="AS59" s="1173">
        <f t="shared" si="192"/>
        <v>150</v>
      </c>
      <c r="AT59" s="1188">
        <f t="shared" si="192"/>
        <v>169.28923555670701</v>
      </c>
      <c r="AU59" s="1185">
        <f t="shared" si="192"/>
        <v>150</v>
      </c>
      <c r="AV59" s="1185">
        <f t="shared" si="192"/>
        <v>190.77580785526894</v>
      </c>
      <c r="AW59" s="1173">
        <f t="shared" si="192"/>
        <v>150</v>
      </c>
      <c r="AX59" s="1188">
        <f t="shared" si="192"/>
        <v>171.0931814721296</v>
      </c>
      <c r="AY59" s="1185">
        <f t="shared" si="192"/>
        <v>149.99999999999997</v>
      </c>
      <c r="AZ59" s="1185">
        <f t="shared" si="192"/>
        <v>173.74706446075592</v>
      </c>
      <c r="BA59" s="1186">
        <f t="shared" si="192"/>
        <v>150</v>
      </c>
      <c r="BB59" s="1186">
        <f t="shared" si="192"/>
        <v>174.95151961735834</v>
      </c>
      <c r="BC59" s="1114">
        <f t="shared" si="192"/>
        <v>150</v>
      </c>
      <c r="BD59" s="1189">
        <f t="shared" si="192"/>
        <v>161.47042932665781</v>
      </c>
      <c r="BE59" s="1188">
        <f t="shared" si="192"/>
        <v>150</v>
      </c>
      <c r="BF59" s="1188">
        <f t="shared" si="192"/>
        <v>171.33725867262771</v>
      </c>
      <c r="BG59" s="23"/>
      <c r="BH59" s="23"/>
      <c r="BI59" s="23"/>
      <c r="BJ59" s="23"/>
      <c r="BK59" s="23"/>
      <c r="BL59" s="23"/>
    </row>
    <row r="60" spans="2:64" x14ac:dyDescent="0.3">
      <c r="B60" s="5175" t="s">
        <v>652</v>
      </c>
      <c r="C60" s="60" t="s">
        <v>217</v>
      </c>
      <c r="D60" s="1094">
        <f t="shared" si="180"/>
        <v>3</v>
      </c>
      <c r="E60" s="1185">
        <f t="shared" ref="E60:H60" si="193">+E48/E$67*1000</f>
        <v>3</v>
      </c>
      <c r="F60" s="1185">
        <f t="shared" ref="F60:BF60" si="194">+F48/F$67*1000</f>
        <v>0</v>
      </c>
      <c r="G60" s="1185">
        <f t="shared" si="193"/>
        <v>3</v>
      </c>
      <c r="H60" s="1185">
        <f t="shared" si="193"/>
        <v>0</v>
      </c>
      <c r="I60" s="1188">
        <f t="shared" si="194"/>
        <v>3.0000000000000004</v>
      </c>
      <c r="J60" s="1188">
        <f t="shared" si="194"/>
        <v>0</v>
      </c>
      <c r="K60" s="1185">
        <f t="shared" si="194"/>
        <v>7.0000000000000009</v>
      </c>
      <c r="L60" s="1185">
        <f t="shared" si="194"/>
        <v>2.1261102281847801</v>
      </c>
      <c r="M60" s="1186">
        <f t="shared" si="194"/>
        <v>4.6075680135112576</v>
      </c>
      <c r="N60" s="1186">
        <f t="shared" si="194"/>
        <v>0.90459363957597172</v>
      </c>
      <c r="O60" s="1185">
        <f t="shared" si="194"/>
        <v>7</v>
      </c>
      <c r="P60" s="1185">
        <f t="shared" si="194"/>
        <v>0</v>
      </c>
      <c r="Q60" s="1188">
        <f t="shared" si="194"/>
        <v>5.2989198714546397</v>
      </c>
      <c r="R60" s="1188">
        <f t="shared" si="194"/>
        <v>0.62386193935282119</v>
      </c>
      <c r="S60" s="1185">
        <f t="shared" si="194"/>
        <v>7</v>
      </c>
      <c r="T60" s="1185">
        <f t="shared" si="194"/>
        <v>1.9573097690635446</v>
      </c>
      <c r="U60" s="1188">
        <f t="shared" si="194"/>
        <v>5.6802841196342877</v>
      </c>
      <c r="V60" s="1188">
        <f t="shared" si="194"/>
        <v>0.93064363313667731</v>
      </c>
      <c r="W60" s="1185">
        <f t="shared" si="194"/>
        <v>7</v>
      </c>
      <c r="X60" s="1185">
        <f t="shared" si="194"/>
        <v>0</v>
      </c>
      <c r="Y60" s="1186">
        <f t="shared" si="194"/>
        <v>7</v>
      </c>
      <c r="Z60" s="1186">
        <f t="shared" si="194"/>
        <v>0.64883214539376755</v>
      </c>
      <c r="AA60" s="1114">
        <f t="shared" si="194"/>
        <v>5.8255534485514024</v>
      </c>
      <c r="AB60" s="1189">
        <f t="shared" si="194"/>
        <v>0.75969294681463195</v>
      </c>
      <c r="AC60" s="1185">
        <f t="shared" si="194"/>
        <v>6.9999999999999991</v>
      </c>
      <c r="AD60" s="1185">
        <f t="shared" si="194"/>
        <v>0</v>
      </c>
      <c r="AE60" s="1173">
        <f t="shared" si="194"/>
        <v>6.0239101831662891</v>
      </c>
      <c r="AF60" s="1188">
        <f t="shared" si="194"/>
        <v>0.66189928369686546</v>
      </c>
      <c r="AG60" s="1185">
        <f t="shared" si="194"/>
        <v>7.0000000000000009</v>
      </c>
      <c r="AH60" s="1185">
        <f t="shared" si="194"/>
        <v>6.8267587095787619</v>
      </c>
      <c r="AI60" s="1173">
        <f t="shared" si="194"/>
        <v>6.1626795957076093</v>
      </c>
      <c r="AJ60" s="1188">
        <f t="shared" si="194"/>
        <v>1.4955951951880979</v>
      </c>
      <c r="AK60" s="1185">
        <f t="shared" si="194"/>
        <v>6.9999999999999991</v>
      </c>
      <c r="AL60" s="1185">
        <f t="shared" si="194"/>
        <v>0</v>
      </c>
      <c r="AM60" s="1186">
        <f t="shared" si="194"/>
        <v>6.9999999999999991</v>
      </c>
      <c r="AN60" s="1186">
        <f t="shared" si="194"/>
        <v>2.4310387245020504</v>
      </c>
      <c r="AO60" s="1173">
        <f t="shared" si="194"/>
        <v>6.2696050666168093</v>
      </c>
      <c r="AP60" s="1188">
        <f t="shared" si="194"/>
        <v>1.3197921571758402</v>
      </c>
      <c r="AQ60" s="1185">
        <f t="shared" si="194"/>
        <v>6.9999999999999982</v>
      </c>
      <c r="AR60" s="1185">
        <f t="shared" si="194"/>
        <v>5.4558350155491295</v>
      </c>
      <c r="AS60" s="1173">
        <f t="shared" si="194"/>
        <v>6.3526152359028005</v>
      </c>
      <c r="AT60" s="1188">
        <f t="shared" si="194"/>
        <v>1.7611553178885349</v>
      </c>
      <c r="AU60" s="1185">
        <f t="shared" si="194"/>
        <v>7</v>
      </c>
      <c r="AV60" s="1185">
        <f t="shared" si="194"/>
        <v>0</v>
      </c>
      <c r="AW60" s="1173">
        <f t="shared" si="194"/>
        <v>6.4126521535301118</v>
      </c>
      <c r="AX60" s="1188">
        <f t="shared" si="194"/>
        <v>1.6132941840611335</v>
      </c>
      <c r="AY60" s="1185">
        <f t="shared" si="194"/>
        <v>6.9999999999999982</v>
      </c>
      <c r="AZ60" s="1185">
        <f t="shared" si="194"/>
        <v>0</v>
      </c>
      <c r="BA60" s="1186">
        <f t="shared" si="194"/>
        <v>6.9999999999999991</v>
      </c>
      <c r="BB60" s="1186">
        <f t="shared" si="194"/>
        <v>1.8845629792679226</v>
      </c>
      <c r="BC60" s="1114">
        <f t="shared" si="194"/>
        <v>7</v>
      </c>
      <c r="BD60" s="1189">
        <f t="shared" si="194"/>
        <v>2.1535005630207587</v>
      </c>
      <c r="BE60" s="1188">
        <f t="shared" si="194"/>
        <v>6.4675534352405375</v>
      </c>
      <c r="BF60" s="1188">
        <f t="shared" si="194"/>
        <v>1.4649197720342699</v>
      </c>
      <c r="BG60" s="23"/>
      <c r="BH60" s="23"/>
      <c r="BI60" s="23"/>
      <c r="BJ60" s="23"/>
      <c r="BK60" s="23"/>
      <c r="BL60" s="23"/>
    </row>
    <row r="61" spans="2:64" x14ac:dyDescent="0.3">
      <c r="B61" s="5176" t="s">
        <v>1772</v>
      </c>
      <c r="C61" s="2892" t="s">
        <v>217</v>
      </c>
      <c r="D61" s="1094">
        <f t="shared" si="180"/>
        <v>6</v>
      </c>
      <c r="E61" s="1185">
        <f t="shared" ref="E61:H61" si="195">+E49/E$67*1000</f>
        <v>6</v>
      </c>
      <c r="F61" s="1185">
        <f t="shared" ref="F61:BF61" si="196">+F49/F$67*1000</f>
        <v>1.4709709539812394</v>
      </c>
      <c r="G61" s="1185">
        <f t="shared" si="195"/>
        <v>6</v>
      </c>
      <c r="H61" s="1185">
        <f t="shared" si="195"/>
        <v>0</v>
      </c>
      <c r="I61" s="1188">
        <f t="shared" si="196"/>
        <v>6.0000000000000009</v>
      </c>
      <c r="J61" s="1188">
        <f t="shared" si="196"/>
        <v>1.0234185722917293</v>
      </c>
      <c r="K61" s="1185">
        <f t="shared" si="196"/>
        <v>6</v>
      </c>
      <c r="L61" s="1185">
        <f t="shared" si="196"/>
        <v>1.8257971584536801</v>
      </c>
      <c r="M61" s="1186">
        <f t="shared" si="196"/>
        <v>6</v>
      </c>
      <c r="N61" s="1186">
        <f t="shared" si="196"/>
        <v>1.3648056537102473</v>
      </c>
      <c r="O61" s="1185">
        <f t="shared" si="196"/>
        <v>5.9999999999999991</v>
      </c>
      <c r="P61" s="1185">
        <f t="shared" si="196"/>
        <v>0.85687003718966726</v>
      </c>
      <c r="Q61" s="1188">
        <f t="shared" si="196"/>
        <v>5.9999999999999991</v>
      </c>
      <c r="R61" s="1188">
        <f t="shared" si="196"/>
        <v>1.207172852647709</v>
      </c>
      <c r="S61" s="1185">
        <f t="shared" si="196"/>
        <v>5.9999999999999991</v>
      </c>
      <c r="T61" s="1185">
        <f t="shared" si="196"/>
        <v>1.999065710803567</v>
      </c>
      <c r="U61" s="1188">
        <f t="shared" si="196"/>
        <v>5.9999999999999982</v>
      </c>
      <c r="V61" s="1188">
        <f t="shared" si="196"/>
        <v>1.3893608819859815</v>
      </c>
      <c r="W61" s="1185">
        <f t="shared" si="196"/>
        <v>5.9999999999999991</v>
      </c>
      <c r="X61" s="1185">
        <f t="shared" si="196"/>
        <v>1.1286501024590165</v>
      </c>
      <c r="Y61" s="3528">
        <f t="shared" si="196"/>
        <v>5.9999999999999991</v>
      </c>
      <c r="Z61" s="1186">
        <f t="shared" si="196"/>
        <v>1.3236175766032858</v>
      </c>
      <c r="AA61" s="2447">
        <f t="shared" si="196"/>
        <v>5.9999999999999982</v>
      </c>
      <c r="AB61" s="1189">
        <f t="shared" si="196"/>
        <v>1.3414707067300953</v>
      </c>
      <c r="AC61" s="1185">
        <f t="shared" si="196"/>
        <v>6</v>
      </c>
      <c r="AD61" s="1185">
        <f t="shared" si="196"/>
        <v>1.5392372813884982</v>
      </c>
      <c r="AE61" s="2444">
        <f t="shared" si="196"/>
        <v>5.9999999999999973</v>
      </c>
      <c r="AF61" s="2894">
        <f t="shared" si="196"/>
        <v>1.3669287787830107</v>
      </c>
      <c r="AG61" s="1185">
        <f t="shared" si="196"/>
        <v>6</v>
      </c>
      <c r="AH61" s="1185">
        <f t="shared" si="196"/>
        <v>0.83286456256860886</v>
      </c>
      <c r="AI61" s="2444">
        <f t="shared" si="196"/>
        <v>5.9999999999999982</v>
      </c>
      <c r="AJ61" s="2894">
        <f t="shared" si="196"/>
        <v>1.2947053714393755</v>
      </c>
      <c r="AK61" s="1185">
        <f t="shared" si="196"/>
        <v>6</v>
      </c>
      <c r="AL61" s="1185">
        <f t="shared" si="196"/>
        <v>2.1374333611486138</v>
      </c>
      <c r="AM61" s="3528">
        <f t="shared" si="196"/>
        <v>6</v>
      </c>
      <c r="AN61" s="3528">
        <f t="shared" si="196"/>
        <v>1.4975198542932631</v>
      </c>
      <c r="AO61" s="2444">
        <f t="shared" si="196"/>
        <v>5.9999999999999982</v>
      </c>
      <c r="AP61" s="2894">
        <f t="shared" si="196"/>
        <v>1.3937656928990294</v>
      </c>
      <c r="AQ61" s="1185">
        <f t="shared" si="196"/>
        <v>6</v>
      </c>
      <c r="AR61" s="1185">
        <f t="shared" si="196"/>
        <v>3.9936712313819629</v>
      </c>
      <c r="AS61" s="2444">
        <f t="shared" si="196"/>
        <v>5.9999999999999982</v>
      </c>
      <c r="AT61" s="2894">
        <f t="shared" si="196"/>
        <v>1.671205401652575</v>
      </c>
      <c r="AU61" s="1185">
        <f t="shared" si="196"/>
        <v>5.9999999999999991</v>
      </c>
      <c r="AV61" s="1185">
        <f t="shared" si="196"/>
        <v>3.1412182463807703</v>
      </c>
      <c r="AW61" s="2444">
        <f t="shared" si="196"/>
        <v>5.9999999999999982</v>
      </c>
      <c r="AX61" s="2894">
        <f t="shared" si="196"/>
        <v>1.7946231171456908</v>
      </c>
      <c r="AY61" s="1185">
        <f t="shared" si="196"/>
        <v>6</v>
      </c>
      <c r="AZ61" s="1185">
        <f t="shared" si="196"/>
        <v>2.2115273228935202</v>
      </c>
      <c r="BA61" s="3528">
        <f t="shared" si="196"/>
        <v>6.0000000000000009</v>
      </c>
      <c r="BB61" s="1186">
        <f t="shared" si="196"/>
        <v>3.1029329453646346</v>
      </c>
      <c r="BC61" s="2447">
        <f t="shared" si="196"/>
        <v>6</v>
      </c>
      <c r="BD61" s="1189">
        <f t="shared" si="196"/>
        <v>2.3128596046842942</v>
      </c>
      <c r="BE61" s="2894">
        <f t="shared" si="196"/>
        <v>5.9999999999999982</v>
      </c>
      <c r="BF61" s="1188">
        <f t="shared" si="196"/>
        <v>1.832965731289161</v>
      </c>
      <c r="BG61" s="23"/>
      <c r="BH61" s="23"/>
      <c r="BI61" s="23"/>
      <c r="BJ61" s="23"/>
      <c r="BK61" s="23"/>
      <c r="BL61" s="23"/>
    </row>
    <row r="62" spans="2:64" x14ac:dyDescent="0.3">
      <c r="B62" s="5175" t="s">
        <v>68</v>
      </c>
      <c r="C62" s="60" t="s">
        <v>217</v>
      </c>
      <c r="D62" s="1094">
        <f>D50/$D$67*1000</f>
        <v>75.000000000000014</v>
      </c>
      <c r="E62" s="1172">
        <f t="shared" ref="E62:H62" si="197">+E50/E$67*1000</f>
        <v>75</v>
      </c>
      <c r="F62" s="1172">
        <f t="shared" ref="F62:BF62" si="198">+F50/F$67*1000</f>
        <v>40</v>
      </c>
      <c r="G62" s="1172">
        <f t="shared" si="197"/>
        <v>75.000000000000014</v>
      </c>
      <c r="H62" s="1172">
        <f t="shared" si="197"/>
        <v>40</v>
      </c>
      <c r="I62" s="1173">
        <f t="shared" si="198"/>
        <v>75.000000000000014</v>
      </c>
      <c r="J62" s="1173">
        <f t="shared" si="198"/>
        <v>40</v>
      </c>
      <c r="K62" s="1172">
        <f t="shared" si="198"/>
        <v>40</v>
      </c>
      <c r="L62" s="1172">
        <f t="shared" si="198"/>
        <v>40</v>
      </c>
      <c r="M62" s="1175">
        <f t="shared" si="198"/>
        <v>60.933779881776502</v>
      </c>
      <c r="N62" s="1175">
        <f t="shared" si="198"/>
        <v>40</v>
      </c>
      <c r="O62" s="1172">
        <f t="shared" si="198"/>
        <v>40</v>
      </c>
      <c r="P62" s="1172">
        <f t="shared" si="198"/>
        <v>40</v>
      </c>
      <c r="Q62" s="1173">
        <f t="shared" si="198"/>
        <v>54.8844511247719</v>
      </c>
      <c r="R62" s="1173">
        <f t="shared" si="198"/>
        <v>40</v>
      </c>
      <c r="S62" s="1172">
        <f t="shared" si="198"/>
        <v>40</v>
      </c>
      <c r="T62" s="1172">
        <f t="shared" si="198"/>
        <v>40</v>
      </c>
      <c r="U62" s="1173">
        <f t="shared" si="198"/>
        <v>51.547513953199974</v>
      </c>
      <c r="V62" s="1173">
        <f t="shared" si="198"/>
        <v>40</v>
      </c>
      <c r="W62" s="1172">
        <f t="shared" si="198"/>
        <v>40</v>
      </c>
      <c r="X62" s="1172">
        <f t="shared" si="198"/>
        <v>40</v>
      </c>
      <c r="Y62" s="1175">
        <f t="shared" si="198"/>
        <v>40</v>
      </c>
      <c r="Z62" s="1186">
        <f t="shared" si="198"/>
        <v>40</v>
      </c>
      <c r="AA62" s="1114">
        <f t="shared" si="198"/>
        <v>50.276407325175214</v>
      </c>
      <c r="AB62" s="1189">
        <f t="shared" si="198"/>
        <v>40</v>
      </c>
      <c r="AC62" s="1172">
        <f t="shared" si="198"/>
        <v>40</v>
      </c>
      <c r="AD62" s="1172">
        <f t="shared" si="198"/>
        <v>40</v>
      </c>
      <c r="AE62" s="1173">
        <f t="shared" si="198"/>
        <v>48.54078589729496</v>
      </c>
      <c r="AF62" s="1173">
        <f t="shared" si="198"/>
        <v>40</v>
      </c>
      <c r="AG62" s="1172">
        <f t="shared" si="198"/>
        <v>40</v>
      </c>
      <c r="AH62" s="1172">
        <f t="shared" si="198"/>
        <v>40</v>
      </c>
      <c r="AI62" s="1173">
        <f t="shared" si="198"/>
        <v>47.326553537558418</v>
      </c>
      <c r="AJ62" s="1173">
        <f t="shared" si="198"/>
        <v>40</v>
      </c>
      <c r="AK62" s="1172">
        <f t="shared" si="198"/>
        <v>40</v>
      </c>
      <c r="AL62" s="1172">
        <f t="shared" si="198"/>
        <v>40</v>
      </c>
      <c r="AM62" s="1175">
        <f t="shared" si="198"/>
        <v>40</v>
      </c>
      <c r="AN62" s="1186">
        <f t="shared" si="198"/>
        <v>40</v>
      </c>
      <c r="AO62" s="1173">
        <f t="shared" si="198"/>
        <v>46.390955667102915</v>
      </c>
      <c r="AP62" s="1173">
        <f t="shared" si="198"/>
        <v>40</v>
      </c>
      <c r="AQ62" s="1172">
        <f t="shared" si="198"/>
        <v>39.999999999999993</v>
      </c>
      <c r="AR62" s="1172">
        <f t="shared" si="198"/>
        <v>40</v>
      </c>
      <c r="AS62" s="1173">
        <f t="shared" si="198"/>
        <v>45.664616685850483</v>
      </c>
      <c r="AT62" s="1173">
        <f t="shared" si="198"/>
        <v>40.000000000000007</v>
      </c>
      <c r="AU62" s="1172">
        <f t="shared" si="198"/>
        <v>40</v>
      </c>
      <c r="AV62" s="1172">
        <f t="shared" si="198"/>
        <v>40</v>
      </c>
      <c r="AW62" s="1173">
        <f t="shared" si="198"/>
        <v>45.139293656611514</v>
      </c>
      <c r="AX62" s="1173">
        <f t="shared" si="198"/>
        <v>40</v>
      </c>
      <c r="AY62" s="1172">
        <f t="shared" si="198"/>
        <v>39.999999999999993</v>
      </c>
      <c r="AZ62" s="1172">
        <f t="shared" si="198"/>
        <v>40</v>
      </c>
      <c r="BA62" s="1175">
        <f t="shared" si="198"/>
        <v>39.999999999999993</v>
      </c>
      <c r="BB62" s="1186">
        <f t="shared" si="198"/>
        <v>40</v>
      </c>
      <c r="BC62" s="1114">
        <f t="shared" si="198"/>
        <v>40</v>
      </c>
      <c r="BD62" s="1189">
        <f t="shared" si="198"/>
        <v>40</v>
      </c>
      <c r="BE62" s="1188">
        <f t="shared" si="198"/>
        <v>44.658907441645304</v>
      </c>
      <c r="BF62" s="1188">
        <f t="shared" si="198"/>
        <v>40</v>
      </c>
      <c r="BG62" s="23"/>
      <c r="BH62" s="23"/>
      <c r="BI62" s="23"/>
      <c r="BJ62" s="23"/>
      <c r="BK62" s="23"/>
      <c r="BL62" s="23"/>
    </row>
    <row r="63" spans="2:64" ht="15.6" x14ac:dyDescent="0.3">
      <c r="B63" s="1177" t="s">
        <v>21</v>
      </c>
      <c r="C63" s="1178" t="s">
        <v>217</v>
      </c>
      <c r="D63" s="187">
        <f t="shared" ref="D63:AB63" si="199">SUM(D53:D62)</f>
        <v>1566.9756412087779</v>
      </c>
      <c r="E63" s="1179">
        <f t="shared" ref="E63:F63" si="200">SUM(E53:E62)</f>
        <v>1566.9756412087779</v>
      </c>
      <c r="F63" s="1179">
        <f t="shared" si="200"/>
        <v>1606.4727248039651</v>
      </c>
      <c r="G63" s="1179">
        <f t="shared" ref="G63:H63" si="201">SUM(G53:G62)</f>
        <v>1566.9756412087779</v>
      </c>
      <c r="H63" s="1179">
        <f t="shared" si="201"/>
        <v>1563.5905894833529</v>
      </c>
      <c r="I63" s="1180">
        <f t="shared" si="199"/>
        <v>1566.9756412087781</v>
      </c>
      <c r="J63" s="1180">
        <f t="shared" si="199"/>
        <v>1593.4255590915975</v>
      </c>
      <c r="K63" s="1179">
        <f t="shared" ref="K63:L63" si="202">SUM(K53:K62)</f>
        <v>1536.9086439182634</v>
      </c>
      <c r="L63" s="1179">
        <f t="shared" si="202"/>
        <v>1579.9547138521398</v>
      </c>
      <c r="M63" s="1182">
        <f t="shared" si="199"/>
        <v>1554.8919554321378</v>
      </c>
      <c r="N63" s="1182">
        <f t="shared" si="199"/>
        <v>1586.6719434628976</v>
      </c>
      <c r="O63" s="1179">
        <f t="shared" ref="O63:P63" si="203">SUM(O53:O62)</f>
        <v>1537.0182059996962</v>
      </c>
      <c r="P63" s="1179">
        <f t="shared" si="203"/>
        <v>1579.3878781787118</v>
      </c>
      <c r="Q63" s="1180">
        <f t="shared" si="199"/>
        <v>1549.7268974709004</v>
      </c>
      <c r="R63" s="1180">
        <f t="shared" si="199"/>
        <v>1584.4114057559063</v>
      </c>
      <c r="S63" s="1179">
        <f t="shared" ref="S63:T63" si="204">SUM(S53:S62)</f>
        <v>1537.0182059996962</v>
      </c>
      <c r="T63" s="1179">
        <f t="shared" si="204"/>
        <v>1546.1898486086136</v>
      </c>
      <c r="U63" s="1180">
        <f t="shared" ref="U63:X63" si="205">SUM(U53:U62)</f>
        <v>1546.8777426974518</v>
      </c>
      <c r="V63" s="1180">
        <f t="shared" si="205"/>
        <v>1575.6179053433357</v>
      </c>
      <c r="W63" s="1179">
        <f t="shared" si="205"/>
        <v>1536.1672797797585</v>
      </c>
      <c r="X63" s="1179">
        <f t="shared" si="205"/>
        <v>1548.0438866120217</v>
      </c>
      <c r="Y63" s="1182">
        <f t="shared" si="199"/>
        <v>1536.8342207956077</v>
      </c>
      <c r="Z63" s="1182">
        <f t="shared" si="199"/>
        <v>1558.2203658894234</v>
      </c>
      <c r="AA63" s="1183">
        <f t="shared" si="199"/>
        <v>1545.6987754791332</v>
      </c>
      <c r="AB63" s="1183">
        <f t="shared" si="199"/>
        <v>1570.5528114030401</v>
      </c>
      <c r="AC63" s="1179">
        <f t="shared" ref="AC63:AD63" si="206">SUM(AC53:AC62)</f>
        <v>1537.1954840135079</v>
      </c>
      <c r="AD63" s="1179">
        <f t="shared" si="206"/>
        <v>1579.3727608078345</v>
      </c>
      <c r="AE63" s="1180">
        <f t="shared" ref="AE63:AH63" si="207">SUM(AE53:AE62)</f>
        <v>1544.2626223170166</v>
      </c>
      <c r="AF63" s="1180">
        <f t="shared" si="207"/>
        <v>1571.6881847988634</v>
      </c>
      <c r="AG63" s="1179">
        <f t="shared" si="207"/>
        <v>1535.0670578305549</v>
      </c>
      <c r="AH63" s="1179">
        <f t="shared" si="207"/>
        <v>1558.5591716137912</v>
      </c>
      <c r="AI63" s="1180">
        <f t="shared" ref="AI63:AL63" si="208">SUM(AI53:AI62)</f>
        <v>1542.9553009417041</v>
      </c>
      <c r="AJ63" s="1180">
        <f t="shared" si="208"/>
        <v>1569.9127015545325</v>
      </c>
      <c r="AK63" s="1179">
        <f t="shared" si="208"/>
        <v>1535.4040895231792</v>
      </c>
      <c r="AL63" s="1179">
        <f t="shared" si="208"/>
        <v>1559.1663178205388</v>
      </c>
      <c r="AM63" s="1182">
        <f t="shared" ref="AM63:AN63" si="209">SUM(AM53:AM62)</f>
        <v>1535.8923316068406</v>
      </c>
      <c r="AN63" s="1182">
        <f t="shared" si="209"/>
        <v>1564.8732796754466</v>
      </c>
      <c r="AO63" s="1180">
        <f t="shared" ref="AO63:AT63" si="210">SUM(AO53:AO62)</f>
        <v>1541.9910143523389</v>
      </c>
      <c r="AP63" s="1180">
        <f t="shared" si="210"/>
        <v>1568.6494941611418</v>
      </c>
      <c r="AQ63" s="1179">
        <f t="shared" si="210"/>
        <v>1537.3327201722857</v>
      </c>
      <c r="AR63" s="1179">
        <f t="shared" si="210"/>
        <v>1587.9224180260792</v>
      </c>
      <c r="AS63" s="1180">
        <f t="shared" si="210"/>
        <v>1541.4615942115402</v>
      </c>
      <c r="AT63" s="1180">
        <f t="shared" si="210"/>
        <v>1570.7061359524578</v>
      </c>
      <c r="AU63" s="1179">
        <f t="shared" ref="AU63:AX63" si="211">SUM(AU53:AU62)</f>
        <v>1536.2799587234786</v>
      </c>
      <c r="AV63" s="1179">
        <f t="shared" si="211"/>
        <v>1599.9104324018729</v>
      </c>
      <c r="AW63" s="1180">
        <f t="shared" si="211"/>
        <v>1540.9810617056435</v>
      </c>
      <c r="AX63" s="1180">
        <f t="shared" si="211"/>
        <v>1573.1580380316102</v>
      </c>
      <c r="AY63" s="1179">
        <f t="shared" ref="AY63:AZ63" si="212">SUM(AY53:AY62)</f>
        <v>1537.3327201722857</v>
      </c>
      <c r="AZ63" s="1179">
        <f t="shared" si="212"/>
        <v>1594.0514127447159</v>
      </c>
      <c r="BA63" s="1182">
        <f t="shared" ref="BA63:BD63" si="213">SUM(BA53:BA62)</f>
        <v>1537.0061531250806</v>
      </c>
      <c r="BB63" s="1182">
        <f t="shared" si="213"/>
        <v>1593.6725421058486</v>
      </c>
      <c r="BC63" s="1183">
        <f t="shared" si="213"/>
        <v>1536.4445463747572</v>
      </c>
      <c r="BD63" s="1183">
        <f t="shared" si="213"/>
        <v>1579.4995360402675</v>
      </c>
      <c r="BE63" s="4979">
        <f t="shared" ref="BE63:BF63" si="214">SUM(BE53:BE62)</f>
        <v>1540.6400395541148</v>
      </c>
      <c r="BF63" s="4979">
        <f t="shared" si="214"/>
        <v>1575.0795984134313</v>
      </c>
      <c r="BG63" s="23"/>
      <c r="BH63" s="23"/>
      <c r="BI63" s="23"/>
      <c r="BJ63" s="23"/>
      <c r="BK63" s="23"/>
      <c r="BL63" s="23"/>
    </row>
    <row r="64" spans="2:64" ht="17.399999999999999" x14ac:dyDescent="0.3">
      <c r="B64" s="1170" t="s">
        <v>218</v>
      </c>
      <c r="C64" s="1170"/>
      <c r="D64" s="227"/>
      <c r="E64" s="1170"/>
      <c r="F64" s="1170"/>
      <c r="G64" s="1170"/>
      <c r="H64" s="1170"/>
      <c r="I64" s="1170"/>
      <c r="J64" s="1170"/>
      <c r="K64" s="1170"/>
      <c r="L64" s="1170"/>
      <c r="M64" s="1170"/>
      <c r="N64" s="1170"/>
      <c r="O64" s="1170"/>
      <c r="P64" s="1170"/>
      <c r="Q64" s="1170"/>
      <c r="R64" s="1170"/>
      <c r="S64" s="1170"/>
      <c r="T64" s="1170"/>
      <c r="U64" s="1170"/>
      <c r="V64" s="1170"/>
      <c r="W64" s="1170"/>
      <c r="X64" s="1170"/>
      <c r="Y64" s="1170"/>
      <c r="Z64" s="1170"/>
      <c r="AA64" s="1170"/>
      <c r="AB64" s="1170"/>
      <c r="AC64" s="1170"/>
      <c r="AD64" s="1170"/>
      <c r="AE64" s="1170"/>
      <c r="AF64" s="1170"/>
      <c r="AG64" s="1170"/>
      <c r="AH64" s="1170"/>
      <c r="AI64" s="1170"/>
      <c r="AJ64" s="1170"/>
      <c r="AK64" s="1170"/>
      <c r="AL64" s="1170"/>
      <c r="AM64" s="1170"/>
      <c r="AN64" s="1170"/>
      <c r="AO64" s="1170"/>
      <c r="AP64" s="1170"/>
      <c r="AQ64" s="1170"/>
      <c r="AR64" s="1170"/>
      <c r="AS64" s="1170"/>
      <c r="AT64" s="1170"/>
      <c r="AU64" s="1170"/>
      <c r="AV64" s="1170"/>
      <c r="AW64" s="1170"/>
      <c r="AX64" s="1170"/>
      <c r="AY64" s="1170"/>
      <c r="AZ64" s="1170"/>
      <c r="BA64" s="1170"/>
      <c r="BB64" s="1170"/>
      <c r="BC64" s="1170"/>
      <c r="BD64" s="1170"/>
      <c r="BE64" s="1170"/>
      <c r="BF64" s="1170"/>
      <c r="BG64" s="23"/>
      <c r="BH64" s="23"/>
      <c r="BI64" s="23"/>
      <c r="BJ64" s="23"/>
      <c r="BK64" s="23"/>
      <c r="BL64" s="23"/>
    </row>
    <row r="65" spans="2:64" x14ac:dyDescent="0.3">
      <c r="B65" s="1171" t="s">
        <v>45</v>
      </c>
      <c r="C65" s="60" t="s">
        <v>50</v>
      </c>
      <c r="D65" s="1094">
        <v>2103443.1844707779</v>
      </c>
      <c r="E65" s="1172">
        <v>145838.7274566406</v>
      </c>
      <c r="F65" s="1172">
        <v>181493</v>
      </c>
      <c r="G65" s="1172">
        <v>131114.62516534515</v>
      </c>
      <c r="H65" s="1172">
        <v>71208</v>
      </c>
      <c r="I65" s="1173">
        <f>+E65+G65</f>
        <v>276953.35262198572</v>
      </c>
      <c r="J65" s="1173">
        <f>+F65+H65</f>
        <v>252701</v>
      </c>
      <c r="K65" s="1172">
        <v>186095.71909429212</v>
      </c>
      <c r="L65" s="1172">
        <v>197042</v>
      </c>
      <c r="M65" s="1175">
        <f>+K65+G65+E65</f>
        <v>463049.07171627786</v>
      </c>
      <c r="N65" s="1175">
        <f>+L65+H65+F65</f>
        <v>449743</v>
      </c>
      <c r="O65" s="1172">
        <v>188192.09670255746</v>
      </c>
      <c r="P65" s="1172">
        <v>207709</v>
      </c>
      <c r="Q65" s="1173">
        <f>+M65+O65</f>
        <v>651241.16841883538</v>
      </c>
      <c r="R65" s="1173">
        <f>+N65+P65</f>
        <v>657452</v>
      </c>
      <c r="S65" s="1172">
        <v>188192.09670255746</v>
      </c>
      <c r="T65" s="1172">
        <v>192174</v>
      </c>
      <c r="U65" s="1173">
        <f>+Q65+S65</f>
        <v>839433.26512139291</v>
      </c>
      <c r="V65" s="1173">
        <f>+R65+T65</f>
        <v>849626</v>
      </c>
      <c r="W65" s="1172">
        <v>103830.9550523845</v>
      </c>
      <c r="X65" s="1172">
        <v>186581</v>
      </c>
      <c r="Y65" s="1175">
        <f>+O65+S65+W65</f>
        <v>480215.14845749945</v>
      </c>
      <c r="Z65" s="1175">
        <f>+P65+T65+X65</f>
        <v>586464</v>
      </c>
      <c r="AA65" s="1114">
        <f>+U65+W65</f>
        <v>943264.22017377743</v>
      </c>
      <c r="AB65" s="1114">
        <f>+N65+Z65</f>
        <v>1036207</v>
      </c>
      <c r="AC65" s="1172">
        <v>191686.05938299978</v>
      </c>
      <c r="AD65" s="1172">
        <v>147112</v>
      </c>
      <c r="AE65" s="1173">
        <f>+AA65+AC65</f>
        <v>1134950.2795567773</v>
      </c>
      <c r="AF65" s="1173">
        <f>+AB65+AD65</f>
        <v>1183319</v>
      </c>
      <c r="AG65" s="1172">
        <v>188095.71909429212</v>
      </c>
      <c r="AH65" s="1172">
        <v>187626</v>
      </c>
      <c r="AI65" s="1173">
        <f>+AE65+AG65</f>
        <v>1323045.9986510694</v>
      </c>
      <c r="AJ65" s="1173">
        <f>+AF65+AH65</f>
        <v>1370945</v>
      </c>
      <c r="AK65" s="1172">
        <v>193686.05938299978</v>
      </c>
      <c r="AL65" s="1172">
        <v>193365</v>
      </c>
      <c r="AM65" s="1175">
        <f>+AC65+AG65+AK65</f>
        <v>573467.83786029171</v>
      </c>
      <c r="AN65" s="1175">
        <f>+AD65+AH65+AL65</f>
        <v>528103</v>
      </c>
      <c r="AO65" s="1173">
        <f>AI65+AK65</f>
        <v>1516732.0580340691</v>
      </c>
      <c r="AP65" s="1173">
        <f>AJ65+AL65</f>
        <v>1564310</v>
      </c>
      <c r="AQ65" s="1172">
        <v>194481.22952735363</v>
      </c>
      <c r="AR65" s="1172">
        <v>188026</v>
      </c>
      <c r="AS65" s="1173">
        <f>+AO65+AQ65</f>
        <v>1711213.2875614227</v>
      </c>
      <c r="AT65" s="1173">
        <f>+AP65+AR65</f>
        <v>1752336</v>
      </c>
      <c r="AU65" s="1172">
        <v>174915.03851687672</v>
      </c>
      <c r="AV65" s="1172">
        <v>159714</v>
      </c>
      <c r="AW65" s="1173">
        <f>+AS65+AU65</f>
        <v>1886128.3260782994</v>
      </c>
      <c r="AX65" s="1173">
        <f>+AT65+AV65</f>
        <v>1912050</v>
      </c>
      <c r="AY65" s="1172">
        <v>194481.22952735363</v>
      </c>
      <c r="AZ65" s="1172">
        <v>201867</v>
      </c>
      <c r="BA65" s="1175">
        <f>+AQ65+AU65+AY65</f>
        <v>563877.49757158395</v>
      </c>
      <c r="BB65" s="1175">
        <f>+AR65+AV65+AZ65</f>
        <v>549607</v>
      </c>
      <c r="BC65" s="1114">
        <f t="shared" ref="BC65:BC66" si="215">AM65+BA65</f>
        <v>1137345.3354318757</v>
      </c>
      <c r="BD65" s="1114">
        <f t="shared" ref="BD65:BD66" si="216">AN65+BB65</f>
        <v>1077710</v>
      </c>
      <c r="BE65" s="1173">
        <f>+AW65+AY65</f>
        <v>2080609.555605653</v>
      </c>
      <c r="BF65" s="1173">
        <f>+AX65+AZ65</f>
        <v>2113917</v>
      </c>
      <c r="BG65" s="23"/>
      <c r="BH65" s="23"/>
      <c r="BI65" s="23"/>
      <c r="BJ65" s="23"/>
      <c r="BK65" s="23"/>
      <c r="BL65" s="23"/>
    </row>
    <row r="66" spans="2:64" x14ac:dyDescent="0.3">
      <c r="B66" s="1171" t="s">
        <v>94</v>
      </c>
      <c r="C66" s="60" t="s">
        <v>50</v>
      </c>
      <c r="D66" s="1094">
        <v>2103443.1844707779</v>
      </c>
      <c r="E66" s="1172">
        <v>145838.7274566406</v>
      </c>
      <c r="F66" s="1172">
        <v>172015</v>
      </c>
      <c r="G66" s="1172">
        <v>131114.62516534515</v>
      </c>
      <c r="H66" s="1172">
        <v>83385</v>
      </c>
      <c r="I66" s="1173">
        <f>+E66+G66</f>
        <v>276953.35262198572</v>
      </c>
      <c r="J66" s="1173">
        <f>+F66+H66</f>
        <v>255400</v>
      </c>
      <c r="K66" s="1172">
        <v>186095.71909429212</v>
      </c>
      <c r="L66" s="1172">
        <v>179232</v>
      </c>
      <c r="M66" s="1175">
        <f>+K66+G66+E66</f>
        <v>463049.07171627786</v>
      </c>
      <c r="N66" s="1175">
        <f>+L66+H66+F66</f>
        <v>434632</v>
      </c>
      <c r="O66" s="1172">
        <v>188192.09670255746</v>
      </c>
      <c r="P66" s="1172">
        <v>190251</v>
      </c>
      <c r="Q66" s="1173">
        <f>+M66+O66</f>
        <v>651241.16841883538</v>
      </c>
      <c r="R66" s="1173">
        <f>+N66+P66</f>
        <v>624883</v>
      </c>
      <c r="S66" s="1172">
        <v>188192.09670255746</v>
      </c>
      <c r="T66" s="1172">
        <v>191005</v>
      </c>
      <c r="U66" s="1173">
        <f>+Q66+S66</f>
        <v>839433.26512139291</v>
      </c>
      <c r="V66" s="1173">
        <f>+R66+T66</f>
        <v>815888</v>
      </c>
      <c r="W66" s="1172">
        <v>103830.9550523845</v>
      </c>
      <c r="X66" s="1172">
        <v>188203</v>
      </c>
      <c r="Y66" s="1175">
        <f>+O66+S66+W66</f>
        <v>480215.14845749945</v>
      </c>
      <c r="Z66" s="1175">
        <f>+P66+T66+X66</f>
        <v>569459</v>
      </c>
      <c r="AA66" s="1114">
        <f>+U66+W66</f>
        <v>943264.22017377743</v>
      </c>
      <c r="AB66" s="1114">
        <f>+N66+Z66</f>
        <v>1004091</v>
      </c>
      <c r="AC66" s="1172">
        <v>191686.05938299978</v>
      </c>
      <c r="AD66" s="1172">
        <v>154336</v>
      </c>
      <c r="AE66" s="1173">
        <f>+AA66+AC66</f>
        <v>1134950.2795567773</v>
      </c>
      <c r="AF66" s="1173">
        <f>+AB66+AD66</f>
        <v>1158427</v>
      </c>
      <c r="AG66" s="1172">
        <v>188095.71909429212</v>
      </c>
      <c r="AH66" s="1172">
        <v>178580</v>
      </c>
      <c r="AI66" s="1173">
        <f>+AE66+AG66</f>
        <v>1323045.9986510694</v>
      </c>
      <c r="AJ66" s="1173">
        <f>+AF66+AH66</f>
        <v>1337007</v>
      </c>
      <c r="AK66" s="1172">
        <v>193686.05938299978</v>
      </c>
      <c r="AL66" s="1172">
        <v>167348</v>
      </c>
      <c r="AM66" s="1175">
        <f>+AC66+AG66+AK66</f>
        <v>573467.83786029171</v>
      </c>
      <c r="AN66" s="1175">
        <f>+AD66+AH66+AL66</f>
        <v>500264</v>
      </c>
      <c r="AO66" s="1173">
        <f>AI66+AK66</f>
        <v>1516732.0580340691</v>
      </c>
      <c r="AP66" s="1173">
        <f>AJ66+AL66</f>
        <v>1504355</v>
      </c>
      <c r="AQ66" s="1172">
        <v>194481.22952735363</v>
      </c>
      <c r="AR66" s="1172">
        <v>178554</v>
      </c>
      <c r="AS66" s="1173">
        <f>+AO66+AQ66</f>
        <v>1711213.2875614227</v>
      </c>
      <c r="AT66" s="1173">
        <f>+AP66+AR66</f>
        <v>1682909</v>
      </c>
      <c r="AU66" s="1172">
        <v>174915.03851687672</v>
      </c>
      <c r="AV66" s="1172">
        <v>155132</v>
      </c>
      <c r="AW66" s="1173">
        <f>+AS66+AU66</f>
        <v>1886128.3260782994</v>
      </c>
      <c r="AX66" s="1173">
        <f>+AT66+AV66</f>
        <v>1838041</v>
      </c>
      <c r="AY66" s="1172">
        <v>194481.22952735363</v>
      </c>
      <c r="AZ66" s="1172">
        <v>177961</v>
      </c>
      <c r="BA66" s="1175">
        <f>+AQ66+AU66+AY66</f>
        <v>563877.49757158395</v>
      </c>
      <c r="BB66" s="1175">
        <f>+AR66+AV66+AZ66</f>
        <v>511647</v>
      </c>
      <c r="BC66" s="1114">
        <f t="shared" si="215"/>
        <v>1137345.3354318757</v>
      </c>
      <c r="BD66" s="1114">
        <f t="shared" si="216"/>
        <v>1011911</v>
      </c>
      <c r="BE66" s="1173">
        <f>+AW66+AY66</f>
        <v>2080609.555605653</v>
      </c>
      <c r="BF66" s="1173">
        <f>+AX66+AZ66</f>
        <v>2016002</v>
      </c>
      <c r="BG66" s="23"/>
      <c r="BH66" s="23"/>
      <c r="BI66" s="23"/>
      <c r="BJ66" s="23"/>
      <c r="BK66" s="23"/>
      <c r="BL66" s="23"/>
    </row>
    <row r="67" spans="2:64" ht="15.6" x14ac:dyDescent="0.3">
      <c r="B67" s="1177" t="s">
        <v>21</v>
      </c>
      <c r="C67" s="1178" t="s">
        <v>50</v>
      </c>
      <c r="D67" s="187">
        <f t="shared" ref="D67:R67" si="217">SUM(D65:D66)</f>
        <v>4206886.3689415557</v>
      </c>
      <c r="E67" s="1179">
        <f t="shared" ref="E67:F67" si="218">SUM(E65:E66)</f>
        <v>291677.4549132812</v>
      </c>
      <c r="F67" s="1179">
        <f t="shared" si="218"/>
        <v>353508</v>
      </c>
      <c r="G67" s="1179">
        <f t="shared" ref="G67:H67" si="219">SUM(G65:G66)</f>
        <v>262229.25033069029</v>
      </c>
      <c r="H67" s="1179">
        <f t="shared" si="219"/>
        <v>154593</v>
      </c>
      <c r="I67" s="1180">
        <f t="shared" si="217"/>
        <v>553906.70524397143</v>
      </c>
      <c r="J67" s="1180">
        <f t="shared" si="217"/>
        <v>508101</v>
      </c>
      <c r="K67" s="1179">
        <f t="shared" ref="K67" si="220">SUM(K65:K66)</f>
        <v>372191.43818858423</v>
      </c>
      <c r="L67" s="1179">
        <f>SUM(L65:L66)</f>
        <v>376274</v>
      </c>
      <c r="M67" s="1182">
        <f t="shared" si="217"/>
        <v>926098.14343255572</v>
      </c>
      <c r="N67" s="1182">
        <f t="shared" si="217"/>
        <v>884375</v>
      </c>
      <c r="O67" s="1179">
        <f t="shared" ref="O67" si="221">SUM(O65:O66)</f>
        <v>376384.19340511493</v>
      </c>
      <c r="P67" s="1179">
        <f>SUM(P65:P66)</f>
        <v>397960</v>
      </c>
      <c r="Q67" s="1180">
        <f t="shared" si="217"/>
        <v>1302482.3368376708</v>
      </c>
      <c r="R67" s="1180">
        <f t="shared" si="217"/>
        <v>1282335</v>
      </c>
      <c r="S67" s="1179">
        <f t="shared" ref="S67" si="222">SUM(S65:S66)</f>
        <v>376384.19340511493</v>
      </c>
      <c r="T67" s="1179">
        <f>SUM(T65:T66)</f>
        <v>383179</v>
      </c>
      <c r="U67" s="1180">
        <f t="shared" ref="U67:W67" si="223">SUM(U65:U66)</f>
        <v>1678866.5302427858</v>
      </c>
      <c r="V67" s="1180">
        <f t="shared" si="223"/>
        <v>1665514</v>
      </c>
      <c r="W67" s="1179">
        <f t="shared" si="223"/>
        <v>207661.91010476899</v>
      </c>
      <c r="X67" s="1179">
        <f>SUM(X65:X66)</f>
        <v>374784</v>
      </c>
      <c r="Y67" s="1182">
        <f t="shared" ref="Y67:AC67" si="224">SUM(Y65:Y66)</f>
        <v>960430.29691499891</v>
      </c>
      <c r="Z67" s="1182">
        <f t="shared" si="224"/>
        <v>1155923</v>
      </c>
      <c r="AA67" s="1183">
        <f t="shared" si="224"/>
        <v>1886528.4403475549</v>
      </c>
      <c r="AB67" s="1183">
        <f t="shared" si="224"/>
        <v>2040298</v>
      </c>
      <c r="AC67" s="1179">
        <f t="shared" si="224"/>
        <v>383372.11876599956</v>
      </c>
      <c r="AD67" s="1179">
        <f>SUM(AD65:AD66)</f>
        <v>301448</v>
      </c>
      <c r="AE67" s="1180">
        <f t="shared" ref="AE67:AG67" si="225">SUM(AE65:AE66)</f>
        <v>2269900.5591135547</v>
      </c>
      <c r="AF67" s="1180">
        <f t="shared" si="225"/>
        <v>2341746</v>
      </c>
      <c r="AG67" s="1179">
        <f t="shared" si="225"/>
        <v>376191.43818858423</v>
      </c>
      <c r="AH67" s="1179">
        <f>SUM(AH65:AH66)</f>
        <v>366206</v>
      </c>
      <c r="AI67" s="1180">
        <f t="shared" ref="AI67:AK67" si="226">SUM(AI65:AI66)</f>
        <v>2646091.9973021387</v>
      </c>
      <c r="AJ67" s="1180">
        <f t="shared" si="226"/>
        <v>2707952</v>
      </c>
      <c r="AK67" s="1179">
        <f t="shared" si="226"/>
        <v>387372.11876599956</v>
      </c>
      <c r="AL67" s="1179">
        <f>SUM(AL65:AL66)</f>
        <v>360713</v>
      </c>
      <c r="AM67" s="1182">
        <f t="shared" ref="AM67:AN67" si="227">SUM(AM65:AM66)</f>
        <v>1146935.6757205834</v>
      </c>
      <c r="AN67" s="1182">
        <f t="shared" si="227"/>
        <v>1028367</v>
      </c>
      <c r="AO67" s="1180">
        <f t="shared" ref="AO67:AT67" si="228">SUM(AO65:AO66)</f>
        <v>3033464.1160681383</v>
      </c>
      <c r="AP67" s="1180">
        <f t="shared" si="228"/>
        <v>3068665</v>
      </c>
      <c r="AQ67" s="1179">
        <f t="shared" si="228"/>
        <v>388962.45905470726</v>
      </c>
      <c r="AR67" s="1179">
        <f>SUM(AR65:AR66)</f>
        <v>366580</v>
      </c>
      <c r="AS67" s="1180">
        <f t="shared" si="228"/>
        <v>3422426.5751228454</v>
      </c>
      <c r="AT67" s="1180">
        <f t="shared" si="228"/>
        <v>3435245</v>
      </c>
      <c r="AU67" s="1179">
        <f t="shared" ref="AU67:AX67" si="229">SUM(AU65:AU66)</f>
        <v>349830.07703375345</v>
      </c>
      <c r="AV67" s="1179">
        <f t="shared" si="229"/>
        <v>314846</v>
      </c>
      <c r="AW67" s="1180">
        <f t="shared" si="229"/>
        <v>3772256.6521565989</v>
      </c>
      <c r="AX67" s="1180">
        <f t="shared" si="229"/>
        <v>3750091</v>
      </c>
      <c r="AY67" s="1179">
        <f t="shared" ref="AY67:AZ67" si="230">SUM(AY65:AY66)</f>
        <v>388962.45905470726</v>
      </c>
      <c r="AZ67" s="1179">
        <f t="shared" si="230"/>
        <v>379828</v>
      </c>
      <c r="BA67" s="1182">
        <f t="shared" ref="BA67:BF67" si="231">SUM(BA65:BA66)</f>
        <v>1127754.9951431679</v>
      </c>
      <c r="BB67" s="1182">
        <f t="shared" si="231"/>
        <v>1061254</v>
      </c>
      <c r="BC67" s="1183">
        <f t="shared" si="231"/>
        <v>2274690.6708637513</v>
      </c>
      <c r="BD67" s="1183">
        <f t="shared" si="231"/>
        <v>2089621</v>
      </c>
      <c r="BE67" s="1180">
        <f t="shared" si="231"/>
        <v>4161219.1112113059</v>
      </c>
      <c r="BF67" s="1180">
        <f t="shared" si="231"/>
        <v>4129919</v>
      </c>
      <c r="BG67" s="23"/>
      <c r="BH67" s="23"/>
      <c r="BI67" s="23"/>
      <c r="BJ67" s="23"/>
      <c r="BK67" s="23"/>
      <c r="BL67" s="23"/>
    </row>
    <row r="68" spans="2:64" ht="15.6" x14ac:dyDescent="0.3">
      <c r="B68" s="6154" t="s">
        <v>89</v>
      </c>
      <c r="C68" s="1178" t="s">
        <v>50</v>
      </c>
      <c r="D68" s="187">
        <f>+D67*D69/1000</f>
        <v>631032.95534123341</v>
      </c>
      <c r="E68" s="1179">
        <f>+E69*E67/1000</f>
        <v>43751.618236992181</v>
      </c>
      <c r="F68" s="1179">
        <v>53026.2</v>
      </c>
      <c r="G68" s="1179">
        <f>+G69*G67/1000</f>
        <v>39334.387549603547</v>
      </c>
      <c r="H68" s="1179">
        <v>23188.95</v>
      </c>
      <c r="I68" s="1180">
        <f>+E68+G68</f>
        <v>83086.005786595721</v>
      </c>
      <c r="J68" s="1180">
        <f>+F68+H68</f>
        <v>76215.149999999994</v>
      </c>
      <c r="K68" s="1179">
        <f>+K69*K67/1000</f>
        <v>55828.715728287636</v>
      </c>
      <c r="L68" s="1179">
        <v>56441.1</v>
      </c>
      <c r="M68" s="1382">
        <f>+K68+G68+E68</f>
        <v>138914.72151488336</v>
      </c>
      <c r="N68" s="1382">
        <f>+L68+H68+F68</f>
        <v>132656.25</v>
      </c>
      <c r="O68" s="1179">
        <f>+O69*O67/1000</f>
        <v>56457.629010767239</v>
      </c>
      <c r="P68" s="1179">
        <v>59694</v>
      </c>
      <c r="Q68" s="1180">
        <f>+M68+O68</f>
        <v>195372.3505256506</v>
      </c>
      <c r="R68" s="1180">
        <f>+N68+P68</f>
        <v>192350.25</v>
      </c>
      <c r="S68" s="1179">
        <f>+S69*S67/1000</f>
        <v>56457.629010767239</v>
      </c>
      <c r="T68" s="1179">
        <v>57476.85</v>
      </c>
      <c r="U68" s="1180">
        <f>+Q68+S68</f>
        <v>251829.97953641784</v>
      </c>
      <c r="V68" s="1180">
        <f>+R68+T68</f>
        <v>249827.1</v>
      </c>
      <c r="W68" s="1179">
        <f>+W69*W67/1000</f>
        <v>31149.28651571535</v>
      </c>
      <c r="X68" s="1179">
        <v>56217.599999999999</v>
      </c>
      <c r="Y68" s="1382">
        <f>+O68+S68+W68</f>
        <v>144064.54453724984</v>
      </c>
      <c r="Z68" s="1382">
        <f>+P68+T68+X68</f>
        <v>173388.45</v>
      </c>
      <c r="AA68" s="1183">
        <f>+U68+W68</f>
        <v>282979.26605213317</v>
      </c>
      <c r="AB68" s="1183">
        <f>+N68+Z68</f>
        <v>306044.7</v>
      </c>
      <c r="AC68" s="1179">
        <f>+AC69*AC67/1000</f>
        <v>57505.817814899936</v>
      </c>
      <c r="AD68" s="1179">
        <v>45217.2</v>
      </c>
      <c r="AE68" s="1180">
        <f>+AA68+AC68</f>
        <v>340485.08386703313</v>
      </c>
      <c r="AF68" s="1180">
        <f>+AB68+AD68</f>
        <v>351261.9</v>
      </c>
      <c r="AG68" s="1179">
        <f>+AG69*AG67/1000</f>
        <v>56428.715728287636</v>
      </c>
      <c r="AH68" s="1179">
        <v>54930.9</v>
      </c>
      <c r="AI68" s="1180">
        <f>+AE68+AG68</f>
        <v>396913.79959532077</v>
      </c>
      <c r="AJ68" s="1180">
        <f>+AF68+AH68</f>
        <v>406192.80000000005</v>
      </c>
      <c r="AK68" s="1179">
        <f>+AK69*AK67/1000</f>
        <v>58105.817814899936</v>
      </c>
      <c r="AL68" s="1179">
        <v>54106.95</v>
      </c>
      <c r="AM68" s="1382">
        <f>+AC68+AG68+AK68</f>
        <v>172040.3513580875</v>
      </c>
      <c r="AN68" s="1382">
        <f>+AD68+AH68+AL68</f>
        <v>154255.04999999999</v>
      </c>
      <c r="AO68" s="1180">
        <f>AI68+AK68</f>
        <v>455019.61741022073</v>
      </c>
      <c r="AP68" s="1180">
        <f>AJ68+AL68</f>
        <v>460299.75000000006</v>
      </c>
      <c r="AQ68" s="1179">
        <f>+AQ69*AQ67/1000</f>
        <v>58344.368858206086</v>
      </c>
      <c r="AR68" s="1179">
        <v>54987</v>
      </c>
      <c r="AS68" s="1180">
        <f>+AO68+AQ68</f>
        <v>513363.98626842682</v>
      </c>
      <c r="AT68" s="1180">
        <f>+AP68+AR68</f>
        <v>515286.75000000006</v>
      </c>
      <c r="AU68" s="1179">
        <f>+AU69*AU67/1000</f>
        <v>52474.511555063014</v>
      </c>
      <c r="AV68" s="1179">
        <v>47226.9</v>
      </c>
      <c r="AW68" s="1180">
        <f>+AS68+AU68</f>
        <v>565838.49782348983</v>
      </c>
      <c r="AX68" s="1180">
        <f>+AT68+AV68</f>
        <v>562513.65</v>
      </c>
      <c r="AY68" s="1179">
        <f>+AY69*AY67/1000</f>
        <v>58344.368858206086</v>
      </c>
      <c r="AZ68" s="1179">
        <v>56974.2</v>
      </c>
      <c r="BA68" s="1382">
        <f>+AQ68+AU68+AY68</f>
        <v>169163.24927147519</v>
      </c>
      <c r="BB68" s="1382">
        <f>+AR68+AV68+AZ68</f>
        <v>159188.09999999998</v>
      </c>
      <c r="BC68" s="1183">
        <f t="shared" ref="BC68:BD68" si="232">AM68+BA68</f>
        <v>341203.60062956269</v>
      </c>
      <c r="BD68" s="1183">
        <f t="shared" si="232"/>
        <v>313443.14999999997</v>
      </c>
      <c r="BE68" s="1180">
        <f>+AW68+AY68</f>
        <v>624182.86668169592</v>
      </c>
      <c r="BF68" s="1180">
        <f>+AX68+AZ68</f>
        <v>619487.85</v>
      </c>
      <c r="BG68" s="23"/>
      <c r="BH68" s="23"/>
      <c r="BI68" s="23"/>
      <c r="BJ68" s="23"/>
      <c r="BK68" s="23"/>
      <c r="BL68" s="23"/>
    </row>
    <row r="69" spans="2:64" ht="16.2" thickBot="1" x14ac:dyDescent="0.35">
      <c r="B69" s="6155"/>
      <c r="C69" s="2904" t="s">
        <v>217</v>
      </c>
      <c r="D69" s="2905">
        <v>150</v>
      </c>
      <c r="E69" s="2904">
        <v>150</v>
      </c>
      <c r="F69" s="2540">
        <f>+F68/F67*1000</f>
        <v>150</v>
      </c>
      <c r="G69" s="2904">
        <v>150</v>
      </c>
      <c r="H69" s="2540">
        <f>+H68/H67*1000</f>
        <v>150</v>
      </c>
      <c r="I69" s="2906">
        <f>+I68/I67*1000</f>
        <v>150.00000000000003</v>
      </c>
      <c r="J69" s="2906">
        <f>+J68/J67*1000</f>
        <v>150</v>
      </c>
      <c r="K69" s="2904">
        <v>150</v>
      </c>
      <c r="L69" s="2540">
        <f>+L68/L67*1000</f>
        <v>150</v>
      </c>
      <c r="M69" s="1381">
        <f>+M68/M67*1000</f>
        <v>150</v>
      </c>
      <c r="N69" s="1381">
        <f>+N68/N67*1000</f>
        <v>150</v>
      </c>
      <c r="O69" s="2904">
        <v>150</v>
      </c>
      <c r="P69" s="2540">
        <f>+P68/P67*1000</f>
        <v>150</v>
      </c>
      <c r="Q69" s="1181">
        <f>+Q68/Q67*1000</f>
        <v>150</v>
      </c>
      <c r="R69" s="1181">
        <f>+R68/R67*1000</f>
        <v>150</v>
      </c>
      <c r="S69" s="2904">
        <v>150</v>
      </c>
      <c r="T69" s="2540">
        <f>+T68/T67*1000</f>
        <v>150</v>
      </c>
      <c r="U69" s="1181">
        <f>+U68/U67*1000</f>
        <v>150</v>
      </c>
      <c r="V69" s="1181">
        <f>+V68/V67*1000</f>
        <v>150</v>
      </c>
      <c r="W69" s="2904">
        <v>150</v>
      </c>
      <c r="X69" s="2540">
        <f>+X68/X67*1000</f>
        <v>150</v>
      </c>
      <c r="Y69" s="1381">
        <f>+Y68/Y67*1000</f>
        <v>150</v>
      </c>
      <c r="Z69" s="1381">
        <f>+Z68/Z67*1000</f>
        <v>150.00000000000003</v>
      </c>
      <c r="AA69" s="1183">
        <f>+AA68/AA67*1000</f>
        <v>149.99999999999997</v>
      </c>
      <c r="AB69" s="1183">
        <f>+AB68/AB67*1000</f>
        <v>150</v>
      </c>
      <c r="AC69" s="2904">
        <v>150</v>
      </c>
      <c r="AD69" s="2540">
        <f>+AD68/AD67*1000</f>
        <v>150</v>
      </c>
      <c r="AE69" s="1181">
        <f>+AE68/AE67*1000</f>
        <v>149.99999999999997</v>
      </c>
      <c r="AF69" s="1181">
        <f>+AF68/AF67*1000</f>
        <v>150.00000000000003</v>
      </c>
      <c r="AG69" s="2904">
        <v>150</v>
      </c>
      <c r="AH69" s="2540">
        <f>+AH68/AH67*1000</f>
        <v>150</v>
      </c>
      <c r="AI69" s="1181">
        <f>+AI68/AI67*1000</f>
        <v>150</v>
      </c>
      <c r="AJ69" s="1181">
        <f>+AJ68/AJ67*1000</f>
        <v>150.00000000000003</v>
      </c>
      <c r="AK69" s="2904">
        <v>150</v>
      </c>
      <c r="AL69" s="2540">
        <f>+AL68/AL67*1000</f>
        <v>150</v>
      </c>
      <c r="AM69" s="1381">
        <f>+AM68/AM67*1000</f>
        <v>150</v>
      </c>
      <c r="AN69" s="1381">
        <f>+AN68/AN67*1000</f>
        <v>150</v>
      </c>
      <c r="AO69" s="1181">
        <f>+AO68/AO67*1000</f>
        <v>150</v>
      </c>
      <c r="AP69" s="1181">
        <f>+AP68/AP67*1000</f>
        <v>150.00000000000003</v>
      </c>
      <c r="AQ69" s="2904">
        <v>150</v>
      </c>
      <c r="AR69" s="2540">
        <f>+AR68/AR67*1000</f>
        <v>150</v>
      </c>
      <c r="AS69" s="1181">
        <f>+AS68/AS67*1000</f>
        <v>150</v>
      </c>
      <c r="AT69" s="1181">
        <f>+AT68/AT67*1000</f>
        <v>150.00000000000003</v>
      </c>
      <c r="AU69" s="2904">
        <v>150</v>
      </c>
      <c r="AV69" s="2540">
        <f>+AV68/AV67*1000</f>
        <v>150</v>
      </c>
      <c r="AW69" s="1181">
        <f>+AW68/AW67*1000</f>
        <v>150</v>
      </c>
      <c r="AX69" s="1181">
        <f>+AX68/AX67*1000</f>
        <v>150</v>
      </c>
      <c r="AY69" s="2904">
        <v>150</v>
      </c>
      <c r="AZ69" s="2540">
        <f>+AZ68/AZ67*1000</f>
        <v>150</v>
      </c>
      <c r="BA69" s="1381">
        <f t="shared" ref="BA69:BF69" si="233">+BA68/BA67*1000</f>
        <v>150</v>
      </c>
      <c r="BB69" s="1381">
        <f t="shared" si="233"/>
        <v>149.99999999999997</v>
      </c>
      <c r="BC69" s="1183">
        <f t="shared" si="233"/>
        <v>150</v>
      </c>
      <c r="BD69" s="1183">
        <f t="shared" si="233"/>
        <v>150</v>
      </c>
      <c r="BE69" s="1181">
        <f t="shared" si="233"/>
        <v>150</v>
      </c>
      <c r="BF69" s="1181">
        <f t="shared" si="233"/>
        <v>150</v>
      </c>
      <c r="BG69" s="23"/>
      <c r="BH69" s="23"/>
      <c r="BI69" s="23"/>
      <c r="BJ69" s="23"/>
      <c r="BK69" s="23"/>
      <c r="BL69" s="23"/>
    </row>
    <row r="70" spans="2:64" ht="17.399999999999999" x14ac:dyDescent="0.3">
      <c r="B70" s="2887" t="s">
        <v>46</v>
      </c>
      <c r="C70" s="2888"/>
      <c r="D70" s="2241"/>
      <c r="E70" s="2889"/>
      <c r="F70" s="2889"/>
      <c r="G70" s="2889"/>
      <c r="H70" s="2889"/>
      <c r="I70" s="2888"/>
      <c r="J70" s="2890"/>
      <c r="K70" s="2889"/>
      <c r="L70" s="2889"/>
      <c r="M70" s="1170"/>
      <c r="N70" s="1170"/>
      <c r="O70" s="2889"/>
      <c r="P70" s="2889"/>
      <c r="Q70" s="1170"/>
      <c r="R70" s="1170"/>
      <c r="S70" s="2889"/>
      <c r="T70" s="2889"/>
      <c r="U70" s="1170"/>
      <c r="V70" s="1170"/>
      <c r="W70" s="2889"/>
      <c r="X70" s="2889"/>
      <c r="Y70" s="1170"/>
      <c r="Z70" s="1170"/>
      <c r="AA70" s="1170"/>
      <c r="AB70" s="1170"/>
      <c r="AC70" s="2889"/>
      <c r="AD70" s="2889"/>
      <c r="AE70" s="1170"/>
      <c r="AF70" s="1170"/>
      <c r="AG70" s="2889"/>
      <c r="AH70" s="2889"/>
      <c r="AI70" s="1170"/>
      <c r="AJ70" s="1170"/>
      <c r="AK70" s="2889"/>
      <c r="AL70" s="2889"/>
      <c r="AM70" s="1170"/>
      <c r="AN70" s="1170"/>
      <c r="AO70" s="1170"/>
      <c r="AP70" s="1170"/>
      <c r="AQ70" s="2889"/>
      <c r="AR70" s="2889"/>
      <c r="AS70" s="1170"/>
      <c r="AT70" s="1170"/>
      <c r="AU70" s="2889"/>
      <c r="AV70" s="2889"/>
      <c r="AW70" s="1170"/>
      <c r="AX70" s="1170"/>
      <c r="AY70" s="2889"/>
      <c r="AZ70" s="2889"/>
      <c r="BA70" s="1170"/>
      <c r="BB70" s="1170"/>
      <c r="BC70" s="1170"/>
      <c r="BD70" s="1170"/>
      <c r="BE70" s="1170"/>
      <c r="BF70" s="1170"/>
      <c r="BG70" s="23"/>
      <c r="BH70" s="23"/>
      <c r="BI70" s="23"/>
      <c r="BJ70" s="23"/>
      <c r="BK70" s="23"/>
      <c r="BL70" s="23"/>
    </row>
    <row r="71" spans="2:64" x14ac:dyDescent="0.3">
      <c r="B71" s="2891" t="s">
        <v>88</v>
      </c>
      <c r="C71" s="2892" t="s">
        <v>219</v>
      </c>
      <c r="D71" s="2356">
        <f>+D2*24</f>
        <v>8760</v>
      </c>
      <c r="E71" s="2892">
        <f>+E2*24</f>
        <v>720</v>
      </c>
      <c r="F71" s="2892">
        <f>+F2*24</f>
        <v>720</v>
      </c>
      <c r="G71" s="2892">
        <f>+G2*24</f>
        <v>744</v>
      </c>
      <c r="H71" s="2892">
        <f>+H2*24</f>
        <v>744</v>
      </c>
      <c r="I71" s="2907">
        <f>+E71+G71</f>
        <v>1464</v>
      </c>
      <c r="J71" s="2897">
        <f>+F71+H71</f>
        <v>1464</v>
      </c>
      <c r="K71" s="2892">
        <f>+K2*24</f>
        <v>720</v>
      </c>
      <c r="L71" s="2892">
        <f>+L2*24</f>
        <v>720</v>
      </c>
      <c r="M71" s="1175">
        <f>+K71+G71+E71</f>
        <v>2184</v>
      </c>
      <c r="N71" s="1175">
        <f>+L71+H71+F71</f>
        <v>2184</v>
      </c>
      <c r="O71" s="2892">
        <f>+O2*24</f>
        <v>744</v>
      </c>
      <c r="P71" s="2892">
        <f>+P2*24</f>
        <v>744</v>
      </c>
      <c r="Q71" s="1174">
        <f>+M71+O71</f>
        <v>2928</v>
      </c>
      <c r="R71" s="1174">
        <f>+N71+P71</f>
        <v>2928</v>
      </c>
      <c r="S71" s="2892">
        <f>+S2*24</f>
        <v>744</v>
      </c>
      <c r="T71" s="2892">
        <f>+T2*24</f>
        <v>744</v>
      </c>
      <c r="U71" s="1174">
        <f>+Q71+S71</f>
        <v>3672</v>
      </c>
      <c r="V71" s="1174">
        <f>+R71+T71</f>
        <v>3672</v>
      </c>
      <c r="W71" s="2892">
        <f>+W2*24</f>
        <v>720</v>
      </c>
      <c r="X71" s="2892">
        <f>+X2*24</f>
        <v>720</v>
      </c>
      <c r="Y71" s="1175">
        <f>+O71+S71+W71</f>
        <v>2208</v>
      </c>
      <c r="Z71" s="1175">
        <f>+P71+T71+X71</f>
        <v>2208</v>
      </c>
      <c r="AA71" s="1114">
        <f>M71+Y71</f>
        <v>4392</v>
      </c>
      <c r="AB71" s="1114">
        <f>N71+Z71</f>
        <v>4392</v>
      </c>
      <c r="AC71" s="2892">
        <f>+AC2*24</f>
        <v>744</v>
      </c>
      <c r="AD71" s="2892">
        <f>+AD2*24</f>
        <v>744</v>
      </c>
      <c r="AE71" s="1174">
        <f>+AA71+AC71</f>
        <v>5136</v>
      </c>
      <c r="AF71" s="1174">
        <f>+AB71+AD71</f>
        <v>5136</v>
      </c>
      <c r="AG71" s="2892">
        <f>+AG2*24</f>
        <v>720</v>
      </c>
      <c r="AH71" s="2892">
        <f>+AH2*24</f>
        <v>720</v>
      </c>
      <c r="AI71" s="1174">
        <f>+AE71+AG71</f>
        <v>5856</v>
      </c>
      <c r="AJ71" s="1174">
        <f>+AF71+AH71</f>
        <v>5856</v>
      </c>
      <c r="AK71" s="2892">
        <f>+AK2*24</f>
        <v>744</v>
      </c>
      <c r="AL71" s="2892">
        <f>+AL2*24</f>
        <v>744</v>
      </c>
      <c r="AM71" s="1175">
        <f>+AC71+AG71+AK71</f>
        <v>2208</v>
      </c>
      <c r="AN71" s="1175">
        <f>+AD71+AH71+AL71</f>
        <v>2208</v>
      </c>
      <c r="AO71" s="1173">
        <f>AI71+AK71</f>
        <v>6600</v>
      </c>
      <c r="AP71" s="1173">
        <f>AJ71+AL71</f>
        <v>6600</v>
      </c>
      <c r="AQ71" s="2892">
        <f>+AQ2*24</f>
        <v>744</v>
      </c>
      <c r="AR71" s="2892">
        <f>+AR2*24</f>
        <v>744</v>
      </c>
      <c r="AS71" s="1174">
        <f>+AO71+AQ71</f>
        <v>7344</v>
      </c>
      <c r="AT71" s="1174">
        <f>+AP71+AR71</f>
        <v>7344</v>
      </c>
      <c r="AU71" s="2892">
        <f>+AU2*24</f>
        <v>672</v>
      </c>
      <c r="AV71" s="2892">
        <f>+AV2*24</f>
        <v>672</v>
      </c>
      <c r="AW71" s="1174">
        <f>+AS71+AU71</f>
        <v>8016</v>
      </c>
      <c r="AX71" s="1174">
        <f>+AT71+AV71</f>
        <v>8016</v>
      </c>
      <c r="AY71" s="2892">
        <f>+AY2*24</f>
        <v>744</v>
      </c>
      <c r="AZ71" s="2892">
        <f>+AZ2*24</f>
        <v>744</v>
      </c>
      <c r="BA71" s="1175">
        <f>+AQ71+AU71+AY71</f>
        <v>2160</v>
      </c>
      <c r="BB71" s="1175">
        <f>+AR71+AV71+AZ71</f>
        <v>2160</v>
      </c>
      <c r="BC71" s="1114">
        <f t="shared" ref="BC71:BC72" si="234">AM71+BA71</f>
        <v>4368</v>
      </c>
      <c r="BD71" s="1114">
        <f t="shared" ref="BD71:BD72" si="235">AN71+BB71</f>
        <v>4368</v>
      </c>
      <c r="BE71" s="1174">
        <f>+AW71+AY71</f>
        <v>8760</v>
      </c>
      <c r="BF71" s="1174">
        <f>+AX71+AZ71</f>
        <v>8760</v>
      </c>
      <c r="BG71" s="23"/>
      <c r="BH71" s="23"/>
      <c r="BI71" s="23"/>
      <c r="BJ71" s="23"/>
      <c r="BK71" s="23"/>
      <c r="BL71" s="23"/>
    </row>
    <row r="72" spans="2:64" x14ac:dyDescent="0.3">
      <c r="B72" s="2891" t="s">
        <v>220</v>
      </c>
      <c r="C72" s="2892" t="s">
        <v>219</v>
      </c>
      <c r="D72" s="2356">
        <v>7980</v>
      </c>
      <c r="E72" s="2443">
        <v>528</v>
      </c>
      <c r="F72" s="2443">
        <v>695.75</v>
      </c>
      <c r="G72" s="2443">
        <v>504</v>
      </c>
      <c r="H72" s="2443">
        <v>330.125</v>
      </c>
      <c r="I72" s="2444">
        <f>+E72+G72</f>
        <v>1032</v>
      </c>
      <c r="J72" s="2908">
        <f>+F72+H72</f>
        <v>1025.875</v>
      </c>
      <c r="K72" s="2443">
        <v>690</v>
      </c>
      <c r="L72" s="2443">
        <v>704</v>
      </c>
      <c r="M72" s="1175">
        <f>+K72+G72+E72</f>
        <v>1722</v>
      </c>
      <c r="N72" s="1175">
        <f>+L72+H72+F72</f>
        <v>1729.875</v>
      </c>
      <c r="O72" s="2443">
        <v>714</v>
      </c>
      <c r="P72" s="2443">
        <v>726.75</v>
      </c>
      <c r="Q72" s="1173">
        <f>+M72+O72</f>
        <v>2436</v>
      </c>
      <c r="R72" s="1173">
        <f>+N72+P72</f>
        <v>2456.625</v>
      </c>
      <c r="S72" s="2443">
        <v>714</v>
      </c>
      <c r="T72" s="2443">
        <v>728.91499999999996</v>
      </c>
      <c r="U72" s="1173">
        <f>+Q72+S72</f>
        <v>3150</v>
      </c>
      <c r="V72" s="1173">
        <f>+R72+T72</f>
        <v>3185.54</v>
      </c>
      <c r="W72" s="2443">
        <v>390</v>
      </c>
      <c r="X72" s="2443">
        <v>706.6</v>
      </c>
      <c r="Y72" s="1175">
        <f>+O72+S72+W72</f>
        <v>1818</v>
      </c>
      <c r="Z72" s="1175">
        <f>+P72+T72+X72</f>
        <v>2162.2649999999999</v>
      </c>
      <c r="AA72" s="1114">
        <f>M72+Y72</f>
        <v>3540</v>
      </c>
      <c r="AB72" s="1114">
        <f>N72+Z72</f>
        <v>3892.14</v>
      </c>
      <c r="AC72" s="2443">
        <v>714</v>
      </c>
      <c r="AD72" s="2443">
        <v>583.5</v>
      </c>
      <c r="AE72" s="1173">
        <f>+AA72+AC72</f>
        <v>4254</v>
      </c>
      <c r="AF72" s="1173">
        <f>+AB72+AD72</f>
        <v>4475.6399999999994</v>
      </c>
      <c r="AG72" s="2443">
        <v>690</v>
      </c>
      <c r="AH72" s="2443">
        <v>697.5</v>
      </c>
      <c r="AI72" s="1173">
        <f>+AE72+AG72</f>
        <v>4944</v>
      </c>
      <c r="AJ72" s="1173">
        <f>+AF72+AH72</f>
        <v>5173.1399999999994</v>
      </c>
      <c r="AK72" s="2443">
        <v>714</v>
      </c>
      <c r="AL72" s="2443">
        <v>726</v>
      </c>
      <c r="AM72" s="1175">
        <f>+AC72+AG72+AK72</f>
        <v>2118</v>
      </c>
      <c r="AN72" s="1175">
        <f>+AD72+AH72+AL72</f>
        <v>2007</v>
      </c>
      <c r="AO72" s="1173">
        <f>AI72+AK72</f>
        <v>5658</v>
      </c>
      <c r="AP72" s="1173">
        <f>AJ72+AL72</f>
        <v>5899.1399999999994</v>
      </c>
      <c r="AQ72" s="2443">
        <v>714</v>
      </c>
      <c r="AR72" s="2443">
        <v>723</v>
      </c>
      <c r="AS72" s="1173">
        <f>+AO72+AQ72</f>
        <v>6372</v>
      </c>
      <c r="AT72" s="1188">
        <f>+AP72+AR72</f>
        <v>6622.1399999999994</v>
      </c>
      <c r="AU72" s="2443">
        <v>642</v>
      </c>
      <c r="AV72" s="2443">
        <v>656</v>
      </c>
      <c r="AW72" s="1173">
        <f>+AS72+AU72</f>
        <v>7014</v>
      </c>
      <c r="AX72" s="1173">
        <f>+AT72+AV72</f>
        <v>7278.1399999999994</v>
      </c>
      <c r="AY72" s="2443">
        <v>714</v>
      </c>
      <c r="AZ72" s="2443">
        <v>724.25</v>
      </c>
      <c r="BA72" s="1175">
        <f>+AQ72+AU72+AY72</f>
        <v>2070</v>
      </c>
      <c r="BB72" s="1175">
        <f>+AR72+AV72+AZ72</f>
        <v>2103.25</v>
      </c>
      <c r="BC72" s="1114">
        <f t="shared" si="234"/>
        <v>4188</v>
      </c>
      <c r="BD72" s="1114">
        <f t="shared" si="235"/>
        <v>4110.25</v>
      </c>
      <c r="BE72" s="1173">
        <f>+AW72+AY72</f>
        <v>7728</v>
      </c>
      <c r="BF72" s="1173">
        <f>+AX72+AZ72</f>
        <v>8002.3899999999994</v>
      </c>
      <c r="BG72" s="23"/>
      <c r="BH72" s="23"/>
      <c r="BI72" s="23"/>
      <c r="BJ72" s="23"/>
      <c r="BK72" s="23"/>
      <c r="BL72" s="23"/>
    </row>
    <row r="73" spans="2:64" x14ac:dyDescent="0.3">
      <c r="B73" s="2891" t="s">
        <v>221</v>
      </c>
      <c r="C73" s="2892" t="s">
        <v>49</v>
      </c>
      <c r="D73" s="2580">
        <f t="shared" ref="D73:T73" si="236">+D72/D71*100</f>
        <v>91.095890410958901</v>
      </c>
      <c r="E73" s="2893">
        <f t="shared" si="236"/>
        <v>73.333333333333329</v>
      </c>
      <c r="F73" s="2893">
        <f t="shared" si="236"/>
        <v>96.631944444444443</v>
      </c>
      <c r="G73" s="2893">
        <f t="shared" ref="G73:H73" si="237">+G72/G71*100</f>
        <v>67.741935483870961</v>
      </c>
      <c r="H73" s="2893">
        <f t="shared" si="237"/>
        <v>44.37163978494624</v>
      </c>
      <c r="I73" s="2894">
        <f t="shared" si="236"/>
        <v>70.491803278688522</v>
      </c>
      <c r="J73" s="2895">
        <f t="shared" si="236"/>
        <v>70.073428961748633</v>
      </c>
      <c r="K73" s="2893">
        <f t="shared" si="236"/>
        <v>95.833333333333343</v>
      </c>
      <c r="L73" s="2443">
        <f t="shared" si="236"/>
        <v>97.777777777777771</v>
      </c>
      <c r="M73" s="1186">
        <f t="shared" si="236"/>
        <v>78.84615384615384</v>
      </c>
      <c r="N73" s="1186">
        <f t="shared" si="236"/>
        <v>79.206730769230774</v>
      </c>
      <c r="O73" s="2893">
        <f t="shared" ref="O73:P73" si="238">+O72/O71*100</f>
        <v>95.967741935483872</v>
      </c>
      <c r="P73" s="2443">
        <f t="shared" si="238"/>
        <v>97.681451612903231</v>
      </c>
      <c r="Q73" s="1188">
        <f t="shared" si="236"/>
        <v>83.196721311475414</v>
      </c>
      <c r="R73" s="1188">
        <f t="shared" si="236"/>
        <v>83.901127049180317</v>
      </c>
      <c r="S73" s="2893">
        <f t="shared" si="236"/>
        <v>95.967741935483872</v>
      </c>
      <c r="T73" s="2443">
        <f t="shared" si="236"/>
        <v>97.972446236559136</v>
      </c>
      <c r="U73" s="1188">
        <f t="shared" ref="U73:X73" si="239">+U72/U71*100</f>
        <v>85.784313725490193</v>
      </c>
      <c r="V73" s="1188">
        <f t="shared" si="239"/>
        <v>86.752178649237479</v>
      </c>
      <c r="W73" s="2893">
        <f t="shared" si="239"/>
        <v>54.166666666666664</v>
      </c>
      <c r="X73" s="2443">
        <f t="shared" si="239"/>
        <v>98.138888888888886</v>
      </c>
      <c r="Y73" s="1186">
        <f t="shared" ref="Y73:AF73" si="240">+Y72/Y71*100</f>
        <v>82.33695652173914</v>
      </c>
      <c r="Z73" s="1186">
        <f t="shared" si="240"/>
        <v>97.92866847826086</v>
      </c>
      <c r="AA73" s="1114">
        <f t="shared" si="240"/>
        <v>80.601092896174862</v>
      </c>
      <c r="AB73" s="1189">
        <f t="shared" si="240"/>
        <v>88.618852459016395</v>
      </c>
      <c r="AC73" s="2893">
        <f t="shared" si="240"/>
        <v>95.967741935483872</v>
      </c>
      <c r="AD73" s="2443">
        <f t="shared" si="240"/>
        <v>78.427419354838719</v>
      </c>
      <c r="AE73" s="1188">
        <f t="shared" si="240"/>
        <v>82.827102803738313</v>
      </c>
      <c r="AF73" s="1188">
        <f t="shared" si="240"/>
        <v>87.142523364485967</v>
      </c>
      <c r="AG73" s="2893">
        <f t="shared" ref="AG73:AH73" si="241">+AG72/AG71*100</f>
        <v>95.833333333333343</v>
      </c>
      <c r="AH73" s="2443">
        <f t="shared" si="241"/>
        <v>96.875</v>
      </c>
      <c r="AI73" s="1188">
        <f t="shared" ref="AI73:AL73" si="242">+AI72/AI71*100</f>
        <v>84.426229508196727</v>
      </c>
      <c r="AJ73" s="1188">
        <f t="shared" si="242"/>
        <v>88.339139344262279</v>
      </c>
      <c r="AK73" s="2893">
        <f t="shared" si="242"/>
        <v>95.967741935483872</v>
      </c>
      <c r="AL73" s="2443">
        <f t="shared" si="242"/>
        <v>97.58064516129032</v>
      </c>
      <c r="AM73" s="1186">
        <f t="shared" ref="AM73:AN73" si="243">+AM72/AM71*100</f>
        <v>95.923913043478265</v>
      </c>
      <c r="AN73" s="1186">
        <f t="shared" si="243"/>
        <v>90.896739130434781</v>
      </c>
      <c r="AO73" s="1188">
        <f t="shared" ref="AO73:AT73" si="244">+AO72/AO71*100</f>
        <v>85.727272727272734</v>
      </c>
      <c r="AP73" s="1188">
        <f t="shared" si="244"/>
        <v>89.380909090909071</v>
      </c>
      <c r="AQ73" s="2893">
        <f t="shared" si="244"/>
        <v>95.967741935483872</v>
      </c>
      <c r="AR73" s="2443">
        <f t="shared" si="244"/>
        <v>97.177419354838719</v>
      </c>
      <c r="AS73" s="1188">
        <f t="shared" si="244"/>
        <v>86.764705882352942</v>
      </c>
      <c r="AT73" s="1188">
        <f t="shared" si="244"/>
        <v>90.170751633986924</v>
      </c>
      <c r="AU73" s="2893">
        <f t="shared" ref="AU73:AX73" si="245">+AU72/AU71*100</f>
        <v>95.535714285714292</v>
      </c>
      <c r="AV73" s="2640">
        <f t="shared" si="245"/>
        <v>97.61904761904762</v>
      </c>
      <c r="AW73" s="1188">
        <f t="shared" si="245"/>
        <v>87.5</v>
      </c>
      <c r="AX73" s="1188">
        <f t="shared" si="245"/>
        <v>90.795159680638719</v>
      </c>
      <c r="AY73" s="2893">
        <f t="shared" ref="AY73:AZ73" si="246">+AY72/AY71*100</f>
        <v>95.967741935483872</v>
      </c>
      <c r="AZ73" s="2640">
        <f t="shared" si="246"/>
        <v>97.34543010752688</v>
      </c>
      <c r="BA73" s="1186">
        <f t="shared" ref="BA73:BF73" si="247">+BA72/BA71*100</f>
        <v>95.833333333333343</v>
      </c>
      <c r="BB73" s="1186">
        <f t="shared" si="247"/>
        <v>97.372685185185176</v>
      </c>
      <c r="BC73" s="1114">
        <f t="shared" si="247"/>
        <v>95.879120879120876</v>
      </c>
      <c r="BD73" s="1189">
        <f t="shared" si="247"/>
        <v>94.099130036630044</v>
      </c>
      <c r="BE73" s="1188">
        <f t="shared" si="247"/>
        <v>88.219178082191789</v>
      </c>
      <c r="BF73" s="1188">
        <f t="shared" si="247"/>
        <v>91.351484018264827</v>
      </c>
      <c r="BG73" s="23"/>
      <c r="BH73" s="23"/>
      <c r="BI73" s="23"/>
      <c r="BJ73" s="23"/>
      <c r="BK73" s="23"/>
      <c r="BL73" s="23"/>
    </row>
    <row r="74" spans="2:64" x14ac:dyDescent="0.3">
      <c r="B74" s="2891" t="s">
        <v>222</v>
      </c>
      <c r="C74" s="2892" t="s">
        <v>219</v>
      </c>
      <c r="D74" s="2348">
        <v>7810</v>
      </c>
      <c r="E74" s="2446">
        <v>520</v>
      </c>
      <c r="F74" s="2443">
        <v>664.97</v>
      </c>
      <c r="G74" s="2446">
        <v>520</v>
      </c>
      <c r="H74" s="2443">
        <v>290.42</v>
      </c>
      <c r="I74" s="2444">
        <f>+E74+G74</f>
        <v>1040</v>
      </c>
      <c r="J74" s="2908">
        <f>+F74+H74</f>
        <v>955.3900000000001</v>
      </c>
      <c r="K74" s="2446">
        <v>676.19999999999993</v>
      </c>
      <c r="L74" s="2443">
        <v>682.45</v>
      </c>
      <c r="M74" s="1175">
        <f>+K74+G74+E74</f>
        <v>1716.1999999999998</v>
      </c>
      <c r="N74" s="1175">
        <f>+L74+H74+F74</f>
        <v>1637.8400000000001</v>
      </c>
      <c r="O74" s="2446">
        <v>699.72</v>
      </c>
      <c r="P74" s="2443">
        <v>713.62</v>
      </c>
      <c r="Q74" s="1173">
        <f>+M74+O74</f>
        <v>2415.92</v>
      </c>
      <c r="R74" s="1173">
        <f>+N74+P74</f>
        <v>2351.46</v>
      </c>
      <c r="S74" s="2446">
        <v>699.72</v>
      </c>
      <c r="T74" s="2443">
        <v>695.57</v>
      </c>
      <c r="U74" s="1173">
        <f>+Q74+S74</f>
        <v>3115.6400000000003</v>
      </c>
      <c r="V74" s="1173">
        <f>+R74+T74</f>
        <v>3047.03</v>
      </c>
      <c r="W74" s="2446">
        <v>382.2</v>
      </c>
      <c r="X74" s="2443">
        <v>685.4</v>
      </c>
      <c r="Y74" s="1175">
        <f>+O74+S74+W74</f>
        <v>1781.64</v>
      </c>
      <c r="Z74" s="1175">
        <f>+P74+T74+X74</f>
        <v>2094.59</v>
      </c>
      <c r="AA74" s="1114">
        <f>M74+Y74</f>
        <v>3497.84</v>
      </c>
      <c r="AB74" s="1114">
        <f>N74+Z74</f>
        <v>3732.4300000000003</v>
      </c>
      <c r="AC74" s="2446">
        <v>699.72</v>
      </c>
      <c r="AD74" s="2443">
        <v>545.98</v>
      </c>
      <c r="AE74" s="1173">
        <f>+AA74+AC74</f>
        <v>4197.5600000000004</v>
      </c>
      <c r="AF74" s="1173">
        <f>+AB74+AD74</f>
        <v>4278.41</v>
      </c>
      <c r="AG74" s="2446">
        <v>676.19999999999993</v>
      </c>
      <c r="AH74" s="2443">
        <v>641.57000000000005</v>
      </c>
      <c r="AI74" s="1173">
        <f>+AE74+AG74</f>
        <v>4873.76</v>
      </c>
      <c r="AJ74" s="1173">
        <f>+AF74+AH74</f>
        <v>4919.9799999999996</v>
      </c>
      <c r="AK74" s="2446">
        <v>699.72</v>
      </c>
      <c r="AL74" s="2443">
        <v>632.30999999999995</v>
      </c>
      <c r="AM74" s="1175">
        <f>+AC74+AG74+AK74</f>
        <v>2075.6400000000003</v>
      </c>
      <c r="AN74" s="1175">
        <f>+AD74+AH74+AL74</f>
        <v>1819.8600000000001</v>
      </c>
      <c r="AO74" s="1173">
        <f>AI74+AK74</f>
        <v>5573.4800000000005</v>
      </c>
      <c r="AP74" s="1173">
        <f>AJ74+AL74</f>
        <v>5552.2899999999991</v>
      </c>
      <c r="AQ74" s="2446">
        <v>699.72</v>
      </c>
      <c r="AR74" s="2640">
        <v>686.22</v>
      </c>
      <c r="AS74" s="1173">
        <f>+AO74+AQ74</f>
        <v>6273.2000000000007</v>
      </c>
      <c r="AT74" s="1173">
        <f>+AP74+AR74</f>
        <v>6238.5099999999993</v>
      </c>
      <c r="AU74" s="2446">
        <v>629.16</v>
      </c>
      <c r="AV74" s="2443">
        <v>586.21</v>
      </c>
      <c r="AW74" s="1173">
        <f>+AS74+AU74</f>
        <v>6902.3600000000006</v>
      </c>
      <c r="AX74" s="1173">
        <f>+AT74+AV74</f>
        <v>6824.7199999999993</v>
      </c>
      <c r="AY74" s="2446">
        <v>699.72</v>
      </c>
      <c r="AZ74" s="2443">
        <v>673.5</v>
      </c>
      <c r="BA74" s="1175">
        <f>+AQ74+AU74+AY74</f>
        <v>2028.6000000000001</v>
      </c>
      <c r="BB74" s="1175">
        <f>+AR74+AV74+AZ74</f>
        <v>1945.93</v>
      </c>
      <c r="BC74" s="1114">
        <f t="shared" ref="BC74" si="248">AM74+BA74</f>
        <v>4104.2400000000007</v>
      </c>
      <c r="BD74" s="1114">
        <f t="shared" ref="BD74" si="249">AN74+BB74</f>
        <v>3765.79</v>
      </c>
      <c r="BE74" s="1173">
        <f>+AW74+AY74</f>
        <v>7602.0800000000008</v>
      </c>
      <c r="BF74" s="1173">
        <f>+AX74+AZ74</f>
        <v>7498.2199999999993</v>
      </c>
      <c r="BG74" s="23"/>
      <c r="BH74" s="23"/>
      <c r="BI74" s="23"/>
      <c r="BJ74" s="23"/>
      <c r="BK74" s="23"/>
      <c r="BL74" s="23"/>
    </row>
    <row r="75" spans="2:64" x14ac:dyDescent="0.3">
      <c r="B75" s="2891" t="s">
        <v>223</v>
      </c>
      <c r="C75" s="2892" t="s">
        <v>49</v>
      </c>
      <c r="D75" s="2348">
        <f t="shared" ref="D75:T75" si="250">+D74/D72*100</f>
        <v>97.869674185463666</v>
      </c>
      <c r="E75" s="2893">
        <f t="shared" si="250"/>
        <v>98.484848484848484</v>
      </c>
      <c r="F75" s="2893">
        <f t="shared" si="250"/>
        <v>95.575997125404243</v>
      </c>
      <c r="G75" s="2893">
        <f t="shared" ref="G75:H75" si="251">+G74/G72*100</f>
        <v>103.17460317460319</v>
      </c>
      <c r="H75" s="2893">
        <f t="shared" si="251"/>
        <v>87.972737599394165</v>
      </c>
      <c r="I75" s="2894">
        <f t="shared" si="250"/>
        <v>100.77519379844961</v>
      </c>
      <c r="J75" s="2895">
        <f t="shared" si="250"/>
        <v>93.129279883026697</v>
      </c>
      <c r="K75" s="2893">
        <f t="shared" si="250"/>
        <v>97.999999999999986</v>
      </c>
      <c r="L75" s="2893">
        <f t="shared" si="250"/>
        <v>96.938920454545467</v>
      </c>
      <c r="M75" s="1186">
        <f t="shared" si="250"/>
        <v>99.663182346109167</v>
      </c>
      <c r="N75" s="1186">
        <f t="shared" si="250"/>
        <v>94.679673386805419</v>
      </c>
      <c r="O75" s="2893">
        <f t="shared" ref="O75:P75" si="252">+O74/O72*100</f>
        <v>98.000000000000014</v>
      </c>
      <c r="P75" s="2893">
        <f t="shared" si="252"/>
        <v>98.19332645338838</v>
      </c>
      <c r="Q75" s="1188">
        <f t="shared" si="250"/>
        <v>99.175697865353044</v>
      </c>
      <c r="R75" s="1188">
        <f t="shared" si="250"/>
        <v>95.719126850862466</v>
      </c>
      <c r="S75" s="2893">
        <f t="shared" si="250"/>
        <v>98.000000000000014</v>
      </c>
      <c r="T75" s="2893">
        <f t="shared" si="250"/>
        <v>95.425392535480825</v>
      </c>
      <c r="U75" s="1188">
        <f t="shared" ref="U75:X75" si="253">+U74/U72*100</f>
        <v>98.909206349206357</v>
      </c>
      <c r="V75" s="1188">
        <f t="shared" si="253"/>
        <v>95.651914589049269</v>
      </c>
      <c r="W75" s="2893">
        <f t="shared" si="253"/>
        <v>98</v>
      </c>
      <c r="X75" s="2893">
        <f t="shared" si="253"/>
        <v>96.999716954429658</v>
      </c>
      <c r="Y75" s="1186">
        <f t="shared" ref="Y75:AF75" si="254">+Y74/Y72*100</f>
        <v>98.000000000000014</v>
      </c>
      <c r="Z75" s="1186">
        <f t="shared" si="254"/>
        <v>96.870180112058435</v>
      </c>
      <c r="AA75" s="1189">
        <f t="shared" si="254"/>
        <v>98.809039548022611</v>
      </c>
      <c r="AB75" s="1189">
        <f t="shared" si="254"/>
        <v>95.896601869408613</v>
      </c>
      <c r="AC75" s="2893">
        <f t="shared" si="254"/>
        <v>98.000000000000014</v>
      </c>
      <c r="AD75" s="2893">
        <f t="shared" si="254"/>
        <v>93.569837189374468</v>
      </c>
      <c r="AE75" s="1188">
        <f t="shared" si="254"/>
        <v>98.673248707099219</v>
      </c>
      <c r="AF75" s="1188">
        <f t="shared" si="254"/>
        <v>95.593255936581144</v>
      </c>
      <c r="AG75" s="2893">
        <f t="shared" ref="AG75:AH75" si="255">+AG74/AG72*100</f>
        <v>97.999999999999986</v>
      </c>
      <c r="AH75" s="2893">
        <f t="shared" si="255"/>
        <v>91.981362007168471</v>
      </c>
      <c r="AI75" s="1188">
        <f t="shared" ref="AI75:AL75" si="256">+AI74/AI72*100</f>
        <v>98.57928802588998</v>
      </c>
      <c r="AJ75" s="1188">
        <f t="shared" si="256"/>
        <v>95.106260414371164</v>
      </c>
      <c r="AK75" s="2893">
        <f t="shared" si="256"/>
        <v>98.000000000000014</v>
      </c>
      <c r="AL75" s="2893">
        <f t="shared" si="256"/>
        <v>87.095041322314032</v>
      </c>
      <c r="AM75" s="1186">
        <f t="shared" ref="AM75:AN75" si="257">+AM74/AM72*100</f>
        <v>98.000000000000014</v>
      </c>
      <c r="AN75" s="1186">
        <f t="shared" si="257"/>
        <v>90.675635276532134</v>
      </c>
      <c r="AO75" s="1188">
        <f t="shared" ref="AO75:AT75" si="258">+AO74/AO72*100</f>
        <v>98.50618593142454</v>
      </c>
      <c r="AP75" s="1188">
        <f t="shared" si="258"/>
        <v>94.120329403947011</v>
      </c>
      <c r="AQ75" s="2893">
        <f t="shared" si="258"/>
        <v>98.000000000000014</v>
      </c>
      <c r="AR75" s="2893">
        <f t="shared" si="258"/>
        <v>94.912863070539416</v>
      </c>
      <c r="AS75" s="1188">
        <f t="shared" si="258"/>
        <v>98.449466415568125</v>
      </c>
      <c r="AT75" s="1188">
        <f t="shared" si="258"/>
        <v>94.206857601923247</v>
      </c>
      <c r="AU75" s="2893">
        <f t="shared" ref="AU75:AX75" si="259">+AU74/AU72*100</f>
        <v>98</v>
      </c>
      <c r="AV75" s="2893">
        <f t="shared" si="259"/>
        <v>89.361280487804891</v>
      </c>
      <c r="AW75" s="1188">
        <f t="shared" si="259"/>
        <v>98.408326204733399</v>
      </c>
      <c r="AX75" s="1188">
        <f t="shared" si="259"/>
        <v>93.770111594445837</v>
      </c>
      <c r="AY75" s="2893">
        <f t="shared" ref="AY75:AZ75" si="260">+AY74/AY72*100</f>
        <v>98.000000000000014</v>
      </c>
      <c r="AZ75" s="2893">
        <f t="shared" si="260"/>
        <v>92.992751121850191</v>
      </c>
      <c r="BA75" s="1186">
        <f t="shared" ref="BA75:BF75" si="261">+BA74/BA72*100</f>
        <v>98.000000000000014</v>
      </c>
      <c r="BB75" s="1186">
        <f t="shared" si="261"/>
        <v>92.520147390942583</v>
      </c>
      <c r="BC75" s="1189">
        <f t="shared" si="261"/>
        <v>98.000000000000014</v>
      </c>
      <c r="BD75" s="1189">
        <f t="shared" si="261"/>
        <v>91.619487865701601</v>
      </c>
      <c r="BE75" s="1188">
        <f t="shared" si="261"/>
        <v>98.370600414078694</v>
      </c>
      <c r="BF75" s="1188">
        <f t="shared" si="261"/>
        <v>93.699757197537238</v>
      </c>
      <c r="BG75" s="23"/>
      <c r="BH75" s="23"/>
      <c r="BI75" s="23"/>
      <c r="BJ75" s="23"/>
      <c r="BK75" s="23"/>
      <c r="BL75" s="23"/>
    </row>
    <row r="76" spans="2:64" x14ac:dyDescent="0.3">
      <c r="B76" s="2891" t="s">
        <v>224</v>
      </c>
      <c r="C76" s="2892" t="s">
        <v>1426</v>
      </c>
      <c r="D76" s="2348">
        <f t="shared" ref="D76:J76" si="262">+D67/D74</f>
        <v>538.65382444834256</v>
      </c>
      <c r="E76" s="2443">
        <f>+E67/E74</f>
        <v>560.91818252554071</v>
      </c>
      <c r="F76" s="2443">
        <f>+F67/F74</f>
        <v>531.61496007338678</v>
      </c>
      <c r="G76" s="2443">
        <f>+G67/G74</f>
        <v>504.28701986671211</v>
      </c>
      <c r="H76" s="2443">
        <f>+H67/H74</f>
        <v>532.30838096549826</v>
      </c>
      <c r="I76" s="2444">
        <f t="shared" si="262"/>
        <v>532.60260119612633</v>
      </c>
      <c r="J76" s="2908">
        <f t="shared" si="262"/>
        <v>531.82574655376334</v>
      </c>
      <c r="K76" s="2443">
        <f>+K67/K74</f>
        <v>550.41620554360293</v>
      </c>
      <c r="L76" s="2443">
        <f>+L67/L74</f>
        <v>551.3576086160158</v>
      </c>
      <c r="M76" s="1175">
        <f t="shared" ref="M76:R76" si="263">+M67/M74</f>
        <v>539.62133983950343</v>
      </c>
      <c r="N76" s="1175">
        <f t="shared" si="263"/>
        <v>539.96422116934491</v>
      </c>
      <c r="O76" s="2443">
        <f>+O67/O74</f>
        <v>537.90686761149448</v>
      </c>
      <c r="P76" s="2443">
        <f>+P67/P74</f>
        <v>557.66374260811074</v>
      </c>
      <c r="Q76" s="1173">
        <f t="shared" si="263"/>
        <v>539.1247793129204</v>
      </c>
      <c r="R76" s="1173">
        <f t="shared" si="263"/>
        <v>545.33566380036234</v>
      </c>
      <c r="S76" s="2443">
        <f>+S67/S74</f>
        <v>537.90686761149448</v>
      </c>
      <c r="T76" s="2443">
        <f>+T67/T74</f>
        <v>550.88488577713235</v>
      </c>
      <c r="U76" s="1173">
        <f t="shared" ref="U76:V76" si="264">+U67/U74</f>
        <v>538.85125696254568</v>
      </c>
      <c r="V76" s="1173">
        <f t="shared" si="264"/>
        <v>546.60242925077864</v>
      </c>
      <c r="W76" s="2443">
        <f>+W67/W74</f>
        <v>543.33309812864729</v>
      </c>
      <c r="X76" s="2443">
        <f>+X67/X74</f>
        <v>546.81062153487017</v>
      </c>
      <c r="Y76" s="1175">
        <f t="shared" ref="Y76:AB76" si="265">+Y67/Y74</f>
        <v>539.07091046170876</v>
      </c>
      <c r="Z76" s="1175">
        <f t="shared" si="265"/>
        <v>551.86122343752231</v>
      </c>
      <c r="AA76" s="1114">
        <f t="shared" si="265"/>
        <v>539.34097624464096</v>
      </c>
      <c r="AB76" s="1114">
        <f t="shared" si="265"/>
        <v>546.64066037407258</v>
      </c>
      <c r="AC76" s="2443">
        <f>+AC67/AC74</f>
        <v>547.89361282512937</v>
      </c>
      <c r="AD76" s="2443">
        <f>+AD67/AD74</f>
        <v>552.12278838052669</v>
      </c>
      <c r="AE76" s="1173">
        <f t="shared" ref="AE76:AF76" si="266">+AE67/AE74</f>
        <v>540.76667376131718</v>
      </c>
      <c r="AF76" s="1173">
        <f t="shared" si="266"/>
        <v>547.34025023314734</v>
      </c>
      <c r="AG76" s="2443">
        <f>+AG67/AG74</f>
        <v>556.33161518572058</v>
      </c>
      <c r="AH76" s="2443">
        <f>+AH67/AH74</f>
        <v>570.79663949374185</v>
      </c>
      <c r="AI76" s="1173">
        <f t="shared" ref="AI76:AJ76" si="267">+AI67/AI74</f>
        <v>542.92620016212095</v>
      </c>
      <c r="AJ76" s="1173">
        <f t="shared" si="267"/>
        <v>550.39898536172916</v>
      </c>
      <c r="AK76" s="2443">
        <f>+AK67/AK74</f>
        <v>553.61018516835236</v>
      </c>
      <c r="AL76" s="2443">
        <f>+AL67/AL74</f>
        <v>570.46859926301977</v>
      </c>
      <c r="AM76" s="1175">
        <f t="shared" ref="AM76:AP76" si="268">+AM67/AM74</f>
        <v>552.5696535625558</v>
      </c>
      <c r="AN76" s="1175">
        <f t="shared" si="268"/>
        <v>565.08028090072855</v>
      </c>
      <c r="AO76" s="1173">
        <f t="shared" si="268"/>
        <v>544.26751617806792</v>
      </c>
      <c r="AP76" s="1173">
        <f t="shared" si="268"/>
        <v>552.68456798906402</v>
      </c>
      <c r="AQ76" s="2443">
        <f>+AQ67/AQ74</f>
        <v>555.88300899603735</v>
      </c>
      <c r="AR76" s="2443">
        <f>+AR67/AR74</f>
        <v>534.20185946198012</v>
      </c>
      <c r="AS76" s="1173">
        <f t="shared" ref="AS76:AT76" si="269">+AS67/AS74</f>
        <v>545.56312171186073</v>
      </c>
      <c r="AT76" s="1173">
        <f t="shared" si="269"/>
        <v>550.65151775023207</v>
      </c>
      <c r="AU76" s="2443">
        <f>+AU67/AU74</f>
        <v>556.02720616973977</v>
      </c>
      <c r="AV76" s="2443">
        <f>+AV67/AV74</f>
        <v>537.08739189027824</v>
      </c>
      <c r="AW76" s="1173">
        <f t="shared" ref="AW76:AX76" si="270">+AW67/AW74</f>
        <v>546.51693799752525</v>
      </c>
      <c r="AX76" s="1173">
        <f t="shared" si="270"/>
        <v>549.48642581673687</v>
      </c>
      <c r="AY76" s="2443">
        <f>+AY67/AY74</f>
        <v>555.88300899603735</v>
      </c>
      <c r="AZ76" s="2443">
        <f>+AZ67/AZ74</f>
        <v>563.96139569413515</v>
      </c>
      <c r="BA76" s="1175">
        <f t="shared" ref="BA76:BD76" si="271">+BA67/BA74</f>
        <v>555.92773101802618</v>
      </c>
      <c r="BB76" s="1175">
        <f t="shared" si="271"/>
        <v>545.37110790213421</v>
      </c>
      <c r="BC76" s="1114">
        <f t="shared" si="271"/>
        <v>554.22944829341145</v>
      </c>
      <c r="BD76" s="1114">
        <f t="shared" si="271"/>
        <v>554.89578547927522</v>
      </c>
      <c r="BE76" s="1173">
        <f t="shared" ref="BE76:BF76" si="272">+BE67/BE74</f>
        <v>547.37902142720225</v>
      </c>
      <c r="BF76" s="1173">
        <f t="shared" si="272"/>
        <v>550.78658668323953</v>
      </c>
      <c r="BG76" s="23"/>
      <c r="BH76" s="23"/>
      <c r="BI76" s="23"/>
      <c r="BJ76" s="23"/>
      <c r="BK76" s="23"/>
      <c r="BL76" s="23"/>
    </row>
    <row r="77" spans="2:64" ht="15" thickBot="1" x14ac:dyDescent="0.35">
      <c r="B77" s="2891" t="s">
        <v>225</v>
      </c>
      <c r="C77" s="2892" t="s">
        <v>49</v>
      </c>
      <c r="D77" s="2893">
        <f>+(1000/(D53+D54+D55+D56+D57+D61))*100</f>
        <v>79.429654337066594</v>
      </c>
      <c r="E77" s="2893">
        <f>+(1000/(E53+E54+E55+E56+E57+E61))*100</f>
        <v>79.429654337066594</v>
      </c>
      <c r="F77" s="2893">
        <f t="shared" ref="F77:J77" si="273">+(1000/(F53+F54+F55+F56+F57+F61))*100</f>
        <v>77.593620565904772</v>
      </c>
      <c r="G77" s="2893">
        <f t="shared" si="273"/>
        <v>79.429654337066594</v>
      </c>
      <c r="H77" s="2893">
        <f t="shared" si="273"/>
        <v>78.006357856494105</v>
      </c>
      <c r="I77" s="2893">
        <f t="shared" si="273"/>
        <v>79.42965433706658</v>
      </c>
      <c r="J77" s="2893">
        <f t="shared" si="273"/>
        <v>77.718735516673348</v>
      </c>
      <c r="K77" s="2443">
        <f t="shared" ref="K77:AD77" si="274">+(1000/(K53+K54+K55+K56+K57))*100</f>
        <v>80.391755848728508</v>
      </c>
      <c r="L77" s="2443">
        <f t="shared" si="274"/>
        <v>80.526034198643188</v>
      </c>
      <c r="M77" s="1175">
        <f t="shared" si="274"/>
        <v>80.042794880085935</v>
      </c>
      <c r="N77" s="1175">
        <f t="shared" si="274"/>
        <v>78.989206111029219</v>
      </c>
      <c r="O77" s="2443">
        <f t="shared" ref="O77:P77" si="275">+(1000/(O53+O54+O55+O56+O57))*100</f>
        <v>80.384675656446476</v>
      </c>
      <c r="P77" s="2443">
        <f t="shared" si="275"/>
        <v>78.766838598838547</v>
      </c>
      <c r="Q77" s="1173">
        <f t="shared" si="274"/>
        <v>80.141290582974207</v>
      </c>
      <c r="R77" s="1173">
        <f t="shared" si="274"/>
        <v>78.920062307174859</v>
      </c>
      <c r="S77" s="2443">
        <f t="shared" si="274"/>
        <v>80.384675656446476</v>
      </c>
      <c r="T77" s="2443">
        <f t="shared" si="274"/>
        <v>78.685881968815536</v>
      </c>
      <c r="U77" s="1173">
        <f t="shared" ref="U77:X77" si="276">+(1000/(U53+U54+U55+U56+U57))*100</f>
        <v>80.195726696195038</v>
      </c>
      <c r="V77" s="1173">
        <f t="shared" si="276"/>
        <v>78.866061881992152</v>
      </c>
      <c r="W77" s="2443">
        <f t="shared" si="276"/>
        <v>80.439697558413997</v>
      </c>
      <c r="X77" s="2443">
        <f t="shared" si="276"/>
        <v>79.193660855784486</v>
      </c>
      <c r="Y77" s="1175">
        <f t="shared" si="274"/>
        <v>80.396565979697726</v>
      </c>
      <c r="Z77" s="1175">
        <f t="shared" si="274"/>
        <v>78.877772932885975</v>
      </c>
      <c r="AA77" s="1114">
        <f t="shared" si="274"/>
        <v>80.222509575448214</v>
      </c>
      <c r="AB77" s="1114">
        <f t="shared" si="274"/>
        <v>78.926035443445386</v>
      </c>
      <c r="AC77" s="2443">
        <f t="shared" si="274"/>
        <v>80.373222122155141</v>
      </c>
      <c r="AD77" s="2443">
        <f t="shared" si="274"/>
        <v>76.410737370408839</v>
      </c>
      <c r="AE77" s="1173">
        <f t="shared" ref="AE77:AH77" si="277">+(1000/(AE53+AE54+AE55+AE56+AE57))*100</f>
        <v>80.247924307201231</v>
      </c>
      <c r="AF77" s="1173">
        <f t="shared" si="277"/>
        <v>78.592999161628512</v>
      </c>
      <c r="AG77" s="2443">
        <f t="shared" si="277"/>
        <v>80.510950974470006</v>
      </c>
      <c r="AH77" s="2443">
        <f t="shared" si="277"/>
        <v>77.934907754417551</v>
      </c>
      <c r="AI77" s="1173">
        <f t="shared" ref="AI77:AL77" si="278">+(1000/(AI53+AI54+AI55+AI56+AI57))*100</f>
        <v>80.28521361836269</v>
      </c>
      <c r="AJ77" s="1173">
        <f t="shared" si="278"/>
        <v>78.503353990595102</v>
      </c>
      <c r="AK77" s="2443">
        <f t="shared" si="278"/>
        <v>80.489110461942275</v>
      </c>
      <c r="AL77" s="2443">
        <f t="shared" si="278"/>
        <v>77.459580526500019</v>
      </c>
      <c r="AM77" s="1175">
        <f t="shared" ref="AM77:AN77" si="279">+(1000/(AM53+AM54+AM55+AM56+AM57))*100</f>
        <v>80.457492139095947</v>
      </c>
      <c r="AN77" s="1175">
        <f t="shared" si="279"/>
        <v>77.316408987155611</v>
      </c>
      <c r="AO77" s="1173">
        <f t="shared" ref="AO77:AT77" si="280">+(1000/(AO53+AO54+AO55+AO56+AO57))*100</f>
        <v>80.311193606754784</v>
      </c>
      <c r="AP77" s="1173">
        <f t="shared" si="280"/>
        <v>78.379204689881774</v>
      </c>
      <c r="AQ77" s="2443">
        <f t="shared" si="280"/>
        <v>80.364357843257849</v>
      </c>
      <c r="AR77" s="2443">
        <f t="shared" si="280"/>
        <v>77.168563357036689</v>
      </c>
      <c r="AS77" s="1173">
        <f t="shared" si="280"/>
        <v>80.317232236253915</v>
      </c>
      <c r="AT77" s="1173">
        <f t="shared" si="280"/>
        <v>78.248207936330758</v>
      </c>
      <c r="AU77" s="2443">
        <f t="shared" ref="AU77:AZ77" si="281">+(1000/(AU53+AU54+AU55+AU56+AU57))*100</f>
        <v>80.432407277499834</v>
      </c>
      <c r="AV77" s="2443">
        <f t="shared" si="281"/>
        <v>77.760896370143897</v>
      </c>
      <c r="AW77" s="1173">
        <f t="shared" si="281"/>
        <v>80.327899416471311</v>
      </c>
      <c r="AX77" s="1173">
        <f t="shared" si="281"/>
        <v>78.207060025035503</v>
      </c>
      <c r="AY77" s="2443">
        <f t="shared" ref="AY77" si="282">+(1000/(AY53+AY54+AY55+AY56+AY57))*100</f>
        <v>80.364357843257849</v>
      </c>
      <c r="AZ77" s="2443">
        <f t="shared" si="281"/>
        <v>77.036093556054936</v>
      </c>
      <c r="BA77" s="1175">
        <f t="shared" ref="BA77:BF77" si="283">+(1000/(BA53+BA54+BA55+BA56+BA57))*100</f>
        <v>80.385454484118895</v>
      </c>
      <c r="BB77" s="1175">
        <f t="shared" si="283"/>
        <v>77.295670203120523</v>
      </c>
      <c r="BC77" s="1114">
        <f t="shared" si="283"/>
        <v>80.421760899228204</v>
      </c>
      <c r="BD77" s="1114">
        <f t="shared" si="283"/>
        <v>77.305875008399752</v>
      </c>
      <c r="BE77" s="1173">
        <f t="shared" si="283"/>
        <v>80.331305900645106</v>
      </c>
      <c r="BF77" s="1173">
        <f t="shared" si="283"/>
        <v>78.097882082320538</v>
      </c>
      <c r="BG77" s="23"/>
      <c r="BH77" s="23"/>
      <c r="BI77" s="23"/>
      <c r="BJ77" s="23"/>
      <c r="BK77" s="23"/>
      <c r="BL77" s="23"/>
    </row>
    <row r="78" spans="2:64" ht="15" hidden="1" thickBot="1" x14ac:dyDescent="0.35">
      <c r="B78" s="2899" t="s">
        <v>417</v>
      </c>
      <c r="C78" s="2900" t="s">
        <v>49</v>
      </c>
      <c r="D78" s="1333">
        <f t="shared" ref="D78:Z78" si="284">+D47/D67*100</f>
        <v>15.000000000000002</v>
      </c>
      <c r="E78" s="2909">
        <f t="shared" si="284"/>
        <v>15</v>
      </c>
      <c r="F78" s="2909">
        <f t="shared" si="284"/>
        <v>19.770698258596695</v>
      </c>
      <c r="G78" s="2909">
        <f t="shared" ref="G78:H78" si="285">+G47/G67*100</f>
        <v>15.000000000000002</v>
      </c>
      <c r="H78" s="2909">
        <f t="shared" si="285"/>
        <v>16.164380017206469</v>
      </c>
      <c r="I78" s="2910">
        <f t="shared" si="284"/>
        <v>15.000000000000002</v>
      </c>
      <c r="J78" s="2911">
        <f t="shared" si="284"/>
        <v>18.673452719046015</v>
      </c>
      <c r="K78" s="2909">
        <f t="shared" si="284"/>
        <v>15</v>
      </c>
      <c r="L78" s="2909">
        <f t="shared" si="284"/>
        <v>21.416839856062335</v>
      </c>
      <c r="M78" s="1186">
        <f t="shared" si="284"/>
        <v>15</v>
      </c>
      <c r="N78" s="1186">
        <f t="shared" si="284"/>
        <v>19.840678445229681</v>
      </c>
      <c r="O78" s="2909">
        <f t="shared" ref="O78:P78" si="286">+O47/O67*100</f>
        <v>15</v>
      </c>
      <c r="P78" s="2909">
        <f t="shared" si="286"/>
        <v>18.896120213086743</v>
      </c>
      <c r="Q78" s="1188">
        <f t="shared" si="284"/>
        <v>15</v>
      </c>
      <c r="R78" s="1188">
        <f t="shared" si="284"/>
        <v>19.547544128484368</v>
      </c>
      <c r="S78" s="2909">
        <f t="shared" si="284"/>
        <v>15</v>
      </c>
      <c r="T78" s="2909">
        <f t="shared" si="284"/>
        <v>15.135745956850455</v>
      </c>
      <c r="U78" s="1188">
        <f t="shared" ref="U78:X78" si="287">+U47/U67*100</f>
        <v>15</v>
      </c>
      <c r="V78" s="1188">
        <f t="shared" si="287"/>
        <v>18.5325371026602</v>
      </c>
      <c r="W78" s="2909">
        <f t="shared" si="287"/>
        <v>15</v>
      </c>
      <c r="X78" s="2909">
        <f t="shared" si="287"/>
        <v>16.418790556693988</v>
      </c>
      <c r="Y78" s="1186">
        <f t="shared" si="284"/>
        <v>15</v>
      </c>
      <c r="Z78" s="1186">
        <f t="shared" si="284"/>
        <v>16.846364333956501</v>
      </c>
      <c r="AA78" s="1189">
        <f t="shared" ref="AA78:AF78" si="288">+AA47/AA67*100</f>
        <v>14.999999999999996</v>
      </c>
      <c r="AB78" s="1189">
        <f t="shared" si="288"/>
        <v>18.14426127947976</v>
      </c>
      <c r="AC78" s="2909">
        <f t="shared" si="288"/>
        <v>15</v>
      </c>
      <c r="AD78" s="2909">
        <f t="shared" si="288"/>
        <v>14.911692895623791</v>
      </c>
      <c r="AE78" s="1188">
        <f t="shared" si="288"/>
        <v>14.999999999999996</v>
      </c>
      <c r="AF78" s="1188">
        <f t="shared" si="288"/>
        <v>17.728139601818469</v>
      </c>
      <c r="AG78" s="2909">
        <f t="shared" ref="AG78:AH78" si="289">+AG47/AG67*100</f>
        <v>15</v>
      </c>
      <c r="AH78" s="2909">
        <f t="shared" si="289"/>
        <v>14.777748043450952</v>
      </c>
      <c r="AI78" s="1188">
        <f t="shared" ref="AI78:AL78" si="290">+AI47/AI67*100</f>
        <v>15</v>
      </c>
      <c r="AJ78" s="1188">
        <f t="shared" si="290"/>
        <v>17.329147636294884</v>
      </c>
      <c r="AK78" s="2909">
        <f t="shared" si="290"/>
        <v>15</v>
      </c>
      <c r="AL78" s="2909">
        <f t="shared" si="290"/>
        <v>14.603299576117301</v>
      </c>
      <c r="AM78" s="1186">
        <f t="shared" ref="AM78:AN78" si="291">+AM47/AM67*100</f>
        <v>15</v>
      </c>
      <c r="AN78" s="1186">
        <f t="shared" si="291"/>
        <v>14.755821608433564</v>
      </c>
      <c r="AO78" s="1188">
        <f t="shared" ref="AO78:AT78" si="292">+AO47/AO67*100</f>
        <v>15</v>
      </c>
      <c r="AP78" s="1188">
        <f t="shared" si="292"/>
        <v>17.008731810086797</v>
      </c>
      <c r="AQ78" s="2909">
        <f t="shared" si="292"/>
        <v>14.999999999999996</v>
      </c>
      <c r="AR78" s="2909">
        <f t="shared" si="292"/>
        <v>16.260843472093402</v>
      </c>
      <c r="AS78" s="1188">
        <f t="shared" si="292"/>
        <v>15</v>
      </c>
      <c r="AT78" s="1188">
        <f t="shared" si="292"/>
        <v>16.928923555670703</v>
      </c>
      <c r="AU78" s="2909">
        <f t="shared" ref="AU78:AX78" si="293">+AU47/AU67*100</f>
        <v>15</v>
      </c>
      <c r="AV78" s="2909">
        <f t="shared" si="293"/>
        <v>19.077580785526894</v>
      </c>
      <c r="AW78" s="1188">
        <f t="shared" si="293"/>
        <v>15</v>
      </c>
      <c r="AX78" s="1188">
        <f t="shared" si="293"/>
        <v>17.10931814721296</v>
      </c>
      <c r="AY78" s="2909">
        <f t="shared" ref="AY78:AZ78" si="294">+AY47/AY67*100</f>
        <v>14.999999999999996</v>
      </c>
      <c r="AZ78" s="2909">
        <f t="shared" si="294"/>
        <v>17.374706446075592</v>
      </c>
      <c r="BA78" s="1186">
        <f t="shared" ref="BA78:BF78" si="295">+BA47/BA67*100</f>
        <v>15</v>
      </c>
      <c r="BB78" s="1186">
        <f t="shared" si="295"/>
        <v>17.495151961735832</v>
      </c>
      <c r="BC78" s="1189">
        <f t="shared" si="295"/>
        <v>15</v>
      </c>
      <c r="BD78" s="1189">
        <f t="shared" si="295"/>
        <v>16.14704293266578</v>
      </c>
      <c r="BE78" s="1188">
        <f t="shared" si="295"/>
        <v>15</v>
      </c>
      <c r="BF78" s="1188">
        <f t="shared" si="295"/>
        <v>17.133725867262772</v>
      </c>
      <c r="BG78" s="23"/>
      <c r="BH78" s="23"/>
      <c r="BI78" s="23"/>
      <c r="BJ78" s="23"/>
      <c r="BK78" s="23"/>
      <c r="BL78" s="23"/>
    </row>
    <row r="79" spans="2:64" ht="17.399999999999999" x14ac:dyDescent="0.3">
      <c r="B79" s="2887" t="s">
        <v>47</v>
      </c>
      <c r="C79" s="2888"/>
      <c r="D79" s="2241"/>
      <c r="E79" s="2889"/>
      <c r="F79" s="2889"/>
      <c r="G79" s="2889"/>
      <c r="H79" s="2889"/>
      <c r="I79" s="2888"/>
      <c r="J79" s="2890"/>
      <c r="K79" s="2889"/>
      <c r="L79" s="2889"/>
      <c r="M79" s="1170"/>
      <c r="N79" s="1170"/>
      <c r="O79" s="2889"/>
      <c r="P79" s="2889"/>
      <c r="Q79" s="1170"/>
      <c r="R79" s="1170"/>
      <c r="S79" s="2889"/>
      <c r="T79" s="2889"/>
      <c r="U79" s="1170"/>
      <c r="V79" s="1170"/>
      <c r="W79" s="2889"/>
      <c r="X79" s="2889"/>
      <c r="Y79" s="1170"/>
      <c r="Z79" s="1170"/>
      <c r="AA79" s="1170"/>
      <c r="AB79" s="1170"/>
      <c r="AC79" s="2889"/>
      <c r="AD79" s="2889"/>
      <c r="AE79" s="1170"/>
      <c r="AF79" s="1170"/>
      <c r="AG79" s="2889"/>
      <c r="AH79" s="2889"/>
      <c r="AI79" s="1170"/>
      <c r="AJ79" s="1170"/>
      <c r="AK79" s="2889"/>
      <c r="AL79" s="2889"/>
      <c r="AM79" s="1170"/>
      <c r="AN79" s="1170"/>
      <c r="AO79" s="1170"/>
      <c r="AP79" s="1170"/>
      <c r="AQ79" s="2889"/>
      <c r="AR79" s="2889"/>
      <c r="AS79" s="1170"/>
      <c r="AT79" s="1170"/>
      <c r="AU79" s="2889"/>
      <c r="AV79" s="2889"/>
      <c r="AW79" s="1170"/>
      <c r="AX79" s="1170"/>
      <c r="AY79" s="2889"/>
      <c r="AZ79" s="2889"/>
      <c r="BA79" s="1170"/>
      <c r="BB79" s="1170"/>
      <c r="BC79" s="1170"/>
      <c r="BD79" s="1170"/>
      <c r="BE79" s="1170"/>
      <c r="BF79" s="1170"/>
      <c r="BG79" s="23"/>
      <c r="BH79" s="23"/>
      <c r="BI79" s="23"/>
      <c r="BJ79" s="23"/>
      <c r="BK79" s="23"/>
      <c r="BL79" s="23"/>
    </row>
    <row r="80" spans="2:64" x14ac:dyDescent="0.3">
      <c r="B80" s="2891" t="s">
        <v>418</v>
      </c>
      <c r="C80" s="2892" t="s">
        <v>49</v>
      </c>
      <c r="D80" s="2580">
        <f t="shared" ref="D80:AI80" si="296">+(D67/(3880000/330*D1))*100</f>
        <v>109.95201777399157</v>
      </c>
      <c r="E80" s="2893">
        <f t="shared" si="296"/>
        <v>114.49670117531656</v>
      </c>
      <c r="F80" s="2893">
        <f t="shared" si="296"/>
        <v>108.51521865415523</v>
      </c>
      <c r="G80" s="2893">
        <f t="shared" ref="G80:H80" si="297">+(G67/(3880000/330*G1))*100</f>
        <v>102.93693807588555</v>
      </c>
      <c r="H80" s="2893">
        <f t="shared" si="297"/>
        <v>108.65676230017387</v>
      </c>
      <c r="I80" s="2894">
        <f t="shared" si="296"/>
        <v>108.71681962560105</v>
      </c>
      <c r="J80" s="2895">
        <f t="shared" si="296"/>
        <v>108.55824517283004</v>
      </c>
      <c r="K80" s="2893">
        <f t="shared" si="296"/>
        <v>112.35299865735398</v>
      </c>
      <c r="L80" s="2893">
        <f t="shared" si="296"/>
        <v>112.54516134636197</v>
      </c>
      <c r="M80" s="1186">
        <f t="shared" si="296"/>
        <v>110.1495106064141</v>
      </c>
      <c r="N80" s="1186">
        <f t="shared" si="296"/>
        <v>110.21950081601062</v>
      </c>
      <c r="O80" s="2893">
        <f t="shared" si="296"/>
        <v>109.79954617224321</v>
      </c>
      <c r="P80" s="2893">
        <f t="shared" si="296"/>
        <v>113.83239282103703</v>
      </c>
      <c r="Q80" s="1188">
        <f t="shared" si="296"/>
        <v>110.04815082882291</v>
      </c>
      <c r="R80" s="1188">
        <f t="shared" si="296"/>
        <v>111.31593962110489</v>
      </c>
      <c r="S80" s="2893">
        <f t="shared" si="296"/>
        <v>109.79954617224321</v>
      </c>
      <c r="T80" s="2893">
        <f t="shared" si="296"/>
        <v>112.44866740605384</v>
      </c>
      <c r="U80" s="1188">
        <f t="shared" si="296"/>
        <v>109.99231843152992</v>
      </c>
      <c r="V80" s="1188">
        <f t="shared" si="296"/>
        <v>111.57451648624142</v>
      </c>
      <c r="W80" s="2893">
        <f t="shared" si="296"/>
        <v>110.90716848399194</v>
      </c>
      <c r="X80" s="2893">
        <f t="shared" si="296"/>
        <v>111.61701346794256</v>
      </c>
      <c r="Y80" s="1186">
        <f t="shared" si="296"/>
        <v>110.03715491898798</v>
      </c>
      <c r="Z80" s="1186">
        <f t="shared" si="296"/>
        <v>112.64796107281383</v>
      </c>
      <c r="AA80" s="1189">
        <f t="shared" si="296"/>
        <v>110.09228174890609</v>
      </c>
      <c r="AB80" s="1189">
        <f t="shared" si="296"/>
        <v>111.58232036501687</v>
      </c>
      <c r="AC80" s="2893">
        <f t="shared" si="296"/>
        <v>111.83807766945941</v>
      </c>
      <c r="AD80" s="2893">
        <f t="shared" si="296"/>
        <v>112.70135267973637</v>
      </c>
      <c r="AE80" s="1188">
        <f t="shared" si="296"/>
        <v>110.38330041725857</v>
      </c>
      <c r="AF80" s="1188">
        <f t="shared" si="296"/>
        <v>111.72512324346719</v>
      </c>
      <c r="AG80" s="2893">
        <f t="shared" si="296"/>
        <v>113.5604740276007</v>
      </c>
      <c r="AH80" s="2893">
        <f t="shared" si="296"/>
        <v>116.51312847398027</v>
      </c>
      <c r="AI80" s="1188">
        <f t="shared" si="296"/>
        <v>110.82411096092777</v>
      </c>
      <c r="AJ80" s="1188">
        <f t="shared" ref="AJ80:BF80" si="298">+(AJ67/(3880000/330*AJ1))*100</f>
        <v>112.34948360991996</v>
      </c>
      <c r="AK80" s="2893">
        <f t="shared" si="298"/>
        <v>113.00496563230287</v>
      </c>
      <c r="AL80" s="2893">
        <f t="shared" si="298"/>
        <v>116.4461676846164</v>
      </c>
      <c r="AM80" s="1186">
        <f t="shared" si="298"/>
        <v>112.79256845916088</v>
      </c>
      <c r="AN80" s="1186">
        <f t="shared" si="298"/>
        <v>115.34628414262296</v>
      </c>
      <c r="AO80" s="1188">
        <f t="shared" si="298"/>
        <v>111.09790536418294</v>
      </c>
      <c r="AP80" s="1188">
        <f t="shared" si="298"/>
        <v>112.81602521838627</v>
      </c>
      <c r="AQ80" s="2893">
        <f t="shared" si="298"/>
        <v>113.46890286723237</v>
      </c>
      <c r="AR80" s="2893">
        <f t="shared" si="298"/>
        <v>109.04326615821861</v>
      </c>
      <c r="AS80" s="1188">
        <f t="shared" si="298"/>
        <v>111.36236917417364</v>
      </c>
      <c r="AT80" s="1188">
        <f t="shared" si="298"/>
        <v>112.40103145829478</v>
      </c>
      <c r="AU80" s="2893">
        <f t="shared" si="298"/>
        <v>113.49833692949325</v>
      </c>
      <c r="AV80" s="2893">
        <f t="shared" si="298"/>
        <v>109.63227174667536</v>
      </c>
      <c r="AW80" s="1188">
        <f t="shared" si="298"/>
        <v>111.55706569434021</v>
      </c>
      <c r="AX80" s="1188">
        <f t="shared" si="298"/>
        <v>112.16320856877722</v>
      </c>
      <c r="AY80" s="2893">
        <f t="shared" si="298"/>
        <v>113.46890286723237</v>
      </c>
      <c r="AZ80" s="2893">
        <f t="shared" si="298"/>
        <v>115.11789314168944</v>
      </c>
      <c r="BA80" s="1186">
        <f t="shared" si="298"/>
        <v>113.47803169233934</v>
      </c>
      <c r="BB80" s="1186">
        <f t="shared" si="298"/>
        <v>111.32317460270369</v>
      </c>
      <c r="BC80" s="1189">
        <f t="shared" si="298"/>
        <v>113.13137191968605</v>
      </c>
      <c r="BD80" s="1189">
        <f t="shared" si="298"/>
        <v>113.26738713906856</v>
      </c>
      <c r="BE80" s="1188">
        <f t="shared" si="298"/>
        <v>111.73303736349077</v>
      </c>
      <c r="BF80" s="1188">
        <f t="shared" si="298"/>
        <v>112.42860223018705</v>
      </c>
      <c r="BG80" s="23"/>
      <c r="BH80" s="23"/>
      <c r="BI80" s="23"/>
      <c r="BJ80" s="23"/>
      <c r="BK80" s="23"/>
      <c r="BL80" s="23"/>
    </row>
    <row r="81" spans="2:64" x14ac:dyDescent="0.3">
      <c r="B81" s="2891" t="s">
        <v>228</v>
      </c>
      <c r="C81" s="2892" t="s">
        <v>226</v>
      </c>
      <c r="D81" s="2581">
        <f t="shared" ref="D81:AD81" si="299">+(D67/408)/D74</f>
        <v>1.3202299618831927</v>
      </c>
      <c r="E81" s="2640">
        <f t="shared" si="299"/>
        <v>1.3747994669743646</v>
      </c>
      <c r="F81" s="2640">
        <f t="shared" si="299"/>
        <v>1.3029778433171244</v>
      </c>
      <c r="G81" s="2640">
        <f t="shared" ref="G81:H81" si="300">+(G67/408)/G74</f>
        <v>1.2359975977125297</v>
      </c>
      <c r="H81" s="2640">
        <f t="shared" si="300"/>
        <v>1.3046774043272014</v>
      </c>
      <c r="I81" s="2894">
        <f t="shared" si="299"/>
        <v>1.3053985323434469</v>
      </c>
      <c r="J81" s="2896">
        <f t="shared" si="299"/>
        <v>1.3034944768474592</v>
      </c>
      <c r="K81" s="2640">
        <f t="shared" si="299"/>
        <v>1.3490593273127522</v>
      </c>
      <c r="L81" s="2640">
        <f t="shared" si="299"/>
        <v>1.3513666877843524</v>
      </c>
      <c r="M81" s="1192">
        <f t="shared" si="299"/>
        <v>1.3226013231360378</v>
      </c>
      <c r="N81" s="1192">
        <f t="shared" si="299"/>
        <v>1.323441718552316</v>
      </c>
      <c r="O81" s="2640">
        <f t="shared" ref="O81:P81" si="301">+(O67/408)/O74</f>
        <v>1.3183991853222903</v>
      </c>
      <c r="P81" s="2640">
        <f t="shared" si="301"/>
        <v>1.366822898549291</v>
      </c>
      <c r="Q81" s="1188">
        <f t="shared" si="299"/>
        <v>1.3213842630218637</v>
      </c>
      <c r="R81" s="1184">
        <f t="shared" si="299"/>
        <v>1.3366070191185351</v>
      </c>
      <c r="S81" s="2640">
        <f t="shared" si="299"/>
        <v>1.3183991853222903</v>
      </c>
      <c r="T81" s="2640">
        <f t="shared" si="299"/>
        <v>1.3502080533753245</v>
      </c>
      <c r="U81" s="1188">
        <f t="shared" ref="U81:X81" si="302">+(U67/408)/U74</f>
        <v>1.3207138651042787</v>
      </c>
      <c r="V81" s="1184">
        <f t="shared" si="302"/>
        <v>1.3397118363989671</v>
      </c>
      <c r="W81" s="2640">
        <f t="shared" si="302"/>
        <v>1.3316987699231551</v>
      </c>
      <c r="X81" s="2640">
        <f t="shared" si="302"/>
        <v>1.3402221116050741</v>
      </c>
      <c r="Y81" s="1192">
        <f t="shared" si="299"/>
        <v>1.321252231523796</v>
      </c>
      <c r="Z81" s="1192">
        <f t="shared" si="299"/>
        <v>1.3526010378370645</v>
      </c>
      <c r="AA81" s="1193">
        <f t="shared" si="299"/>
        <v>1.3219141574623552</v>
      </c>
      <c r="AB81" s="1193">
        <f t="shared" si="299"/>
        <v>1.3398055401325308</v>
      </c>
      <c r="AC81" s="2640">
        <f t="shared" si="299"/>
        <v>1.3428765020223761</v>
      </c>
      <c r="AD81" s="2640">
        <f t="shared" si="299"/>
        <v>1.353242128383644</v>
      </c>
      <c r="AE81" s="1188">
        <f t="shared" ref="AE81:AH81" si="303">+(AE67/408)/AE74</f>
        <v>1.3254085141208756</v>
      </c>
      <c r="AF81" s="1184">
        <f t="shared" si="303"/>
        <v>1.3415202211596751</v>
      </c>
      <c r="AG81" s="2640">
        <f t="shared" si="303"/>
        <v>1.3635578803571582</v>
      </c>
      <c r="AH81" s="2640">
        <f t="shared" si="303"/>
        <v>1.3990113713081909</v>
      </c>
      <c r="AI81" s="1188">
        <f t="shared" ref="AI81:AL81" si="304">+(AI67/408)/AI74</f>
        <v>1.3307014709855907</v>
      </c>
      <c r="AJ81" s="1184">
        <f t="shared" si="304"/>
        <v>1.3490171209846302</v>
      </c>
      <c r="AK81" s="2640">
        <f t="shared" si="304"/>
        <v>1.3568877087459619</v>
      </c>
      <c r="AL81" s="2640">
        <f t="shared" si="304"/>
        <v>1.3982073511348525</v>
      </c>
      <c r="AM81" s="1192">
        <f t="shared" ref="AM81:AN81" si="305">+(AM67/408)/AM74</f>
        <v>1.3543373861827348</v>
      </c>
      <c r="AN81" s="1192">
        <f t="shared" si="305"/>
        <v>1.3850006884821779</v>
      </c>
      <c r="AO81" s="1188">
        <f t="shared" ref="AO81:AT81" si="306">+(AO67/408)/AO74</f>
        <v>1.3339890102403626</v>
      </c>
      <c r="AP81" s="1184">
        <f t="shared" si="306"/>
        <v>1.3546190391888826</v>
      </c>
      <c r="AQ81" s="2640">
        <f t="shared" si="306"/>
        <v>1.3624583553824443</v>
      </c>
      <c r="AR81" s="2640">
        <f t="shared" si="306"/>
        <v>1.3093182829950494</v>
      </c>
      <c r="AS81" s="1188">
        <f t="shared" si="306"/>
        <v>1.3371645139996586</v>
      </c>
      <c r="AT81" s="1184">
        <f t="shared" si="306"/>
        <v>1.3496360729172356</v>
      </c>
      <c r="AU81" s="2640">
        <f t="shared" ref="AU81:AX81" si="307">+(AU67/408)/AU74</f>
        <v>1.3628117798277934</v>
      </c>
      <c r="AV81" s="2640">
        <f t="shared" si="307"/>
        <v>1.3163906663977405</v>
      </c>
      <c r="AW81" s="1188">
        <f t="shared" si="307"/>
        <v>1.3395022990135423</v>
      </c>
      <c r="AX81" s="1184">
        <f t="shared" si="307"/>
        <v>1.3467804554331786</v>
      </c>
      <c r="AY81" s="2640">
        <f t="shared" ref="AY81:AZ81" si="308">+(AY67/408)/AY74</f>
        <v>1.3624583553824443</v>
      </c>
      <c r="AZ81" s="2640">
        <f t="shared" si="308"/>
        <v>1.3822583227797429</v>
      </c>
      <c r="BA81" s="1192">
        <f t="shared" ref="BA81:BF81" si="309">+(BA67/408)/BA74</f>
        <v>1.3625679681814367</v>
      </c>
      <c r="BB81" s="1192">
        <f t="shared" si="309"/>
        <v>1.3366938919169955</v>
      </c>
      <c r="BC81" s="1193">
        <f t="shared" si="309"/>
        <v>1.3584055105230672</v>
      </c>
      <c r="BD81" s="1193">
        <f t="shared" si="309"/>
        <v>1.3600386899001846</v>
      </c>
      <c r="BE81" s="1188">
        <f t="shared" si="309"/>
        <v>1.3416152485960839</v>
      </c>
      <c r="BF81" s="1184">
        <f t="shared" si="309"/>
        <v>1.3499671242236264</v>
      </c>
      <c r="BG81" s="23"/>
      <c r="BH81" s="23"/>
      <c r="BI81" s="23"/>
      <c r="BJ81" s="23"/>
      <c r="BK81" s="23"/>
      <c r="BL81" s="23"/>
    </row>
    <row r="82" spans="2:64" x14ac:dyDescent="0.3">
      <c r="B82" s="2891" t="s">
        <v>229</v>
      </c>
      <c r="C82" s="2892" t="s">
        <v>212</v>
      </c>
      <c r="D82" s="2399">
        <f>14.5890651947006*365*24*1000</f>
        <v>127800211.10557728</v>
      </c>
      <c r="E82" s="2446">
        <f>+'POWER DISTRIBUTION'!I21</f>
        <v>8858244.3057163507</v>
      </c>
      <c r="F82" s="2446">
        <f>+'POWER DISTRIBUTION'!J21</f>
        <v>11705460</v>
      </c>
      <c r="G82" s="2446">
        <f>+'POWER DISTRIBUTION'!K21</f>
        <v>7963902.3325430648</v>
      </c>
      <c r="H82" s="2446">
        <f>+'POWER DISTRIBUTION'!L21</f>
        <v>5899570.0000000019</v>
      </c>
      <c r="I82" s="2444">
        <f>+E82+G82</f>
        <v>16822146.638259415</v>
      </c>
      <c r="J82" s="2897">
        <f>+F82+H82</f>
        <v>17605030</v>
      </c>
      <c r="K82" s="2446">
        <f>+'POWER DISTRIBUTION'!O21</f>
        <v>11514717.277581625</v>
      </c>
      <c r="L82" s="2446">
        <f>+'POWER DISTRIBUTION'!P21</f>
        <v>11736979.999999998</v>
      </c>
      <c r="M82" s="1175">
        <f>+K82+G82+E82</f>
        <v>28336863.915841039</v>
      </c>
      <c r="N82" s="1175">
        <f>+L82+H82+F82</f>
        <v>29342010</v>
      </c>
      <c r="O82" s="2446">
        <f>+'POWER DISTRIBUTION'!S21</f>
        <v>11644431.145174664</v>
      </c>
      <c r="P82" s="2446">
        <f>+'POWER DISTRIBUTION'!T21</f>
        <v>12452919.999999998</v>
      </c>
      <c r="Q82" s="1173">
        <f>+M82+O82</f>
        <v>39981295.061015703</v>
      </c>
      <c r="R82" s="1174">
        <f>+N82+P82</f>
        <v>41794930</v>
      </c>
      <c r="S82" s="2446">
        <f>+'POWER DISTRIBUTION'!W21</f>
        <v>11644431.145174664</v>
      </c>
      <c r="T82" s="2446">
        <f>+'POWER DISTRIBUTION'!X21</f>
        <v>12425240.000000002</v>
      </c>
      <c r="U82" s="1173">
        <f>+Q82+S82</f>
        <v>51625726.206190363</v>
      </c>
      <c r="V82" s="1174">
        <f>+R82+T82</f>
        <v>54220170</v>
      </c>
      <c r="W82" s="2446">
        <f>+'POWER DISTRIBUTION'!AA21</f>
        <v>6424565.2608682904</v>
      </c>
      <c r="X82" s="2446">
        <f>+'POWER DISTRIBUTION'!AB21</f>
        <v>12303829.999999996</v>
      </c>
      <c r="Y82" s="1175">
        <f>+O82+S82+W82</f>
        <v>29713427.551217616</v>
      </c>
      <c r="Z82" s="1175">
        <f>+P82+T82+X82</f>
        <v>37181990</v>
      </c>
      <c r="AA82" s="1114">
        <f>M82+Y82</f>
        <v>58050291.467058659</v>
      </c>
      <c r="AB82" s="1114">
        <f>N82+Z82</f>
        <v>66524000</v>
      </c>
      <c r="AC82" s="2446">
        <f>+'POWER DISTRIBUTION'!AG21</f>
        <v>11860620.924496397</v>
      </c>
      <c r="AD82" s="2446">
        <f>+'POWER DISTRIBUTION'!AH21</f>
        <v>10323149.999999998</v>
      </c>
      <c r="AE82" s="1173">
        <f>+AA82+AC82</f>
        <v>69910912.391555056</v>
      </c>
      <c r="AF82" s="1174">
        <f>+AB82+AD82</f>
        <v>76847150</v>
      </c>
      <c r="AG82" s="2446">
        <f>+'POWER DISTRIBUTION'!AK21</f>
        <v>11638467.757534873</v>
      </c>
      <c r="AH82" s="2446">
        <f>+'POWER DISTRIBUTION'!AL21</f>
        <v>11758380.000000009</v>
      </c>
      <c r="AI82" s="1173">
        <f>+AE82+AG82</f>
        <v>81549380.149089932</v>
      </c>
      <c r="AJ82" s="1174">
        <f>+AF82+AH82</f>
        <v>88605530.000000015</v>
      </c>
      <c r="AK82" s="2446">
        <f>+'POWER DISTRIBUTION'!AO21</f>
        <v>11984371.404449644</v>
      </c>
      <c r="AL82" s="2446">
        <f>+'POWER DISTRIBUTION'!AP21</f>
        <v>10587819.999999993</v>
      </c>
      <c r="AM82" s="1175">
        <f>+AC82+AG82+AK82</f>
        <v>35483460.086480916</v>
      </c>
      <c r="AN82" s="1175">
        <f>+AD82+AH82+AL82</f>
        <v>32669350</v>
      </c>
      <c r="AO82" s="1173">
        <f>AI82+AK82</f>
        <v>93533751.553539574</v>
      </c>
      <c r="AP82" s="1173">
        <f>AJ82+AL82</f>
        <v>99193350</v>
      </c>
      <c r="AQ82" s="2446">
        <f>+'POWER DISTRIBUTION'!AU21</f>
        <v>12033572.747953784</v>
      </c>
      <c r="AR82" s="2446">
        <f>+'POWER DISTRIBUTION'!AV21</f>
        <v>11832350.000000006</v>
      </c>
      <c r="AS82" s="1173">
        <f>+AO82+AQ82</f>
        <v>105567324.30149336</v>
      </c>
      <c r="AT82" s="1174">
        <f>+AP82+AR82</f>
        <v>111025700</v>
      </c>
      <c r="AU82" s="2446">
        <f>+'POWER DISTRIBUTION'!AY21</f>
        <v>10822909.983752074</v>
      </c>
      <c r="AV82" s="2446">
        <f>+'POWER DISTRIBUTION'!AZ21</f>
        <v>10396270</v>
      </c>
      <c r="AW82" s="1173">
        <f>+AS82+AU82</f>
        <v>116390234.28524543</v>
      </c>
      <c r="AX82" s="1174">
        <f>+AT82+AV82</f>
        <v>121421970</v>
      </c>
      <c r="AY82" s="2446">
        <f>+'POWER DISTRIBUTION'!BC21</f>
        <v>12033572.747953784</v>
      </c>
      <c r="AZ82" s="2446">
        <f>+'POWER DISTRIBUTION'!BD21</f>
        <v>12188319.999999996</v>
      </c>
      <c r="BA82" s="1175">
        <f>+AQ82+AU82+AY82</f>
        <v>34890055.479659647</v>
      </c>
      <c r="BB82" s="1175">
        <f>+AR82+AV82+AZ82</f>
        <v>34416940</v>
      </c>
      <c r="BC82" s="1114">
        <f t="shared" ref="BC82:BD82" si="310">AM82+BA82</f>
        <v>70373515.566140562</v>
      </c>
      <c r="BD82" s="1114">
        <f t="shared" si="310"/>
        <v>67086290</v>
      </c>
      <c r="BE82" s="1173">
        <f>+AW82+AY82</f>
        <v>128423807.03319922</v>
      </c>
      <c r="BF82" s="1174">
        <f>+AX82+AZ82</f>
        <v>133610290</v>
      </c>
      <c r="BG82" s="23"/>
      <c r="BH82" s="23"/>
      <c r="BI82" s="23"/>
      <c r="BJ82" s="23"/>
      <c r="BK82" s="23"/>
      <c r="BL82" s="23"/>
    </row>
    <row r="83" spans="2:64" x14ac:dyDescent="0.3">
      <c r="B83" s="2891" t="s">
        <v>230</v>
      </c>
      <c r="C83" s="2892" t="s">
        <v>227</v>
      </c>
      <c r="D83" s="2583">
        <f t="shared" ref="D83:AD83" si="311">+D82/D67</f>
        <v>30.378812237263151</v>
      </c>
      <c r="E83" s="2898">
        <f t="shared" si="311"/>
        <v>30.37</v>
      </c>
      <c r="F83" s="2898">
        <f t="shared" si="311"/>
        <v>33.112291659594689</v>
      </c>
      <c r="G83" s="2898">
        <f t="shared" ref="G83:H83" si="312">+G82/G67</f>
        <v>30.37</v>
      </c>
      <c r="H83" s="2898">
        <f t="shared" si="312"/>
        <v>38.161947824287012</v>
      </c>
      <c r="I83" s="2894">
        <f t="shared" si="311"/>
        <v>30.370000000000005</v>
      </c>
      <c r="J83" s="2895">
        <f t="shared" si="311"/>
        <v>34.648682053371282</v>
      </c>
      <c r="K83" s="2898">
        <f t="shared" si="311"/>
        <v>30.937619988311706</v>
      </c>
      <c r="L83" s="2898">
        <f t="shared" si="311"/>
        <v>31.192641532500247</v>
      </c>
      <c r="M83" s="1186">
        <f t="shared" si="311"/>
        <v>30.598121934259883</v>
      </c>
      <c r="N83" s="1186">
        <f t="shared" si="311"/>
        <v>33.1782445229682</v>
      </c>
      <c r="O83" s="2898">
        <f t="shared" ref="O83:P83" si="313">+O82/O67</f>
        <v>30.93761998831171</v>
      </c>
      <c r="P83" s="2898">
        <f t="shared" si="313"/>
        <v>31.291888632023316</v>
      </c>
      <c r="Q83" s="1188">
        <f t="shared" si="311"/>
        <v>30.696228217641156</v>
      </c>
      <c r="R83" s="1188">
        <f t="shared" si="311"/>
        <v>32.592832606144263</v>
      </c>
      <c r="S83" s="2898">
        <f t="shared" si="311"/>
        <v>30.93761998831171</v>
      </c>
      <c r="T83" s="2898">
        <f t="shared" si="311"/>
        <v>32.42672484661216</v>
      </c>
      <c r="U83" s="1188">
        <f t="shared" ref="U83:X83" si="314">+U82/U67</f>
        <v>30.750345710164712</v>
      </c>
      <c r="V83" s="1188">
        <f t="shared" si="314"/>
        <v>32.554616772960181</v>
      </c>
      <c r="W83" s="2898">
        <f t="shared" si="314"/>
        <v>30.93761998831171</v>
      </c>
      <c r="X83" s="2898">
        <f t="shared" si="314"/>
        <v>32.829122908128404</v>
      </c>
      <c r="Y83" s="1186">
        <f t="shared" si="311"/>
        <v>30.937619988311706</v>
      </c>
      <c r="Z83" s="1186">
        <f t="shared" si="311"/>
        <v>32.166493788946148</v>
      </c>
      <c r="AA83" s="1189">
        <f t="shared" si="311"/>
        <v>30.770960153860209</v>
      </c>
      <c r="AB83" s="1189">
        <f t="shared" si="311"/>
        <v>32.605041028320372</v>
      </c>
      <c r="AC83" s="2898">
        <f t="shared" si="311"/>
        <v>30.937619988311706</v>
      </c>
      <c r="AD83" s="2898">
        <f t="shared" si="311"/>
        <v>34.24520978742602</v>
      </c>
      <c r="AE83" s="1188">
        <f t="shared" ref="AE83:AH83" si="315">+AE82/AE67</f>
        <v>30.799107965706121</v>
      </c>
      <c r="AF83" s="1184">
        <f t="shared" si="315"/>
        <v>32.816176476868115</v>
      </c>
      <c r="AG83" s="2898">
        <f t="shared" si="315"/>
        <v>30.93761998831171</v>
      </c>
      <c r="AH83" s="2898">
        <f t="shared" si="315"/>
        <v>32.108649230214716</v>
      </c>
      <c r="AI83" s="1188">
        <f t="shared" ref="AI83:AL83" si="316">+AI82/AI67</f>
        <v>30.818800038787305</v>
      </c>
      <c r="AJ83" s="1188">
        <f t="shared" si="316"/>
        <v>32.720495045702442</v>
      </c>
      <c r="AK83" s="2923">
        <f t="shared" si="316"/>
        <v>30.937619988311706</v>
      </c>
      <c r="AL83" s="2923">
        <f t="shared" si="316"/>
        <v>29.352476899917644</v>
      </c>
      <c r="AM83" s="1186">
        <f t="shared" ref="AM83:AN83" si="317">+AM82/AM67</f>
        <v>30.937619988311706</v>
      </c>
      <c r="AN83" s="1186">
        <f t="shared" si="317"/>
        <v>31.768181981724425</v>
      </c>
      <c r="AO83" s="1188">
        <f t="shared" ref="AO83:AT83" si="318">+AO82/AO67</f>
        <v>30.83397329742423</v>
      </c>
      <c r="AP83" s="1188">
        <f t="shared" si="318"/>
        <v>32.324593919505716</v>
      </c>
      <c r="AQ83" s="2923">
        <f t="shared" si="318"/>
        <v>30.937619988311702</v>
      </c>
      <c r="AR83" s="2923">
        <f t="shared" si="318"/>
        <v>32.277674723116391</v>
      </c>
      <c r="AS83" s="1188">
        <f t="shared" si="318"/>
        <v>30.845752855254201</v>
      </c>
      <c r="AT83" s="1188">
        <f t="shared" si="318"/>
        <v>32.319587103685471</v>
      </c>
      <c r="AU83" s="2898">
        <f t="shared" ref="AU83:AX83" si="319">+AU82/AU67</f>
        <v>30.937619988311702</v>
      </c>
      <c r="AV83" s="2898">
        <f t="shared" si="319"/>
        <v>33.020174942670387</v>
      </c>
      <c r="AW83" s="1188">
        <f t="shared" si="319"/>
        <v>30.85427239387467</v>
      </c>
      <c r="AX83" s="1188">
        <f t="shared" si="319"/>
        <v>32.378406284007511</v>
      </c>
      <c r="AY83" s="2898">
        <f t="shared" ref="AY83:AZ83" si="320">+AY82/AY67</f>
        <v>30.937619988311702</v>
      </c>
      <c r="AZ83" s="2898">
        <f t="shared" si="320"/>
        <v>32.089050833535168</v>
      </c>
      <c r="BA83" s="1186">
        <f t="shared" ref="BA83:BF83" si="321">+BA82/BA67</f>
        <v>30.93761998831171</v>
      </c>
      <c r="BB83" s="1186">
        <f t="shared" si="321"/>
        <v>32.430445491842669</v>
      </c>
      <c r="BC83" s="1189">
        <f t="shared" si="321"/>
        <v>30.93761998831171</v>
      </c>
      <c r="BD83" s="1189">
        <f t="shared" si="321"/>
        <v>32.104525174660857</v>
      </c>
      <c r="BE83" s="1188">
        <f t="shared" si="321"/>
        <v>30.862063160095364</v>
      </c>
      <c r="BF83" s="1188">
        <f t="shared" si="321"/>
        <v>32.351794308798794</v>
      </c>
      <c r="BG83" s="23"/>
      <c r="BH83" s="23"/>
      <c r="BI83" s="23"/>
      <c r="BJ83" s="23"/>
      <c r="BK83" s="23"/>
      <c r="BL83" s="23"/>
    </row>
    <row r="84" spans="2:64" x14ac:dyDescent="0.3">
      <c r="B84" s="2891" t="s">
        <v>231</v>
      </c>
      <c r="C84" s="2892" t="s">
        <v>592</v>
      </c>
      <c r="D84" s="2399">
        <v>1591.7834886561495</v>
      </c>
      <c r="E84" s="2446">
        <f>+(EMD!D41*1000/E2)/24</f>
        <v>1342.3683000611231</v>
      </c>
      <c r="F84" s="2446">
        <f>+(EMD!E41*1000/F2)/24</f>
        <v>1429.4444444444443</v>
      </c>
      <c r="G84" s="2446">
        <f>+(EMD!F41*1000/G2)/24</f>
        <v>1167.9103851338245</v>
      </c>
      <c r="H84" s="2446">
        <f>+(EMD!G41*1000/H2)/24</f>
        <v>746.33064516129025</v>
      </c>
      <c r="I84" s="2894">
        <f>+(EMD!H41*1000/I2)/24</f>
        <v>1253.7093596882339</v>
      </c>
      <c r="J84" s="2895">
        <f>+(EMD!I41*1000/J2)/24</f>
        <v>1082.2882513661202</v>
      </c>
      <c r="K84" s="2446">
        <f>+(EMD!J41*1000/K2)/24</f>
        <v>1712.0706146228076</v>
      </c>
      <c r="L84" s="2446">
        <f>+(EMD!K41*1000/L2)/24</f>
        <v>1466.1805555555563</v>
      </c>
      <c r="M84" s="1186">
        <f>(E84*E2+G84*G2+K84*K2)/M2</f>
        <v>1404.8174657106206</v>
      </c>
      <c r="N84" s="1186">
        <f>(F84*F2+H84*H2+L84*L2)/N2</f>
        <v>1208.8461538461543</v>
      </c>
      <c r="O84" s="2446">
        <f>+(EMD!N41*1000/O2)/24</f>
        <v>1675.5064232201532</v>
      </c>
      <c r="P84" s="2446">
        <f>+(EMD!O41*1000/P2)/24</f>
        <v>1458.5080645161295</v>
      </c>
      <c r="Q84" s="1188">
        <f>+(EMD!P41*1000/Q2)/24</f>
        <v>1473.5990860614036</v>
      </c>
      <c r="R84" s="1188">
        <f>+(EMD!Q41*1000/R2)/24</f>
        <v>1272.2848360655742</v>
      </c>
      <c r="S84" s="2446">
        <f>+(EMD!R41*1000/S2)/24</f>
        <v>1675.5064232201532</v>
      </c>
      <c r="T84" s="2446">
        <f>+(EMD!S41*1000/T2)/24</f>
        <v>1407.741935483871</v>
      </c>
      <c r="U84" s="1188">
        <f>+(EMD!T41*1000/U2)/24</f>
        <v>1514.5084158125228</v>
      </c>
      <c r="V84" s="1188">
        <f>+(EMD!U41*1000/V2)/24</f>
        <v>1299.730392156863</v>
      </c>
      <c r="W84" s="2446">
        <f>+(EMD!V41*1000/W2)/24</f>
        <v>955.24121734286291</v>
      </c>
      <c r="X84" s="2446">
        <f>+(EMD!W41*1000/X2)/24</f>
        <v>1448.8888888888889</v>
      </c>
      <c r="Y84" s="1175">
        <f>+((O84*O2)+(S84*S2)+(W84*W2))/(Y2)</f>
        <v>1440.6373343471237</v>
      </c>
      <c r="Z84" s="1175">
        <f>+((P84*P2)+(T84*T2)+(X84*X2))/(Z2)</f>
        <v>1438.2653985507247</v>
      </c>
      <c r="AA84" s="1114">
        <f>+((U84*U2*24)+(W84*W2*24))/(AA2*24)</f>
        <v>1422.8252685224145</v>
      </c>
      <c r="AB84" s="1114">
        <f>+((N84*N2)+(Z84*Z2))/(AB2)</f>
        <v>1324.1826047358838</v>
      </c>
      <c r="AC84" s="2446">
        <f>+(EMD!AB41*1000/AC2)/24</f>
        <v>1706.6129114535149</v>
      </c>
      <c r="AD84" s="2446">
        <f>+(EMD!AC41*1000/AD2)/24</f>
        <v>1185.8870967741934</v>
      </c>
      <c r="AE84" s="1188">
        <f>+(EMD!AD41*1000/AE2)/24</f>
        <v>1463.9346934329944</v>
      </c>
      <c r="AF84" s="1188">
        <f>+(EMD!AE41*1000/AF2)/24</f>
        <v>1304.1491433021811</v>
      </c>
      <c r="AG84" s="2446">
        <f>+(EMD!AF41*1000/AG2)/24</f>
        <v>1730.4795561086723</v>
      </c>
      <c r="AH84" s="2446">
        <f>+(EMD!AG41*1000/AH2)/24</f>
        <v>1401.9444444444443</v>
      </c>
      <c r="AI84" s="1188">
        <f>+(EMD!AH41*1000/AI2)/24</f>
        <v>1496.7066027783649</v>
      </c>
      <c r="AJ84" s="1188">
        <f>+(EMD!AI41*1000/AJ2)/24</f>
        <v>1316.173155737705</v>
      </c>
      <c r="AK84" s="2446">
        <f>+(EMD!AJ41*1000/AK2)/24</f>
        <v>1724.4280161172544</v>
      </c>
      <c r="AL84" s="2446">
        <f>+(EMD!AK41*1000/AL2)/24</f>
        <v>1434.3548387096773</v>
      </c>
      <c r="AM84" s="1186">
        <f>+(EMD!AL41*1000/AM2)/24</f>
        <v>1720.3984286734133</v>
      </c>
      <c r="AN84" s="1186">
        <f>+(EMD!AM41*1000/AN2)/24</f>
        <v>1340.0634057971013</v>
      </c>
      <c r="AO84" s="1188">
        <f>+(EMD!AN41*1000/AO2)/24</f>
        <v>1522.3770166456579</v>
      </c>
      <c r="AP84" s="1188">
        <f>+(EMD!AO41*1000/AP2)/24</f>
        <v>1329.4954545454548</v>
      </c>
      <c r="AQ84" s="2446">
        <f>+(EMD!AP41*1000/AQ2)/24</f>
        <v>1731.498102040204</v>
      </c>
      <c r="AR84" s="2446">
        <f>+(EMD!AQ41*1000/AR2)/24</f>
        <v>1441.0349462365591</v>
      </c>
      <c r="AS84" s="1188">
        <f>+(EMD!AR41*1000/AS2)/24</f>
        <v>1543.5624860810531</v>
      </c>
      <c r="AT84" s="1188">
        <f>+(EMD!AS41*1000/AT2)/24</f>
        <v>1340.795206971678</v>
      </c>
      <c r="AU84" s="2446">
        <f>+(EMD!AT41*1000/AU2)/24</f>
        <v>1724.1555287833835</v>
      </c>
      <c r="AV84" s="2446">
        <f>+(EMD!AU41*1000/AV2)/24</f>
        <v>1413.8988095238094</v>
      </c>
      <c r="AW84" s="1173">
        <f>+(EMD!AV41*1000/AW2)/24</f>
        <v>1558.7020225950209</v>
      </c>
      <c r="AX84" s="1173">
        <f>+(EMD!AW41*1000/AX2)/24</f>
        <v>1346.9236526946111</v>
      </c>
      <c r="AY84" s="2446">
        <f>+(EMD!AX41*1000/AY2)/24</f>
        <v>1731.498102040204</v>
      </c>
      <c r="AZ84" s="2446">
        <f>+(EMD!AY41*1000/AZ2)/24</f>
        <v>1397.311827956989</v>
      </c>
      <c r="BA84" s="1186">
        <f>+((AQ84*AQ2)+(AU84*AU2)+(AY84*AY2))/(BA2)</f>
        <v>1729.2137459158596</v>
      </c>
      <c r="BB84" s="1186">
        <f>+((AR84*AR2)+(AV84*AV2)+(AZ84*AZ2))/(BB2)</f>
        <v>1417.5324074074074</v>
      </c>
      <c r="BC84" s="1189">
        <f>+((AM84*AM2*24)+(BA84*BA2*24))/(BC2*24)</f>
        <v>1724.7576514856121</v>
      </c>
      <c r="BD84" s="1189">
        <f>+((AN84*AN2)+(BB84*BB2))/(BD2)</f>
        <v>1378.3722527472528</v>
      </c>
      <c r="BE84" s="1188">
        <f>+(EMD!BD41*1000/BE2)/24</f>
        <v>1573.3778539999541</v>
      </c>
      <c r="BF84" s="1188">
        <f>+(EMD!BE41*1000/BF2)/24</f>
        <v>1351.2031963470322</v>
      </c>
      <c r="BG84" s="23"/>
      <c r="BH84" s="23"/>
      <c r="BI84" s="23"/>
      <c r="BJ84" s="23"/>
      <c r="BK84" s="23"/>
      <c r="BL84" s="23"/>
    </row>
    <row r="85" spans="2:64" ht="15" thickBot="1" x14ac:dyDescent="0.35">
      <c r="B85" s="2899" t="s">
        <v>216</v>
      </c>
      <c r="C85" s="2900" t="s">
        <v>1127</v>
      </c>
      <c r="D85" s="2126">
        <v>1.4E-2</v>
      </c>
      <c r="E85" s="2902">
        <v>1.4E-2</v>
      </c>
      <c r="F85" s="2902">
        <v>1.2E-2</v>
      </c>
      <c r="G85" s="2902">
        <v>1.4E-2</v>
      </c>
      <c r="H85" s="2902">
        <v>1.4999999999999999E-2</v>
      </c>
      <c r="I85" s="2903">
        <f>+$D$85</f>
        <v>1.4E-2</v>
      </c>
      <c r="J85" s="5520">
        <f>+((F85*F67)+(H85*H67))/J67</f>
        <v>1.2912769311613241E-2</v>
      </c>
      <c r="K85" s="2901">
        <f>+$D$85</f>
        <v>1.4E-2</v>
      </c>
      <c r="L85" s="2902">
        <v>1.15E-2</v>
      </c>
      <c r="M85" s="1550">
        <f>+$D$85</f>
        <v>1.4E-2</v>
      </c>
      <c r="N85" s="1550">
        <f>+((F85*F67)+(H85*H67)+(L85*L67))/N67</f>
        <v>1.231168E-2</v>
      </c>
      <c r="O85" s="2901">
        <f>+$D$85</f>
        <v>1.4E-2</v>
      </c>
      <c r="P85" s="2902">
        <v>1.2E-2</v>
      </c>
      <c r="Q85" s="2219">
        <f>+$D$85</f>
        <v>1.4E-2</v>
      </c>
      <c r="R85" s="2219">
        <f>+((N85*N67)+(P85*P67))/R67</f>
        <v>1.2214953190858862E-2</v>
      </c>
      <c r="S85" s="2901">
        <f>+$D$85</f>
        <v>1.4E-2</v>
      </c>
      <c r="T85" s="2902">
        <v>1.2E-2</v>
      </c>
      <c r="U85" s="2219">
        <f>+$D$85</f>
        <v>1.4E-2</v>
      </c>
      <c r="V85" s="2219">
        <f>+((R85*R67)+(T85*T67))/V67</f>
        <v>1.2165499659564554E-2</v>
      </c>
      <c r="W85" s="2901">
        <f>+$D$85</f>
        <v>1.4E-2</v>
      </c>
      <c r="X85" s="2902">
        <v>1.2E-2</v>
      </c>
      <c r="Y85" s="1195">
        <f>+$D$85</f>
        <v>1.4E-2</v>
      </c>
      <c r="Z85" s="1195">
        <f>+((P85*P67)+(T85*T67)+(X85*X67))/Z67</f>
        <v>1.2E-2</v>
      </c>
      <c r="AA85" s="1478">
        <f>+$D$85</f>
        <v>1.4E-2</v>
      </c>
      <c r="AB85" s="3613">
        <f>+((N85*N67)+(Z85*Z67))/AB67</f>
        <v>1.2135098892416697E-2</v>
      </c>
      <c r="AC85" s="2901">
        <f>+$D$85</f>
        <v>1.4E-2</v>
      </c>
      <c r="AD85" s="2902">
        <v>1.2E-2</v>
      </c>
      <c r="AE85" s="1194">
        <f>+$D$85</f>
        <v>1.4E-2</v>
      </c>
      <c r="AF85" s="2219">
        <f>+((AB85*AB67)+(AD85*AD67))/AF67</f>
        <v>1.2117707898294692E-2</v>
      </c>
      <c r="AG85" s="2901">
        <f>+$D$85</f>
        <v>1.4E-2</v>
      </c>
      <c r="AH85" s="2902">
        <v>1.2E-2</v>
      </c>
      <c r="AI85" s="1194">
        <f>+$D$85</f>
        <v>1.4E-2</v>
      </c>
      <c r="AJ85" s="2219">
        <f>+((AF85*AF67)+(AH85*AH67))/AJ67</f>
        <v>1.2101789839701737E-2</v>
      </c>
      <c r="AK85" s="2901">
        <f>+$D$85</f>
        <v>1.4E-2</v>
      </c>
      <c r="AL85" s="2902">
        <v>1.2999999999999999E-2</v>
      </c>
      <c r="AM85" s="1195">
        <f>+$D$85</f>
        <v>1.4E-2</v>
      </c>
      <c r="AN85" s="1195">
        <f>+((AD85*AD67)+(AH85*AH67)+(AL85*AL67))/AN67</f>
        <v>1.2350762908572524E-2</v>
      </c>
      <c r="AO85" s="1194">
        <f>+$D$85</f>
        <v>1.4E-2</v>
      </c>
      <c r="AP85" s="2219">
        <f>+((AL85*AL67)+(AJ85*AJ67))/AP67</f>
        <v>1.2207371935352995E-2</v>
      </c>
      <c r="AQ85" s="2902">
        <f>+$D$85</f>
        <v>1.4E-2</v>
      </c>
      <c r="AR85" s="2902">
        <v>1.2E-2</v>
      </c>
      <c r="AS85" s="1194">
        <f>+$D$85</f>
        <v>1.4E-2</v>
      </c>
      <c r="AT85" s="2219">
        <f>+((AP85*AP67)+(AR85*AR67))/AT67</f>
        <v>1.2185242973936356E-2</v>
      </c>
      <c r="AU85" s="2902">
        <v>1.4E-2</v>
      </c>
      <c r="AV85" s="2902">
        <v>1.2999999999999999E-2</v>
      </c>
      <c r="AW85" s="1194">
        <f>+$D$85</f>
        <v>1.4E-2</v>
      </c>
      <c r="AX85" s="2219">
        <f>+((AT85*AT67)+(AV85*AV67))/AX67</f>
        <v>1.2253647444822005E-2</v>
      </c>
      <c r="AY85" s="2902">
        <v>1.4E-2</v>
      </c>
      <c r="AZ85" s="2902">
        <v>1.2E-2</v>
      </c>
      <c r="BA85" s="1195">
        <f>+$D$85</f>
        <v>1.4E-2</v>
      </c>
      <c r="BB85" s="1195">
        <f>+((AR85*AR67)+(AV85*AV67)+(AZ85*AZ67))/BB67</f>
        <v>1.2296673557885293E-2</v>
      </c>
      <c r="BC85" s="1478">
        <f>+$D$85</f>
        <v>1.4E-2</v>
      </c>
      <c r="BD85" s="1478">
        <f>+((AN85*AN67)+(BB85*BB67))/BD67</f>
        <v>1.2323292597078608E-2</v>
      </c>
      <c r="BE85" s="1194">
        <f>+$D$85</f>
        <v>1.4E-2</v>
      </c>
      <c r="BF85" s="2219">
        <f>+((AX85*AX67)+(AZ85*AZ67))/BF67</f>
        <v>1.2230319529269219E-2</v>
      </c>
      <c r="BG85" s="23"/>
      <c r="BH85" s="23"/>
      <c r="BI85" s="23"/>
      <c r="BJ85" s="23"/>
      <c r="BK85" s="23"/>
      <c r="BL85" s="23"/>
    </row>
    <row r="86" spans="2:64" ht="17.399999999999999" x14ac:dyDescent="0.3">
      <c r="B86" s="2887" t="s">
        <v>416</v>
      </c>
      <c r="C86" s="2888"/>
      <c r="D86" s="2912"/>
      <c r="E86" s="2912"/>
      <c r="F86" s="2912"/>
      <c r="G86" s="2912"/>
      <c r="H86" s="2912"/>
      <c r="I86" s="2912"/>
      <c r="J86" s="2913"/>
      <c r="K86" s="2912"/>
      <c r="L86" s="2912"/>
      <c r="M86" s="1413"/>
      <c r="N86" s="1413"/>
      <c r="O86" s="2912"/>
      <c r="P86" s="2912"/>
      <c r="Q86" s="1413"/>
      <c r="R86" s="1413"/>
      <c r="S86" s="2912"/>
      <c r="T86" s="2912"/>
      <c r="U86" s="1413"/>
      <c r="V86" s="1413"/>
      <c r="W86" s="2912"/>
      <c r="X86" s="2912"/>
      <c r="Y86" s="1413"/>
      <c r="Z86" s="1413"/>
      <c r="AA86" s="1170"/>
      <c r="AB86" s="1170"/>
      <c r="AC86" s="2912"/>
      <c r="AD86" s="2912"/>
      <c r="AE86" s="1413"/>
      <c r="AF86" s="1413"/>
      <c r="AG86" s="2912"/>
      <c r="AH86" s="2912"/>
      <c r="AI86" s="1413"/>
      <c r="AJ86" s="1413"/>
      <c r="AK86" s="2912"/>
      <c r="AL86" s="2912"/>
      <c r="AM86" s="1413"/>
      <c r="AN86" s="1413"/>
      <c r="AO86" s="1413"/>
      <c r="AP86" s="1413"/>
      <c r="AQ86" s="2912"/>
      <c r="AR86" s="2912"/>
      <c r="AS86" s="1413"/>
      <c r="AT86" s="1413"/>
      <c r="AU86" s="2912"/>
      <c r="AV86" s="2912"/>
      <c r="AW86" s="1413"/>
      <c r="AX86" s="1413"/>
      <c r="AY86" s="2912"/>
      <c r="AZ86" s="2912"/>
      <c r="BA86" s="1413"/>
      <c r="BB86" s="1413"/>
      <c r="BC86" s="1170"/>
      <c r="BD86" s="1170"/>
      <c r="BE86" s="1413"/>
      <c r="BF86" s="1413"/>
      <c r="BG86" s="23"/>
      <c r="BH86" s="23"/>
      <c r="BI86" s="23"/>
      <c r="BJ86" s="23"/>
      <c r="BK86" s="23"/>
      <c r="BL86" s="23"/>
    </row>
    <row r="87" spans="2:64" x14ac:dyDescent="0.3">
      <c r="B87" s="2891" t="s">
        <v>37</v>
      </c>
      <c r="C87" s="2892" t="s">
        <v>217</v>
      </c>
      <c r="D87" s="2446">
        <f>+D23</f>
        <v>779.73584585298556</v>
      </c>
      <c r="E87" s="2446">
        <f>+E23</f>
        <v>779.73584585298568</v>
      </c>
      <c r="F87" s="2446">
        <f>+F23</f>
        <v>778.23415594555149</v>
      </c>
      <c r="G87" s="2446">
        <f>+G23</f>
        <v>779.73584585298568</v>
      </c>
      <c r="H87" s="2446">
        <f>+H23</f>
        <v>780.45577742847354</v>
      </c>
      <c r="I87" s="2444">
        <f t="shared" ref="I87:BF87" si="322">+I23</f>
        <v>779.7358458529859</v>
      </c>
      <c r="J87" s="2908">
        <f t="shared" si="322"/>
        <v>778.91009858276209</v>
      </c>
      <c r="K87" s="2446">
        <f t="shared" si="322"/>
        <v>783.9122570588894</v>
      </c>
      <c r="L87" s="2446">
        <f t="shared" si="322"/>
        <v>783.21117058313894</v>
      </c>
      <c r="M87" s="1175">
        <f t="shared" si="322"/>
        <v>781.41431211945587</v>
      </c>
      <c r="N87" s="1175">
        <f t="shared" si="322"/>
        <v>780.74007067137802</v>
      </c>
      <c r="O87" s="2446">
        <f t="shared" si="322"/>
        <v>783.9122570588894</v>
      </c>
      <c r="P87" s="2446">
        <f t="shared" si="322"/>
        <v>783.52095688008853</v>
      </c>
      <c r="Q87" s="1173">
        <f t="shared" si="322"/>
        <v>782.13615453114005</v>
      </c>
      <c r="R87" s="1173">
        <f t="shared" si="322"/>
        <v>781.60309123590957</v>
      </c>
      <c r="S87" s="2446">
        <f t="shared" si="322"/>
        <v>783.9122570588894</v>
      </c>
      <c r="T87" s="2446">
        <f t="shared" si="322"/>
        <v>782.91607838634161</v>
      </c>
      <c r="U87" s="1173">
        <f t="shared" si="322"/>
        <v>782.53433801104711</v>
      </c>
      <c r="V87" s="1173">
        <f t="shared" si="322"/>
        <v>781.90516561253764</v>
      </c>
      <c r="W87" s="2446">
        <f t="shared" si="322"/>
        <v>783.9122570588894</v>
      </c>
      <c r="X87" s="2446">
        <f t="shared" si="322"/>
        <v>782.30127219945359</v>
      </c>
      <c r="Y87" s="1175">
        <f t="shared" si="322"/>
        <v>783.91225705888928</v>
      </c>
      <c r="Z87" s="1175">
        <f t="shared" si="322"/>
        <v>782.92498721800678</v>
      </c>
      <c r="AA87" s="1114">
        <f t="shared" si="322"/>
        <v>782.68601412433816</v>
      </c>
      <c r="AB87" s="1114">
        <f t="shared" si="322"/>
        <v>781.97792675383698</v>
      </c>
      <c r="AC87" s="2446">
        <f t="shared" si="322"/>
        <v>783.91225705888951</v>
      </c>
      <c r="AD87" s="2446">
        <f t="shared" si="322"/>
        <v>782.94763939385905</v>
      </c>
      <c r="AE87" s="1173">
        <f t="shared" si="322"/>
        <v>782.89311894664104</v>
      </c>
      <c r="AF87" s="1173">
        <f t="shared" si="322"/>
        <v>782.10275580699181</v>
      </c>
      <c r="AG87" s="2446">
        <f t="shared" si="322"/>
        <v>783.9122570588894</v>
      </c>
      <c r="AH87" s="2446">
        <f t="shared" si="322"/>
        <v>781.00031130019715</v>
      </c>
      <c r="AI87" s="1173">
        <f t="shared" si="322"/>
        <v>783.03800847903472</v>
      </c>
      <c r="AJ87" s="1173">
        <f t="shared" si="322"/>
        <v>781.95366830726687</v>
      </c>
      <c r="AK87" s="2446">
        <f t="shared" si="322"/>
        <v>783.9122570588894</v>
      </c>
      <c r="AL87" s="2446">
        <f t="shared" si="322"/>
        <v>779.99961187980466</v>
      </c>
      <c r="AM87" s="1175">
        <f t="shared" si="322"/>
        <v>783.9122570588894</v>
      </c>
      <c r="AN87" s="1175">
        <f t="shared" si="322"/>
        <v>781.22012861167264</v>
      </c>
      <c r="AO87" s="1173">
        <f t="shared" si="322"/>
        <v>783.14964966276011</v>
      </c>
      <c r="AP87" s="1173">
        <f t="shared" si="322"/>
        <v>781.72397443187833</v>
      </c>
      <c r="AQ87" s="2446">
        <f t="shared" si="322"/>
        <v>783.9122570588894</v>
      </c>
      <c r="AR87" s="2446">
        <f t="shared" si="322"/>
        <v>780.00709258552024</v>
      </c>
      <c r="AS87" s="1173">
        <f t="shared" si="322"/>
        <v>783.23632081306266</v>
      </c>
      <c r="AT87" s="1173">
        <f t="shared" si="322"/>
        <v>781.54076346810791</v>
      </c>
      <c r="AU87" s="2446">
        <f t="shared" si="322"/>
        <v>783.9122570588894</v>
      </c>
      <c r="AV87" s="2446">
        <f t="shared" si="322"/>
        <v>780</v>
      </c>
      <c r="AW87" s="1173">
        <f t="shared" si="322"/>
        <v>783.29900552694926</v>
      </c>
      <c r="AX87" s="1173">
        <f t="shared" si="322"/>
        <v>781.41140574988708</v>
      </c>
      <c r="AY87" s="2446">
        <f t="shared" si="322"/>
        <v>783.9122570588894</v>
      </c>
      <c r="AZ87" s="2446">
        <f t="shared" si="322"/>
        <v>779.06578767231485</v>
      </c>
      <c r="BA87" s="1175">
        <f t="shared" si="322"/>
        <v>783.9122570588894</v>
      </c>
      <c r="BB87" s="1175">
        <f t="shared" si="322"/>
        <v>779.66809076809125</v>
      </c>
      <c r="BC87" s="1189">
        <f t="shared" si="322"/>
        <v>783.9122570588894</v>
      </c>
      <c r="BD87" s="1189">
        <f t="shared" si="322"/>
        <v>780.4318965018058</v>
      </c>
      <c r="BE87" s="1173">
        <f t="shared" si="322"/>
        <v>783.35632810898778</v>
      </c>
      <c r="BF87" s="1188">
        <f t="shared" si="322"/>
        <v>781.19567962470933</v>
      </c>
      <c r="BG87" s="23"/>
      <c r="BH87" s="23"/>
      <c r="BI87" s="23"/>
      <c r="BJ87" s="23"/>
      <c r="BK87" s="23"/>
      <c r="BL87" s="23"/>
    </row>
    <row r="88" spans="2:64" x14ac:dyDescent="0.3">
      <c r="B88" s="2891" t="s">
        <v>38</v>
      </c>
      <c r="C88" s="2892" t="s">
        <v>217</v>
      </c>
      <c r="D88" s="2446">
        <f t="shared" ref="D88" si="323">+D24+D54</f>
        <v>59.970265965776647</v>
      </c>
      <c r="E88" s="2446">
        <f t="shared" ref="E88:G88" si="324">+E24+E54</f>
        <v>59.970265965776655</v>
      </c>
      <c r="F88" s="2446">
        <f t="shared" ref="F88:H88" si="325">+F24+F54</f>
        <v>48.038516808671936</v>
      </c>
      <c r="G88" s="2446">
        <f t="shared" si="324"/>
        <v>59.970265965776647</v>
      </c>
      <c r="H88" s="2446">
        <f t="shared" si="325"/>
        <v>65.97970153887951</v>
      </c>
      <c r="I88" s="2444">
        <f t="shared" ref="I88:BF88" si="326">+I24+I54</f>
        <v>59.970265965776662</v>
      </c>
      <c r="J88" s="2908">
        <f t="shared" si="326"/>
        <v>53.497237753911129</v>
      </c>
      <c r="K88" s="2446">
        <f t="shared" si="326"/>
        <v>64.938026921102121</v>
      </c>
      <c r="L88" s="2446">
        <f t="shared" si="326"/>
        <v>52.001998543614491</v>
      </c>
      <c r="M88" s="1175">
        <f t="shared" si="326"/>
        <v>61.966769368414489</v>
      </c>
      <c r="N88" s="1175">
        <f t="shared" si="326"/>
        <v>52.861060070671385</v>
      </c>
      <c r="O88" s="2446">
        <f t="shared" si="326"/>
        <v>64.938026921102107</v>
      </c>
      <c r="P88" s="2446">
        <f t="shared" si="326"/>
        <v>75.698562669615029</v>
      </c>
      <c r="Q88" s="1173">
        <f t="shared" si="326"/>
        <v>62.825387059985196</v>
      </c>
      <c r="R88" s="1173">
        <f t="shared" si="326"/>
        <v>59.94845340726097</v>
      </c>
      <c r="S88" s="2446">
        <f t="shared" si="326"/>
        <v>64.938026921102107</v>
      </c>
      <c r="T88" s="2446">
        <f t="shared" si="326"/>
        <v>62.727863478948478</v>
      </c>
      <c r="U88" s="1173">
        <f t="shared" si="326"/>
        <v>63.299018665451172</v>
      </c>
      <c r="V88" s="1173">
        <f t="shared" si="326"/>
        <v>60.587902593433611</v>
      </c>
      <c r="W88" s="2446">
        <f t="shared" si="326"/>
        <v>64.938026921102121</v>
      </c>
      <c r="X88" s="2446">
        <f t="shared" si="326"/>
        <v>73.207500853825138</v>
      </c>
      <c r="Y88" s="1175">
        <f t="shared" si="326"/>
        <v>64.938026921102107</v>
      </c>
      <c r="Z88" s="1175">
        <f t="shared" si="326"/>
        <v>70.591207199787533</v>
      </c>
      <c r="AA88" s="1114">
        <f t="shared" si="326"/>
        <v>63.479434490501362</v>
      </c>
      <c r="AB88" s="1114">
        <f t="shared" si="326"/>
        <v>62.906006867624242</v>
      </c>
      <c r="AC88" s="2446">
        <f t="shared" si="326"/>
        <v>64.938026921102107</v>
      </c>
      <c r="AD88" s="2446">
        <f t="shared" si="326"/>
        <v>99.625806109179692</v>
      </c>
      <c r="AE88" s="1173">
        <f t="shared" si="326"/>
        <v>63.725781700862775</v>
      </c>
      <c r="AF88" s="1173">
        <f t="shared" si="326"/>
        <v>67.632868808145716</v>
      </c>
      <c r="AG88" s="2446">
        <f t="shared" si="326"/>
        <v>64.938026921102107</v>
      </c>
      <c r="AH88" s="2446">
        <f t="shared" si="326"/>
        <v>67.715984992053649</v>
      </c>
      <c r="AI88" s="1173">
        <f t="shared" si="326"/>
        <v>63.898125018216831</v>
      </c>
      <c r="AJ88" s="1173">
        <f t="shared" si="326"/>
        <v>67.644108905918571</v>
      </c>
      <c r="AK88" s="2446">
        <f t="shared" si="326"/>
        <v>64.938026921102121</v>
      </c>
      <c r="AL88" s="2446">
        <f t="shared" si="326"/>
        <v>61.999428908855513</v>
      </c>
      <c r="AM88" s="1175">
        <f t="shared" si="326"/>
        <v>64.938026921102121</v>
      </c>
      <c r="AN88" s="1175">
        <f t="shared" si="326"/>
        <v>75.064641319684512</v>
      </c>
      <c r="AO88" s="1173">
        <f t="shared" si="326"/>
        <v>64.030920063094968</v>
      </c>
      <c r="AP88" s="1173">
        <f t="shared" si="326"/>
        <v>66.980592537797378</v>
      </c>
      <c r="AQ88" s="2446">
        <f t="shared" si="326"/>
        <v>64.938026921102107</v>
      </c>
      <c r="AR88" s="2446">
        <f t="shared" si="326"/>
        <v>60.0278247585793</v>
      </c>
      <c r="AS88" s="1173">
        <f t="shared" si="326"/>
        <v>64.134013732563446</v>
      </c>
      <c r="AT88" s="1173">
        <f t="shared" si="326"/>
        <v>66.238652556076786</v>
      </c>
      <c r="AU88" s="2446">
        <f t="shared" si="326"/>
        <v>64.938026921102121</v>
      </c>
      <c r="AV88" s="2446">
        <f t="shared" si="326"/>
        <v>57.002471049338411</v>
      </c>
      <c r="AW88" s="1173">
        <f t="shared" si="326"/>
        <v>64.208575996380205</v>
      </c>
      <c r="AX88" s="1173">
        <f t="shared" si="326"/>
        <v>65.463211426069392</v>
      </c>
      <c r="AY88" s="2446">
        <f t="shared" si="326"/>
        <v>64.938026921102107</v>
      </c>
      <c r="AZ88" s="2446">
        <f t="shared" si="326"/>
        <v>44.191054898533025</v>
      </c>
      <c r="BA88" s="1175">
        <f t="shared" si="326"/>
        <v>64.938026921102107</v>
      </c>
      <c r="BB88" s="1175">
        <f t="shared" si="326"/>
        <v>53.462224877362068</v>
      </c>
      <c r="BC88" s="1189">
        <f t="shared" si="326"/>
        <v>64.938026921102107</v>
      </c>
      <c r="BD88" s="1189">
        <f t="shared" si="326"/>
        <v>64.093440867985151</v>
      </c>
      <c r="BE88" s="1188">
        <f t="shared" si="326"/>
        <v>64.276760107299822</v>
      </c>
      <c r="BF88" s="1188">
        <f t="shared" si="326"/>
        <v>63.506814540430454</v>
      </c>
      <c r="BG88" s="23"/>
      <c r="BH88" s="23"/>
      <c r="BI88" s="23"/>
      <c r="BJ88" s="23"/>
      <c r="BK88" s="23"/>
      <c r="BL88" s="23"/>
    </row>
    <row r="89" spans="2:64" x14ac:dyDescent="0.3">
      <c r="B89" s="2891" t="s">
        <v>39</v>
      </c>
      <c r="C89" s="2892" t="s">
        <v>217</v>
      </c>
      <c r="D89" s="2446">
        <f>+D25+D55</f>
        <v>99.746462779812163</v>
      </c>
      <c r="E89" s="2446">
        <f>+E25+E55</f>
        <v>99.746462779812191</v>
      </c>
      <c r="F89" s="2446">
        <f>+F25+F55</f>
        <v>113.71171232334204</v>
      </c>
      <c r="G89" s="2446">
        <f>+G25+G55</f>
        <v>99.746462779812177</v>
      </c>
      <c r="H89" s="2446">
        <f>+H25+H55</f>
        <v>126.24763087591288</v>
      </c>
      <c r="I89" s="2444">
        <f t="shared" ref="I89:BF89" si="327">+I25+I55</f>
        <v>99.746462779812191</v>
      </c>
      <c r="J89" s="2908">
        <f t="shared" si="327"/>
        <v>117.52584623923197</v>
      </c>
      <c r="K89" s="2446">
        <f t="shared" si="327"/>
        <v>99.85753196358155</v>
      </c>
      <c r="L89" s="2446">
        <f t="shared" si="327"/>
        <v>90.357027060067935</v>
      </c>
      <c r="M89" s="1175">
        <f t="shared" si="327"/>
        <v>99.79110059659078</v>
      </c>
      <c r="N89" s="1175">
        <f t="shared" si="327"/>
        <v>105.96636042402827</v>
      </c>
      <c r="O89" s="2446">
        <f t="shared" si="327"/>
        <v>99.857531963581565</v>
      </c>
      <c r="P89" s="2446">
        <f t="shared" si="327"/>
        <v>94.408985827721381</v>
      </c>
      <c r="Q89" s="1173">
        <f t="shared" si="327"/>
        <v>99.810297568230567</v>
      </c>
      <c r="R89" s="1173">
        <f t="shared" si="327"/>
        <v>102.37964338491894</v>
      </c>
      <c r="S89" s="2446">
        <f t="shared" si="327"/>
        <v>99.857531963581565</v>
      </c>
      <c r="T89" s="2446">
        <f t="shared" si="327"/>
        <v>98.653631853520153</v>
      </c>
      <c r="U89" s="1173">
        <f t="shared" si="327"/>
        <v>99.820887022171618</v>
      </c>
      <c r="V89" s="1173">
        <f t="shared" si="327"/>
        <v>101.52241290076216</v>
      </c>
      <c r="W89" s="2446">
        <f t="shared" si="327"/>
        <v>99.857531963581565</v>
      </c>
      <c r="X89" s="2446">
        <f t="shared" si="327"/>
        <v>96.111360143442624</v>
      </c>
      <c r="Y89" s="1175">
        <f t="shared" si="327"/>
        <v>99.857531963581565</v>
      </c>
      <c r="Z89" s="1175">
        <f t="shared" si="327"/>
        <v>96.368010671991129</v>
      </c>
      <c r="AA89" s="1114">
        <f t="shared" si="327"/>
        <v>99.824920758618987</v>
      </c>
      <c r="AB89" s="1114">
        <f t="shared" si="327"/>
        <v>100.52845221629389</v>
      </c>
      <c r="AC89" s="2446">
        <f t="shared" si="327"/>
        <v>99.85753196358155</v>
      </c>
      <c r="AD89" s="2446">
        <f t="shared" si="327"/>
        <v>103.91842042408641</v>
      </c>
      <c r="AE89" s="1173">
        <f t="shared" si="327"/>
        <v>99.830428588771198</v>
      </c>
      <c r="AF89" s="1173">
        <f t="shared" si="327"/>
        <v>100.96483563973206</v>
      </c>
      <c r="AG89" s="2446">
        <f t="shared" si="327"/>
        <v>99.857531963581565</v>
      </c>
      <c r="AH89" s="2446">
        <f t="shared" si="327"/>
        <v>101.59582311595113</v>
      </c>
      <c r="AI89" s="1173">
        <f t="shared" si="327"/>
        <v>99.834281840117001</v>
      </c>
      <c r="AJ89" s="1173">
        <f t="shared" si="327"/>
        <v>101.05016632495702</v>
      </c>
      <c r="AK89" s="2446">
        <f t="shared" si="327"/>
        <v>99.85753196358155</v>
      </c>
      <c r="AL89" s="2446">
        <f t="shared" si="327"/>
        <v>102.0007596066679</v>
      </c>
      <c r="AM89" s="1175">
        <f t="shared" si="327"/>
        <v>99.857531963581536</v>
      </c>
      <c r="AN89" s="1175">
        <f t="shared" si="327"/>
        <v>102.41868904778158</v>
      </c>
      <c r="AO89" s="1173">
        <f t="shared" si="327"/>
        <v>99.837250871311511</v>
      </c>
      <c r="AP89" s="1173">
        <f t="shared" si="327"/>
        <v>101.1619059102248</v>
      </c>
      <c r="AQ89" s="2446">
        <f t="shared" si="327"/>
        <v>99.857531963581536</v>
      </c>
      <c r="AR89" s="2446">
        <f t="shared" si="327"/>
        <v>109.95417098586938</v>
      </c>
      <c r="AS89" s="1173">
        <f t="shared" si="327"/>
        <v>99.839555839248277</v>
      </c>
      <c r="AT89" s="1173">
        <f t="shared" si="327"/>
        <v>102.10014132907551</v>
      </c>
      <c r="AU89" s="2446">
        <f t="shared" si="327"/>
        <v>99.857531963581565</v>
      </c>
      <c r="AV89" s="2446">
        <f t="shared" si="327"/>
        <v>114.19551145639457</v>
      </c>
      <c r="AW89" s="1173">
        <f t="shared" si="327"/>
        <v>99.841222902107504</v>
      </c>
      <c r="AX89" s="1173">
        <f t="shared" si="327"/>
        <v>103.11563106068625</v>
      </c>
      <c r="AY89" s="2446">
        <f t="shared" si="327"/>
        <v>99.857531963581536</v>
      </c>
      <c r="AZ89" s="2446">
        <f t="shared" si="327"/>
        <v>112.94322693429658</v>
      </c>
      <c r="BA89" s="1175">
        <f t="shared" si="327"/>
        <v>99.85753196358155</v>
      </c>
      <c r="BB89" s="1175">
        <f t="shared" si="327"/>
        <v>112.28226230478283</v>
      </c>
      <c r="BC89" s="1189">
        <f t="shared" si="327"/>
        <v>99.857531963581536</v>
      </c>
      <c r="BD89" s="1189">
        <f t="shared" si="327"/>
        <v>107.42809341981153</v>
      </c>
      <c r="BE89" s="1188">
        <f t="shared" si="327"/>
        <v>99.842747362244381</v>
      </c>
      <c r="BF89" s="1188">
        <f t="shared" si="327"/>
        <v>104.01947350541258</v>
      </c>
      <c r="BG89" s="23"/>
      <c r="BH89" s="23"/>
      <c r="BI89" s="23"/>
      <c r="BJ89" s="23"/>
      <c r="BK89" s="23"/>
      <c r="BL89" s="23"/>
    </row>
    <row r="90" spans="2:64" x14ac:dyDescent="0.3">
      <c r="B90" s="2891" t="s">
        <v>40</v>
      </c>
      <c r="C90" s="2892" t="s">
        <v>217</v>
      </c>
      <c r="D90" s="2446">
        <f>+D26+D57</f>
        <v>63</v>
      </c>
      <c r="E90" s="2446">
        <f>+E26+E57</f>
        <v>63</v>
      </c>
      <c r="F90" s="2898">
        <f>+F26+F57</f>
        <v>61.40172216753227</v>
      </c>
      <c r="G90" s="2446">
        <f>+G26+G57</f>
        <v>63.000000000000007</v>
      </c>
      <c r="H90" s="2898">
        <f>+H26+H57</f>
        <v>63.579851610357522</v>
      </c>
      <c r="I90" s="2444">
        <f t="shared" ref="I90:BF90" si="328">+I26+I57</f>
        <v>63.000000000000007</v>
      </c>
      <c r="J90" s="2908">
        <f t="shared" si="328"/>
        <v>62.06443207157632</v>
      </c>
      <c r="K90" s="2446">
        <f t="shared" si="328"/>
        <v>63.5</v>
      </c>
      <c r="L90" s="2446">
        <f t="shared" si="328"/>
        <v>63.945422750442496</v>
      </c>
      <c r="M90" s="1175">
        <f t="shared" si="328"/>
        <v>63.200946001688905</v>
      </c>
      <c r="N90" s="1175">
        <f t="shared" si="328"/>
        <v>62.864734982332152</v>
      </c>
      <c r="O90" s="2446">
        <f t="shared" si="328"/>
        <v>63.5</v>
      </c>
      <c r="P90" s="2446">
        <f t="shared" si="328"/>
        <v>64.843200321640367</v>
      </c>
      <c r="Q90" s="1173">
        <f t="shared" si="328"/>
        <v>63.287364983931823</v>
      </c>
      <c r="R90" s="1173">
        <f t="shared" si="328"/>
        <v>63.478732156573749</v>
      </c>
      <c r="S90" s="2446">
        <f t="shared" si="328"/>
        <v>63.5</v>
      </c>
      <c r="T90" s="2446">
        <f t="shared" si="328"/>
        <v>63.479470430268883</v>
      </c>
      <c r="U90" s="1173">
        <f t="shared" si="328"/>
        <v>63.335035514954271</v>
      </c>
      <c r="V90" s="1173">
        <f t="shared" si="328"/>
        <v>63.47890200862917</v>
      </c>
      <c r="W90" s="2446">
        <f t="shared" si="328"/>
        <v>63.5</v>
      </c>
      <c r="X90" s="2446">
        <f t="shared" si="328"/>
        <v>64.519830088797818</v>
      </c>
      <c r="Y90" s="1175">
        <f t="shared" si="328"/>
        <v>63.5</v>
      </c>
      <c r="Z90" s="1175">
        <f t="shared" si="328"/>
        <v>64.286288965614489</v>
      </c>
      <c r="AA90" s="1114">
        <f t="shared" si="328"/>
        <v>63.353194181068915</v>
      </c>
      <c r="AB90" s="1114">
        <f t="shared" si="328"/>
        <v>63.670110934775217</v>
      </c>
      <c r="AC90" s="2446">
        <f t="shared" si="328"/>
        <v>63.499999999999993</v>
      </c>
      <c r="AD90" s="2446">
        <f t="shared" si="328"/>
        <v>67.374804278018104</v>
      </c>
      <c r="AE90" s="1173">
        <f t="shared" si="328"/>
        <v>63.377988772895776</v>
      </c>
      <c r="AF90" s="1173">
        <f t="shared" si="328"/>
        <v>64.147008257940868</v>
      </c>
      <c r="AG90" s="2446">
        <f t="shared" si="328"/>
        <v>63.5</v>
      </c>
      <c r="AH90" s="2446">
        <f t="shared" si="328"/>
        <v>66.274173552590611</v>
      </c>
      <c r="AI90" s="1173">
        <f t="shared" si="328"/>
        <v>63.395334949463447</v>
      </c>
      <c r="AJ90" s="1173">
        <f t="shared" si="328"/>
        <v>64.434672401874181</v>
      </c>
      <c r="AK90" s="2446">
        <f t="shared" si="328"/>
        <v>63.499999999999993</v>
      </c>
      <c r="AL90" s="2446">
        <f t="shared" si="328"/>
        <v>61.999428908855521</v>
      </c>
      <c r="AM90" s="1175">
        <f t="shared" si="328"/>
        <v>63.499999999999986</v>
      </c>
      <c r="AN90" s="1175">
        <f t="shared" si="328"/>
        <v>65.097382549226097</v>
      </c>
      <c r="AO90" s="1173">
        <f t="shared" si="328"/>
        <v>63.408700633327101</v>
      </c>
      <c r="AP90" s="1173">
        <f t="shared" si="328"/>
        <v>64.148416330880039</v>
      </c>
      <c r="AQ90" s="2446">
        <f t="shared" si="328"/>
        <v>63.5</v>
      </c>
      <c r="AR90" s="2446">
        <f t="shared" si="328"/>
        <v>61.375416007419943</v>
      </c>
      <c r="AS90" s="1173">
        <f t="shared" si="328"/>
        <v>63.419076904487838</v>
      </c>
      <c r="AT90" s="1173">
        <f t="shared" si="328"/>
        <v>63.852505425377231</v>
      </c>
      <c r="AU90" s="2446">
        <f t="shared" si="328"/>
        <v>63.499999999999993</v>
      </c>
      <c r="AV90" s="2446">
        <f t="shared" si="328"/>
        <v>60.308849405741213</v>
      </c>
      <c r="AW90" s="1173">
        <f t="shared" si="328"/>
        <v>63.426581519191267</v>
      </c>
      <c r="AX90" s="1173">
        <f t="shared" si="328"/>
        <v>63.554991065550141</v>
      </c>
      <c r="AY90" s="2446">
        <f t="shared" si="328"/>
        <v>63.5</v>
      </c>
      <c r="AZ90" s="2446">
        <f t="shared" si="328"/>
        <v>60.735385490274552</v>
      </c>
      <c r="BA90" s="1175">
        <f t="shared" si="328"/>
        <v>63.499999999999993</v>
      </c>
      <c r="BB90" s="1175">
        <f t="shared" si="328"/>
        <v>60.829923844810011</v>
      </c>
      <c r="BC90" s="1189">
        <f t="shared" si="328"/>
        <v>63.5</v>
      </c>
      <c r="BD90" s="1189">
        <f t="shared" si="328"/>
        <v>62.930072008273271</v>
      </c>
      <c r="BE90" s="1188">
        <f t="shared" si="328"/>
        <v>63.433444179405065</v>
      </c>
      <c r="BF90" s="1188">
        <f t="shared" si="328"/>
        <v>63.295672384857916</v>
      </c>
      <c r="BG90" s="23"/>
      <c r="BH90" s="23"/>
      <c r="BI90" s="23"/>
      <c r="BJ90" s="23"/>
      <c r="BK90" s="23"/>
      <c r="BL90" s="23"/>
    </row>
    <row r="91" spans="2:64" x14ac:dyDescent="0.3">
      <c r="B91" s="2891" t="s">
        <v>1386</v>
      </c>
      <c r="C91" s="2892" t="s">
        <v>217</v>
      </c>
      <c r="D91" s="2446">
        <f t="shared" ref="D91" si="329">+D27</f>
        <v>1.5</v>
      </c>
      <c r="E91" s="2446">
        <f t="shared" ref="E91:G91" si="330">+E27</f>
        <v>1.5</v>
      </c>
      <c r="F91" s="2898">
        <f t="shared" ref="F91:H91" si="331">+F27</f>
        <v>0</v>
      </c>
      <c r="G91" s="2446">
        <f t="shared" si="330"/>
        <v>1.5</v>
      </c>
      <c r="H91" s="2898">
        <f t="shared" si="331"/>
        <v>0</v>
      </c>
      <c r="I91" s="2444">
        <f t="shared" ref="I91:BF91" si="332">+I27</f>
        <v>1.5000000000000002</v>
      </c>
      <c r="J91" s="2908">
        <f t="shared" si="332"/>
        <v>0</v>
      </c>
      <c r="K91" s="2923">
        <f t="shared" si="332"/>
        <v>0.39999999999999997</v>
      </c>
      <c r="L91" s="2923">
        <f t="shared" si="332"/>
        <v>1.0471092873810042</v>
      </c>
      <c r="M91" s="1175">
        <f t="shared" si="332"/>
        <v>1.0579187962844043</v>
      </c>
      <c r="N91" s="1186">
        <f t="shared" si="332"/>
        <v>0.44551236749116607</v>
      </c>
      <c r="O91" s="2923">
        <f t="shared" si="332"/>
        <v>0.39999999999999997</v>
      </c>
      <c r="P91" s="2923">
        <f t="shared" si="332"/>
        <v>2.3419439139612024</v>
      </c>
      <c r="Q91" s="1173">
        <f t="shared" si="332"/>
        <v>0.8677970353499741</v>
      </c>
      <c r="R91" s="1173">
        <f t="shared" si="332"/>
        <v>1.0340511644773012</v>
      </c>
      <c r="S91" s="2923">
        <f t="shared" si="332"/>
        <v>0.39999999999999997</v>
      </c>
      <c r="T91" s="2923">
        <f t="shared" si="332"/>
        <v>1.8998953491710142</v>
      </c>
      <c r="U91" s="1173">
        <f t="shared" si="332"/>
        <v>0.76292186710057075</v>
      </c>
      <c r="V91" s="1173">
        <f t="shared" si="332"/>
        <v>1.2332529177178937</v>
      </c>
      <c r="W91" s="2923">
        <f t="shared" si="332"/>
        <v>0.40000000000000008</v>
      </c>
      <c r="X91" s="2923">
        <f t="shared" si="332"/>
        <v>0</v>
      </c>
      <c r="Y91" s="1175">
        <f t="shared" si="332"/>
        <v>0.39999999999999997</v>
      </c>
      <c r="Z91" s="1186">
        <f t="shared" si="332"/>
        <v>1.4360818151382055</v>
      </c>
      <c r="AA91" s="1114">
        <f t="shared" si="332"/>
        <v>0.72297280164836408</v>
      </c>
      <c r="AB91" s="1114">
        <f t="shared" si="332"/>
        <v>1.0067156856498414</v>
      </c>
      <c r="AC91" s="2923">
        <f t="shared" si="332"/>
        <v>0.39999999999999997</v>
      </c>
      <c r="AD91" s="2923">
        <f t="shared" si="332"/>
        <v>1.5956317507497146</v>
      </c>
      <c r="AE91" s="1173">
        <f t="shared" si="332"/>
        <v>0.6684246996292702</v>
      </c>
      <c r="AF91" s="1173">
        <f t="shared" si="332"/>
        <v>1.0825256026913253</v>
      </c>
      <c r="AG91" s="2898">
        <f t="shared" si="332"/>
        <v>0.39999999999999997</v>
      </c>
      <c r="AH91" s="2898">
        <f t="shared" si="332"/>
        <v>0.68267587095787607</v>
      </c>
      <c r="AI91" s="1173">
        <f t="shared" si="332"/>
        <v>0.63026311118040723</v>
      </c>
      <c r="AJ91" s="1173">
        <f t="shared" si="332"/>
        <v>1.0284524984194698</v>
      </c>
      <c r="AK91" s="2898">
        <f t="shared" si="332"/>
        <v>0.4</v>
      </c>
      <c r="AL91" s="2898">
        <f t="shared" si="332"/>
        <v>0</v>
      </c>
      <c r="AM91" s="1175">
        <f t="shared" si="332"/>
        <v>0.39999999999999997</v>
      </c>
      <c r="AN91" s="1186">
        <f t="shared" si="332"/>
        <v>0.71083572304439946</v>
      </c>
      <c r="AO91" s="1173">
        <f t="shared" si="332"/>
        <v>0.60085860668037727</v>
      </c>
      <c r="AP91" s="1173">
        <f t="shared" si="332"/>
        <v>0.90756077968758397</v>
      </c>
      <c r="AQ91" s="2898">
        <f t="shared" si="332"/>
        <v>0.39999999999999997</v>
      </c>
      <c r="AR91" s="2898">
        <f t="shared" si="332"/>
        <v>0</v>
      </c>
      <c r="AS91" s="1173">
        <f t="shared" si="332"/>
        <v>0.57803081012672963</v>
      </c>
      <c r="AT91" s="1173">
        <f t="shared" si="332"/>
        <v>0.81071364633381315</v>
      </c>
      <c r="AU91" s="2898">
        <f t="shared" si="332"/>
        <v>0.40000000000000008</v>
      </c>
      <c r="AV91" s="2898">
        <f t="shared" si="332"/>
        <v>0</v>
      </c>
      <c r="AW91" s="1188">
        <f t="shared" si="332"/>
        <v>0.561520657779219</v>
      </c>
      <c r="AX91" s="1173">
        <f t="shared" si="332"/>
        <v>0.74264864505954653</v>
      </c>
      <c r="AY91" s="2898">
        <f t="shared" si="332"/>
        <v>0.39999999999999997</v>
      </c>
      <c r="AZ91" s="2898">
        <f t="shared" si="332"/>
        <v>0</v>
      </c>
      <c r="BA91" s="1175">
        <f t="shared" si="332"/>
        <v>0.4</v>
      </c>
      <c r="BB91" s="1186">
        <f t="shared" si="332"/>
        <v>0</v>
      </c>
      <c r="BC91" s="1189">
        <f t="shared" si="332"/>
        <v>0.39999999999999997</v>
      </c>
      <c r="BD91" s="1189">
        <f t="shared" si="332"/>
        <v>0.3498242025707054</v>
      </c>
      <c r="BE91" s="1188">
        <f t="shared" si="332"/>
        <v>0.54642280530885223</v>
      </c>
      <c r="BF91" s="1188">
        <f t="shared" si="332"/>
        <v>0.67434736613478374</v>
      </c>
      <c r="BG91" s="23"/>
      <c r="BH91" s="23"/>
      <c r="BI91" s="23"/>
      <c r="BJ91" s="23"/>
      <c r="BK91" s="23"/>
      <c r="BL91" s="23"/>
    </row>
    <row r="92" spans="2:64" x14ac:dyDescent="0.3">
      <c r="B92" s="2891" t="s">
        <v>528</v>
      </c>
      <c r="C92" s="2892" t="s">
        <v>217</v>
      </c>
      <c r="D92" s="2446">
        <f t="shared" ref="D92" si="333">+D28</f>
        <v>15</v>
      </c>
      <c r="E92" s="2446">
        <f t="shared" ref="E92:G92" si="334">+E28</f>
        <v>15.000000000000002</v>
      </c>
      <c r="F92" s="2898">
        <f t="shared" ref="F92:H92" si="335">+F28</f>
        <v>15.943062108919742</v>
      </c>
      <c r="G92" s="2446">
        <f t="shared" si="334"/>
        <v>15</v>
      </c>
      <c r="H92" s="2898">
        <f t="shared" si="335"/>
        <v>8.7390761548064919</v>
      </c>
      <c r="I92" s="2444">
        <f t="shared" ref="I92:BF92" si="336">+I28</f>
        <v>15.000000000000002</v>
      </c>
      <c r="J92" s="2908">
        <f t="shared" si="336"/>
        <v>13.751203008850602</v>
      </c>
      <c r="K92" s="2923">
        <f t="shared" si="336"/>
        <v>14.56</v>
      </c>
      <c r="L92" s="2923">
        <f t="shared" si="336"/>
        <v>17.970946703731855</v>
      </c>
      <c r="M92" s="1175">
        <f t="shared" si="336"/>
        <v>14.823167518513761</v>
      </c>
      <c r="N92" s="1175">
        <f t="shared" si="336"/>
        <v>15.546572438162544</v>
      </c>
      <c r="O92" s="2923">
        <f t="shared" si="336"/>
        <v>14.560000000000002</v>
      </c>
      <c r="P92" s="2923">
        <f t="shared" si="336"/>
        <v>14.164740174891948</v>
      </c>
      <c r="Q92" s="1173">
        <f t="shared" si="336"/>
        <v>14.74711881413999</v>
      </c>
      <c r="R92" s="1188">
        <f t="shared" si="336"/>
        <v>15.11773444536724</v>
      </c>
      <c r="S92" s="2923">
        <f t="shared" si="336"/>
        <v>14.560000000000002</v>
      </c>
      <c r="T92" s="2923">
        <f t="shared" si="336"/>
        <v>16.814595789435224</v>
      </c>
      <c r="U92" s="1173">
        <f t="shared" si="336"/>
        <v>14.705168746840227</v>
      </c>
      <c r="V92" s="1173">
        <f t="shared" si="336"/>
        <v>15.508125419540153</v>
      </c>
      <c r="W92" s="2923">
        <f t="shared" si="336"/>
        <v>14.56</v>
      </c>
      <c r="X92" s="2923">
        <f t="shared" si="336"/>
        <v>14.298902834699454</v>
      </c>
      <c r="Y92" s="1175">
        <f t="shared" si="336"/>
        <v>14.560000000000002</v>
      </c>
      <c r="Z92" s="1186">
        <f t="shared" si="336"/>
        <v>15.086645044695883</v>
      </c>
      <c r="AA92" s="1114">
        <f t="shared" si="336"/>
        <v>14.689189120659345</v>
      </c>
      <c r="AB92" s="1114">
        <f t="shared" si="336"/>
        <v>15.286002338874027</v>
      </c>
      <c r="AC92" s="2923">
        <f t="shared" si="336"/>
        <v>14.56</v>
      </c>
      <c r="AD92" s="2923">
        <f t="shared" si="336"/>
        <v>11.385048167511478</v>
      </c>
      <c r="AE92" s="1188">
        <f t="shared" si="336"/>
        <v>14.667369879851705</v>
      </c>
      <c r="AF92" s="1188">
        <f t="shared" si="336"/>
        <v>14.78384077521644</v>
      </c>
      <c r="AG92" s="2898">
        <f t="shared" si="336"/>
        <v>14.56</v>
      </c>
      <c r="AH92" s="2898">
        <f t="shared" si="336"/>
        <v>16.231301507894461</v>
      </c>
      <c r="AI92" s="1188">
        <f t="shared" si="336"/>
        <v>14.652105244472162</v>
      </c>
      <c r="AJ92" s="1188">
        <f t="shared" si="336"/>
        <v>14.979586048792592</v>
      </c>
      <c r="AK92" s="2898">
        <f t="shared" si="336"/>
        <v>14.560000000000002</v>
      </c>
      <c r="AL92" s="2898">
        <f t="shared" si="336"/>
        <v>16.22619644980913</v>
      </c>
      <c r="AM92" s="1175">
        <f t="shared" si="336"/>
        <v>14.56</v>
      </c>
      <c r="AN92" s="1186">
        <f t="shared" si="336"/>
        <v>14.80891549417669</v>
      </c>
      <c r="AO92" s="1188">
        <f t="shared" si="336"/>
        <v>14.640343442672151</v>
      </c>
      <c r="AP92" s="1188">
        <f t="shared" si="336"/>
        <v>15.126121619661971</v>
      </c>
      <c r="AQ92" s="2898">
        <f t="shared" si="336"/>
        <v>14.56</v>
      </c>
      <c r="AR92" s="2898">
        <f t="shared" si="336"/>
        <v>15.832833215123577</v>
      </c>
      <c r="AS92" s="1188">
        <f t="shared" si="336"/>
        <v>14.631212324050692</v>
      </c>
      <c r="AT92" s="1188">
        <f t="shared" si="336"/>
        <v>15.20153584387722</v>
      </c>
      <c r="AU92" s="2898">
        <f t="shared" si="336"/>
        <v>14.560000000000002</v>
      </c>
      <c r="AV92" s="2898">
        <f t="shared" si="336"/>
        <v>13.940148517052782</v>
      </c>
      <c r="AW92" s="1188">
        <f t="shared" si="336"/>
        <v>14.624608263111687</v>
      </c>
      <c r="AX92" s="1188">
        <f t="shared" si="336"/>
        <v>15.095633679289381</v>
      </c>
      <c r="AY92" s="2898">
        <f t="shared" si="336"/>
        <v>14.56</v>
      </c>
      <c r="AZ92" s="2898">
        <f t="shared" si="336"/>
        <v>15.754499404993838</v>
      </c>
      <c r="BA92" s="1175">
        <f t="shared" si="336"/>
        <v>14.560000000000002</v>
      </c>
      <c r="BB92" s="1186">
        <f t="shared" si="336"/>
        <v>15.243287657808592</v>
      </c>
      <c r="BC92" s="1189">
        <f t="shared" si="336"/>
        <v>14.56</v>
      </c>
      <c r="BD92" s="1189">
        <f t="shared" si="336"/>
        <v>15.029519707162207</v>
      </c>
      <c r="BE92" s="1188">
        <f t="shared" si="336"/>
        <v>14.618569122123541</v>
      </c>
      <c r="BF92" s="1188">
        <f t="shared" si="336"/>
        <v>15.156229456316215</v>
      </c>
      <c r="BG92" s="23"/>
      <c r="BH92" s="23"/>
      <c r="BI92" s="23"/>
      <c r="BJ92" s="23"/>
      <c r="BK92" s="23"/>
      <c r="BL92" s="23"/>
    </row>
    <row r="93" spans="2:64" x14ac:dyDescent="0.3">
      <c r="B93" s="1171" t="s">
        <v>41</v>
      </c>
      <c r="C93" s="2892" t="s">
        <v>217</v>
      </c>
      <c r="D93" s="6144">
        <f t="shared" ref="D93" si="337">+D29</f>
        <v>9.0567340438111668</v>
      </c>
      <c r="E93" s="6144">
        <f t="shared" ref="E93:G93" si="338">+E29</f>
        <v>9.0567340438111668</v>
      </c>
      <c r="F93" s="2898">
        <f t="shared" ref="F93:J94" si="339">+F29</f>
        <v>9.185082091494392</v>
      </c>
      <c r="G93" s="6144">
        <f t="shared" si="338"/>
        <v>9.0567340438111525</v>
      </c>
      <c r="H93" s="2898">
        <f t="shared" si="339"/>
        <v>10.259196729476756</v>
      </c>
      <c r="I93" s="6151">
        <f t="shared" si="339"/>
        <v>9.0567340438111614</v>
      </c>
      <c r="J93" s="2908">
        <f t="shared" ref="J93:BF93" si="340">+J29</f>
        <v>9.5118883843960162</v>
      </c>
      <c r="K93" s="2923">
        <f t="shared" si="340"/>
        <v>10.414589223195621</v>
      </c>
      <c r="L93" s="2923">
        <f t="shared" si="340"/>
        <v>4.6668119508655925</v>
      </c>
      <c r="M93" s="1175">
        <f t="shared" si="340"/>
        <v>9.6024451821509214</v>
      </c>
      <c r="N93" s="1186">
        <f t="shared" si="340"/>
        <v>7.4504593639575969</v>
      </c>
      <c r="O93" s="2923">
        <f t="shared" si="340"/>
        <v>10.414589223195621</v>
      </c>
      <c r="P93" s="2923">
        <f t="shared" si="340"/>
        <v>5.9227057995778472</v>
      </c>
      <c r="Q93" s="1173">
        <f t="shared" si="340"/>
        <v>9.837134107422294</v>
      </c>
      <c r="R93" s="1188">
        <f t="shared" si="340"/>
        <v>6.9763361368129235</v>
      </c>
      <c r="S93" s="2923">
        <f t="shared" si="340"/>
        <v>10.414589223195621</v>
      </c>
      <c r="T93" s="2923">
        <f t="shared" si="340"/>
        <v>9.9196459096140455</v>
      </c>
      <c r="U93" s="1173">
        <f t="shared" si="340"/>
        <v>9.9665934623279941</v>
      </c>
      <c r="V93" s="1173">
        <f t="shared" si="340"/>
        <v>7.6534931558665971</v>
      </c>
      <c r="W93" s="2923">
        <f t="shared" si="340"/>
        <v>10.414589223195623</v>
      </c>
      <c r="X93" s="2923">
        <f t="shared" si="340"/>
        <v>8.7010117827868854</v>
      </c>
      <c r="Y93" s="1175">
        <f t="shared" si="340"/>
        <v>10.414589223195621</v>
      </c>
      <c r="Z93" s="1186">
        <f t="shared" si="340"/>
        <v>8.1484666366185294</v>
      </c>
      <c r="AA93" s="1114">
        <f t="shared" si="340"/>
        <v>10.015907139996946</v>
      </c>
      <c r="AB93" s="1114">
        <f t="shared" si="340"/>
        <v>7.8459127049087929</v>
      </c>
      <c r="AC93" s="2923">
        <f t="shared" si="340"/>
        <v>10.414589223195623</v>
      </c>
      <c r="AD93" s="2923">
        <f t="shared" si="340"/>
        <v>12.552745415461372</v>
      </c>
      <c r="AE93" s="1188">
        <f t="shared" si="340"/>
        <v>10.083242069862598</v>
      </c>
      <c r="AF93" s="1188">
        <f t="shared" si="340"/>
        <v>8.4518133051150723</v>
      </c>
      <c r="AG93" s="2898">
        <f t="shared" si="340"/>
        <v>10.414589223195623</v>
      </c>
      <c r="AH93" s="2898">
        <f t="shared" si="340"/>
        <v>9.729496512891652</v>
      </c>
      <c r="AI93" s="1188">
        <f t="shared" si="340"/>
        <v>10.130349261252443</v>
      </c>
      <c r="AJ93" s="1188">
        <f t="shared" si="340"/>
        <v>8.6245989589180301</v>
      </c>
      <c r="AK93" s="2898">
        <f t="shared" si="340"/>
        <v>10.414589223195623</v>
      </c>
      <c r="AL93" s="2898">
        <f t="shared" si="340"/>
        <v>10.978256952202997</v>
      </c>
      <c r="AM93" s="1175">
        <f t="shared" si="340"/>
        <v>10.414589223195621</v>
      </c>
      <c r="AN93" s="1186">
        <f t="shared" si="340"/>
        <v>10.995101943177874</v>
      </c>
      <c r="AO93" s="1188">
        <f t="shared" si="340"/>
        <v>10.166646587372986</v>
      </c>
      <c r="AP93" s="1188">
        <f t="shared" si="340"/>
        <v>8.901264882285945</v>
      </c>
      <c r="AQ93" s="2898">
        <f t="shared" si="340"/>
        <v>10.414589223195621</v>
      </c>
      <c r="AR93" s="2898">
        <f t="shared" si="340"/>
        <v>9.8859730481750248</v>
      </c>
      <c r="AS93" s="1188">
        <f t="shared" si="340"/>
        <v>10.194825534449627</v>
      </c>
      <c r="AT93" s="1188">
        <f t="shared" si="340"/>
        <v>9.0063445256451864</v>
      </c>
      <c r="AU93" s="2898">
        <f t="shared" si="340"/>
        <v>10.414589223195623</v>
      </c>
      <c r="AV93" s="2898">
        <f t="shared" si="340"/>
        <v>13.851216150117835</v>
      </c>
      <c r="AW93" s="1188">
        <f t="shared" si="340"/>
        <v>10.21520589433826</v>
      </c>
      <c r="AX93" s="1188">
        <f t="shared" si="340"/>
        <v>9.4131049086542156</v>
      </c>
      <c r="AY93" s="2898">
        <f t="shared" si="340"/>
        <v>10.414589223195621</v>
      </c>
      <c r="AZ93" s="2898">
        <f t="shared" si="340"/>
        <v>8.8671714565540185</v>
      </c>
      <c r="BA93" s="1175">
        <f t="shared" si="340"/>
        <v>10.414589223195621</v>
      </c>
      <c r="BB93" s="1186">
        <f t="shared" si="340"/>
        <v>10.697721751814363</v>
      </c>
      <c r="BC93" s="1189">
        <f t="shared" si="340"/>
        <v>10.414589223195621</v>
      </c>
      <c r="BD93" s="1189">
        <f t="shared" si="340"/>
        <v>10.844071724011197</v>
      </c>
      <c r="BE93" s="1188">
        <f t="shared" si="340"/>
        <v>10.233842891769596</v>
      </c>
      <c r="BF93" s="1188">
        <f t="shared" si="340"/>
        <v>9.3628954950448193</v>
      </c>
      <c r="BG93" s="23"/>
      <c r="BH93" s="23"/>
      <c r="BI93" s="23"/>
      <c r="BJ93" s="23"/>
      <c r="BK93" s="23"/>
      <c r="BL93" s="23"/>
    </row>
    <row r="94" spans="2:64" x14ac:dyDescent="0.3">
      <c r="B94" s="4922" t="s">
        <v>1464</v>
      </c>
      <c r="C94" s="2892" t="s">
        <v>217</v>
      </c>
      <c r="D94" s="6145"/>
      <c r="E94" s="6145"/>
      <c r="F94" s="2898">
        <f t="shared" si="339"/>
        <v>1.7906242574425473</v>
      </c>
      <c r="G94" s="6145"/>
      <c r="H94" s="2898">
        <f t="shared" si="339"/>
        <v>1.7529901095133673</v>
      </c>
      <c r="I94" s="6152"/>
      <c r="J94" s="2908">
        <f t="shared" si="339"/>
        <v>1.7791738256763912</v>
      </c>
      <c r="K94" s="5226"/>
      <c r="L94" s="5226"/>
      <c r="M94" s="4926"/>
      <c r="N94" s="5223"/>
      <c r="O94" s="5226"/>
      <c r="P94" s="5226"/>
      <c r="Q94" s="4925"/>
      <c r="R94" s="5222"/>
      <c r="S94" s="5226"/>
      <c r="T94" s="5226"/>
      <c r="U94" s="4925"/>
      <c r="V94" s="4925"/>
      <c r="W94" s="5226"/>
      <c r="X94" s="5226"/>
      <c r="Y94" s="4926"/>
      <c r="Z94" s="5223"/>
      <c r="AA94" s="4927"/>
      <c r="AB94" s="4927"/>
      <c r="AC94" s="5226"/>
      <c r="AD94" s="5226"/>
      <c r="AE94" s="5222"/>
      <c r="AF94" s="5222"/>
      <c r="AG94" s="5225"/>
      <c r="AH94" s="5225"/>
      <c r="AI94" s="5222"/>
      <c r="AJ94" s="5222"/>
      <c r="AK94" s="5225"/>
      <c r="AL94" s="5225"/>
      <c r="AM94" s="4926"/>
      <c r="AN94" s="5223"/>
      <c r="AO94" s="5222"/>
      <c r="AP94" s="5222"/>
      <c r="AQ94" s="5225"/>
      <c r="AR94" s="5225"/>
      <c r="AS94" s="5222"/>
      <c r="AT94" s="5222"/>
      <c r="AU94" s="5225"/>
      <c r="AV94" s="5225"/>
      <c r="AW94" s="5222"/>
      <c r="AX94" s="5222"/>
      <c r="AY94" s="5225"/>
      <c r="AZ94" s="5225"/>
      <c r="BA94" s="4926"/>
      <c r="BB94" s="5223"/>
      <c r="BC94" s="5227"/>
      <c r="BD94" s="5227"/>
      <c r="BE94" s="5222"/>
      <c r="BF94" s="5222"/>
      <c r="BG94" s="23"/>
      <c r="BH94" s="23"/>
      <c r="BI94" s="23"/>
      <c r="BJ94" s="23"/>
      <c r="BK94" s="23"/>
      <c r="BL94" s="23"/>
    </row>
    <row r="95" spans="2:64" x14ac:dyDescent="0.3">
      <c r="B95" s="2395" t="s">
        <v>42</v>
      </c>
      <c r="C95" s="2892" t="s">
        <v>217</v>
      </c>
      <c r="D95" s="2446">
        <f>+D32</f>
        <v>4</v>
      </c>
      <c r="E95" s="2446">
        <f>+E32</f>
        <v>3.9999999999999991</v>
      </c>
      <c r="F95" s="2898">
        <f>+F32</f>
        <v>0</v>
      </c>
      <c r="G95" s="2446">
        <f>+G32</f>
        <v>4</v>
      </c>
      <c r="H95" s="2898">
        <f>+H32</f>
        <v>0</v>
      </c>
      <c r="I95" s="2444">
        <f>+I32</f>
        <v>4</v>
      </c>
      <c r="J95" s="2908">
        <f>+J32</f>
        <v>0</v>
      </c>
      <c r="K95" s="2923">
        <f>+K32</f>
        <v>0</v>
      </c>
      <c r="L95" s="2923">
        <f>+L32</f>
        <v>0</v>
      </c>
      <c r="M95" s="1175">
        <f>+M32</f>
        <v>2.3924319864887429</v>
      </c>
      <c r="N95" s="1186">
        <f>+N32</f>
        <v>0</v>
      </c>
      <c r="O95" s="2923">
        <f>+O32</f>
        <v>0</v>
      </c>
      <c r="P95" s="2923">
        <f>+P32</f>
        <v>0</v>
      </c>
      <c r="Q95" s="1173">
        <f>+Q32</f>
        <v>1.7010801285453601</v>
      </c>
      <c r="R95" s="1188">
        <f>+R32</f>
        <v>0</v>
      </c>
      <c r="S95" s="2898">
        <f>+S32</f>
        <v>0</v>
      </c>
      <c r="T95" s="2898">
        <f>+T32</f>
        <v>0</v>
      </c>
      <c r="U95" s="1173">
        <f>+U32</f>
        <v>1.3197158803657116</v>
      </c>
      <c r="V95" s="1173">
        <f>+V32</f>
        <v>0</v>
      </c>
      <c r="W95" s="2898">
        <f>+W32</f>
        <v>0</v>
      </c>
      <c r="X95" s="2898">
        <f>+X32</f>
        <v>0</v>
      </c>
      <c r="Y95" s="1175">
        <f>+Y32</f>
        <v>0</v>
      </c>
      <c r="Z95" s="1186">
        <f>+Z32</f>
        <v>0</v>
      </c>
      <c r="AA95" s="1189">
        <f>+AA32</f>
        <v>1.1744465514485969</v>
      </c>
      <c r="AB95" s="1114">
        <f>+AB32</f>
        <v>0</v>
      </c>
      <c r="AC95" s="2898">
        <f>+AC32</f>
        <v>0</v>
      </c>
      <c r="AD95" s="2898">
        <f>+AD32</f>
        <v>0</v>
      </c>
      <c r="AE95" s="1188">
        <f>+AE32</f>
        <v>0.97608981683371021</v>
      </c>
      <c r="AF95" s="1188">
        <f>+AF32</f>
        <v>0</v>
      </c>
      <c r="AG95" s="2898">
        <f>+AG32</f>
        <v>0</v>
      </c>
      <c r="AH95" s="2898">
        <f>+AH32</f>
        <v>1.7176124913300164</v>
      </c>
      <c r="AI95" s="1188">
        <f>+AI32</f>
        <v>0.83732040429239052</v>
      </c>
      <c r="AJ95" s="1188">
        <f>+AJ32</f>
        <v>0.23227885870946013</v>
      </c>
      <c r="AK95" s="2898">
        <f>+AK32</f>
        <v>0</v>
      </c>
      <c r="AL95" s="2898">
        <f>+AL32</f>
        <v>5.73308974170601</v>
      </c>
      <c r="AM95" s="1175">
        <f>+AM32</f>
        <v>0</v>
      </c>
      <c r="AN95" s="1186">
        <f>+AN32</f>
        <v>2.6226045759928116</v>
      </c>
      <c r="AO95" s="1188">
        <f>+AO32</f>
        <v>0.73039493338319028</v>
      </c>
      <c r="AP95" s="1188">
        <f>+AP32</f>
        <v>0.87888381429709661</v>
      </c>
      <c r="AQ95" s="2898">
        <f>+AQ32</f>
        <v>0</v>
      </c>
      <c r="AR95" s="2898">
        <f>+AR32</f>
        <v>1.8849909978722243</v>
      </c>
      <c r="AS95" s="1188">
        <f>+AS32</f>
        <v>0.64738476409719836</v>
      </c>
      <c r="AT95" s="1188">
        <f>+AT32</f>
        <v>0.98624697801757955</v>
      </c>
      <c r="AU95" s="2898">
        <f>+AU32</f>
        <v>0</v>
      </c>
      <c r="AV95" s="2898">
        <f>+AV32</f>
        <v>0</v>
      </c>
      <c r="AW95" s="1188">
        <f>+AW32</f>
        <v>0.58734784646988758</v>
      </c>
      <c r="AX95" s="1188">
        <f>+AX32</f>
        <v>0.90344474307423472</v>
      </c>
      <c r="AY95" s="2898">
        <f>+AY32</f>
        <v>0</v>
      </c>
      <c r="AZ95" s="2898">
        <f>+AZ32</f>
        <v>0</v>
      </c>
      <c r="BA95" s="1175">
        <f>+BA32</f>
        <v>0</v>
      </c>
      <c r="BB95" s="1186">
        <f>+BB32</f>
        <v>0.65111650933706733</v>
      </c>
      <c r="BC95" s="1189">
        <f>+BC32</f>
        <v>0</v>
      </c>
      <c r="BD95" s="1189">
        <f>+BD32</f>
        <v>1.6213466461142954</v>
      </c>
      <c r="BE95" s="1188">
        <f>+BE32</f>
        <v>0.53244656475946306</v>
      </c>
      <c r="BF95" s="1188">
        <f>+BF32</f>
        <v>0.82035507233919114</v>
      </c>
      <c r="BG95" s="23"/>
      <c r="BH95" s="23"/>
      <c r="BI95" s="23"/>
      <c r="BJ95" s="23"/>
      <c r="BK95" s="23"/>
      <c r="BL95" s="23"/>
    </row>
    <row r="96" spans="2:64" x14ac:dyDescent="0.3">
      <c r="B96" s="4390" t="s">
        <v>1591</v>
      </c>
      <c r="C96" s="4384" t="s">
        <v>217</v>
      </c>
      <c r="D96" s="2446">
        <f>+D33</f>
        <v>0.5</v>
      </c>
      <c r="E96" s="4661">
        <f>+E33</f>
        <v>0.49999999999999989</v>
      </c>
      <c r="F96" s="4661">
        <f>+F33</f>
        <v>1.3069011168064089</v>
      </c>
      <c r="G96" s="4661">
        <f>+G33</f>
        <v>0.5</v>
      </c>
      <c r="H96" s="4661">
        <f>+H33</f>
        <v>2.4257243212823347</v>
      </c>
      <c r="I96" s="4387">
        <f>+I33</f>
        <v>0.5</v>
      </c>
      <c r="J96" s="4387">
        <f>+J33</f>
        <v>1.6473102788618799</v>
      </c>
      <c r="K96" s="4391">
        <f>+K33</f>
        <v>10</v>
      </c>
      <c r="L96" s="4391">
        <f>+L33</f>
        <v>8.5575936684437401</v>
      </c>
      <c r="M96" s="1175">
        <f>+M33</f>
        <v>4.3179740320892366</v>
      </c>
      <c r="N96" s="1186">
        <f>+N33</f>
        <v>4.5874204946996464</v>
      </c>
      <c r="O96" s="4391">
        <f>+O33</f>
        <v>10</v>
      </c>
      <c r="P96" s="4391">
        <f>+P33</f>
        <v>3.2390189968841088</v>
      </c>
      <c r="Q96" s="1173">
        <f>+Q33</f>
        <v>5.9599346947047698</v>
      </c>
      <c r="R96" s="1188">
        <f>+R33</f>
        <v>4.1689574097252278</v>
      </c>
      <c r="S96" s="4391">
        <f>+S33</f>
        <v>10</v>
      </c>
      <c r="T96" s="4391">
        <f>+T33</f>
        <v>11.216689849913488</v>
      </c>
      <c r="U96" s="1173">
        <f>+U33</f>
        <v>6.865674784131433</v>
      </c>
      <c r="V96" s="1173">
        <f>+V33</f>
        <v>5.7904046438516881</v>
      </c>
      <c r="W96" s="4391">
        <f>+W33</f>
        <v>10</v>
      </c>
      <c r="X96" s="4391">
        <f>+X33</f>
        <v>0.49895406420765026</v>
      </c>
      <c r="Y96" s="1175">
        <f>+Y33</f>
        <v>10</v>
      </c>
      <c r="Z96" s="1186">
        <f>+Z33</f>
        <v>4.9951424100048181</v>
      </c>
      <c r="AA96" s="1189">
        <f>+AA33</f>
        <v>7.2106894403095811</v>
      </c>
      <c r="AB96" s="1114">
        <f>+AB33</f>
        <v>4.8184137807320297</v>
      </c>
      <c r="AC96" s="4391">
        <f>+AC33</f>
        <v>10</v>
      </c>
      <c r="AD96" s="4391">
        <f>+AD33</f>
        <v>5.2745415461373106</v>
      </c>
      <c r="AE96" s="1188">
        <f>+AE33</f>
        <v>7.6817866850199357</v>
      </c>
      <c r="AF96" s="1188">
        <f>+AF33</f>
        <v>4.8771301413560648</v>
      </c>
      <c r="AG96" s="4661">
        <f>+AG33</f>
        <v>10</v>
      </c>
      <c r="AH96" s="4661">
        <f>+AH33</f>
        <v>17.81784023200057</v>
      </c>
      <c r="AI96" s="1188">
        <f>+AI33</f>
        <v>8.0113640398055725</v>
      </c>
      <c r="AJ96" s="1188">
        <f>+AJ33</f>
        <v>6.6271484871223709</v>
      </c>
      <c r="AK96" s="4661">
        <f>+AK33</f>
        <v>10</v>
      </c>
      <c r="AL96" s="4661">
        <f>+AL33</f>
        <v>28.81515221242373</v>
      </c>
      <c r="AM96" s="1186">
        <f>+AM33</f>
        <v>10</v>
      </c>
      <c r="AN96" s="1186">
        <f>+AN33</f>
        <v>17.998438300723379</v>
      </c>
      <c r="AO96" s="1188">
        <f>+AO33</f>
        <v>8.2653120332149221</v>
      </c>
      <c r="AP96" s="1188">
        <f>+AP33</f>
        <v>9.2352863541637813</v>
      </c>
      <c r="AQ96" s="4661">
        <f>+AQ33</f>
        <v>9.9999999999999982</v>
      </c>
      <c r="AR96" s="4661">
        <f>+AR33</f>
        <v>23.588302689726664</v>
      </c>
      <c r="AS96" s="1188">
        <f>+AS33</f>
        <v>8.462461185269154</v>
      </c>
      <c r="AT96" s="1188">
        <f>+AT33</f>
        <v>10.766917643428634</v>
      </c>
      <c r="AU96" s="4391">
        <f>+AU33</f>
        <v>10</v>
      </c>
      <c r="AV96" s="4391">
        <f>+AV33</f>
        <v>19.295147468921314</v>
      </c>
      <c r="AW96" s="4422">
        <f>+AW33</f>
        <v>8.605048864634016</v>
      </c>
      <c r="AX96" s="4422">
        <f>+AX33</f>
        <v>11.482921347775294</v>
      </c>
      <c r="AY96" s="4391">
        <f>+AY33</f>
        <v>9.9999999999999982</v>
      </c>
      <c r="AZ96" s="4391">
        <f>+AZ33</f>
        <v>28.249628779342228</v>
      </c>
      <c r="BA96" s="1192">
        <f>+BA33</f>
        <v>9.9999999999999982</v>
      </c>
      <c r="BB96" s="1192">
        <f>+BB33</f>
        <v>23.982948474163585</v>
      </c>
      <c r="BC96" s="1189">
        <f>+BC33</f>
        <v>10</v>
      </c>
      <c r="BD96" s="1189">
        <f>+BD33</f>
        <v>21.037786277990122</v>
      </c>
      <c r="BE96" s="1188">
        <f>+BE33</f>
        <v>8.7354394086962763</v>
      </c>
      <c r="BF96" s="1188">
        <f>+BF33</f>
        <v>13.024952789630984</v>
      </c>
      <c r="BG96" s="23"/>
      <c r="BH96" s="23"/>
      <c r="BI96" s="23"/>
      <c r="BJ96" s="23"/>
      <c r="BK96" s="23"/>
      <c r="BL96" s="23"/>
    </row>
    <row r="97" spans="2:64" ht="15" customHeight="1" x14ac:dyDescent="0.3">
      <c r="B97" s="2891" t="s">
        <v>98</v>
      </c>
      <c r="C97" s="2892" t="s">
        <v>217</v>
      </c>
      <c r="D97" s="2446">
        <f>+D34</f>
        <v>180.00000000000006</v>
      </c>
      <c r="E97" s="2446">
        <f>+E34</f>
        <v>179.99999999999997</v>
      </c>
      <c r="F97" s="2446">
        <f>+F34</f>
        <v>211.66989148760425</v>
      </c>
      <c r="G97" s="2446">
        <f>+G34</f>
        <v>179.99999999999997</v>
      </c>
      <c r="H97" s="2446">
        <f>+H34</f>
        <v>187.83515424372385</v>
      </c>
      <c r="I97" s="2444">
        <f>+I34</f>
        <v>180</v>
      </c>
      <c r="J97" s="2908">
        <f>+J34</f>
        <v>204.41801925207784</v>
      </c>
      <c r="K97" s="2923">
        <f>+K34</f>
        <v>0.7</v>
      </c>
      <c r="L97" s="2923">
        <f>+L34</f>
        <v>0.37472692771756749</v>
      </c>
      <c r="M97" s="1175">
        <f>+M34</f>
        <v>107.94076379435786</v>
      </c>
      <c r="N97" s="1186">
        <f>+N34</f>
        <v>117.60395759717314</v>
      </c>
      <c r="O97" s="2923">
        <f>+O34</f>
        <v>0.7</v>
      </c>
      <c r="P97" s="2923">
        <f>+P34</f>
        <v>0.78902402251482562</v>
      </c>
      <c r="Q97" s="1173">
        <f>+Q34</f>
        <v>76.95091676204575</v>
      </c>
      <c r="R97" s="1188">
        <f>+R34</f>
        <v>81.351596891607883</v>
      </c>
      <c r="S97" s="2923">
        <f>+S34</f>
        <v>0.7</v>
      </c>
      <c r="T97" s="2923">
        <f>+T34</f>
        <v>0.21399920141761422</v>
      </c>
      <c r="U97" s="1173">
        <f>+U34</f>
        <v>59.856264337393021</v>
      </c>
      <c r="V97" s="1173">
        <f>+V34</f>
        <v>62.68455263660347</v>
      </c>
      <c r="W97" s="2923">
        <f>+W34</f>
        <v>0.69999999999999984</v>
      </c>
      <c r="X97" s="2923">
        <f>+X34</f>
        <v>0</v>
      </c>
      <c r="Y97" s="1175">
        <f>+Y34</f>
        <v>0.69999999999999984</v>
      </c>
      <c r="Z97" s="1186">
        <f>+Z34</f>
        <v>0.34258337276790929</v>
      </c>
      <c r="AA97" s="1114">
        <f>+AA34</f>
        <v>53.344566668683349</v>
      </c>
      <c r="AB97" s="1114">
        <f>+AB34</f>
        <v>51.169976150542716</v>
      </c>
      <c r="AC97" s="2923">
        <f>+AC34</f>
        <v>0.70000000000000007</v>
      </c>
      <c r="AD97" s="2923">
        <f>+AD34</f>
        <v>0</v>
      </c>
      <c r="AE97" s="1173">
        <f>+AE34</f>
        <v>44.453226039571057</v>
      </c>
      <c r="AF97" s="1173">
        <f>+AF34</f>
        <v>44.582973559045257</v>
      </c>
      <c r="AG97" s="2898">
        <f>+AG34</f>
        <v>0.7</v>
      </c>
      <c r="AH97" s="2898">
        <f>+AH34</f>
        <v>0.83832596953627192</v>
      </c>
      <c r="AI97" s="1173">
        <f>+AI34</f>
        <v>38.232887122406396</v>
      </c>
      <c r="AJ97" s="1173">
        <f>+AJ34</f>
        <v>38.667228961222357</v>
      </c>
      <c r="AK97" s="2898">
        <f>+AK34</f>
        <v>0.70000000000000007</v>
      </c>
      <c r="AL97" s="2898">
        <f>+AL34</f>
        <v>0.77069581634152362</v>
      </c>
      <c r="AM97" s="1175">
        <f>+AM34</f>
        <v>0.69999999999999984</v>
      </c>
      <c r="AN97" s="1186">
        <f>+AN34</f>
        <v>0.56886306153347976</v>
      </c>
      <c r="AO97" s="1173">
        <f>+AO34</f>
        <v>33.439952888901495</v>
      </c>
      <c r="AP97" s="1188">
        <f>+AP34</f>
        <v>34.212597334671592</v>
      </c>
      <c r="AQ97" s="2898">
        <f>+AQ34</f>
        <v>0.69999999999999984</v>
      </c>
      <c r="AR97" s="2898">
        <f>+AR34</f>
        <v>1.2057395384363576</v>
      </c>
      <c r="AS97" s="1173">
        <f>+AS34</f>
        <v>29.719022050656914</v>
      </c>
      <c r="AT97" s="1173">
        <f>+AT34</f>
        <v>30.690387439614934</v>
      </c>
      <c r="AU97" s="2898">
        <f>+AU34</f>
        <v>0.69999999999999984</v>
      </c>
      <c r="AV97" s="2898">
        <f>+AV34</f>
        <v>0.70828277951760543</v>
      </c>
      <c r="AW97" s="1173">
        <f>+AW34</f>
        <v>27.027867218012705</v>
      </c>
      <c r="AX97" s="1173">
        <f>+AX34</f>
        <v>28.173182997425929</v>
      </c>
      <c r="AY97" s="2898">
        <f>+AY34</f>
        <v>0.69999999999999984</v>
      </c>
      <c r="AZ97" s="2898">
        <f>+AZ34</f>
        <v>3.343618690565203</v>
      </c>
      <c r="BA97" s="1175">
        <f>+BA34</f>
        <v>0.69999999999999984</v>
      </c>
      <c r="BB97" s="1186">
        <f>+BB34</f>
        <v>1.8233146824417152</v>
      </c>
      <c r="BC97" s="1189">
        <f>+BC34</f>
        <v>0.69999999999999984</v>
      </c>
      <c r="BD97" s="1189">
        <f>+BD34</f>
        <v>1.2059603152916247</v>
      </c>
      <c r="BE97" s="1188">
        <f>+BE34</f>
        <v>24.56691726534293</v>
      </c>
      <c r="BF97" s="1188">
        <f>+BF34</f>
        <v>25.889611878586482</v>
      </c>
      <c r="BG97" s="23"/>
      <c r="BH97" s="23"/>
      <c r="BI97" s="23"/>
      <c r="BJ97" s="23"/>
      <c r="BK97" s="23"/>
      <c r="BL97" s="23"/>
    </row>
    <row r="98" spans="2:64" ht="15" customHeight="1" x14ac:dyDescent="0.3">
      <c r="B98" s="2891" t="s">
        <v>1264</v>
      </c>
      <c r="C98" s="2892" t="s">
        <v>217</v>
      </c>
      <c r="D98" s="2446">
        <f>+D35</f>
        <v>3.0326323422769939</v>
      </c>
      <c r="E98" s="2446">
        <f>+E35</f>
        <v>3.0326323422769921</v>
      </c>
      <c r="F98" s="2898">
        <f>+F35</f>
        <v>2.3054640913359812</v>
      </c>
      <c r="G98" s="2446">
        <f>+G35</f>
        <v>3.0326323422769885</v>
      </c>
      <c r="H98" s="2898">
        <f>+H35</f>
        <v>2.4386615176625073</v>
      </c>
      <c r="I98" s="2444">
        <f>+I35</f>
        <v>3.0326323422769907</v>
      </c>
      <c r="J98" s="2908">
        <f>+J35</f>
        <v>2.345990265714887</v>
      </c>
      <c r="K98" s="2923">
        <f>+K35</f>
        <v>0</v>
      </c>
      <c r="L98" s="2923">
        <f>+L35</f>
        <v>0</v>
      </c>
      <c r="M98" s="1175">
        <f>+M35</f>
        <v>1.8138416547309371</v>
      </c>
      <c r="N98" s="1186">
        <f>+N35</f>
        <v>1.3478445229681977</v>
      </c>
      <c r="O98" s="2923">
        <f>+O35</f>
        <v>0</v>
      </c>
      <c r="P98" s="2923">
        <f>+P35</f>
        <v>0</v>
      </c>
      <c r="Q98" s="1173">
        <f>+Q35</f>
        <v>1.2896876536578397</v>
      </c>
      <c r="R98" s="1188">
        <f>+R35</f>
        <v>0.92955428963570363</v>
      </c>
      <c r="S98" s="2923">
        <f>+S35</f>
        <v>0</v>
      </c>
      <c r="T98" s="2923">
        <f>+T35</f>
        <v>0</v>
      </c>
      <c r="U98" s="1173">
        <f>+U35</f>
        <v>1.0005532653534022</v>
      </c>
      <c r="V98" s="1173">
        <f>+V35</f>
        <v>0.71569497464446408</v>
      </c>
      <c r="W98" s="2923">
        <f>+W35</f>
        <v>0</v>
      </c>
      <c r="X98" s="2923">
        <f>+X35</f>
        <v>0</v>
      </c>
      <c r="Y98" s="1175">
        <f>+Y35</f>
        <v>0</v>
      </c>
      <c r="Z98" s="1186">
        <f>+Z35</f>
        <v>0</v>
      </c>
      <c r="AA98" s="1114">
        <f>+AA35</f>
        <v>0.89041614904967314</v>
      </c>
      <c r="AB98" s="1114">
        <f>+AB35</f>
        <v>0.58422838232454277</v>
      </c>
      <c r="AC98" s="2923">
        <f>+AC35</f>
        <v>0</v>
      </c>
      <c r="AD98" s="2923">
        <f>+AD35</f>
        <v>0</v>
      </c>
      <c r="AE98" s="1173">
        <f>+AE35</f>
        <v>0.74003038687428313</v>
      </c>
      <c r="AF98" s="1173">
        <f>+AF35</f>
        <v>0.50902190075268616</v>
      </c>
      <c r="AG98" s="2898">
        <f>+AG35</f>
        <v>0</v>
      </c>
      <c r="AH98" s="2898">
        <f>+AH35</f>
        <v>0</v>
      </c>
      <c r="AI98" s="1173">
        <f>+AI35</f>
        <v>0.63482123472638718</v>
      </c>
      <c r="AJ98" s="1173">
        <f>+AJ35</f>
        <v>0.44018505497881794</v>
      </c>
      <c r="AK98" s="2898">
        <f>+AK35</f>
        <v>0</v>
      </c>
      <c r="AL98" s="2898">
        <f>+AL35</f>
        <v>0</v>
      </c>
      <c r="AM98" s="1186">
        <f>+AM35</f>
        <v>0</v>
      </c>
      <c r="AN98" s="1186">
        <f>+AN35</f>
        <v>0</v>
      </c>
      <c r="AO98" s="1188">
        <f>+AO35</f>
        <v>0.55375482440327761</v>
      </c>
      <c r="AP98" s="1188">
        <f>+AP35</f>
        <v>0.38844253119842015</v>
      </c>
      <c r="AQ98" s="2898">
        <f>+AQ35</f>
        <v>0</v>
      </c>
      <c r="AR98" s="2898">
        <f>+AR35</f>
        <v>0</v>
      </c>
      <c r="AS98" s="1173">
        <f>+AS35</f>
        <v>0.49081999337463089</v>
      </c>
      <c r="AT98" s="1173">
        <f>+AT35</f>
        <v>0.34699126263192287</v>
      </c>
      <c r="AU98" s="2898">
        <f>+AU35</f>
        <v>0</v>
      </c>
      <c r="AV98" s="2898">
        <f>+AV35</f>
        <v>0</v>
      </c>
      <c r="AW98" s="1173">
        <f>+AW35</f>
        <v>0.44530251884283023</v>
      </c>
      <c r="AX98" s="1173">
        <f>+AX35</f>
        <v>0.31785895328940017</v>
      </c>
      <c r="AY98" s="2898">
        <f>+AY35</f>
        <v>0</v>
      </c>
      <c r="AZ98" s="2898">
        <f>+AZ35</f>
        <v>5.7605021220131221</v>
      </c>
      <c r="BA98" s="1175">
        <f>+BA35</f>
        <v>0</v>
      </c>
      <c r="BB98" s="1186">
        <f>+BB35</f>
        <v>2.0617118993191075</v>
      </c>
      <c r="BC98" s="1189">
        <f>+BC35</f>
        <v>0</v>
      </c>
      <c r="BD98" s="1189">
        <f>+BD35</f>
        <v>1.04707982930876</v>
      </c>
      <c r="BE98" s="1188">
        <f>+BE35</f>
        <v>0.40367866820595688</v>
      </c>
      <c r="BF98" s="1188">
        <f>+BF35</f>
        <v>0.81841798834311275</v>
      </c>
      <c r="BG98" s="23"/>
      <c r="BH98" s="23"/>
      <c r="BI98" s="23"/>
      <c r="BJ98" s="23"/>
      <c r="BK98" s="23"/>
      <c r="BL98" s="23"/>
    </row>
    <row r="99" spans="2:64" ht="15" customHeight="1" x14ac:dyDescent="0.3">
      <c r="B99" s="4922" t="s">
        <v>1940</v>
      </c>
      <c r="C99" s="2892" t="s">
        <v>217</v>
      </c>
      <c r="D99" s="2446">
        <f>+D36</f>
        <v>0</v>
      </c>
      <c r="E99" s="5179">
        <f>+E36</f>
        <v>0</v>
      </c>
      <c r="F99" s="4953">
        <f>+F36</f>
        <v>0</v>
      </c>
      <c r="G99" s="5179">
        <f>+G36</f>
        <v>0</v>
      </c>
      <c r="H99" s="4953">
        <f>+H36</f>
        <v>0</v>
      </c>
      <c r="I99" s="4950">
        <f>+I36</f>
        <v>0</v>
      </c>
      <c r="J99" s="5311">
        <f>+J36</f>
        <v>0</v>
      </c>
      <c r="K99" s="4947">
        <f>+K36</f>
        <v>170.3275582653896</v>
      </c>
      <c r="L99" s="4947">
        <f>+L36</f>
        <v>195.28853973434252</v>
      </c>
      <c r="M99" s="4948">
        <f>+M36</f>
        <v>68.453283621728815</v>
      </c>
      <c r="N99" s="4949">
        <f>+N36</f>
        <v>83.089187279151943</v>
      </c>
      <c r="O99" s="4947">
        <f>+O36</f>
        <v>170.43530503385097</v>
      </c>
      <c r="P99" s="4947">
        <f>+P36</f>
        <v>199.75123127952557</v>
      </c>
      <c r="Q99" s="4950">
        <f>+Q36</f>
        <v>97.923488157645394</v>
      </c>
      <c r="R99" s="4951">
        <f>+R36</f>
        <v>119.29410021562228</v>
      </c>
      <c r="S99" s="4947">
        <f>+S36</f>
        <v>170.43530503385097</v>
      </c>
      <c r="T99" s="4947">
        <f>+T36</f>
        <v>199.84915666046416</v>
      </c>
      <c r="U99" s="4950">
        <f>+U36</f>
        <v>114.17987376999255</v>
      </c>
      <c r="V99" s="4950">
        <f>+V36</f>
        <v>137.82712123704755</v>
      </c>
      <c r="W99" s="4947">
        <f>+W36</f>
        <v>169.59847764614028</v>
      </c>
      <c r="X99" s="4947">
        <f>+X36</f>
        <v>200.57953381147541</v>
      </c>
      <c r="Y99" s="4948">
        <f>+Y36</f>
        <v>170.25436824508225</v>
      </c>
      <c r="Z99" s="4949">
        <f>+Z36</f>
        <v>200.05225261544237</v>
      </c>
      <c r="AA99" s="4952">
        <f>+AA36</f>
        <v>120.28014392236842</v>
      </c>
      <c r="AB99" s="4952">
        <f>+AB36</f>
        <v>149.35416297031119</v>
      </c>
      <c r="AC99" s="4947">
        <f>+AC36</f>
        <v>170.60964576248358</v>
      </c>
      <c r="AD99" s="4947">
        <f>+AD36</f>
        <v>202.95374326583689</v>
      </c>
      <c r="AE99" s="4950">
        <f>+AE36</f>
        <v>128.78048446786673</v>
      </c>
      <c r="AF99" s="4950">
        <f>+AF36</f>
        <v>156.25392335462516</v>
      </c>
      <c r="AG99" s="4953">
        <f>+AG36</f>
        <v>168.51648506196378</v>
      </c>
      <c r="AH99" s="4953">
        <f>+AH36</f>
        <v>196.05085662168287</v>
      </c>
      <c r="AI99" s="4950">
        <f>+AI36</f>
        <v>134.42969969794817</v>
      </c>
      <c r="AJ99" s="4950">
        <f>+AJ36</f>
        <v>161.63580447511626</v>
      </c>
      <c r="AK99" s="4953">
        <f>+AK36</f>
        <v>168.84793254155306</v>
      </c>
      <c r="AL99" s="4953">
        <f>+AL36</f>
        <v>196.51634401865195</v>
      </c>
      <c r="AM99" s="4949">
        <f>+AM36</f>
        <v>169.32808503640814</v>
      </c>
      <c r="AN99" s="4949">
        <f>+AN36</f>
        <v>198.23759416628499</v>
      </c>
      <c r="AO99" s="4951">
        <f>+AO36</f>
        <v>138.82489386233144</v>
      </c>
      <c r="AP99" s="4951">
        <f>+AP36</f>
        <v>165.73591447746821</v>
      </c>
      <c r="AQ99" s="4953">
        <f>+AQ36</f>
        <v>170.74460808184665</v>
      </c>
      <c r="AR99" s="4953">
        <f>+AR36</f>
        <v>208.99667194064051</v>
      </c>
      <c r="AS99" s="4950">
        <f>+AS36</f>
        <v>142.45260369411957</v>
      </c>
      <c r="AT99" s="4950">
        <f>+AT36</f>
        <v>170.35233294859609</v>
      </c>
      <c r="AU99" s="4953">
        <f>+AU36</f>
        <v>169.70928963419979</v>
      </c>
      <c r="AV99" s="4953">
        <f>+AV36</f>
        <v>203.64241565717845</v>
      </c>
      <c r="AW99" s="4950">
        <f>+AW36</f>
        <v>144.98032368280374</v>
      </c>
      <c r="AX99" s="4950">
        <f>+AX36</f>
        <v>173.14726495970365</v>
      </c>
      <c r="AY99" s="4953">
        <f>+AY36</f>
        <v>170.74460808184665</v>
      </c>
      <c r="AZ99" s="4953">
        <f>+AZ36</f>
        <v>217.40103415230053</v>
      </c>
      <c r="BA99" s="4948">
        <f>+BA36</f>
        <v>170.42345186098788</v>
      </c>
      <c r="BB99" s="4949">
        <f>+BB36</f>
        <v>210.41616804271175</v>
      </c>
      <c r="BC99" s="5004">
        <f>+BC36</f>
        <v>169.87115026446608</v>
      </c>
      <c r="BD99" s="5004">
        <f>+BD36</f>
        <v>204.42271588962782</v>
      </c>
      <c r="BE99" s="4951">
        <f>+BE36</f>
        <v>147.38859374689071</v>
      </c>
      <c r="BF99" s="4951">
        <f>+BF36</f>
        <v>177.21727714272362</v>
      </c>
      <c r="BG99" s="23"/>
      <c r="BH99" s="23"/>
      <c r="BI99" s="23"/>
      <c r="BJ99" s="23"/>
      <c r="BK99" s="23"/>
      <c r="BL99" s="23"/>
    </row>
    <row r="100" spans="2:64" x14ac:dyDescent="0.3">
      <c r="B100" s="2891" t="s">
        <v>2163</v>
      </c>
      <c r="C100" s="2892" t="s">
        <v>217</v>
      </c>
      <c r="D100" s="2446">
        <f>+D37</f>
        <v>0</v>
      </c>
      <c r="E100" s="2898">
        <f>+E37</f>
        <v>0</v>
      </c>
      <c r="F100" s="2898">
        <f>+F37</f>
        <v>5.6575805922355364</v>
      </c>
      <c r="G100" s="2898">
        <f>+G37</f>
        <v>0</v>
      </c>
      <c r="H100" s="2898">
        <f>+H37</f>
        <v>0</v>
      </c>
      <c r="I100" s="2444">
        <f>+I37</f>
        <v>0</v>
      </c>
      <c r="J100" s="2908">
        <f>+J37</f>
        <v>3.9362252780451126</v>
      </c>
      <c r="K100" s="2446">
        <f>+K37</f>
        <v>2.84</v>
      </c>
      <c r="L100" s="2898">
        <f>+L37</f>
        <v>2.4157927467749567</v>
      </c>
      <c r="M100" s="1175">
        <f>+M37</f>
        <v>1.1413732895929924</v>
      </c>
      <c r="N100" s="1175">
        <f>+N37</f>
        <v>3.289328621908127</v>
      </c>
      <c r="O100" s="2446">
        <f>+O37</f>
        <v>2.8418153129711574</v>
      </c>
      <c r="P100" s="2898">
        <f>+P37</f>
        <v>2.2012262538948635</v>
      </c>
      <c r="Q100" s="1173">
        <f>+Q37</f>
        <v>1.6327576879068084</v>
      </c>
      <c r="R100" s="1188">
        <f>+R37</f>
        <v>2.9516468005630356</v>
      </c>
      <c r="S100" s="2446">
        <f>+S37</f>
        <v>2.8418153129711574</v>
      </c>
      <c r="T100" s="2898">
        <f>+T37</f>
        <v>2.4348933527150494</v>
      </c>
      <c r="U100" s="1173">
        <f>+U37</f>
        <v>1.9038156730370137</v>
      </c>
      <c r="V100" s="1188">
        <f>+V37</f>
        <v>2.8327591362186086</v>
      </c>
      <c r="W100" s="2446">
        <f>+W37</f>
        <v>2.8277164807440918</v>
      </c>
      <c r="X100" s="2898">
        <f>+X37</f>
        <v>2.0998761953551912</v>
      </c>
      <c r="Y100" s="1175">
        <f>+Y37</f>
        <v>2.8387668976515616</v>
      </c>
      <c r="Z100" s="1186">
        <f>+Z37</f>
        <v>2.2458243325896277</v>
      </c>
      <c r="AA100" s="1114">
        <f>+AA37</f>
        <v>2.005515176936592</v>
      </c>
      <c r="AB100" s="1189">
        <f>+AB37</f>
        <v>2.6981352723964833</v>
      </c>
      <c r="AC100" s="2446">
        <f>+AC37</f>
        <v>2.8447525981502015</v>
      </c>
      <c r="AD100" s="2898">
        <f>+AD37</f>
        <v>3.1215997452296915</v>
      </c>
      <c r="AE100" s="1188">
        <f>+AE37</f>
        <v>2.1472571695655644</v>
      </c>
      <c r="AF100" s="1188">
        <f>+AF37</f>
        <v>2.7526469565870935</v>
      </c>
      <c r="AG100" s="2446">
        <f>+AG37</f>
        <v>2.8094871157169981</v>
      </c>
      <c r="AH100" s="2898">
        <f>+AH37</f>
        <v>2.9955817217631608</v>
      </c>
      <c r="AI100" s="1188">
        <f>+AI37</f>
        <v>2.2414055348182678</v>
      </c>
      <c r="AJ100" s="1188">
        <f>+AJ37</f>
        <v>2.7854998906923019</v>
      </c>
      <c r="AK100" s="2446">
        <f>+AK37</f>
        <v>2.8150713287523628</v>
      </c>
      <c r="AL100" s="2898">
        <f>+AL37</f>
        <v>3.515260054392273</v>
      </c>
      <c r="AM100" s="1175">
        <f>+AM37</f>
        <v>2.8231609175586043</v>
      </c>
      <c r="AN100" s="1186">
        <f>+AN37</f>
        <v>3.2148056092815112</v>
      </c>
      <c r="AO100" s="1188">
        <f>+AO37</f>
        <v>2.3146624205294679</v>
      </c>
      <c r="AP100" s="1188">
        <f>+AP37</f>
        <v>2.8712811597225505</v>
      </c>
      <c r="AQ100" s="2446">
        <f>+AQ37</f>
        <v>2.8470264375651158</v>
      </c>
      <c r="AR100" s="2898">
        <f>+AR37</f>
        <v>2.7060941677123682</v>
      </c>
      <c r="AS100" s="1188">
        <f>+AS37</f>
        <v>2.375166163307644</v>
      </c>
      <c r="AT100" s="1188">
        <f>+AT37</f>
        <v>2.8536538150845137</v>
      </c>
      <c r="AU100" s="2446">
        <f>+AU37</f>
        <v>2.8295834364046129</v>
      </c>
      <c r="AV100" s="2898">
        <f>+AV37</f>
        <v>2.0390921275798326</v>
      </c>
      <c r="AW100" s="1188">
        <f>+AW37</f>
        <v>2.4173077364591156</v>
      </c>
      <c r="AX100" s="1188">
        <f>+AX37</f>
        <v>2.78526574421794</v>
      </c>
      <c r="AY100" s="2446">
        <f>+AY37</f>
        <v>2.8470264375651158</v>
      </c>
      <c r="AZ100" s="2898">
        <f>+AZ37</f>
        <v>2.4669060732752723</v>
      </c>
      <c r="BA100" s="1175">
        <f>+BA37</f>
        <v>2.8416156112190056</v>
      </c>
      <c r="BB100" s="1186">
        <f>+BB37</f>
        <v>2.4226057098489147</v>
      </c>
      <c r="BC100" s="1189">
        <f>+BC37</f>
        <v>2.832310457417337</v>
      </c>
      <c r="BD100" s="1189">
        <f>+BD37</f>
        <v>2.8124717353051101</v>
      </c>
      <c r="BE100" s="1188">
        <f>+BE37</f>
        <v>2.4574749178107678</v>
      </c>
      <c r="BF100" s="1188">
        <f>+BF37</f>
        <v>2.7559862554205057</v>
      </c>
      <c r="BG100" s="23"/>
      <c r="BH100" s="23"/>
      <c r="BI100" s="23"/>
      <c r="BJ100" s="23"/>
      <c r="BK100" s="23"/>
      <c r="BL100" s="23"/>
    </row>
    <row r="101" spans="2:64" x14ac:dyDescent="0.3">
      <c r="B101" s="2442" t="s">
        <v>44</v>
      </c>
      <c r="C101" s="2892" t="s">
        <v>217</v>
      </c>
      <c r="D101" s="2446">
        <f>+D56</f>
        <v>22.433700224115288</v>
      </c>
      <c r="E101" s="2446">
        <f>+E56</f>
        <v>22.433700224115292</v>
      </c>
      <c r="F101" s="2898">
        <f>+F56</f>
        <v>19.612003122984486</v>
      </c>
      <c r="G101" s="2446">
        <f>+G56</f>
        <v>22.433700224115292</v>
      </c>
      <c r="H101" s="2898">
        <f>+H56</f>
        <v>13.829862930404353</v>
      </c>
      <c r="I101" s="2444">
        <f>+I56</f>
        <v>22.433700224115295</v>
      </c>
      <c r="J101" s="2444">
        <f>+J56</f>
        <v>17.852749748573611</v>
      </c>
      <c r="K101" s="2446">
        <f>+K56</f>
        <v>22.45868048610533</v>
      </c>
      <c r="L101" s="2446">
        <f>+L56</f>
        <v>21.997267948356782</v>
      </c>
      <c r="M101" s="2445">
        <f>+M56</f>
        <v>22.443739591651376</v>
      </c>
      <c r="N101" s="2445">
        <f>+N56</f>
        <v>19.616113074204947</v>
      </c>
      <c r="O101" s="2446">
        <f>+O56</f>
        <v>22.458680486105333</v>
      </c>
      <c r="P101" s="2446">
        <f>+P56</f>
        <v>20.06231782088652</v>
      </c>
      <c r="Q101" s="2444">
        <f>+Q56</f>
        <v>22.448057129286052</v>
      </c>
      <c r="R101" s="2894">
        <f>+R56</f>
        <v>19.754588309607083</v>
      </c>
      <c r="S101" s="2446">
        <f>+S56</f>
        <v>22.458680486105333</v>
      </c>
      <c r="T101" s="2446">
        <f>+T56</f>
        <v>19.147709034158968</v>
      </c>
      <c r="U101" s="2444">
        <f>+U56</f>
        <v>22.450438773994343</v>
      </c>
      <c r="V101" s="2444">
        <f>+V56</f>
        <v>19.614965710285237</v>
      </c>
      <c r="W101" s="2446">
        <f>+W56</f>
        <v>22.45868048610533</v>
      </c>
      <c r="X101" s="2446">
        <f>+X56</f>
        <v>18.909558572404372</v>
      </c>
      <c r="Y101" s="2445">
        <f>+Y56</f>
        <v>22.458680486105333</v>
      </c>
      <c r="Z101" s="1186">
        <f>+Z56</f>
        <v>19.385374285311393</v>
      </c>
      <c r="AA101" s="1114">
        <f>+AA56</f>
        <v>22.451345990468209</v>
      </c>
      <c r="AB101" s="1189">
        <f>+AB56</f>
        <v>19.485388899072586</v>
      </c>
      <c r="AC101" s="2446">
        <f>+AC56</f>
        <v>22.458680486105333</v>
      </c>
      <c r="AD101" s="2446">
        <f>+AD56</f>
        <v>16.002760011676973</v>
      </c>
      <c r="AE101" s="2894">
        <f>+AE56</f>
        <v>22.452584741267749</v>
      </c>
      <c r="AF101" s="2894">
        <f>+AF56</f>
        <v>19.037077462713718</v>
      </c>
      <c r="AG101" s="2446">
        <f>+AG56</f>
        <v>22.458680486105333</v>
      </c>
      <c r="AH101" s="2446">
        <f>+AH56</f>
        <v>19.270574485398928</v>
      </c>
      <c r="AI101" s="2894">
        <f>+AI56</f>
        <v>22.453451365338125</v>
      </c>
      <c r="AJ101" s="2894">
        <f>+AJ56</f>
        <v>19.068654097266126</v>
      </c>
      <c r="AK101" s="2446">
        <f>+AK56</f>
        <v>22.458680486105333</v>
      </c>
      <c r="AL101" s="2446">
        <f>+AL56</f>
        <v>20.725618427946873</v>
      </c>
      <c r="AM101" s="2445">
        <f>+AM56</f>
        <v>22.458680486105333</v>
      </c>
      <c r="AN101" s="2445">
        <f>+AN56</f>
        <v>18.823046636074473</v>
      </c>
      <c r="AO101" s="2894">
        <f>+AO56</f>
        <v>22.454119121907304</v>
      </c>
      <c r="AP101" s="2894">
        <f>+AP56</f>
        <v>19.263425626453195</v>
      </c>
      <c r="AQ101" s="2446">
        <f>+AQ56</f>
        <v>22.45868048610533</v>
      </c>
      <c r="AR101" s="2446">
        <f>+AR56</f>
        <v>20.399367123138195</v>
      </c>
      <c r="AS101" s="2894">
        <f>+AS56</f>
        <v>22.454637525851453</v>
      </c>
      <c r="AT101" s="2894">
        <f>+AT56</f>
        <v>19.384643598928172</v>
      </c>
      <c r="AU101" s="2446">
        <f>+AU56</f>
        <v>22.458680486105333</v>
      </c>
      <c r="AV101" s="2898">
        <f>+AV56</f>
        <v>19.082345019469837</v>
      </c>
      <c r="AW101" s="2894">
        <f>+AW56</f>
        <v>22.455012460334306</v>
      </c>
      <c r="AX101" s="2894">
        <f>+AX56</f>
        <v>19.359263548537889</v>
      </c>
      <c r="AY101" s="2446">
        <f>+AY56</f>
        <v>22.45868048610533</v>
      </c>
      <c r="AZ101" s="2898">
        <f>+AZ56</f>
        <v>17.594806070115951</v>
      </c>
      <c r="BA101" s="1175">
        <f>+BA56</f>
        <v>22.45868048610533</v>
      </c>
      <c r="BB101" s="1186">
        <f>+BB56</f>
        <v>19.004875364427367</v>
      </c>
      <c r="BC101" s="1189">
        <f>+BC56</f>
        <v>22.45868048610533</v>
      </c>
      <c r="BD101" s="1189">
        <f>+BD56</f>
        <v>18.915391834212997</v>
      </c>
      <c r="BE101" s="1188">
        <f>+BE56</f>
        <v>22.455355322434485</v>
      </c>
      <c r="BF101" s="1188">
        <f>+BF56</f>
        <v>19.196986672135701</v>
      </c>
      <c r="BG101" s="23"/>
      <c r="BH101" s="23"/>
      <c r="BI101" s="491"/>
      <c r="BJ101" s="23"/>
      <c r="BK101" s="23"/>
      <c r="BL101" s="23"/>
    </row>
    <row r="102" spans="2:64" x14ac:dyDescent="0.3">
      <c r="B102" s="2891" t="s">
        <v>1772</v>
      </c>
      <c r="C102" s="2892" t="s">
        <v>217</v>
      </c>
      <c r="D102" s="2446">
        <f>+D61</f>
        <v>6</v>
      </c>
      <c r="E102" s="2446">
        <f>+E61</f>
        <v>6</v>
      </c>
      <c r="F102" s="2898">
        <f>+F61</f>
        <v>1.4709709539812394</v>
      </c>
      <c r="G102" s="2446">
        <f>+G61</f>
        <v>6</v>
      </c>
      <c r="H102" s="2898">
        <f>+H61</f>
        <v>0</v>
      </c>
      <c r="I102" s="2444">
        <f>+I61</f>
        <v>6.0000000000000009</v>
      </c>
      <c r="J102" s="2908">
        <f>+J61</f>
        <v>1.0234185722917293</v>
      </c>
      <c r="K102" s="2923">
        <f>+K61</f>
        <v>6</v>
      </c>
      <c r="L102" s="2923">
        <f>+L61</f>
        <v>1.8257971584536801</v>
      </c>
      <c r="M102" s="1192">
        <f>+M61</f>
        <v>6</v>
      </c>
      <c r="N102" s="1192">
        <f>+N61</f>
        <v>1.3648056537102473</v>
      </c>
      <c r="O102" s="2923">
        <f>+O61</f>
        <v>5.9999999999999991</v>
      </c>
      <c r="P102" s="2923">
        <f>+P61</f>
        <v>0.85687003718966726</v>
      </c>
      <c r="Q102" s="1188">
        <f>+Q61</f>
        <v>5.9999999999999991</v>
      </c>
      <c r="R102" s="1188">
        <f>+R61</f>
        <v>1.207172852647709</v>
      </c>
      <c r="S102" s="2923">
        <f>+S61</f>
        <v>5.9999999999999991</v>
      </c>
      <c r="T102" s="2923">
        <f>+T61</f>
        <v>1.999065710803567</v>
      </c>
      <c r="U102" s="1188">
        <f>+U61</f>
        <v>5.9999999999999982</v>
      </c>
      <c r="V102" s="1173">
        <f>+V61</f>
        <v>1.3893608819859815</v>
      </c>
      <c r="W102" s="2923">
        <f>+W61</f>
        <v>5.9999999999999991</v>
      </c>
      <c r="X102" s="2923">
        <f>+X61</f>
        <v>1.1286501024590165</v>
      </c>
      <c r="Y102" s="1175">
        <f>+Y61</f>
        <v>5.9999999999999991</v>
      </c>
      <c r="Z102" s="1186">
        <f>+Z61</f>
        <v>1.3236175766032858</v>
      </c>
      <c r="AA102" s="1189">
        <f>+AA61</f>
        <v>5.9999999999999982</v>
      </c>
      <c r="AB102" s="1114">
        <f>+AB61</f>
        <v>1.3414707067300953</v>
      </c>
      <c r="AC102" s="2923">
        <f>+AC61</f>
        <v>6</v>
      </c>
      <c r="AD102" s="2923">
        <f>+AD61</f>
        <v>1.5392372813884982</v>
      </c>
      <c r="AE102" s="1188">
        <f>+AE61</f>
        <v>5.9999999999999973</v>
      </c>
      <c r="AF102" s="1188">
        <f>+AF61</f>
        <v>1.3669287787830107</v>
      </c>
      <c r="AG102" s="2923">
        <f>+AG61</f>
        <v>6</v>
      </c>
      <c r="AH102" s="2923">
        <f>+AH61</f>
        <v>0.83286456256860886</v>
      </c>
      <c r="AI102" s="1188">
        <f>+AI61</f>
        <v>5.9999999999999982</v>
      </c>
      <c r="AJ102" s="1188">
        <f>+AJ61</f>
        <v>1.2947053714393755</v>
      </c>
      <c r="AK102" s="2923">
        <f>+AK61</f>
        <v>6</v>
      </c>
      <c r="AL102" s="2923">
        <f>+AL61</f>
        <v>2.1374333611486138</v>
      </c>
      <c r="AM102" s="1175">
        <f>+AM61</f>
        <v>6</v>
      </c>
      <c r="AN102" s="1175">
        <f>+AN61</f>
        <v>1.4975198542932631</v>
      </c>
      <c r="AO102" s="1188">
        <f>+AO61</f>
        <v>5.9999999999999982</v>
      </c>
      <c r="AP102" s="1188">
        <f>+AP61</f>
        <v>1.3937656928990294</v>
      </c>
      <c r="AQ102" s="2923">
        <f>+AQ61</f>
        <v>6</v>
      </c>
      <c r="AR102" s="2923">
        <f>+AR61</f>
        <v>3.9936712313819629</v>
      </c>
      <c r="AS102" s="1188">
        <f>+AS61</f>
        <v>5.9999999999999982</v>
      </c>
      <c r="AT102" s="1188">
        <f>+AT61</f>
        <v>1.671205401652575</v>
      </c>
      <c r="AU102" s="2898">
        <f>+AU61</f>
        <v>5.9999999999999991</v>
      </c>
      <c r="AV102" s="2898">
        <f>+AV61</f>
        <v>3.1412182463807703</v>
      </c>
      <c r="AW102" s="1188">
        <f>+AW61</f>
        <v>5.9999999999999982</v>
      </c>
      <c r="AX102" s="1188">
        <f>+AX61</f>
        <v>1.7946231171456908</v>
      </c>
      <c r="AY102" s="2898">
        <f>+AY61</f>
        <v>6</v>
      </c>
      <c r="AZ102" s="2898">
        <f>+AZ61</f>
        <v>2.2115273228935202</v>
      </c>
      <c r="BA102" s="1175">
        <f>+BA61</f>
        <v>6.0000000000000009</v>
      </c>
      <c r="BB102" s="1175">
        <f>+BB61</f>
        <v>3.1029329453646346</v>
      </c>
      <c r="BC102" s="1189">
        <f>+BC61</f>
        <v>6</v>
      </c>
      <c r="BD102" s="1189">
        <f>+BD61</f>
        <v>2.3128596046842942</v>
      </c>
      <c r="BE102" s="1188">
        <f>+BE61</f>
        <v>5.9999999999999982</v>
      </c>
      <c r="BF102" s="1188">
        <f>+BF61</f>
        <v>1.832965731289161</v>
      </c>
      <c r="BG102" s="23"/>
      <c r="BH102" s="23"/>
      <c r="BI102" s="23"/>
      <c r="BJ102" s="23"/>
      <c r="BK102" s="23"/>
      <c r="BL102" s="23"/>
    </row>
    <row r="103" spans="2:64" ht="16.2" thickBot="1" x14ac:dyDescent="0.35">
      <c r="B103" s="2915" t="s">
        <v>21</v>
      </c>
      <c r="C103" s="2916" t="s">
        <v>217</v>
      </c>
      <c r="D103" s="2097">
        <f>SUM(D87:D102)</f>
        <v>1243.9756412087777</v>
      </c>
      <c r="E103" s="2097">
        <f>SUM(E87:E102)</f>
        <v>1243.9756412087779</v>
      </c>
      <c r="F103" s="2097">
        <f>SUM(F87:F102)</f>
        <v>1270.3276870679024</v>
      </c>
      <c r="G103" s="2097">
        <f>SUM(G87:G102)</f>
        <v>1243.9756412087777</v>
      </c>
      <c r="H103" s="2097">
        <f>SUM(H87:H102)</f>
        <v>1263.5436274604929</v>
      </c>
      <c r="I103" s="342">
        <f>SUM(I87:I102)</f>
        <v>1243.9756412087779</v>
      </c>
      <c r="J103" s="2861">
        <f>SUM(J87:J102)</f>
        <v>1268.2635932619698</v>
      </c>
      <c r="K103" s="2097">
        <f>SUM(K87:K102)</f>
        <v>1249.9086439182636</v>
      </c>
      <c r="L103" s="2097">
        <f>SUM(L87:L102)</f>
        <v>1243.6602050633317</v>
      </c>
      <c r="M103" s="1382">
        <f>SUM(M87:M102)</f>
        <v>1246.3600675537393</v>
      </c>
      <c r="N103" s="1382">
        <f>SUM(N87:N102)</f>
        <v>1256.7734275618375</v>
      </c>
      <c r="O103" s="2097">
        <f>SUM(O87:O102)</f>
        <v>1250.0182059996962</v>
      </c>
      <c r="P103" s="2097">
        <f>SUM(P87:P102)</f>
        <v>1267.8007839983925</v>
      </c>
      <c r="Q103" s="187">
        <f>SUM(Q87:Q102)</f>
        <v>1247.4171763139921</v>
      </c>
      <c r="R103" s="187">
        <f>SUM(R87:R102)</f>
        <v>1260.1956587007298</v>
      </c>
      <c r="S103" s="2097">
        <f>SUM(S87:S102)</f>
        <v>1250.0182059996962</v>
      </c>
      <c r="T103" s="2097">
        <f>SUM(T87:T102)</f>
        <v>1271.2726950067724</v>
      </c>
      <c r="U103" s="187">
        <f>SUM(U87:U102)</f>
        <v>1248.0002997741606</v>
      </c>
      <c r="V103" s="187">
        <f>SUM(V87:V102)</f>
        <v>1262.7441138291242</v>
      </c>
      <c r="W103" s="2097">
        <f>SUM(W87:W102)</f>
        <v>1249.1672797797585</v>
      </c>
      <c r="X103" s="2097">
        <f>SUM(X87:X102)</f>
        <v>1262.3564506489072</v>
      </c>
      <c r="Y103" s="187">
        <f>SUM(Y87:Y102)</f>
        <v>1249.834220795608</v>
      </c>
      <c r="Z103" s="187">
        <f>SUM(Z87:Z102)</f>
        <v>1267.1864821445715</v>
      </c>
      <c r="AA103" s="187">
        <f>SUM(AA87:AA102)</f>
        <v>1248.1287565160965</v>
      </c>
      <c r="AB103" s="187">
        <f>SUM(AB87:AB102)</f>
        <v>1262.6729036640727</v>
      </c>
      <c r="AC103" s="2097">
        <f>SUM(AC87:AC102)</f>
        <v>1250.1954840135081</v>
      </c>
      <c r="AD103" s="2097">
        <f>SUM(AD87:AD102)</f>
        <v>1308.2919773891356</v>
      </c>
      <c r="AE103" s="231">
        <f>SUM(AE87:AE102)</f>
        <v>1248.4778139655134</v>
      </c>
      <c r="AF103" s="231">
        <f>SUM(AF87:AF102)</f>
        <v>1268.5453503496965</v>
      </c>
      <c r="AG103" s="2097">
        <f>SUM(AG87:AG102)</f>
        <v>1248.0670578305549</v>
      </c>
      <c r="AH103" s="2097">
        <f>SUM(AH87:AH102)</f>
        <v>1282.7534229368173</v>
      </c>
      <c r="AI103" s="231">
        <f>SUM(AI87:AI102)</f>
        <v>1248.4194173030724</v>
      </c>
      <c r="AJ103" s="231">
        <f>SUM(AJ87:AJ102)</f>
        <v>1270.466758642694</v>
      </c>
      <c r="AK103" s="2097">
        <f>SUM(AK87:AK102)</f>
        <v>1248.4040895231794</v>
      </c>
      <c r="AL103" s="2097">
        <f>SUM(AL87:AL102)</f>
        <v>1291.4172763388067</v>
      </c>
      <c r="AM103" s="2065">
        <f>SUM(AM87:AM102)</f>
        <v>1248.8923316068408</v>
      </c>
      <c r="AN103" s="2065">
        <f>SUM(AN87:AN102)</f>
        <v>1293.2785668929475</v>
      </c>
      <c r="AO103" s="231">
        <f>SUM(AO87:AO102)</f>
        <v>1248.4174599518904</v>
      </c>
      <c r="AP103" s="231">
        <f>SUM(AP87:AP102)</f>
        <v>1272.9294334832898</v>
      </c>
      <c r="AQ103" s="2097">
        <f>SUM(AQ87:AQ102)</f>
        <v>1250.3327201722857</v>
      </c>
      <c r="AR103" s="2097">
        <f>SUM(AR87:AR102)</f>
        <v>1299.8581482895954</v>
      </c>
      <c r="AS103" s="231">
        <f>SUM(AS87:AS102)</f>
        <v>1248.6351313346654</v>
      </c>
      <c r="AT103" s="231">
        <f>SUM(AT87:AT102)</f>
        <v>1275.8030358824478</v>
      </c>
      <c r="AU103" s="2097">
        <f>SUM(AU87:AU102)</f>
        <v>1249.2799587234786</v>
      </c>
      <c r="AV103" s="2097">
        <f>SUM(AV87:AV102)</f>
        <v>1287.2066978776925</v>
      </c>
      <c r="AW103" s="231">
        <f>SUM(AW87:AW102)</f>
        <v>1248.694931087414</v>
      </c>
      <c r="AX103" s="231">
        <f>SUM(AX87:AX102)</f>
        <v>1276.7604519463662</v>
      </c>
      <c r="AY103" s="2097">
        <f>SUM(AY87:AY102)</f>
        <v>1250.3327201722857</v>
      </c>
      <c r="AZ103" s="2097">
        <f>SUM(AZ87:AZ102)</f>
        <v>1298.5851490674727</v>
      </c>
      <c r="BA103" s="1382">
        <f>SUM(BA87:BA102)</f>
        <v>1250.0061531250808</v>
      </c>
      <c r="BB103" s="1382">
        <f>SUM(BB87:BB102)</f>
        <v>1295.649184832283</v>
      </c>
      <c r="BC103" s="5005">
        <f>SUM(BC87:BC102)</f>
        <v>1249.4445463747575</v>
      </c>
      <c r="BD103" s="5005">
        <f>SUM(BD87:BD102)</f>
        <v>1294.482530564155</v>
      </c>
      <c r="BE103" s="746">
        <f>SUM(BE87:BE102)</f>
        <v>1248.8480204712798</v>
      </c>
      <c r="BF103" s="746">
        <f>SUM(BF87:BF102)</f>
        <v>1278.7676659033748</v>
      </c>
      <c r="BG103" s="23"/>
      <c r="BH103" s="23"/>
      <c r="BI103" s="23"/>
      <c r="BJ103" s="23"/>
      <c r="BK103" s="23"/>
      <c r="BL103" s="23"/>
    </row>
    <row r="104" spans="2:64" ht="17.399999999999999" x14ac:dyDescent="0.3">
      <c r="B104" s="2887" t="s">
        <v>415</v>
      </c>
      <c r="C104" s="2888"/>
      <c r="D104" s="2241"/>
      <c r="E104" s="2889"/>
      <c r="F104" s="2889"/>
      <c r="G104" s="2889"/>
      <c r="H104" s="2889"/>
      <c r="I104" s="2889"/>
      <c r="J104" s="2890"/>
      <c r="K104" s="2889"/>
      <c r="L104" s="2889"/>
      <c r="M104" s="1190"/>
      <c r="N104" s="1170"/>
      <c r="O104" s="2889"/>
      <c r="P104" s="2889"/>
      <c r="Q104" s="1190"/>
      <c r="R104" s="1170"/>
      <c r="S104" s="2889"/>
      <c r="T104" s="2889"/>
      <c r="U104" s="1190"/>
      <c r="V104" s="1170"/>
      <c r="W104" s="2889"/>
      <c r="X104" s="2889"/>
      <c r="Y104" s="1190"/>
      <c r="Z104" s="1170"/>
      <c r="AA104" s="1170"/>
      <c r="AB104" s="1170"/>
      <c r="AC104" s="2889"/>
      <c r="AD104" s="2889"/>
      <c r="AE104" s="1190"/>
      <c r="AF104" s="1170"/>
      <c r="AG104" s="2889"/>
      <c r="AH104" s="2889"/>
      <c r="AI104" s="1190"/>
      <c r="AJ104" s="1170"/>
      <c r="AK104" s="2889"/>
      <c r="AL104" s="2889"/>
      <c r="AM104" s="1190"/>
      <c r="AN104" s="1170"/>
      <c r="AO104" s="1190"/>
      <c r="AP104" s="1170"/>
      <c r="AQ104" s="2889"/>
      <c r="AR104" s="2889"/>
      <c r="AS104" s="1190"/>
      <c r="AT104" s="1170"/>
      <c r="AU104" s="2889"/>
      <c r="AV104" s="2889"/>
      <c r="AW104" s="1190"/>
      <c r="AX104" s="1170"/>
      <c r="AY104" s="2889"/>
      <c r="AZ104" s="2889"/>
      <c r="BA104" s="1190"/>
      <c r="BB104" s="1170"/>
      <c r="BC104" s="1170"/>
      <c r="BD104" s="1170"/>
      <c r="BE104" s="1190"/>
      <c r="BF104" s="1170"/>
      <c r="BG104" s="23"/>
      <c r="BH104" s="23"/>
      <c r="BI104" s="23"/>
      <c r="BJ104" s="23"/>
      <c r="BK104" s="23"/>
      <c r="BL104" s="23"/>
    </row>
    <row r="105" spans="2:64" ht="17.399999999999999" x14ac:dyDescent="0.3">
      <c r="B105" s="6543"/>
      <c r="C105" s="6544"/>
      <c r="D105" s="6545"/>
      <c r="E105" s="6546"/>
      <c r="F105" s="6546"/>
      <c r="G105" s="6546"/>
      <c r="H105" s="6546"/>
      <c r="I105" s="6546"/>
      <c r="J105" s="6547"/>
      <c r="K105" s="6546"/>
      <c r="L105" s="6546"/>
      <c r="M105" s="6548"/>
      <c r="N105" s="6549"/>
      <c r="O105" s="6546"/>
      <c r="P105" s="6546"/>
      <c r="Q105" s="6548"/>
      <c r="R105" s="6549"/>
      <c r="S105" s="6546"/>
      <c r="T105" s="6546"/>
      <c r="U105" s="6548"/>
      <c r="V105" s="6549"/>
      <c r="W105" s="6546"/>
      <c r="X105" s="6546"/>
      <c r="Y105" s="6548"/>
      <c r="Z105" s="6549"/>
      <c r="AA105" s="6549"/>
      <c r="AB105" s="6549"/>
      <c r="AC105" s="6546"/>
      <c r="AD105" s="6546"/>
      <c r="AE105" s="6548"/>
      <c r="AF105" s="6549"/>
      <c r="AG105" s="6546"/>
      <c r="AH105" s="6546"/>
      <c r="AI105" s="6548"/>
      <c r="AJ105" s="6549"/>
      <c r="AK105" s="6546"/>
      <c r="AL105" s="6546"/>
      <c r="AM105" s="6548"/>
      <c r="AN105" s="6549"/>
      <c r="AO105" s="6548"/>
      <c r="AP105" s="6549"/>
      <c r="AQ105" s="6546"/>
      <c r="AR105" s="6546"/>
      <c r="AS105" s="6548"/>
      <c r="AT105" s="6549"/>
      <c r="AU105" s="6546"/>
      <c r="AV105" s="6546"/>
      <c r="AW105" s="6548"/>
      <c r="AX105" s="6549"/>
      <c r="AY105" s="6546"/>
      <c r="AZ105" s="6546"/>
      <c r="BA105" s="6548"/>
      <c r="BB105" s="6549"/>
      <c r="BC105" s="6549"/>
      <c r="BD105" s="6549"/>
      <c r="BE105" s="6548"/>
      <c r="BF105" s="6549"/>
      <c r="BG105" s="23"/>
      <c r="BH105" s="23"/>
      <c r="BI105" s="23"/>
      <c r="BJ105" s="23"/>
      <c r="BK105" s="23"/>
      <c r="BL105" s="23"/>
    </row>
    <row r="106" spans="2:64" x14ac:dyDescent="0.3">
      <c r="B106" s="2922" t="s">
        <v>408</v>
      </c>
      <c r="C106" s="2892" t="s">
        <v>49</v>
      </c>
      <c r="D106" s="2580">
        <v>55.153754642683637</v>
      </c>
      <c r="E106" s="2898">
        <f>+$D$106</f>
        <v>55.153754642683637</v>
      </c>
      <c r="F106" s="2898">
        <v>56.6</v>
      </c>
      <c r="G106" s="2898">
        <f>+$D$106</f>
        <v>55.153754642683637</v>
      </c>
      <c r="H106" s="2898">
        <v>56.08</v>
      </c>
      <c r="I106" s="2894">
        <f>+$D$106</f>
        <v>55.153754642683637</v>
      </c>
      <c r="J106" s="2895">
        <f>+((F106*F$67)+(H106*H$67))/J$67</f>
        <v>56.441786652653711</v>
      </c>
      <c r="K106" s="2898">
        <f>+$D$106</f>
        <v>55.153754642683637</v>
      </c>
      <c r="L106" s="2923">
        <v>56.59</v>
      </c>
      <c r="M106" s="1186">
        <f>+$D$106</f>
        <v>55.153754642683637</v>
      </c>
      <c r="N106" s="1192">
        <f>+((F106*F$67)+(H106*H$67)+(L106*L$67))/N$67</f>
        <v>56.504846812720857</v>
      </c>
      <c r="O106" s="2898">
        <f>+$D$106</f>
        <v>55.153754642683637</v>
      </c>
      <c r="P106" s="2923">
        <v>55.77</v>
      </c>
      <c r="Q106" s="1188">
        <f>+$D$106</f>
        <v>55.153754642683637</v>
      </c>
      <c r="R106" s="1184">
        <f>+((N106*N$67)+(P106*P$67))/R$67</f>
        <v>56.276794363407383</v>
      </c>
      <c r="S106" s="2898">
        <f>+$D$106</f>
        <v>55.153754642683637</v>
      </c>
      <c r="T106" s="2923">
        <v>56.09</v>
      </c>
      <c r="U106" s="1188">
        <f>+$D$106</f>
        <v>55.153754642683637</v>
      </c>
      <c r="V106" s="1188">
        <f>+((R106*R$67)+(T106*T$67))/V$67</f>
        <v>56.233819235383194</v>
      </c>
      <c r="W106" s="2898">
        <f>+$D$106</f>
        <v>55.153754642683637</v>
      </c>
      <c r="X106" s="2923">
        <v>55.81</v>
      </c>
      <c r="Y106" s="1186">
        <f>+$D$106</f>
        <v>55.153754642683637</v>
      </c>
      <c r="Z106" s="1192">
        <f t="shared" ref="Z106:Z113" si="341">+((P106*P$67)+(T106*T$67)+(X106*X$67))/Z$67</f>
        <v>55.889046545487894</v>
      </c>
      <c r="AA106" s="1189">
        <f>+$D$106</f>
        <v>55.153754642683637</v>
      </c>
      <c r="AB106" s="1189">
        <f t="shared" ref="AB106:AB113" si="342">+((N106*N$67)+(Z106*Z$67))/AB$67</f>
        <v>56.155967535134572</v>
      </c>
      <c r="AC106" s="2898">
        <f>+$D$106</f>
        <v>55.153754642683637</v>
      </c>
      <c r="AD106" s="2923">
        <v>55.81</v>
      </c>
      <c r="AE106" s="1188">
        <f>+$D$106</f>
        <v>55.153754642683637</v>
      </c>
      <c r="AF106" s="1184">
        <f>+((AB106*AB$67)+(AD106*AD$67))/AF$67</f>
        <v>56.111431867503988</v>
      </c>
      <c r="AG106" s="2898">
        <f>+$D$106</f>
        <v>55.153754642683637</v>
      </c>
      <c r="AH106" s="2923">
        <v>55.81</v>
      </c>
      <c r="AI106" s="1188">
        <f>+$D$106</f>
        <v>55.153754642683637</v>
      </c>
      <c r="AJ106" s="1184">
        <f>+((AF106*AF$67)+(AH106*AH$67))/AJ$67</f>
        <v>56.07066816176949</v>
      </c>
      <c r="AK106" s="2898">
        <f>+$D$106</f>
        <v>55.153754642683637</v>
      </c>
      <c r="AL106" s="2923">
        <v>53.71</v>
      </c>
      <c r="AM106" s="1186">
        <f>+$D$106</f>
        <v>55.153754642683637</v>
      </c>
      <c r="AN106" s="1192">
        <f t="shared" ref="AN106:AN108" si="343">+((AD106*AD$67)+(AH106*AH$67)+(AL106*AL$67))/AN$67</f>
        <v>55.073397891997701</v>
      </c>
      <c r="AO106" s="1188">
        <f>+$D$106</f>
        <v>55.153754642683637</v>
      </c>
      <c r="AP106" s="1184">
        <f t="shared" ref="AP106:AP113" si="344">+((AL106*AL$67)+(AJ106*AJ$67))/AP$67</f>
        <v>55.793178212675542</v>
      </c>
      <c r="AQ106" s="2898">
        <f>+$D$106</f>
        <v>55.153754642683637</v>
      </c>
      <c r="AR106" s="2923">
        <v>54.17</v>
      </c>
      <c r="AS106" s="1188">
        <f>+$D$106</f>
        <v>55.153754642683637</v>
      </c>
      <c r="AT106" s="1188">
        <f>+((AP106*AP$67)+(AR106*AR$67))/AT$67</f>
        <v>55.619966500205955</v>
      </c>
      <c r="AU106" s="2898">
        <f>+$D$106</f>
        <v>55.153754642683637</v>
      </c>
      <c r="AV106" s="2898">
        <v>55.25</v>
      </c>
      <c r="AW106" s="1188">
        <f>+$D$106</f>
        <v>55.153754642683637</v>
      </c>
      <c r="AX106" s="1188">
        <f>+((AT106*AT$67)+(AV106*AV$67))/AX$67</f>
        <v>55.588905261232327</v>
      </c>
      <c r="AY106" s="2898">
        <f>+$D$106</f>
        <v>55.153754642683637</v>
      </c>
      <c r="AZ106" s="2898">
        <v>55.76</v>
      </c>
      <c r="BA106" s="1186">
        <f>+$D$106</f>
        <v>55.153754642683637</v>
      </c>
      <c r="BB106" s="1186">
        <f t="shared" ref="BB106:BB108" si="345">+((AR106*AR$67)+(AV106*AV$67)+(AZ106*AZ$67))/BB$67</f>
        <v>55.059476223411167</v>
      </c>
      <c r="BC106" s="1189">
        <f>+$D$106</f>
        <v>55.153754642683637</v>
      </c>
      <c r="BD106" s="1189">
        <f t="shared" ref="BD106:BD113" si="346">+((AN106*AN$67)+(BB106*BB$67))/BD$67</f>
        <v>55.066327506279841</v>
      </c>
      <c r="BE106" s="1188">
        <f>+$D$106</f>
        <v>55.153754642683637</v>
      </c>
      <c r="BF106" s="1184">
        <f>+((AX106*AX$67)+(AZ106*AZ$67))/BF$67</f>
        <v>55.604640817410704</v>
      </c>
      <c r="BJ106" s="23"/>
      <c r="BK106" s="23"/>
      <c r="BL106" s="23"/>
    </row>
    <row r="107" spans="2:64" x14ac:dyDescent="0.3">
      <c r="B107" s="2922" t="s">
        <v>409</v>
      </c>
      <c r="C107" s="2892" t="s">
        <v>49</v>
      </c>
      <c r="D107" s="2580" t="s">
        <v>2222</v>
      </c>
      <c r="E107" s="2898" t="str">
        <f>+$D$107</f>
        <v>10.0-10.5</v>
      </c>
      <c r="F107" s="2898">
        <v>9.41</v>
      </c>
      <c r="G107" s="2898" t="str">
        <f>+$D$107</f>
        <v>10.0-10.5</v>
      </c>
      <c r="H107" s="2898">
        <v>9.59</v>
      </c>
      <c r="I107" s="2894" t="str">
        <f>+$D$107</f>
        <v>10.0-10.5</v>
      </c>
      <c r="J107" s="2895">
        <f t="shared" ref="J107:J113" si="347">+((F107*F$67)+(H107*H$67))/J$67</f>
        <v>9.4647661586967953</v>
      </c>
      <c r="K107" s="2898" t="str">
        <f>+$D$107</f>
        <v>10.0-10.5</v>
      </c>
      <c r="L107" s="2924">
        <v>10.02</v>
      </c>
      <c r="M107" s="1176" t="str">
        <f>+$D$107</f>
        <v>10.0-10.5</v>
      </c>
      <c r="N107" s="1192">
        <f>+((F107*F$67)+(H107*H$67)+(L107*L$67))/N$67</f>
        <v>9.7010008537102479</v>
      </c>
      <c r="O107" s="2898" t="str">
        <f>+$D$107</f>
        <v>10.0-10.5</v>
      </c>
      <c r="P107" s="2924">
        <v>9.9600000000000009</v>
      </c>
      <c r="Q107" s="1174" t="str">
        <f>+$D$107</f>
        <v>10.0-10.5</v>
      </c>
      <c r="R107" s="1184">
        <f t="shared" ref="R107:R113" si="348">+((N107*N$67)+(P107*P$67))/R$67</f>
        <v>9.7813786802980509</v>
      </c>
      <c r="S107" s="2898" t="str">
        <f>+$D$107</f>
        <v>10.0-10.5</v>
      </c>
      <c r="T107" s="2924">
        <v>9.98</v>
      </c>
      <c r="U107" s="1174" t="str">
        <f>+$D$107</f>
        <v>10.0-10.5</v>
      </c>
      <c r="V107" s="1188">
        <f t="shared" ref="V107:V113" si="349">+((R107*R$67)+(T107*T$67))/V$67</f>
        <v>9.8270747949281727</v>
      </c>
      <c r="W107" s="2898" t="str">
        <f>+$D$107</f>
        <v>10.0-10.5</v>
      </c>
      <c r="X107" s="2924">
        <v>9.91</v>
      </c>
      <c r="Y107" s="1176" t="str">
        <f>+$D$107</f>
        <v>10.0-10.5</v>
      </c>
      <c r="Z107" s="1192">
        <f t="shared" si="341"/>
        <v>9.9504183756184457</v>
      </c>
      <c r="AA107" s="1187" t="str">
        <f>+$D$107</f>
        <v>10.0-10.5</v>
      </c>
      <c r="AB107" s="1189">
        <f t="shared" si="342"/>
        <v>9.84230739333176</v>
      </c>
      <c r="AC107" s="2898" t="str">
        <f>+$D$107</f>
        <v>10.0-10.5</v>
      </c>
      <c r="AD107" s="2924">
        <v>9.94</v>
      </c>
      <c r="AE107" s="1188" t="str">
        <f>+$D$107</f>
        <v>10.0-10.5</v>
      </c>
      <c r="AF107" s="1184">
        <f t="shared" ref="AF107:AF113" si="350">+((AB107*AB$67)+(AD107*AD$67))/AF$67</f>
        <v>9.8548831555599978</v>
      </c>
      <c r="AG107" s="2898" t="str">
        <f>+$D$107</f>
        <v>10.0-10.5</v>
      </c>
      <c r="AH107" s="2924">
        <v>10.220000000000001</v>
      </c>
      <c r="AI107" s="1188" t="str">
        <f>+$D$107</f>
        <v>10.0-10.5</v>
      </c>
      <c r="AJ107" s="1184">
        <f t="shared" ref="AJ107:AJ113" si="351">+((AF107*AF$67)+(AH107*AH$67))/AJ$67</f>
        <v>9.9042592076964446</v>
      </c>
      <c r="AK107" s="2898" t="str">
        <f>+$D$107</f>
        <v>10.0-10.5</v>
      </c>
      <c r="AL107" s="2924">
        <v>10.07</v>
      </c>
      <c r="AM107" s="1176" t="str">
        <f>+$D$107</f>
        <v>10.0-10.5</v>
      </c>
      <c r="AN107" s="1192">
        <f t="shared" si="343"/>
        <v>10.085308406434667</v>
      </c>
      <c r="AO107" s="1188" t="str">
        <f>+$D$107</f>
        <v>10.0-10.5</v>
      </c>
      <c r="AP107" s="1184">
        <f t="shared" si="344"/>
        <v>9.9237415749193865</v>
      </c>
      <c r="AQ107" s="2898" t="str">
        <f>+$D$107</f>
        <v>10.0-10.5</v>
      </c>
      <c r="AR107" s="2924">
        <v>10.11</v>
      </c>
      <c r="AS107" s="1188" t="str">
        <f>+$D$107</f>
        <v>10.0-10.5</v>
      </c>
      <c r="AT107" s="1188">
        <f t="shared" ref="AT107:AT113" si="352">+((AP107*AP$67)+(AR107*AR$67))/AT$67</f>
        <v>9.9436174828869532</v>
      </c>
      <c r="AU107" s="2898" t="str">
        <f>+$D$107</f>
        <v>10.0-10.5</v>
      </c>
      <c r="AV107" s="2898">
        <v>10.199999999999999</v>
      </c>
      <c r="AW107" s="1188" t="str">
        <f>+$D$107</f>
        <v>10.0-10.5</v>
      </c>
      <c r="AX107" s="1188">
        <f t="shared" ref="AX107:AX113" si="353">+((AT107*AT$67)+(AV107*AV$67))/AX$67</f>
        <v>9.9651425632071327</v>
      </c>
      <c r="AY107" s="2898" t="str">
        <f>+$D$107</f>
        <v>10.0-10.5</v>
      </c>
      <c r="AZ107" s="2898">
        <v>10.19</v>
      </c>
      <c r="BA107" s="1186" t="str">
        <f>+$D$107</f>
        <v>10.0-10.5</v>
      </c>
      <c r="BB107" s="1186">
        <f t="shared" si="345"/>
        <v>10.165333011701252</v>
      </c>
      <c r="BC107" s="1189" t="str">
        <f>+$D$107</f>
        <v>10.0-10.5</v>
      </c>
      <c r="BD107" s="1189">
        <f t="shared" si="346"/>
        <v>10.12595043311682</v>
      </c>
      <c r="BE107" s="1188" t="str">
        <f>+$D$107</f>
        <v>10.0-10.5</v>
      </c>
      <c r="BF107" s="1184">
        <f t="shared" ref="BF107:BF112" si="354">+((AX107*AX$67)+(AZ107*AZ$67))/BF$67</f>
        <v>9.9858226662556824</v>
      </c>
      <c r="BG107" s="23"/>
      <c r="BH107" s="23"/>
      <c r="BI107" s="23"/>
      <c r="BJ107" s="23"/>
      <c r="BK107" s="23"/>
      <c r="BL107" s="23"/>
    </row>
    <row r="108" spans="2:64" x14ac:dyDescent="0.3">
      <c r="B108" s="2922" t="s">
        <v>410</v>
      </c>
      <c r="C108" s="2892" t="s">
        <v>49</v>
      </c>
      <c r="D108" s="2580">
        <v>5.5377100203287926</v>
      </c>
      <c r="E108" s="2898">
        <f>+$D$108</f>
        <v>5.5377100203287926</v>
      </c>
      <c r="F108" s="2898">
        <v>5.29</v>
      </c>
      <c r="G108" s="2898">
        <f>+$D$108</f>
        <v>5.5377100203287926</v>
      </c>
      <c r="H108" s="2898">
        <v>5.4</v>
      </c>
      <c r="I108" s="2894">
        <f>+$D$108</f>
        <v>5.5377100203287926</v>
      </c>
      <c r="J108" s="2895">
        <f t="shared" si="347"/>
        <v>5.3234682080924856</v>
      </c>
      <c r="K108" s="2898">
        <f>+$D$108</f>
        <v>5.5377100203287926</v>
      </c>
      <c r="L108" s="2924">
        <v>5.53</v>
      </c>
      <c r="M108" s="1192">
        <f>+$D$108</f>
        <v>5.5377100203287926</v>
      </c>
      <c r="N108" s="1192">
        <f>+((F108*F$67)+(H108*H$67)+(L108*L$67))/N$67</f>
        <v>5.4113410487632514</v>
      </c>
      <c r="O108" s="2898">
        <f>+$D$108</f>
        <v>5.5377100203287926</v>
      </c>
      <c r="P108" s="2924">
        <v>5.97</v>
      </c>
      <c r="Q108" s="1184">
        <f>+$D$108</f>
        <v>5.5377100203287926</v>
      </c>
      <c r="R108" s="1184">
        <f t="shared" si="348"/>
        <v>5.5847153356962096</v>
      </c>
      <c r="S108" s="2898">
        <f>+$D$108</f>
        <v>5.5377100203287926</v>
      </c>
      <c r="T108" s="2924">
        <v>5.79</v>
      </c>
      <c r="U108" s="1184">
        <f>+$D$108</f>
        <v>5.5377100203287926</v>
      </c>
      <c r="V108" s="1188">
        <f t="shared" si="349"/>
        <v>5.6319444627904645</v>
      </c>
      <c r="W108" s="2898">
        <f>+$D$108</f>
        <v>5.5377100203287926</v>
      </c>
      <c r="X108" s="2924">
        <v>6.16</v>
      </c>
      <c r="Y108" s="1192">
        <f>+$D$108</f>
        <v>5.5377100203287926</v>
      </c>
      <c r="Z108" s="1192">
        <f t="shared" si="341"/>
        <v>5.9719350250838499</v>
      </c>
      <c r="AA108" s="1193">
        <f>+$D$108</f>
        <v>5.5377100203287926</v>
      </c>
      <c r="AB108" s="1193">
        <f t="shared" si="342"/>
        <v>5.7289434141483246</v>
      </c>
      <c r="AC108" s="2898">
        <f>+$D$108</f>
        <v>5.5377100203287926</v>
      </c>
      <c r="AD108" s="2924">
        <v>6.75</v>
      </c>
      <c r="AE108" s="1188">
        <f>+$D$108</f>
        <v>5.5377100203287926</v>
      </c>
      <c r="AF108" s="1184">
        <f t="shared" si="350"/>
        <v>5.8603818646428776</v>
      </c>
      <c r="AG108" s="2898">
        <f>+$D$108</f>
        <v>5.5377100203287926</v>
      </c>
      <c r="AH108" s="2924">
        <v>6.53</v>
      </c>
      <c r="AI108" s="1188">
        <f>+$D$108</f>
        <v>5.5377100203287926</v>
      </c>
      <c r="AJ108" s="1184">
        <f t="shared" si="351"/>
        <v>5.9509367115812983</v>
      </c>
      <c r="AK108" s="2898">
        <f>+$D$108</f>
        <v>5.5377100203287926</v>
      </c>
      <c r="AL108" s="2924">
        <v>6.78</v>
      </c>
      <c r="AM108" s="1192">
        <f>+$D$108</f>
        <v>5.5377100203287926</v>
      </c>
      <c r="AN108" s="1192">
        <f t="shared" si="343"/>
        <v>6.6821799221484159</v>
      </c>
      <c r="AO108" s="1188">
        <f>+$D$108</f>
        <v>5.5377100203287926</v>
      </c>
      <c r="AP108" s="1184">
        <f t="shared" si="344"/>
        <v>6.0483907855696204</v>
      </c>
      <c r="AQ108" s="2898">
        <f>+$D$108</f>
        <v>5.5377100203287926</v>
      </c>
      <c r="AR108" s="2924">
        <v>6.42</v>
      </c>
      <c r="AS108" s="1188">
        <f>+$D$108</f>
        <v>5.5377100203287926</v>
      </c>
      <c r="AT108" s="1188">
        <f t="shared" si="352"/>
        <v>6.0880457463732576</v>
      </c>
      <c r="AU108" s="2898">
        <f>+$D$108</f>
        <v>5.5377100203287926</v>
      </c>
      <c r="AV108" s="2898">
        <v>6.1</v>
      </c>
      <c r="AW108" s="1188">
        <f>+$D$108</f>
        <v>5.5377100203287926</v>
      </c>
      <c r="AX108" s="1188">
        <f t="shared" si="353"/>
        <v>6.0890493884015084</v>
      </c>
      <c r="AY108" s="2898">
        <f>+$D$108</f>
        <v>5.5377100203287926</v>
      </c>
      <c r="AZ108" s="2898">
        <v>5.77</v>
      </c>
      <c r="BA108" s="1186">
        <f>+$D$108</f>
        <v>5.5377100203287926</v>
      </c>
      <c r="BB108" s="1186">
        <f t="shared" si="345"/>
        <v>6.0924262806076586</v>
      </c>
      <c r="BC108" s="1189">
        <f>+$D$108</f>
        <v>5.5377100203287926</v>
      </c>
      <c r="BD108" s="1189">
        <f t="shared" si="346"/>
        <v>6.3826622531071422</v>
      </c>
      <c r="BE108" s="1188">
        <f>+$D$108</f>
        <v>5.5377100203287926</v>
      </c>
      <c r="BF108" s="1184">
        <f t="shared" si="354"/>
        <v>6.0597064663980094</v>
      </c>
      <c r="BG108" s="23"/>
      <c r="BH108" s="23"/>
      <c r="BI108" s="23"/>
      <c r="BJ108" s="23"/>
      <c r="BK108" s="23"/>
      <c r="BL108" s="23"/>
    </row>
    <row r="109" spans="2:64" x14ac:dyDescent="0.3">
      <c r="B109" s="2922" t="s">
        <v>411</v>
      </c>
      <c r="C109" s="2892" t="s">
        <v>49</v>
      </c>
      <c r="D109" s="2580">
        <v>2.8485858543704792</v>
      </c>
      <c r="E109" s="2898">
        <f>+$D$109</f>
        <v>2.8485858543704792</v>
      </c>
      <c r="F109" s="2898">
        <v>2.5</v>
      </c>
      <c r="G109" s="2898">
        <f>+$D$109</f>
        <v>2.8485858543704792</v>
      </c>
      <c r="H109" s="2898">
        <v>2.56</v>
      </c>
      <c r="I109" s="2894">
        <f>+$D$109</f>
        <v>2.8485858543704792</v>
      </c>
      <c r="J109" s="2895">
        <f t="shared" si="347"/>
        <v>2.5182553862322652</v>
      </c>
      <c r="K109" s="2898">
        <f>+$D$109</f>
        <v>2.8485858543704792</v>
      </c>
      <c r="L109" s="2924">
        <v>2.1800000000000002</v>
      </c>
      <c r="M109" s="1192">
        <f>+$D$109</f>
        <v>2.8485858543704792</v>
      </c>
      <c r="N109" s="1192">
        <f t="shared" ref="N109:N112" si="355">+((F109*F$67)+(H109*H$67)+(L109*L$67))/N$67</f>
        <v>2.3743382614840995</v>
      </c>
      <c r="O109" s="2898">
        <f>+$D$109</f>
        <v>2.8485858543704792</v>
      </c>
      <c r="P109" s="2924">
        <v>2.06</v>
      </c>
      <c r="Q109" s="1184">
        <f>+$D$109</f>
        <v>2.8485858543704792</v>
      </c>
      <c r="R109" s="1184">
        <f t="shared" si="348"/>
        <v>2.2767864871503938</v>
      </c>
      <c r="S109" s="2898">
        <f>+$D$109</f>
        <v>2.8485858543704792</v>
      </c>
      <c r="T109" s="2924">
        <v>2.0299999999999998</v>
      </c>
      <c r="U109" s="1184">
        <f>+$D$109</f>
        <v>2.8485858543704792</v>
      </c>
      <c r="V109" s="1188">
        <f>+((R109*R$67)+(T109*T$67))/V$67</f>
        <v>2.2200091803491295</v>
      </c>
      <c r="W109" s="2898">
        <f>+$D$109</f>
        <v>2.8485858543704792</v>
      </c>
      <c r="X109" s="2924">
        <v>2.06</v>
      </c>
      <c r="Y109" s="1192">
        <f>+$D$109</f>
        <v>2.8485858543704792</v>
      </c>
      <c r="Z109" s="1192">
        <f>+((P109*P$67)+(T109*T$67)+(X109*X$67))/Z$67</f>
        <v>2.0500552458944061</v>
      </c>
      <c r="AA109" s="1193">
        <f>+$D$109</f>
        <v>2.8485858543704792</v>
      </c>
      <c r="AB109" s="1193">
        <f t="shared" si="342"/>
        <v>2.1906169637964652</v>
      </c>
      <c r="AC109" s="2898">
        <f>+$D$109</f>
        <v>2.8485858543704792</v>
      </c>
      <c r="AD109" s="2924">
        <v>2.13</v>
      </c>
      <c r="AE109" s="1188">
        <f>+$D$109</f>
        <v>2.8485858543704792</v>
      </c>
      <c r="AF109" s="1184">
        <f t="shared" si="350"/>
        <v>2.1828138705051701</v>
      </c>
      <c r="AG109" s="2898">
        <f>+$D$109</f>
        <v>2.8485858543704792</v>
      </c>
      <c r="AH109" s="2924">
        <v>2.48</v>
      </c>
      <c r="AI109" s="1188">
        <f>+$D$109</f>
        <v>2.8485858543704792</v>
      </c>
      <c r="AJ109" s="1184">
        <f t="shared" si="351"/>
        <v>2.223003409957045</v>
      </c>
      <c r="AK109" s="2898">
        <f>+$D$109</f>
        <v>2.8485858543704792</v>
      </c>
      <c r="AL109" s="2924">
        <v>2.86</v>
      </c>
      <c r="AM109" s="1192">
        <f>+$D$109</f>
        <v>2.8485858543704792</v>
      </c>
      <c r="AN109" s="1192">
        <f>+((AD109*AD$67)+(AH109*AH$67)+(AL109*AL$67))/AN$67</f>
        <v>2.5106934586582415</v>
      </c>
      <c r="AO109" s="1188">
        <f>+$D$109</f>
        <v>2.8485858543704792</v>
      </c>
      <c r="AP109" s="1184">
        <f t="shared" si="344"/>
        <v>2.2978805799916251</v>
      </c>
      <c r="AQ109" s="2898">
        <f>+$D$109</f>
        <v>2.8485858543704792</v>
      </c>
      <c r="AR109" s="2924">
        <v>2.77</v>
      </c>
      <c r="AS109" s="1188">
        <f>+$D$109</f>
        <v>2.8485858543704792</v>
      </c>
      <c r="AT109" s="1188">
        <f t="shared" si="352"/>
        <v>2.348261131302134</v>
      </c>
      <c r="AU109" s="2898">
        <f>+$D$109</f>
        <v>2.8485858543704792</v>
      </c>
      <c r="AV109" s="2898">
        <v>2.5</v>
      </c>
      <c r="AW109" s="1188">
        <f>+$D$109</f>
        <v>2.8485858543704792</v>
      </c>
      <c r="AX109" s="1188">
        <f t="shared" si="353"/>
        <v>2.361000655717421</v>
      </c>
      <c r="AY109" s="2898">
        <f>+$D$109</f>
        <v>2.8485858543704792</v>
      </c>
      <c r="AZ109" s="2898">
        <v>2.71</v>
      </c>
      <c r="BA109" s="1186">
        <f>+$D$109</f>
        <v>2.8485858543704792</v>
      </c>
      <c r="BB109" s="1186">
        <f>+((AR109*AR$67)+(AV109*AV$67)+(AZ109*AZ$67))/BB$67</f>
        <v>2.6684238457522893</v>
      </c>
      <c r="BC109" s="1189">
        <f>+$D$109</f>
        <v>2.8485858543704792</v>
      </c>
      <c r="BD109" s="1189">
        <f t="shared" si="346"/>
        <v>2.5907998531791168</v>
      </c>
      <c r="BE109" s="1188">
        <f>+$D$109</f>
        <v>2.8485858543704792</v>
      </c>
      <c r="BF109" s="1184">
        <f t="shared" si="354"/>
        <v>2.3930980704464178</v>
      </c>
      <c r="BG109" s="23"/>
      <c r="BH109" s="23"/>
      <c r="BI109" s="23"/>
      <c r="BJ109" s="23"/>
      <c r="BK109" s="23"/>
      <c r="BL109" s="23"/>
    </row>
    <row r="110" spans="2:64" x14ac:dyDescent="0.3">
      <c r="B110" s="2922" t="s">
        <v>412</v>
      </c>
      <c r="C110" s="2892" t="s">
        <v>49</v>
      </c>
      <c r="D110" s="2580">
        <v>9.1529079039754571</v>
      </c>
      <c r="E110" s="2898">
        <f>+$D$110</f>
        <v>9.1529079039754571</v>
      </c>
      <c r="F110" s="2898">
        <v>8.98</v>
      </c>
      <c r="G110" s="2898">
        <f>+$D$110</f>
        <v>9.1529079039754571</v>
      </c>
      <c r="H110" s="2898">
        <v>9.15</v>
      </c>
      <c r="I110" s="2894">
        <f>+$D$110</f>
        <v>9.1529079039754571</v>
      </c>
      <c r="J110" s="2895">
        <f t="shared" si="347"/>
        <v>9.0317235943247507</v>
      </c>
      <c r="K110" s="2898">
        <f>+$D$110</f>
        <v>9.1529079039754571</v>
      </c>
      <c r="L110" s="2924">
        <v>9.24</v>
      </c>
      <c r="M110" s="1192">
        <f>+$D$110</f>
        <v>9.1529079039754571</v>
      </c>
      <c r="N110" s="1192">
        <f>+((F110*F$67)+(H110*H$67)+(L110*L$67))/N$67</f>
        <v>9.1203387137809191</v>
      </c>
      <c r="O110" s="2898">
        <f>+$D$110</f>
        <v>9.1529079039754571</v>
      </c>
      <c r="P110" s="2924">
        <v>10.02</v>
      </c>
      <c r="Q110" s="1184">
        <f>+$D$110</f>
        <v>9.1529079039754571</v>
      </c>
      <c r="R110" s="1184">
        <f t="shared" si="348"/>
        <v>9.3995397068628712</v>
      </c>
      <c r="S110" s="2898">
        <f>+$D$110</f>
        <v>9.1529079039754571</v>
      </c>
      <c r="T110" s="2924">
        <v>9.58</v>
      </c>
      <c r="U110" s="1184">
        <f>+$D$110</f>
        <v>9.1529079039754571</v>
      </c>
      <c r="V110" s="1188">
        <f t="shared" si="349"/>
        <v>9.4410575774205441</v>
      </c>
      <c r="W110" s="2898">
        <f>+$D$110</f>
        <v>9.1529079039754571</v>
      </c>
      <c r="X110" s="2924">
        <v>10.16</v>
      </c>
      <c r="Y110" s="1192">
        <f>+$D$110</f>
        <v>9.1529079039754571</v>
      </c>
      <c r="Z110" s="1192">
        <f t="shared" si="341"/>
        <v>9.9195356957167551</v>
      </c>
      <c r="AA110" s="1193">
        <f>+$D$110</f>
        <v>9.1529079039754571</v>
      </c>
      <c r="AB110" s="1193">
        <f>+((N110*N$67)+(Z110*Z$67))/AB$67</f>
        <v>9.5731206960943922</v>
      </c>
      <c r="AC110" s="2898">
        <f>+$D$110</f>
        <v>9.1529079039754571</v>
      </c>
      <c r="AD110" s="2924">
        <v>11.09</v>
      </c>
      <c r="AE110" s="1188">
        <f>+$D$110</f>
        <v>9.1529079039754571</v>
      </c>
      <c r="AF110" s="1184">
        <f t="shared" si="350"/>
        <v>9.7683853543467141</v>
      </c>
      <c r="AG110" s="2898">
        <f>+$D$110</f>
        <v>9.1529079039754571</v>
      </c>
      <c r="AH110" s="2924">
        <v>10.69</v>
      </c>
      <c r="AI110" s="1188">
        <f>+$D$110</f>
        <v>9.1529079039754571</v>
      </c>
      <c r="AJ110" s="1184">
        <f t="shared" si="351"/>
        <v>9.8930185874786556</v>
      </c>
      <c r="AK110" s="2898">
        <f>+$D$110</f>
        <v>9.1529079039754571</v>
      </c>
      <c r="AL110" s="2924">
        <v>11.09</v>
      </c>
      <c r="AM110" s="1192">
        <f>+$D$110</f>
        <v>9.1529079039754571</v>
      </c>
      <c r="AN110" s="1192">
        <f t="shared" ref="AN110:AN113" si="356">+((AD110*AD$67)+(AH110*AH$67)+(AL110*AL$67))/AN$67</f>
        <v>10.947558245256799</v>
      </c>
      <c r="AO110" s="1188">
        <f>+$D$110</f>
        <v>9.1529079039754571</v>
      </c>
      <c r="AP110" s="1184">
        <f t="shared" si="344"/>
        <v>10.033720409363681</v>
      </c>
      <c r="AQ110" s="2898">
        <f>+$D$110</f>
        <v>9.1529079039754571</v>
      </c>
      <c r="AR110" s="2924">
        <v>10.8</v>
      </c>
      <c r="AS110" s="1188">
        <f>+$D$110</f>
        <v>9.1529079039754571</v>
      </c>
      <c r="AT110" s="1188">
        <f t="shared" si="352"/>
        <v>10.115491221150165</v>
      </c>
      <c r="AU110" s="2898">
        <f>+$D$110</f>
        <v>9.1529079039754571</v>
      </c>
      <c r="AV110" s="2898">
        <v>10.039999999999999</v>
      </c>
      <c r="AW110" s="1188">
        <f>+$D$110</f>
        <v>9.1529079039754571</v>
      </c>
      <c r="AX110" s="1188">
        <f t="shared" si="353"/>
        <v>10.10915321254871</v>
      </c>
      <c r="AY110" s="2898">
        <f>+$D$110</f>
        <v>9.1529079039754571</v>
      </c>
      <c r="AZ110" s="2898">
        <v>9.43</v>
      </c>
      <c r="BA110" s="1186">
        <f>+$D$110</f>
        <v>9.1529079039754571</v>
      </c>
      <c r="BB110" s="1186">
        <f t="shared" ref="BB110:BB113" si="357">+((AR110*AR$67)+(AV110*AV$67)+(AZ110*AZ$67))/BB$67</f>
        <v>10.084198391713953</v>
      </c>
      <c r="BC110" s="1189">
        <f>+$D$110</f>
        <v>9.1529079039754571</v>
      </c>
      <c r="BD110" s="1189">
        <f t="shared" si="346"/>
        <v>10.509084427271739</v>
      </c>
      <c r="BE110" s="1188">
        <f>+$D$110</f>
        <v>9.1529079039754571</v>
      </c>
      <c r="BF110" s="1184">
        <f t="shared" si="354"/>
        <v>10.046691598551934</v>
      </c>
      <c r="BG110" s="23"/>
      <c r="BH110" s="23"/>
      <c r="BI110" s="23"/>
      <c r="BJ110" s="23"/>
      <c r="BK110" s="23"/>
      <c r="BL110" s="23"/>
    </row>
    <row r="111" spans="2:64" x14ac:dyDescent="0.3">
      <c r="B111" s="2922" t="s">
        <v>413</v>
      </c>
      <c r="C111" s="2892" t="s">
        <v>49</v>
      </c>
      <c r="D111" s="2580">
        <v>2.681272930728583</v>
      </c>
      <c r="E111" s="2898">
        <f>+$D$111</f>
        <v>2.681272930728583</v>
      </c>
      <c r="F111" s="2898">
        <v>2.66</v>
      </c>
      <c r="G111" s="2898">
        <f>+$D$111</f>
        <v>2.681272930728583</v>
      </c>
      <c r="H111" s="2898">
        <v>2.83</v>
      </c>
      <c r="I111" s="2894">
        <f>+$D$111</f>
        <v>2.681272930728583</v>
      </c>
      <c r="J111" s="2895">
        <f t="shared" si="347"/>
        <v>2.7117235943247504</v>
      </c>
      <c r="K111" s="2898">
        <f>+$D$111</f>
        <v>2.681272930728583</v>
      </c>
      <c r="L111" s="2923">
        <v>2.52</v>
      </c>
      <c r="M111" s="1192">
        <f>+$D$111</f>
        <v>2.681272930728583</v>
      </c>
      <c r="N111" s="1192">
        <f>+((F111*F$67)+(H111*H$67)+(L111*L$67))/N$67</f>
        <v>2.6301511802120143</v>
      </c>
      <c r="O111" s="2898">
        <f>+$D$111</f>
        <v>2.681272930728583</v>
      </c>
      <c r="P111" s="2923">
        <v>2.58</v>
      </c>
      <c r="Q111" s="1184">
        <f>+$D$111</f>
        <v>2.681272930728583</v>
      </c>
      <c r="R111" s="1184">
        <f t="shared" si="348"/>
        <v>2.6145872568400614</v>
      </c>
      <c r="S111" s="2898">
        <f>+$D$111</f>
        <v>2.681272930728583</v>
      </c>
      <c r="T111" s="2923">
        <v>2.75</v>
      </c>
      <c r="U111" s="1184">
        <f>+$D$111</f>
        <v>2.681272930728583</v>
      </c>
      <c r="V111" s="1188">
        <f t="shared" si="349"/>
        <v>2.6457411946101925</v>
      </c>
      <c r="W111" s="2898">
        <f>+$D$111</f>
        <v>2.681272930728583</v>
      </c>
      <c r="X111" s="2923">
        <v>2.5299999999999998</v>
      </c>
      <c r="Y111" s="1192">
        <f>+$D$111</f>
        <v>2.681272930728583</v>
      </c>
      <c r="Z111" s="1192">
        <f t="shared" si="341"/>
        <v>2.6201421461464127</v>
      </c>
      <c r="AA111" s="1193">
        <f>+$D$111</f>
        <v>2.681272930728583</v>
      </c>
      <c r="AB111" s="1193">
        <f t="shared" si="342"/>
        <v>2.6244806003828849</v>
      </c>
      <c r="AC111" s="2898">
        <f>+$D$111</f>
        <v>2.681272930728583</v>
      </c>
      <c r="AD111" s="2923">
        <v>2.58</v>
      </c>
      <c r="AE111" s="1188">
        <f>+$D$111</f>
        <v>2.681272930728583</v>
      </c>
      <c r="AF111" s="1184">
        <f t="shared" si="350"/>
        <v>2.6187547069579704</v>
      </c>
      <c r="AG111" s="2898">
        <f>+$D$111</f>
        <v>2.681272930728583</v>
      </c>
      <c r="AH111" s="2923">
        <v>2.65</v>
      </c>
      <c r="AI111" s="1188">
        <f>+$D$111</f>
        <v>2.681272930728583</v>
      </c>
      <c r="AJ111" s="1184">
        <f t="shared" si="351"/>
        <v>2.6229801192931039</v>
      </c>
      <c r="AK111" s="2898">
        <f>+$D$111</f>
        <v>2.681272930728583</v>
      </c>
      <c r="AL111" s="2923">
        <v>2.8</v>
      </c>
      <c r="AM111" s="1192">
        <f>+$D$111</f>
        <v>2.681272930728583</v>
      </c>
      <c r="AN111" s="1192">
        <f t="shared" si="356"/>
        <v>2.6820951469660148</v>
      </c>
      <c r="AO111" s="1188">
        <f>+$D$111</f>
        <v>2.681272930728583</v>
      </c>
      <c r="AP111" s="1184">
        <f t="shared" si="344"/>
        <v>2.6437883118554812</v>
      </c>
      <c r="AQ111" s="2898">
        <f>+$D$111</f>
        <v>2.681272930728583</v>
      </c>
      <c r="AR111" s="2923">
        <v>2.88</v>
      </c>
      <c r="AS111" s="1188">
        <f>+$D$111</f>
        <v>2.681272930728583</v>
      </c>
      <c r="AT111" s="1188">
        <f t="shared" si="352"/>
        <v>2.6689948053195627</v>
      </c>
      <c r="AU111" s="2898">
        <f>+$D$111</f>
        <v>2.681272930728583</v>
      </c>
      <c r="AV111" s="2898">
        <v>2.85</v>
      </c>
      <c r="AW111" s="1188">
        <f>+$D$111</f>
        <v>2.681272930728583</v>
      </c>
      <c r="AX111" s="1188">
        <f t="shared" si="353"/>
        <v>2.6841914396210651</v>
      </c>
      <c r="AY111" s="2898">
        <f>+$D$111</f>
        <v>2.681272930728583</v>
      </c>
      <c r="AZ111" s="2898">
        <v>2.82</v>
      </c>
      <c r="BA111" s="1186">
        <f>+$D$111</f>
        <v>2.681272930728583</v>
      </c>
      <c r="BB111" s="1186">
        <f t="shared" si="357"/>
        <v>2.8496254996447599</v>
      </c>
      <c r="BC111" s="1189">
        <f>+$D$111</f>
        <v>2.681272930728583</v>
      </c>
      <c r="BD111" s="1189">
        <f t="shared" si="346"/>
        <v>2.7671786414857045</v>
      </c>
      <c r="BE111" s="1188">
        <f>+$D$111</f>
        <v>2.681272930728583</v>
      </c>
      <c r="BF111" s="1184">
        <f t="shared" si="354"/>
        <v>2.6966817315303282</v>
      </c>
      <c r="BG111" s="23"/>
      <c r="BH111" s="23"/>
      <c r="BI111" s="23"/>
      <c r="BJ111" s="23"/>
      <c r="BK111" s="23"/>
      <c r="BL111" s="23"/>
    </row>
    <row r="112" spans="2:64" x14ac:dyDescent="0.3">
      <c r="B112" s="2922" t="s">
        <v>414</v>
      </c>
      <c r="C112" s="2892" t="s">
        <v>49</v>
      </c>
      <c r="D112" s="2580">
        <v>1.6528326456920577</v>
      </c>
      <c r="E112" s="2898">
        <f>+$D$112</f>
        <v>1.6528326456920577</v>
      </c>
      <c r="F112" s="2898">
        <v>1.7</v>
      </c>
      <c r="G112" s="2898">
        <f>+$D$112</f>
        <v>1.6528326456920577</v>
      </c>
      <c r="H112" s="2898">
        <v>1.7</v>
      </c>
      <c r="I112" s="2894">
        <f>+$D$112</f>
        <v>1.6528326456920577</v>
      </c>
      <c r="J112" s="2895">
        <f t="shared" si="347"/>
        <v>1.7</v>
      </c>
      <c r="K112" s="2898">
        <f>+$D$112</f>
        <v>1.6528326456920577</v>
      </c>
      <c r="L112" s="2924">
        <v>1.67</v>
      </c>
      <c r="M112" s="1192">
        <f>+$D$112</f>
        <v>1.6528326456920577</v>
      </c>
      <c r="N112" s="1192">
        <f t="shared" si="355"/>
        <v>1.6872359349823318</v>
      </c>
      <c r="O112" s="2898">
        <f>+$D$112</f>
        <v>1.6528326456920577</v>
      </c>
      <c r="P112" s="2924">
        <v>1.68</v>
      </c>
      <c r="Q112" s="1184">
        <f>+$D$112</f>
        <v>1.6528326456920577</v>
      </c>
      <c r="R112" s="1184">
        <f t="shared" si="348"/>
        <v>1.6849903340390768</v>
      </c>
      <c r="S112" s="2898">
        <f>+$D$112</f>
        <v>1.6528326456920577</v>
      </c>
      <c r="T112" s="2924">
        <v>1.66</v>
      </c>
      <c r="U112" s="1184">
        <f>+$D$112</f>
        <v>1.6528326456920577</v>
      </c>
      <c r="V112" s="1188">
        <f t="shared" si="349"/>
        <v>1.679240895002984</v>
      </c>
      <c r="W112" s="2898">
        <f>+$D$112</f>
        <v>1.6528326456920577</v>
      </c>
      <c r="X112" s="2924">
        <v>1.65</v>
      </c>
      <c r="Y112" s="1192">
        <f>+$D$112</f>
        <v>1.6528326456920577</v>
      </c>
      <c r="Z112" s="1192">
        <f t="shared" si="341"/>
        <v>1.6636432876584339</v>
      </c>
      <c r="AA112" s="1193">
        <f>+$D$112</f>
        <v>1.6528326456920577</v>
      </c>
      <c r="AB112" s="1193">
        <f t="shared" si="342"/>
        <v>1.6738696112038536</v>
      </c>
      <c r="AC112" s="2898">
        <f>+$D$112</f>
        <v>1.6528326456920577</v>
      </c>
      <c r="AD112" s="2924">
        <v>1.65</v>
      </c>
      <c r="AE112" s="1188">
        <f>+$D$112</f>
        <v>1.6528326456920577</v>
      </c>
      <c r="AF112" s="1184">
        <f t="shared" si="350"/>
        <v>1.6707969267375709</v>
      </c>
      <c r="AG112" s="2898">
        <f>+$D$112</f>
        <v>1.6528326456920577</v>
      </c>
      <c r="AH112" s="2924">
        <v>1.65</v>
      </c>
      <c r="AI112" s="1188">
        <f>+$D$112</f>
        <v>1.6528326456920577</v>
      </c>
      <c r="AJ112" s="1184">
        <f t="shared" si="351"/>
        <v>1.6679844842153775</v>
      </c>
      <c r="AK112" s="2898">
        <f>+$D$112</f>
        <v>1.6528326456920577</v>
      </c>
      <c r="AL112" s="2924">
        <v>1.64</v>
      </c>
      <c r="AM112" s="1192">
        <f>+$D$112</f>
        <v>1.6528326456920577</v>
      </c>
      <c r="AN112" s="1192">
        <f t="shared" si="356"/>
        <v>1.6464923709142747</v>
      </c>
      <c r="AO112" s="1188">
        <f>+$D$112</f>
        <v>1.6528326456920577</v>
      </c>
      <c r="AP112" s="1184">
        <f t="shared" si="344"/>
        <v>1.6646949862562386</v>
      </c>
      <c r="AQ112" s="2898">
        <f>+$D$112</f>
        <v>1.6528326456920577</v>
      </c>
      <c r="AR112" s="2924">
        <v>1.68</v>
      </c>
      <c r="AS112" s="1188">
        <f>+$D$112</f>
        <v>1.6528326456920577</v>
      </c>
      <c r="AT112" s="1188">
        <f t="shared" si="352"/>
        <v>1.6663282065762415</v>
      </c>
      <c r="AU112" s="2898">
        <f>+$D$112</f>
        <v>1.6528326456920577</v>
      </c>
      <c r="AV112" s="2898">
        <v>1.65</v>
      </c>
      <c r="AW112" s="1188">
        <f>+$D$112</f>
        <v>1.6528326456920577</v>
      </c>
      <c r="AX112" s="1188">
        <f t="shared" si="353"/>
        <v>1.6649573410351912</v>
      </c>
      <c r="AY112" s="2898">
        <f>+$D$112</f>
        <v>1.6528326456920577</v>
      </c>
      <c r="AZ112" s="2898">
        <v>1.64</v>
      </c>
      <c r="BA112" s="1186">
        <f>+$D$112</f>
        <v>1.6528326456920577</v>
      </c>
      <c r="BB112" s="1186">
        <f t="shared" si="357"/>
        <v>1.6567835975176537</v>
      </c>
      <c r="BC112" s="1189">
        <f>+$D$112</f>
        <v>1.6528326456920577</v>
      </c>
      <c r="BD112" s="1189">
        <f t="shared" si="346"/>
        <v>1.6517189672194144</v>
      </c>
      <c r="BE112" s="1188">
        <f>+$D$112</f>
        <v>1.6528326456920577</v>
      </c>
      <c r="BF112" s="1184">
        <f t="shared" si="354"/>
        <v>1.662662018310771</v>
      </c>
      <c r="BG112" s="23"/>
      <c r="BH112" s="23"/>
      <c r="BI112" s="23"/>
      <c r="BJ112" s="23"/>
      <c r="BK112" s="23"/>
      <c r="BL112" s="23"/>
    </row>
    <row r="113" spans="2:64" ht="15" thickBot="1" x14ac:dyDescent="0.35">
      <c r="B113" s="2925" t="s">
        <v>1304</v>
      </c>
      <c r="C113" s="2900" t="s">
        <v>49</v>
      </c>
      <c r="D113" s="1333">
        <v>3.6151978836466645</v>
      </c>
      <c r="E113" s="2926">
        <f>+$D$113</f>
        <v>3.6151978836466645</v>
      </c>
      <c r="F113" s="2926">
        <v>3.69</v>
      </c>
      <c r="G113" s="2926">
        <f>+$D$113</f>
        <v>3.6151978836466645</v>
      </c>
      <c r="H113" s="2926">
        <v>3.76</v>
      </c>
      <c r="I113" s="2910">
        <f>+$D$113</f>
        <v>3.6151978836466645</v>
      </c>
      <c r="J113" s="2911">
        <f t="shared" si="347"/>
        <v>3.7112979506043091</v>
      </c>
      <c r="K113" s="2926">
        <f>+$D$113</f>
        <v>3.6151978836466645</v>
      </c>
      <c r="L113" s="2927">
        <v>3.71</v>
      </c>
      <c r="M113" s="1192">
        <f>+$D$113</f>
        <v>3.6151978836466645</v>
      </c>
      <c r="N113" s="1192">
        <f>+((F113*F$67)+(H113*H$67)+(L113*L$67))/N$67</f>
        <v>3.7107457130742052</v>
      </c>
      <c r="O113" s="2926">
        <f>+$D$113</f>
        <v>3.6151978836466645</v>
      </c>
      <c r="P113" s="2927">
        <v>4.05</v>
      </c>
      <c r="Q113" s="1184">
        <f>+$D$113</f>
        <v>3.6151978836466645</v>
      </c>
      <c r="R113" s="1184">
        <f t="shared" si="348"/>
        <v>3.8160299297765405</v>
      </c>
      <c r="S113" s="2926">
        <f>+$D$113</f>
        <v>3.6151978836466645</v>
      </c>
      <c r="T113" s="2927">
        <v>3.79</v>
      </c>
      <c r="U113" s="1184">
        <f>+$D$113</f>
        <v>3.6151978836466645</v>
      </c>
      <c r="V113" s="1188">
        <f t="shared" si="349"/>
        <v>3.8100413145731591</v>
      </c>
      <c r="W113" s="2926">
        <f>+$D$113</f>
        <v>3.6151978836466645</v>
      </c>
      <c r="X113" s="2927">
        <v>3.99</v>
      </c>
      <c r="Y113" s="1192">
        <f>+$D$113</f>
        <v>3.6151978836466645</v>
      </c>
      <c r="Z113" s="1192">
        <f t="shared" si="341"/>
        <v>3.9443583785425158</v>
      </c>
      <c r="AA113" s="1193">
        <f>+$D$113</f>
        <v>3.6151978836466645</v>
      </c>
      <c r="AB113" s="1193">
        <f t="shared" si="342"/>
        <v>3.8430980719483139</v>
      </c>
      <c r="AC113" s="2926">
        <f>+$D$113</f>
        <v>3.6151978836466645</v>
      </c>
      <c r="AD113" s="2927">
        <v>4.34</v>
      </c>
      <c r="AE113" s="1188">
        <f>+$D$113</f>
        <v>3.6151978836466645</v>
      </c>
      <c r="AF113" s="1184">
        <f t="shared" si="350"/>
        <v>3.907063204122053</v>
      </c>
      <c r="AG113" s="2926">
        <f>+$D$113</f>
        <v>3.6151978836466645</v>
      </c>
      <c r="AH113" s="2927">
        <v>4.1500000000000004</v>
      </c>
      <c r="AI113" s="1188">
        <f>+$D$113</f>
        <v>3.6151978836466645</v>
      </c>
      <c r="AJ113" s="1184">
        <f t="shared" si="351"/>
        <v>3.9399164128463138</v>
      </c>
      <c r="AK113" s="2926">
        <f>+$D$113</f>
        <v>3.6151978836466645</v>
      </c>
      <c r="AL113" s="2927">
        <v>4.3099999999999996</v>
      </c>
      <c r="AM113" s="1192">
        <f>+$D$113</f>
        <v>3.6151978836466645</v>
      </c>
      <c r="AN113" s="1192">
        <f t="shared" si="356"/>
        <v>4.2618172792398044</v>
      </c>
      <c r="AO113" s="1188">
        <f>+$D$113</f>
        <v>3.6151978836466645</v>
      </c>
      <c r="AP113" s="1184">
        <f t="shared" si="344"/>
        <v>3.9834187048765508</v>
      </c>
      <c r="AQ113" s="2926">
        <f>+$D$113</f>
        <v>3.6151978836466645</v>
      </c>
      <c r="AR113" s="2927">
        <v>4.38</v>
      </c>
      <c r="AS113" s="1188">
        <f>+$D$113</f>
        <v>3.6151978836466645</v>
      </c>
      <c r="AT113" s="1188">
        <f t="shared" si="352"/>
        <v>4.0257384728017946</v>
      </c>
      <c r="AU113" s="2926">
        <f>+$D$113</f>
        <v>3.6151978836466645</v>
      </c>
      <c r="AV113" s="2926">
        <v>3.94</v>
      </c>
      <c r="AW113" s="1188">
        <f>+$D$113</f>
        <v>3.6151978836466645</v>
      </c>
      <c r="AX113" s="1188">
        <f t="shared" si="353"/>
        <v>4.0185401367593485</v>
      </c>
      <c r="AY113" s="2926">
        <f>+$D$113</f>
        <v>3.6151978836466645</v>
      </c>
      <c r="AZ113" s="2926">
        <v>3.66</v>
      </c>
      <c r="BA113" s="1186">
        <f>+$D$113</f>
        <v>3.6151978836466645</v>
      </c>
      <c r="BB113" s="1186">
        <f t="shared" si="357"/>
        <v>3.991772111106294</v>
      </c>
      <c r="BC113" s="1189">
        <f>+$D$113</f>
        <v>3.6151978836466645</v>
      </c>
      <c r="BD113" s="1189">
        <f t="shared" si="346"/>
        <v>4.1246696745486382</v>
      </c>
      <c r="BE113" s="1188">
        <f>+$D$113</f>
        <v>3.6151978836466645</v>
      </c>
      <c r="BF113" s="1184">
        <f>+((AX113*AX$67)+(AZ113*AZ$67))/BF$67</f>
        <v>3.9855652568488633</v>
      </c>
      <c r="BG113" s="23"/>
      <c r="BH113" s="23"/>
      <c r="BI113" s="23"/>
      <c r="BJ113" s="23"/>
      <c r="BK113" s="23"/>
      <c r="BL113" s="23"/>
    </row>
    <row r="114" spans="2:64" hidden="1" x14ac:dyDescent="0.3">
      <c r="B114" s="2917" t="s">
        <v>587</v>
      </c>
      <c r="C114" s="2918" t="s">
        <v>49</v>
      </c>
      <c r="D114" s="727"/>
      <c r="E114" s="2919">
        <f>+$D$114</f>
        <v>0</v>
      </c>
      <c r="F114" s="2919"/>
      <c r="G114" s="2919">
        <f>+$D$114</f>
        <v>0</v>
      </c>
      <c r="H114" s="2919"/>
      <c r="I114" s="2920">
        <f>+$D$114</f>
        <v>0</v>
      </c>
      <c r="J114" s="2921"/>
      <c r="K114" s="1191">
        <f>+$D$114</f>
        <v>0</v>
      </c>
      <c r="L114" s="1191"/>
      <c r="M114" s="1176">
        <f>+$D$114</f>
        <v>0</v>
      </c>
      <c r="N114" s="1192"/>
      <c r="O114" s="1191">
        <f>+$D$114</f>
        <v>0</v>
      </c>
      <c r="P114" s="1191"/>
      <c r="Q114" s="1174">
        <f>+$D$114</f>
        <v>0</v>
      </c>
      <c r="R114" s="1184"/>
      <c r="S114" s="1191">
        <f>+$D$114</f>
        <v>0</v>
      </c>
      <c r="T114" s="1191"/>
      <c r="U114" s="1174">
        <f>+$D$114</f>
        <v>0</v>
      </c>
      <c r="V114" s="1184"/>
      <c r="W114" s="1191">
        <f>+$D$114</f>
        <v>0</v>
      </c>
      <c r="X114" s="1191"/>
      <c r="Y114" s="1176">
        <f>+$D$114</f>
        <v>0</v>
      </c>
      <c r="Z114" s="1192"/>
      <c r="AA114" s="1187">
        <f>+$D$114</f>
        <v>0</v>
      </c>
      <c r="AB114" s="1193"/>
      <c r="AW114" s="23">
        <f t="shared" ref="AW114:AW146" si="358">AS114-AU114</f>
        <v>0</v>
      </c>
      <c r="AX114" s="23">
        <f t="shared" ref="AX114:AX146" si="359">AT114-AV114</f>
        <v>0</v>
      </c>
      <c r="BG114" s="23"/>
      <c r="BH114" s="23"/>
      <c r="BI114" s="23"/>
      <c r="BJ114" s="23"/>
      <c r="BK114" s="23"/>
      <c r="BL114" s="23"/>
    </row>
    <row r="115" spans="2:64" hidden="1" x14ac:dyDescent="0.3">
      <c r="B115" s="503" t="s">
        <v>588</v>
      </c>
      <c r="C115" s="60" t="s">
        <v>49</v>
      </c>
      <c r="D115" s="146"/>
      <c r="E115" s="1191">
        <f>+$D$115</f>
        <v>0</v>
      </c>
      <c r="F115" s="1191"/>
      <c r="G115" s="1191">
        <f>+$D$115</f>
        <v>0</v>
      </c>
      <c r="H115" s="1191"/>
      <c r="I115" s="1174">
        <f>+$D$115</f>
        <v>0</v>
      </c>
      <c r="J115" s="1184"/>
      <c r="K115" s="1191">
        <f>+$D$115</f>
        <v>0</v>
      </c>
      <c r="L115" s="1191"/>
      <c r="M115" s="1176">
        <f>+$D$115</f>
        <v>0</v>
      </c>
      <c r="N115" s="1192"/>
      <c r="O115" s="1191">
        <f>+$D$115</f>
        <v>0</v>
      </c>
      <c r="P115" s="1191"/>
      <c r="Q115" s="1174">
        <f>+$D$115</f>
        <v>0</v>
      </c>
      <c r="R115" s="1184"/>
      <c r="S115" s="1191">
        <f>+$D$115</f>
        <v>0</v>
      </c>
      <c r="T115" s="1191"/>
      <c r="U115" s="1174">
        <f>+$D$115</f>
        <v>0</v>
      </c>
      <c r="V115" s="1184"/>
      <c r="W115" s="1191">
        <f>+$D$115</f>
        <v>0</v>
      </c>
      <c r="X115" s="1191"/>
      <c r="Y115" s="1176">
        <f>+$D$115</f>
        <v>0</v>
      </c>
      <c r="Z115" s="1192"/>
      <c r="AA115" s="1187">
        <f>+$D$115</f>
        <v>0</v>
      </c>
      <c r="AB115" s="1193"/>
      <c r="AW115" s="23">
        <f t="shared" si="358"/>
        <v>0</v>
      </c>
      <c r="AX115" s="23">
        <f t="shared" si="359"/>
        <v>0</v>
      </c>
      <c r="BG115" s="23"/>
      <c r="BH115" s="23"/>
      <c r="BI115" s="23"/>
      <c r="BJ115" s="23"/>
      <c r="BK115" s="23"/>
      <c r="BL115" s="23"/>
    </row>
    <row r="116" spans="2:64" ht="15" hidden="1" customHeight="1" x14ac:dyDescent="0.3">
      <c r="B116" s="209"/>
      <c r="C116" s="209"/>
      <c r="E116" s="209"/>
      <c r="F116" s="209"/>
      <c r="G116" s="209"/>
      <c r="H116" s="209"/>
      <c r="I116" s="209"/>
      <c r="J116" s="209"/>
      <c r="K116" s="1419"/>
      <c r="L116" s="209"/>
      <c r="M116" s="209"/>
      <c r="N116" s="209"/>
      <c r="O116" s="1419"/>
      <c r="P116" s="209"/>
      <c r="Q116" s="209"/>
      <c r="R116" s="209"/>
      <c r="S116" s="1419"/>
      <c r="T116" s="209"/>
      <c r="U116" s="209"/>
      <c r="V116" s="209"/>
      <c r="W116" s="209"/>
      <c r="X116" s="209"/>
      <c r="Y116" s="209"/>
      <c r="Z116" s="209"/>
      <c r="AA116" s="209"/>
      <c r="AB116" s="209"/>
      <c r="AW116" s="23">
        <f t="shared" si="358"/>
        <v>0</v>
      </c>
      <c r="AX116" s="23">
        <f t="shared" si="359"/>
        <v>0</v>
      </c>
      <c r="BG116" s="23"/>
      <c r="BH116" s="23"/>
      <c r="BI116" s="23"/>
      <c r="BJ116" s="23"/>
      <c r="BK116" s="23"/>
      <c r="BL116" s="23"/>
    </row>
    <row r="117" spans="2:64" ht="15" hidden="1" customHeight="1" x14ac:dyDescent="0.3">
      <c r="B117" s="209"/>
      <c r="C117" s="209"/>
      <c r="E117" s="209"/>
      <c r="F117" s="209"/>
      <c r="G117" s="209"/>
      <c r="H117" s="209"/>
      <c r="I117" s="209"/>
      <c r="J117" s="209"/>
      <c r="K117" s="1419"/>
      <c r="L117" s="209"/>
      <c r="M117" s="209"/>
      <c r="N117" s="209"/>
      <c r="O117" s="1419"/>
      <c r="P117" s="209"/>
      <c r="Q117" s="209"/>
      <c r="R117" s="209"/>
      <c r="S117" s="1419"/>
      <c r="T117" s="209"/>
      <c r="U117" s="209"/>
      <c r="V117" s="209"/>
      <c r="W117" s="209"/>
      <c r="X117" s="209"/>
      <c r="Y117" s="209"/>
      <c r="Z117" s="209"/>
      <c r="AA117" s="209"/>
      <c r="AB117" s="209"/>
      <c r="AW117" s="23">
        <f t="shared" si="358"/>
        <v>0</v>
      </c>
      <c r="AX117" s="23">
        <f t="shared" si="359"/>
        <v>0</v>
      </c>
      <c r="BG117" s="23"/>
      <c r="BH117" s="23"/>
      <c r="BI117" s="23"/>
      <c r="BJ117" s="23"/>
      <c r="BK117" s="23"/>
      <c r="BL117" s="23"/>
    </row>
    <row r="118" spans="2:64" ht="15" hidden="1" customHeight="1" x14ac:dyDescent="0.3">
      <c r="B118" s="1126" t="s">
        <v>881</v>
      </c>
      <c r="C118" s="209"/>
      <c r="E118" s="209"/>
      <c r="F118" s="209"/>
      <c r="G118" s="209"/>
      <c r="H118" s="209"/>
      <c r="I118" s="209"/>
      <c r="J118" s="209"/>
      <c r="K118" s="1419"/>
      <c r="L118" s="209"/>
      <c r="M118" s="209"/>
      <c r="N118" s="209"/>
      <c r="O118" s="1419"/>
      <c r="P118" s="209"/>
      <c r="Q118" s="209"/>
      <c r="R118" s="209"/>
      <c r="S118" s="1419"/>
      <c r="T118" s="209"/>
      <c r="U118" s="209"/>
      <c r="V118" s="209"/>
      <c r="W118" s="209"/>
      <c r="X118" s="209"/>
      <c r="Y118" s="209"/>
      <c r="Z118" s="209"/>
      <c r="AA118" s="209"/>
      <c r="AB118" s="209"/>
      <c r="AW118" s="23">
        <f t="shared" si="358"/>
        <v>0</v>
      </c>
      <c r="AX118" s="23">
        <f t="shared" si="359"/>
        <v>0</v>
      </c>
      <c r="BG118" s="23"/>
      <c r="BH118" s="23"/>
      <c r="BI118" s="23"/>
      <c r="BJ118" s="23"/>
      <c r="BK118" s="23"/>
      <c r="BL118" s="23"/>
    </row>
    <row r="119" spans="2:64" ht="15" hidden="1" customHeight="1" x14ac:dyDescent="0.3">
      <c r="B119" s="1072" t="s">
        <v>748</v>
      </c>
      <c r="C119" s="209"/>
      <c r="E119" s="209"/>
      <c r="F119" s="209"/>
      <c r="G119" s="209"/>
      <c r="H119" s="209"/>
      <c r="I119" s="209"/>
      <c r="J119" s="209"/>
      <c r="K119" s="1419"/>
      <c r="L119" s="209"/>
      <c r="M119" s="209"/>
      <c r="N119" s="209"/>
      <c r="O119" s="1419"/>
      <c r="P119" s="209"/>
      <c r="Q119" s="209"/>
      <c r="R119" s="209"/>
      <c r="S119" s="1419"/>
      <c r="T119" s="209"/>
      <c r="U119" s="209"/>
      <c r="V119" s="209"/>
      <c r="W119" s="209"/>
      <c r="X119" s="209"/>
      <c r="Y119" s="209"/>
      <c r="Z119" s="209"/>
      <c r="AA119" s="209"/>
      <c r="AB119" s="209"/>
      <c r="AW119" s="23">
        <f t="shared" si="358"/>
        <v>0</v>
      </c>
      <c r="AX119" s="23">
        <f t="shared" si="359"/>
        <v>0</v>
      </c>
      <c r="BG119" s="23"/>
      <c r="BH119" s="23"/>
      <c r="BI119" s="23"/>
      <c r="BJ119" s="23"/>
      <c r="BK119" s="23"/>
      <c r="BL119" s="23"/>
    </row>
    <row r="120" spans="2:64" ht="15" hidden="1" customHeight="1" x14ac:dyDescent="0.3">
      <c r="B120" s="1127" t="s">
        <v>886</v>
      </c>
      <c r="C120" s="1128" t="s">
        <v>49</v>
      </c>
      <c r="D120" s="673"/>
      <c r="E120" s="1129"/>
      <c r="F120" s="1130">
        <v>8</v>
      </c>
      <c r="G120" s="1129"/>
      <c r="H120" s="1130">
        <v>8</v>
      </c>
      <c r="I120" s="1131"/>
      <c r="J120" s="1132">
        <v>8</v>
      </c>
      <c r="K120" s="1135"/>
      <c r="L120" s="1130">
        <v>8</v>
      </c>
      <c r="M120" s="1133"/>
      <c r="N120" s="1134">
        <v>8</v>
      </c>
      <c r="O120" s="1135"/>
      <c r="P120" s="1130">
        <v>8</v>
      </c>
      <c r="Q120" s="1131"/>
      <c r="R120" s="1132">
        <v>8</v>
      </c>
      <c r="S120" s="1135"/>
      <c r="T120" s="1130">
        <v>8</v>
      </c>
      <c r="U120" s="1131"/>
      <c r="V120" s="1132">
        <v>8</v>
      </c>
      <c r="W120" s="1135"/>
      <c r="X120" s="1136">
        <v>8</v>
      </c>
      <c r="Y120" s="1133"/>
      <c r="Z120" s="1134">
        <v>8</v>
      </c>
      <c r="AA120" s="1137"/>
      <c r="AB120" s="1138">
        <v>8</v>
      </c>
      <c r="AW120" s="23">
        <f t="shared" si="358"/>
        <v>0</v>
      </c>
      <c r="AX120" s="23">
        <f t="shared" si="359"/>
        <v>0</v>
      </c>
      <c r="BG120" s="23"/>
      <c r="BH120" s="23"/>
      <c r="BI120" s="23"/>
      <c r="BJ120" s="23"/>
      <c r="BK120" s="23"/>
      <c r="BL120" s="23"/>
    </row>
    <row r="121" spans="2:64" ht="15" hidden="1" customHeight="1" x14ac:dyDescent="0.3">
      <c r="B121" s="1127" t="s">
        <v>887</v>
      </c>
      <c r="C121" s="1128" t="s">
        <v>49</v>
      </c>
      <c r="D121" s="673"/>
      <c r="E121" s="1139"/>
      <c r="F121" s="1140" t="e">
        <f>+'B-FCE'!#REF!</f>
        <v>#REF!</v>
      </c>
      <c r="G121" s="1139"/>
      <c r="H121" s="1140" t="e">
        <f>+'B-FCE'!#REF!</f>
        <v>#REF!</v>
      </c>
      <c r="I121" s="1141"/>
      <c r="J121" s="1142" t="e">
        <f>+'B-FCE'!#REF!</f>
        <v>#REF!</v>
      </c>
      <c r="K121" s="1145"/>
      <c r="L121" s="1140" t="e">
        <f>+'B-FCE'!#REF!</f>
        <v>#REF!</v>
      </c>
      <c r="M121" s="1143"/>
      <c r="N121" s="1144" t="e">
        <f>+'B-FCE'!#REF!</f>
        <v>#REF!</v>
      </c>
      <c r="O121" s="1145"/>
      <c r="P121" s="1140" t="e">
        <f>+'B-FCE'!#REF!</f>
        <v>#REF!</v>
      </c>
      <c r="Q121" s="1141"/>
      <c r="R121" s="1142" t="e">
        <f>+'B-FCE'!#REF!</f>
        <v>#REF!</v>
      </c>
      <c r="S121" s="1145"/>
      <c r="T121" s="1140" t="e">
        <f>+'B-FCE'!#REF!</f>
        <v>#REF!</v>
      </c>
      <c r="U121" s="1141"/>
      <c r="V121" s="1142" t="e">
        <f>+'B-FCE'!#REF!</f>
        <v>#REF!</v>
      </c>
      <c r="W121" s="1145"/>
      <c r="X121" s="1146" t="e">
        <f>+'B-FCE'!#REF!</f>
        <v>#REF!</v>
      </c>
      <c r="Y121" s="1143"/>
      <c r="Z121" s="1144" t="e">
        <f>+'B-FCE'!#REF!</f>
        <v>#REF!</v>
      </c>
      <c r="AA121" s="1147"/>
      <c r="AB121" s="1148" t="e">
        <f>+'B-FCE'!#REF!</f>
        <v>#REF!</v>
      </c>
      <c r="AW121" s="23">
        <f t="shared" si="358"/>
        <v>0</v>
      </c>
      <c r="AX121" s="23">
        <f t="shared" si="359"/>
        <v>0</v>
      </c>
      <c r="BG121" s="23"/>
      <c r="BH121" s="23"/>
      <c r="BI121" s="23"/>
      <c r="BJ121" s="23"/>
      <c r="BK121" s="23"/>
      <c r="BL121" s="23"/>
    </row>
    <row r="122" spans="2:64" ht="15" hidden="1" customHeight="1" x14ac:dyDescent="0.3">
      <c r="B122" s="1127" t="s">
        <v>882</v>
      </c>
      <c r="C122" s="1128" t="s">
        <v>49</v>
      </c>
      <c r="D122" s="673"/>
      <c r="E122" s="1139"/>
      <c r="F122" s="1140">
        <v>2.5</v>
      </c>
      <c r="G122" s="1139"/>
      <c r="H122" s="1140">
        <v>2.5</v>
      </c>
      <c r="I122" s="1141"/>
      <c r="J122" s="1142">
        <v>2.5</v>
      </c>
      <c r="K122" s="1145"/>
      <c r="L122" s="1140">
        <v>2.5</v>
      </c>
      <c r="M122" s="1143"/>
      <c r="N122" s="1144">
        <v>2.5</v>
      </c>
      <c r="O122" s="1145"/>
      <c r="P122" s="1140">
        <v>2.5</v>
      </c>
      <c r="Q122" s="1141"/>
      <c r="R122" s="1142">
        <v>2.5</v>
      </c>
      <c r="S122" s="1145"/>
      <c r="T122" s="1140">
        <v>2.5</v>
      </c>
      <c r="U122" s="1141"/>
      <c r="V122" s="1142">
        <v>2.5</v>
      </c>
      <c r="W122" s="1145"/>
      <c r="X122" s="1146">
        <v>2.5</v>
      </c>
      <c r="Y122" s="1143"/>
      <c r="Z122" s="1144">
        <v>2.5</v>
      </c>
      <c r="AA122" s="1147"/>
      <c r="AB122" s="1148">
        <v>2.5</v>
      </c>
      <c r="AW122" s="23">
        <f t="shared" si="358"/>
        <v>0</v>
      </c>
      <c r="AX122" s="23">
        <f t="shared" si="359"/>
        <v>0</v>
      </c>
      <c r="BG122" s="23"/>
      <c r="BH122" s="23"/>
      <c r="BI122" s="23"/>
      <c r="BJ122" s="23"/>
      <c r="BK122" s="23"/>
      <c r="BL122" s="23"/>
    </row>
    <row r="123" spans="2:64" ht="15" hidden="1" customHeight="1" x14ac:dyDescent="0.3">
      <c r="B123" s="1149" t="s">
        <v>884</v>
      </c>
      <c r="C123" s="1150" t="s">
        <v>883</v>
      </c>
      <c r="D123" s="1326"/>
      <c r="E123" s="1129"/>
      <c r="F123" s="1130">
        <f>+(F6/(F67/1000))*(100-F120)/100</f>
        <v>715.97542346990735</v>
      </c>
      <c r="G123" s="1129"/>
      <c r="H123" s="1130">
        <f>+(H6/(H67/1000))*(100-H120)/100</f>
        <v>718.01931523419569</v>
      </c>
      <c r="I123" s="1131"/>
      <c r="J123" s="1132">
        <f>+(J6/(J67/1000))*(100-J120)/100</f>
        <v>716.59729069614116</v>
      </c>
      <c r="K123" s="1135"/>
      <c r="L123" s="1130">
        <f>+(L6/(L67/1000))*(100-L120)/100</f>
        <v>720.5542769364879</v>
      </c>
      <c r="M123" s="1133"/>
      <c r="N123" s="1134">
        <f>+(N6/(N67/1000))*(100-N120)/100</f>
        <v>718.28086501766779</v>
      </c>
      <c r="O123" s="1135"/>
      <c r="P123" s="1130">
        <f>+(P6/(P67/1000))*(100-P120)/100</f>
        <v>720.83928032968151</v>
      </c>
      <c r="Q123" s="1131"/>
      <c r="R123" s="1132">
        <f>+(R6/(R67/1000))*(100-R120)/100</f>
        <v>719.07484393703669</v>
      </c>
      <c r="S123" s="1135"/>
      <c r="T123" s="1130">
        <f>+(T6/(T67/1000))*(100-T120)/100</f>
        <v>720.2827921154344</v>
      </c>
      <c r="U123" s="1131"/>
      <c r="V123" s="1132">
        <f>+(V6/(V67/1000))*(100-V120)/100</f>
        <v>719.35275236353471</v>
      </c>
      <c r="W123" s="1135"/>
      <c r="X123" s="1136">
        <f>+(X6/(X67/1000))*(100-X120)/100</f>
        <v>719.71717042349735</v>
      </c>
      <c r="Y123" s="1133"/>
      <c r="Z123" s="1134">
        <f>+(Z6/(Z67/1000))*(100-Z120)/100</f>
        <v>720.29098824056621</v>
      </c>
      <c r="AA123" s="1137"/>
      <c r="AB123" s="1138">
        <f>+(AB6/(AB67/1000))*(100-AB120)/100</f>
        <v>719.41969261353006</v>
      </c>
      <c r="AW123" s="23">
        <f t="shared" si="358"/>
        <v>0</v>
      </c>
      <c r="AX123" s="23">
        <f t="shared" si="359"/>
        <v>0</v>
      </c>
      <c r="BG123" s="23"/>
      <c r="BH123" s="23"/>
      <c r="BI123" s="23"/>
      <c r="BJ123" s="23"/>
      <c r="BK123" s="23"/>
      <c r="BL123" s="23"/>
    </row>
    <row r="124" spans="2:64" ht="15" hidden="1" customHeight="1" x14ac:dyDescent="0.3">
      <c r="B124" s="1149" t="s">
        <v>48</v>
      </c>
      <c r="C124" s="1151" t="s">
        <v>351</v>
      </c>
      <c r="D124" s="773"/>
      <c r="E124" s="1129"/>
      <c r="F124" s="1130">
        <f>+F123*F67/1000</f>
        <v>253103.04</v>
      </c>
      <c r="G124" s="1129"/>
      <c r="H124" s="1130">
        <f>+H123*H67/1000</f>
        <v>111000.76000000001</v>
      </c>
      <c r="I124" s="1131"/>
      <c r="J124" s="1132">
        <f>+J123*J67/1000</f>
        <v>364103.8</v>
      </c>
      <c r="K124" s="1135"/>
      <c r="L124" s="1130">
        <f>+L123*L67/1000</f>
        <v>271125.84000000008</v>
      </c>
      <c r="M124" s="1133"/>
      <c r="N124" s="1134">
        <f>+N123*N67/1000</f>
        <v>635229.64</v>
      </c>
      <c r="O124" s="1135"/>
      <c r="P124" s="1130">
        <f>+P123*P67/1000</f>
        <v>286865.20000000007</v>
      </c>
      <c r="Q124" s="1131"/>
      <c r="R124" s="1132">
        <f>+R123*R67/1000</f>
        <v>922094.84</v>
      </c>
      <c r="S124" s="1135"/>
      <c r="T124" s="1130">
        <f>+T123*T67/1000</f>
        <v>275997.24000000005</v>
      </c>
      <c r="U124" s="1131"/>
      <c r="V124" s="1132">
        <f>+V123*V67/1000</f>
        <v>1198092.0800000003</v>
      </c>
      <c r="W124" s="1135"/>
      <c r="X124" s="1136">
        <f>+X123*X67/1000</f>
        <v>269738.48000000004</v>
      </c>
      <c r="Y124" s="1133"/>
      <c r="Z124" s="1134">
        <f>+Z123*Z67/1000</f>
        <v>832600.92</v>
      </c>
      <c r="AA124" s="1137"/>
      <c r="AB124" s="1138">
        <f>+AB123*AB67/1000</f>
        <v>1467830.5600000003</v>
      </c>
      <c r="AW124" s="23">
        <f t="shared" si="358"/>
        <v>0</v>
      </c>
      <c r="AX124" s="23">
        <f t="shared" si="359"/>
        <v>0</v>
      </c>
      <c r="BG124" s="23"/>
      <c r="BH124" s="23"/>
      <c r="BI124" s="23"/>
      <c r="BJ124" s="23"/>
      <c r="BK124" s="23"/>
      <c r="BL124" s="23"/>
    </row>
    <row r="125" spans="2:64" ht="15" hidden="1" customHeight="1" x14ac:dyDescent="0.3">
      <c r="B125" s="1127" t="s">
        <v>208</v>
      </c>
      <c r="C125" s="1151" t="s">
        <v>351</v>
      </c>
      <c r="D125" s="773"/>
      <c r="E125" s="1129"/>
      <c r="F125" s="1130">
        <f>+F124*F120/(100-F120)</f>
        <v>22008.959999999999</v>
      </c>
      <c r="G125" s="1129"/>
      <c r="H125" s="1130">
        <f>+H124*H120/(100-H120)</f>
        <v>9652.2400000000016</v>
      </c>
      <c r="I125" s="1131"/>
      <c r="J125" s="1132">
        <f>+J124*J120/(100-J120)</f>
        <v>31661.200000000001</v>
      </c>
      <c r="K125" s="1135"/>
      <c r="L125" s="1130">
        <f>+L124*L120/(100-L120)</f>
        <v>23576.160000000007</v>
      </c>
      <c r="M125" s="1133"/>
      <c r="N125" s="1134">
        <f>+N124*N120/(100-N120)</f>
        <v>55237.36</v>
      </c>
      <c r="O125" s="1135"/>
      <c r="P125" s="1130">
        <f>+P124*P120/(100-P120)</f>
        <v>24944.800000000007</v>
      </c>
      <c r="Q125" s="1131"/>
      <c r="R125" s="1132">
        <f>+R124*R120/(100-R120)</f>
        <v>80182.16</v>
      </c>
      <c r="S125" s="1135"/>
      <c r="T125" s="1130">
        <f>+T124*T120/(100-T120)</f>
        <v>23999.760000000006</v>
      </c>
      <c r="U125" s="1131"/>
      <c r="V125" s="1132">
        <f>+V124*V120/(100-V120)</f>
        <v>104181.92000000003</v>
      </c>
      <c r="W125" s="1135"/>
      <c r="X125" s="1136">
        <f>+X124*X120/(100-X120)</f>
        <v>23455.520000000004</v>
      </c>
      <c r="Y125" s="1133"/>
      <c r="Z125" s="1134">
        <f>+Z124*Z120/(100-Z120)</f>
        <v>72400.08</v>
      </c>
      <c r="AA125" s="1137"/>
      <c r="AB125" s="1138">
        <f>+AB124*AB120/(100-AB120)</f>
        <v>127637.44000000003</v>
      </c>
      <c r="AW125" s="23">
        <f t="shared" si="358"/>
        <v>0</v>
      </c>
      <c r="AX125" s="23">
        <f t="shared" si="359"/>
        <v>0</v>
      </c>
      <c r="BG125" s="23"/>
      <c r="BH125" s="23"/>
      <c r="BI125" s="23"/>
      <c r="BJ125" s="23"/>
      <c r="BK125" s="23"/>
      <c r="BL125" s="23"/>
    </row>
    <row r="126" spans="2:64" ht="15" hidden="1" customHeight="1" x14ac:dyDescent="0.3">
      <c r="B126" s="1127" t="s">
        <v>801</v>
      </c>
      <c r="C126" s="1151" t="s">
        <v>351</v>
      </c>
      <c r="D126" s="773"/>
      <c r="E126" s="1129"/>
      <c r="F126" s="1130">
        <f>+F124/(100-F122)*F122</f>
        <v>6489.8215384615387</v>
      </c>
      <c r="G126" s="1129"/>
      <c r="H126" s="1130">
        <f>+H124/(100-H122)*H122</f>
        <v>2846.1733333333336</v>
      </c>
      <c r="I126" s="1131"/>
      <c r="J126" s="1132">
        <f>+J124/(100-J122)*J122</f>
        <v>9335.9948717948719</v>
      </c>
      <c r="K126" s="1135"/>
      <c r="L126" s="1130">
        <f>+L124/(100-L122)*L122</f>
        <v>6951.9446153846175</v>
      </c>
      <c r="M126" s="1133"/>
      <c r="N126" s="1134">
        <f>+N124/(100-N122)*N122</f>
        <v>16287.939487179487</v>
      </c>
      <c r="O126" s="1135"/>
      <c r="P126" s="1130">
        <f>+P124/(100-P122)*P122</f>
        <v>7355.5179487179512</v>
      </c>
      <c r="Q126" s="1131"/>
      <c r="R126" s="1132">
        <f>+R124/(100-R122)*R122</f>
        <v>23643.457435897435</v>
      </c>
      <c r="S126" s="1135"/>
      <c r="T126" s="1130">
        <f>+T124/(100-T122)*T122</f>
        <v>7076.8523076923084</v>
      </c>
      <c r="U126" s="1131"/>
      <c r="V126" s="1132">
        <f>+V124/(100-V122)*V122</f>
        <v>30720.309743589751</v>
      </c>
      <c r="W126" s="1135"/>
      <c r="X126" s="1136">
        <f>+X124/(100-X122)*X122</f>
        <v>6916.3712820512828</v>
      </c>
      <c r="Y126" s="1133"/>
      <c r="Z126" s="1134">
        <f>+Z124/(100-Z122)*Z122</f>
        <v>21348.741538461541</v>
      </c>
      <c r="AA126" s="1137"/>
      <c r="AB126" s="1138">
        <f>+AB124/(100-AB122)*AB122</f>
        <v>37636.681025641032</v>
      </c>
      <c r="AW126" s="23">
        <f t="shared" si="358"/>
        <v>0</v>
      </c>
      <c r="AX126" s="23">
        <f t="shared" si="359"/>
        <v>0</v>
      </c>
      <c r="BG126" s="23"/>
      <c r="BH126" s="23"/>
      <c r="BI126" s="23"/>
      <c r="BJ126" s="23"/>
      <c r="BK126" s="23"/>
      <c r="BL126" s="23"/>
    </row>
    <row r="127" spans="2:64" ht="15" hidden="1" customHeight="1" x14ac:dyDescent="0.3">
      <c r="B127" s="1127" t="s">
        <v>877</v>
      </c>
      <c r="C127" s="1151" t="s">
        <v>351</v>
      </c>
      <c r="D127" s="773"/>
      <c r="E127" s="1129"/>
      <c r="F127" s="1130">
        <f>+F126*F120/(100-F120)</f>
        <v>564.33230769230772</v>
      </c>
      <c r="G127" s="1129"/>
      <c r="H127" s="1130">
        <f>+H126*H120/(100-H120)</f>
        <v>247.49333333333337</v>
      </c>
      <c r="I127" s="1131"/>
      <c r="J127" s="1132">
        <f>+J126*J120/(100-J120)</f>
        <v>811.82564102564106</v>
      </c>
      <c r="K127" s="1135"/>
      <c r="L127" s="1130">
        <f>+L126*L120/(100-L120)</f>
        <v>604.51692307692326</v>
      </c>
      <c r="M127" s="1133"/>
      <c r="N127" s="1134">
        <f>+N126*N120/(100-N120)</f>
        <v>1416.342564102564</v>
      </c>
      <c r="O127" s="1135"/>
      <c r="P127" s="1130">
        <f>+P126*P120/(100-P120)</f>
        <v>639.61025641025662</v>
      </c>
      <c r="Q127" s="1131"/>
      <c r="R127" s="1132">
        <f>+R126*R120/(100-R120)</f>
        <v>2055.9528205128204</v>
      </c>
      <c r="S127" s="1135"/>
      <c r="T127" s="1130">
        <f>+T126*T120/(100-T120)</f>
        <v>615.37846153846158</v>
      </c>
      <c r="U127" s="1131"/>
      <c r="V127" s="1132">
        <f>+V126*V120/(100-V120)</f>
        <v>2671.3312820512829</v>
      </c>
      <c r="W127" s="1135"/>
      <c r="X127" s="1136">
        <f>+X126*X120/(100-X120)</f>
        <v>601.42358974358979</v>
      </c>
      <c r="Y127" s="1133"/>
      <c r="Z127" s="1134">
        <f>+Z126*Z120/(100-Z120)</f>
        <v>1856.4123076923079</v>
      </c>
      <c r="AA127" s="1137"/>
      <c r="AB127" s="1138">
        <f>+AB126*AB120/(100-AB120)</f>
        <v>3272.7548717948725</v>
      </c>
      <c r="AW127" s="23">
        <f t="shared" si="358"/>
        <v>0</v>
      </c>
      <c r="AX127" s="23">
        <f t="shared" si="359"/>
        <v>0</v>
      </c>
      <c r="BG127" s="23"/>
      <c r="BH127" s="23"/>
      <c r="BI127" s="23"/>
      <c r="BJ127" s="23"/>
      <c r="BK127" s="23"/>
      <c r="BL127" s="23"/>
    </row>
    <row r="128" spans="2:64" ht="15" hidden="1" customHeight="1" x14ac:dyDescent="0.3">
      <c r="B128" s="1127" t="s">
        <v>476</v>
      </c>
      <c r="C128" s="1151" t="s">
        <v>351</v>
      </c>
      <c r="D128" s="773"/>
      <c r="E128" s="1129"/>
      <c r="F128" s="1130">
        <f>SUM(F124:F127)</f>
        <v>282166.15384615387</v>
      </c>
      <c r="G128" s="1129"/>
      <c r="H128" s="1130">
        <f>SUM(H124:H127)</f>
        <v>123746.66666666669</v>
      </c>
      <c r="I128" s="1131"/>
      <c r="J128" s="1132">
        <f>SUM(J124:J127)</f>
        <v>405912.8205128205</v>
      </c>
      <c r="K128" s="1135"/>
      <c r="L128" s="1130">
        <f>SUM(L124:L127)</f>
        <v>302258.46153846168</v>
      </c>
      <c r="M128" s="1133"/>
      <c r="N128" s="1134">
        <f>SUM(N124:N127)</f>
        <v>708171.28205128212</v>
      </c>
      <c r="O128" s="1135"/>
      <c r="P128" s="1130">
        <f>SUM(P124:P127)</f>
        <v>319805.12820512825</v>
      </c>
      <c r="Q128" s="1131"/>
      <c r="R128" s="1132">
        <f>SUM(R124:R127)</f>
        <v>1027976.4102564103</v>
      </c>
      <c r="S128" s="1135"/>
      <c r="T128" s="1130">
        <f>SUM(T124:T127)</f>
        <v>307689.23076923081</v>
      </c>
      <c r="U128" s="1131"/>
      <c r="V128" s="1132">
        <f>SUM(V124:V127)</f>
        <v>1335665.6410256412</v>
      </c>
      <c r="W128" s="1135"/>
      <c r="X128" s="1136">
        <f>SUM(X124:X127)</f>
        <v>300711.79487179493</v>
      </c>
      <c r="Y128" s="1133"/>
      <c r="Z128" s="1134">
        <f>SUM(Z124:Z127)</f>
        <v>928206.15384615387</v>
      </c>
      <c r="AA128" s="1137"/>
      <c r="AB128" s="1138">
        <f>SUM(AB124:AB127)</f>
        <v>1636377.4358974362</v>
      </c>
      <c r="AW128" s="23">
        <f t="shared" si="358"/>
        <v>0</v>
      </c>
      <c r="AX128" s="23">
        <f t="shared" si="359"/>
        <v>0</v>
      </c>
      <c r="BG128" s="23"/>
      <c r="BH128" s="23"/>
      <c r="BI128" s="23"/>
      <c r="BJ128" s="23"/>
      <c r="BK128" s="23"/>
      <c r="BL128" s="23"/>
    </row>
    <row r="129" spans="2:64" ht="15" hidden="1" customHeight="1" x14ac:dyDescent="0.3">
      <c r="B129" s="1152" t="s">
        <v>885</v>
      </c>
      <c r="C129" s="1151" t="s">
        <v>351</v>
      </c>
      <c r="D129" s="773"/>
      <c r="E129" s="1129"/>
      <c r="F129" s="1130" t="e">
        <f>+'B-FCE'!#REF!+SMS!F146</f>
        <v>#REF!</v>
      </c>
      <c r="G129" s="1129"/>
      <c r="H129" s="1130" t="e">
        <f>+'B-FCE'!#REF!+SMS!H146</f>
        <v>#REF!</v>
      </c>
      <c r="I129" s="1131"/>
      <c r="J129" s="1132" t="e">
        <f>+'B-FCE'!#REF!+SMS!J146</f>
        <v>#REF!</v>
      </c>
      <c r="K129" s="1135"/>
      <c r="L129" s="1130" t="e">
        <f>+'B-FCE'!#REF!+SMS!L146</f>
        <v>#REF!</v>
      </c>
      <c r="M129" s="1133"/>
      <c r="N129" s="1134" t="e">
        <f>+'B-FCE'!#REF!+SMS!N146</f>
        <v>#REF!</v>
      </c>
      <c r="O129" s="1135"/>
      <c r="P129" s="1130" t="e">
        <f>+'B-FCE'!#REF!+SMS!P146</f>
        <v>#REF!</v>
      </c>
      <c r="Q129" s="1131"/>
      <c r="R129" s="1132" t="e">
        <f>+'B-FCE'!#REF!+SMS!R146</f>
        <v>#REF!</v>
      </c>
      <c r="S129" s="1135"/>
      <c r="T129" s="1130" t="e">
        <f>+'B-FCE'!#REF!+SMS!T146</f>
        <v>#REF!</v>
      </c>
      <c r="U129" s="1131"/>
      <c r="V129" s="1132" t="e">
        <f>+'B-FCE'!#REF!+SMS!V146</f>
        <v>#REF!</v>
      </c>
      <c r="W129" s="1135"/>
      <c r="X129" s="1136" t="e">
        <f>+'B-FCE'!#REF!+SMS!X146</f>
        <v>#REF!</v>
      </c>
      <c r="Y129" s="1133"/>
      <c r="Z129" s="1134" t="e">
        <f>+'B-FCE'!#REF!+SMS!Z146</f>
        <v>#REF!</v>
      </c>
      <c r="AA129" s="1137"/>
      <c r="AB129" s="1138" t="e">
        <f>+'B-FCE'!#REF!+SMS!AB146</f>
        <v>#REF!</v>
      </c>
      <c r="AW129" s="23">
        <f t="shared" si="358"/>
        <v>0</v>
      </c>
      <c r="AX129" s="23">
        <f t="shared" si="359"/>
        <v>0</v>
      </c>
      <c r="BG129" s="23"/>
      <c r="BH129" s="23"/>
      <c r="BI129" s="23"/>
      <c r="BJ129" s="23"/>
      <c r="BK129" s="23"/>
      <c r="BL129" s="23"/>
    </row>
    <row r="130" spans="2:64" ht="15" hidden="1" customHeight="1" x14ac:dyDescent="0.3">
      <c r="B130" s="1127" t="s">
        <v>208</v>
      </c>
      <c r="C130" s="1151" t="s">
        <v>351</v>
      </c>
      <c r="D130" s="773"/>
      <c r="E130" s="1129"/>
      <c r="F130" s="1130" t="e">
        <f>+F129*F121/(100-F121)</f>
        <v>#REF!</v>
      </c>
      <c r="G130" s="1129"/>
      <c r="H130" s="1130" t="e">
        <f>+H129*H121/(100-H121)</f>
        <v>#REF!</v>
      </c>
      <c r="I130" s="1131"/>
      <c r="J130" s="1132" t="e">
        <f>+J129*J121/(100-J121)</f>
        <v>#REF!</v>
      </c>
      <c r="K130" s="1135"/>
      <c r="L130" s="1130" t="e">
        <f>+L129*L121/(100-L121)</f>
        <v>#REF!</v>
      </c>
      <c r="M130" s="1133"/>
      <c r="N130" s="1134" t="e">
        <f>+N129*N121/(100-N121)</f>
        <v>#REF!</v>
      </c>
      <c r="O130" s="1135"/>
      <c r="P130" s="1130" t="e">
        <f>+P129*P121/(100-P121)</f>
        <v>#REF!</v>
      </c>
      <c r="Q130" s="1131"/>
      <c r="R130" s="1132" t="e">
        <f>+R129*R121/(100-R121)</f>
        <v>#REF!</v>
      </c>
      <c r="S130" s="1135"/>
      <c r="T130" s="1130" t="e">
        <f>+T129*T121/(100-T121)</f>
        <v>#REF!</v>
      </c>
      <c r="U130" s="1131"/>
      <c r="V130" s="1132" t="e">
        <f>+V129*V121/(100-V121)</f>
        <v>#REF!</v>
      </c>
      <c r="W130" s="1135"/>
      <c r="X130" s="1136" t="e">
        <f>+X129*X121/(100-X121)</f>
        <v>#REF!</v>
      </c>
      <c r="Y130" s="1133"/>
      <c r="Z130" s="1134" t="e">
        <f>+Z129*Z121/(100-Z121)</f>
        <v>#REF!</v>
      </c>
      <c r="AA130" s="1137"/>
      <c r="AB130" s="1138" t="e">
        <f>+AB129*AB121/(100-AB121)</f>
        <v>#REF!</v>
      </c>
      <c r="AW130" s="23">
        <f t="shared" si="358"/>
        <v>0</v>
      </c>
      <c r="AX130" s="23">
        <f t="shared" si="359"/>
        <v>0</v>
      </c>
      <c r="BG130" s="23"/>
      <c r="BH130" s="23"/>
      <c r="BI130" s="23"/>
      <c r="BJ130" s="23"/>
      <c r="BK130" s="23"/>
      <c r="BL130" s="23"/>
    </row>
    <row r="131" spans="2:64" ht="15" hidden="1" customHeight="1" x14ac:dyDescent="0.3">
      <c r="B131" s="1127" t="s">
        <v>801</v>
      </c>
      <c r="C131" s="1151" t="s">
        <v>351</v>
      </c>
      <c r="D131" s="773"/>
      <c r="E131" s="1129"/>
      <c r="F131" s="1130" t="e">
        <f>+F129/(100-F122)*F122</f>
        <v>#REF!</v>
      </c>
      <c r="G131" s="1129"/>
      <c r="H131" s="1130" t="e">
        <f>+H129/(100-H122)*H122</f>
        <v>#REF!</v>
      </c>
      <c r="I131" s="1131"/>
      <c r="J131" s="1132" t="e">
        <f>+J129/(100-J122)*J122</f>
        <v>#REF!</v>
      </c>
      <c r="K131" s="1135"/>
      <c r="L131" s="1130" t="e">
        <f>+L129/(100-L122)*L122</f>
        <v>#REF!</v>
      </c>
      <c r="M131" s="1133"/>
      <c r="N131" s="1134" t="e">
        <f>+N129/(100-N122)*N122</f>
        <v>#REF!</v>
      </c>
      <c r="O131" s="1135"/>
      <c r="P131" s="1130" t="e">
        <f>+P129/(100-P122)*P122</f>
        <v>#REF!</v>
      </c>
      <c r="Q131" s="1131"/>
      <c r="R131" s="1132" t="e">
        <f>+R129/(100-R122)*R122</f>
        <v>#REF!</v>
      </c>
      <c r="S131" s="1135"/>
      <c r="T131" s="1130" t="e">
        <f>+T129/(100-T122)*T122</f>
        <v>#REF!</v>
      </c>
      <c r="U131" s="1131"/>
      <c r="V131" s="1132" t="e">
        <f>+V129/(100-V122)*V122</f>
        <v>#REF!</v>
      </c>
      <c r="W131" s="1135"/>
      <c r="X131" s="1136" t="e">
        <f>+X129/(100-X122)*X122</f>
        <v>#REF!</v>
      </c>
      <c r="Y131" s="1133"/>
      <c r="Z131" s="1134" t="e">
        <f>+Z129/(100-Z122)*Z122</f>
        <v>#REF!</v>
      </c>
      <c r="AA131" s="1137"/>
      <c r="AB131" s="1138" t="e">
        <f>+AB129/(100-AB122)*AB122</f>
        <v>#REF!</v>
      </c>
      <c r="AW131" s="23">
        <f t="shared" si="358"/>
        <v>0</v>
      </c>
      <c r="AX131" s="23">
        <f t="shared" si="359"/>
        <v>0</v>
      </c>
      <c r="BG131" s="23"/>
      <c r="BH131" s="23"/>
      <c r="BI131" s="23"/>
      <c r="BJ131" s="23"/>
      <c r="BK131" s="23"/>
      <c r="BL131" s="23"/>
    </row>
    <row r="132" spans="2:64" ht="15" hidden="1" customHeight="1" x14ac:dyDescent="0.3">
      <c r="B132" s="1127" t="s">
        <v>877</v>
      </c>
      <c r="C132" s="1151" t="s">
        <v>351</v>
      </c>
      <c r="D132" s="773"/>
      <c r="E132" s="1129"/>
      <c r="F132" s="1130" t="e">
        <f>+F131*F121/(100-F121)</f>
        <v>#REF!</v>
      </c>
      <c r="G132" s="1129"/>
      <c r="H132" s="1130" t="e">
        <f>+H131*H121/(100-H121)</f>
        <v>#REF!</v>
      </c>
      <c r="I132" s="1131"/>
      <c r="J132" s="1132" t="e">
        <f>+J131*J121/(100-J121)</f>
        <v>#REF!</v>
      </c>
      <c r="K132" s="1135"/>
      <c r="L132" s="1130" t="e">
        <f>+L131*L121/(100-L121)</f>
        <v>#REF!</v>
      </c>
      <c r="M132" s="1133"/>
      <c r="N132" s="1134" t="e">
        <f>+N131*N121/(100-N121)</f>
        <v>#REF!</v>
      </c>
      <c r="O132" s="1135"/>
      <c r="P132" s="1130" t="e">
        <f>+P131*P121/(100-P121)</f>
        <v>#REF!</v>
      </c>
      <c r="Q132" s="1131"/>
      <c r="R132" s="1132" t="e">
        <f>+R131*R121/(100-R121)</f>
        <v>#REF!</v>
      </c>
      <c r="S132" s="1135"/>
      <c r="T132" s="1130" t="e">
        <f>+T131*T121/(100-T121)</f>
        <v>#REF!</v>
      </c>
      <c r="U132" s="1131"/>
      <c r="V132" s="1132" t="e">
        <f>+V131*V121/(100-V121)</f>
        <v>#REF!</v>
      </c>
      <c r="W132" s="1135"/>
      <c r="X132" s="1136" t="e">
        <f>+X131*X121/(100-X121)</f>
        <v>#REF!</v>
      </c>
      <c r="Y132" s="1133"/>
      <c r="Z132" s="1134" t="e">
        <f>+Z131*Z121/(100-Z121)</f>
        <v>#REF!</v>
      </c>
      <c r="AA132" s="1137"/>
      <c r="AB132" s="1138" t="e">
        <f>+AB131*AB121/(100-AB121)</f>
        <v>#REF!</v>
      </c>
      <c r="AW132" s="23">
        <f t="shared" si="358"/>
        <v>0</v>
      </c>
      <c r="AX132" s="23">
        <f t="shared" si="359"/>
        <v>0</v>
      </c>
      <c r="BG132" s="23"/>
      <c r="BH132" s="23"/>
      <c r="BI132" s="23"/>
      <c r="BJ132" s="23"/>
      <c r="BK132" s="23"/>
      <c r="BL132" s="23"/>
    </row>
    <row r="133" spans="2:64" ht="15" hidden="1" customHeight="1" x14ac:dyDescent="0.3">
      <c r="B133" s="1127" t="s">
        <v>476</v>
      </c>
      <c r="C133" s="1151" t="s">
        <v>351</v>
      </c>
      <c r="D133" s="773"/>
      <c r="E133" s="1129"/>
      <c r="F133" s="1130" t="e">
        <f>SUM(F129:F132)</f>
        <v>#REF!</v>
      </c>
      <c r="G133" s="1129"/>
      <c r="H133" s="1130" t="e">
        <f>SUM(H129:H132)</f>
        <v>#REF!</v>
      </c>
      <c r="I133" s="1131"/>
      <c r="J133" s="1132" t="e">
        <f>SUM(J129:J132)</f>
        <v>#REF!</v>
      </c>
      <c r="K133" s="1135"/>
      <c r="L133" s="1130" t="e">
        <f>SUM(L129:L132)</f>
        <v>#REF!</v>
      </c>
      <c r="M133" s="1133"/>
      <c r="N133" s="1134" t="e">
        <f>SUM(N129:N132)</f>
        <v>#REF!</v>
      </c>
      <c r="O133" s="1135"/>
      <c r="P133" s="1130" t="e">
        <f>SUM(P129:P132)</f>
        <v>#REF!</v>
      </c>
      <c r="Q133" s="1131"/>
      <c r="R133" s="1132" t="e">
        <f>SUM(R129:R132)</f>
        <v>#REF!</v>
      </c>
      <c r="S133" s="1135"/>
      <c r="T133" s="1130" t="e">
        <f>SUM(T129:T132)</f>
        <v>#REF!</v>
      </c>
      <c r="U133" s="1131"/>
      <c r="V133" s="1132" t="e">
        <f>SUM(V129:V132)</f>
        <v>#REF!</v>
      </c>
      <c r="W133" s="1135"/>
      <c r="X133" s="1136" t="e">
        <f>SUM(X129:X132)</f>
        <v>#REF!</v>
      </c>
      <c r="Y133" s="1133"/>
      <c r="Z133" s="1134" t="e">
        <f>SUM(Z129:Z132)</f>
        <v>#REF!</v>
      </c>
      <c r="AA133" s="1137"/>
      <c r="AB133" s="1138" t="e">
        <f>SUM(AB129:AB132)</f>
        <v>#REF!</v>
      </c>
      <c r="AW133" s="23">
        <f t="shared" si="358"/>
        <v>0</v>
      </c>
      <c r="AX133" s="23">
        <f t="shared" si="359"/>
        <v>0</v>
      </c>
      <c r="BG133" s="23"/>
      <c r="BH133" s="23"/>
      <c r="BI133" s="23"/>
      <c r="BJ133" s="23"/>
      <c r="BK133" s="23"/>
      <c r="BL133" s="23"/>
    </row>
    <row r="134" spans="2:64" ht="15" hidden="1" customHeight="1" x14ac:dyDescent="0.3">
      <c r="B134" s="1152"/>
      <c r="C134" s="1150"/>
      <c r="D134" s="1326"/>
      <c r="E134" s="1129"/>
      <c r="F134" s="1130"/>
      <c r="G134" s="1129"/>
      <c r="H134" s="1130"/>
      <c r="I134" s="1131"/>
      <c r="J134" s="1132"/>
      <c r="K134" s="1135"/>
      <c r="L134" s="1130"/>
      <c r="M134" s="1133"/>
      <c r="N134" s="1134"/>
      <c r="O134" s="1135"/>
      <c r="P134" s="1130"/>
      <c r="Q134" s="1131"/>
      <c r="R134" s="1132"/>
      <c r="S134" s="1135"/>
      <c r="T134" s="1130"/>
      <c r="U134" s="1131"/>
      <c r="V134" s="1132"/>
      <c r="W134" s="1135"/>
      <c r="X134" s="1136"/>
      <c r="Y134" s="1133"/>
      <c r="Z134" s="1134"/>
      <c r="AA134" s="1137"/>
      <c r="AB134" s="1138"/>
      <c r="AW134" s="23">
        <f t="shared" si="358"/>
        <v>0</v>
      </c>
      <c r="AX134" s="23">
        <f t="shared" si="359"/>
        <v>0</v>
      </c>
      <c r="BG134" s="23"/>
      <c r="BH134" s="23"/>
      <c r="BI134" s="23"/>
      <c r="BJ134" s="23"/>
      <c r="BK134" s="23"/>
      <c r="BL134" s="23"/>
    </row>
    <row r="135" spans="2:64" ht="15" hidden="1" customHeight="1" x14ac:dyDescent="0.3">
      <c r="B135" s="1127" t="s">
        <v>888</v>
      </c>
      <c r="C135" s="1151" t="s">
        <v>351</v>
      </c>
      <c r="D135" s="773"/>
      <c r="E135" s="1129"/>
      <c r="F135" s="1130" t="e">
        <f>+F128-F133</f>
        <v>#REF!</v>
      </c>
      <c r="G135" s="1129"/>
      <c r="H135" s="1130" t="e">
        <f>+H128-H133</f>
        <v>#REF!</v>
      </c>
      <c r="I135" s="1131"/>
      <c r="J135" s="1132" t="e">
        <f>+J128-J133</f>
        <v>#REF!</v>
      </c>
      <c r="K135" s="1135"/>
      <c r="L135" s="1130" t="e">
        <f>+L128-L133</f>
        <v>#REF!</v>
      </c>
      <c r="M135" s="1133"/>
      <c r="N135" s="1134" t="e">
        <f>+N128-N133</f>
        <v>#REF!</v>
      </c>
      <c r="O135" s="1135"/>
      <c r="P135" s="1130" t="e">
        <f>+P128-P133</f>
        <v>#REF!</v>
      </c>
      <c r="Q135" s="1131"/>
      <c r="R135" s="1132" t="e">
        <f>+R128-R133</f>
        <v>#REF!</v>
      </c>
      <c r="S135" s="1135"/>
      <c r="T135" s="1130" t="e">
        <f>+T128-T133</f>
        <v>#REF!</v>
      </c>
      <c r="U135" s="1131"/>
      <c r="V135" s="1132" t="e">
        <f>+V128-V133</f>
        <v>#REF!</v>
      </c>
      <c r="W135" s="1135"/>
      <c r="X135" s="1136" t="e">
        <f>+X128-X133</f>
        <v>#REF!</v>
      </c>
      <c r="Y135" s="1133"/>
      <c r="Z135" s="1134" t="e">
        <f>+Z128-Z133</f>
        <v>#REF!</v>
      </c>
      <c r="AA135" s="1137"/>
      <c r="AB135" s="1138" t="e">
        <f>+AB128-AB133</f>
        <v>#REF!</v>
      </c>
      <c r="AW135" s="23">
        <f t="shared" si="358"/>
        <v>0</v>
      </c>
      <c r="AX135" s="23">
        <f t="shared" si="359"/>
        <v>0</v>
      </c>
      <c r="BG135" s="23"/>
      <c r="BH135" s="23"/>
      <c r="BI135" s="23"/>
      <c r="BJ135" s="23"/>
      <c r="BK135" s="23"/>
      <c r="BL135" s="23"/>
    </row>
    <row r="136" spans="2:64" ht="15" hidden="1" customHeight="1" x14ac:dyDescent="0.3">
      <c r="B136" s="1152"/>
      <c r="C136" s="1150"/>
      <c r="E136" s="209"/>
      <c r="F136" s="209"/>
      <c r="G136" s="209"/>
      <c r="H136" s="209"/>
      <c r="I136" s="209"/>
      <c r="J136" s="209"/>
      <c r="K136" s="1419"/>
      <c r="L136" s="209"/>
      <c r="M136" s="209"/>
      <c r="N136" s="209"/>
      <c r="O136" s="1419"/>
      <c r="P136" s="209"/>
      <c r="Q136" s="209"/>
      <c r="R136" s="209"/>
      <c r="S136" s="1419"/>
      <c r="T136" s="209"/>
      <c r="U136" s="209"/>
      <c r="V136" s="209"/>
      <c r="W136" s="209"/>
      <c r="X136" s="209"/>
      <c r="Y136" s="209"/>
      <c r="Z136" s="209"/>
      <c r="AA136" s="209"/>
      <c r="AB136" s="209"/>
      <c r="AW136" s="23">
        <f t="shared" si="358"/>
        <v>0</v>
      </c>
      <c r="AX136" s="23">
        <f t="shared" si="359"/>
        <v>0</v>
      </c>
      <c r="BG136" s="23"/>
      <c r="BH136" s="23"/>
      <c r="BI136" s="23"/>
      <c r="BJ136" s="23"/>
      <c r="BK136" s="23"/>
      <c r="BL136" s="23"/>
    </row>
    <row r="137" spans="2:64" ht="15.75" hidden="1" customHeight="1" x14ac:dyDescent="0.3">
      <c r="B137" s="1153" t="s">
        <v>750</v>
      </c>
      <c r="C137" s="1150"/>
      <c r="E137" s="209"/>
      <c r="F137" s="209"/>
      <c r="G137" s="209"/>
      <c r="H137" s="209"/>
      <c r="I137" s="209"/>
      <c r="J137" s="209"/>
      <c r="K137" s="1419"/>
      <c r="L137" s="209"/>
      <c r="M137" s="209"/>
      <c r="N137" s="209"/>
      <c r="O137" s="1419"/>
      <c r="P137" s="209"/>
      <c r="Q137" s="209"/>
      <c r="R137" s="209"/>
      <c r="S137" s="1419"/>
      <c r="T137" s="209"/>
      <c r="U137" s="209"/>
      <c r="V137" s="209"/>
      <c r="W137" s="209"/>
      <c r="X137" s="209"/>
      <c r="Y137" s="209"/>
      <c r="Z137" s="209"/>
      <c r="AA137" s="209"/>
      <c r="AB137" s="209"/>
      <c r="AW137" s="23">
        <f t="shared" si="358"/>
        <v>0</v>
      </c>
      <c r="AX137" s="23">
        <f t="shared" si="359"/>
        <v>0</v>
      </c>
      <c r="BG137" s="23"/>
      <c r="BH137" s="23"/>
      <c r="BI137" s="23"/>
      <c r="BJ137" s="23"/>
      <c r="BK137" s="23"/>
      <c r="BL137" s="23"/>
    </row>
    <row r="138" spans="2:64" ht="15" hidden="1" customHeight="1" x14ac:dyDescent="0.3">
      <c r="B138" s="1127" t="s">
        <v>19</v>
      </c>
      <c r="C138" s="1151" t="s">
        <v>351</v>
      </c>
      <c r="D138" s="773"/>
      <c r="E138" s="1129"/>
      <c r="F138" s="1130">
        <f>+F7+F42</f>
        <v>16982</v>
      </c>
      <c r="G138" s="1129"/>
      <c r="H138" s="1130">
        <f>+H7+H42</f>
        <v>10200</v>
      </c>
      <c r="I138" s="1131"/>
      <c r="J138" s="1132">
        <f>+J7+J42</f>
        <v>27182</v>
      </c>
      <c r="K138" s="1135"/>
      <c r="L138" s="1130">
        <f>+L7+L42</f>
        <v>19567</v>
      </c>
      <c r="M138" s="1133"/>
      <c r="N138" s="1134">
        <f>+N7+N42</f>
        <v>46749</v>
      </c>
      <c r="O138" s="1135"/>
      <c r="P138" s="1130">
        <f>+P7+P42</f>
        <v>30125</v>
      </c>
      <c r="Q138" s="1131"/>
      <c r="R138" s="1132">
        <f>+R7+R42</f>
        <v>76874</v>
      </c>
      <c r="S138" s="1135"/>
      <c r="T138" s="1130">
        <f>+T7+T42</f>
        <v>24036</v>
      </c>
      <c r="U138" s="1131"/>
      <c r="V138" s="1132">
        <f>+V7+V42</f>
        <v>100910</v>
      </c>
      <c r="W138" s="1135"/>
      <c r="X138" s="1136">
        <f>+X7+X42</f>
        <v>27437</v>
      </c>
      <c r="Y138" s="1133"/>
      <c r="Z138" s="1134">
        <f>+Z7+Z42</f>
        <v>81598</v>
      </c>
      <c r="AA138" s="1137"/>
      <c r="AB138" s="1138">
        <f>+AB7+AB42</f>
        <v>128347</v>
      </c>
      <c r="AW138" s="23">
        <f t="shared" si="358"/>
        <v>0</v>
      </c>
      <c r="AX138" s="23">
        <f t="shared" si="359"/>
        <v>0</v>
      </c>
      <c r="BG138" s="23"/>
      <c r="BH138" s="23"/>
      <c r="BI138" s="23"/>
      <c r="BJ138" s="23"/>
      <c r="BK138" s="23"/>
      <c r="BL138" s="23"/>
    </row>
    <row r="139" spans="2:64" ht="15" hidden="1" customHeight="1" x14ac:dyDescent="0.3">
      <c r="B139" s="1127" t="s">
        <v>882</v>
      </c>
      <c r="C139" s="1154" t="s">
        <v>49</v>
      </c>
      <c r="D139" s="1308"/>
      <c r="E139" s="1155"/>
      <c r="F139" s="1156">
        <v>1.25</v>
      </c>
      <c r="G139" s="1155"/>
      <c r="H139" s="1156">
        <v>1.25</v>
      </c>
      <c r="I139" s="1157"/>
      <c r="J139" s="1158">
        <v>1.25</v>
      </c>
      <c r="K139" s="1161"/>
      <c r="L139" s="1156">
        <v>1.25</v>
      </c>
      <c r="M139" s="1159"/>
      <c r="N139" s="1160">
        <v>1.25</v>
      </c>
      <c r="O139" s="1161"/>
      <c r="P139" s="1156">
        <v>1.25</v>
      </c>
      <c r="Q139" s="1157"/>
      <c r="R139" s="1158">
        <v>1.25</v>
      </c>
      <c r="S139" s="1161"/>
      <c r="T139" s="1156">
        <v>1.25</v>
      </c>
      <c r="U139" s="1157"/>
      <c r="V139" s="1158">
        <v>1.25</v>
      </c>
      <c r="W139" s="1161"/>
      <c r="X139" s="1162">
        <v>1.25</v>
      </c>
      <c r="Y139" s="1159"/>
      <c r="Z139" s="1160">
        <v>1.25</v>
      </c>
      <c r="AA139" s="1163"/>
      <c r="AB139" s="1164">
        <v>1.25</v>
      </c>
      <c r="AW139" s="23">
        <f t="shared" si="358"/>
        <v>0</v>
      </c>
      <c r="AX139" s="23">
        <f t="shared" si="359"/>
        <v>0</v>
      </c>
      <c r="BG139" s="23"/>
      <c r="BH139" s="23"/>
      <c r="BI139" s="23"/>
      <c r="BJ139" s="23"/>
      <c r="BK139" s="23"/>
      <c r="BL139" s="23"/>
    </row>
    <row r="140" spans="2:64" ht="15" hidden="1" customHeight="1" x14ac:dyDescent="0.3">
      <c r="B140" s="1127" t="s">
        <v>882</v>
      </c>
      <c r="C140" s="1151" t="s">
        <v>351</v>
      </c>
      <c r="D140" s="773"/>
      <c r="E140" s="1129"/>
      <c r="F140" s="1130">
        <f>+F138*F139/(100-F139)</f>
        <v>214.96202531645571</v>
      </c>
      <c r="G140" s="1129"/>
      <c r="H140" s="1130">
        <f>+H138*H139/(100-H139)</f>
        <v>129.1139240506329</v>
      </c>
      <c r="I140" s="1131"/>
      <c r="J140" s="1132">
        <f>+J138*J139/(100-J139)</f>
        <v>344.07594936708858</v>
      </c>
      <c r="K140" s="1135"/>
      <c r="L140" s="1130">
        <f>+L138*L139/(100-L139)</f>
        <v>247.68354430379748</v>
      </c>
      <c r="M140" s="1133"/>
      <c r="N140" s="1134">
        <f>+N138*N139/(100-N139)</f>
        <v>591.75949367088606</v>
      </c>
      <c r="O140" s="1135"/>
      <c r="P140" s="1130">
        <f>+P138*P139/(100-P139)</f>
        <v>381.32911392405066</v>
      </c>
      <c r="Q140" s="1131"/>
      <c r="R140" s="1132">
        <f>+R138*R139/(100-R139)</f>
        <v>973.08860759493666</v>
      </c>
      <c r="S140" s="1135"/>
      <c r="T140" s="1130">
        <f>+T138*T139/(100-T139)</f>
        <v>304.25316455696202</v>
      </c>
      <c r="U140" s="1131"/>
      <c r="V140" s="1132">
        <f>+V138*V139/(100-V139)</f>
        <v>1277.3417721518988</v>
      </c>
      <c r="W140" s="1135"/>
      <c r="X140" s="1136">
        <f>+X138*X139/(100-X139)</f>
        <v>347.30379746835445</v>
      </c>
      <c r="Y140" s="1133"/>
      <c r="Z140" s="1134">
        <f>+Z138*Z139/(100-Z139)</f>
        <v>1032.8860759493671</v>
      </c>
      <c r="AA140" s="1137"/>
      <c r="AB140" s="1138">
        <f>+AB138*AB139/(100-AB139)</f>
        <v>1624.6455696202531</v>
      </c>
      <c r="AW140" s="23">
        <f t="shared" si="358"/>
        <v>0</v>
      </c>
      <c r="AX140" s="23">
        <f t="shared" si="359"/>
        <v>0</v>
      </c>
      <c r="BG140" s="23"/>
      <c r="BH140" s="23"/>
      <c r="BI140" s="23"/>
      <c r="BJ140" s="23"/>
      <c r="BK140" s="23"/>
      <c r="BL140" s="23"/>
    </row>
    <row r="141" spans="2:64" ht="15" hidden="1" customHeight="1" x14ac:dyDescent="0.3">
      <c r="B141" s="1127" t="s">
        <v>476</v>
      </c>
      <c r="C141" s="1151" t="s">
        <v>351</v>
      </c>
      <c r="D141" s="773"/>
      <c r="E141" s="1129"/>
      <c r="F141" s="1130">
        <f>+F140+F138</f>
        <v>17196.962025316454</v>
      </c>
      <c r="G141" s="1129"/>
      <c r="H141" s="1130">
        <f>+H140+H138</f>
        <v>10329.113924050633</v>
      </c>
      <c r="I141" s="1131"/>
      <c r="J141" s="1132">
        <f>+J140+J138</f>
        <v>27526.075949367088</v>
      </c>
      <c r="K141" s="1135"/>
      <c r="L141" s="1130">
        <f>+L140+L138</f>
        <v>19814.683544303796</v>
      </c>
      <c r="M141" s="1133"/>
      <c r="N141" s="1134">
        <f>+N140+N138</f>
        <v>47340.759493670885</v>
      </c>
      <c r="O141" s="1135"/>
      <c r="P141" s="1130">
        <f>+P140+P138</f>
        <v>30506.32911392405</v>
      </c>
      <c r="Q141" s="1131"/>
      <c r="R141" s="1132">
        <f>+R140+R138</f>
        <v>77847.088607594938</v>
      </c>
      <c r="S141" s="1135"/>
      <c r="T141" s="1130">
        <f>+T140+T138</f>
        <v>24340.253164556962</v>
      </c>
      <c r="U141" s="1131"/>
      <c r="V141" s="1132">
        <f>+V140+V138</f>
        <v>102187.34177215189</v>
      </c>
      <c r="W141" s="1135"/>
      <c r="X141" s="1136">
        <f>+X140+X138</f>
        <v>27784.303797468354</v>
      </c>
      <c r="Y141" s="1133"/>
      <c r="Z141" s="1134">
        <f>+Z140+Z138</f>
        <v>82630.886075949369</v>
      </c>
      <c r="AA141" s="1137"/>
      <c r="AB141" s="1138">
        <f>+AB140+AB138</f>
        <v>129971.64556962025</v>
      </c>
      <c r="AW141" s="23">
        <f t="shared" si="358"/>
        <v>0</v>
      </c>
      <c r="AX141" s="23">
        <f t="shared" si="359"/>
        <v>0</v>
      </c>
      <c r="BG141" s="23"/>
      <c r="BH141" s="23"/>
      <c r="BI141" s="23"/>
      <c r="BJ141" s="23"/>
      <c r="BK141" s="23"/>
      <c r="BL141" s="23"/>
    </row>
    <row r="142" spans="2:64" ht="15" hidden="1" customHeight="1" x14ac:dyDescent="0.3">
      <c r="B142" s="1127"/>
      <c r="C142" s="1151"/>
      <c r="D142" s="773"/>
      <c r="E142" s="1129"/>
      <c r="F142" s="1130"/>
      <c r="G142" s="1129"/>
      <c r="H142" s="1130"/>
      <c r="I142" s="1131"/>
      <c r="J142" s="1132"/>
      <c r="K142" s="1135"/>
      <c r="L142" s="1130"/>
      <c r="M142" s="1133"/>
      <c r="N142" s="1134"/>
      <c r="O142" s="1135"/>
      <c r="P142" s="1130"/>
      <c r="Q142" s="1131"/>
      <c r="R142" s="1132"/>
      <c r="S142" s="1135"/>
      <c r="T142" s="1130"/>
      <c r="U142" s="1131"/>
      <c r="V142" s="1132"/>
      <c r="W142" s="1135"/>
      <c r="X142" s="1136"/>
      <c r="Y142" s="1133"/>
      <c r="Z142" s="1134"/>
      <c r="AA142" s="1137"/>
      <c r="AB142" s="1138"/>
      <c r="AW142" s="23">
        <f t="shared" si="358"/>
        <v>0</v>
      </c>
      <c r="AX142" s="23">
        <f t="shared" si="359"/>
        <v>0</v>
      </c>
      <c r="BG142" s="23"/>
      <c r="BH142" s="23"/>
      <c r="BI142" s="23"/>
      <c r="BJ142" s="23"/>
      <c r="BK142" s="23"/>
      <c r="BL142" s="23"/>
    </row>
    <row r="143" spans="2:64" ht="15.75" hidden="1" customHeight="1" x14ac:dyDescent="0.3">
      <c r="B143" s="1153" t="s">
        <v>749</v>
      </c>
      <c r="C143" s="1150"/>
      <c r="D143" s="1326"/>
      <c r="E143" s="1129"/>
      <c r="F143" s="1130"/>
      <c r="G143" s="1129"/>
      <c r="H143" s="1130"/>
      <c r="I143" s="1131"/>
      <c r="J143" s="1132"/>
      <c r="K143" s="1135"/>
      <c r="L143" s="1130"/>
      <c r="M143" s="1133"/>
      <c r="N143" s="1134"/>
      <c r="O143" s="1135"/>
      <c r="P143" s="1130"/>
      <c r="Q143" s="1131"/>
      <c r="R143" s="1132"/>
      <c r="S143" s="1135"/>
      <c r="T143" s="1130"/>
      <c r="U143" s="1131"/>
      <c r="V143" s="1132"/>
      <c r="W143" s="1135"/>
      <c r="X143" s="1136"/>
      <c r="Y143" s="1133"/>
      <c r="Z143" s="1134"/>
      <c r="AA143" s="1137"/>
      <c r="AB143" s="1138"/>
      <c r="AW143" s="23">
        <f t="shared" si="358"/>
        <v>0</v>
      </c>
      <c r="AX143" s="23">
        <f t="shared" si="359"/>
        <v>0</v>
      </c>
      <c r="BG143" s="23"/>
      <c r="BH143" s="23"/>
      <c r="BI143" s="23"/>
      <c r="BJ143" s="23"/>
      <c r="BK143" s="23"/>
      <c r="BL143" s="23"/>
    </row>
    <row r="144" spans="2:64" ht="15" hidden="1" customHeight="1" x14ac:dyDescent="0.3">
      <c r="B144" s="1127" t="s">
        <v>19</v>
      </c>
      <c r="C144" s="1151" t="s">
        <v>351</v>
      </c>
      <c r="D144" s="773"/>
      <c r="E144" s="1129"/>
      <c r="F144" s="1130">
        <f>+F8+F43</f>
        <v>40198</v>
      </c>
      <c r="G144" s="1129"/>
      <c r="H144" s="1130">
        <f>+H8+H43</f>
        <v>19517</v>
      </c>
      <c r="I144" s="1131"/>
      <c r="J144" s="1132">
        <f>+J8+J43</f>
        <v>59715</v>
      </c>
      <c r="K144" s="1135"/>
      <c r="L144" s="1130">
        <f>+L8+L43</f>
        <v>33999</v>
      </c>
      <c r="M144" s="1133"/>
      <c r="N144" s="1134">
        <f>+N8+N43</f>
        <v>93714</v>
      </c>
      <c r="O144" s="1135"/>
      <c r="P144" s="1130">
        <f>+P8+P43</f>
        <v>37571</v>
      </c>
      <c r="Q144" s="1131"/>
      <c r="R144" s="1132">
        <f>+R8+R43</f>
        <v>131285</v>
      </c>
      <c r="S144" s="1135"/>
      <c r="T144" s="1130">
        <f>+T8+T43</f>
        <v>37802</v>
      </c>
      <c r="U144" s="1131"/>
      <c r="V144" s="1132">
        <f>+V8+V43</f>
        <v>169087</v>
      </c>
      <c r="W144" s="1135"/>
      <c r="X144" s="1136">
        <f>+X8+X43</f>
        <v>36021</v>
      </c>
      <c r="Y144" s="1133"/>
      <c r="Z144" s="1134">
        <f>+Z8+Z43</f>
        <v>111394</v>
      </c>
      <c r="AA144" s="1137"/>
      <c r="AB144" s="1138">
        <f>+AB8+AB43</f>
        <v>205108</v>
      </c>
      <c r="AW144" s="23">
        <f t="shared" si="358"/>
        <v>0</v>
      </c>
      <c r="AX144" s="23">
        <f t="shared" si="359"/>
        <v>0</v>
      </c>
      <c r="BG144" s="23"/>
      <c r="BH144" s="23"/>
      <c r="BI144" s="23"/>
      <c r="BJ144" s="23"/>
      <c r="BK144" s="23"/>
      <c r="BL144" s="23"/>
    </row>
    <row r="145" spans="2:64" ht="15" hidden="1" customHeight="1" x14ac:dyDescent="0.3">
      <c r="B145" s="1127" t="s">
        <v>882</v>
      </c>
      <c r="C145" s="1154" t="s">
        <v>49</v>
      </c>
      <c r="D145" s="1308"/>
      <c r="E145" s="1155"/>
      <c r="F145" s="1156">
        <v>1.25</v>
      </c>
      <c r="G145" s="1155"/>
      <c r="H145" s="1156">
        <v>1.25</v>
      </c>
      <c r="I145" s="1157"/>
      <c r="J145" s="1158">
        <v>1.25</v>
      </c>
      <c r="K145" s="1161"/>
      <c r="L145" s="1156">
        <v>1.25</v>
      </c>
      <c r="M145" s="1159"/>
      <c r="N145" s="1160">
        <v>1.25</v>
      </c>
      <c r="O145" s="1161"/>
      <c r="P145" s="1156">
        <v>1.25</v>
      </c>
      <c r="Q145" s="1157"/>
      <c r="R145" s="1158">
        <v>1.25</v>
      </c>
      <c r="S145" s="1161"/>
      <c r="T145" s="1156">
        <v>1.25</v>
      </c>
      <c r="U145" s="1157"/>
      <c r="V145" s="1158">
        <v>1.25</v>
      </c>
      <c r="W145" s="1161"/>
      <c r="X145" s="1162">
        <v>1.25</v>
      </c>
      <c r="Y145" s="1159"/>
      <c r="Z145" s="1160">
        <v>1.25</v>
      </c>
      <c r="AA145" s="1163"/>
      <c r="AB145" s="1164">
        <v>1.25</v>
      </c>
      <c r="AW145" s="23">
        <f t="shared" si="358"/>
        <v>0</v>
      </c>
      <c r="AX145" s="23">
        <f t="shared" si="359"/>
        <v>0</v>
      </c>
      <c r="BG145" s="23"/>
      <c r="BH145" s="23"/>
      <c r="BI145" s="23"/>
      <c r="BJ145" s="23"/>
      <c r="BK145" s="23"/>
      <c r="BL145" s="23"/>
    </row>
    <row r="146" spans="2:64" ht="15" hidden="1" customHeight="1" x14ac:dyDescent="0.3">
      <c r="B146" s="1127" t="s">
        <v>882</v>
      </c>
      <c r="C146" s="1151" t="s">
        <v>351</v>
      </c>
      <c r="D146" s="773"/>
      <c r="E146" s="1129"/>
      <c r="F146" s="1130">
        <f>+F144*F145/(100-F145)</f>
        <v>508.8354430379747</v>
      </c>
      <c r="G146" s="1129"/>
      <c r="H146" s="1130">
        <f>+H144*H145/(100-H145)</f>
        <v>247.0506329113924</v>
      </c>
      <c r="I146" s="1131"/>
      <c r="J146" s="1132">
        <f>+J144*J145/(100-J145)</f>
        <v>755.88607594936707</v>
      </c>
      <c r="K146" s="1135"/>
      <c r="L146" s="1130">
        <f>+L144*L145/(100-L145)</f>
        <v>430.36708860759495</v>
      </c>
      <c r="M146" s="1133"/>
      <c r="N146" s="1134">
        <f>+N144*N145/(100-N145)</f>
        <v>1186.253164556962</v>
      </c>
      <c r="O146" s="1135"/>
      <c r="P146" s="1130">
        <f>+P144*P145/(100-P145)</f>
        <v>475.58227848101268</v>
      </c>
      <c r="Q146" s="1131"/>
      <c r="R146" s="1132">
        <f>+R144*R145/(100-R145)</f>
        <v>1661.8354430379748</v>
      </c>
      <c r="S146" s="1135"/>
      <c r="T146" s="1130">
        <f>+T144*T145/(100-T145)</f>
        <v>478.50632911392404</v>
      </c>
      <c r="U146" s="1131"/>
      <c r="V146" s="1132">
        <f>+V144*V145/(100-V145)</f>
        <v>2140.3417721518986</v>
      </c>
      <c r="W146" s="1135"/>
      <c r="X146" s="1136">
        <f>+X144*X145/(100-X145)</f>
        <v>455.96202531645571</v>
      </c>
      <c r="Y146" s="1133"/>
      <c r="Z146" s="1134">
        <f>+Z144*Z145/(100-Z145)</f>
        <v>1410.0506329113923</v>
      </c>
      <c r="AA146" s="1137"/>
      <c r="AB146" s="1138">
        <f>+AB144*AB145/(100-AB145)</f>
        <v>2596.3037974683543</v>
      </c>
      <c r="AW146" s="23">
        <f t="shared" si="358"/>
        <v>0</v>
      </c>
      <c r="AX146" s="23">
        <f t="shared" si="359"/>
        <v>0</v>
      </c>
      <c r="BG146" s="23"/>
      <c r="BH146" s="23"/>
      <c r="BI146" s="23"/>
      <c r="BJ146" s="23"/>
      <c r="BK146" s="23"/>
      <c r="BL146" s="23"/>
    </row>
    <row r="147" spans="2:64" ht="15" hidden="1" customHeight="1" x14ac:dyDescent="0.3">
      <c r="B147" s="1127" t="s">
        <v>476</v>
      </c>
      <c r="C147" s="1151" t="s">
        <v>351</v>
      </c>
      <c r="D147" s="773"/>
      <c r="E147" s="1129"/>
      <c r="F147" s="1130">
        <f>+F146+F144</f>
        <v>40706.835443037977</v>
      </c>
      <c r="G147" s="1129"/>
      <c r="H147" s="1130">
        <f>+H146+H144</f>
        <v>19764.050632911392</v>
      </c>
      <c r="I147" s="1131"/>
      <c r="J147" s="1132">
        <f>+J146+J144</f>
        <v>60470.886075949369</v>
      </c>
      <c r="K147" s="1135"/>
      <c r="L147" s="1130">
        <f>+L146+L144</f>
        <v>34429.367088607592</v>
      </c>
      <c r="M147" s="1133"/>
      <c r="N147" s="1134">
        <f>+N146+N144</f>
        <v>94900.253164556969</v>
      </c>
      <c r="O147" s="1135"/>
      <c r="P147" s="1130">
        <f>+P146+P144</f>
        <v>38046.582278481015</v>
      </c>
      <c r="Q147" s="1131"/>
      <c r="R147" s="1132">
        <f>+R146+R144</f>
        <v>132946.83544303797</v>
      </c>
      <c r="S147" s="1135"/>
      <c r="T147" s="1130">
        <f>+T146+T144</f>
        <v>38280.506329113923</v>
      </c>
      <c r="U147" s="1131"/>
      <c r="V147" s="1132">
        <f>+V146+V144</f>
        <v>171227.34177215191</v>
      </c>
      <c r="W147" s="1135"/>
      <c r="X147" s="1136">
        <f>+X146+X144</f>
        <v>36476.962025316454</v>
      </c>
      <c r="Y147" s="1133"/>
      <c r="Z147" s="1134">
        <f>+Z146+Z144</f>
        <v>112804.05063291139</v>
      </c>
      <c r="AA147" s="1137"/>
      <c r="AB147" s="1138">
        <f>+AB146+AB144</f>
        <v>207704.30379746837</v>
      </c>
      <c r="AW147" s="23">
        <f t="shared" ref="AW147:AW154" si="360">AS147-AU147</f>
        <v>0</v>
      </c>
      <c r="AX147" s="23">
        <f t="shared" ref="AX147:AX154" si="361">AT147-AV147</f>
        <v>0</v>
      </c>
      <c r="BG147" s="23"/>
      <c r="BH147" s="23"/>
      <c r="BI147" s="23"/>
      <c r="BJ147" s="23"/>
      <c r="BK147" s="23"/>
      <c r="BL147" s="23"/>
    </row>
    <row r="148" spans="2:64" ht="15" hidden="1" customHeight="1" x14ac:dyDescent="0.3">
      <c r="B148" s="209"/>
      <c r="C148" s="209"/>
      <c r="E148" s="209"/>
      <c r="F148" s="209"/>
      <c r="G148" s="209"/>
      <c r="H148" s="209"/>
      <c r="I148" s="209"/>
      <c r="J148" s="209"/>
      <c r="K148" s="1419"/>
      <c r="L148" s="209"/>
      <c r="M148" s="209"/>
      <c r="N148" s="209"/>
      <c r="O148" s="1419"/>
      <c r="P148" s="209"/>
      <c r="Q148" s="209"/>
      <c r="R148" s="209"/>
      <c r="S148" s="1419"/>
      <c r="T148" s="209"/>
      <c r="U148" s="209"/>
      <c r="V148" s="209"/>
      <c r="W148" s="209"/>
      <c r="X148" s="209"/>
      <c r="Y148" s="209"/>
      <c r="Z148" s="209"/>
      <c r="AA148" s="209"/>
      <c r="AB148" s="209"/>
      <c r="AW148" s="23">
        <f t="shared" si="360"/>
        <v>0</v>
      </c>
      <c r="AX148" s="23">
        <f t="shared" si="361"/>
        <v>0</v>
      </c>
      <c r="BG148" s="23"/>
      <c r="BH148" s="23"/>
      <c r="BI148" s="23"/>
      <c r="BJ148" s="23"/>
      <c r="BK148" s="23"/>
      <c r="BL148" s="23"/>
    </row>
    <row r="149" spans="2:64" ht="15" hidden="1" customHeight="1" x14ac:dyDescent="0.3">
      <c r="B149" s="209"/>
      <c r="C149" s="209"/>
      <c r="E149" s="209"/>
      <c r="F149" s="209"/>
      <c r="G149" s="209"/>
      <c r="H149" s="209"/>
      <c r="I149" s="209"/>
      <c r="J149" s="209"/>
      <c r="K149" s="1419"/>
      <c r="L149" s="209"/>
      <c r="M149" s="209"/>
      <c r="N149" s="209"/>
      <c r="O149" s="1419"/>
      <c r="P149" s="209"/>
      <c r="Q149" s="209"/>
      <c r="R149" s="209"/>
      <c r="S149" s="1419"/>
      <c r="T149" s="209"/>
      <c r="U149" s="209"/>
      <c r="V149" s="209"/>
      <c r="W149" s="209"/>
      <c r="X149" s="209"/>
      <c r="Y149" s="209"/>
      <c r="Z149" s="209"/>
      <c r="AA149" s="209"/>
      <c r="AB149" s="209"/>
      <c r="AW149" s="23">
        <f t="shared" si="360"/>
        <v>0</v>
      </c>
      <c r="AX149" s="23">
        <f t="shared" si="361"/>
        <v>0</v>
      </c>
      <c r="BG149" s="23"/>
      <c r="BH149" s="23"/>
      <c r="BI149" s="23"/>
      <c r="BJ149" s="23"/>
      <c r="BK149" s="23"/>
      <c r="BL149" s="23"/>
    </row>
    <row r="150" spans="2:64" ht="15" hidden="1" customHeight="1" x14ac:dyDescent="0.3">
      <c r="B150" s="209"/>
      <c r="C150" s="209"/>
      <c r="E150" s="209"/>
      <c r="F150" s="209"/>
      <c r="G150" s="209"/>
      <c r="H150" s="209"/>
      <c r="I150" s="209"/>
      <c r="J150" s="209"/>
      <c r="K150" s="1419"/>
      <c r="L150" s="209"/>
      <c r="M150" s="209"/>
      <c r="N150" s="209"/>
      <c r="O150" s="1419"/>
      <c r="P150" s="209"/>
      <c r="Q150" s="209"/>
      <c r="R150" s="209"/>
      <c r="S150" s="1419"/>
      <c r="T150" s="209"/>
      <c r="U150" s="209"/>
      <c r="V150" s="209"/>
      <c r="W150" s="209"/>
      <c r="X150" s="209"/>
      <c r="Y150" s="209"/>
      <c r="Z150" s="209"/>
      <c r="AA150" s="209"/>
      <c r="AB150" s="209"/>
      <c r="AW150" s="23">
        <f t="shared" si="360"/>
        <v>0</v>
      </c>
      <c r="AX150" s="23">
        <f t="shared" si="361"/>
        <v>0</v>
      </c>
      <c r="BG150" s="23"/>
      <c r="BH150" s="23"/>
      <c r="BI150" s="23"/>
      <c r="BJ150" s="23"/>
      <c r="BK150" s="23"/>
      <c r="BL150" s="23"/>
    </row>
    <row r="151" spans="2:64" ht="15" hidden="1" customHeight="1" x14ac:dyDescent="0.3">
      <c r="B151" s="209"/>
      <c r="C151" s="209"/>
      <c r="E151" s="209"/>
      <c r="F151" s="209"/>
      <c r="G151" s="209"/>
      <c r="H151" s="209"/>
      <c r="I151" s="209"/>
      <c r="J151" s="209"/>
      <c r="K151" s="1419"/>
      <c r="L151" s="209"/>
      <c r="M151" s="209"/>
      <c r="N151" s="209"/>
      <c r="O151" s="1419"/>
      <c r="P151" s="209"/>
      <c r="Q151" s="209"/>
      <c r="R151" s="209"/>
      <c r="S151" s="1419"/>
      <c r="T151" s="209"/>
      <c r="U151" s="209"/>
      <c r="V151" s="209"/>
      <c r="W151" s="209"/>
      <c r="X151" s="209"/>
      <c r="Y151" s="209"/>
      <c r="Z151" s="209"/>
      <c r="AA151" s="209"/>
      <c r="AB151" s="209"/>
      <c r="AW151" s="23">
        <f t="shared" si="360"/>
        <v>0</v>
      </c>
      <c r="AX151" s="23">
        <f t="shared" si="361"/>
        <v>0</v>
      </c>
      <c r="BG151" s="23"/>
      <c r="BH151" s="23"/>
      <c r="BI151" s="23"/>
      <c r="BJ151" s="23"/>
      <c r="BK151" s="23"/>
      <c r="BL151" s="23"/>
    </row>
    <row r="152" spans="2:64" ht="15" hidden="1" customHeight="1" x14ac:dyDescent="0.3">
      <c r="B152" s="209"/>
      <c r="C152" s="209"/>
      <c r="E152" s="209"/>
      <c r="F152" s="209"/>
      <c r="G152" s="209"/>
      <c r="H152" s="209"/>
      <c r="I152" s="209"/>
      <c r="J152" s="209"/>
      <c r="K152" s="1419"/>
      <c r="L152" s="209"/>
      <c r="M152" s="209"/>
      <c r="N152" s="209"/>
      <c r="O152" s="1419"/>
      <c r="P152" s="209"/>
      <c r="Q152" s="209"/>
      <c r="R152" s="209"/>
      <c r="S152" s="1419"/>
      <c r="T152" s="209"/>
      <c r="U152" s="209"/>
      <c r="V152" s="209"/>
      <c r="W152" s="209"/>
      <c r="X152" s="209"/>
      <c r="Y152" s="209"/>
      <c r="Z152" s="209"/>
      <c r="AA152" s="209"/>
      <c r="AB152" s="209"/>
      <c r="AW152" s="23">
        <f t="shared" si="360"/>
        <v>0</v>
      </c>
      <c r="AX152" s="23">
        <f t="shared" si="361"/>
        <v>0</v>
      </c>
      <c r="BG152" s="23"/>
      <c r="BH152" s="23"/>
      <c r="BI152" s="23"/>
      <c r="BJ152" s="23"/>
      <c r="BK152" s="23"/>
      <c r="BL152" s="23"/>
    </row>
    <row r="153" spans="2:64" ht="15" hidden="1" customHeight="1" x14ac:dyDescent="0.3">
      <c r="B153" s="209"/>
      <c r="C153" s="209"/>
      <c r="E153" s="209"/>
      <c r="F153" s="209"/>
      <c r="G153" s="209"/>
      <c r="H153" s="209"/>
      <c r="I153" s="209"/>
      <c r="J153" s="209"/>
      <c r="K153" s="1419"/>
      <c r="L153" s="209"/>
      <c r="M153" s="209"/>
      <c r="N153" s="209"/>
      <c r="O153" s="1419"/>
      <c r="P153" s="209"/>
      <c r="Q153" s="209"/>
      <c r="R153" s="209"/>
      <c r="S153" s="1419"/>
      <c r="T153" s="209"/>
      <c r="U153" s="209"/>
      <c r="V153" s="209"/>
      <c r="W153" s="209"/>
      <c r="X153" s="209"/>
      <c r="Y153" s="209"/>
      <c r="Z153" s="209"/>
      <c r="AA153" s="209"/>
      <c r="AB153" s="209"/>
      <c r="AW153" s="23">
        <f t="shared" si="360"/>
        <v>0</v>
      </c>
      <c r="AX153" s="23">
        <f t="shared" si="361"/>
        <v>0</v>
      </c>
      <c r="BG153" s="23"/>
      <c r="BH153" s="23"/>
      <c r="BI153" s="23"/>
      <c r="BJ153" s="23"/>
      <c r="BK153" s="23"/>
      <c r="BL153" s="23"/>
    </row>
    <row r="154" spans="2:64" ht="15" hidden="1" customHeight="1" x14ac:dyDescent="0.3">
      <c r="B154" s="209"/>
      <c r="C154" s="209"/>
      <c r="E154" s="209"/>
      <c r="F154" s="209"/>
      <c r="G154" s="209"/>
      <c r="H154" s="209"/>
      <c r="I154" s="209"/>
      <c r="J154" s="209"/>
      <c r="K154" s="1419"/>
      <c r="L154" s="209"/>
      <c r="M154" s="209"/>
      <c r="N154" s="209"/>
      <c r="O154" s="1419"/>
      <c r="P154" s="209"/>
      <c r="Q154" s="209"/>
      <c r="R154" s="209"/>
      <c r="S154" s="1419"/>
      <c r="T154" s="209"/>
      <c r="U154" s="209"/>
      <c r="V154" s="209"/>
      <c r="W154" s="209"/>
      <c r="X154" s="209"/>
      <c r="Y154" s="209"/>
      <c r="Z154" s="209"/>
      <c r="AA154" s="209"/>
      <c r="AB154" s="209"/>
      <c r="AW154" s="23">
        <f t="shared" si="360"/>
        <v>0</v>
      </c>
      <c r="AX154" s="23">
        <f t="shared" si="361"/>
        <v>0</v>
      </c>
      <c r="BG154" s="23"/>
      <c r="BH154" s="23"/>
      <c r="BI154" s="23"/>
      <c r="BJ154" s="23"/>
      <c r="BK154" s="23"/>
      <c r="BL154" s="23"/>
    </row>
    <row r="155" spans="2:64" ht="15" customHeight="1" x14ac:dyDescent="0.3">
      <c r="B155" s="209"/>
      <c r="C155" s="209"/>
      <c r="E155" s="209"/>
      <c r="F155" s="209"/>
      <c r="G155" s="209"/>
      <c r="H155" s="209"/>
      <c r="I155" s="209"/>
      <c r="J155" s="209"/>
      <c r="K155" s="1419"/>
      <c r="L155" s="209"/>
      <c r="M155" s="209"/>
      <c r="N155" s="209"/>
      <c r="O155" s="1419"/>
      <c r="P155" s="209"/>
      <c r="Q155" s="209"/>
      <c r="R155" s="209"/>
      <c r="S155" s="1419"/>
      <c r="T155" s="209"/>
      <c r="U155" s="209"/>
      <c r="V155" s="209"/>
      <c r="W155" s="209"/>
      <c r="X155" s="209"/>
      <c r="Y155" s="209"/>
      <c r="Z155" s="209"/>
      <c r="AA155" s="209"/>
      <c r="AB155" s="209"/>
    </row>
    <row r="156" spans="2:64" ht="15" customHeight="1" x14ac:dyDescent="0.3">
      <c r="B156" s="209"/>
      <c r="C156" s="209"/>
      <c r="E156" s="209"/>
      <c r="F156" s="173"/>
      <c r="G156" s="209"/>
      <c r="H156" s="173"/>
      <c r="I156" s="209"/>
      <c r="J156" s="209"/>
      <c r="K156" s="1419"/>
      <c r="L156" s="173"/>
      <c r="M156" s="209"/>
      <c r="N156" s="209"/>
      <c r="O156" s="1419"/>
      <c r="P156" s="173"/>
      <c r="Q156" s="209"/>
      <c r="R156" s="209"/>
      <c r="S156" s="209"/>
      <c r="T156" s="173"/>
      <c r="U156" s="209"/>
      <c r="V156" s="209"/>
      <c r="W156" s="209"/>
      <c r="X156" s="173"/>
      <c r="Y156" s="209"/>
      <c r="Z156" s="209"/>
      <c r="AA156" s="209"/>
      <c r="AB156" s="209"/>
      <c r="AD156" s="173"/>
      <c r="AH156" s="173"/>
    </row>
    <row r="157" spans="2:64" ht="15" hidden="1" customHeight="1" x14ac:dyDescent="0.3">
      <c r="B157" s="209"/>
      <c r="C157" s="209"/>
      <c r="E157" s="209"/>
      <c r="F157" s="173">
        <f>F9+F45</f>
        <v>21706</v>
      </c>
      <c r="G157" s="173">
        <f>G9+G45</f>
        <v>16520.442770833492</v>
      </c>
      <c r="H157" s="173">
        <f>H9+H45</f>
        <v>9829</v>
      </c>
      <c r="I157" s="173">
        <f>I9+I45</f>
        <v>34896.122430370204</v>
      </c>
      <c r="J157" s="173">
        <f>J9+J45</f>
        <v>31535</v>
      </c>
      <c r="K157" s="173">
        <f>K9+K45</f>
        <v>23634.156324975098</v>
      </c>
      <c r="L157" s="173">
        <f>L9+L45</f>
        <v>24061</v>
      </c>
      <c r="M157" s="173">
        <f>M9+M45</f>
        <v>58530.278755345309</v>
      </c>
      <c r="N157" s="173">
        <f>N9+N45</f>
        <v>55596</v>
      </c>
      <c r="O157" s="173">
        <f>O9+O45</f>
        <v>23900.396281224799</v>
      </c>
      <c r="P157" s="173">
        <f>P9+P45</f>
        <v>25805</v>
      </c>
      <c r="Q157" s="173">
        <f>Q9+Q45</f>
        <v>82430.675036570101</v>
      </c>
      <c r="R157" s="173">
        <f>R9+R45</f>
        <v>81401</v>
      </c>
      <c r="S157" s="173">
        <f>S9+S45</f>
        <v>23900.396281224799</v>
      </c>
      <c r="T157" s="173">
        <f>T9+T45</f>
        <v>24324</v>
      </c>
      <c r="U157" s="173">
        <f>U9+U45</f>
        <v>106331.07131779491</v>
      </c>
      <c r="V157" s="173">
        <f>V9+V45</f>
        <v>105725</v>
      </c>
      <c r="W157" s="173">
        <f>W9+W45</f>
        <v>13186.531291652831</v>
      </c>
      <c r="X157" s="173">
        <f>X9+X45</f>
        <v>24181</v>
      </c>
      <c r="Y157" s="173">
        <f>Y9+Y45</f>
        <v>60987.323854102426</v>
      </c>
      <c r="Z157" s="173">
        <f>Z9+Z45</f>
        <v>74310</v>
      </c>
      <c r="AA157" s="173">
        <f>AA9+AA45</f>
        <v>119517.60260944773</v>
      </c>
      <c r="AB157" s="173">
        <f>AB9+AB45</f>
        <v>129906</v>
      </c>
      <c r="AC157" s="173">
        <f>AC9+AC45</f>
        <v>24344.12954164097</v>
      </c>
      <c r="AD157" s="173">
        <f>AD9+AD45</f>
        <v>20310</v>
      </c>
      <c r="AE157" s="173">
        <f>AE9+AE45</f>
        <v>143861.73215108871</v>
      </c>
      <c r="AF157" s="173">
        <f>AF9+AF45</f>
        <v>150216</v>
      </c>
      <c r="AG157" s="173">
        <f>AG9+AG45</f>
        <v>23888.156324975098</v>
      </c>
      <c r="AH157" s="173">
        <f>AH9+AH45</f>
        <v>24270</v>
      </c>
      <c r="AI157" s="173">
        <f>AI9+AI45</f>
        <v>167749.88847606379</v>
      </c>
      <c r="AJ157" s="173">
        <f>AJ9+AJ45</f>
        <v>174486</v>
      </c>
      <c r="AK157" s="173">
        <f>AK9+AK45</f>
        <v>24598.12954164097</v>
      </c>
      <c r="AL157" s="173">
        <f>AL9+AL45</f>
        <v>22364</v>
      </c>
      <c r="AM157" s="173">
        <f>AM9+AM45</f>
        <v>72830.415408257046</v>
      </c>
      <c r="AN157" s="173">
        <f>AN9+AN45</f>
        <v>66944</v>
      </c>
      <c r="AO157" s="173">
        <f>AO9+AO45</f>
        <v>192348.01801770477</v>
      </c>
      <c r="AP157" s="173">
        <f>AP9+AP45</f>
        <v>196850</v>
      </c>
      <c r="AQ157" s="173">
        <f>AQ9+AQ45</f>
        <v>24699.11614997391</v>
      </c>
      <c r="AR157" s="173">
        <f>AR9+AR45</f>
        <v>22499</v>
      </c>
      <c r="AS157" s="173">
        <f>AS9+AS45</f>
        <v>217047.13416767868</v>
      </c>
      <c r="AT157" s="173">
        <f>AT9+AT45</f>
        <v>219349</v>
      </c>
      <c r="AU157" s="173">
        <f>AU9+AU45</f>
        <v>22214.209891643342</v>
      </c>
      <c r="AV157" s="173">
        <f>AV9+AV45</f>
        <v>18988</v>
      </c>
      <c r="AW157" s="173">
        <f>AW9+AW45</f>
        <v>239261.34405932203</v>
      </c>
      <c r="AX157" s="173">
        <f>AX9+AX45</f>
        <v>238337</v>
      </c>
    </row>
    <row r="158" spans="2:64" hidden="1" x14ac:dyDescent="0.3">
      <c r="B158" s="209"/>
      <c r="C158" s="209"/>
      <c r="E158" s="209"/>
      <c r="F158" s="209"/>
      <c r="G158" s="209"/>
      <c r="H158" s="209"/>
      <c r="I158" s="209"/>
      <c r="J158" s="209"/>
      <c r="K158" s="1419"/>
      <c r="L158" s="209"/>
      <c r="M158" s="209"/>
      <c r="N158" s="209"/>
      <c r="O158" s="1419"/>
      <c r="P158" s="209"/>
      <c r="Q158" s="209"/>
      <c r="R158" s="209"/>
      <c r="S158" s="209"/>
      <c r="T158" s="209"/>
      <c r="U158" s="209"/>
      <c r="V158" s="209"/>
      <c r="W158" s="209"/>
      <c r="X158" s="209"/>
      <c r="Y158" s="209"/>
      <c r="Z158" s="209"/>
      <c r="AA158" s="209"/>
      <c r="AB158" s="209"/>
    </row>
    <row r="159" spans="2:64" hidden="1" x14ac:dyDescent="0.3">
      <c r="B159" s="209"/>
      <c r="C159" s="209"/>
      <c r="E159" s="209"/>
      <c r="F159" s="209">
        <f>F157/F2</f>
        <v>723.5333333333333</v>
      </c>
      <c r="G159" s="209">
        <f>G157/G2</f>
        <v>532.91750873656429</v>
      </c>
      <c r="H159" s="209">
        <f>H157/H2</f>
        <v>317.06451612903226</v>
      </c>
      <c r="I159" s="209">
        <f>I157/I2</f>
        <v>572.06758082574106</v>
      </c>
      <c r="J159" s="209">
        <f>J157/J2</f>
        <v>516.96721311475414</v>
      </c>
      <c r="K159" s="209">
        <f>K157/K2</f>
        <v>787.80521083250323</v>
      </c>
      <c r="L159" s="209">
        <f>L157/L2</f>
        <v>802.0333333333333</v>
      </c>
      <c r="M159" s="209">
        <f>M157/M2</f>
        <v>643.18987643236608</v>
      </c>
      <c r="N159" s="209">
        <f>N157/N2</f>
        <v>610.94505494505495</v>
      </c>
      <c r="O159" s="209">
        <f>O157/O2</f>
        <v>770.9805252008</v>
      </c>
      <c r="P159" s="209">
        <f>P157/P2</f>
        <v>832.41935483870964</v>
      </c>
      <c r="Q159" s="209">
        <f>Q157/Q2</f>
        <v>675.6612707915582</v>
      </c>
      <c r="R159" s="209">
        <f>R157/R2</f>
        <v>667.22131147540983</v>
      </c>
      <c r="S159" s="209">
        <f>S157/S2</f>
        <v>770.9805252008</v>
      </c>
      <c r="T159" s="209">
        <f>T157/T2</f>
        <v>784.64516129032256</v>
      </c>
      <c r="U159" s="209">
        <f>U157/U2</f>
        <v>694.97432233852885</v>
      </c>
      <c r="V159" s="209">
        <f>V157/V2</f>
        <v>691.01307189542479</v>
      </c>
      <c r="W159" s="209">
        <f>W157/W2</f>
        <v>439.55104305509434</v>
      </c>
      <c r="X159" s="209">
        <f>X157/X2</f>
        <v>806.0333333333333</v>
      </c>
      <c r="Y159" s="209">
        <f>Y157/Y2</f>
        <v>662.90569406633074</v>
      </c>
      <c r="Z159" s="209">
        <f>Z157/Z2</f>
        <v>807.71739130434787</v>
      </c>
      <c r="AA159" s="209">
        <f>AA157/AA2</f>
        <v>653.10165360353949</v>
      </c>
      <c r="AB159" s="209">
        <f>AB157/AB2</f>
        <v>709.86885245901635</v>
      </c>
      <c r="AC159" s="209">
        <f>AC157/AC2</f>
        <v>785.29450134325714</v>
      </c>
      <c r="AD159" s="209">
        <f>AD157/AD2</f>
        <v>655.16129032258061</v>
      </c>
      <c r="AE159" s="209">
        <f>AE157/AE2</f>
        <v>672.25108481817153</v>
      </c>
      <c r="AF159" s="209">
        <f>AF157/AF2</f>
        <v>701.9439252336449</v>
      </c>
      <c r="AG159" s="209">
        <f>AG157/AG2</f>
        <v>796.27187749916993</v>
      </c>
      <c r="AH159" s="209">
        <f>AH157/AH2</f>
        <v>809</v>
      </c>
      <c r="AI159" s="209">
        <f>AI157/AI2</f>
        <v>687.49954293468761</v>
      </c>
      <c r="AJ159" s="209">
        <f>AJ157/AJ2</f>
        <v>715.10655737704917</v>
      </c>
      <c r="AK159" s="209">
        <f>AK157/AK2</f>
        <v>793.48804973035385</v>
      </c>
      <c r="AL159" s="209">
        <f>AL157/AL2</f>
        <v>721.41935483870964</v>
      </c>
      <c r="AM159" s="209">
        <f>AM157/AM2</f>
        <v>791.63495008975053</v>
      </c>
      <c r="AN159" s="209">
        <f>AN157/AN2</f>
        <v>727.6521739130435</v>
      </c>
      <c r="AO159" s="209">
        <f>AO157/AO2</f>
        <v>699.44733824619914</v>
      </c>
      <c r="AP159" s="209">
        <f>AP157/AP2</f>
        <v>715.81818181818187</v>
      </c>
      <c r="AQ159" s="209">
        <f>AQ157/AQ2</f>
        <v>796.74568225722294</v>
      </c>
      <c r="AR159" s="209">
        <f>AR157/AR2</f>
        <v>725.77419354838707</v>
      </c>
      <c r="AS159" s="209">
        <f>AS157/AS2</f>
        <v>709.30436002509373</v>
      </c>
      <c r="AT159" s="209">
        <f>AT157/AT2</f>
        <v>716.82679738562092</v>
      </c>
      <c r="AU159" s="209">
        <f>AU157/AU2</f>
        <v>793.3646389872622</v>
      </c>
      <c r="AV159" s="209">
        <f>AV157/AV2</f>
        <v>678.14285714285711</v>
      </c>
      <c r="AW159" s="209">
        <f>AW157/AW2</f>
        <v>716.3513295189282</v>
      </c>
      <c r="AX159" s="209">
        <f>AX157/AX2</f>
        <v>713.58383233532936</v>
      </c>
    </row>
    <row r="160" spans="2:64" hidden="1" x14ac:dyDescent="0.3">
      <c r="B160" s="209"/>
      <c r="C160" s="209"/>
      <c r="E160" s="209"/>
      <c r="F160" s="209"/>
      <c r="G160" s="209"/>
      <c r="H160" s="209"/>
      <c r="I160" s="209"/>
      <c r="J160" s="209"/>
      <c r="K160" s="1419"/>
      <c r="L160" s="209"/>
      <c r="M160" s="209"/>
      <c r="N160" s="209"/>
      <c r="O160" s="1419"/>
      <c r="P160" s="209"/>
      <c r="Q160" s="209"/>
      <c r="R160" s="209"/>
      <c r="S160" s="209"/>
      <c r="T160" s="209"/>
      <c r="U160" s="209"/>
      <c r="V160" s="209"/>
      <c r="W160" s="209"/>
      <c r="X160" s="209"/>
      <c r="Y160" s="209"/>
      <c r="Z160" s="209"/>
      <c r="AA160" s="209"/>
      <c r="AB160" s="209"/>
    </row>
    <row r="161" spans="2:58" hidden="1" x14ac:dyDescent="0.3">
      <c r="B161" s="209"/>
      <c r="C161" s="209"/>
      <c r="E161" s="209"/>
      <c r="F161" s="173">
        <f t="shared" ref="F161:AK161" si="362">F9+F45</f>
        <v>21706</v>
      </c>
      <c r="G161" s="173">
        <f t="shared" si="362"/>
        <v>16520.442770833492</v>
      </c>
      <c r="H161" s="173">
        <f t="shared" si="362"/>
        <v>9829</v>
      </c>
      <c r="I161" s="173">
        <f t="shared" si="362"/>
        <v>34896.122430370204</v>
      </c>
      <c r="J161" s="173">
        <f t="shared" si="362"/>
        <v>31535</v>
      </c>
      <c r="K161" s="173">
        <f t="shared" si="362"/>
        <v>23634.156324975098</v>
      </c>
      <c r="L161" s="173">
        <f t="shared" si="362"/>
        <v>24061</v>
      </c>
      <c r="M161" s="173">
        <f t="shared" si="362"/>
        <v>58530.278755345309</v>
      </c>
      <c r="N161" s="173">
        <f t="shared" si="362"/>
        <v>55596</v>
      </c>
      <c r="O161" s="173">
        <f t="shared" si="362"/>
        <v>23900.396281224799</v>
      </c>
      <c r="P161" s="173">
        <f t="shared" si="362"/>
        <v>25805</v>
      </c>
      <c r="Q161" s="173">
        <f t="shared" si="362"/>
        <v>82430.675036570101</v>
      </c>
      <c r="R161" s="173">
        <f t="shared" si="362"/>
        <v>81401</v>
      </c>
      <c r="S161" s="173">
        <f t="shared" si="362"/>
        <v>23900.396281224799</v>
      </c>
      <c r="T161" s="173">
        <f t="shared" si="362"/>
        <v>24324</v>
      </c>
      <c r="U161" s="173">
        <f t="shared" si="362"/>
        <v>106331.07131779491</v>
      </c>
      <c r="V161" s="173">
        <f t="shared" si="362"/>
        <v>105725</v>
      </c>
      <c r="W161" s="173">
        <f t="shared" si="362"/>
        <v>13186.531291652831</v>
      </c>
      <c r="X161" s="173">
        <f t="shared" si="362"/>
        <v>24181</v>
      </c>
      <c r="Y161" s="173">
        <f t="shared" si="362"/>
        <v>60987.323854102426</v>
      </c>
      <c r="Z161" s="173">
        <f t="shared" si="362"/>
        <v>74310</v>
      </c>
      <c r="AA161" s="173">
        <f t="shared" si="362"/>
        <v>119517.60260944773</v>
      </c>
      <c r="AB161" s="173">
        <f t="shared" si="362"/>
        <v>129906</v>
      </c>
      <c r="AC161" s="173">
        <f t="shared" si="362"/>
        <v>24344.12954164097</v>
      </c>
      <c r="AD161" s="173">
        <f t="shared" si="362"/>
        <v>20310</v>
      </c>
      <c r="AE161" s="173">
        <f t="shared" si="362"/>
        <v>143861.73215108871</v>
      </c>
      <c r="AF161" s="173">
        <f t="shared" si="362"/>
        <v>150216</v>
      </c>
      <c r="AG161" s="173">
        <f t="shared" si="362"/>
        <v>23888.156324975098</v>
      </c>
      <c r="AH161" s="173">
        <f t="shared" si="362"/>
        <v>24270</v>
      </c>
      <c r="AI161" s="173">
        <f t="shared" si="362"/>
        <v>167749.88847606379</v>
      </c>
      <c r="AJ161" s="173">
        <f t="shared" si="362"/>
        <v>174486</v>
      </c>
      <c r="AK161" s="173">
        <f t="shared" si="362"/>
        <v>24598.12954164097</v>
      </c>
      <c r="AL161" s="173">
        <f t="shared" ref="AL161:BF161" si="363">AL9+AL45</f>
        <v>22364</v>
      </c>
      <c r="AM161" s="173">
        <f t="shared" si="363"/>
        <v>72830.415408257046</v>
      </c>
      <c r="AN161" s="173">
        <f t="shared" si="363"/>
        <v>66944</v>
      </c>
      <c r="AO161" s="173">
        <f t="shared" si="363"/>
        <v>192348.01801770477</v>
      </c>
      <c r="AP161" s="173">
        <f t="shared" si="363"/>
        <v>196850</v>
      </c>
      <c r="AQ161" s="173">
        <f t="shared" si="363"/>
        <v>24699.11614997391</v>
      </c>
      <c r="AR161" s="173">
        <f t="shared" si="363"/>
        <v>22499</v>
      </c>
      <c r="AS161" s="173">
        <f t="shared" si="363"/>
        <v>217047.13416767868</v>
      </c>
      <c r="AT161" s="173">
        <f t="shared" si="363"/>
        <v>219349</v>
      </c>
      <c r="AU161" s="173">
        <f t="shared" si="363"/>
        <v>22214.209891643342</v>
      </c>
      <c r="AV161" s="173">
        <f t="shared" si="363"/>
        <v>18988</v>
      </c>
      <c r="AW161" s="173">
        <f t="shared" si="363"/>
        <v>239261.34405932203</v>
      </c>
      <c r="AX161" s="173">
        <f t="shared" si="363"/>
        <v>238337</v>
      </c>
      <c r="AY161" s="173">
        <f t="shared" si="363"/>
        <v>24699.11614997391</v>
      </c>
      <c r="AZ161" s="173">
        <f t="shared" si="363"/>
        <v>23069</v>
      </c>
      <c r="BA161" s="173">
        <f t="shared" si="363"/>
        <v>71612.442191591166</v>
      </c>
      <c r="BB161" s="173">
        <f t="shared" si="363"/>
        <v>64556</v>
      </c>
      <c r="BC161" s="173">
        <f t="shared" si="363"/>
        <v>144442.85759984821</v>
      </c>
      <c r="BD161" s="173">
        <f t="shared" si="363"/>
        <v>131500</v>
      </c>
      <c r="BE161" s="173">
        <f t="shared" si="363"/>
        <v>263960.46020929597</v>
      </c>
      <c r="BF161" s="173">
        <f t="shared" si="363"/>
        <v>261406</v>
      </c>
    </row>
    <row r="162" spans="2:58" hidden="1" x14ac:dyDescent="0.3"/>
    <row r="163" spans="2:58" hidden="1" x14ac:dyDescent="0.3"/>
    <row r="164" spans="2:58" hidden="1" x14ac:dyDescent="0.3"/>
    <row r="165" spans="2:58" hidden="1" x14ac:dyDescent="0.3">
      <c r="AN165">
        <v>750</v>
      </c>
    </row>
  </sheetData>
  <mergeCells count="43">
    <mergeCell ref="D93:D94"/>
    <mergeCell ref="E93:E94"/>
    <mergeCell ref="B68:B69"/>
    <mergeCell ref="B3:B4"/>
    <mergeCell ref="C3:C4"/>
    <mergeCell ref="E3:F3"/>
    <mergeCell ref="D3:D4"/>
    <mergeCell ref="D29:D30"/>
    <mergeCell ref="D12:D13"/>
    <mergeCell ref="E12:E13"/>
    <mergeCell ref="E29:E30"/>
    <mergeCell ref="BE3:BF3"/>
    <mergeCell ref="BA3:BB3"/>
    <mergeCell ref="BC3:BD3"/>
    <mergeCell ref="AG3:AH3"/>
    <mergeCell ref="AI3:AJ3"/>
    <mergeCell ref="AW3:AX3"/>
    <mergeCell ref="AQ3:AR3"/>
    <mergeCell ref="AS3:AT3"/>
    <mergeCell ref="AO3:AP3"/>
    <mergeCell ref="AU3:AV3"/>
    <mergeCell ref="AM3:AN3"/>
    <mergeCell ref="AY3:AZ3"/>
    <mergeCell ref="AK3:AL3"/>
    <mergeCell ref="W3:X3"/>
    <mergeCell ref="AA3:AB3"/>
    <mergeCell ref="Y3:Z3"/>
    <mergeCell ref="AC3:AD3"/>
    <mergeCell ref="AE3:AF3"/>
    <mergeCell ref="G93:G94"/>
    <mergeCell ref="I3:J3"/>
    <mergeCell ref="K3:L3"/>
    <mergeCell ref="S3:T3"/>
    <mergeCell ref="U3:V3"/>
    <mergeCell ref="M3:N3"/>
    <mergeCell ref="O3:P3"/>
    <mergeCell ref="Q3:R3"/>
    <mergeCell ref="G3:H3"/>
    <mergeCell ref="G12:G13"/>
    <mergeCell ref="G29:G30"/>
    <mergeCell ref="I93:I94"/>
    <mergeCell ref="I29:I30"/>
    <mergeCell ref="I12:I13"/>
  </mergeCells>
  <printOptions horizontalCentered="1" verticalCentered="1"/>
  <pageMargins left="0" right="0" top="0" bottom="0" header="0" footer="0"/>
  <pageSetup scale="34"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tabColor rgb="FF00B0F0"/>
    <pageSetUpPr fitToPage="1"/>
  </sheetPr>
  <dimension ref="A1:BK250"/>
  <sheetViews>
    <sheetView topLeftCell="A69" zoomScaleNormal="100" workbookViewId="0">
      <pane xSplit="3" topLeftCell="D1" activePane="topRight" state="frozen"/>
      <selection pane="topRight" activeCell="B84" sqref="B84"/>
    </sheetView>
  </sheetViews>
  <sheetFormatPr defaultRowHeight="14.4" x14ac:dyDescent="0.3"/>
  <cols>
    <col min="1" max="1" width="3.33203125" customWidth="1"/>
    <col min="2" max="2" width="66" bestFit="1" customWidth="1"/>
    <col min="3" max="3" width="12.44140625" bestFit="1" customWidth="1"/>
    <col min="4" max="4" width="13.6640625" customWidth="1"/>
    <col min="5" max="5" width="10" customWidth="1"/>
    <col min="6" max="6" width="9.88671875" customWidth="1"/>
    <col min="7" max="7" width="10.109375" customWidth="1"/>
    <col min="8" max="8" width="9.88671875" style="88" customWidth="1"/>
    <col min="9" max="9" width="10.6640625" customWidth="1"/>
    <col min="10" max="10" width="14" customWidth="1"/>
    <col min="11" max="11" width="10.109375" hidden="1" customWidth="1"/>
    <col min="12" max="12" width="9.88671875" hidden="1" customWidth="1"/>
    <col min="13" max="14" width="11.5546875" hidden="1" customWidth="1"/>
    <col min="15" max="15" width="10.109375" hidden="1" customWidth="1"/>
    <col min="16" max="16" width="10.33203125" hidden="1" customWidth="1"/>
    <col min="17" max="17" width="11.6640625" hidden="1" customWidth="1"/>
    <col min="18" max="18" width="12.44140625" hidden="1" customWidth="1"/>
    <col min="19" max="19" width="10.109375" hidden="1" customWidth="1"/>
    <col min="20" max="20" width="12" style="88" hidden="1" customWidth="1"/>
    <col min="21" max="21" width="11.109375" hidden="1" customWidth="1"/>
    <col min="22" max="22" width="12.44140625" hidden="1" customWidth="1"/>
    <col min="23" max="23" width="10.109375" hidden="1" customWidth="1"/>
    <col min="24" max="24" width="12" hidden="1" customWidth="1"/>
    <col min="25" max="25" width="11.88671875" hidden="1" customWidth="1"/>
    <col min="26" max="26" width="9.88671875" hidden="1" customWidth="1"/>
    <col min="27" max="27" width="10.109375" hidden="1" customWidth="1"/>
    <col min="28" max="28" width="11.33203125" hidden="1" customWidth="1"/>
    <col min="29" max="29" width="10.109375" hidden="1" customWidth="1"/>
    <col min="30" max="30" width="15.33203125" hidden="1" customWidth="1"/>
    <col min="31" max="31" width="10.109375" hidden="1" customWidth="1"/>
    <col min="32" max="32" width="11.33203125" hidden="1" customWidth="1"/>
    <col min="33" max="33" width="9.6640625" hidden="1" customWidth="1"/>
    <col min="34" max="34" width="9.6640625" style="88" hidden="1" customWidth="1"/>
    <col min="35" max="35" width="9" hidden="1" customWidth="1"/>
    <col min="36" max="36" width="11.33203125" hidden="1" customWidth="1"/>
    <col min="37" max="37" width="8.88671875" hidden="1" customWidth="1"/>
    <col min="38" max="38" width="9.88671875" hidden="1" customWidth="1"/>
    <col min="39" max="39" width="9" hidden="1" customWidth="1"/>
    <col min="40" max="40" width="9.88671875" hidden="1" customWidth="1"/>
    <col min="41" max="41" width="10.109375" hidden="1" customWidth="1"/>
    <col min="42" max="42" width="11.33203125" hidden="1" customWidth="1"/>
    <col min="43" max="43" width="9" hidden="1" customWidth="1"/>
    <col min="44" max="44" width="9.88671875" hidden="1" customWidth="1"/>
    <col min="45" max="45" width="10" hidden="1" customWidth="1"/>
    <col min="46" max="46" width="11.33203125" hidden="1" customWidth="1"/>
    <col min="47" max="47" width="8.88671875" hidden="1" customWidth="1"/>
    <col min="48" max="48" width="9.88671875" hidden="1" customWidth="1"/>
    <col min="49" max="49" width="10" hidden="1" customWidth="1"/>
    <col min="50" max="50" width="11.33203125" hidden="1" customWidth="1"/>
    <col min="51" max="51" width="8.88671875" hidden="1" customWidth="1"/>
    <col min="52" max="52" width="9.88671875" hidden="1" customWidth="1"/>
    <col min="53" max="53" width="10" hidden="1" customWidth="1"/>
    <col min="54" max="54" width="10.109375" hidden="1" customWidth="1"/>
    <col min="55" max="55" width="10" hidden="1" customWidth="1"/>
    <col min="56" max="56" width="11.44140625" hidden="1" customWidth="1"/>
    <col min="57" max="57" width="10" hidden="1" customWidth="1"/>
    <col min="58" max="58" width="11.33203125" hidden="1" customWidth="1"/>
    <col min="60" max="60" width="9.109375" style="251"/>
  </cols>
  <sheetData>
    <row r="1" spans="1:58" ht="22.8" x14ac:dyDescent="0.4">
      <c r="A1" s="135"/>
      <c r="B1" s="357" t="s">
        <v>232</v>
      </c>
      <c r="C1" s="189"/>
      <c r="D1" s="189"/>
      <c r="E1" s="189"/>
      <c r="F1" s="189"/>
      <c r="G1" s="189"/>
      <c r="H1" s="189"/>
      <c r="I1" s="189"/>
      <c r="J1" s="189"/>
      <c r="K1" s="536"/>
      <c r="L1" s="316"/>
      <c r="M1" s="316"/>
      <c r="N1" s="316"/>
      <c r="O1" s="1560"/>
      <c r="P1" s="536"/>
      <c r="Q1" s="316"/>
      <c r="R1" s="316"/>
      <c r="S1" s="316"/>
      <c r="T1" s="316"/>
      <c r="U1" s="316"/>
      <c r="V1" s="316"/>
      <c r="W1" s="316"/>
      <c r="X1" s="316"/>
      <c r="Y1" s="316"/>
      <c r="Z1" s="316"/>
      <c r="AA1" s="316"/>
      <c r="AB1" s="316"/>
    </row>
    <row r="2" spans="1:58" ht="15.6" x14ac:dyDescent="0.3">
      <c r="A2" s="88"/>
      <c r="B2" s="41"/>
      <c r="C2" s="189"/>
      <c r="D2" s="3743">
        <v>365</v>
      </c>
      <c r="E2" s="3743">
        <v>30</v>
      </c>
      <c r="F2" s="3743">
        <v>30</v>
      </c>
      <c r="G2" s="3743">
        <v>31</v>
      </c>
      <c r="H2" s="3743">
        <v>31</v>
      </c>
      <c r="I2" s="3743">
        <f>+E2+G2</f>
        <v>61</v>
      </c>
      <c r="J2" s="3743">
        <f>+F2+H2</f>
        <v>61</v>
      </c>
      <c r="K2" s="3812">
        <v>30</v>
      </c>
      <c r="L2" s="3743">
        <v>30</v>
      </c>
      <c r="M2" s="3743">
        <f>+I2+K2</f>
        <v>91</v>
      </c>
      <c r="N2" s="3743">
        <f>+J2+L2</f>
        <v>91</v>
      </c>
      <c r="O2" s="3812">
        <v>31</v>
      </c>
      <c r="P2" s="3812">
        <v>31</v>
      </c>
      <c r="Q2" s="3743">
        <f>+M2+O2</f>
        <v>122</v>
      </c>
      <c r="R2" s="3743">
        <f>+N2+P2</f>
        <v>122</v>
      </c>
      <c r="S2" s="3743">
        <v>31</v>
      </c>
      <c r="T2" s="3743">
        <v>31</v>
      </c>
      <c r="U2" s="3743">
        <f>+Q2+S2</f>
        <v>153</v>
      </c>
      <c r="V2" s="3743">
        <f>+R2+T2</f>
        <v>153</v>
      </c>
      <c r="W2" s="3743">
        <v>30</v>
      </c>
      <c r="X2" s="3812">
        <v>30</v>
      </c>
      <c r="Y2" s="3743">
        <f>+O2+S2+W2</f>
        <v>92</v>
      </c>
      <c r="Z2" s="3743">
        <f>+P2+T2+X2</f>
        <v>92</v>
      </c>
      <c r="AA2" s="3743">
        <f>+U2+W2</f>
        <v>183</v>
      </c>
      <c r="AB2" s="3743">
        <f>+V2+X2</f>
        <v>183</v>
      </c>
      <c r="AC2" s="3743">
        <v>31</v>
      </c>
      <c r="AD2" s="3743">
        <v>31</v>
      </c>
      <c r="AE2" s="3743">
        <f>+AA2+AC2</f>
        <v>214</v>
      </c>
      <c r="AF2" s="3743">
        <f>+AB2+AD2</f>
        <v>214</v>
      </c>
      <c r="AG2" s="3743">
        <v>30</v>
      </c>
      <c r="AH2" s="3743">
        <v>30</v>
      </c>
      <c r="AI2" s="3743">
        <f>+AE2+AG2</f>
        <v>244</v>
      </c>
      <c r="AJ2" s="3743">
        <f>+AF2+AH2</f>
        <v>244</v>
      </c>
      <c r="AK2" s="91">
        <v>31</v>
      </c>
      <c r="AL2" s="91">
        <v>31</v>
      </c>
      <c r="AM2" s="91">
        <f>+AC2+AG2+AK2</f>
        <v>92</v>
      </c>
      <c r="AN2" s="91">
        <f>+AD2+AH2+AL2</f>
        <v>92</v>
      </c>
      <c r="AO2" s="91">
        <f>+AK2+AI2</f>
        <v>275</v>
      </c>
      <c r="AP2" s="91">
        <f>+AL2+AJ2</f>
        <v>275</v>
      </c>
      <c r="AQ2" s="91">
        <v>31</v>
      </c>
      <c r="AR2" s="91">
        <v>31</v>
      </c>
      <c r="AS2" s="91">
        <f>+AO2+AQ2</f>
        <v>306</v>
      </c>
      <c r="AT2" s="91">
        <f>+AP2+AR2</f>
        <v>306</v>
      </c>
      <c r="AU2" s="91">
        <v>28</v>
      </c>
      <c r="AV2" s="91">
        <v>28</v>
      </c>
      <c r="AW2" s="91">
        <f>+AS2+AU2</f>
        <v>334</v>
      </c>
      <c r="AX2" s="91">
        <f>+AT2+AV2</f>
        <v>334</v>
      </c>
      <c r="AY2" s="91">
        <v>31</v>
      </c>
      <c r="AZ2" s="91">
        <v>31</v>
      </c>
      <c r="BA2" s="91">
        <f>+AQ2+AU2+AY2</f>
        <v>90</v>
      </c>
      <c r="BB2" s="91">
        <f>+AR2+AV2+AZ2</f>
        <v>90</v>
      </c>
      <c r="BC2" s="91">
        <f>+AM2+BA2</f>
        <v>182</v>
      </c>
      <c r="BD2" s="91">
        <f>+AN2+BB2</f>
        <v>182</v>
      </c>
      <c r="BE2" s="91">
        <f>+AW2+AY2</f>
        <v>365</v>
      </c>
      <c r="BF2" s="91">
        <f>+AX2+AZ2</f>
        <v>365</v>
      </c>
    </row>
    <row r="3" spans="1:58" ht="16.2" thickBot="1" x14ac:dyDescent="0.35">
      <c r="A3" s="88"/>
      <c r="B3" s="41" t="s">
        <v>1935</v>
      </c>
      <c r="C3" s="189"/>
      <c r="D3" s="3742"/>
      <c r="E3" s="3742"/>
      <c r="F3" s="4972">
        <f>11.0833333333333/24</f>
        <v>0.46180555555555419</v>
      </c>
      <c r="G3" s="3742"/>
      <c r="H3" s="3742">
        <v>13.944444444444445</v>
      </c>
      <c r="I3" s="3742"/>
      <c r="J3" s="3743">
        <f>+F3+H3</f>
        <v>14.406249999999998</v>
      </c>
      <c r="K3" s="3811"/>
      <c r="L3" s="3742">
        <f>9.33/24</f>
        <v>0.38874999999999998</v>
      </c>
      <c r="M3" s="3742"/>
      <c r="N3" s="3742">
        <f>+F3+H3+L3</f>
        <v>14.794999999999998</v>
      </c>
      <c r="O3" s="3811"/>
      <c r="P3" s="3813">
        <v>0</v>
      </c>
      <c r="Q3" s="3742"/>
      <c r="R3" s="3743">
        <f>+N3+P3</f>
        <v>14.794999999999998</v>
      </c>
      <c r="S3" s="3742"/>
      <c r="T3" s="3742">
        <f>23.4166666666667/24</f>
        <v>0.97569444444444586</v>
      </c>
      <c r="U3" s="3742"/>
      <c r="V3" s="3743">
        <f>+R3+T3</f>
        <v>15.770694444444445</v>
      </c>
      <c r="W3" s="3742"/>
      <c r="X3" s="3811">
        <f>7.83/24</f>
        <v>0.32624999999999998</v>
      </c>
      <c r="Y3" s="3742"/>
      <c r="Z3" s="3742">
        <f>+P3+T3+X3</f>
        <v>1.3019444444444459</v>
      </c>
      <c r="AA3" s="3742"/>
      <c r="AB3" s="3742">
        <f>+N3+Z3</f>
        <v>16.096944444444443</v>
      </c>
      <c r="AC3" s="3742"/>
      <c r="AD3" s="3742">
        <v>4.0694444444444446</v>
      </c>
      <c r="AE3" s="3742"/>
      <c r="AF3" s="3743">
        <f>+AB3+AD3</f>
        <v>20.166388888888889</v>
      </c>
      <c r="AG3" s="3742"/>
      <c r="AH3" s="3742">
        <f>21.42/24</f>
        <v>0.89250000000000007</v>
      </c>
      <c r="AI3" s="3742"/>
      <c r="AJ3" s="3743">
        <f>+AF3+AH3</f>
        <v>21.058888888888887</v>
      </c>
      <c r="AK3" s="91"/>
      <c r="AL3" s="2353">
        <f>7.25/24</f>
        <v>0.30208333333333331</v>
      </c>
      <c r="AM3" s="91"/>
      <c r="AN3" s="2353">
        <f>+AD3+AH3+AL3</f>
        <v>5.2640277777777778</v>
      </c>
      <c r="AO3" s="91"/>
      <c r="AP3" s="91">
        <f>+AL3+AJ3</f>
        <v>21.36097222222222</v>
      </c>
      <c r="AQ3" s="91"/>
      <c r="AR3" s="91">
        <v>0.58680555555555414</v>
      </c>
      <c r="AS3" s="91"/>
      <c r="AT3" s="91">
        <f>AP3+AR3</f>
        <v>21.947777777777773</v>
      </c>
      <c r="AU3" s="91"/>
      <c r="AV3" s="367">
        <v>0.42375000000000002</v>
      </c>
      <c r="AW3" s="91"/>
      <c r="AX3" s="2280">
        <f>AV3+F3+H3+L3+P3+T3+X3+AD3+AH3+AL3+AR3</f>
        <v>22.371527777777771</v>
      </c>
      <c r="AY3" s="91"/>
      <c r="AZ3" s="91">
        <v>1.0277777777777779</v>
      </c>
      <c r="BA3" s="91"/>
      <c r="BB3" s="2280">
        <f t="shared" ref="BB3" si="0">+AZ3+AV3+AR3</f>
        <v>2.0383333333333322</v>
      </c>
      <c r="BC3" s="91"/>
      <c r="BD3" s="91">
        <f>+AN3+BB3</f>
        <v>7.30236111111111</v>
      </c>
      <c r="BE3" s="91"/>
      <c r="BF3" s="2280">
        <f t="shared" ref="BF3" si="1">+AX3+AZ3</f>
        <v>23.39930555555555</v>
      </c>
    </row>
    <row r="4" spans="1:58" ht="15" thickBot="1" x14ac:dyDescent="0.35">
      <c r="A4" s="88"/>
      <c r="B4" s="6160" t="s">
        <v>170</v>
      </c>
      <c r="C4" s="5845" t="s">
        <v>171</v>
      </c>
      <c r="D4" s="5845" t="s">
        <v>2212</v>
      </c>
      <c r="E4" s="5845" t="s">
        <v>2211</v>
      </c>
      <c r="F4" s="5845"/>
      <c r="G4" s="5845" t="s">
        <v>2260</v>
      </c>
      <c r="H4" s="5845"/>
      <c r="I4" s="6159" t="s">
        <v>14</v>
      </c>
      <c r="J4" s="5821"/>
      <c r="K4" s="5844" t="s">
        <v>1963</v>
      </c>
      <c r="L4" s="5845"/>
      <c r="M4" s="5846" t="s">
        <v>604</v>
      </c>
      <c r="N4" s="5846"/>
      <c r="O4" s="5845" t="s">
        <v>1985</v>
      </c>
      <c r="P4" s="5845"/>
      <c r="Q4" s="6159" t="s">
        <v>17</v>
      </c>
      <c r="R4" s="6159"/>
      <c r="S4" s="5845" t="s">
        <v>1988</v>
      </c>
      <c r="T4" s="5845"/>
      <c r="U4" s="6159" t="s">
        <v>18</v>
      </c>
      <c r="V4" s="5821"/>
      <c r="W4" s="5880" t="s">
        <v>2019</v>
      </c>
      <c r="X4" s="5880"/>
      <c r="Y4" s="5881" t="s">
        <v>138</v>
      </c>
      <c r="Z4" s="5882"/>
      <c r="AA4" s="5883" t="s">
        <v>623</v>
      </c>
      <c r="AB4" s="5884"/>
      <c r="AC4" s="5845" t="s">
        <v>2043</v>
      </c>
      <c r="AD4" s="5845"/>
      <c r="AE4" s="6159" t="s">
        <v>24</v>
      </c>
      <c r="AF4" s="5821"/>
      <c r="AG4" s="5845" t="s">
        <v>2064</v>
      </c>
      <c r="AH4" s="5845"/>
      <c r="AI4" s="6159" t="s">
        <v>27</v>
      </c>
      <c r="AJ4" s="5821"/>
      <c r="AK4" s="5845" t="s">
        <v>2088</v>
      </c>
      <c r="AL4" s="5845"/>
      <c r="AM4" s="5881" t="s">
        <v>1567</v>
      </c>
      <c r="AN4" s="5882"/>
      <c r="AO4" s="6159" t="s">
        <v>1565</v>
      </c>
      <c r="AP4" s="5821"/>
      <c r="AQ4" s="5845" t="s">
        <v>2099</v>
      </c>
      <c r="AR4" s="5845"/>
      <c r="AS4" s="6159" t="s">
        <v>28</v>
      </c>
      <c r="AT4" s="5821"/>
      <c r="AU4" s="5845" t="s">
        <v>2136</v>
      </c>
      <c r="AV4" s="5845"/>
      <c r="AW4" s="6159" t="s">
        <v>30</v>
      </c>
      <c r="AX4" s="5821"/>
      <c r="AY4" s="5845" t="s">
        <v>2154</v>
      </c>
      <c r="AZ4" s="5845"/>
      <c r="BA4" s="5881" t="s">
        <v>1601</v>
      </c>
      <c r="BB4" s="5882"/>
      <c r="BC4" s="5883" t="s">
        <v>634</v>
      </c>
      <c r="BD4" s="5884"/>
      <c r="BE4" s="5820" t="s">
        <v>1961</v>
      </c>
      <c r="BF4" s="5821"/>
    </row>
    <row r="5" spans="1:58" ht="15" thickBot="1" x14ac:dyDescent="0.35">
      <c r="A5" s="88"/>
      <c r="B5" s="6161"/>
      <c r="C5" s="6162"/>
      <c r="D5" s="6162"/>
      <c r="E5" s="2862" t="s">
        <v>172</v>
      </c>
      <c r="F5" s="2862" t="s">
        <v>173</v>
      </c>
      <c r="G5" s="2862" t="s">
        <v>172</v>
      </c>
      <c r="H5" s="2862" t="s">
        <v>173</v>
      </c>
      <c r="I5" s="2863" t="s">
        <v>172</v>
      </c>
      <c r="J5" s="841" t="s">
        <v>173</v>
      </c>
      <c r="K5" s="1421" t="s">
        <v>172</v>
      </c>
      <c r="L5" s="651" t="s">
        <v>173</v>
      </c>
      <c r="M5" s="653" t="s">
        <v>172</v>
      </c>
      <c r="N5" s="653" t="s">
        <v>173</v>
      </c>
      <c r="O5" s="744" t="s">
        <v>172</v>
      </c>
      <c r="P5" s="744" t="s">
        <v>173</v>
      </c>
      <c r="Q5" s="652" t="s">
        <v>172</v>
      </c>
      <c r="R5" s="652" t="s">
        <v>173</v>
      </c>
      <c r="S5" s="744" t="s">
        <v>172</v>
      </c>
      <c r="T5" s="744" t="s">
        <v>173</v>
      </c>
      <c r="U5" s="652" t="s">
        <v>172</v>
      </c>
      <c r="V5" s="841" t="s">
        <v>173</v>
      </c>
      <c r="W5" s="208" t="s">
        <v>172</v>
      </c>
      <c r="X5" s="368" t="s">
        <v>173</v>
      </c>
      <c r="Y5" s="648" t="s">
        <v>172</v>
      </c>
      <c r="Z5" s="157" t="s">
        <v>173</v>
      </c>
      <c r="AA5" s="650" t="s">
        <v>172</v>
      </c>
      <c r="AB5" s="431" t="s">
        <v>173</v>
      </c>
      <c r="AC5" s="744" t="s">
        <v>172</v>
      </c>
      <c r="AD5" s="651" t="s">
        <v>173</v>
      </c>
      <c r="AE5" s="652" t="s">
        <v>172</v>
      </c>
      <c r="AF5" s="841" t="s">
        <v>173</v>
      </c>
      <c r="AG5" s="744" t="s">
        <v>172</v>
      </c>
      <c r="AH5" s="651" t="s">
        <v>173</v>
      </c>
      <c r="AI5" s="652" t="s">
        <v>172</v>
      </c>
      <c r="AJ5" s="841" t="s">
        <v>173</v>
      </c>
      <c r="AK5" s="744" t="s">
        <v>172</v>
      </c>
      <c r="AL5" s="651" t="s">
        <v>173</v>
      </c>
      <c r="AM5" s="648" t="s">
        <v>172</v>
      </c>
      <c r="AN5" s="157" t="s">
        <v>173</v>
      </c>
      <c r="AO5" s="652" t="s">
        <v>172</v>
      </c>
      <c r="AP5" s="841" t="s">
        <v>173</v>
      </c>
      <c r="AQ5" s="744" t="s">
        <v>172</v>
      </c>
      <c r="AR5" s="651" t="s">
        <v>173</v>
      </c>
      <c r="AS5" s="652" t="s">
        <v>172</v>
      </c>
      <c r="AT5" s="841" t="s">
        <v>173</v>
      </c>
      <c r="AU5" s="744" t="s">
        <v>172</v>
      </c>
      <c r="AV5" s="651" t="s">
        <v>173</v>
      </c>
      <c r="AW5" s="652" t="s">
        <v>172</v>
      </c>
      <c r="AX5" s="841" t="s">
        <v>173</v>
      </c>
      <c r="AY5" s="744" t="s">
        <v>172</v>
      </c>
      <c r="AZ5" s="651" t="s">
        <v>173</v>
      </c>
      <c r="BA5" s="648" t="s">
        <v>172</v>
      </c>
      <c r="BB5" s="157" t="s">
        <v>173</v>
      </c>
      <c r="BC5" s="650" t="s">
        <v>172</v>
      </c>
      <c r="BD5" s="431" t="s">
        <v>173</v>
      </c>
      <c r="BE5" s="4981" t="s">
        <v>172</v>
      </c>
      <c r="BF5" s="4095" t="s">
        <v>173</v>
      </c>
    </row>
    <row r="6" spans="1:58" ht="17.399999999999999" x14ac:dyDescent="0.3">
      <c r="A6" s="88"/>
      <c r="B6" s="2801" t="s">
        <v>87</v>
      </c>
      <c r="C6" s="2660" t="s">
        <v>50</v>
      </c>
      <c r="D6" s="2672">
        <v>3000000</v>
      </c>
      <c r="E6" s="2672">
        <f>+'Maj Production Summ'!E17</f>
        <v>208000</v>
      </c>
      <c r="F6" s="2357">
        <f>+'Maj Production Summ'!F17</f>
        <v>237076.80000000005</v>
      </c>
      <c r="G6" s="2672">
        <f>+'Maj Production Summ'!G17</f>
        <v>187000</v>
      </c>
      <c r="H6" s="2357">
        <f>+'Maj Production Summ'!H17</f>
        <v>110658.09999999999</v>
      </c>
      <c r="I6" s="2864">
        <f>+E6+G6</f>
        <v>395000</v>
      </c>
      <c r="J6" s="169">
        <f>+F6+H6</f>
        <v>347734.9</v>
      </c>
      <c r="K6" s="2672">
        <f>+'Maj Production Summ'!K17</f>
        <v>252000</v>
      </c>
      <c r="L6" s="2357">
        <f>+'Maj Production Summ'!L17</f>
        <v>261489.89999999997</v>
      </c>
      <c r="M6" s="346">
        <f>+K6+G6+E6</f>
        <v>647000</v>
      </c>
      <c r="N6" s="346">
        <f>+L6+H6+F6</f>
        <v>609224.80000000005</v>
      </c>
      <c r="O6" s="2672">
        <f>+'Maj Production Summ'!O17</f>
        <v>255000</v>
      </c>
      <c r="P6" s="2357">
        <f>+'Maj Production Summ'!P17</f>
        <v>268142.30000000005</v>
      </c>
      <c r="Q6" s="1879">
        <f>+M6+O6</f>
        <v>902000</v>
      </c>
      <c r="R6" s="231">
        <f>+N6+P6</f>
        <v>877367.10000000009</v>
      </c>
      <c r="S6" s="2672">
        <f>+'Maj Production Summ'!S17</f>
        <v>255000</v>
      </c>
      <c r="T6" s="2357">
        <f>+'Maj Production Summ'!T17</f>
        <v>253263.6</v>
      </c>
      <c r="U6" s="1879">
        <f>+Q6+S6</f>
        <v>1157000</v>
      </c>
      <c r="V6" s="231">
        <f>+R6+T6</f>
        <v>1130630.7000000002</v>
      </c>
      <c r="W6" s="2672">
        <f>+'Maj Production Summ'!W17</f>
        <v>140000</v>
      </c>
      <c r="X6" s="2357">
        <f>+'Maj Production Summ'!X17</f>
        <v>243297.40000000002</v>
      </c>
      <c r="Y6" s="721">
        <f>+W6+S6+O6</f>
        <v>650000</v>
      </c>
      <c r="Z6" s="86">
        <f>+X6+T6+P6</f>
        <v>764703.3</v>
      </c>
      <c r="AA6" s="2104">
        <f>M6+Y6</f>
        <v>1297000</v>
      </c>
      <c r="AB6" s="432">
        <f>+N6+Z6</f>
        <v>1373928.1</v>
      </c>
      <c r="AC6" s="2672">
        <f>+'Maj Production Summ'!AC17</f>
        <v>260000</v>
      </c>
      <c r="AD6" s="2357">
        <f>+'Maj Production Summ'!AD17</f>
        <v>202962.09999999998</v>
      </c>
      <c r="AE6" s="1879">
        <f>+AA6+AC6</f>
        <v>1557000</v>
      </c>
      <c r="AF6" s="231">
        <f>+AB6+AD6</f>
        <v>1576890.2000000002</v>
      </c>
      <c r="AG6" s="2672">
        <f>+'Maj Production Summ'!AG17</f>
        <v>252000</v>
      </c>
      <c r="AH6" s="2357">
        <f>+'Maj Production Summ'!AH17</f>
        <v>244148.19999999998</v>
      </c>
      <c r="AI6" s="1879">
        <f>+AE6+AG6</f>
        <v>1809000</v>
      </c>
      <c r="AJ6" s="231">
        <f>+AF6+AH6</f>
        <v>1821038.4000000001</v>
      </c>
      <c r="AK6" s="2672">
        <f>+'Maj Production Summ'!AK17</f>
        <v>260000</v>
      </c>
      <c r="AL6" s="2357">
        <f>+'Maj Production Summ'!AL17</f>
        <v>251560.99999999997</v>
      </c>
      <c r="AM6" s="721">
        <f>+AK6+AG6+AC6</f>
        <v>772000</v>
      </c>
      <c r="AN6" s="86">
        <f>+AL6+AH6+AD6</f>
        <v>698671.29999999993</v>
      </c>
      <c r="AO6" s="231">
        <f>+AK6+AI6</f>
        <v>2069000</v>
      </c>
      <c r="AP6" s="231">
        <f>+AL6+AJ6</f>
        <v>2072599.4000000001</v>
      </c>
      <c r="AQ6" s="2672">
        <f>+'Maj Production Summ'!AQ17</f>
        <v>264000</v>
      </c>
      <c r="AR6" s="2357">
        <f>+'Maj Production Summ'!AR17</f>
        <v>244851.4</v>
      </c>
      <c r="AS6" s="1879">
        <f>+AO6+AQ6</f>
        <v>2333000</v>
      </c>
      <c r="AT6" s="231">
        <f>+AP6+AR6</f>
        <v>2317450.8000000003</v>
      </c>
      <c r="AU6" s="2672">
        <f>+'Maj Production Summ'!AU17</f>
        <v>236000</v>
      </c>
      <c r="AV6" s="2357">
        <f>+'Maj Production Summ'!AV17</f>
        <v>196575.3</v>
      </c>
      <c r="AW6" s="1879">
        <f>+AS6+AU6</f>
        <v>2569000</v>
      </c>
      <c r="AX6" s="231">
        <f>+AT6+AV6</f>
        <v>2514026.1</v>
      </c>
      <c r="AY6" s="2672">
        <f>+'Maj Production Summ'!AY17</f>
        <v>264000</v>
      </c>
      <c r="AZ6" s="2357">
        <f>+'Maj Production Summ'!AZ17</f>
        <v>251871.70000000004</v>
      </c>
      <c r="BA6" s="721">
        <f>+AY6+AU6+AQ6</f>
        <v>764000</v>
      </c>
      <c r="BB6" s="181">
        <f>+AZ6+AV6+AR6</f>
        <v>693298.4</v>
      </c>
      <c r="BC6" s="2104">
        <f>AM6+BA6</f>
        <v>1536000</v>
      </c>
      <c r="BD6" s="432">
        <f>+AN6+BB6</f>
        <v>1391969.7</v>
      </c>
      <c r="BE6" s="4980">
        <f>+AW6+AY6</f>
        <v>2833000</v>
      </c>
      <c r="BF6" s="2958">
        <f>+AX6+AZ6</f>
        <v>2765897.8000000003</v>
      </c>
    </row>
    <row r="7" spans="1:58" x14ac:dyDescent="0.3">
      <c r="A7" s="136"/>
      <c r="B7" s="1596" t="s">
        <v>233</v>
      </c>
      <c r="C7" s="2865"/>
      <c r="D7" s="2865"/>
      <c r="E7" s="2865"/>
      <c r="F7" s="2865"/>
      <c r="G7" s="2865"/>
      <c r="H7" s="2865"/>
      <c r="I7" s="2865"/>
      <c r="J7" s="1224"/>
      <c r="K7" s="2865"/>
      <c r="L7" s="2865"/>
      <c r="M7" s="744"/>
      <c r="N7" s="744"/>
      <c r="O7" s="2865"/>
      <c r="P7" s="2865"/>
      <c r="Q7" s="744"/>
      <c r="R7" s="744"/>
      <c r="S7" s="2865"/>
      <c r="T7" s="2865"/>
      <c r="U7" s="744"/>
      <c r="V7" s="744"/>
      <c r="W7" s="2865"/>
      <c r="X7" s="2865"/>
      <c r="Y7" s="600"/>
      <c r="Z7" s="600"/>
      <c r="AA7" s="600"/>
      <c r="AB7" s="607"/>
      <c r="AC7" s="2865"/>
      <c r="AD7" s="2865"/>
      <c r="AE7" s="744"/>
      <c r="AF7" s="744"/>
      <c r="AG7" s="2865"/>
      <c r="AH7" s="2865"/>
      <c r="AI7" s="744"/>
      <c r="AJ7" s="744"/>
      <c r="AK7" s="2865"/>
      <c r="AL7" s="2865"/>
      <c r="AM7" s="600"/>
      <c r="AN7" s="600"/>
      <c r="AO7" s="744"/>
      <c r="AP7" s="744"/>
      <c r="AQ7" s="2865"/>
      <c r="AR7" s="2865"/>
      <c r="AS7" s="744"/>
      <c r="AT7" s="744"/>
      <c r="AU7" s="2865"/>
      <c r="AV7" s="2865"/>
      <c r="AW7" s="744"/>
      <c r="AX7" s="744"/>
      <c r="AY7" s="2865"/>
      <c r="AZ7" s="2865"/>
      <c r="BA7" s="600"/>
      <c r="BB7" s="600"/>
      <c r="BC7" s="600"/>
      <c r="BD7" s="607"/>
      <c r="BE7" s="744"/>
      <c r="BF7" s="744"/>
    </row>
    <row r="8" spans="1:58" x14ac:dyDescent="0.3">
      <c r="A8" s="135"/>
      <c r="B8" s="1912" t="s">
        <v>419</v>
      </c>
      <c r="C8" s="2356" t="s">
        <v>50</v>
      </c>
      <c r="D8" s="2348">
        <v>2992200</v>
      </c>
      <c r="E8" s="2348">
        <v>205700</v>
      </c>
      <c r="F8" s="2399">
        <v>236781.70000000004</v>
      </c>
      <c r="G8" s="2348">
        <v>181500</v>
      </c>
      <c r="H8" s="2399">
        <v>102996.99999999999</v>
      </c>
      <c r="I8" s="2349">
        <f>+E8+G8</f>
        <v>387200</v>
      </c>
      <c r="J8" s="35">
        <f t="shared" ref="I8:J31" si="2">+F8+H8</f>
        <v>339778.7</v>
      </c>
      <c r="K8" s="2348">
        <v>251100</v>
      </c>
      <c r="L8" s="2399">
        <v>260408.09999999998</v>
      </c>
      <c r="M8" s="717">
        <f t="shared" ref="M8:N8" si="3">+K8+G8+E8</f>
        <v>638300</v>
      </c>
      <c r="N8" s="717">
        <f t="shared" si="3"/>
        <v>600186.80000000005</v>
      </c>
      <c r="O8" s="2348">
        <v>254100</v>
      </c>
      <c r="P8" s="2399">
        <v>268142.30000000005</v>
      </c>
      <c r="Q8" s="718">
        <f t="shared" ref="Q8:R11" si="4">+M8+O8</f>
        <v>892400</v>
      </c>
      <c r="R8" s="718">
        <f t="shared" si="4"/>
        <v>868329.10000000009</v>
      </c>
      <c r="S8" s="2348">
        <v>254100</v>
      </c>
      <c r="T8" s="2399">
        <v>253091</v>
      </c>
      <c r="U8" s="718">
        <f t="shared" ref="U8:U11" si="5">+Q8+S8</f>
        <v>1146500</v>
      </c>
      <c r="V8" s="718">
        <f t="shared" ref="V8:V11" si="6">+R8+T8</f>
        <v>1121420.1000000001</v>
      </c>
      <c r="W8" s="2348">
        <v>133350</v>
      </c>
      <c r="X8" s="2399">
        <v>242990.00000000003</v>
      </c>
      <c r="Y8" s="64">
        <f t="shared" ref="Y8:Z8" si="7">+W8+S8+O8</f>
        <v>641550</v>
      </c>
      <c r="Z8" s="65">
        <f t="shared" si="7"/>
        <v>764223.3</v>
      </c>
      <c r="AA8" s="433">
        <f>M8+Y8</f>
        <v>1279850</v>
      </c>
      <c r="AB8" s="441">
        <f>+N8+Z8</f>
        <v>1364410.1</v>
      </c>
      <c r="AC8" s="2348">
        <v>259100</v>
      </c>
      <c r="AD8" s="2399">
        <v>191885.69999999995</v>
      </c>
      <c r="AE8" s="718">
        <f t="shared" ref="AE8:AE11" si="8">+AA8+AC8</f>
        <v>1538950</v>
      </c>
      <c r="AF8" s="718">
        <f t="shared" ref="AF8:AF11" si="9">+AB8+AD8</f>
        <v>1556295.8</v>
      </c>
      <c r="AG8" s="2348">
        <v>251100</v>
      </c>
      <c r="AH8" s="2399">
        <v>243986.3</v>
      </c>
      <c r="AI8" s="718">
        <f t="shared" ref="AI8:AI11" si="10">+AE8+AG8</f>
        <v>1790050</v>
      </c>
      <c r="AJ8" s="718">
        <f t="shared" ref="AJ8:AJ11" si="11">+AF8+AH8</f>
        <v>1800282.1</v>
      </c>
      <c r="AK8" s="2348">
        <v>259100</v>
      </c>
      <c r="AL8" s="2399">
        <v>251518.19999999998</v>
      </c>
      <c r="AM8" s="64">
        <f t="shared" ref="AM8:AM11" si="12">+AK8+AG8+AC8</f>
        <v>769300</v>
      </c>
      <c r="AN8" s="65">
        <f t="shared" ref="AN8:AN11" si="13">+AL8+AH8+AD8</f>
        <v>687390.2</v>
      </c>
      <c r="AO8" s="718">
        <f>+AK8+AI8</f>
        <v>2049150</v>
      </c>
      <c r="AP8" s="718">
        <f>+AL8+AJ8</f>
        <v>2051800.3</v>
      </c>
      <c r="AQ8" s="2348">
        <v>263100</v>
      </c>
      <c r="AR8" s="2399">
        <v>243469</v>
      </c>
      <c r="AS8" s="718">
        <f t="shared" ref="AS8:AS10" si="14">+AO8+AQ8</f>
        <v>2312250</v>
      </c>
      <c r="AT8" s="718">
        <f t="shared" ref="AT8:AT10" si="15">+AP8+AR8</f>
        <v>2295269.2999999998</v>
      </c>
      <c r="AU8" s="2348">
        <v>235100</v>
      </c>
      <c r="AV8" s="2399">
        <v>196575.3</v>
      </c>
      <c r="AW8" s="718">
        <f t="shared" ref="AW8:AW11" si="16">+AS8+AU8</f>
        <v>2547350</v>
      </c>
      <c r="AX8" s="718">
        <f t="shared" ref="AX8:AX11" si="17">+AT8+AV8</f>
        <v>2491844.5999999996</v>
      </c>
      <c r="AY8" s="2348">
        <v>263100</v>
      </c>
      <c r="AZ8" s="2399">
        <v>251775.50000000003</v>
      </c>
      <c r="BA8" s="64">
        <f t="shared" ref="BA8:BA11" si="18">+AY8+AU8+AQ8</f>
        <v>761300</v>
      </c>
      <c r="BB8" s="65">
        <f t="shared" ref="BB8:BB11" si="19">+AZ8+AV8+AR8</f>
        <v>691819.8</v>
      </c>
      <c r="BC8" s="433">
        <f>AM8+BA8</f>
        <v>1530600</v>
      </c>
      <c r="BD8" s="441">
        <f>+AN8+BB8</f>
        <v>1379210</v>
      </c>
      <c r="BE8" s="718">
        <f t="shared" ref="BE8:BE11" si="20">+AW8+AY8</f>
        <v>2810450</v>
      </c>
      <c r="BF8" s="718">
        <f t="shared" ref="BF8:BF11" si="21">+AX8+AZ8</f>
        <v>2743620.0999999996</v>
      </c>
    </row>
    <row r="9" spans="1:58" x14ac:dyDescent="0.3">
      <c r="A9" s="135"/>
      <c r="B9" s="1912" t="s">
        <v>420</v>
      </c>
      <c r="C9" s="2356" t="s">
        <v>50</v>
      </c>
      <c r="D9" s="2348">
        <v>3800</v>
      </c>
      <c r="E9" s="2348">
        <v>1800</v>
      </c>
      <c r="F9" s="2399">
        <v>295.10000000000002</v>
      </c>
      <c r="G9" s="2348">
        <v>2000</v>
      </c>
      <c r="H9" s="2399">
        <v>2390.1000000000004</v>
      </c>
      <c r="I9" s="2349">
        <f>+E9+G9</f>
        <v>3800</v>
      </c>
      <c r="J9" s="35">
        <f t="shared" si="2"/>
        <v>2685.2000000000003</v>
      </c>
      <c r="K9" s="2348">
        <v>900</v>
      </c>
      <c r="L9" s="2399">
        <v>1081.8</v>
      </c>
      <c r="M9" s="717">
        <f t="shared" ref="M9" si="22">+K9+G9+E9</f>
        <v>4700</v>
      </c>
      <c r="N9" s="717">
        <f t="shared" ref="N9" si="23">+L9+H9+F9</f>
        <v>3767.0000000000005</v>
      </c>
      <c r="O9" s="2348">
        <v>900</v>
      </c>
      <c r="P9" s="2399">
        <v>0</v>
      </c>
      <c r="Q9" s="718">
        <f t="shared" si="4"/>
        <v>5600</v>
      </c>
      <c r="R9" s="718">
        <f t="shared" si="4"/>
        <v>3767.0000000000005</v>
      </c>
      <c r="S9" s="2348">
        <v>900</v>
      </c>
      <c r="T9" s="2399">
        <v>172.60000000000002</v>
      </c>
      <c r="U9" s="718">
        <f t="shared" si="5"/>
        <v>6500</v>
      </c>
      <c r="V9" s="718">
        <f t="shared" si="6"/>
        <v>3939.6000000000004</v>
      </c>
      <c r="W9" s="2348">
        <v>4150</v>
      </c>
      <c r="X9" s="2399">
        <v>307.39999999999998</v>
      </c>
      <c r="Y9" s="64">
        <f t="shared" ref="Y9:Y10" si="24">+W9+S9+O9</f>
        <v>5950</v>
      </c>
      <c r="Z9" s="65">
        <f t="shared" ref="Z9:Z10" si="25">+X9+T9+P9</f>
        <v>480</v>
      </c>
      <c r="AA9" s="433">
        <f t="shared" ref="AA9:AA10" si="26">M9+Y9</f>
        <v>10650</v>
      </c>
      <c r="AB9" s="441">
        <f t="shared" ref="AB9:AB10" si="27">+N9+Z9</f>
        <v>4247</v>
      </c>
      <c r="AC9" s="2348">
        <v>900</v>
      </c>
      <c r="AD9" s="2399">
        <v>3611.2000000000003</v>
      </c>
      <c r="AE9" s="718">
        <f t="shared" si="8"/>
        <v>11550</v>
      </c>
      <c r="AF9" s="718">
        <f t="shared" si="9"/>
        <v>7858.2000000000007</v>
      </c>
      <c r="AG9" s="2348">
        <v>900</v>
      </c>
      <c r="AH9" s="2399">
        <v>161.9</v>
      </c>
      <c r="AI9" s="718">
        <f t="shared" si="10"/>
        <v>12450</v>
      </c>
      <c r="AJ9" s="718">
        <f t="shared" si="11"/>
        <v>8020.1</v>
      </c>
      <c r="AK9" s="2348">
        <v>900</v>
      </c>
      <c r="AL9" s="2399">
        <v>42.8</v>
      </c>
      <c r="AM9" s="64">
        <f t="shared" si="12"/>
        <v>2700</v>
      </c>
      <c r="AN9" s="65">
        <f t="shared" si="13"/>
        <v>3815.9</v>
      </c>
      <c r="AO9" s="718">
        <f t="shared" ref="AO9:AP13" si="28">+AK9+AI9</f>
        <v>13350</v>
      </c>
      <c r="AP9" s="718">
        <f t="shared" ref="AP9:AP11" si="29">+AL9+AJ9</f>
        <v>8062.9000000000005</v>
      </c>
      <c r="AQ9" s="2348">
        <v>900</v>
      </c>
      <c r="AR9" s="2399">
        <v>794.2</v>
      </c>
      <c r="AS9" s="718">
        <f t="shared" si="14"/>
        <v>14250</v>
      </c>
      <c r="AT9" s="718">
        <f t="shared" si="15"/>
        <v>8857.1</v>
      </c>
      <c r="AU9" s="2348">
        <v>900</v>
      </c>
      <c r="AV9" s="2399">
        <v>0</v>
      </c>
      <c r="AW9" s="718">
        <f t="shared" si="16"/>
        <v>15150</v>
      </c>
      <c r="AX9" s="718">
        <f t="shared" si="17"/>
        <v>8857.1</v>
      </c>
      <c r="AY9" s="2348">
        <v>900</v>
      </c>
      <c r="AZ9" s="2399">
        <v>96.2</v>
      </c>
      <c r="BA9" s="64">
        <f t="shared" si="18"/>
        <v>2700</v>
      </c>
      <c r="BB9" s="65">
        <f t="shared" si="19"/>
        <v>890.40000000000009</v>
      </c>
      <c r="BC9" s="433">
        <f t="shared" ref="BC9:BC11" si="30">AM9+BA9</f>
        <v>5400</v>
      </c>
      <c r="BD9" s="441">
        <f t="shared" ref="BD9:BD11" si="31">+AN9+BB9</f>
        <v>4706.3</v>
      </c>
      <c r="BE9" s="718">
        <f t="shared" si="20"/>
        <v>16050</v>
      </c>
      <c r="BF9" s="718">
        <f t="shared" si="21"/>
        <v>8953.3000000000011</v>
      </c>
    </row>
    <row r="10" spans="1:58" x14ac:dyDescent="0.3">
      <c r="A10" s="135"/>
      <c r="B10" s="2088" t="s">
        <v>421</v>
      </c>
      <c r="C10" s="2625" t="s">
        <v>50</v>
      </c>
      <c r="D10" s="2587">
        <v>4000</v>
      </c>
      <c r="E10" s="2587">
        <v>500</v>
      </c>
      <c r="F10" s="2626">
        <v>0</v>
      </c>
      <c r="G10" s="2587">
        <v>3500</v>
      </c>
      <c r="H10" s="2626">
        <v>3153</v>
      </c>
      <c r="I10" s="2588">
        <f>+E10+G10</f>
        <v>4000</v>
      </c>
      <c r="J10" s="152">
        <f t="shared" si="2"/>
        <v>3153</v>
      </c>
      <c r="K10" s="2587">
        <v>0</v>
      </c>
      <c r="L10" s="2626">
        <v>0</v>
      </c>
      <c r="M10" s="1096">
        <f t="shared" ref="M10" si="32">+K10+G10+E10</f>
        <v>4000</v>
      </c>
      <c r="N10" s="1096">
        <f t="shared" ref="N10" si="33">+L10+H10+F10</f>
        <v>3153</v>
      </c>
      <c r="O10" s="2587">
        <v>0</v>
      </c>
      <c r="P10" s="2626">
        <v>0</v>
      </c>
      <c r="Q10" s="2349">
        <f t="shared" si="4"/>
        <v>4000</v>
      </c>
      <c r="R10" s="248">
        <f t="shared" si="4"/>
        <v>3153</v>
      </c>
      <c r="S10" s="2587">
        <v>0</v>
      </c>
      <c r="T10" s="2626">
        <v>0</v>
      </c>
      <c r="U10" s="2349">
        <f t="shared" si="5"/>
        <v>4000</v>
      </c>
      <c r="V10" s="248">
        <f t="shared" si="6"/>
        <v>3153</v>
      </c>
      <c r="W10" s="2587">
        <v>2500</v>
      </c>
      <c r="X10" s="2626">
        <v>0</v>
      </c>
      <c r="Y10" s="2052">
        <f t="shared" si="24"/>
        <v>2500</v>
      </c>
      <c r="Z10" s="160">
        <f t="shared" si="25"/>
        <v>0</v>
      </c>
      <c r="AA10" s="2089">
        <f t="shared" si="26"/>
        <v>6500</v>
      </c>
      <c r="AB10" s="2090">
        <f t="shared" si="27"/>
        <v>3153</v>
      </c>
      <c r="AC10" s="2587">
        <v>0</v>
      </c>
      <c r="AD10" s="2626">
        <v>3773.2</v>
      </c>
      <c r="AE10" s="248">
        <f t="shared" si="8"/>
        <v>6500</v>
      </c>
      <c r="AF10" s="248">
        <f t="shared" si="9"/>
        <v>6926.2</v>
      </c>
      <c r="AG10" s="2587">
        <v>0</v>
      </c>
      <c r="AH10" s="2626">
        <v>0</v>
      </c>
      <c r="AI10" s="248">
        <f t="shared" si="10"/>
        <v>6500</v>
      </c>
      <c r="AJ10" s="248">
        <f t="shared" si="11"/>
        <v>6926.2</v>
      </c>
      <c r="AK10" s="2587">
        <v>0</v>
      </c>
      <c r="AL10" s="2626"/>
      <c r="AM10" s="2052">
        <f t="shared" si="12"/>
        <v>0</v>
      </c>
      <c r="AN10" s="160">
        <f t="shared" si="13"/>
        <v>3773.2</v>
      </c>
      <c r="AO10" s="718">
        <f t="shared" si="28"/>
        <v>6500</v>
      </c>
      <c r="AP10" s="718">
        <f t="shared" si="29"/>
        <v>6926.2</v>
      </c>
      <c r="AQ10" s="2587">
        <v>0</v>
      </c>
      <c r="AR10" s="2626">
        <v>588.20000000000005</v>
      </c>
      <c r="AS10" s="248">
        <f t="shared" si="14"/>
        <v>6500</v>
      </c>
      <c r="AT10" s="248">
        <f t="shared" si="15"/>
        <v>7514.4</v>
      </c>
      <c r="AU10" s="2587">
        <v>0</v>
      </c>
      <c r="AV10" s="2626">
        <v>0</v>
      </c>
      <c r="AW10" s="248">
        <f t="shared" si="16"/>
        <v>6500</v>
      </c>
      <c r="AX10" s="248">
        <f t="shared" si="17"/>
        <v>7514.4</v>
      </c>
      <c r="AY10" s="2587">
        <v>0</v>
      </c>
      <c r="AZ10" s="2626">
        <v>0</v>
      </c>
      <c r="BA10" s="2052">
        <f t="shared" si="18"/>
        <v>0</v>
      </c>
      <c r="BB10" s="160">
        <f t="shared" si="19"/>
        <v>588.20000000000005</v>
      </c>
      <c r="BC10" s="433">
        <f t="shared" si="30"/>
        <v>0</v>
      </c>
      <c r="BD10" s="441">
        <f t="shared" si="31"/>
        <v>4361.3999999999996</v>
      </c>
      <c r="BE10" s="248">
        <f t="shared" si="20"/>
        <v>6500</v>
      </c>
      <c r="BF10" s="248">
        <f t="shared" si="21"/>
        <v>7514.4</v>
      </c>
    </row>
    <row r="11" spans="1:58" ht="15" thickBot="1" x14ac:dyDescent="0.35">
      <c r="A11" s="135"/>
      <c r="B11" s="1912" t="s">
        <v>1736</v>
      </c>
      <c r="C11" s="2356"/>
      <c r="D11" s="2348"/>
      <c r="E11" s="2348"/>
      <c r="F11" s="2399">
        <v>0</v>
      </c>
      <c r="G11" s="2348"/>
      <c r="H11" s="2399">
        <v>2118</v>
      </c>
      <c r="I11" s="2349">
        <f>+E11+G11</f>
        <v>0</v>
      </c>
      <c r="J11" s="152">
        <f t="shared" si="2"/>
        <v>2118</v>
      </c>
      <c r="K11" s="2348">
        <v>0</v>
      </c>
      <c r="L11" s="2399">
        <v>0</v>
      </c>
      <c r="M11" s="717">
        <f t="shared" ref="M11" si="34">+K11+G11+E11</f>
        <v>0</v>
      </c>
      <c r="N11" s="717">
        <f t="shared" ref="N11" si="35">+L11+H11+F11</f>
        <v>2118</v>
      </c>
      <c r="O11" s="2348">
        <v>0</v>
      </c>
      <c r="P11" s="2399">
        <v>0</v>
      </c>
      <c r="Q11" s="2349">
        <f t="shared" si="4"/>
        <v>0</v>
      </c>
      <c r="R11" s="3155">
        <f t="shared" si="4"/>
        <v>2118</v>
      </c>
      <c r="S11" s="2348">
        <v>0</v>
      </c>
      <c r="T11" s="2399">
        <v>0</v>
      </c>
      <c r="U11" s="2349">
        <f t="shared" si="5"/>
        <v>0</v>
      </c>
      <c r="V11" s="3155">
        <f t="shared" si="6"/>
        <v>2118</v>
      </c>
      <c r="W11" s="2348">
        <v>0</v>
      </c>
      <c r="X11" s="2399">
        <v>0</v>
      </c>
      <c r="Y11" s="2052">
        <f t="shared" ref="Y11" si="36">+W11+S11+O11</f>
        <v>0</v>
      </c>
      <c r="Z11" s="160">
        <f t="shared" ref="Z11" si="37">+X11+T11+P11</f>
        <v>0</v>
      </c>
      <c r="AA11" s="2089">
        <f t="shared" ref="AA11" si="38">M11+Y11</f>
        <v>0</v>
      </c>
      <c r="AB11" s="2090">
        <f t="shared" ref="AB11" si="39">+N11+Z11</f>
        <v>2118</v>
      </c>
      <c r="AC11" s="2348">
        <v>0</v>
      </c>
      <c r="AD11" s="2399">
        <v>3692</v>
      </c>
      <c r="AE11" s="3155">
        <f t="shared" si="8"/>
        <v>0</v>
      </c>
      <c r="AF11" s="3155">
        <f t="shared" si="9"/>
        <v>5810</v>
      </c>
      <c r="AG11" s="2348">
        <v>0</v>
      </c>
      <c r="AH11" s="2399">
        <v>0</v>
      </c>
      <c r="AI11" s="3155">
        <f t="shared" si="10"/>
        <v>0</v>
      </c>
      <c r="AJ11" s="3155">
        <f t="shared" si="11"/>
        <v>5810</v>
      </c>
      <c r="AK11" s="2348">
        <v>0</v>
      </c>
      <c r="AL11" s="2399"/>
      <c r="AM11" s="2092">
        <f t="shared" si="12"/>
        <v>0</v>
      </c>
      <c r="AN11" s="160">
        <f t="shared" si="13"/>
        <v>3692</v>
      </c>
      <c r="AO11" s="3155">
        <f t="shared" si="28"/>
        <v>0</v>
      </c>
      <c r="AP11" s="718">
        <f t="shared" si="29"/>
        <v>5810</v>
      </c>
      <c r="AQ11" s="2348">
        <v>0</v>
      </c>
      <c r="AR11" s="2399">
        <v>0</v>
      </c>
      <c r="AS11" s="248">
        <f t="shared" ref="AS11" si="40">+AO11+AQ11</f>
        <v>0</v>
      </c>
      <c r="AT11" s="248">
        <f t="shared" ref="AT11" si="41">+AP11+AR11</f>
        <v>5810</v>
      </c>
      <c r="AU11" s="2348">
        <v>0</v>
      </c>
      <c r="AV11" s="2399">
        <v>0</v>
      </c>
      <c r="AW11" s="248">
        <f t="shared" si="16"/>
        <v>0</v>
      </c>
      <c r="AX11" s="248">
        <f t="shared" si="17"/>
        <v>5810</v>
      </c>
      <c r="AY11" s="2348">
        <v>0</v>
      </c>
      <c r="AZ11" s="2399">
        <v>0</v>
      </c>
      <c r="BA11" s="2092">
        <f t="shared" si="18"/>
        <v>0</v>
      </c>
      <c r="BB11" s="160">
        <f t="shared" si="19"/>
        <v>0</v>
      </c>
      <c r="BC11" s="2093">
        <f t="shared" si="30"/>
        <v>0</v>
      </c>
      <c r="BD11" s="441">
        <f t="shared" si="31"/>
        <v>3692</v>
      </c>
      <c r="BE11" s="3155">
        <f t="shared" si="20"/>
        <v>0</v>
      </c>
      <c r="BF11" s="248">
        <f t="shared" si="21"/>
        <v>5810</v>
      </c>
    </row>
    <row r="12" spans="1:58" ht="15" thickBot="1" x14ac:dyDescent="0.35">
      <c r="A12" s="136"/>
      <c r="B12" s="2101" t="s">
        <v>234</v>
      </c>
      <c r="C12" s="2102"/>
      <c r="D12" s="2102"/>
      <c r="E12" s="2102"/>
      <c r="F12" s="2102"/>
      <c r="G12" s="2102"/>
      <c r="H12" s="2102"/>
      <c r="I12" s="2102"/>
      <c r="J12" s="2866"/>
      <c r="K12" s="2102"/>
      <c r="L12" s="2102"/>
      <c r="M12" s="2102"/>
      <c r="N12" s="2102"/>
      <c r="O12" s="2102"/>
      <c r="P12" s="2102"/>
      <c r="Q12" s="3500"/>
      <c r="R12" s="2102"/>
      <c r="S12" s="2102"/>
      <c r="T12" s="2102"/>
      <c r="U12" s="3500"/>
      <c r="V12" s="2102"/>
      <c r="W12" s="2102"/>
      <c r="X12" s="2102"/>
      <c r="Y12" s="2102"/>
      <c r="Z12" s="2102"/>
      <c r="AA12" s="2102"/>
      <c r="AB12" s="2103"/>
      <c r="AC12" s="2102"/>
      <c r="AD12" s="2102"/>
      <c r="AE12" s="2102"/>
      <c r="AF12" s="2102"/>
      <c r="AG12" s="2102"/>
      <c r="AH12" s="2102"/>
      <c r="AI12" s="2102"/>
      <c r="AJ12" s="2102"/>
      <c r="AK12" s="2102"/>
      <c r="AL12" s="2102"/>
      <c r="AM12" s="2102"/>
      <c r="AN12" s="2102"/>
      <c r="AO12" s="2102"/>
      <c r="AP12" s="2102"/>
      <c r="AQ12" s="2102"/>
      <c r="AR12" s="2102"/>
      <c r="AS12" s="2102"/>
      <c r="AT12" s="2102"/>
      <c r="AU12" s="2102"/>
      <c r="AV12" s="2102"/>
      <c r="AW12" s="2102"/>
      <c r="AX12" s="2102"/>
      <c r="AY12" s="2102"/>
      <c r="AZ12" s="2102"/>
      <c r="BA12" s="2102"/>
      <c r="BB12" s="2102"/>
      <c r="BC12" s="2102"/>
      <c r="BD12" s="2103"/>
      <c r="BE12" s="2102"/>
      <c r="BF12" s="2102"/>
    </row>
    <row r="13" spans="1:58" x14ac:dyDescent="0.3">
      <c r="A13" s="135" t="s">
        <v>445</v>
      </c>
      <c r="B13" s="1638" t="s">
        <v>20</v>
      </c>
      <c r="C13" s="750" t="s">
        <v>50</v>
      </c>
      <c r="D13" s="247">
        <f>+'Maj Production Summ'!D23</f>
        <v>3420</v>
      </c>
      <c r="E13" s="145">
        <f>+'Maj Production Summ'!E23</f>
        <v>1620</v>
      </c>
      <c r="F13" s="247">
        <f>+'Maj Production Summ'!F23</f>
        <v>246.31997000000001</v>
      </c>
      <c r="G13" s="145">
        <f>+'Maj Production Summ'!G23</f>
        <v>1800</v>
      </c>
      <c r="H13" s="247">
        <f>+'Maj Production Summ'!H23</f>
        <v>1995.0164700000003</v>
      </c>
      <c r="I13" s="341">
        <f>+E13+G13</f>
        <v>3420</v>
      </c>
      <c r="J13" s="39">
        <f t="shared" si="2"/>
        <v>2241.33644</v>
      </c>
      <c r="K13" s="145">
        <f>+'Maj Production Summ'!K23</f>
        <v>810</v>
      </c>
      <c r="L13" s="247">
        <f>+'Maj Production Summ'!L23</f>
        <v>902.97845999999993</v>
      </c>
      <c r="M13" s="574">
        <f t="shared" ref="M13:N13" si="42">+K13+G13+E13</f>
        <v>4230</v>
      </c>
      <c r="N13" s="574">
        <f t="shared" si="42"/>
        <v>3144.3149000000003</v>
      </c>
      <c r="O13" s="145">
        <f>+'Maj Production Summ'!O23</f>
        <v>810</v>
      </c>
      <c r="P13" s="247">
        <f>+'Maj Production Summ'!P23</f>
        <v>0</v>
      </c>
      <c r="Q13" s="341">
        <f t="shared" ref="Q13:R15" si="43">+M13+O13</f>
        <v>5040</v>
      </c>
      <c r="R13" s="341">
        <f t="shared" si="43"/>
        <v>3144.3149000000003</v>
      </c>
      <c r="S13" s="145">
        <f>+'Maj Production Summ'!S23</f>
        <v>810</v>
      </c>
      <c r="T13" s="247">
        <f>+'Maj Production Summ'!T23</f>
        <v>144.06922</v>
      </c>
      <c r="U13" s="341">
        <f t="shared" ref="U13:U15" si="44">+Q13+S13</f>
        <v>5850</v>
      </c>
      <c r="V13" s="341">
        <f t="shared" ref="V13:V15" si="45">+R13+T13</f>
        <v>3288.3841200000002</v>
      </c>
      <c r="W13" s="145">
        <f>+'Maj Production Summ'!W23</f>
        <v>3735</v>
      </c>
      <c r="X13" s="247">
        <f>+'Maj Production Summ'!X23</f>
        <v>256.58677999999998</v>
      </c>
      <c r="Y13" s="574">
        <f t="shared" ref="Y13:Z13" si="46">+W13+S13+O13</f>
        <v>5355</v>
      </c>
      <c r="Z13" s="574">
        <f t="shared" si="46"/>
        <v>400.65599999999995</v>
      </c>
      <c r="AA13" s="955">
        <f>M13+Y13</f>
        <v>9585</v>
      </c>
      <c r="AB13" s="422">
        <f>+N13+Z13</f>
        <v>3544.9709000000003</v>
      </c>
      <c r="AC13" s="145">
        <f>+'Maj Production Summ'!AC23</f>
        <v>810</v>
      </c>
      <c r="AD13" s="247">
        <f>+'Maj Production Summ'!AD23</f>
        <v>3014.2686399999998</v>
      </c>
      <c r="AE13" s="341">
        <f t="shared" ref="AE13:AE15" si="47">+AA13+AC13</f>
        <v>10395</v>
      </c>
      <c r="AF13" s="341">
        <f t="shared" ref="AF13:AF15" si="48">+AB13+AD13</f>
        <v>6559.2395400000005</v>
      </c>
      <c r="AG13" s="145">
        <f>+'Maj Production Summ'!AG23</f>
        <v>810</v>
      </c>
      <c r="AH13" s="247">
        <f>+'Maj Production Summ'!AH23</f>
        <v>135.13793000000001</v>
      </c>
      <c r="AI13" s="341">
        <f t="shared" ref="AI13:AI15" si="49">+AE13+AG13</f>
        <v>11205</v>
      </c>
      <c r="AJ13" s="341">
        <f t="shared" ref="AJ13:AJ15" si="50">+AF13+AH13</f>
        <v>6694.3774700000004</v>
      </c>
      <c r="AK13" s="145">
        <f>+'Maj Production Summ'!AK23</f>
        <v>810</v>
      </c>
      <c r="AL13" s="247">
        <f>+'Maj Production Summ'!AL23</f>
        <v>35.725159999999995</v>
      </c>
      <c r="AM13" s="574">
        <f t="shared" ref="AM13:AM15" si="51">+AK13+AG13+AC13</f>
        <v>2430</v>
      </c>
      <c r="AN13" s="574">
        <f t="shared" ref="AN13:AN15" si="52">+AL13+AH13+AD13</f>
        <v>3185.1317299999996</v>
      </c>
      <c r="AO13" s="718">
        <f t="shared" si="28"/>
        <v>12015</v>
      </c>
      <c r="AP13" s="718">
        <f t="shared" si="28"/>
        <v>6730.1026300000003</v>
      </c>
      <c r="AQ13" s="145">
        <f>+'Maj Production Summ'!AQ23</f>
        <v>810</v>
      </c>
      <c r="AR13" s="247">
        <f>+'Maj Production Summ'!AR23</f>
        <v>662.91874000000007</v>
      </c>
      <c r="AS13" s="341">
        <f t="shared" ref="AS13:AS15" si="53">+AO13+AQ13</f>
        <v>12825</v>
      </c>
      <c r="AT13" s="341">
        <f t="shared" ref="AT13:AT15" si="54">+AP13+AR13</f>
        <v>7393.0213700000004</v>
      </c>
      <c r="AU13" s="145">
        <f>+'Maj Production Summ'!AU23</f>
        <v>810</v>
      </c>
      <c r="AV13" s="247">
        <f>+'Maj Production Summ'!AV23</f>
        <v>0</v>
      </c>
      <c r="AW13" s="341">
        <f t="shared" ref="AW13:AW15" si="55">+AS13+AU13</f>
        <v>13635</v>
      </c>
      <c r="AX13" s="341">
        <f t="shared" ref="AX13:AX15" si="56">+AT13+AV13</f>
        <v>7393.0213700000004</v>
      </c>
      <c r="AY13" s="145">
        <f>+'Maj Production Summ'!AY23</f>
        <v>810</v>
      </c>
      <c r="AZ13" s="247">
        <f>+'Maj Production Summ'!AZ23</f>
        <v>80.298139999999989</v>
      </c>
      <c r="BA13" s="574">
        <f t="shared" ref="BA13:BA15" si="57">+AY13+AU13+AQ13</f>
        <v>2430</v>
      </c>
      <c r="BB13" s="574">
        <f t="shared" ref="BB13:BB15" si="58">+AZ13+AV13+AR13</f>
        <v>743.21688000000006</v>
      </c>
      <c r="BC13" s="433">
        <f t="shared" ref="BC13:BC15" si="59">AM13+BA13</f>
        <v>4860</v>
      </c>
      <c r="BD13" s="441">
        <f t="shared" ref="BD13:BD15" si="60">+AN13+BB13</f>
        <v>3928.3486099999996</v>
      </c>
      <c r="BE13" s="341">
        <f t="shared" ref="BE13:BE15" si="61">+AW13+AY13</f>
        <v>14445</v>
      </c>
      <c r="BF13" s="341">
        <f t="shared" ref="BF13:BF15" si="62">+AX13+AZ13</f>
        <v>7473.3195100000003</v>
      </c>
    </row>
    <row r="14" spans="1:58" x14ac:dyDescent="0.3">
      <c r="A14" s="209"/>
      <c r="B14" s="1662" t="s">
        <v>113</v>
      </c>
      <c r="C14" s="2356" t="s">
        <v>50</v>
      </c>
      <c r="D14" s="2348">
        <f>+'Maj Production Summ'!D24</f>
        <v>0</v>
      </c>
      <c r="E14" s="2348">
        <f>+'Maj Production Summ'!E24</f>
        <v>0</v>
      </c>
      <c r="F14" s="2348">
        <v>34.774583999999997</v>
      </c>
      <c r="G14" s="2348">
        <f>+'Maj Production Summ'!G24</f>
        <v>0</v>
      </c>
      <c r="H14" s="2348">
        <f>+'Maj Production Summ'!H24</f>
        <v>281.649384</v>
      </c>
      <c r="I14" s="2349">
        <f>+E14+G14</f>
        <v>0</v>
      </c>
      <c r="J14" s="35">
        <f t="shared" si="2"/>
        <v>316.423968</v>
      </c>
      <c r="K14" s="2348">
        <f>+'Maj Production Summ'!K24</f>
        <v>0</v>
      </c>
      <c r="L14" s="2348">
        <v>127.47931200000001</v>
      </c>
      <c r="M14" s="717">
        <f t="shared" ref="M14:M15" si="63">+K14+G14+E14</f>
        <v>0</v>
      </c>
      <c r="N14" s="717">
        <f t="shared" ref="N14:N15" si="64">+L14+H14+F14</f>
        <v>443.90328</v>
      </c>
      <c r="O14" s="2348">
        <f>+'Maj Production Summ'!O24</f>
        <v>0</v>
      </c>
      <c r="P14" s="2348">
        <v>0</v>
      </c>
      <c r="Q14" s="718">
        <f t="shared" si="43"/>
        <v>0</v>
      </c>
      <c r="R14" s="718">
        <f t="shared" si="43"/>
        <v>443.90328</v>
      </c>
      <c r="S14" s="2348">
        <f>+'Maj Production Summ'!S24</f>
        <v>0</v>
      </c>
      <c r="T14" s="2348">
        <v>20</v>
      </c>
      <c r="U14" s="718">
        <f t="shared" si="44"/>
        <v>0</v>
      </c>
      <c r="V14" s="718">
        <f t="shared" si="45"/>
        <v>463.90328</v>
      </c>
      <c r="W14" s="2348">
        <f>+'Maj Production Summ'!W24</f>
        <v>0</v>
      </c>
      <c r="X14" s="2348">
        <v>36.224015999999999</v>
      </c>
      <c r="Y14" s="717">
        <f t="shared" ref="Y14:Y15" si="65">+W14+S14+O14</f>
        <v>0</v>
      </c>
      <c r="Z14" s="717">
        <f t="shared" ref="Z14:Z15" si="66">+X14+T14+P14</f>
        <v>56.224015999999999</v>
      </c>
      <c r="AA14" s="429">
        <f t="shared" ref="AA14:AA15" si="67">M14+Y14</f>
        <v>0</v>
      </c>
      <c r="AB14" s="418">
        <f t="shared" ref="AB14:AB15" si="68">+N14+Z14</f>
        <v>500.127296</v>
      </c>
      <c r="AC14" s="2348">
        <f>+'Maj Production Summ'!AC24</f>
        <v>0</v>
      </c>
      <c r="AD14" s="2348">
        <v>433.34399999999999</v>
      </c>
      <c r="AE14" s="718">
        <f t="shared" si="47"/>
        <v>0</v>
      </c>
      <c r="AF14" s="718">
        <f t="shared" si="48"/>
        <v>933.47129599999994</v>
      </c>
      <c r="AG14" s="2348">
        <f>+'Maj Production Summ'!AG24</f>
        <v>0</v>
      </c>
      <c r="AH14" s="2348">
        <v>19.078296000000002</v>
      </c>
      <c r="AI14" s="718">
        <f t="shared" si="49"/>
        <v>0</v>
      </c>
      <c r="AJ14" s="718">
        <f t="shared" si="50"/>
        <v>952.54959199999996</v>
      </c>
      <c r="AK14" s="2348">
        <f>+'Maj Production Summ'!AK24</f>
        <v>0</v>
      </c>
      <c r="AL14" s="2348">
        <v>5</v>
      </c>
      <c r="AM14" s="717">
        <f t="shared" si="51"/>
        <v>0</v>
      </c>
      <c r="AN14" s="717">
        <f t="shared" si="52"/>
        <v>457.42229600000002</v>
      </c>
      <c r="AO14" s="718">
        <f t="shared" ref="AO14:AP17" si="69">+AK14+AI14</f>
        <v>0</v>
      </c>
      <c r="AP14" s="718">
        <f t="shared" ref="AP14:AP15" si="70">+AL14+AJ14</f>
        <v>957.54959199999996</v>
      </c>
      <c r="AQ14" s="2348">
        <f>+'Maj Production Summ'!AQ24</f>
        <v>0</v>
      </c>
      <c r="AR14" s="2348">
        <v>93.588527999999997</v>
      </c>
      <c r="AS14" s="718">
        <f t="shared" si="53"/>
        <v>0</v>
      </c>
      <c r="AT14" s="718">
        <f t="shared" si="54"/>
        <v>1051.1381200000001</v>
      </c>
      <c r="AU14" s="2348">
        <f>+'Maj Production Summ'!AU24</f>
        <v>0</v>
      </c>
      <c r="AV14" s="2348">
        <v>0</v>
      </c>
      <c r="AW14" s="718">
        <f t="shared" si="55"/>
        <v>0</v>
      </c>
      <c r="AX14" s="718">
        <f t="shared" si="56"/>
        <v>1051.1381200000001</v>
      </c>
      <c r="AY14" s="2348">
        <f>+'Maj Production Summ'!AY24</f>
        <v>0</v>
      </c>
      <c r="AZ14" s="2348">
        <v>11.336208000000001</v>
      </c>
      <c r="BA14" s="717">
        <f t="shared" si="57"/>
        <v>0</v>
      </c>
      <c r="BB14" s="717">
        <f t="shared" si="58"/>
        <v>104.924736</v>
      </c>
      <c r="BC14" s="433">
        <f t="shared" si="59"/>
        <v>0</v>
      </c>
      <c r="BD14" s="441">
        <f t="shared" si="60"/>
        <v>562.34703200000001</v>
      </c>
      <c r="BE14" s="718">
        <f t="shared" si="61"/>
        <v>0</v>
      </c>
      <c r="BF14" s="718">
        <f t="shared" si="62"/>
        <v>1062.474328</v>
      </c>
    </row>
    <row r="15" spans="1:58" ht="27.6" x14ac:dyDescent="0.3">
      <c r="A15" s="135"/>
      <c r="B15" s="2095" t="s">
        <v>1617</v>
      </c>
      <c r="C15" s="2356" t="s">
        <v>50</v>
      </c>
      <c r="D15" s="2356">
        <f>+'Maj Production Summ'!D25</f>
        <v>2600</v>
      </c>
      <c r="E15" s="2356">
        <f>+'Maj Production Summ'!E25</f>
        <v>325</v>
      </c>
      <c r="F15" s="2399">
        <v>190</v>
      </c>
      <c r="G15" s="2356">
        <f>+'Maj Production Summ'!G25</f>
        <v>2275</v>
      </c>
      <c r="H15" s="2399">
        <f>+'Maj Production Summ'!H25</f>
        <v>4005</v>
      </c>
      <c r="I15" s="2668">
        <f>+E15+G15</f>
        <v>2600</v>
      </c>
      <c r="J15" s="35">
        <f t="shared" si="2"/>
        <v>4195</v>
      </c>
      <c r="K15" s="2356">
        <f>+'Maj Production Summ'!K25</f>
        <v>0</v>
      </c>
      <c r="L15" s="2399">
        <v>0</v>
      </c>
      <c r="M15" s="717">
        <f t="shared" si="63"/>
        <v>2600</v>
      </c>
      <c r="N15" s="717">
        <f t="shared" si="64"/>
        <v>4195</v>
      </c>
      <c r="O15" s="2356">
        <f>+'Maj Production Summ'!O25</f>
        <v>0</v>
      </c>
      <c r="P15" s="2399">
        <v>0</v>
      </c>
      <c r="Q15" s="547">
        <f t="shared" si="43"/>
        <v>2600</v>
      </c>
      <c r="R15" s="718">
        <f t="shared" si="43"/>
        <v>4195</v>
      </c>
      <c r="S15" s="2356">
        <f>+'Maj Production Summ'!S25</f>
        <v>0</v>
      </c>
      <c r="T15" s="2399">
        <v>0</v>
      </c>
      <c r="U15" s="547">
        <f t="shared" si="44"/>
        <v>2600</v>
      </c>
      <c r="V15" s="718">
        <f t="shared" si="45"/>
        <v>4195</v>
      </c>
      <c r="W15" s="2356">
        <f>+'Maj Production Summ'!W25</f>
        <v>1625</v>
      </c>
      <c r="X15" s="2399">
        <v>0</v>
      </c>
      <c r="Y15" s="717">
        <f t="shared" si="65"/>
        <v>1625</v>
      </c>
      <c r="Z15" s="717">
        <f t="shared" si="66"/>
        <v>0</v>
      </c>
      <c r="AA15" s="2094">
        <f t="shared" si="67"/>
        <v>4225</v>
      </c>
      <c r="AB15" s="418">
        <f t="shared" si="68"/>
        <v>4195</v>
      </c>
      <c r="AC15" s="2356">
        <f>+'Maj Production Summ'!AC25</f>
        <v>0</v>
      </c>
      <c r="AD15" s="2399">
        <v>5603</v>
      </c>
      <c r="AE15" s="547">
        <f t="shared" si="47"/>
        <v>4225</v>
      </c>
      <c r="AF15" s="718">
        <f t="shared" si="48"/>
        <v>9798</v>
      </c>
      <c r="AG15" s="2356">
        <f>+'Maj Production Summ'!AG25</f>
        <v>0</v>
      </c>
      <c r="AH15" s="2399">
        <v>0</v>
      </c>
      <c r="AI15" s="547">
        <f t="shared" si="49"/>
        <v>4225</v>
      </c>
      <c r="AJ15" s="718">
        <f t="shared" si="50"/>
        <v>9798</v>
      </c>
      <c r="AK15" s="2356">
        <f>+'Maj Production Summ'!AK25</f>
        <v>0</v>
      </c>
      <c r="AL15" s="2399"/>
      <c r="AM15" s="717">
        <f t="shared" si="51"/>
        <v>0</v>
      </c>
      <c r="AN15" s="717">
        <f t="shared" si="52"/>
        <v>5603</v>
      </c>
      <c r="AO15" s="718">
        <f t="shared" si="69"/>
        <v>4225</v>
      </c>
      <c r="AP15" s="718">
        <f t="shared" si="70"/>
        <v>9798</v>
      </c>
      <c r="AQ15" s="2356">
        <f>+'Maj Production Summ'!AQ25</f>
        <v>0</v>
      </c>
      <c r="AR15" s="2399">
        <v>800.6</v>
      </c>
      <c r="AS15" s="547">
        <f t="shared" si="53"/>
        <v>4225</v>
      </c>
      <c r="AT15" s="718">
        <f t="shared" si="54"/>
        <v>10598.6</v>
      </c>
      <c r="AU15" s="2356">
        <f>+'Maj Production Summ'!AU25</f>
        <v>0</v>
      </c>
      <c r="AV15" s="2399">
        <v>920</v>
      </c>
      <c r="AW15" s="547">
        <f t="shared" si="55"/>
        <v>4225</v>
      </c>
      <c r="AX15" s="718">
        <f t="shared" si="56"/>
        <v>11518.6</v>
      </c>
      <c r="AY15" s="2356">
        <f>+'Maj Production Summ'!AY25</f>
        <v>0</v>
      </c>
      <c r="AZ15" s="2399">
        <v>310</v>
      </c>
      <c r="BA15" s="717">
        <f t="shared" si="57"/>
        <v>0</v>
      </c>
      <c r="BB15" s="717">
        <f t="shared" si="58"/>
        <v>2030.6</v>
      </c>
      <c r="BC15" s="433">
        <f t="shared" si="59"/>
        <v>0</v>
      </c>
      <c r="BD15" s="441">
        <f t="shared" si="60"/>
        <v>7633.6</v>
      </c>
      <c r="BE15" s="547">
        <f t="shared" si="61"/>
        <v>4225</v>
      </c>
      <c r="BF15" s="718">
        <f t="shared" si="62"/>
        <v>11828.6</v>
      </c>
    </row>
    <row r="16" spans="1:58" ht="16.2" thickBot="1" x14ac:dyDescent="0.35">
      <c r="A16" s="135"/>
      <c r="B16" s="2096" t="s">
        <v>125</v>
      </c>
      <c r="C16" s="2553" t="s">
        <v>50</v>
      </c>
      <c r="D16" s="2097">
        <f>SUM(D13:D15)</f>
        <v>6020</v>
      </c>
      <c r="E16" s="2097">
        <f t="shared" ref="E16:AF16" si="71">SUM(E13:E15)</f>
        <v>1945</v>
      </c>
      <c r="F16" s="2098">
        <f t="shared" si="71"/>
        <v>471.09455400000002</v>
      </c>
      <c r="G16" s="2097">
        <f t="shared" ref="G16:H16" si="72">SUM(G13:G15)</f>
        <v>4075</v>
      </c>
      <c r="H16" s="2098">
        <f t="shared" si="72"/>
        <v>6281.6658540000008</v>
      </c>
      <c r="I16" s="342">
        <f t="shared" si="71"/>
        <v>6020</v>
      </c>
      <c r="J16" s="2861">
        <f t="shared" si="71"/>
        <v>6752.7604080000001</v>
      </c>
      <c r="K16" s="2097">
        <f t="shared" si="71"/>
        <v>810</v>
      </c>
      <c r="L16" s="2098">
        <f t="shared" si="71"/>
        <v>1030.457772</v>
      </c>
      <c r="M16" s="2065">
        <f t="shared" si="71"/>
        <v>6830</v>
      </c>
      <c r="N16" s="2065">
        <f t="shared" si="71"/>
        <v>7783.2181799999998</v>
      </c>
      <c r="O16" s="2097">
        <f t="shared" ref="O16:P16" si="73">SUM(O13:O15)</f>
        <v>810</v>
      </c>
      <c r="P16" s="2098">
        <f t="shared" si="73"/>
        <v>0</v>
      </c>
      <c r="Q16" s="342">
        <f t="shared" ref="Q16:T16" si="74">SUM(Q13:Q15)</f>
        <v>7640</v>
      </c>
      <c r="R16" s="342">
        <f t="shared" si="74"/>
        <v>7783.2181799999998</v>
      </c>
      <c r="S16" s="2097">
        <f t="shared" si="74"/>
        <v>810</v>
      </c>
      <c r="T16" s="2098">
        <f t="shared" si="74"/>
        <v>164.06922</v>
      </c>
      <c r="U16" s="342">
        <f t="shared" ref="U16:X16" si="75">SUM(U13:U15)</f>
        <v>8450</v>
      </c>
      <c r="V16" s="342">
        <f t="shared" si="75"/>
        <v>7947.2874000000002</v>
      </c>
      <c r="W16" s="2097">
        <f t="shared" si="75"/>
        <v>5360</v>
      </c>
      <c r="X16" s="2098">
        <f t="shared" si="75"/>
        <v>292.81079599999998</v>
      </c>
      <c r="Y16" s="2065">
        <f t="shared" si="71"/>
        <v>6980</v>
      </c>
      <c r="Z16" s="2065">
        <f t="shared" si="71"/>
        <v>456.88001599999996</v>
      </c>
      <c r="AA16" s="2099">
        <f t="shared" si="71"/>
        <v>13810</v>
      </c>
      <c r="AB16" s="2100">
        <f t="shared" si="71"/>
        <v>8240.0981960000008</v>
      </c>
      <c r="AC16" s="2097">
        <f t="shared" si="71"/>
        <v>810</v>
      </c>
      <c r="AD16" s="2098">
        <f t="shared" si="71"/>
        <v>9050.6126399999994</v>
      </c>
      <c r="AE16" s="342">
        <f t="shared" si="71"/>
        <v>14620</v>
      </c>
      <c r="AF16" s="342">
        <f t="shared" si="71"/>
        <v>17290.710835999998</v>
      </c>
      <c r="AG16" s="2097">
        <f t="shared" ref="AG16:AH16" si="76">SUM(AG13:AG15)</f>
        <v>810</v>
      </c>
      <c r="AH16" s="2098">
        <f t="shared" si="76"/>
        <v>154.21622600000001</v>
      </c>
      <c r="AI16" s="342">
        <f t="shared" ref="AI16:AL16" si="77">SUM(AI13:AI15)</f>
        <v>15430</v>
      </c>
      <c r="AJ16" s="342">
        <f t="shared" si="77"/>
        <v>17444.927062000002</v>
      </c>
      <c r="AK16" s="2097">
        <f t="shared" si="77"/>
        <v>810</v>
      </c>
      <c r="AL16" s="2098">
        <f t="shared" si="77"/>
        <v>40.725159999999995</v>
      </c>
      <c r="AM16" s="2065">
        <f t="shared" ref="AM16:AT16" si="78">SUM(AM13:AM15)</f>
        <v>2430</v>
      </c>
      <c r="AN16" s="2065">
        <f t="shared" si="78"/>
        <v>9245.5540259999998</v>
      </c>
      <c r="AO16" s="342">
        <f t="shared" si="78"/>
        <v>16240</v>
      </c>
      <c r="AP16" s="342">
        <f t="shared" si="78"/>
        <v>17485.652222000001</v>
      </c>
      <c r="AQ16" s="2097">
        <f t="shared" si="78"/>
        <v>810</v>
      </c>
      <c r="AR16" s="2098">
        <f t="shared" si="78"/>
        <v>1557.1072680000002</v>
      </c>
      <c r="AS16" s="342">
        <f t="shared" si="78"/>
        <v>17050</v>
      </c>
      <c r="AT16" s="342">
        <f t="shared" si="78"/>
        <v>19042.75949</v>
      </c>
      <c r="AU16" s="2097">
        <f t="shared" ref="AU16:AV16" si="79">SUM(AU13:AU15)</f>
        <v>810</v>
      </c>
      <c r="AV16" s="2098">
        <f t="shared" si="79"/>
        <v>920</v>
      </c>
      <c r="AW16" s="342">
        <f t="shared" ref="AW16:AZ16" si="80">SUM(AW13:AW15)</f>
        <v>17860</v>
      </c>
      <c r="AX16" s="342">
        <f t="shared" si="80"/>
        <v>19962.75949</v>
      </c>
      <c r="AY16" s="2097">
        <f t="shared" si="80"/>
        <v>810</v>
      </c>
      <c r="AZ16" s="2098">
        <f t="shared" si="80"/>
        <v>401.63434799999999</v>
      </c>
      <c r="BA16" s="2065">
        <f t="shared" ref="BA16:BD16" si="81">SUM(BA13:BA15)</f>
        <v>2430</v>
      </c>
      <c r="BB16" s="2065">
        <f t="shared" si="81"/>
        <v>2878.7416160000002</v>
      </c>
      <c r="BC16" s="2099">
        <f t="shared" si="81"/>
        <v>4860</v>
      </c>
      <c r="BD16" s="2100">
        <f t="shared" si="81"/>
        <v>12124.295642000001</v>
      </c>
      <c r="BE16" s="342">
        <f t="shared" ref="BE16:BF16" si="82">SUM(BE13:BE15)</f>
        <v>18670</v>
      </c>
      <c r="BF16" s="342">
        <f t="shared" si="82"/>
        <v>20364.393838</v>
      </c>
    </row>
    <row r="17" spans="1:58" ht="15" thickBot="1" x14ac:dyDescent="0.35">
      <c r="A17" s="173"/>
      <c r="B17" s="1580" t="s">
        <v>671</v>
      </c>
      <c r="C17" s="756" t="s">
        <v>50</v>
      </c>
      <c r="D17" s="1917">
        <f>+'Maj Production Summ'!D27</f>
        <v>5103</v>
      </c>
      <c r="E17" s="1917">
        <f>+'Maj Production Summ'!E27</f>
        <v>644.51199999999994</v>
      </c>
      <c r="F17" s="2091">
        <f>+'Maj Production Summ'!F27</f>
        <v>160.65</v>
      </c>
      <c r="G17" s="1917">
        <f>+'Maj Production Summ'!G27</f>
        <v>2598.518</v>
      </c>
      <c r="H17" s="2091">
        <f>+'Maj Production Summ'!H27</f>
        <v>162.36500000000001</v>
      </c>
      <c r="I17" s="493">
        <f t="shared" si="2"/>
        <v>3243.0299999999997</v>
      </c>
      <c r="J17" s="493">
        <f t="shared" si="2"/>
        <v>323.01499999999999</v>
      </c>
      <c r="K17" s="1917">
        <f>+'Maj Production Summ'!K27</f>
        <v>273.99599999999998</v>
      </c>
      <c r="L17" s="2091">
        <f>+'Maj Production Summ'!L27</f>
        <v>0</v>
      </c>
      <c r="M17" s="2092">
        <f t="shared" ref="M17:N21" si="83">+K17+G17+E17</f>
        <v>3517.0259999999998</v>
      </c>
      <c r="N17" s="2092">
        <f t="shared" si="83"/>
        <v>323.01499999999999</v>
      </c>
      <c r="O17" s="1917">
        <f>+'Maj Production Summ'!O27</f>
        <v>276.24</v>
      </c>
      <c r="P17" s="2091">
        <f>+'Maj Production Summ'!P27</f>
        <v>0</v>
      </c>
      <c r="Q17" s="1520">
        <f t="shared" ref="Q17:R21" si="84">+M17+O17</f>
        <v>3793.2659999999996</v>
      </c>
      <c r="R17" s="493">
        <f t="shared" si="84"/>
        <v>323.01499999999999</v>
      </c>
      <c r="S17" s="1917">
        <f>+'Maj Production Summ'!S27</f>
        <v>276.24</v>
      </c>
      <c r="T17" s="2091">
        <f>+'Maj Production Summ'!T27</f>
        <v>0</v>
      </c>
      <c r="U17" s="1520">
        <f t="shared" ref="U17:U21" si="85">+Q17+S17</f>
        <v>4069.5059999999994</v>
      </c>
      <c r="V17" s="493">
        <f t="shared" ref="V17:V21" si="86">+R17+T17</f>
        <v>323.01499999999999</v>
      </c>
      <c r="W17" s="1917">
        <f>+'Maj Production Summ'!W27</f>
        <v>498.97</v>
      </c>
      <c r="X17" s="2091">
        <f>+'Maj Production Summ'!X27</f>
        <v>0</v>
      </c>
      <c r="Y17" s="2092">
        <f t="shared" ref="Y17:Z18" si="87">+W17+S17+O17</f>
        <v>1051.45</v>
      </c>
      <c r="Z17" s="492">
        <f t="shared" si="87"/>
        <v>0</v>
      </c>
      <c r="AA17" s="2093">
        <f>M17+Y17</f>
        <v>4568.4759999999997</v>
      </c>
      <c r="AB17" s="2090">
        <f>+N17+Z17</f>
        <v>323.01499999999999</v>
      </c>
      <c r="AC17" s="1917">
        <f>+'Maj Production Summ'!AC27</f>
        <v>279.98</v>
      </c>
      <c r="AD17" s="2091">
        <f>+'Maj Production Summ'!AD27</f>
        <v>549.08699999999999</v>
      </c>
      <c r="AE17" s="1520">
        <f t="shared" ref="AE17:AE21" si="88">+AA17+AC17</f>
        <v>4848.4560000000001</v>
      </c>
      <c r="AF17" s="493">
        <f t="shared" ref="AF17:AF21" si="89">+AB17+AD17</f>
        <v>872.10199999999998</v>
      </c>
      <c r="AG17" s="1917">
        <f>+'Maj Production Summ'!AG27</f>
        <v>273.99599999999998</v>
      </c>
      <c r="AH17" s="2091">
        <f>+'Maj Production Summ'!AH27</f>
        <v>833.46900000000005</v>
      </c>
      <c r="AI17" s="1520">
        <f t="shared" ref="AI17:AI21" si="90">+AE17+AG17</f>
        <v>5122.4520000000002</v>
      </c>
      <c r="AJ17" s="493">
        <f t="shared" ref="AJ17:AJ21" si="91">+AF17+AH17</f>
        <v>1705.5709999999999</v>
      </c>
      <c r="AK17" s="1917">
        <f>+'Maj Production Summ'!AK27</f>
        <v>279.98</v>
      </c>
      <c r="AL17" s="2091">
        <f>+'Maj Production Summ'!AL27</f>
        <v>1510.7470000000001</v>
      </c>
      <c r="AM17" s="2092">
        <f t="shared" ref="AM17:AM21" si="92">+AK17+AG17+AC17</f>
        <v>833.95600000000002</v>
      </c>
      <c r="AN17" s="492">
        <f t="shared" ref="AN17:AN21" si="93">+AL17+AH17+AD17</f>
        <v>2893.3030000000003</v>
      </c>
      <c r="AO17" s="718">
        <f t="shared" si="69"/>
        <v>5402.4320000000007</v>
      </c>
      <c r="AP17" s="718">
        <f t="shared" si="69"/>
        <v>3216.3180000000002</v>
      </c>
      <c r="AQ17" s="1917">
        <f>+'Maj Production Summ'!AQ27</f>
        <v>282.97199999999998</v>
      </c>
      <c r="AR17" s="2091">
        <f>+'Maj Production Summ'!AR27</f>
        <v>1549.45</v>
      </c>
      <c r="AS17" s="1520">
        <f t="shared" ref="AS17:AS21" si="94">+AO17+AQ17</f>
        <v>5685.4040000000005</v>
      </c>
      <c r="AT17" s="493">
        <f t="shared" ref="AT17:AT21" si="95">+AP17+AR17</f>
        <v>4765.768</v>
      </c>
      <c r="AU17" s="1917">
        <f>+'Maj Production Summ'!AU27</f>
        <v>262.02800000000002</v>
      </c>
      <c r="AV17" s="2091">
        <f>+'Maj Production Summ'!AV27</f>
        <v>755.40500000000009</v>
      </c>
      <c r="AW17" s="1520">
        <f t="shared" ref="AW17:AW21" si="96">+AS17+AU17</f>
        <v>5947.4320000000007</v>
      </c>
      <c r="AX17" s="493">
        <f t="shared" ref="AX17:AX21" si="97">+AT17+AV17</f>
        <v>5521.1729999999998</v>
      </c>
      <c r="AY17" s="1917">
        <f>+'Maj Production Summ'!AY27</f>
        <v>282.97199999999998</v>
      </c>
      <c r="AZ17" s="2091">
        <f>+'Maj Production Summ'!AZ27</f>
        <v>209.86</v>
      </c>
      <c r="BA17" s="2092">
        <f t="shared" ref="BA17:BA21" si="98">+AY17+AU17+AQ17</f>
        <v>827.97199999999998</v>
      </c>
      <c r="BB17" s="492">
        <f t="shared" ref="BB17:BB21" si="99">+AZ17+AV17+AR17</f>
        <v>2514.7150000000001</v>
      </c>
      <c r="BC17" s="433">
        <f t="shared" ref="BC17:BC20" si="100">AM17+BA17</f>
        <v>1661.9279999999999</v>
      </c>
      <c r="BD17" s="441">
        <f t="shared" ref="BD17:BD20" si="101">+AN17+BB17</f>
        <v>5408.018</v>
      </c>
      <c r="BE17" s="1520">
        <f t="shared" ref="BE17:BE21" si="102">+AW17+AY17</f>
        <v>6230.4040000000005</v>
      </c>
      <c r="BF17" s="493">
        <f t="shared" ref="BF17:BF21" si="103">+AX17+AZ17</f>
        <v>5731.0329999999994</v>
      </c>
    </row>
    <row r="18" spans="1:58" x14ac:dyDescent="0.3">
      <c r="A18" s="135"/>
      <c r="B18" s="1918" t="s">
        <v>235</v>
      </c>
      <c r="C18" s="750" t="s">
        <v>50</v>
      </c>
      <c r="D18" s="145">
        <v>1071000</v>
      </c>
      <c r="E18" s="145">
        <v>74256</v>
      </c>
      <c r="F18" s="247">
        <v>77508.948299999975</v>
      </c>
      <c r="G18" s="145">
        <v>66759</v>
      </c>
      <c r="H18" s="247">
        <v>39162.809200000003</v>
      </c>
      <c r="I18" s="341">
        <f>+E18+G18</f>
        <v>141015</v>
      </c>
      <c r="J18" s="39">
        <f t="shared" si="2"/>
        <v>116671.75749999998</v>
      </c>
      <c r="K18" s="145">
        <v>94248</v>
      </c>
      <c r="L18" s="247">
        <v>82876.476500000019</v>
      </c>
      <c r="M18" s="574">
        <f t="shared" si="83"/>
        <v>235263</v>
      </c>
      <c r="N18" s="574">
        <f>+L18+H18+F18</f>
        <v>199548.234</v>
      </c>
      <c r="O18" s="145">
        <v>95370</v>
      </c>
      <c r="P18" s="247">
        <v>93382.704500000007</v>
      </c>
      <c r="Q18" s="341">
        <f t="shared" si="84"/>
        <v>330633</v>
      </c>
      <c r="R18" s="341">
        <f t="shared" si="84"/>
        <v>292930.93849999999</v>
      </c>
      <c r="S18" s="145">
        <v>95370</v>
      </c>
      <c r="T18" s="247">
        <v>91267.827300000004</v>
      </c>
      <c r="U18" s="341">
        <f t="shared" si="85"/>
        <v>426003</v>
      </c>
      <c r="V18" s="341">
        <f t="shared" si="86"/>
        <v>384198.76579999999</v>
      </c>
      <c r="W18" s="145">
        <v>52360</v>
      </c>
      <c r="X18" s="247">
        <v>85644.341079999984</v>
      </c>
      <c r="Y18" s="574">
        <f t="shared" si="87"/>
        <v>243100</v>
      </c>
      <c r="Z18" s="574">
        <f t="shared" si="87"/>
        <v>270294.87287999998</v>
      </c>
      <c r="AA18" s="955">
        <f>M18+Y18</f>
        <v>478363</v>
      </c>
      <c r="AB18" s="422">
        <f>+N18+Z18</f>
        <v>469843.10687999998</v>
      </c>
      <c r="AC18" s="145">
        <v>97240</v>
      </c>
      <c r="AD18" s="247">
        <v>78915.736300000004</v>
      </c>
      <c r="AE18" s="341">
        <f t="shared" si="88"/>
        <v>575603</v>
      </c>
      <c r="AF18" s="341">
        <f t="shared" si="89"/>
        <v>548758.84317999997</v>
      </c>
      <c r="AG18" s="145">
        <v>94248</v>
      </c>
      <c r="AH18" s="247">
        <v>94911.346619999982</v>
      </c>
      <c r="AI18" s="341">
        <f t="shared" si="90"/>
        <v>669851</v>
      </c>
      <c r="AJ18" s="341">
        <f t="shared" si="91"/>
        <v>643670.18979999993</v>
      </c>
      <c r="AK18" s="145">
        <v>97240</v>
      </c>
      <c r="AL18" s="247">
        <v>97411.773899999986</v>
      </c>
      <c r="AM18" s="574">
        <f t="shared" si="92"/>
        <v>288728</v>
      </c>
      <c r="AN18" s="574">
        <f t="shared" si="93"/>
        <v>271238.85681999999</v>
      </c>
      <c r="AO18" s="718">
        <f t="shared" ref="AO18:AP23" si="104">+AK18+AI18</f>
        <v>767091</v>
      </c>
      <c r="AP18" s="718">
        <f t="shared" ref="AP18:AP21" si="105">+AL18+AJ18</f>
        <v>741081.96369999996</v>
      </c>
      <c r="AQ18" s="145">
        <v>98736</v>
      </c>
      <c r="AR18" s="247">
        <v>94120.661200000002</v>
      </c>
      <c r="AS18" s="341">
        <f t="shared" si="94"/>
        <v>865827</v>
      </c>
      <c r="AT18" s="341">
        <f t="shared" si="95"/>
        <v>835202.62489999994</v>
      </c>
      <c r="AU18" s="145">
        <v>88264</v>
      </c>
      <c r="AV18" s="247">
        <v>71994.837500000009</v>
      </c>
      <c r="AW18" s="341">
        <f t="shared" si="96"/>
        <v>954091</v>
      </c>
      <c r="AX18" s="341">
        <f t="shared" si="97"/>
        <v>907197.46239999996</v>
      </c>
      <c r="AY18" s="145">
        <v>98736</v>
      </c>
      <c r="AZ18" s="247">
        <v>86992.666500000036</v>
      </c>
      <c r="BA18" s="574">
        <f t="shared" si="98"/>
        <v>285736</v>
      </c>
      <c r="BB18" s="574">
        <f t="shared" si="99"/>
        <v>253108.16520000005</v>
      </c>
      <c r="BC18" s="433">
        <f t="shared" si="100"/>
        <v>574464</v>
      </c>
      <c r="BD18" s="441">
        <f t="shared" si="101"/>
        <v>524347.02202000003</v>
      </c>
      <c r="BE18" s="341">
        <f t="shared" si="102"/>
        <v>1052827</v>
      </c>
      <c r="BF18" s="341">
        <f t="shared" si="103"/>
        <v>994190.12890000001</v>
      </c>
    </row>
    <row r="19" spans="1:58" x14ac:dyDescent="0.3">
      <c r="A19" s="135" t="s">
        <v>445</v>
      </c>
      <c r="B19" s="1576" t="s">
        <v>536</v>
      </c>
      <c r="C19" s="2356" t="s">
        <v>50</v>
      </c>
      <c r="D19" s="2399">
        <v>1017450</v>
      </c>
      <c r="E19" s="2399">
        <v>70543.199999999997</v>
      </c>
      <c r="F19" s="2399">
        <v>75275.0478</v>
      </c>
      <c r="G19" s="2399">
        <v>63421.05</v>
      </c>
      <c r="H19" s="2399">
        <v>35052.5095</v>
      </c>
      <c r="I19" s="2349">
        <f>+E19+G19</f>
        <v>133964.25</v>
      </c>
      <c r="J19" s="35">
        <f t="shared" si="2"/>
        <v>110327.5573</v>
      </c>
      <c r="K19" s="2399">
        <v>89535.6</v>
      </c>
      <c r="L19" s="2399">
        <v>75099.025971134019</v>
      </c>
      <c r="M19" s="717">
        <f t="shared" ref="M19:M20" si="106">+K19+G19+E19</f>
        <v>223499.85000000003</v>
      </c>
      <c r="N19" s="717">
        <f t="shared" ref="N19:N20" si="107">+L19+H19+F19</f>
        <v>185426.583271134</v>
      </c>
      <c r="O19" s="2399">
        <v>90601.5</v>
      </c>
      <c r="P19" s="2399">
        <v>78023.680000000008</v>
      </c>
      <c r="Q19" s="718">
        <f t="shared" si="84"/>
        <v>314101.35000000003</v>
      </c>
      <c r="R19" s="718">
        <f t="shared" si="84"/>
        <v>263450.263271134</v>
      </c>
      <c r="S19" s="2399">
        <v>90601.5</v>
      </c>
      <c r="T19" s="2399">
        <v>83331.982839999982</v>
      </c>
      <c r="U19" s="718">
        <f t="shared" si="85"/>
        <v>404702.85000000003</v>
      </c>
      <c r="V19" s="718">
        <f t="shared" si="86"/>
        <v>346782.24611113395</v>
      </c>
      <c r="W19" s="2399">
        <v>49742</v>
      </c>
      <c r="X19" s="2399">
        <v>82045.410979999971</v>
      </c>
      <c r="Y19" s="717">
        <f t="shared" ref="Y19:Y21" si="108">+W19+S19+O19</f>
        <v>230945</v>
      </c>
      <c r="Z19" s="717">
        <f t="shared" ref="Z19:Z21" si="109">+X19+T19+P19</f>
        <v>243401.07381999993</v>
      </c>
      <c r="AA19" s="429">
        <f t="shared" ref="AA19:AA20" si="110">M19+Y19</f>
        <v>454444.85000000003</v>
      </c>
      <c r="AB19" s="418">
        <f t="shared" ref="AB19:AB20" si="111">+N19+Z19</f>
        <v>428827.65709113394</v>
      </c>
      <c r="AC19" s="2399">
        <v>92378</v>
      </c>
      <c r="AD19" s="2399">
        <v>65815.383400000006</v>
      </c>
      <c r="AE19" s="718">
        <f t="shared" si="88"/>
        <v>546822.85000000009</v>
      </c>
      <c r="AF19" s="718">
        <f t="shared" si="89"/>
        <v>494643.04049113393</v>
      </c>
      <c r="AG19" s="2399">
        <v>89535.6</v>
      </c>
      <c r="AH19" s="2399">
        <v>91053.364400000006</v>
      </c>
      <c r="AI19" s="718">
        <f t="shared" si="90"/>
        <v>636358.45000000007</v>
      </c>
      <c r="AJ19" s="718">
        <f t="shared" si="91"/>
        <v>585696.40489113389</v>
      </c>
      <c r="AK19" s="2399">
        <v>92378</v>
      </c>
      <c r="AL19" s="2399">
        <v>86706.035699999979</v>
      </c>
      <c r="AM19" s="717">
        <f t="shared" si="92"/>
        <v>274291.59999999998</v>
      </c>
      <c r="AN19" s="717">
        <f t="shared" si="93"/>
        <v>243574.78349999996</v>
      </c>
      <c r="AO19" s="718">
        <f t="shared" si="104"/>
        <v>728736.45000000007</v>
      </c>
      <c r="AP19" s="718">
        <f t="shared" si="105"/>
        <v>672402.4405911339</v>
      </c>
      <c r="AQ19" s="2399">
        <v>93799.2</v>
      </c>
      <c r="AR19" s="2399">
        <v>83547</v>
      </c>
      <c r="AS19" s="718">
        <f t="shared" si="94"/>
        <v>822535.65</v>
      </c>
      <c r="AT19" s="718">
        <f t="shared" si="95"/>
        <v>755949.4405911339</v>
      </c>
      <c r="AU19" s="2399">
        <v>83850.8</v>
      </c>
      <c r="AV19" s="2399">
        <v>69316.338400000022</v>
      </c>
      <c r="AW19" s="718">
        <f t="shared" si="96"/>
        <v>906386.45000000007</v>
      </c>
      <c r="AX19" s="718">
        <f t="shared" si="97"/>
        <v>825265.77899113391</v>
      </c>
      <c r="AY19" s="2399">
        <v>93799.2</v>
      </c>
      <c r="AZ19" s="2399">
        <v>73580.46550000002</v>
      </c>
      <c r="BA19" s="717">
        <f t="shared" si="98"/>
        <v>271449.2</v>
      </c>
      <c r="BB19" s="717">
        <f t="shared" si="99"/>
        <v>226443.80390000006</v>
      </c>
      <c r="BC19" s="433">
        <f t="shared" si="100"/>
        <v>545740.80000000005</v>
      </c>
      <c r="BD19" s="441">
        <f t="shared" si="101"/>
        <v>470018.58740000002</v>
      </c>
      <c r="BE19" s="718">
        <f t="shared" si="102"/>
        <v>1000185.65</v>
      </c>
      <c r="BF19" s="718">
        <f t="shared" si="103"/>
        <v>898846.24449113396</v>
      </c>
    </row>
    <row r="20" spans="1:58" x14ac:dyDescent="0.3">
      <c r="A20" s="135"/>
      <c r="B20" s="1576" t="s">
        <v>535</v>
      </c>
      <c r="C20" s="2356" t="s">
        <v>50</v>
      </c>
      <c r="D20" s="2399">
        <v>0</v>
      </c>
      <c r="E20" s="2399">
        <v>0</v>
      </c>
      <c r="F20" s="2399">
        <v>4000</v>
      </c>
      <c r="G20" s="2399">
        <v>0</v>
      </c>
      <c r="H20" s="2399">
        <v>0</v>
      </c>
      <c r="I20" s="2349">
        <f>+E20+G20</f>
        <v>0</v>
      </c>
      <c r="J20" s="35">
        <f>+F20+H20</f>
        <v>4000</v>
      </c>
      <c r="K20" s="2399">
        <v>0</v>
      </c>
      <c r="L20" s="2399">
        <v>0</v>
      </c>
      <c r="M20" s="717">
        <f t="shared" si="106"/>
        <v>0</v>
      </c>
      <c r="N20" s="717">
        <f t="shared" si="107"/>
        <v>4000</v>
      </c>
      <c r="O20" s="2399">
        <v>0</v>
      </c>
      <c r="P20" s="2399">
        <v>10000</v>
      </c>
      <c r="Q20" s="718">
        <f t="shared" si="84"/>
        <v>0</v>
      </c>
      <c r="R20" s="547">
        <f t="shared" si="84"/>
        <v>14000</v>
      </c>
      <c r="S20" s="2399">
        <v>0</v>
      </c>
      <c r="T20" s="2399">
        <v>0</v>
      </c>
      <c r="U20" s="718">
        <f t="shared" si="85"/>
        <v>0</v>
      </c>
      <c r="V20" s="547">
        <f t="shared" si="86"/>
        <v>14000</v>
      </c>
      <c r="W20" s="2399">
        <v>0</v>
      </c>
      <c r="X20" s="2399">
        <v>6000</v>
      </c>
      <c r="Y20" s="717">
        <f t="shared" si="108"/>
        <v>0</v>
      </c>
      <c r="Z20" s="717">
        <f t="shared" si="109"/>
        <v>16000</v>
      </c>
      <c r="AA20" s="429">
        <f t="shared" si="110"/>
        <v>0</v>
      </c>
      <c r="AB20" s="418">
        <f t="shared" si="111"/>
        <v>20000</v>
      </c>
      <c r="AC20" s="2399">
        <v>0</v>
      </c>
      <c r="AD20" s="2399">
        <v>6000</v>
      </c>
      <c r="AE20" s="718">
        <f t="shared" si="88"/>
        <v>0</v>
      </c>
      <c r="AF20" s="547">
        <f t="shared" si="89"/>
        <v>26000</v>
      </c>
      <c r="AG20" s="2399">
        <v>0</v>
      </c>
      <c r="AH20" s="2399">
        <v>9000</v>
      </c>
      <c r="AI20" s="718">
        <f t="shared" si="90"/>
        <v>0</v>
      </c>
      <c r="AJ20" s="547">
        <f t="shared" si="91"/>
        <v>35000</v>
      </c>
      <c r="AK20" s="2399">
        <v>0</v>
      </c>
      <c r="AL20" s="2399">
        <v>17825</v>
      </c>
      <c r="AM20" s="717">
        <f t="shared" si="92"/>
        <v>0</v>
      </c>
      <c r="AN20" s="717">
        <f t="shared" si="93"/>
        <v>32825</v>
      </c>
      <c r="AO20" s="718">
        <f t="shared" si="104"/>
        <v>0</v>
      </c>
      <c r="AP20" s="718">
        <f t="shared" si="105"/>
        <v>52825</v>
      </c>
      <c r="AQ20" s="2399">
        <v>0</v>
      </c>
      <c r="AR20" s="2399">
        <v>8000</v>
      </c>
      <c r="AS20" s="718">
        <f t="shared" si="94"/>
        <v>0</v>
      </c>
      <c r="AT20" s="547">
        <f t="shared" si="95"/>
        <v>60825</v>
      </c>
      <c r="AU20" s="2399">
        <v>0</v>
      </c>
      <c r="AV20" s="2399">
        <v>5000</v>
      </c>
      <c r="AW20" s="718">
        <f t="shared" si="96"/>
        <v>0</v>
      </c>
      <c r="AX20" s="547">
        <f t="shared" si="97"/>
        <v>65825</v>
      </c>
      <c r="AY20" s="2399">
        <v>0</v>
      </c>
      <c r="AZ20" s="2399">
        <v>14000</v>
      </c>
      <c r="BA20" s="717">
        <f t="shared" si="98"/>
        <v>0</v>
      </c>
      <c r="BB20" s="717">
        <f t="shared" si="99"/>
        <v>27000</v>
      </c>
      <c r="BC20" s="433">
        <f t="shared" si="100"/>
        <v>0</v>
      </c>
      <c r="BD20" s="441">
        <f t="shared" si="101"/>
        <v>59825</v>
      </c>
      <c r="BE20" s="718">
        <f t="shared" si="102"/>
        <v>0</v>
      </c>
      <c r="BF20" s="547">
        <f t="shared" si="103"/>
        <v>79825</v>
      </c>
    </row>
    <row r="21" spans="1:58" ht="16.2" thickBot="1" x14ac:dyDescent="0.35">
      <c r="A21" s="135" t="s">
        <v>445</v>
      </c>
      <c r="B21" s="1566" t="s">
        <v>104</v>
      </c>
      <c r="C21" s="2049" t="s">
        <v>50</v>
      </c>
      <c r="D21" s="1039">
        <v>1049580</v>
      </c>
      <c r="E21" s="210">
        <v>72770.880000000005</v>
      </c>
      <c r="F21" s="210">
        <v>73016.796365999995</v>
      </c>
      <c r="G21" s="210">
        <v>65423.82</v>
      </c>
      <c r="H21" s="210">
        <v>34000.934215000001</v>
      </c>
      <c r="I21" s="2084">
        <f>+E21+G21</f>
        <v>138194.70000000001</v>
      </c>
      <c r="J21" s="1772">
        <f t="shared" si="2"/>
        <v>107017.730581</v>
      </c>
      <c r="K21" s="210">
        <v>92363.04</v>
      </c>
      <c r="L21" s="210">
        <v>72846.055192</v>
      </c>
      <c r="M21" s="2085">
        <f t="shared" si="83"/>
        <v>230557.74</v>
      </c>
      <c r="N21" s="2085">
        <f t="shared" si="83"/>
        <v>179863.78577299998</v>
      </c>
      <c r="O21" s="210">
        <v>93462.6</v>
      </c>
      <c r="P21" s="210">
        <v>75682.969600000011</v>
      </c>
      <c r="Q21" s="2084">
        <f t="shared" si="84"/>
        <v>324020.33999999997</v>
      </c>
      <c r="R21" s="2084">
        <f t="shared" si="84"/>
        <v>255546.75537299999</v>
      </c>
      <c r="S21" s="210">
        <v>93462.6</v>
      </c>
      <c r="T21" s="210">
        <v>80832.023354799981</v>
      </c>
      <c r="U21" s="2084">
        <f t="shared" si="85"/>
        <v>417482.93999999994</v>
      </c>
      <c r="V21" s="2084">
        <f t="shared" si="86"/>
        <v>336378.7787278</v>
      </c>
      <c r="W21" s="210">
        <v>51312.800000000003</v>
      </c>
      <c r="X21" s="210">
        <v>79584.048650599972</v>
      </c>
      <c r="Y21" s="2085">
        <f t="shared" si="108"/>
        <v>238238.00000000003</v>
      </c>
      <c r="Z21" s="2085">
        <f t="shared" si="109"/>
        <v>236099.04160539998</v>
      </c>
      <c r="AA21" s="2086">
        <f>+U21+W21</f>
        <v>468795.73999999993</v>
      </c>
      <c r="AB21" s="2087">
        <f>+V21+X21</f>
        <v>415962.82737839996</v>
      </c>
      <c r="AC21" s="210">
        <v>95295.2</v>
      </c>
      <c r="AD21" s="210">
        <v>63840.921898000001</v>
      </c>
      <c r="AE21" s="546">
        <f t="shared" si="88"/>
        <v>564090.93999999994</v>
      </c>
      <c r="AF21" s="546">
        <f t="shared" si="89"/>
        <v>479803.74927639996</v>
      </c>
      <c r="AG21" s="210">
        <v>92363.04</v>
      </c>
      <c r="AH21" s="210">
        <v>88321.763468000005</v>
      </c>
      <c r="AI21" s="546">
        <f t="shared" si="90"/>
        <v>656453.98</v>
      </c>
      <c r="AJ21" s="546">
        <f t="shared" si="91"/>
        <v>568125.51274439995</v>
      </c>
      <c r="AK21" s="210">
        <v>95295.2</v>
      </c>
      <c r="AL21" s="210">
        <v>84104.854628999979</v>
      </c>
      <c r="AM21" s="2085">
        <f t="shared" si="92"/>
        <v>282953.44</v>
      </c>
      <c r="AN21" s="2085">
        <f t="shared" si="93"/>
        <v>236267.539995</v>
      </c>
      <c r="AO21" s="718">
        <f t="shared" si="104"/>
        <v>751749.17999999993</v>
      </c>
      <c r="AP21" s="718">
        <f t="shared" si="105"/>
        <v>652230.3673733999</v>
      </c>
      <c r="AQ21" s="210">
        <v>96761.279999999999</v>
      </c>
      <c r="AR21" s="210">
        <v>81040.671480000005</v>
      </c>
      <c r="AS21" s="546">
        <f t="shared" si="94"/>
        <v>848510.46</v>
      </c>
      <c r="AT21" s="546">
        <f t="shared" si="95"/>
        <v>733271.03885339992</v>
      </c>
      <c r="AU21" s="210">
        <v>86498.72</v>
      </c>
      <c r="AV21" s="210">
        <v>67236.848248000024</v>
      </c>
      <c r="AW21" s="546">
        <f t="shared" si="96"/>
        <v>935009.17999999993</v>
      </c>
      <c r="AX21" s="546">
        <f t="shared" si="97"/>
        <v>800507.88710139995</v>
      </c>
      <c r="AY21" s="210">
        <v>96761.279999999999</v>
      </c>
      <c r="AZ21" s="210">
        <v>71373.051535000021</v>
      </c>
      <c r="BA21" s="2085">
        <f t="shared" si="98"/>
        <v>280021.28000000003</v>
      </c>
      <c r="BB21" s="2085">
        <f t="shared" si="99"/>
        <v>219650.57126300008</v>
      </c>
      <c r="BC21" s="2104">
        <f>AM21+BA21</f>
        <v>562974.71999999997</v>
      </c>
      <c r="BD21" s="432">
        <f>+AN21+BB21</f>
        <v>455918.11125800008</v>
      </c>
      <c r="BE21" s="546">
        <f t="shared" si="102"/>
        <v>1031770.46</v>
      </c>
      <c r="BF21" s="546">
        <f t="shared" si="103"/>
        <v>871880.93863639992</v>
      </c>
    </row>
    <row r="22" spans="1:58" ht="16.2" thickBot="1" x14ac:dyDescent="0.35">
      <c r="A22" s="136"/>
      <c r="B22" s="1568" t="s">
        <v>425</v>
      </c>
      <c r="C22" s="1577"/>
      <c r="D22" s="1939"/>
      <c r="E22" s="1939"/>
      <c r="F22" s="1939"/>
      <c r="G22" s="1939"/>
      <c r="H22" s="1939"/>
      <c r="I22" s="1577"/>
      <c r="J22" s="2867"/>
      <c r="K22" s="1939"/>
      <c r="L22" s="1939"/>
      <c r="M22" s="1577"/>
      <c r="N22" s="1577"/>
      <c r="O22" s="1939"/>
      <c r="P22" s="1939"/>
      <c r="Q22" s="1577"/>
      <c r="R22" s="1577"/>
      <c r="S22" s="1939"/>
      <c r="T22" s="1939"/>
      <c r="U22" s="1577"/>
      <c r="V22" s="1577"/>
      <c r="W22" s="1939"/>
      <c r="X22" s="1939"/>
      <c r="Y22" s="1577"/>
      <c r="Z22" s="1577"/>
      <c r="AA22" s="1577"/>
      <c r="AB22" s="1285"/>
      <c r="AC22" s="1939"/>
      <c r="AD22" s="1939"/>
      <c r="AE22" s="1577"/>
      <c r="AF22" s="1577"/>
      <c r="AG22" s="1939"/>
      <c r="AH22" s="1939"/>
      <c r="AI22" s="1577"/>
      <c r="AJ22" s="1577"/>
      <c r="AK22" s="1939"/>
      <c r="AL22" s="1939"/>
      <c r="AM22" s="1577"/>
      <c r="AN22" s="1577"/>
      <c r="AO22" s="1577"/>
      <c r="AP22" s="1577"/>
      <c r="AQ22" s="1939"/>
      <c r="AR22" s="1939"/>
      <c r="AS22" s="1577"/>
      <c r="AT22" s="1577"/>
      <c r="AU22" s="1939"/>
      <c r="AV22" s="1939"/>
      <c r="AW22" s="1577"/>
      <c r="AX22" s="1577"/>
      <c r="AY22" s="1939"/>
      <c r="AZ22" s="1939"/>
      <c r="BA22" s="1577"/>
      <c r="BB22" s="1577"/>
      <c r="BC22" s="1577"/>
      <c r="BD22" s="1285"/>
      <c r="BE22" s="1577"/>
      <c r="BF22" s="1577"/>
    </row>
    <row r="23" spans="1:58" x14ac:dyDescent="0.3">
      <c r="A23" s="135" t="s">
        <v>445</v>
      </c>
      <c r="B23" s="1571" t="s">
        <v>236</v>
      </c>
      <c r="C23" s="695" t="s">
        <v>50</v>
      </c>
      <c r="D23" s="145">
        <f t="shared" ref="D23:E25" si="112">+D$6*D39/1000</f>
        <v>1045122.0000000001</v>
      </c>
      <c r="E23" s="145">
        <f t="shared" si="112"/>
        <v>78000</v>
      </c>
      <c r="F23" s="247">
        <v>90935.947439999974</v>
      </c>
      <c r="G23" s="145">
        <f t="shared" ref="G23" si="113">+G$6*G39/1000</f>
        <v>66572</v>
      </c>
      <c r="H23" s="247">
        <v>45957.936419999984</v>
      </c>
      <c r="I23" s="657">
        <f>+E23+G23</f>
        <v>144572</v>
      </c>
      <c r="J23" s="39">
        <f t="shared" si="2"/>
        <v>136893.88385999994</v>
      </c>
      <c r="K23" s="145">
        <f t="shared" ref="K23:K25" si="114">+K$6*K39/1000</f>
        <v>89712</v>
      </c>
      <c r="L23" s="247">
        <v>91104.908899999995</v>
      </c>
      <c r="M23" s="661">
        <f t="shared" ref="M23:N23" si="115">+K23+G23+E23</f>
        <v>234284</v>
      </c>
      <c r="N23" s="661">
        <f t="shared" si="115"/>
        <v>227998.79275999992</v>
      </c>
      <c r="O23" s="145">
        <f t="shared" ref="O23:O25" si="116">+O$6*O39/1000</f>
        <v>90780</v>
      </c>
      <c r="P23" s="247">
        <v>97220.250600000014</v>
      </c>
      <c r="Q23" s="657">
        <f t="shared" ref="Q23:R25" si="117">+M23+O23</f>
        <v>325064</v>
      </c>
      <c r="R23" s="39">
        <f t="shared" si="117"/>
        <v>325219.04335999995</v>
      </c>
      <c r="S23" s="145">
        <f t="shared" ref="S23:S25" si="118">+S$6*S39/1000</f>
        <v>90780</v>
      </c>
      <c r="T23" s="247">
        <v>92678.77111999999</v>
      </c>
      <c r="U23" s="657">
        <f t="shared" ref="U23:U25" si="119">+Q23+S23</f>
        <v>415844</v>
      </c>
      <c r="V23" s="39">
        <f t="shared" ref="V23:V25" si="120">+R23+T23</f>
        <v>417897.81447999994</v>
      </c>
      <c r="W23" s="145">
        <f t="shared" ref="W23:W25" si="121">+W$6*W39/1000</f>
        <v>53620</v>
      </c>
      <c r="X23" s="247">
        <v>94980.636339999997</v>
      </c>
      <c r="Y23" s="661">
        <f t="shared" ref="Y23:Z23" si="122">+W23+S23+O23</f>
        <v>235180</v>
      </c>
      <c r="Z23" s="69">
        <f t="shared" si="122"/>
        <v>284879.65805999999</v>
      </c>
      <c r="AA23" s="659">
        <f>M23+Y23</f>
        <v>469464</v>
      </c>
      <c r="AB23" s="422">
        <f>+N23+Z23</f>
        <v>512878.45081999991</v>
      </c>
      <c r="AC23" s="145">
        <f t="shared" ref="AC23:AC25" si="123">+AC$6*AC39/1000</f>
        <v>92040</v>
      </c>
      <c r="AD23" s="247">
        <v>82612.429080000002</v>
      </c>
      <c r="AE23" s="657">
        <f t="shared" ref="AE23:AE25" si="124">+AA23+AC23</f>
        <v>561504</v>
      </c>
      <c r="AF23" s="39">
        <f t="shared" ref="AF23:AF25" si="125">+AB23+AD23</f>
        <v>595490.87989999994</v>
      </c>
      <c r="AG23" s="145">
        <f t="shared" ref="AG23:AG25" si="126">+AG$6*AG39/1000</f>
        <v>89208</v>
      </c>
      <c r="AH23" s="247">
        <v>89431</v>
      </c>
      <c r="AI23" s="657">
        <f t="shared" ref="AI23:AI25" si="127">+AE23+AG23</f>
        <v>650712</v>
      </c>
      <c r="AJ23" s="39">
        <f t="shared" ref="AJ23:AJ25" si="128">+AF23+AH23</f>
        <v>684921.87989999994</v>
      </c>
      <c r="AK23" s="145">
        <f t="shared" ref="AK23:AK25" si="129">+AK$6*AK39/1000</f>
        <v>92040</v>
      </c>
      <c r="AL23" s="247">
        <v>95439.613600000026</v>
      </c>
      <c r="AM23" s="661">
        <f t="shared" ref="AM23:AM25" si="130">+AK23+AG23+AC23</f>
        <v>273288</v>
      </c>
      <c r="AN23" s="69">
        <f t="shared" ref="AN23:AN25" si="131">+AL23+AH23+AD23</f>
        <v>267483.04268000007</v>
      </c>
      <c r="AO23" s="718">
        <f t="shared" si="104"/>
        <v>742752</v>
      </c>
      <c r="AP23" s="718">
        <f t="shared" si="104"/>
        <v>780361.49349999998</v>
      </c>
      <c r="AQ23" s="145">
        <f t="shared" ref="AQ23:AQ25" si="132">+AQ$6*AQ39/1000</f>
        <v>93456</v>
      </c>
      <c r="AR23" s="247">
        <v>94365.280469999998</v>
      </c>
      <c r="AS23" s="657">
        <f t="shared" ref="AS23:AS25" si="133">+AO23+AQ23</f>
        <v>836208</v>
      </c>
      <c r="AT23" s="39">
        <f t="shared" ref="AT23:AT25" si="134">+AP23+AR23</f>
        <v>874726.77396999998</v>
      </c>
      <c r="AU23" s="145">
        <f t="shared" ref="AU23:AU25" si="135">+AU$6*AU39/1000</f>
        <v>83544</v>
      </c>
      <c r="AV23" s="247">
        <v>84493.69425</v>
      </c>
      <c r="AW23" s="657">
        <f t="shared" ref="AW23:AW25" si="136">+AS23+AU23</f>
        <v>919752</v>
      </c>
      <c r="AX23" s="39">
        <f t="shared" ref="AX23:AX25" si="137">+AT23+AV23</f>
        <v>959220.46821999992</v>
      </c>
      <c r="AY23" s="145">
        <f t="shared" ref="AY23:AY25" si="138">+AY$6*AY39/1000</f>
        <v>93456</v>
      </c>
      <c r="AZ23" s="247">
        <v>92471.241399999999</v>
      </c>
      <c r="BA23" s="661">
        <f t="shared" ref="BA23:BA25" si="139">+AY23+AU23+AQ23</f>
        <v>270456</v>
      </c>
      <c r="BB23" s="69">
        <f t="shared" ref="BB23:BB25" si="140">+AZ23+AV23+AR23</f>
        <v>271330.21612</v>
      </c>
      <c r="BC23" s="433">
        <f t="shared" ref="BC23" si="141">AM23+BA23</f>
        <v>543744</v>
      </c>
      <c r="BD23" s="441">
        <f t="shared" ref="BD23" si="142">+AN23+BB23</f>
        <v>538813.25880000007</v>
      </c>
      <c r="BE23" s="657">
        <f t="shared" ref="BE23:BE25" si="143">+AW23+AY23</f>
        <v>1013208</v>
      </c>
      <c r="BF23" s="39">
        <f t="shared" ref="BF23:BF25" si="144">+AX23+AZ23</f>
        <v>1051691.7096199999</v>
      </c>
    </row>
    <row r="24" spans="1:58" x14ac:dyDescent="0.3">
      <c r="A24" s="135" t="s">
        <v>445</v>
      </c>
      <c r="B24" s="1569" t="s">
        <v>1</v>
      </c>
      <c r="C24" s="2589" t="s">
        <v>50</v>
      </c>
      <c r="D24" s="2348">
        <f t="shared" si="112"/>
        <v>81166</v>
      </c>
      <c r="E24" s="2348">
        <f t="shared" si="112"/>
        <v>5408</v>
      </c>
      <c r="F24" s="2399">
        <v>7521.2660300000034</v>
      </c>
      <c r="G24" s="2348">
        <f t="shared" ref="G24" si="145">+G$6*G40/1000</f>
        <v>5423</v>
      </c>
      <c r="H24" s="2399">
        <v>3703.6373199999998</v>
      </c>
      <c r="I24" s="663">
        <f>+E24+G24</f>
        <v>10831</v>
      </c>
      <c r="J24" s="58">
        <f t="shared" si="2"/>
        <v>11224.903350000004</v>
      </c>
      <c r="K24" s="2348">
        <f t="shared" si="114"/>
        <v>7308</v>
      </c>
      <c r="L24" s="2399">
        <v>8335.2548999999999</v>
      </c>
      <c r="M24" s="64">
        <f t="shared" ref="M24:M25" si="146">+K24+G24+E24</f>
        <v>18139</v>
      </c>
      <c r="N24" s="64">
        <f t="shared" ref="N24:N25" si="147">+L24+H24+F24</f>
        <v>19560.158250000004</v>
      </c>
      <c r="O24" s="2348">
        <f t="shared" si="116"/>
        <v>7395</v>
      </c>
      <c r="P24" s="2399">
        <v>10931.993400000003</v>
      </c>
      <c r="Q24" s="663">
        <f t="shared" si="117"/>
        <v>25534</v>
      </c>
      <c r="R24" s="58">
        <f t="shared" si="117"/>
        <v>30492.151650000007</v>
      </c>
      <c r="S24" s="2348">
        <f t="shared" si="118"/>
        <v>7395</v>
      </c>
      <c r="T24" s="2399">
        <v>9434.9160300000003</v>
      </c>
      <c r="U24" s="663">
        <f t="shared" si="119"/>
        <v>32929</v>
      </c>
      <c r="V24" s="58">
        <f t="shared" si="120"/>
        <v>39927.067680000007</v>
      </c>
      <c r="W24" s="2348">
        <f t="shared" si="121"/>
        <v>3920</v>
      </c>
      <c r="X24" s="2399">
        <v>8937.2429000000029</v>
      </c>
      <c r="Y24" s="64">
        <f t="shared" ref="Y24:Y25" si="148">+W24+S24+O24</f>
        <v>18710</v>
      </c>
      <c r="Z24" s="65">
        <f t="shared" ref="Z24:Z25" si="149">+X24+T24+P24</f>
        <v>29304.152330000008</v>
      </c>
      <c r="AA24" s="731">
        <f t="shared" ref="AA24:AA25" si="150">M24+Y24</f>
        <v>36849</v>
      </c>
      <c r="AB24" s="441">
        <f t="shared" ref="AB24:AB25" si="151">+N24+Z24</f>
        <v>48864.310580000012</v>
      </c>
      <c r="AC24" s="2348">
        <f t="shared" si="123"/>
        <v>7540</v>
      </c>
      <c r="AD24" s="2399">
        <v>6146.5302000000011</v>
      </c>
      <c r="AE24" s="663">
        <f t="shared" si="124"/>
        <v>44389</v>
      </c>
      <c r="AF24" s="58">
        <f t="shared" si="125"/>
        <v>55010.840780000013</v>
      </c>
      <c r="AG24" s="2348">
        <f t="shared" si="126"/>
        <v>7308</v>
      </c>
      <c r="AH24" s="2399">
        <v>9215</v>
      </c>
      <c r="AI24" s="663">
        <f t="shared" si="127"/>
        <v>51697</v>
      </c>
      <c r="AJ24" s="58">
        <f t="shared" si="128"/>
        <v>64225.840780000013</v>
      </c>
      <c r="AK24" s="2348">
        <f t="shared" si="129"/>
        <v>7540</v>
      </c>
      <c r="AL24" s="2399">
        <v>8963.0492999999988</v>
      </c>
      <c r="AM24" s="64">
        <f t="shared" si="130"/>
        <v>22388</v>
      </c>
      <c r="AN24" s="65">
        <f t="shared" si="131"/>
        <v>24324.5795</v>
      </c>
      <c r="AO24" s="718">
        <f t="shared" ref="AO24:AP27" si="152">+AK24+AI24</f>
        <v>59237</v>
      </c>
      <c r="AP24" s="718">
        <f t="shared" ref="AP24:AP25" si="153">+AL24+AJ24</f>
        <v>73188.890080000012</v>
      </c>
      <c r="AQ24" s="2348">
        <f t="shared" si="132"/>
        <v>7656</v>
      </c>
      <c r="AR24" s="2399">
        <v>7792.9575640000003</v>
      </c>
      <c r="AS24" s="663">
        <f t="shared" si="133"/>
        <v>66893</v>
      </c>
      <c r="AT24" s="58">
        <f t="shared" si="134"/>
        <v>80981.847644000009</v>
      </c>
      <c r="AU24" s="2348">
        <f t="shared" si="135"/>
        <v>6844</v>
      </c>
      <c r="AV24" s="2399">
        <v>5861.8010599999998</v>
      </c>
      <c r="AW24" s="663">
        <f t="shared" si="136"/>
        <v>73737</v>
      </c>
      <c r="AX24" s="58">
        <f t="shared" si="137"/>
        <v>86843.648704000007</v>
      </c>
      <c r="AY24" s="2348">
        <f t="shared" si="138"/>
        <v>7656</v>
      </c>
      <c r="AZ24" s="2399">
        <v>8283.8433999999997</v>
      </c>
      <c r="BA24" s="64">
        <f t="shared" si="139"/>
        <v>22156</v>
      </c>
      <c r="BB24" s="65">
        <f t="shared" si="140"/>
        <v>21938.602024</v>
      </c>
      <c r="BC24" s="433">
        <f t="shared" ref="BC24:BC25" si="154">AM24+BA24</f>
        <v>44544</v>
      </c>
      <c r="BD24" s="441">
        <f t="shared" ref="BD24:BD25" si="155">+AN24+BB24</f>
        <v>46263.181524</v>
      </c>
      <c r="BE24" s="663">
        <f t="shared" si="143"/>
        <v>81393</v>
      </c>
      <c r="BF24" s="58">
        <f t="shared" si="144"/>
        <v>95127.492104000004</v>
      </c>
    </row>
    <row r="25" spans="1:58" ht="15" thickBot="1" x14ac:dyDescent="0.35">
      <c r="A25" s="135" t="s">
        <v>445</v>
      </c>
      <c r="B25" s="1573" t="s">
        <v>123</v>
      </c>
      <c r="C25" s="2693" t="s">
        <v>50</v>
      </c>
      <c r="D25" s="2587">
        <f t="shared" si="112"/>
        <v>448711.99999999994</v>
      </c>
      <c r="E25" s="2587">
        <f t="shared" si="112"/>
        <v>25792</v>
      </c>
      <c r="F25" s="2626">
        <v>29664.505649999996</v>
      </c>
      <c r="G25" s="2587">
        <f t="shared" ref="G25" si="156">+G$6*G41/1000</f>
        <v>26180</v>
      </c>
      <c r="H25" s="2626">
        <v>10307.777699999999</v>
      </c>
      <c r="I25" s="1908">
        <f>+E25+G25</f>
        <v>51972</v>
      </c>
      <c r="J25" s="493">
        <f t="shared" si="2"/>
        <v>39972.283349999998</v>
      </c>
      <c r="K25" s="2587">
        <f t="shared" si="114"/>
        <v>37800</v>
      </c>
      <c r="L25" s="2626">
        <v>40595.159399999997</v>
      </c>
      <c r="M25" s="64">
        <f t="shared" si="146"/>
        <v>89772</v>
      </c>
      <c r="N25" s="64">
        <f t="shared" si="147"/>
        <v>80567.442749999987</v>
      </c>
      <c r="O25" s="2587">
        <f t="shared" si="116"/>
        <v>38250</v>
      </c>
      <c r="P25" s="2626">
        <v>38284.482700000008</v>
      </c>
      <c r="Q25" s="663">
        <f t="shared" si="117"/>
        <v>128022</v>
      </c>
      <c r="R25" s="58">
        <f t="shared" si="117"/>
        <v>118851.92545</v>
      </c>
      <c r="S25" s="2587">
        <f t="shared" si="118"/>
        <v>38250</v>
      </c>
      <c r="T25" s="2626">
        <v>35925.433679999995</v>
      </c>
      <c r="U25" s="663">
        <f t="shared" si="119"/>
        <v>166272</v>
      </c>
      <c r="V25" s="58">
        <f t="shared" si="120"/>
        <v>154777.35913</v>
      </c>
      <c r="W25" s="2587">
        <f t="shared" si="121"/>
        <v>16940</v>
      </c>
      <c r="X25" s="2626">
        <v>31276.365060000004</v>
      </c>
      <c r="Y25" s="64">
        <f t="shared" si="148"/>
        <v>93440</v>
      </c>
      <c r="Z25" s="65">
        <f t="shared" si="149"/>
        <v>105486.28144000001</v>
      </c>
      <c r="AA25" s="731">
        <f t="shared" si="150"/>
        <v>183212</v>
      </c>
      <c r="AB25" s="441">
        <f t="shared" si="151"/>
        <v>186053.72418999998</v>
      </c>
      <c r="AC25" s="2587">
        <f t="shared" si="123"/>
        <v>39520</v>
      </c>
      <c r="AD25" s="2626">
        <v>25464.928199999998</v>
      </c>
      <c r="AE25" s="663">
        <f t="shared" si="124"/>
        <v>222732</v>
      </c>
      <c r="AF25" s="58">
        <f t="shared" si="125"/>
        <v>211518.65238999997</v>
      </c>
      <c r="AG25" s="2587">
        <f t="shared" si="126"/>
        <v>38304</v>
      </c>
      <c r="AH25" s="2626">
        <v>33363</v>
      </c>
      <c r="AI25" s="663">
        <f t="shared" si="127"/>
        <v>261036</v>
      </c>
      <c r="AJ25" s="58">
        <f t="shared" si="128"/>
        <v>244881.65238999997</v>
      </c>
      <c r="AK25" s="2587">
        <f t="shared" si="129"/>
        <v>39520</v>
      </c>
      <c r="AL25" s="2626">
        <v>32920.386899999998</v>
      </c>
      <c r="AM25" s="64">
        <f t="shared" si="130"/>
        <v>117344</v>
      </c>
      <c r="AN25" s="65">
        <f t="shared" si="131"/>
        <v>91748.315099999993</v>
      </c>
      <c r="AO25" s="718">
        <f t="shared" si="152"/>
        <v>300556</v>
      </c>
      <c r="AP25" s="718">
        <f t="shared" si="153"/>
        <v>277802.03928999999</v>
      </c>
      <c r="AQ25" s="2587">
        <f t="shared" si="132"/>
        <v>40128</v>
      </c>
      <c r="AR25" s="2626">
        <v>31787.504239999998</v>
      </c>
      <c r="AS25" s="663">
        <f t="shared" si="133"/>
        <v>340684</v>
      </c>
      <c r="AT25" s="58">
        <f t="shared" si="134"/>
        <v>309589.54352999997</v>
      </c>
      <c r="AU25" s="2587">
        <f t="shared" si="135"/>
        <v>35872</v>
      </c>
      <c r="AV25" s="2626">
        <v>17532.9774</v>
      </c>
      <c r="AW25" s="663">
        <f t="shared" si="136"/>
        <v>376556</v>
      </c>
      <c r="AX25" s="58">
        <f t="shared" si="137"/>
        <v>327122.52092999994</v>
      </c>
      <c r="AY25" s="2587">
        <f t="shared" si="138"/>
        <v>40128</v>
      </c>
      <c r="AZ25" s="2626">
        <v>34108.780900000012</v>
      </c>
      <c r="BA25" s="64">
        <f t="shared" si="139"/>
        <v>116128</v>
      </c>
      <c r="BB25" s="65">
        <f t="shared" si="140"/>
        <v>83429.262540000011</v>
      </c>
      <c r="BC25" s="433">
        <f t="shared" si="154"/>
        <v>233472</v>
      </c>
      <c r="BD25" s="441">
        <f t="shared" si="155"/>
        <v>175177.57764</v>
      </c>
      <c r="BE25" s="663">
        <f t="shared" si="143"/>
        <v>416684</v>
      </c>
      <c r="BF25" s="58">
        <f t="shared" si="144"/>
        <v>361231.30182999995</v>
      </c>
    </row>
    <row r="26" spans="1:58" ht="16.2" thickBot="1" x14ac:dyDescent="0.35">
      <c r="A26" s="135" t="s">
        <v>445</v>
      </c>
      <c r="B26" s="1574" t="s">
        <v>237</v>
      </c>
      <c r="C26" s="459" t="s">
        <v>50</v>
      </c>
      <c r="D26" s="2081">
        <f>SUM(D23:D25)</f>
        <v>1575000</v>
      </c>
      <c r="E26" s="2081">
        <f t="shared" ref="E26:L26" si="157">SUM(E23:E25)</f>
        <v>109200</v>
      </c>
      <c r="F26" s="2181">
        <f t="shared" si="157"/>
        <v>128121.71911999997</v>
      </c>
      <c r="G26" s="2081">
        <f t="shared" ref="G26:H26" si="158">SUM(G23:G25)</f>
        <v>98175</v>
      </c>
      <c r="H26" s="2181">
        <f t="shared" si="158"/>
        <v>59969.351439999984</v>
      </c>
      <c r="I26" s="36">
        <f t="shared" si="157"/>
        <v>207375</v>
      </c>
      <c r="J26" s="37">
        <f t="shared" si="157"/>
        <v>188091.07055999996</v>
      </c>
      <c r="K26" s="2081">
        <f t="shared" si="157"/>
        <v>134820</v>
      </c>
      <c r="L26" s="2181">
        <f t="shared" si="157"/>
        <v>140035.32319999998</v>
      </c>
      <c r="M26" s="323">
        <f t="shared" ref="M26:R26" si="159">SUM(M23:M25)</f>
        <v>342195</v>
      </c>
      <c r="N26" s="63">
        <f t="shared" si="159"/>
        <v>328126.39375999989</v>
      </c>
      <c r="O26" s="2081">
        <f t="shared" si="159"/>
        <v>136425</v>
      </c>
      <c r="P26" s="2181">
        <f t="shared" si="159"/>
        <v>146436.72670000003</v>
      </c>
      <c r="Q26" s="36">
        <f t="shared" si="159"/>
        <v>478620</v>
      </c>
      <c r="R26" s="37">
        <f t="shared" si="159"/>
        <v>474563.12045999995</v>
      </c>
      <c r="S26" s="2081">
        <f t="shared" ref="S26:T26" si="160">SUM(S23:S25)</f>
        <v>136425</v>
      </c>
      <c r="T26" s="2181">
        <f t="shared" si="160"/>
        <v>138039.12082999997</v>
      </c>
      <c r="U26" s="36">
        <f t="shared" ref="U26:X26" si="161">SUM(U23:U25)</f>
        <v>615045</v>
      </c>
      <c r="V26" s="37">
        <f t="shared" si="161"/>
        <v>612602.24128999992</v>
      </c>
      <c r="W26" s="2081">
        <f t="shared" si="161"/>
        <v>74480</v>
      </c>
      <c r="X26" s="2181">
        <f t="shared" si="161"/>
        <v>135194.24429999999</v>
      </c>
      <c r="Y26" s="323">
        <f t="shared" ref="Y26:Z26" si="162">SUM(Y23:Y25)</f>
        <v>347330</v>
      </c>
      <c r="Z26" s="63">
        <f t="shared" si="162"/>
        <v>419670.09182999999</v>
      </c>
      <c r="AA26" s="427">
        <f t="shared" ref="AA26:AF26" si="163">SUM(AA23:AA25)</f>
        <v>689525</v>
      </c>
      <c r="AB26" s="424">
        <f t="shared" si="163"/>
        <v>747796.48558999994</v>
      </c>
      <c r="AC26" s="2081">
        <f t="shared" si="163"/>
        <v>139100</v>
      </c>
      <c r="AD26" s="2181">
        <f t="shared" si="163"/>
        <v>114223.88748</v>
      </c>
      <c r="AE26" s="36">
        <f t="shared" si="163"/>
        <v>828625</v>
      </c>
      <c r="AF26" s="37">
        <f t="shared" si="163"/>
        <v>862020.37306999986</v>
      </c>
      <c r="AG26" s="2081">
        <f t="shared" ref="AG26:AH26" si="164">SUM(AG23:AG25)</f>
        <v>134820</v>
      </c>
      <c r="AH26" s="2181">
        <f t="shared" si="164"/>
        <v>132009</v>
      </c>
      <c r="AI26" s="36">
        <f t="shared" ref="AI26:AL26" si="165">SUM(AI23:AI25)</f>
        <v>963445</v>
      </c>
      <c r="AJ26" s="37">
        <f t="shared" si="165"/>
        <v>994029.37306999986</v>
      </c>
      <c r="AK26" s="2081">
        <f t="shared" si="165"/>
        <v>139100</v>
      </c>
      <c r="AL26" s="2181">
        <f t="shared" si="165"/>
        <v>137323.04980000004</v>
      </c>
      <c r="AM26" s="323">
        <f t="shared" ref="AM26:AT26" si="166">SUM(AM23:AM25)</f>
        <v>413020</v>
      </c>
      <c r="AN26" s="63">
        <f t="shared" si="166"/>
        <v>383555.93728000007</v>
      </c>
      <c r="AO26" s="36">
        <f t="shared" si="166"/>
        <v>1102545</v>
      </c>
      <c r="AP26" s="37">
        <f t="shared" si="166"/>
        <v>1131352.4228699999</v>
      </c>
      <c r="AQ26" s="2081">
        <f t="shared" si="166"/>
        <v>141240</v>
      </c>
      <c r="AR26" s="2181">
        <f t="shared" si="166"/>
        <v>133945.74227399999</v>
      </c>
      <c r="AS26" s="36">
        <f t="shared" si="166"/>
        <v>1243785</v>
      </c>
      <c r="AT26" s="37">
        <f t="shared" si="166"/>
        <v>1265298.165144</v>
      </c>
      <c r="AU26" s="2081">
        <f t="shared" ref="AU26:AV26" si="167">SUM(AU23:AU25)</f>
        <v>126260</v>
      </c>
      <c r="AV26" s="2181">
        <f t="shared" si="167"/>
        <v>107888.47271</v>
      </c>
      <c r="AW26" s="36">
        <f t="shared" ref="AW26:AZ26" si="168">SUM(AW23:AW25)</f>
        <v>1370045</v>
      </c>
      <c r="AX26" s="37">
        <f t="shared" si="168"/>
        <v>1373186.6378539999</v>
      </c>
      <c r="AY26" s="2081">
        <f t="shared" si="168"/>
        <v>141240</v>
      </c>
      <c r="AZ26" s="2181">
        <f t="shared" si="168"/>
        <v>134863.86570000002</v>
      </c>
      <c r="BA26" s="323">
        <f t="shared" ref="BA26:BD26" si="169">SUM(BA23:BA25)</f>
        <v>408740</v>
      </c>
      <c r="BB26" s="63">
        <f t="shared" si="169"/>
        <v>376698.08068400004</v>
      </c>
      <c r="BC26" s="427">
        <f t="shared" si="169"/>
        <v>821760</v>
      </c>
      <c r="BD26" s="424">
        <f t="shared" si="169"/>
        <v>760254.01796400012</v>
      </c>
      <c r="BE26" s="36">
        <f t="shared" ref="BE26:BF26" si="170">SUM(BE23:BE25)</f>
        <v>1511285</v>
      </c>
      <c r="BF26" s="37">
        <f t="shared" si="170"/>
        <v>1508050.5035539998</v>
      </c>
    </row>
    <row r="27" spans="1:58" x14ac:dyDescent="0.3">
      <c r="A27" s="135" t="s">
        <v>445</v>
      </c>
      <c r="B27" s="1578" t="s">
        <v>19</v>
      </c>
      <c r="C27" s="56" t="s">
        <v>50</v>
      </c>
      <c r="D27" s="1095">
        <f t="shared" ref="D27:E30" si="171">+D$6*D43/1000</f>
        <v>3449646.8225320759</v>
      </c>
      <c r="E27" s="1095">
        <f t="shared" si="171"/>
        <v>239175.51302889059</v>
      </c>
      <c r="F27" s="1197">
        <v>274384.69999999995</v>
      </c>
      <c r="G27" s="1095">
        <f t="shared" ref="G27" si="172">+G$6*G43/1000</f>
        <v>215027.98527116605</v>
      </c>
      <c r="H27" s="1197">
        <v>126322.58</v>
      </c>
      <c r="I27" s="663">
        <f>+E27+G27</f>
        <v>454203.49830005667</v>
      </c>
      <c r="J27" s="58">
        <f t="shared" si="2"/>
        <v>400707.27999999997</v>
      </c>
      <c r="K27" s="1095">
        <f t="shared" ref="K27:K30" si="173">+K$6*K43/1000</f>
        <v>289770.33309269435</v>
      </c>
      <c r="L27" s="1197">
        <v>305588</v>
      </c>
      <c r="M27" s="64">
        <f t="shared" ref="M27:M31" si="174">+K27+G27+E27</f>
        <v>743973.83139275096</v>
      </c>
      <c r="N27" s="64">
        <f t="shared" ref="N27:N31" si="175">+L27+H27+F27</f>
        <v>706295.28</v>
      </c>
      <c r="O27" s="1095">
        <f t="shared" ref="O27:O30" si="176">+O$6*O43/1000</f>
        <v>293219.97991522646</v>
      </c>
      <c r="P27" s="1197">
        <v>314445.58999999997</v>
      </c>
      <c r="Q27" s="657">
        <f t="shared" ref="Q27:R29" si="177">+M27+O27</f>
        <v>1037193.8113079774</v>
      </c>
      <c r="R27" s="39">
        <f t="shared" si="177"/>
        <v>1020740.87</v>
      </c>
      <c r="S27" s="1095">
        <f t="shared" ref="S27:S30" si="178">+S$6*S43/1000</f>
        <v>293219.97991522646</v>
      </c>
      <c r="T27" s="1197">
        <v>298752</v>
      </c>
      <c r="U27" s="657">
        <f t="shared" ref="U27:U30" si="179">+Q27+S27</f>
        <v>1330413.7912232038</v>
      </c>
      <c r="V27" s="39">
        <f t="shared" ref="V27:V30" si="180">+R27+T27</f>
        <v>1319492.8700000001</v>
      </c>
      <c r="W27" s="1095">
        <f t="shared" ref="W27:W30" si="181">+W$6*W43/1000</f>
        <v>160983.51838483021</v>
      </c>
      <c r="X27" s="1197">
        <v>288743.09999999998</v>
      </c>
      <c r="Y27" s="64">
        <f t="shared" ref="Y27:Y29" si="182">+W27+S27+O27</f>
        <v>747423.47821528313</v>
      </c>
      <c r="Z27" s="65">
        <f t="shared" ref="Z27:Z29" si="183">+X27+T27+P27</f>
        <v>901940.69</v>
      </c>
      <c r="AA27" s="731">
        <f t="shared" ref="AA27:AA31" si="184">M27+Y27</f>
        <v>1491397.3096080341</v>
      </c>
      <c r="AB27" s="441">
        <f t="shared" ref="AB27:AB31" si="185">+N27+Z27</f>
        <v>1608235.97</v>
      </c>
      <c r="AC27" s="1095">
        <f t="shared" ref="AC27:AC30" si="186">+AC$6*AC43/1000</f>
        <v>298969.39128611318</v>
      </c>
      <c r="AD27" s="1197">
        <v>238110</v>
      </c>
      <c r="AE27" s="657">
        <f t="shared" ref="AE27:AE30" si="187">+AA27+AC27</f>
        <v>1790366.7008941472</v>
      </c>
      <c r="AF27" s="39">
        <f t="shared" ref="AF27:AF30" si="188">+AB27+AD27</f>
        <v>1846345.97</v>
      </c>
      <c r="AG27" s="1095">
        <f t="shared" ref="AG27:AG30" si="189">+AG$6*AG43/1000</f>
        <v>289770.33309269435</v>
      </c>
      <c r="AH27" s="1197">
        <v>290904</v>
      </c>
      <c r="AI27" s="657">
        <f t="shared" ref="AI27:AI30" si="190">+AE27+AG27</f>
        <v>2080137.0339868416</v>
      </c>
      <c r="AJ27" s="39">
        <f t="shared" ref="AJ27:AJ30" si="191">+AF27+AH27</f>
        <v>2137249.9699999997</v>
      </c>
      <c r="AK27" s="1095">
        <f t="shared" ref="AK27:AK30" si="192">+AK$6*AK43/1000</f>
        <v>298969.39128611318</v>
      </c>
      <c r="AL27" s="1197">
        <v>289069.39999999997</v>
      </c>
      <c r="AM27" s="64">
        <f t="shared" ref="AM27:AM31" si="193">+AK27+AG27+AC27</f>
        <v>887709.11566492065</v>
      </c>
      <c r="AN27" s="65">
        <f t="shared" ref="AN27:AN31" si="194">+AL27+AH27+AD27</f>
        <v>818083.39999999991</v>
      </c>
      <c r="AO27" s="718">
        <f t="shared" si="152"/>
        <v>2379106.4252729546</v>
      </c>
      <c r="AP27" s="718">
        <f t="shared" si="152"/>
        <v>2426319.3699999996</v>
      </c>
      <c r="AQ27" s="1095">
        <f t="shared" ref="AQ27:AQ30" si="195">+AQ$6*AQ43/1000</f>
        <v>303568.92038282263</v>
      </c>
      <c r="AR27" s="1197">
        <v>281651.3</v>
      </c>
      <c r="AS27" s="657">
        <f t="shared" ref="AS27:AS30" si="196">+AO27+AQ27</f>
        <v>2682675.3456557775</v>
      </c>
      <c r="AT27" s="39">
        <f t="shared" ref="AT27:AT30" si="197">+AP27+AR27</f>
        <v>2707970.6699999995</v>
      </c>
      <c r="AU27" s="1095">
        <f t="shared" ref="AU27:AU30" si="198">+AU$6*AU43/1000</f>
        <v>271372.21670585661</v>
      </c>
      <c r="AV27" s="1197">
        <v>233607.7</v>
      </c>
      <c r="AW27" s="657">
        <f t="shared" ref="AW27:AW30" si="199">+AS27+AU27</f>
        <v>2954047.5623616343</v>
      </c>
      <c r="AX27" s="39">
        <f t="shared" ref="AX27:AX30" si="200">+AT27+AV27</f>
        <v>2941578.3699999996</v>
      </c>
      <c r="AY27" s="1095">
        <f t="shared" ref="AY27:AY30" si="201">+AY$6*AY43/1000</f>
        <v>303568.92038282263</v>
      </c>
      <c r="AZ27" s="1197">
        <v>298183.2</v>
      </c>
      <c r="BA27" s="64">
        <f t="shared" ref="BA27:BA31" si="202">+AY27+AU27+AQ27</f>
        <v>878510.05747150187</v>
      </c>
      <c r="BB27" s="65">
        <f t="shared" ref="BB27:BB31" si="203">+AZ27+AV27+AR27</f>
        <v>813442.2</v>
      </c>
      <c r="BC27" s="433">
        <f t="shared" ref="BC27:BC31" si="204">AM27+BA27</f>
        <v>1766219.1731364224</v>
      </c>
      <c r="BD27" s="441">
        <f t="shared" ref="BD27:BD31" si="205">+AN27+BB27</f>
        <v>1631525.5999999999</v>
      </c>
      <c r="BE27" s="657">
        <f t="shared" ref="BE27:BE30" si="206">+AW27+AY27</f>
        <v>3257616.4827444572</v>
      </c>
      <c r="BF27" s="39">
        <f t="shared" ref="BF27:BF30" si="207">+AX27+AZ27</f>
        <v>3239761.57</v>
      </c>
    </row>
    <row r="28" spans="1:58" x14ac:dyDescent="0.3">
      <c r="A28" s="135" t="s">
        <v>445</v>
      </c>
      <c r="B28" s="1569" t="s">
        <v>238</v>
      </c>
      <c r="C28" s="2589" t="s">
        <v>50</v>
      </c>
      <c r="D28" s="2348">
        <f t="shared" si="171"/>
        <v>640648.69561309973</v>
      </c>
      <c r="E28" s="2348">
        <f t="shared" si="171"/>
        <v>44418.30956250825</v>
      </c>
      <c r="F28" s="2399">
        <v>51024.1</v>
      </c>
      <c r="G28" s="2348">
        <f t="shared" ref="G28" si="208">+G$6*G44/1000</f>
        <v>39933.768693216545</v>
      </c>
      <c r="H28" s="2399">
        <v>24465.599999999999</v>
      </c>
      <c r="I28" s="663">
        <f>+E28+G28</f>
        <v>84352.078255724802</v>
      </c>
      <c r="J28" s="58">
        <f t="shared" si="2"/>
        <v>75489.7</v>
      </c>
      <c r="K28" s="2348">
        <f t="shared" si="173"/>
        <v>53814.490431500373</v>
      </c>
      <c r="L28" s="2399">
        <v>62108.3</v>
      </c>
      <c r="M28" s="64">
        <f t="shared" si="174"/>
        <v>138166.56868722517</v>
      </c>
      <c r="N28" s="64">
        <f t="shared" si="175"/>
        <v>137598</v>
      </c>
      <c r="O28" s="2348">
        <f t="shared" si="176"/>
        <v>54455.139127113471</v>
      </c>
      <c r="P28" s="2399">
        <v>73148.350000000006</v>
      </c>
      <c r="Q28" s="663">
        <f t="shared" si="177"/>
        <v>192621.70781433865</v>
      </c>
      <c r="R28" s="58">
        <f t="shared" si="177"/>
        <v>210746.35</v>
      </c>
      <c r="S28" s="2348">
        <f t="shared" si="178"/>
        <v>54455.139127113471</v>
      </c>
      <c r="T28" s="2399">
        <v>49554.400000000001</v>
      </c>
      <c r="U28" s="663">
        <f t="shared" si="179"/>
        <v>247076.84694145212</v>
      </c>
      <c r="V28" s="58">
        <f t="shared" si="180"/>
        <v>260300.75</v>
      </c>
      <c r="W28" s="2348">
        <f t="shared" si="181"/>
        <v>29896.93912861132</v>
      </c>
      <c r="X28" s="2399">
        <v>44799.8</v>
      </c>
      <c r="Y28" s="64">
        <f t="shared" si="182"/>
        <v>138807.21738283825</v>
      </c>
      <c r="Z28" s="65">
        <f t="shared" si="183"/>
        <v>167502.55000000002</v>
      </c>
      <c r="AA28" s="731">
        <f t="shared" si="184"/>
        <v>276973.78607006342</v>
      </c>
      <c r="AB28" s="441">
        <f t="shared" si="185"/>
        <v>305100.55000000005</v>
      </c>
      <c r="AC28" s="2348">
        <f t="shared" si="186"/>
        <v>55522.886953135305</v>
      </c>
      <c r="AD28" s="2399">
        <v>44690.3</v>
      </c>
      <c r="AE28" s="663">
        <f t="shared" si="187"/>
        <v>332496.67302319873</v>
      </c>
      <c r="AF28" s="58">
        <f t="shared" si="188"/>
        <v>349790.85000000003</v>
      </c>
      <c r="AG28" s="2348">
        <f t="shared" si="189"/>
        <v>53814.490431500373</v>
      </c>
      <c r="AH28" s="2399">
        <v>49590</v>
      </c>
      <c r="AI28" s="663">
        <f t="shared" si="190"/>
        <v>386311.1634546991</v>
      </c>
      <c r="AJ28" s="58">
        <f t="shared" si="191"/>
        <v>399380.85000000003</v>
      </c>
      <c r="AK28" s="2348">
        <f t="shared" si="192"/>
        <v>55522.886953135305</v>
      </c>
      <c r="AL28" s="2399">
        <v>66070.5</v>
      </c>
      <c r="AM28" s="64">
        <f t="shared" si="193"/>
        <v>164860.26433777099</v>
      </c>
      <c r="AN28" s="65">
        <f t="shared" si="194"/>
        <v>160350.79999999999</v>
      </c>
      <c r="AO28" s="718">
        <f t="shared" ref="AO28:AP33" si="209">+AK28+AI28</f>
        <v>441834.05040783441</v>
      </c>
      <c r="AP28" s="718">
        <f t="shared" ref="AP28:AP31" si="210">+AL28+AJ28</f>
        <v>465451.35000000003</v>
      </c>
      <c r="AQ28" s="2348">
        <f t="shared" si="195"/>
        <v>56377.085213952771</v>
      </c>
      <c r="AR28" s="2399">
        <v>69909.899999999994</v>
      </c>
      <c r="AS28" s="663">
        <f t="shared" si="196"/>
        <v>498211.13562178717</v>
      </c>
      <c r="AT28" s="58">
        <f t="shared" si="197"/>
        <v>535361.25</v>
      </c>
      <c r="AU28" s="2348">
        <f t="shared" si="198"/>
        <v>50397.69738823051</v>
      </c>
      <c r="AV28" s="2399">
        <v>43733.599999999999</v>
      </c>
      <c r="AW28" s="663">
        <f t="shared" si="199"/>
        <v>548608.83301001764</v>
      </c>
      <c r="AX28" s="58">
        <f t="shared" si="200"/>
        <v>579094.85</v>
      </c>
      <c r="AY28" s="2348">
        <f t="shared" si="201"/>
        <v>56377.085213952771</v>
      </c>
      <c r="AZ28" s="2399">
        <v>50059</v>
      </c>
      <c r="BA28" s="64">
        <f t="shared" si="202"/>
        <v>163151.86781613604</v>
      </c>
      <c r="BB28" s="65">
        <f t="shared" si="203"/>
        <v>163702.5</v>
      </c>
      <c r="BC28" s="433">
        <f t="shared" si="204"/>
        <v>328012.13215390703</v>
      </c>
      <c r="BD28" s="441">
        <f t="shared" si="205"/>
        <v>324053.3</v>
      </c>
      <c r="BE28" s="663">
        <f t="shared" si="206"/>
        <v>604985.91822397045</v>
      </c>
      <c r="BF28" s="58">
        <f t="shared" si="207"/>
        <v>629153.85</v>
      </c>
    </row>
    <row r="29" spans="1:58" x14ac:dyDescent="0.3">
      <c r="A29" s="135" t="s">
        <v>445</v>
      </c>
      <c r="B29" s="1569" t="s">
        <v>239</v>
      </c>
      <c r="C29" s="2589" t="s">
        <v>50</v>
      </c>
      <c r="D29" s="2348">
        <f t="shared" si="171"/>
        <v>1020.0000000000001</v>
      </c>
      <c r="E29" s="2348">
        <f t="shared" si="171"/>
        <v>70.72</v>
      </c>
      <c r="F29" s="2399">
        <v>0</v>
      </c>
      <c r="G29" s="2348">
        <f t="shared" ref="G29" si="211">+G$6*G45/1000</f>
        <v>63.580000000000005</v>
      </c>
      <c r="H29" s="2399">
        <v>420.7</v>
      </c>
      <c r="I29" s="663">
        <f>+E29+G29</f>
        <v>134.30000000000001</v>
      </c>
      <c r="J29" s="58">
        <f t="shared" si="2"/>
        <v>420.7</v>
      </c>
      <c r="K29" s="2348">
        <f t="shared" si="173"/>
        <v>85.68</v>
      </c>
      <c r="L29" s="2399">
        <v>0</v>
      </c>
      <c r="M29" s="64">
        <f t="shared" si="174"/>
        <v>219.98000000000002</v>
      </c>
      <c r="N29" s="64">
        <f t="shared" si="175"/>
        <v>420.7</v>
      </c>
      <c r="O29" s="2348">
        <f t="shared" si="176"/>
        <v>86.7</v>
      </c>
      <c r="P29" s="2399">
        <v>0</v>
      </c>
      <c r="Q29" s="663">
        <f t="shared" si="177"/>
        <v>306.68</v>
      </c>
      <c r="R29" s="58">
        <f t="shared" si="177"/>
        <v>420.7</v>
      </c>
      <c r="S29" s="2348">
        <f t="shared" si="178"/>
        <v>86.7</v>
      </c>
      <c r="T29" s="2399">
        <v>0</v>
      </c>
      <c r="U29" s="663">
        <f t="shared" si="179"/>
        <v>393.38</v>
      </c>
      <c r="V29" s="58">
        <f t="shared" si="180"/>
        <v>420.7</v>
      </c>
      <c r="W29" s="2348">
        <f t="shared" si="181"/>
        <v>47.6</v>
      </c>
      <c r="X29" s="2399"/>
      <c r="Y29" s="64">
        <f t="shared" si="182"/>
        <v>221</v>
      </c>
      <c r="Z29" s="65">
        <f t="shared" si="183"/>
        <v>0</v>
      </c>
      <c r="AA29" s="731">
        <f t="shared" si="184"/>
        <v>440.98</v>
      </c>
      <c r="AB29" s="441">
        <f t="shared" si="185"/>
        <v>420.7</v>
      </c>
      <c r="AC29" s="2348">
        <f t="shared" si="186"/>
        <v>88.4</v>
      </c>
      <c r="AD29" s="2399">
        <v>123</v>
      </c>
      <c r="AE29" s="663">
        <f t="shared" si="187"/>
        <v>529.38</v>
      </c>
      <c r="AF29" s="58">
        <f t="shared" si="188"/>
        <v>543.70000000000005</v>
      </c>
      <c r="AG29" s="2348">
        <f t="shared" si="189"/>
        <v>85.68</v>
      </c>
      <c r="AH29" s="2399">
        <v>0</v>
      </c>
      <c r="AI29" s="663">
        <f t="shared" si="190"/>
        <v>615.05999999999995</v>
      </c>
      <c r="AJ29" s="58">
        <f t="shared" si="191"/>
        <v>543.70000000000005</v>
      </c>
      <c r="AK29" s="2348">
        <f t="shared" si="192"/>
        <v>88.4</v>
      </c>
      <c r="AL29" s="2399">
        <v>61.6</v>
      </c>
      <c r="AM29" s="64">
        <f t="shared" si="193"/>
        <v>262.48</v>
      </c>
      <c r="AN29" s="65">
        <f t="shared" si="194"/>
        <v>184.6</v>
      </c>
      <c r="AO29" s="718">
        <f t="shared" si="209"/>
        <v>703.45999999999992</v>
      </c>
      <c r="AP29" s="718">
        <f t="shared" si="210"/>
        <v>605.30000000000007</v>
      </c>
      <c r="AQ29" s="2348">
        <f t="shared" si="195"/>
        <v>89.76</v>
      </c>
      <c r="AR29" s="2399">
        <v>664.7</v>
      </c>
      <c r="AS29" s="663">
        <f t="shared" si="196"/>
        <v>793.21999999999991</v>
      </c>
      <c r="AT29" s="58">
        <f t="shared" si="197"/>
        <v>1270</v>
      </c>
      <c r="AU29" s="2348">
        <f t="shared" si="198"/>
        <v>80.239999999999995</v>
      </c>
      <c r="AV29" s="2399">
        <v>177.9</v>
      </c>
      <c r="AW29" s="663">
        <f t="shared" si="199"/>
        <v>873.45999999999992</v>
      </c>
      <c r="AX29" s="58">
        <f t="shared" si="200"/>
        <v>1447.9</v>
      </c>
      <c r="AY29" s="2348">
        <f t="shared" si="201"/>
        <v>89.76</v>
      </c>
      <c r="AZ29" s="2399">
        <v>572</v>
      </c>
      <c r="BA29" s="64">
        <f t="shared" si="202"/>
        <v>259.76</v>
      </c>
      <c r="BB29" s="65">
        <f t="shared" si="203"/>
        <v>1414.6</v>
      </c>
      <c r="BC29" s="433">
        <f t="shared" si="204"/>
        <v>522.24</v>
      </c>
      <c r="BD29" s="441">
        <f t="shared" si="205"/>
        <v>1599.1999999999998</v>
      </c>
      <c r="BE29" s="663">
        <f t="shared" si="206"/>
        <v>963.21999999999991</v>
      </c>
      <c r="BF29" s="58">
        <f t="shared" si="207"/>
        <v>2019.9</v>
      </c>
    </row>
    <row r="30" spans="1:58" x14ac:dyDescent="0.3">
      <c r="A30" s="135"/>
      <c r="B30" s="1572" t="s">
        <v>1244</v>
      </c>
      <c r="C30" s="2589" t="s">
        <v>50</v>
      </c>
      <c r="D30" s="2348">
        <f t="shared" si="171"/>
        <v>837771.3711863613</v>
      </c>
      <c r="E30" s="2348">
        <f t="shared" si="171"/>
        <v>58085.481735587724</v>
      </c>
      <c r="F30" s="2399">
        <v>58405.599999999999</v>
      </c>
      <c r="G30" s="2348">
        <f t="shared" ref="G30" si="212">+G$6*G46/1000</f>
        <v>52221.082137283192</v>
      </c>
      <c r="H30" s="2399">
        <v>32329</v>
      </c>
      <c r="I30" s="663">
        <f>+E30+G30</f>
        <v>110306.56387287092</v>
      </c>
      <c r="J30" s="58">
        <f t="shared" si="2"/>
        <v>90734.6</v>
      </c>
      <c r="K30" s="2348">
        <f t="shared" si="173"/>
        <v>70372.795179654364</v>
      </c>
      <c r="L30" s="2399">
        <v>65129.030000000006</v>
      </c>
      <c r="M30" s="64">
        <f t="shared" si="174"/>
        <v>180679.35905252528</v>
      </c>
      <c r="N30" s="64">
        <f t="shared" si="175"/>
        <v>155863.63</v>
      </c>
      <c r="O30" s="2348">
        <f t="shared" si="176"/>
        <v>71210.566550840726</v>
      </c>
      <c r="P30" s="2399">
        <v>55609.19</v>
      </c>
      <c r="Q30" s="663">
        <f t="shared" ref="Q30" si="213">+M30+O30</f>
        <v>251889.92560336599</v>
      </c>
      <c r="R30" s="58">
        <f t="shared" ref="R30" si="214">+N30+P30</f>
        <v>211472.82</v>
      </c>
      <c r="S30" s="2348">
        <f t="shared" si="178"/>
        <v>71210.566550840726</v>
      </c>
      <c r="T30" s="2399">
        <v>70042.69</v>
      </c>
      <c r="U30" s="663">
        <f t="shared" si="179"/>
        <v>323100.49215420673</v>
      </c>
      <c r="V30" s="58">
        <f t="shared" si="180"/>
        <v>281515.51</v>
      </c>
      <c r="W30" s="2348">
        <f t="shared" si="181"/>
        <v>39095.997322030191</v>
      </c>
      <c r="X30" s="2399">
        <v>68744.03</v>
      </c>
      <c r="Y30" s="64">
        <f t="shared" ref="Y30:Y31" si="215">+W30+S30+O30</f>
        <v>181517.13042371164</v>
      </c>
      <c r="Z30" s="65">
        <f t="shared" ref="Z30:Z31" si="216">+X30+T30+P30</f>
        <v>194395.91</v>
      </c>
      <c r="AA30" s="731">
        <f t="shared" si="184"/>
        <v>362196.48947623692</v>
      </c>
      <c r="AB30" s="441">
        <f t="shared" si="185"/>
        <v>350259.54000000004</v>
      </c>
      <c r="AC30" s="2348">
        <f t="shared" si="186"/>
        <v>72606.852169484642</v>
      </c>
      <c r="AD30" s="2399">
        <v>56421.73</v>
      </c>
      <c r="AE30" s="663">
        <f t="shared" si="187"/>
        <v>434803.34164572158</v>
      </c>
      <c r="AF30" s="58">
        <f t="shared" si="188"/>
        <v>406681.27</v>
      </c>
      <c r="AG30" s="2348">
        <f t="shared" si="189"/>
        <v>70372.795179654364</v>
      </c>
      <c r="AH30" s="2399">
        <v>67509</v>
      </c>
      <c r="AI30" s="663">
        <f t="shared" si="190"/>
        <v>505176.13682537596</v>
      </c>
      <c r="AJ30" s="58">
        <f t="shared" si="191"/>
        <v>474190.27</v>
      </c>
      <c r="AK30" s="2348">
        <f t="shared" si="192"/>
        <v>72606.852169484642</v>
      </c>
      <c r="AL30" s="2399">
        <v>70198.73</v>
      </c>
      <c r="AM30" s="64">
        <f t="shared" si="193"/>
        <v>215586.49951862363</v>
      </c>
      <c r="AN30" s="65">
        <f t="shared" si="194"/>
        <v>194129.46</v>
      </c>
      <c r="AO30" s="718">
        <f t="shared" si="209"/>
        <v>577782.98899486056</v>
      </c>
      <c r="AP30" s="718">
        <f t="shared" si="210"/>
        <v>544389</v>
      </c>
      <c r="AQ30" s="2348">
        <f t="shared" si="195"/>
        <v>73723.880664399796</v>
      </c>
      <c r="AR30" s="2399">
        <v>58461.93</v>
      </c>
      <c r="AS30" s="663">
        <f t="shared" si="196"/>
        <v>651506.86965926038</v>
      </c>
      <c r="AT30" s="58">
        <f t="shared" si="197"/>
        <v>602850.93000000005</v>
      </c>
      <c r="AU30" s="2348">
        <f t="shared" si="198"/>
        <v>65904.681199993764</v>
      </c>
      <c r="AV30" s="2399">
        <v>46259.03</v>
      </c>
      <c r="AW30" s="663">
        <f t="shared" si="199"/>
        <v>717411.55085925409</v>
      </c>
      <c r="AX30" s="58">
        <f t="shared" si="200"/>
        <v>649109.96000000008</v>
      </c>
      <c r="AY30" s="2348">
        <f t="shared" si="201"/>
        <v>73723.880664399796</v>
      </c>
      <c r="AZ30" s="2399">
        <v>64323.73</v>
      </c>
      <c r="BA30" s="64">
        <f t="shared" si="202"/>
        <v>213352.44252879336</v>
      </c>
      <c r="BB30" s="65">
        <f t="shared" si="203"/>
        <v>169044.69</v>
      </c>
      <c r="BC30" s="433">
        <f t="shared" si="204"/>
        <v>428938.94204741699</v>
      </c>
      <c r="BD30" s="441">
        <f t="shared" si="205"/>
        <v>363174.15</v>
      </c>
      <c r="BE30" s="663">
        <f t="shared" si="206"/>
        <v>791135.43152365391</v>
      </c>
      <c r="BF30" s="58">
        <f t="shared" si="207"/>
        <v>713433.69000000006</v>
      </c>
    </row>
    <row r="31" spans="1:58" ht="15" thickBot="1" x14ac:dyDescent="0.35">
      <c r="A31" s="135" t="s">
        <v>445</v>
      </c>
      <c r="B31" s="1915" t="s">
        <v>6</v>
      </c>
      <c r="C31" s="687" t="s">
        <v>50</v>
      </c>
      <c r="D31" s="103">
        <f>+D$6*D47/1000</f>
        <v>20126</v>
      </c>
      <c r="E31" s="103">
        <f>+E$6*E47/1000</f>
        <v>3328</v>
      </c>
      <c r="F31" s="210">
        <v>355.6</v>
      </c>
      <c r="G31" s="103">
        <f>+G$6*G47/1000</f>
        <v>2992</v>
      </c>
      <c r="H31" s="210">
        <v>1237.0999999999999</v>
      </c>
      <c r="I31" s="2050">
        <f>+E31+G31</f>
        <v>6320</v>
      </c>
      <c r="J31" s="184">
        <f t="shared" si="2"/>
        <v>1592.6999999999998</v>
      </c>
      <c r="K31" s="103">
        <f>+K$6*K47/1000</f>
        <v>504</v>
      </c>
      <c r="L31" s="210">
        <v>1133.6999999999998</v>
      </c>
      <c r="M31" s="1916">
        <f t="shared" si="174"/>
        <v>6824</v>
      </c>
      <c r="N31" s="1916">
        <f t="shared" si="175"/>
        <v>2726.3999999999996</v>
      </c>
      <c r="O31" s="103">
        <f>+O$6*O47/1000</f>
        <v>510</v>
      </c>
      <c r="P31" s="210">
        <v>512.09999999999991</v>
      </c>
      <c r="Q31" s="2050">
        <f>+M31+O31</f>
        <v>7334</v>
      </c>
      <c r="R31" s="184">
        <f>+N31+P31</f>
        <v>3238.4999999999995</v>
      </c>
      <c r="S31" s="103">
        <f>+S$6*S47/1000</f>
        <v>510</v>
      </c>
      <c r="T31" s="210">
        <v>1048.7999999999997</v>
      </c>
      <c r="U31" s="2050">
        <f>+Q31+S31</f>
        <v>7844</v>
      </c>
      <c r="V31" s="184">
        <f>+R31+T31</f>
        <v>4287.2999999999993</v>
      </c>
      <c r="W31" s="103">
        <f>+W$6*W47/1000</f>
        <v>2100</v>
      </c>
      <c r="X31" s="210">
        <v>490</v>
      </c>
      <c r="Y31" s="1916">
        <f t="shared" si="215"/>
        <v>3120</v>
      </c>
      <c r="Z31" s="70">
        <f t="shared" si="216"/>
        <v>2050.8999999999996</v>
      </c>
      <c r="AA31" s="2051">
        <f t="shared" si="184"/>
        <v>9944</v>
      </c>
      <c r="AB31" s="1521">
        <f t="shared" si="185"/>
        <v>4777.2999999999993</v>
      </c>
      <c r="AC31" s="103">
        <f>+AC$6*AC47/1000</f>
        <v>2080</v>
      </c>
      <c r="AD31" s="210">
        <v>1053.5</v>
      </c>
      <c r="AE31" s="2050">
        <f>+AA31+AC31</f>
        <v>12024</v>
      </c>
      <c r="AF31" s="184">
        <f>+AB31+AD31</f>
        <v>5830.7999999999993</v>
      </c>
      <c r="AG31" s="103">
        <f>+AG$6*AG47/1000</f>
        <v>504</v>
      </c>
      <c r="AH31" s="210">
        <v>527</v>
      </c>
      <c r="AI31" s="2050">
        <f>+AE31+AG31</f>
        <v>12528</v>
      </c>
      <c r="AJ31" s="184">
        <f>+AF31+AH31</f>
        <v>6357.7999999999993</v>
      </c>
      <c r="AK31" s="103">
        <f>+AK$6*AK47/1000</f>
        <v>520</v>
      </c>
      <c r="AL31" s="210">
        <v>793.09999999999991</v>
      </c>
      <c r="AM31" s="1916">
        <f t="shared" si="193"/>
        <v>3104</v>
      </c>
      <c r="AN31" s="70">
        <f t="shared" si="194"/>
        <v>2373.6</v>
      </c>
      <c r="AO31" s="718">
        <f t="shared" si="209"/>
        <v>13048</v>
      </c>
      <c r="AP31" s="718">
        <f t="shared" si="210"/>
        <v>7150.9</v>
      </c>
      <c r="AQ31" s="103">
        <f>+AQ$6*AQ47/1000</f>
        <v>528</v>
      </c>
      <c r="AR31" s="210">
        <v>2995.05</v>
      </c>
      <c r="AS31" s="2050">
        <f>+AO31+AQ31</f>
        <v>13576</v>
      </c>
      <c r="AT31" s="184">
        <f>+AP31+AR31</f>
        <v>10145.950000000001</v>
      </c>
      <c r="AU31" s="103">
        <f>+AU$6*AU47/1000</f>
        <v>472</v>
      </c>
      <c r="AV31" s="210">
        <v>1503.5</v>
      </c>
      <c r="AW31" s="2050">
        <f>+AS31+AU31</f>
        <v>14048</v>
      </c>
      <c r="AX31" s="184">
        <f>+AT31+AV31</f>
        <v>11649.45</v>
      </c>
      <c r="AY31" s="103">
        <f>+AY$6*AY47/1000</f>
        <v>528</v>
      </c>
      <c r="AZ31" s="210">
        <v>73.8</v>
      </c>
      <c r="BA31" s="1916">
        <f t="shared" si="202"/>
        <v>1528</v>
      </c>
      <c r="BB31" s="70">
        <f t="shared" si="203"/>
        <v>4572.3500000000004</v>
      </c>
      <c r="BC31" s="433">
        <f t="shared" si="204"/>
        <v>4632</v>
      </c>
      <c r="BD31" s="441">
        <f t="shared" si="205"/>
        <v>6945.9500000000007</v>
      </c>
      <c r="BE31" s="2050">
        <f>+AW31+AY31</f>
        <v>14576</v>
      </c>
      <c r="BF31" s="184">
        <f>+AX31+AZ31</f>
        <v>11723.25</v>
      </c>
    </row>
    <row r="32" spans="1:58" ht="15.6" x14ac:dyDescent="0.3">
      <c r="A32" s="136" t="s">
        <v>445</v>
      </c>
      <c r="B32" s="1568" t="s">
        <v>423</v>
      </c>
      <c r="C32" s="1913"/>
      <c r="D32" s="1914"/>
      <c r="E32" s="1914"/>
      <c r="F32" s="1914"/>
      <c r="G32" s="1914"/>
      <c r="H32" s="1914"/>
      <c r="I32" s="1913"/>
      <c r="J32" s="1913"/>
      <c r="K32" s="1914"/>
      <c r="L32" s="1914"/>
      <c r="M32" s="1913"/>
      <c r="N32" s="1913"/>
      <c r="O32" s="1914"/>
      <c r="P32" s="1914"/>
      <c r="Q32" s="1913"/>
      <c r="R32" s="1913"/>
      <c r="S32" s="1914"/>
      <c r="T32" s="1914"/>
      <c r="U32" s="1913"/>
      <c r="V32" s="1913"/>
      <c r="W32" s="1914"/>
      <c r="X32" s="1914"/>
      <c r="Y32" s="1913"/>
      <c r="Z32" s="1913"/>
      <c r="AA32" s="1913"/>
      <c r="AB32" s="1913"/>
      <c r="AC32" s="1914"/>
      <c r="AD32" s="1914"/>
      <c r="AE32" s="1913"/>
      <c r="AF32" s="1913"/>
      <c r="AG32" s="1914"/>
      <c r="AH32" s="1914"/>
      <c r="AI32" s="1913"/>
      <c r="AJ32" s="1913"/>
      <c r="AK32" s="1914"/>
      <c r="AL32" s="1914"/>
      <c r="AM32" s="1913"/>
      <c r="AN32" s="1913"/>
      <c r="AO32" s="1913"/>
      <c r="AP32" s="1913"/>
      <c r="AQ32" s="1914"/>
      <c r="AR32" s="1914"/>
      <c r="AS32" s="1913"/>
      <c r="AT32" s="1913"/>
      <c r="AU32" s="1914"/>
      <c r="AV32" s="1914"/>
      <c r="AW32" s="1913"/>
      <c r="AX32" s="1913"/>
      <c r="AY32" s="1914"/>
      <c r="AZ32" s="1914"/>
      <c r="BA32" s="1913"/>
      <c r="BB32" s="1913"/>
      <c r="BC32" s="1913"/>
      <c r="BD32" s="1913"/>
      <c r="BE32" s="1913"/>
      <c r="BF32" s="1913"/>
    </row>
    <row r="33" spans="1:58" x14ac:dyDescent="0.3">
      <c r="A33" s="135"/>
      <c r="B33" s="1569" t="s">
        <v>755</v>
      </c>
      <c r="C33" s="509" t="s">
        <v>50</v>
      </c>
      <c r="D33" s="1094">
        <v>10000</v>
      </c>
      <c r="E33" s="1094">
        <v>0</v>
      </c>
      <c r="F33" s="1031">
        <v>0</v>
      </c>
      <c r="G33" s="1094">
        <v>10000</v>
      </c>
      <c r="H33" s="1031">
        <v>5000</v>
      </c>
      <c r="I33" s="718">
        <f t="shared" ref="I33:J36" si="217">+E33+G33</f>
        <v>10000</v>
      </c>
      <c r="J33" s="718">
        <f t="shared" si="217"/>
        <v>5000</v>
      </c>
      <c r="K33" s="1094">
        <v>0</v>
      </c>
      <c r="L33" s="1031">
        <v>0</v>
      </c>
      <c r="M33" s="717">
        <f t="shared" ref="M33:N37" si="218">+K33+G33+E33</f>
        <v>10000</v>
      </c>
      <c r="N33" s="717">
        <f t="shared" si="218"/>
        <v>5000</v>
      </c>
      <c r="O33" s="1094">
        <v>0</v>
      </c>
      <c r="P33" s="1031">
        <v>0</v>
      </c>
      <c r="Q33" s="718">
        <f t="shared" ref="Q33:R37" si="219">+M33+O33</f>
        <v>10000</v>
      </c>
      <c r="R33" s="718">
        <f t="shared" si="219"/>
        <v>5000</v>
      </c>
      <c r="S33" s="1094"/>
      <c r="T33" s="1031"/>
      <c r="U33" s="718">
        <f t="shared" ref="U33:U37" si="220">+Q33+S33</f>
        <v>10000</v>
      </c>
      <c r="V33" s="718">
        <f t="shared" ref="V33:V37" si="221">+R33+T33</f>
        <v>5000</v>
      </c>
      <c r="W33" s="1094">
        <v>8000</v>
      </c>
      <c r="X33" s="1031">
        <v>0</v>
      </c>
      <c r="Y33" s="717">
        <f t="shared" ref="Y33:Z37" si="222">+W33+S33+O33</f>
        <v>8000</v>
      </c>
      <c r="Z33" s="717">
        <f t="shared" si="222"/>
        <v>0</v>
      </c>
      <c r="AA33" s="429">
        <f>M33+Y33</f>
        <v>18000</v>
      </c>
      <c r="AB33" s="429">
        <f>+N33+Z33</f>
        <v>5000</v>
      </c>
      <c r="AC33" s="1094">
        <v>0</v>
      </c>
      <c r="AD33" s="1031">
        <v>6298.5</v>
      </c>
      <c r="AE33" s="718">
        <f t="shared" ref="AE33:AE37" si="223">+AA33+AC33</f>
        <v>18000</v>
      </c>
      <c r="AF33" s="718">
        <f t="shared" ref="AF33:AF37" si="224">+AB33+AD33</f>
        <v>11298.5</v>
      </c>
      <c r="AG33" s="1094">
        <v>0</v>
      </c>
      <c r="AH33" s="1031">
        <v>678</v>
      </c>
      <c r="AI33" s="718">
        <f t="shared" ref="AI33:AI37" si="225">+AE33+AG33</f>
        <v>18000</v>
      </c>
      <c r="AJ33" s="718">
        <f t="shared" ref="AJ33:AJ37" si="226">+AF33+AH33</f>
        <v>11976.5</v>
      </c>
      <c r="AK33" s="1094">
        <v>0</v>
      </c>
      <c r="AL33" s="1031">
        <v>775</v>
      </c>
      <c r="AM33" s="717">
        <f t="shared" ref="AM33:AM37" si="227">+AK33+AG33+AC33</f>
        <v>0</v>
      </c>
      <c r="AN33" s="717">
        <f t="shared" ref="AN33:AN37" si="228">+AL33+AH33+AD33</f>
        <v>7751.5</v>
      </c>
      <c r="AO33" s="718">
        <f t="shared" si="209"/>
        <v>18000</v>
      </c>
      <c r="AP33" s="718">
        <f t="shared" si="209"/>
        <v>12751.5</v>
      </c>
      <c r="AQ33" s="1094">
        <v>0</v>
      </c>
      <c r="AR33" s="1031">
        <v>0</v>
      </c>
      <c r="AS33" s="718">
        <f t="shared" ref="AS33:AS37" si="229">+AO33+AQ33</f>
        <v>18000</v>
      </c>
      <c r="AT33" s="718">
        <f t="shared" ref="AT33:AT37" si="230">+AP33+AR33</f>
        <v>12751.5</v>
      </c>
      <c r="AU33" s="1094">
        <v>0</v>
      </c>
      <c r="AV33" s="1031">
        <v>0</v>
      </c>
      <c r="AW33" s="718">
        <f t="shared" ref="AW33:AW37" si="231">+AS33+AU33</f>
        <v>18000</v>
      </c>
      <c r="AX33" s="718">
        <f t="shared" ref="AX33:AX37" si="232">+AT33+AV33</f>
        <v>12751.5</v>
      </c>
      <c r="AY33" s="1094">
        <v>0</v>
      </c>
      <c r="AZ33" s="1031">
        <v>0</v>
      </c>
      <c r="BA33" s="717">
        <f t="shared" ref="BA33:BA37" si="233">+AY33+AU33+AQ33</f>
        <v>0</v>
      </c>
      <c r="BB33" s="717">
        <f t="shared" ref="BB33:BB37" si="234">+AZ33+AV33+AR33</f>
        <v>0</v>
      </c>
      <c r="BC33" s="433">
        <f t="shared" ref="BC33:BC37" si="235">AM33+BA33</f>
        <v>0</v>
      </c>
      <c r="BD33" s="441">
        <f t="shared" ref="BD33:BD37" si="236">+AN33+BB33</f>
        <v>7751.5</v>
      </c>
      <c r="BE33" s="718">
        <f t="shared" ref="BE33:BE37" si="237">+AW33+AY33</f>
        <v>18000</v>
      </c>
      <c r="BF33" s="718">
        <f t="shared" ref="BF33:BF37" si="238">+AX33+AZ33</f>
        <v>12751.5</v>
      </c>
    </row>
    <row r="34" spans="1:58" x14ac:dyDescent="0.3">
      <c r="A34" s="135" t="s">
        <v>445</v>
      </c>
      <c r="B34" s="1569" t="s">
        <v>426</v>
      </c>
      <c r="C34" s="509" t="s">
        <v>50</v>
      </c>
      <c r="D34" s="1094">
        <f>+D23+D24+D65+D33</f>
        <v>1261431.111111111</v>
      </c>
      <c r="E34" s="1094">
        <f>+E23+E24+E65+E33</f>
        <v>92675.555555555547</v>
      </c>
      <c r="F34" s="1094">
        <f>+F23+F24+F65+F33</f>
        <v>108804.06776999998</v>
      </c>
      <c r="G34" s="1094">
        <f>+G23+G24+G65+G33</f>
        <v>89994.444444444438</v>
      </c>
      <c r="H34" s="1094">
        <f>+H23+H24+H65+H33</f>
        <v>61087.573739999985</v>
      </c>
      <c r="I34" s="718">
        <f t="shared" si="217"/>
        <v>182670</v>
      </c>
      <c r="J34" s="718">
        <f t="shared" si="217"/>
        <v>169891.64150999996</v>
      </c>
      <c r="K34" s="1094">
        <f>+K23+K24+K65+K33</f>
        <v>107800</v>
      </c>
      <c r="L34" s="1094">
        <f>+L23+L24+L65+L33</f>
        <v>111287.9614</v>
      </c>
      <c r="M34" s="717">
        <f t="shared" si="218"/>
        <v>290470</v>
      </c>
      <c r="N34" s="717">
        <f t="shared" si="218"/>
        <v>281179.60290999996</v>
      </c>
      <c r="O34" s="1094">
        <f>+O23+O24+O65+O33</f>
        <v>109083.33333333333</v>
      </c>
      <c r="P34" s="1094">
        <f>+P23+P24+P65+P33</f>
        <v>121205.84560000002</v>
      </c>
      <c r="Q34" s="718">
        <f t="shared" si="219"/>
        <v>399553.33333333331</v>
      </c>
      <c r="R34" s="718">
        <f t="shared" si="219"/>
        <v>402385.44850999996</v>
      </c>
      <c r="S34" s="1094">
        <f>+S23+S24+S65+S33</f>
        <v>109083.33333333333</v>
      </c>
      <c r="T34" s="1094">
        <f>+T23+T24+T65+T33</f>
        <v>114726.73264999999</v>
      </c>
      <c r="U34" s="718">
        <f t="shared" si="220"/>
        <v>508636.66666666663</v>
      </c>
      <c r="V34" s="718">
        <f t="shared" si="221"/>
        <v>517112.18115999992</v>
      </c>
      <c r="W34" s="1094">
        <f>+W23+W24+W65+W33</f>
        <v>71933.333333333328</v>
      </c>
      <c r="X34" s="1094">
        <f>+X23+X24+X65+X33</f>
        <v>116778.98483999999</v>
      </c>
      <c r="Y34" s="717">
        <f t="shared" si="222"/>
        <v>290100</v>
      </c>
      <c r="Z34" s="717">
        <f t="shared" si="222"/>
        <v>352711.56309000001</v>
      </c>
      <c r="AA34" s="429">
        <f t="shared" ref="AA34:AA37" si="239">M34+Y34</f>
        <v>580570</v>
      </c>
      <c r="AB34" s="429">
        <f t="shared" ref="AB34:AB37" si="240">+N34+Z34</f>
        <v>633891.16599999997</v>
      </c>
      <c r="AC34" s="1094">
        <f>+AC23+AC24+AC65+AC33</f>
        <v>110644.44444444444</v>
      </c>
      <c r="AD34" s="1094">
        <f>+AD23+AD24+AD65+AD33</f>
        <v>107202.80928000002</v>
      </c>
      <c r="AE34" s="718">
        <f t="shared" si="223"/>
        <v>691214.4444444445</v>
      </c>
      <c r="AF34" s="718">
        <f t="shared" si="224"/>
        <v>741093.97528000001</v>
      </c>
      <c r="AG34" s="1094">
        <f>+AG23+AG24+AG65+AG33</f>
        <v>107240</v>
      </c>
      <c r="AH34" s="1094">
        <f>+AH23+AH24+AH65+AH33</f>
        <v>110878.65</v>
      </c>
      <c r="AI34" s="718">
        <f t="shared" si="225"/>
        <v>798454.4444444445</v>
      </c>
      <c r="AJ34" s="718">
        <f t="shared" si="226"/>
        <v>851972.62528000004</v>
      </c>
      <c r="AK34" s="1094">
        <f>+AK23+AK24+AK65+AK33</f>
        <v>110644.44444444444</v>
      </c>
      <c r="AL34" s="1094">
        <f>+AL23+AL24+AL65+AL33</f>
        <v>116030.36690000002</v>
      </c>
      <c r="AM34" s="717">
        <f t="shared" si="227"/>
        <v>328528.88888888888</v>
      </c>
      <c r="AN34" s="717">
        <f t="shared" si="228"/>
        <v>334111.82618000003</v>
      </c>
      <c r="AO34" s="718">
        <f t="shared" ref="AO34:AO37" si="241">+AK34+AI34</f>
        <v>909098.88888888899</v>
      </c>
      <c r="AP34" s="718">
        <f t="shared" ref="AP34:AP37" si="242">+AL34+AJ34</f>
        <v>968002.99218000006</v>
      </c>
      <c r="AQ34" s="1094">
        <f>+AQ23+AQ24+AQ65+AQ33</f>
        <v>112346.66666666666</v>
      </c>
      <c r="AR34" s="1094">
        <f>+AR23+AR24+AR65+AR33</f>
        <v>111726.497634</v>
      </c>
      <c r="AS34" s="718">
        <f t="shared" si="229"/>
        <v>1021445.5555555556</v>
      </c>
      <c r="AT34" s="718">
        <f t="shared" si="230"/>
        <v>1079729.489814</v>
      </c>
      <c r="AU34" s="1094">
        <f>+AU23+AU24+AU65+AU33</f>
        <v>100431.11111111111</v>
      </c>
      <c r="AV34" s="1094">
        <f>+AV23+AV24+AV65+AV33</f>
        <v>102692.19531</v>
      </c>
      <c r="AW34" s="718">
        <f t="shared" si="231"/>
        <v>1121876.6666666667</v>
      </c>
      <c r="AX34" s="718">
        <f t="shared" si="232"/>
        <v>1182421.6851240001</v>
      </c>
      <c r="AY34" s="1094">
        <f>+AY23+AY24+AY65+AY33</f>
        <v>112346.66666666666</v>
      </c>
      <c r="AZ34" s="1094">
        <f>+AZ23+AZ24+AZ65+AZ33</f>
        <v>112411.4816</v>
      </c>
      <c r="BA34" s="717">
        <f t="shared" si="233"/>
        <v>325124.44444444438</v>
      </c>
      <c r="BB34" s="717">
        <f t="shared" si="234"/>
        <v>326830.17454399995</v>
      </c>
      <c r="BC34" s="433">
        <f t="shared" si="235"/>
        <v>653653.33333333326</v>
      </c>
      <c r="BD34" s="441">
        <f t="shared" si="236"/>
        <v>660942.00072399992</v>
      </c>
      <c r="BE34" s="718">
        <f t="shared" si="237"/>
        <v>1234223.3333333335</v>
      </c>
      <c r="BF34" s="718">
        <f t="shared" si="238"/>
        <v>1294833.1667240001</v>
      </c>
    </row>
    <row r="35" spans="1:58" x14ac:dyDescent="0.3">
      <c r="A35" s="135" t="s">
        <v>445</v>
      </c>
      <c r="B35" s="1569" t="s">
        <v>548</v>
      </c>
      <c r="C35" s="509" t="s">
        <v>50</v>
      </c>
      <c r="D35" s="1094">
        <f>+D27+D63</f>
        <v>4206886.3689415567</v>
      </c>
      <c r="E35" s="1094">
        <f>+E27+E63</f>
        <v>291677.45491328125</v>
      </c>
      <c r="F35" s="1094">
        <f>+F27+F63</f>
        <v>348770.22069999995</v>
      </c>
      <c r="G35" s="1094">
        <f>+G27+G63</f>
        <v>262229.25033069029</v>
      </c>
      <c r="H35" s="1094">
        <f>+H27+H63</f>
        <v>157172.8456</v>
      </c>
      <c r="I35" s="718">
        <f t="shared" si="217"/>
        <v>553906.70524397155</v>
      </c>
      <c r="J35" s="718">
        <f t="shared" si="217"/>
        <v>505943.06629999995</v>
      </c>
      <c r="K35" s="1094">
        <f>+K27+K63</f>
        <v>353378.45499109069</v>
      </c>
      <c r="L35" s="1094">
        <f>+L27+L63</f>
        <v>375777.95199999999</v>
      </c>
      <c r="M35" s="717">
        <f t="shared" si="218"/>
        <v>907285.16023506224</v>
      </c>
      <c r="N35" s="717">
        <f t="shared" si="218"/>
        <v>881721.01829999988</v>
      </c>
      <c r="O35" s="1094">
        <f>+O27+O63</f>
        <v>357585.34136003227</v>
      </c>
      <c r="P35" s="1094">
        <f>+P27+P63</f>
        <v>391296.01819999993</v>
      </c>
      <c r="Q35" s="718">
        <f t="shared" si="219"/>
        <v>1264870.5015950946</v>
      </c>
      <c r="R35" s="718">
        <f t="shared" si="219"/>
        <v>1273017.0364999999</v>
      </c>
      <c r="S35" s="1094">
        <f>+S27+S63</f>
        <v>357585.34136003227</v>
      </c>
      <c r="T35" s="1094">
        <f>+T27+T63</f>
        <v>372987.68689999997</v>
      </c>
      <c r="U35" s="718">
        <f t="shared" si="220"/>
        <v>1622455.8429551269</v>
      </c>
      <c r="V35" s="718">
        <f t="shared" si="221"/>
        <v>1646004.7234</v>
      </c>
      <c r="W35" s="1094">
        <f>+W27+W63</f>
        <v>196321.36388393928</v>
      </c>
      <c r="X35" s="1094">
        <f>+X27+X63</f>
        <v>365909.41859999998</v>
      </c>
      <c r="Y35" s="717">
        <f t="shared" si="222"/>
        <v>911492.04660400376</v>
      </c>
      <c r="Z35" s="717">
        <f t="shared" si="222"/>
        <v>1130193.1236999999</v>
      </c>
      <c r="AA35" s="429">
        <f t="shared" si="239"/>
        <v>1818777.206839066</v>
      </c>
      <c r="AB35" s="429">
        <f t="shared" si="240"/>
        <v>2011914.1419999998</v>
      </c>
      <c r="AC35" s="1094">
        <f>+AC27+AC63</f>
        <v>364596.81864160148</v>
      </c>
      <c r="AD35" s="1094">
        <f>+AD27+AD63</f>
        <v>300238.40399999998</v>
      </c>
      <c r="AE35" s="718">
        <f t="shared" si="223"/>
        <v>2183374.0254806676</v>
      </c>
      <c r="AF35" s="718">
        <f t="shared" si="224"/>
        <v>2312152.5459999996</v>
      </c>
      <c r="AG35" s="1094">
        <f>+AG27+AG63</f>
        <v>353378.45499109069</v>
      </c>
      <c r="AH35" s="1094">
        <f>+AH27+AH63</f>
        <v>362289.76850000001</v>
      </c>
      <c r="AI35" s="718">
        <f t="shared" si="225"/>
        <v>2536752.4804717582</v>
      </c>
      <c r="AJ35" s="718">
        <f t="shared" si="226"/>
        <v>2674442.3144999994</v>
      </c>
      <c r="AK35" s="1094">
        <f>+AK27+AK63</f>
        <v>364596.81864160148</v>
      </c>
      <c r="AL35" s="1094">
        <f>+AL27+AL63</f>
        <v>359727.3848</v>
      </c>
      <c r="AM35" s="717">
        <f t="shared" si="227"/>
        <v>1082572.0922742938</v>
      </c>
      <c r="AN35" s="717">
        <f t="shared" si="228"/>
        <v>1022255.5573</v>
      </c>
      <c r="AO35" s="718">
        <f t="shared" si="241"/>
        <v>2901349.2991133598</v>
      </c>
      <c r="AP35" s="718">
        <f t="shared" si="242"/>
        <v>3034169.6992999995</v>
      </c>
      <c r="AQ35" s="1094">
        <f>+AQ27+AQ63</f>
        <v>370206.00046685687</v>
      </c>
      <c r="AR35" s="1094">
        <f>+AR27+AR63</f>
        <v>357305.66379999998</v>
      </c>
      <c r="AS35" s="718">
        <f t="shared" si="229"/>
        <v>3271555.2995802164</v>
      </c>
      <c r="AT35" s="718">
        <f t="shared" si="230"/>
        <v>3391475.3630999997</v>
      </c>
      <c r="AU35" s="1094">
        <f>+AU27+AU63</f>
        <v>330941.72769006906</v>
      </c>
      <c r="AV35" s="1094">
        <f>+AV27+AV63</f>
        <v>297756.25300000003</v>
      </c>
      <c r="AW35" s="718">
        <f t="shared" si="231"/>
        <v>3602497.0272702854</v>
      </c>
      <c r="AX35" s="718">
        <f t="shared" si="232"/>
        <v>3689231.6160999998</v>
      </c>
      <c r="AY35" s="1094">
        <f>+AY27+AY63</f>
        <v>370206.00046685687</v>
      </c>
      <c r="AZ35" s="1094">
        <f>+AZ27+AZ63</f>
        <v>379299.58</v>
      </c>
      <c r="BA35" s="717">
        <f t="shared" si="233"/>
        <v>1071353.7286237828</v>
      </c>
      <c r="BB35" s="717">
        <f t="shared" si="234"/>
        <v>1034361.4968000001</v>
      </c>
      <c r="BC35" s="433">
        <f t="shared" si="235"/>
        <v>2153925.8208980765</v>
      </c>
      <c r="BD35" s="441">
        <f t="shared" si="236"/>
        <v>2056617.0541000001</v>
      </c>
      <c r="BE35" s="718">
        <f t="shared" si="237"/>
        <v>3972703.0277371425</v>
      </c>
      <c r="BF35" s="718">
        <f t="shared" si="238"/>
        <v>4068531.1960999998</v>
      </c>
    </row>
    <row r="36" spans="1:58" x14ac:dyDescent="0.3">
      <c r="A36" s="135" t="s">
        <v>445</v>
      </c>
      <c r="B36" s="1569" t="s">
        <v>580</v>
      </c>
      <c r="C36" s="509" t="s">
        <v>50</v>
      </c>
      <c r="D36" s="1094">
        <f>+D28+D69</f>
        <v>753704.3477801173</v>
      </c>
      <c r="E36" s="1094">
        <f>+E28+E69</f>
        <v>52256.834779421471</v>
      </c>
      <c r="F36" s="1094">
        <f>+F28+F69</f>
        <v>60503.798499999997</v>
      </c>
      <c r="G36" s="1094">
        <f>+G28+G69</f>
        <v>46980.90434496064</v>
      </c>
      <c r="H36" s="1094">
        <f>+H28+H69</f>
        <v>28310.195599999999</v>
      </c>
      <c r="I36" s="718">
        <f t="shared" si="217"/>
        <v>99237.739124382118</v>
      </c>
      <c r="J36" s="718">
        <f t="shared" si="217"/>
        <v>88813.994099999996</v>
      </c>
      <c r="K36" s="1094">
        <f>+K28+K69</f>
        <v>63311.16521352985</v>
      </c>
      <c r="L36" s="1094">
        <f>+L28+L69</f>
        <v>69952.059900000007</v>
      </c>
      <c r="M36" s="717">
        <f t="shared" si="218"/>
        <v>162548.90433791195</v>
      </c>
      <c r="N36" s="717">
        <f t="shared" si="218"/>
        <v>158766.054</v>
      </c>
      <c r="O36" s="1094">
        <f>+O28+O69</f>
        <v>64064.86956130997</v>
      </c>
      <c r="P36" s="1094">
        <f>+P28+P69</f>
        <v>79928.753700000001</v>
      </c>
      <c r="Q36" s="718">
        <f t="shared" si="219"/>
        <v>226613.77389922191</v>
      </c>
      <c r="R36" s="718">
        <f t="shared" si="219"/>
        <v>238694.8077</v>
      </c>
      <c r="S36" s="1094">
        <f>+S28+S69</f>
        <v>64064.86956130997</v>
      </c>
      <c r="T36" s="1094">
        <f>+T28+T69</f>
        <v>56672.035000000003</v>
      </c>
      <c r="U36" s="718">
        <f t="shared" si="220"/>
        <v>290678.64346053189</v>
      </c>
      <c r="V36" s="718">
        <f t="shared" si="221"/>
        <v>295366.84270000004</v>
      </c>
      <c r="W36" s="1094">
        <f>+W28+W69</f>
        <v>35172.869563072141</v>
      </c>
      <c r="X36" s="1094">
        <f>+X28+X69</f>
        <v>49363.923000000003</v>
      </c>
      <c r="Y36" s="717">
        <f t="shared" si="222"/>
        <v>163302.60868569207</v>
      </c>
      <c r="Z36" s="717">
        <f t="shared" si="222"/>
        <v>185964.71170000001</v>
      </c>
      <c r="AA36" s="429">
        <f t="shared" si="239"/>
        <v>325851.51302360406</v>
      </c>
      <c r="AB36" s="429">
        <f t="shared" si="240"/>
        <v>344730.76569999999</v>
      </c>
      <c r="AC36" s="1094">
        <f>+AC28+AC69</f>
        <v>65321.043474276834</v>
      </c>
      <c r="AD36" s="1094">
        <f>+AD28+AD69</f>
        <v>50209.861199999999</v>
      </c>
      <c r="AE36" s="718">
        <f t="shared" si="223"/>
        <v>391172.5564978809</v>
      </c>
      <c r="AF36" s="718">
        <f t="shared" si="224"/>
        <v>394940.62689999997</v>
      </c>
      <c r="AG36" s="1094">
        <f>+AG28+AG69</f>
        <v>63311.16521352985</v>
      </c>
      <c r="AH36" s="1094">
        <f>+AH28+AH69</f>
        <v>58730.275099999999</v>
      </c>
      <c r="AI36" s="718">
        <f t="shared" si="225"/>
        <v>454483.72171141073</v>
      </c>
      <c r="AJ36" s="718">
        <f t="shared" si="226"/>
        <v>453670.902</v>
      </c>
      <c r="AK36" s="1094">
        <f>+AK28+AK69</f>
        <v>65321.043474276834</v>
      </c>
      <c r="AL36" s="1094">
        <f>+AL28+AL69</f>
        <v>78020.843999999997</v>
      </c>
      <c r="AM36" s="717">
        <f t="shared" si="227"/>
        <v>193953.25216208352</v>
      </c>
      <c r="AN36" s="717">
        <f t="shared" si="228"/>
        <v>186960.9803</v>
      </c>
      <c r="AO36" s="718">
        <f t="shared" si="241"/>
        <v>519804.76518568757</v>
      </c>
      <c r="AP36" s="718">
        <f t="shared" si="242"/>
        <v>531691.74600000004</v>
      </c>
      <c r="AQ36" s="1094">
        <f>+AQ28+AQ69</f>
        <v>66325.982604650315</v>
      </c>
      <c r="AR36" s="1094">
        <f>+AR28+AR69</f>
        <v>83538.171600000001</v>
      </c>
      <c r="AS36" s="718">
        <f t="shared" si="229"/>
        <v>586130.74779033789</v>
      </c>
      <c r="AT36" s="718">
        <f t="shared" si="230"/>
        <v>615229.91760000004</v>
      </c>
      <c r="AU36" s="1094">
        <f>+AU28+AU69</f>
        <v>59291.408692035897</v>
      </c>
      <c r="AV36" s="1094">
        <f>+AV28+AV69</f>
        <v>52900.443699999996</v>
      </c>
      <c r="AW36" s="718">
        <f t="shared" si="231"/>
        <v>645422.15648237383</v>
      </c>
      <c r="AX36" s="718">
        <f t="shared" si="232"/>
        <v>668130.36129999999</v>
      </c>
      <c r="AY36" s="1094">
        <f>+AY28+AY69</f>
        <v>66325.982604650315</v>
      </c>
      <c r="AZ36" s="1094">
        <f>+AZ28+AZ69</f>
        <v>58746.112000000001</v>
      </c>
      <c r="BA36" s="717">
        <f t="shared" si="233"/>
        <v>191943.37390133651</v>
      </c>
      <c r="BB36" s="717">
        <f t="shared" si="234"/>
        <v>195184.7273</v>
      </c>
      <c r="BC36" s="433">
        <f t="shared" si="235"/>
        <v>385896.62606342003</v>
      </c>
      <c r="BD36" s="441">
        <f t="shared" si="236"/>
        <v>382145.70759999997</v>
      </c>
      <c r="BE36" s="718">
        <f t="shared" si="237"/>
        <v>711748.13908702414</v>
      </c>
      <c r="BF36" s="718">
        <f t="shared" si="238"/>
        <v>726876.47329999995</v>
      </c>
    </row>
    <row r="37" spans="1:58" ht="15" thickBot="1" x14ac:dyDescent="0.35">
      <c r="A37" s="135"/>
      <c r="B37" s="1570" t="s">
        <v>1256</v>
      </c>
      <c r="C37" s="687" t="s">
        <v>50</v>
      </c>
      <c r="D37" s="103">
        <f>D30+D67</f>
        <v>850529.31084909779</v>
      </c>
      <c r="E37" s="103">
        <f>E30+E67</f>
        <v>58970.032218870787</v>
      </c>
      <c r="F37" s="103">
        <f t="shared" ref="F37:J37" si="243">F30+F67</f>
        <v>59193.784599999999</v>
      </c>
      <c r="G37" s="103">
        <f>G30+G67</f>
        <v>53016.3270429271</v>
      </c>
      <c r="H37" s="103">
        <f t="shared" ref="H37" si="244">H30+H67</f>
        <v>32725.2916</v>
      </c>
      <c r="I37" s="103">
        <f t="shared" si="243"/>
        <v>111986.35926179789</v>
      </c>
      <c r="J37" s="103">
        <f t="shared" si="243"/>
        <v>91919.07620000001</v>
      </c>
      <c r="K37" s="103">
        <f>K30+K67</f>
        <v>71444.462111324232</v>
      </c>
      <c r="L37" s="103">
        <f t="shared" ref="L37" si="245">L30+L67</f>
        <v>66010.117900000012</v>
      </c>
      <c r="M37" s="717">
        <f t="shared" si="218"/>
        <v>183430.82137312213</v>
      </c>
      <c r="N37" s="717">
        <f t="shared" si="218"/>
        <v>157929.19410000002</v>
      </c>
      <c r="O37" s="103">
        <f>O30+O67</f>
        <v>72294.99142217332</v>
      </c>
      <c r="P37" s="103">
        <f t="shared" ref="P37" si="246">P30+P67</f>
        <v>56440.592000000004</v>
      </c>
      <c r="Q37" s="546">
        <f t="shared" si="219"/>
        <v>255725.81279529544</v>
      </c>
      <c r="R37" s="546">
        <f t="shared" si="219"/>
        <v>214369.78610000003</v>
      </c>
      <c r="S37" s="103">
        <f>S30+S67</f>
        <v>72294.99142217332</v>
      </c>
      <c r="T37" s="103">
        <f t="shared" ref="T37" si="247">T30+T67</f>
        <v>70933.258000000002</v>
      </c>
      <c r="U37" s="546">
        <f t="shared" si="220"/>
        <v>328020.80421746877</v>
      </c>
      <c r="V37" s="546">
        <f t="shared" si="221"/>
        <v>285303.04410000006</v>
      </c>
      <c r="W37" s="103">
        <f>W30+W67</f>
        <v>39691.36783962456</v>
      </c>
      <c r="X37" s="103">
        <f t="shared" ref="X37" si="248">X30+X67</f>
        <v>69527.346799999999</v>
      </c>
      <c r="Y37" s="717">
        <f t="shared" si="222"/>
        <v>184281.35068397119</v>
      </c>
      <c r="Z37" s="717">
        <f t="shared" si="222"/>
        <v>196901.19680000001</v>
      </c>
      <c r="AA37" s="429">
        <f t="shared" si="239"/>
        <v>367712.17205709335</v>
      </c>
      <c r="AB37" s="429">
        <f t="shared" si="240"/>
        <v>354830.3909</v>
      </c>
      <c r="AC37" s="103">
        <f>AC30+AC67</f>
        <v>73712.540273588471</v>
      </c>
      <c r="AD37" s="103">
        <f t="shared" ref="AD37" si="249">AD30+AD67</f>
        <v>57404.360800000002</v>
      </c>
      <c r="AE37" s="546">
        <f t="shared" si="223"/>
        <v>441424.71233068185</v>
      </c>
      <c r="AF37" s="546">
        <f t="shared" si="224"/>
        <v>412234.75170000002</v>
      </c>
      <c r="AG37" s="103">
        <f>AG30+AG67</f>
        <v>71444.462111324232</v>
      </c>
      <c r="AH37" s="103">
        <f t="shared" ref="AH37" si="250">AH30+AH67</f>
        <v>68581.207800000004</v>
      </c>
      <c r="AI37" s="546">
        <f t="shared" si="225"/>
        <v>512869.1744420061</v>
      </c>
      <c r="AJ37" s="546">
        <f t="shared" si="226"/>
        <v>480815.9595</v>
      </c>
      <c r="AK37" s="103">
        <f>AK30+AK67</f>
        <v>73712.540273588471</v>
      </c>
      <c r="AL37" s="103">
        <f t="shared" ref="AL37" si="251">AL30+AL67</f>
        <v>71446.156999999992</v>
      </c>
      <c r="AM37" s="717">
        <f t="shared" si="227"/>
        <v>218869.54265850116</v>
      </c>
      <c r="AN37" s="717">
        <f t="shared" si="228"/>
        <v>197431.72559999998</v>
      </c>
      <c r="AO37" s="718">
        <f t="shared" si="241"/>
        <v>586581.71471559454</v>
      </c>
      <c r="AP37" s="718">
        <f t="shared" si="242"/>
        <v>552262.1165</v>
      </c>
      <c r="AQ37" s="103">
        <f>AQ30+AQ67</f>
        <v>74846.579354720612</v>
      </c>
      <c r="AR37" s="103">
        <f t="shared" ref="AR37" si="252">AR30+AR67</f>
        <v>59435.999199999998</v>
      </c>
      <c r="AS37" s="546">
        <f t="shared" si="229"/>
        <v>661428.2940703152</v>
      </c>
      <c r="AT37" s="546">
        <f t="shared" si="230"/>
        <v>611698.11569999997</v>
      </c>
      <c r="AU37" s="103">
        <f>AU30+AU67</f>
        <v>66908.305786795696</v>
      </c>
      <c r="AV37" s="103">
        <f t="shared" ref="AV37" si="253">AV30+AV67</f>
        <v>46905.9735</v>
      </c>
      <c r="AW37" s="546">
        <f t="shared" si="231"/>
        <v>728336.59985711088</v>
      </c>
      <c r="AX37" s="546">
        <f t="shared" si="232"/>
        <v>658604.08919999993</v>
      </c>
      <c r="AY37" s="103">
        <f>AY30+AY67</f>
        <v>74846.579354720612</v>
      </c>
      <c r="AZ37" s="103">
        <f t="shared" ref="AZ37" si="254">AZ30+AZ67</f>
        <v>65238.555</v>
      </c>
      <c r="BA37" s="717">
        <f t="shared" si="233"/>
        <v>216601.46449623693</v>
      </c>
      <c r="BB37" s="717">
        <f t="shared" si="234"/>
        <v>171580.52770000001</v>
      </c>
      <c r="BC37" s="433">
        <f t="shared" si="235"/>
        <v>435471.00715473806</v>
      </c>
      <c r="BD37" s="441">
        <f t="shared" si="236"/>
        <v>369012.25329999998</v>
      </c>
      <c r="BE37" s="546">
        <f t="shared" si="237"/>
        <v>803183.17921183154</v>
      </c>
      <c r="BF37" s="546">
        <f t="shared" si="238"/>
        <v>723842.64419999998</v>
      </c>
    </row>
    <row r="38" spans="1:58" ht="16.2" thickBot="1" x14ac:dyDescent="0.35">
      <c r="A38" s="136"/>
      <c r="B38" s="2082" t="s">
        <v>424</v>
      </c>
      <c r="C38" s="2083"/>
      <c r="D38" s="110"/>
      <c r="E38" s="110"/>
      <c r="F38" s="110"/>
      <c r="G38" s="110"/>
      <c r="H38" s="110"/>
      <c r="I38" s="110"/>
      <c r="J38" s="110"/>
      <c r="K38" s="110"/>
      <c r="L38" s="110"/>
      <c r="M38" s="110"/>
      <c r="N38" s="110"/>
      <c r="O38" s="110"/>
      <c r="P38" s="110"/>
      <c r="Q38" s="110"/>
      <c r="R38" s="110"/>
      <c r="S38" s="110"/>
      <c r="T38" s="110"/>
      <c r="U38" s="110"/>
      <c r="V38" s="110"/>
      <c r="W38" s="110"/>
      <c r="X38" s="110"/>
      <c r="Y38" s="110"/>
      <c r="Z38" s="110"/>
      <c r="AA38" s="110"/>
      <c r="AB38" s="110"/>
      <c r="AC38" s="110"/>
      <c r="AD38" s="110"/>
      <c r="AE38" s="110"/>
      <c r="AF38" s="110"/>
      <c r="AG38" s="110"/>
      <c r="AH38" s="110"/>
      <c r="AI38" s="110"/>
      <c r="AJ38" s="110"/>
      <c r="AK38" s="110"/>
      <c r="AL38" s="110"/>
      <c r="AM38" s="110"/>
      <c r="AN38" s="110"/>
      <c r="AO38" s="110"/>
      <c r="AP38" s="110"/>
      <c r="AQ38" s="110"/>
      <c r="AR38" s="110"/>
      <c r="AS38" s="110"/>
      <c r="AT38" s="110"/>
      <c r="AU38" s="110"/>
      <c r="AV38" s="110"/>
      <c r="AW38" s="110"/>
      <c r="AX38" s="110"/>
      <c r="AY38" s="110"/>
      <c r="AZ38" s="110"/>
      <c r="BA38" s="110"/>
      <c r="BB38" s="110"/>
      <c r="BC38" s="110"/>
      <c r="BD38" s="110"/>
      <c r="BE38" s="110"/>
      <c r="BF38" s="110"/>
    </row>
    <row r="39" spans="1:58" x14ac:dyDescent="0.3">
      <c r="A39" s="135"/>
      <c r="B39" s="1571" t="s">
        <v>236</v>
      </c>
      <c r="C39" s="695" t="s">
        <v>240</v>
      </c>
      <c r="D39" s="145">
        <v>348.37400000000002</v>
      </c>
      <c r="E39" s="145">
        <f>+'Maj Techno Summ'!E10</f>
        <v>375</v>
      </c>
      <c r="F39" s="145">
        <f t="shared" ref="F39" si="255">+F23/F$6*1000</f>
        <v>383.57168411248995</v>
      </c>
      <c r="G39" s="145">
        <f>+'Maj Techno Summ'!G10</f>
        <v>356</v>
      </c>
      <c r="H39" s="145">
        <f t="shared" ref="H39" si="256">+H23/H$6*1000</f>
        <v>415.3147073734321</v>
      </c>
      <c r="I39" s="39">
        <f t="shared" ref="I39:J41" si="257">+I23/I$6*1000</f>
        <v>366.00506329113927</v>
      </c>
      <c r="J39" s="39">
        <f t="shared" si="257"/>
        <v>393.67312242745822</v>
      </c>
      <c r="K39" s="145">
        <f>+'Maj Techno Summ'!K10</f>
        <v>356</v>
      </c>
      <c r="L39" s="145">
        <f t="shared" ref="L39" si="258">+L23/L$6*1000</f>
        <v>348.40698971547278</v>
      </c>
      <c r="M39" s="69">
        <f t="shared" ref="M39:N41" si="259">+M23/M$6*1000</f>
        <v>362.10819165378672</v>
      </c>
      <c r="N39" s="69">
        <f t="shared" si="259"/>
        <v>374.24410949784038</v>
      </c>
      <c r="O39" s="145">
        <f>+'Maj Techno Summ'!O10</f>
        <v>356</v>
      </c>
      <c r="P39" s="145">
        <f t="shared" ref="P39:P41" si="260">+P23/P$6*1000</f>
        <v>362.56961546164109</v>
      </c>
      <c r="Q39" s="39">
        <f t="shared" ref="Q39:R41" si="261">+Q23/Q$6*1000</f>
        <v>360.38137472283813</v>
      </c>
      <c r="R39" s="39">
        <f t="shared" si="261"/>
        <v>370.67613244216693</v>
      </c>
      <c r="S39" s="145">
        <f>+'Maj Techno Summ'!S10</f>
        <v>356</v>
      </c>
      <c r="T39" s="145">
        <f t="shared" ref="T39:T41" si="262">+T23/T$6*1000</f>
        <v>365.93798366603016</v>
      </c>
      <c r="U39" s="39">
        <f t="shared" ref="U39:V41" si="263">+U23/U$6*1000</f>
        <v>359.41573033707863</v>
      </c>
      <c r="V39" s="39">
        <f t="shared" si="263"/>
        <v>369.61477738044778</v>
      </c>
      <c r="W39" s="145">
        <f>+'Maj Techno Summ'!W10</f>
        <v>383</v>
      </c>
      <c r="X39" s="145">
        <f t="shared" ref="X39:X41" si="264">+X23/X$6*1000</f>
        <v>390.38903144875366</v>
      </c>
      <c r="Y39" s="69">
        <f t="shared" ref="Y39:AB41" si="265">+Y23/Y$6*1000</f>
        <v>361.81538461538457</v>
      </c>
      <c r="Z39" s="69">
        <f t="shared" si="265"/>
        <v>372.53619548915242</v>
      </c>
      <c r="AA39" s="422">
        <f t="shared" si="265"/>
        <v>361.96144949884348</v>
      </c>
      <c r="AB39" s="422">
        <f t="shared" si="265"/>
        <v>373.29351573783219</v>
      </c>
      <c r="AC39" s="145">
        <f>+'Maj Techno Summ'!AC10</f>
        <v>354</v>
      </c>
      <c r="AD39" s="145">
        <f t="shared" ref="AD39:AD41" si="266">+AD23/AD$6*1000</f>
        <v>407.03377172388349</v>
      </c>
      <c r="AE39" s="39">
        <f t="shared" ref="AE39:AF39" si="267">+AE23/AE$6*1000</f>
        <v>360.6319845857418</v>
      </c>
      <c r="AF39" s="39">
        <f t="shared" si="267"/>
        <v>377.63623611840563</v>
      </c>
      <c r="AG39" s="145">
        <f>+'Maj Techno Summ'!AG10</f>
        <v>354</v>
      </c>
      <c r="AH39" s="145">
        <f t="shared" ref="AH39:AH41" si="268">+AH23/AH$6*1000</f>
        <v>366.29801079835937</v>
      </c>
      <c r="AI39" s="39">
        <f t="shared" ref="AI39:AJ41" si="269">+AI23/AI$6*1000</f>
        <v>359.7081260364842</v>
      </c>
      <c r="AJ39" s="39">
        <f t="shared" si="269"/>
        <v>376.11611040162575</v>
      </c>
      <c r="AK39" s="145">
        <f>+'Maj Techno Summ'!AK10</f>
        <v>354</v>
      </c>
      <c r="AL39" s="145">
        <f t="shared" ref="AL39:AL41" si="270">+AL23/AL$6*1000</f>
        <v>379.38954607431214</v>
      </c>
      <c r="AM39" s="69">
        <f t="shared" ref="AM39:AP39" si="271">+AM23/AM$6*1000</f>
        <v>354</v>
      </c>
      <c r="AN39" s="69">
        <f t="shared" si="271"/>
        <v>382.84532752383001</v>
      </c>
      <c r="AO39" s="39">
        <f t="shared" si="271"/>
        <v>358.99081681971967</v>
      </c>
      <c r="AP39" s="39">
        <f t="shared" si="271"/>
        <v>376.51342246842296</v>
      </c>
      <c r="AQ39" s="145">
        <f>+'Maj Techno Summ'!AQ10</f>
        <v>354</v>
      </c>
      <c r="AR39" s="145">
        <f t="shared" ref="AR39:AR41" si="272">+AR23/AR$6*1000</f>
        <v>385.39816586713408</v>
      </c>
      <c r="AS39" s="39">
        <f t="shared" ref="AS39:AT39" si="273">+AS23/AS$6*1000</f>
        <v>358.426060865838</v>
      </c>
      <c r="AT39" s="39">
        <f t="shared" si="273"/>
        <v>377.45214438640932</v>
      </c>
      <c r="AU39" s="145">
        <f>+'Maj Techno Summ'!AU10</f>
        <v>354</v>
      </c>
      <c r="AV39" s="145">
        <f t="shared" ref="AV39:AV41" si="274">+AV23/AV$6*1000</f>
        <v>429.82864200130945</v>
      </c>
      <c r="AW39" s="39">
        <f t="shared" ref="AW39:AX41" si="275">+AW23/AW$6*1000</f>
        <v>358.01946282600233</v>
      </c>
      <c r="AX39" s="39">
        <f t="shared" si="275"/>
        <v>381.5475377204715</v>
      </c>
      <c r="AY39" s="145">
        <f>+'Maj Techno Summ'!AY10</f>
        <v>354</v>
      </c>
      <c r="AZ39" s="145">
        <f t="shared" ref="AZ39:AZ41" si="276">+AZ23/AZ$6*1000</f>
        <v>367.13628962682185</v>
      </c>
      <c r="BA39" s="69">
        <f t="shared" ref="BA39:BE39" si="277">+BA23/BA$6*1000</f>
        <v>354</v>
      </c>
      <c r="BB39" s="69">
        <f t="shared" si="277"/>
        <v>391.36137645781383</v>
      </c>
      <c r="BC39" s="422">
        <f t="shared" si="277"/>
        <v>354</v>
      </c>
      <c r="BD39" s="422">
        <f t="shared" si="277"/>
        <v>387.08691633158401</v>
      </c>
      <c r="BE39" s="39">
        <f t="shared" si="277"/>
        <v>357.64489939992939</v>
      </c>
      <c r="BF39" s="153">
        <f>+BF23/BF$6*1000</f>
        <v>380.2352023346632</v>
      </c>
    </row>
    <row r="40" spans="1:58" x14ac:dyDescent="0.3">
      <c r="A40" s="135"/>
      <c r="B40" s="1569" t="s">
        <v>1</v>
      </c>
      <c r="C40" s="2589" t="s">
        <v>240</v>
      </c>
      <c r="D40" s="2348">
        <v>27.055333333333333</v>
      </c>
      <c r="E40" s="2348">
        <f>+'Maj Techno Summ'!E11</f>
        <v>26</v>
      </c>
      <c r="F40" s="2348">
        <f t="shared" ref="F40" si="278">+F24/F$6*1000</f>
        <v>31.725019192093036</v>
      </c>
      <c r="G40" s="2348">
        <f>+'Maj Techno Summ'!G11</f>
        <v>29</v>
      </c>
      <c r="H40" s="2348">
        <f t="shared" ref="H40" si="279">+H24/H$6*1000</f>
        <v>33.469193127299313</v>
      </c>
      <c r="I40" s="35">
        <f t="shared" si="257"/>
        <v>27.420253164556961</v>
      </c>
      <c r="J40" s="35">
        <f t="shared" si="257"/>
        <v>32.28005975241485</v>
      </c>
      <c r="K40" s="2348">
        <f>+'Maj Techno Summ'!K11</f>
        <v>29</v>
      </c>
      <c r="L40" s="2348">
        <f t="shared" ref="L40" si="280">+L24/L$6*1000</f>
        <v>31.876010889904354</v>
      </c>
      <c r="M40" s="65">
        <f t="shared" si="259"/>
        <v>28.035548686244205</v>
      </c>
      <c r="N40" s="65">
        <f t="shared" si="259"/>
        <v>32.106634940009009</v>
      </c>
      <c r="O40" s="2348">
        <f>+'Maj Techno Summ'!O11</f>
        <v>29</v>
      </c>
      <c r="P40" s="2348">
        <f t="shared" si="260"/>
        <v>40.769372829277593</v>
      </c>
      <c r="Q40" s="35">
        <f t="shared" si="261"/>
        <v>28.308203991130821</v>
      </c>
      <c r="R40" s="35">
        <f t="shared" si="261"/>
        <v>34.754154389878543</v>
      </c>
      <c r="S40" s="2348">
        <f>+'Maj Techno Summ'!S11</f>
        <v>29</v>
      </c>
      <c r="T40" s="2348">
        <f t="shared" si="262"/>
        <v>37.253344065234799</v>
      </c>
      <c r="U40" s="35">
        <f t="shared" si="263"/>
        <v>28.460674157303369</v>
      </c>
      <c r="V40" s="35">
        <f t="shared" si="263"/>
        <v>35.313978012449155</v>
      </c>
      <c r="W40" s="2348">
        <f>+'Maj Techno Summ'!W11</f>
        <v>28</v>
      </c>
      <c r="X40" s="2348">
        <f t="shared" si="264"/>
        <v>36.733820007940906</v>
      </c>
      <c r="Y40" s="65">
        <f t="shared" si="265"/>
        <v>28.784615384615385</v>
      </c>
      <c r="Z40" s="65">
        <f t="shared" si="265"/>
        <v>38.320943992264716</v>
      </c>
      <c r="AA40" s="418">
        <f t="shared" si="265"/>
        <v>28.410948342328449</v>
      </c>
      <c r="AB40" s="418">
        <f t="shared" si="265"/>
        <v>35.565405918985142</v>
      </c>
      <c r="AC40" s="2348">
        <f>+'Maj Techno Summ'!AC11</f>
        <v>29</v>
      </c>
      <c r="AD40" s="2348">
        <f t="shared" si="266"/>
        <v>30.284127923390631</v>
      </c>
      <c r="AE40" s="35">
        <f t="shared" ref="AE40:AF40" si="281">+AE24/AE$6*1000</f>
        <v>28.509312780989081</v>
      </c>
      <c r="AF40" s="35">
        <f t="shared" si="281"/>
        <v>34.885650744737973</v>
      </c>
      <c r="AG40" s="2348">
        <f>+'Maj Techno Summ'!AG11</f>
        <v>29</v>
      </c>
      <c r="AH40" s="2348">
        <f t="shared" si="268"/>
        <v>37.743468925840951</v>
      </c>
      <c r="AI40" s="35">
        <f t="shared" si="269"/>
        <v>28.577667219458267</v>
      </c>
      <c r="AJ40" s="35">
        <f t="shared" si="269"/>
        <v>35.268800910513477</v>
      </c>
      <c r="AK40" s="2348">
        <f>+'Maj Techno Summ'!AK11</f>
        <v>29</v>
      </c>
      <c r="AL40" s="2348">
        <f t="shared" si="270"/>
        <v>35.629725195876944</v>
      </c>
      <c r="AM40" s="65">
        <f t="shared" ref="AM40:AP40" si="282">+AM24/AM$6*1000</f>
        <v>29</v>
      </c>
      <c r="AN40" s="65">
        <f t="shared" si="282"/>
        <v>34.815484048078119</v>
      </c>
      <c r="AO40" s="35">
        <f t="shared" si="282"/>
        <v>28.630739487675203</v>
      </c>
      <c r="AP40" s="35">
        <f t="shared" si="282"/>
        <v>35.312607964665055</v>
      </c>
      <c r="AQ40" s="2348">
        <f>+'Maj Techno Summ'!AQ11</f>
        <v>29</v>
      </c>
      <c r="AR40" s="2348">
        <f t="shared" si="272"/>
        <v>31.827294285431901</v>
      </c>
      <c r="AS40" s="35">
        <f t="shared" ref="AS40:AT40" si="283">+AS24/AS$6*1000</f>
        <v>28.672524646378054</v>
      </c>
      <c r="AT40" s="35">
        <f t="shared" si="283"/>
        <v>34.944365439818618</v>
      </c>
      <c r="AU40" s="2348">
        <f>+'Maj Techno Summ'!AU11</f>
        <v>29</v>
      </c>
      <c r="AV40" s="2348">
        <f t="shared" si="274"/>
        <v>29.819621590301526</v>
      </c>
      <c r="AW40" s="35">
        <f t="shared" si="275"/>
        <v>28.702608018684312</v>
      </c>
      <c r="AX40" s="35">
        <f t="shared" si="275"/>
        <v>34.543654381312905</v>
      </c>
      <c r="AY40" s="2348">
        <f>+'Maj Techno Summ'!AY11</f>
        <v>29</v>
      </c>
      <c r="AZ40" s="2348">
        <f t="shared" si="276"/>
        <v>32.889139192692141</v>
      </c>
      <c r="BA40" s="65">
        <f t="shared" ref="BA40:BF40" si="284">+BA24/BA$6*1000</f>
        <v>29</v>
      </c>
      <c r="BB40" s="65">
        <f t="shared" si="284"/>
        <v>31.643808818828944</v>
      </c>
      <c r="BC40" s="418">
        <f t="shared" si="284"/>
        <v>29</v>
      </c>
      <c r="BD40" s="418">
        <f t="shared" si="284"/>
        <v>33.235767649252715</v>
      </c>
      <c r="BE40" s="35">
        <f t="shared" si="284"/>
        <v>28.730321214260503</v>
      </c>
      <c r="BF40" s="101">
        <f t="shared" si="284"/>
        <v>34.392988816868069</v>
      </c>
    </row>
    <row r="41" spans="1:58" ht="15" thickBot="1" x14ac:dyDescent="0.35">
      <c r="A41" s="135"/>
      <c r="B41" s="1573" t="s">
        <v>123</v>
      </c>
      <c r="C41" s="2693" t="s">
        <v>240</v>
      </c>
      <c r="D41" s="2587">
        <v>149.57066666666665</v>
      </c>
      <c r="E41" s="2587">
        <f>+'Maj Techno Summ'!E12</f>
        <v>124</v>
      </c>
      <c r="F41" s="2587">
        <f t="shared" ref="F41" si="285">+F25/F$6*1000</f>
        <v>125.12614330039881</v>
      </c>
      <c r="G41" s="2587">
        <f>+'Maj Techno Summ'!G12</f>
        <v>140</v>
      </c>
      <c r="H41" s="2587">
        <f t="shared" ref="H41" si="286">+H25/H$6*1000</f>
        <v>93.149780269135292</v>
      </c>
      <c r="I41" s="152">
        <f t="shared" si="257"/>
        <v>131.57468354430378</v>
      </c>
      <c r="J41" s="152">
        <f t="shared" si="257"/>
        <v>114.95045032868428</v>
      </c>
      <c r="K41" s="2587">
        <f>+'Maj Techno Summ'!K12</f>
        <v>150</v>
      </c>
      <c r="L41" s="2587">
        <f t="shared" ref="L41" si="287">+L25/L$6*1000</f>
        <v>155.24561139837525</v>
      </c>
      <c r="M41" s="160">
        <f t="shared" si="259"/>
        <v>138.75115919629059</v>
      </c>
      <c r="N41" s="160">
        <f t="shared" si="259"/>
        <v>132.2458356094499</v>
      </c>
      <c r="O41" s="2587">
        <f>+'Maj Techno Summ'!O12</f>
        <v>150</v>
      </c>
      <c r="P41" s="2587">
        <f t="shared" si="260"/>
        <v>142.77673720259727</v>
      </c>
      <c r="Q41" s="152">
        <f t="shared" si="261"/>
        <v>141.93126385809313</v>
      </c>
      <c r="R41" s="152">
        <f t="shared" si="261"/>
        <v>135.46430616101284</v>
      </c>
      <c r="S41" s="2587">
        <f>+'Maj Techno Summ'!S12</f>
        <v>150</v>
      </c>
      <c r="T41" s="2587">
        <f t="shared" si="262"/>
        <v>141.84996849132682</v>
      </c>
      <c r="U41" s="152">
        <f t="shared" si="263"/>
        <v>143.7095937770095</v>
      </c>
      <c r="V41" s="152">
        <f t="shared" si="263"/>
        <v>136.89470764414938</v>
      </c>
      <c r="W41" s="2587">
        <f>+'Maj Techno Summ'!W12</f>
        <v>121</v>
      </c>
      <c r="X41" s="2587">
        <f t="shared" si="264"/>
        <v>128.55199052682025</v>
      </c>
      <c r="Y41" s="160">
        <f t="shared" si="265"/>
        <v>143.75384615384615</v>
      </c>
      <c r="Z41" s="160">
        <f t="shared" si="265"/>
        <v>137.94406463264903</v>
      </c>
      <c r="AA41" s="2080">
        <f t="shared" si="265"/>
        <v>141.25828835774865</v>
      </c>
      <c r="AB41" s="2080">
        <f t="shared" si="265"/>
        <v>135.41736586506963</v>
      </c>
      <c r="AC41" s="2587">
        <f>+'Maj Techno Summ'!AC12</f>
        <v>152</v>
      </c>
      <c r="AD41" s="2587">
        <f t="shared" si="266"/>
        <v>125.46642057802912</v>
      </c>
      <c r="AE41" s="152">
        <f t="shared" ref="AE41:AF41" si="288">+AE25/AE$6*1000</f>
        <v>143.05202312138729</v>
      </c>
      <c r="AF41" s="152">
        <f t="shared" si="288"/>
        <v>134.13657614842174</v>
      </c>
      <c r="AG41" s="2587">
        <f>+'Maj Techno Summ'!AG12</f>
        <v>152</v>
      </c>
      <c r="AH41" s="2587">
        <f t="shared" si="268"/>
        <v>136.65060811425192</v>
      </c>
      <c r="AI41" s="152">
        <f t="shared" si="269"/>
        <v>144.29850746268659</v>
      </c>
      <c r="AJ41" s="152">
        <f t="shared" si="269"/>
        <v>134.4736345977108</v>
      </c>
      <c r="AK41" s="2587">
        <f>+'Maj Techno Summ'!AK12</f>
        <v>152</v>
      </c>
      <c r="AL41" s="2587">
        <f t="shared" si="270"/>
        <v>130.86443009846519</v>
      </c>
      <c r="AM41" s="160">
        <f t="shared" ref="AM41:AP41" si="289">+AM25/AM$6*1000</f>
        <v>152</v>
      </c>
      <c r="AN41" s="160">
        <f t="shared" si="289"/>
        <v>131.31828243123769</v>
      </c>
      <c r="AO41" s="152">
        <f t="shared" si="289"/>
        <v>145.26631222812952</v>
      </c>
      <c r="AP41" s="152">
        <f t="shared" si="289"/>
        <v>134.03556871144514</v>
      </c>
      <c r="AQ41" s="2587">
        <f>+'Maj Techno Summ'!AQ12</f>
        <v>152</v>
      </c>
      <c r="AR41" s="2587">
        <f t="shared" si="272"/>
        <v>129.82365728764466</v>
      </c>
      <c r="AS41" s="152">
        <f t="shared" ref="AS41:AT41" si="290">+AS25/AS$6*1000</f>
        <v>146.0282897556794</v>
      </c>
      <c r="AT41" s="152">
        <f t="shared" si="290"/>
        <v>133.59055714580865</v>
      </c>
      <c r="AU41" s="2587">
        <f>+'Maj Techno Summ'!AU12</f>
        <v>152</v>
      </c>
      <c r="AV41" s="2587">
        <f t="shared" si="274"/>
        <v>89.192169107715984</v>
      </c>
      <c r="AW41" s="152">
        <f t="shared" si="275"/>
        <v>146.57687816270922</v>
      </c>
      <c r="AX41" s="152">
        <f t="shared" si="275"/>
        <v>130.11898362153039</v>
      </c>
      <c r="AY41" s="2587">
        <f>+'Maj Techno Summ'!AY12</f>
        <v>152</v>
      </c>
      <c r="AZ41" s="2587">
        <f t="shared" si="276"/>
        <v>135.4212517722317</v>
      </c>
      <c r="BA41" s="160">
        <f t="shared" ref="BA41:BF41" si="291">+BA25/BA$6*1000</f>
        <v>152</v>
      </c>
      <c r="BB41" s="160">
        <f t="shared" si="291"/>
        <v>120.33673024487004</v>
      </c>
      <c r="BC41" s="2080">
        <f t="shared" si="291"/>
        <v>152</v>
      </c>
      <c r="BD41" s="2080">
        <f t="shared" si="291"/>
        <v>125.84870032731315</v>
      </c>
      <c r="BE41" s="152">
        <f t="shared" si="291"/>
        <v>147.08224496999648</v>
      </c>
      <c r="BF41" s="102">
        <f t="shared" si="291"/>
        <v>130.60182550128928</v>
      </c>
    </row>
    <row r="42" spans="1:58" ht="16.2" thickBot="1" x14ac:dyDescent="0.35">
      <c r="A42" s="135"/>
      <c r="B42" s="1574" t="s">
        <v>237</v>
      </c>
      <c r="C42" s="459" t="s">
        <v>240</v>
      </c>
      <c r="D42" s="2081">
        <f>SUM(D39:D41)</f>
        <v>525</v>
      </c>
      <c r="E42" s="2081">
        <f t="shared" ref="E42:L42" si="292">SUM(E39:E41)</f>
        <v>525</v>
      </c>
      <c r="F42" s="2081">
        <f t="shared" si="292"/>
        <v>540.42284660498183</v>
      </c>
      <c r="G42" s="2081">
        <f t="shared" ref="G42:H42" si="293">SUM(G39:G41)</f>
        <v>525</v>
      </c>
      <c r="H42" s="2081">
        <f t="shared" si="293"/>
        <v>541.93368076986667</v>
      </c>
      <c r="I42" s="670">
        <f t="shared" si="292"/>
        <v>525</v>
      </c>
      <c r="J42" s="37">
        <f t="shared" si="292"/>
        <v>540.90363250855739</v>
      </c>
      <c r="K42" s="2081">
        <f t="shared" si="292"/>
        <v>535</v>
      </c>
      <c r="L42" s="2081">
        <f t="shared" si="292"/>
        <v>535.52861200375241</v>
      </c>
      <c r="M42" s="671">
        <f t="shared" ref="M42:R42" si="294">SUM(M39:M41)</f>
        <v>528.89489953632153</v>
      </c>
      <c r="N42" s="63">
        <f t="shared" si="294"/>
        <v>538.59658004729931</v>
      </c>
      <c r="O42" s="2081">
        <f t="shared" si="294"/>
        <v>535</v>
      </c>
      <c r="P42" s="2081">
        <f t="shared" si="294"/>
        <v>546.11572549351592</v>
      </c>
      <c r="Q42" s="670">
        <f t="shared" si="294"/>
        <v>530.62084257206209</v>
      </c>
      <c r="R42" s="37">
        <f t="shared" si="294"/>
        <v>540.89459299305827</v>
      </c>
      <c r="S42" s="2081">
        <f t="shared" ref="S42:T42" si="295">SUM(S39:S41)</f>
        <v>535</v>
      </c>
      <c r="T42" s="2081">
        <f t="shared" si="295"/>
        <v>545.04129622259177</v>
      </c>
      <c r="U42" s="670">
        <f t="shared" ref="U42:X42" si="296">SUM(U39:U41)</f>
        <v>531.58599827139142</v>
      </c>
      <c r="V42" s="37">
        <f t="shared" si="296"/>
        <v>541.82346303704639</v>
      </c>
      <c r="W42" s="2081">
        <f t="shared" si="296"/>
        <v>532</v>
      </c>
      <c r="X42" s="2081">
        <f t="shared" si="296"/>
        <v>555.67484198351485</v>
      </c>
      <c r="Y42" s="671">
        <f t="shared" ref="Y42:AF42" si="297">SUM(Y39:Y41)</f>
        <v>534.35384615384612</v>
      </c>
      <c r="Z42" s="63">
        <f t="shared" si="297"/>
        <v>548.80120411406619</v>
      </c>
      <c r="AA42" s="672">
        <f t="shared" si="297"/>
        <v>531.63068619892056</v>
      </c>
      <c r="AB42" s="424">
        <f t="shared" si="297"/>
        <v>544.27628752188696</v>
      </c>
      <c r="AC42" s="2081">
        <f t="shared" si="297"/>
        <v>535</v>
      </c>
      <c r="AD42" s="2081">
        <f t="shared" si="297"/>
        <v>562.7843202253033</v>
      </c>
      <c r="AE42" s="670">
        <f t="shared" si="297"/>
        <v>532.19332048811816</v>
      </c>
      <c r="AF42" s="37">
        <f t="shared" si="297"/>
        <v>546.65846301156535</v>
      </c>
      <c r="AG42" s="2081">
        <f t="shared" ref="AG42:AH42" si="298">SUM(AG39:AG41)</f>
        <v>535</v>
      </c>
      <c r="AH42" s="2081">
        <f t="shared" si="298"/>
        <v>540.69208783845227</v>
      </c>
      <c r="AI42" s="670">
        <f t="shared" ref="AI42:AL42" si="299">SUM(AI39:AI41)</f>
        <v>532.58430071862904</v>
      </c>
      <c r="AJ42" s="37">
        <f t="shared" si="299"/>
        <v>545.85854590985002</v>
      </c>
      <c r="AK42" s="2081">
        <f t="shared" si="299"/>
        <v>535</v>
      </c>
      <c r="AL42" s="2081">
        <f t="shared" si="299"/>
        <v>545.88370136865422</v>
      </c>
      <c r="AM42" s="671">
        <f t="shared" ref="AM42:AT42" si="300">SUM(AM39:AM41)</f>
        <v>535</v>
      </c>
      <c r="AN42" s="63">
        <f t="shared" si="300"/>
        <v>548.97909400314586</v>
      </c>
      <c r="AO42" s="670">
        <f t="shared" si="300"/>
        <v>532.88786853552438</v>
      </c>
      <c r="AP42" s="37">
        <f t="shared" si="300"/>
        <v>545.8615991445331</v>
      </c>
      <c r="AQ42" s="2081">
        <f t="shared" si="300"/>
        <v>535</v>
      </c>
      <c r="AR42" s="2081">
        <f t="shared" si="300"/>
        <v>547.04911744021069</v>
      </c>
      <c r="AS42" s="670">
        <f t="shared" si="300"/>
        <v>533.12687526789546</v>
      </c>
      <c r="AT42" s="37">
        <f t="shared" si="300"/>
        <v>545.98706697203659</v>
      </c>
      <c r="AU42" s="2081">
        <f t="shared" ref="AU42:AV42" si="301">SUM(AU39:AU41)</f>
        <v>535</v>
      </c>
      <c r="AV42" s="2081">
        <f t="shared" si="301"/>
        <v>548.84043269932704</v>
      </c>
      <c r="AW42" s="670">
        <f t="shared" ref="AW42:AZ42" si="302">SUM(AW39:AW41)</f>
        <v>533.29894900739589</v>
      </c>
      <c r="AX42" s="37">
        <f t="shared" si="302"/>
        <v>546.21017572331471</v>
      </c>
      <c r="AY42" s="2081">
        <f t="shared" si="302"/>
        <v>535</v>
      </c>
      <c r="AZ42" s="2081">
        <f t="shared" si="302"/>
        <v>535.44668059174569</v>
      </c>
      <c r="BA42" s="671">
        <f t="shared" ref="BA42:BD42" si="303">SUM(BA39:BA41)</f>
        <v>535</v>
      </c>
      <c r="BB42" s="63">
        <f t="shared" si="303"/>
        <v>543.34191552151287</v>
      </c>
      <c r="BC42" s="672">
        <f t="shared" si="303"/>
        <v>535</v>
      </c>
      <c r="BD42" s="424">
        <f t="shared" si="303"/>
        <v>546.17138430814987</v>
      </c>
      <c r="BE42" s="670">
        <f t="shared" ref="BE42:BF42" si="304">SUM(BE39:BE41)</f>
        <v>533.45746558418637</v>
      </c>
      <c r="BF42" s="37">
        <f t="shared" si="304"/>
        <v>545.2300166528205</v>
      </c>
    </row>
    <row r="43" spans="1:58" x14ac:dyDescent="0.3">
      <c r="A43" s="135" t="s">
        <v>445</v>
      </c>
      <c r="B43" s="1578" t="s">
        <v>19</v>
      </c>
      <c r="C43" s="56" t="s">
        <v>240</v>
      </c>
      <c r="D43" s="1095">
        <v>1149.8822741773586</v>
      </c>
      <c r="E43" s="1095">
        <f>+$D$43</f>
        <v>1149.8822741773586</v>
      </c>
      <c r="F43" s="1095">
        <f t="shared" ref="F43" si="305">+F27/F$6*1000</f>
        <v>1157.366304927348</v>
      </c>
      <c r="G43" s="1095">
        <f>+$D$43</f>
        <v>1149.8822741773586</v>
      </c>
      <c r="H43" s="1095">
        <f t="shared" ref="H43" si="306">+H27/H$6*1000</f>
        <v>1141.5574639362144</v>
      </c>
      <c r="I43" s="2045">
        <f t="shared" ref="I43:J46" si="307">+I27/I$6*1000</f>
        <v>1149.8822741773586</v>
      </c>
      <c r="J43" s="58">
        <f t="shared" si="307"/>
        <v>1152.335529163164</v>
      </c>
      <c r="K43" s="1095">
        <f>+$D$43</f>
        <v>1149.8822741773586</v>
      </c>
      <c r="L43" s="1095">
        <f t="shared" ref="L43" si="308">+L27/L$6*1000</f>
        <v>1168.6416951476904</v>
      </c>
      <c r="M43" s="451">
        <f>+$D$43</f>
        <v>1149.8822741773586</v>
      </c>
      <c r="N43" s="451">
        <f>+N27/N$6*1000</f>
        <v>1159.3344197412844</v>
      </c>
      <c r="O43" s="1095">
        <f>+$D$43</f>
        <v>1149.8822741773586</v>
      </c>
      <c r="P43" s="1095">
        <f t="shared" ref="P43:P45" si="309">+P27/P$6*1000</f>
        <v>1172.6817812780748</v>
      </c>
      <c r="Q43" s="2045">
        <f t="shared" ref="Q43:R46" si="310">+Q27/Q$6*1000</f>
        <v>1149.8822741773586</v>
      </c>
      <c r="R43" s="2045">
        <f t="shared" si="310"/>
        <v>1163.4136611687397</v>
      </c>
      <c r="S43" s="1095">
        <f>+$D$43</f>
        <v>1149.8822741773586</v>
      </c>
      <c r="T43" s="1095">
        <f t="shared" ref="T43:T45" si="311">+T27/T$6*1000</f>
        <v>1179.6089134008994</v>
      </c>
      <c r="U43" s="2045">
        <f t="shared" ref="U43:V45" si="312">+U27/U$6*1000</f>
        <v>1149.8822741773583</v>
      </c>
      <c r="V43" s="2045">
        <f t="shared" si="312"/>
        <v>1167.0414309464618</v>
      </c>
      <c r="W43" s="1095">
        <f>+$D$43</f>
        <v>1149.8822741773586</v>
      </c>
      <c r="X43" s="1095">
        <f t="shared" ref="X43:X45" si="313">+X27/X$6*1000</f>
        <v>1186.7907343029558</v>
      </c>
      <c r="Y43" s="451">
        <f t="shared" ref="Y43:AB46" si="314">+Y27/Y$6*1000</f>
        <v>1149.8822741773586</v>
      </c>
      <c r="Z43" s="451">
        <f t="shared" si="314"/>
        <v>1179.4648852698817</v>
      </c>
      <c r="AA43" s="1471">
        <f t="shared" si="314"/>
        <v>1149.8822741773586</v>
      </c>
      <c r="AB43" s="441">
        <f t="shared" si="314"/>
        <v>1170.5386693816074</v>
      </c>
      <c r="AC43" s="1095">
        <f>+$D$43</f>
        <v>1149.8822741773586</v>
      </c>
      <c r="AD43" s="1095">
        <f t="shared" ref="AD43:AD45" si="315">+AD27/AD$6*1000</f>
        <v>1173.1746961624856</v>
      </c>
      <c r="AE43" s="2045">
        <f t="shared" ref="AE43:AF43" si="316">+AE27/AE$6*1000</f>
        <v>1149.8822741773583</v>
      </c>
      <c r="AF43" s="2045">
        <f t="shared" si="316"/>
        <v>1170.8779533286465</v>
      </c>
      <c r="AG43" s="1095">
        <f>+$D$43</f>
        <v>1149.8822741773586</v>
      </c>
      <c r="AH43" s="1095">
        <f t="shared" ref="AH43:AH45" si="317">+AH27/AH$6*1000</f>
        <v>1191.5058149107797</v>
      </c>
      <c r="AI43" s="2045">
        <f t="shared" ref="AI43:AJ45" si="318">+AI27/AI$6*1000</f>
        <v>1149.8822741773583</v>
      </c>
      <c r="AJ43" s="2045">
        <f t="shared" si="318"/>
        <v>1173.6435486478483</v>
      </c>
      <c r="AK43" s="1095">
        <f>+$D$43</f>
        <v>1149.8822741773586</v>
      </c>
      <c r="AL43" s="1095">
        <f t="shared" ref="AL43:AL45" si="319">+AL27/AL$6*1000</f>
        <v>1149.1026033447156</v>
      </c>
      <c r="AM43" s="451">
        <f t="shared" ref="AM43:AP43" si="320">+AM27/AM$6*1000</f>
        <v>1149.8822741773583</v>
      </c>
      <c r="AN43" s="451">
        <f t="shared" si="320"/>
        <v>1170.913131826082</v>
      </c>
      <c r="AO43" s="2045">
        <f t="shared" si="320"/>
        <v>1149.8822741773583</v>
      </c>
      <c r="AP43" s="2045">
        <f t="shared" si="320"/>
        <v>1170.6649003179291</v>
      </c>
      <c r="AQ43" s="1095">
        <f>+$D$43</f>
        <v>1149.8822741773586</v>
      </c>
      <c r="AR43" s="1095">
        <f t="shared" ref="AR43:AR45" si="321">+AR27/AR$6*1000</f>
        <v>1150.2948318857887</v>
      </c>
      <c r="AS43" s="2045">
        <f t="shared" ref="AS43:AT43" si="322">+AS27/AS$6*1000</f>
        <v>1149.8822741773583</v>
      </c>
      <c r="AT43" s="2045">
        <f t="shared" si="322"/>
        <v>1168.5126907548583</v>
      </c>
      <c r="AU43" s="1095">
        <f>+$D$43</f>
        <v>1149.8822741773586</v>
      </c>
      <c r="AV43" s="1095">
        <f t="shared" ref="AV43:AV45" si="323">+AV27/AV$6*1000</f>
        <v>1188.3878595123601</v>
      </c>
      <c r="AW43" s="2045">
        <f t="shared" ref="AW43:AX45" si="324">+AW27/AW$6*1000</f>
        <v>1149.8822741773586</v>
      </c>
      <c r="AX43" s="2045">
        <f t="shared" si="324"/>
        <v>1170.066758654574</v>
      </c>
      <c r="AY43" s="1095">
        <f>+$D$43</f>
        <v>1149.8822741773586</v>
      </c>
      <c r="AZ43" s="1095">
        <f t="shared" ref="AZ43:AZ45" si="325">+AZ27/AZ$6*1000</f>
        <v>1183.869406527212</v>
      </c>
      <c r="BA43" s="451">
        <f t="shared" ref="BA43:BF43" si="326">+BA27/BA$6*1000</f>
        <v>1149.8822741773583</v>
      </c>
      <c r="BB43" s="451">
        <f t="shared" si="326"/>
        <v>1173.2930582271642</v>
      </c>
      <c r="BC43" s="1471">
        <f t="shared" si="326"/>
        <v>1149.8822741773583</v>
      </c>
      <c r="BD43" s="441">
        <f t="shared" si="326"/>
        <v>1172.0985018567574</v>
      </c>
      <c r="BE43" s="2045">
        <f t="shared" si="326"/>
        <v>1149.8822741773586</v>
      </c>
      <c r="BF43" s="2045">
        <f t="shared" si="326"/>
        <v>1171.3236729137279</v>
      </c>
    </row>
    <row r="44" spans="1:58" x14ac:dyDescent="0.3">
      <c r="A44" s="135" t="s">
        <v>445</v>
      </c>
      <c r="B44" s="1569" t="s">
        <v>238</v>
      </c>
      <c r="C44" s="2589" t="s">
        <v>240</v>
      </c>
      <c r="D44" s="2348">
        <v>213.54956520436656</v>
      </c>
      <c r="E44" s="2348">
        <f>+$D$44</f>
        <v>213.54956520436656</v>
      </c>
      <c r="F44" s="2348">
        <f t="shared" ref="F44" si="327">+F28/F$6*1000</f>
        <v>215.22181841496086</v>
      </c>
      <c r="G44" s="2348">
        <f>+$D$44</f>
        <v>213.54956520436656</v>
      </c>
      <c r="H44" s="2348">
        <f t="shared" ref="H44" si="328">+H28/H$6*1000</f>
        <v>221.09181343254582</v>
      </c>
      <c r="I44" s="2349">
        <f t="shared" si="307"/>
        <v>213.54956520436659</v>
      </c>
      <c r="J44" s="35">
        <f t="shared" si="307"/>
        <v>217.08980030477238</v>
      </c>
      <c r="K44" s="2348">
        <f>+$D$44</f>
        <v>213.54956520436656</v>
      </c>
      <c r="L44" s="2348">
        <f t="shared" ref="L44" si="329">+L28/L$6*1000</f>
        <v>237.51701308540027</v>
      </c>
      <c r="M44" s="717">
        <f>+$D$44</f>
        <v>213.54956520436656</v>
      </c>
      <c r="N44" s="717">
        <f>+N28/N$6*1000</f>
        <v>225.85751597768177</v>
      </c>
      <c r="O44" s="2348">
        <f>+$D$44</f>
        <v>213.54956520436656</v>
      </c>
      <c r="P44" s="2348">
        <f t="shared" si="309"/>
        <v>272.79675754254362</v>
      </c>
      <c r="Q44" s="718">
        <f t="shared" si="310"/>
        <v>213.54956520436659</v>
      </c>
      <c r="R44" s="718">
        <f t="shared" si="310"/>
        <v>240.20316011393632</v>
      </c>
      <c r="S44" s="2348">
        <f>+$D$44</f>
        <v>213.54956520436656</v>
      </c>
      <c r="T44" s="2348">
        <f t="shared" si="311"/>
        <v>195.66333259102376</v>
      </c>
      <c r="U44" s="718">
        <f t="shared" si="312"/>
        <v>213.54956520436659</v>
      </c>
      <c r="V44" s="718">
        <f t="shared" si="312"/>
        <v>230.2261472291527</v>
      </c>
      <c r="W44" s="2348">
        <f>+$D$44</f>
        <v>213.54956520436656</v>
      </c>
      <c r="X44" s="2348">
        <f t="shared" si="313"/>
        <v>184.13595870732692</v>
      </c>
      <c r="Y44" s="717">
        <f t="shared" si="314"/>
        <v>213.54956520436656</v>
      </c>
      <c r="Z44" s="717">
        <f t="shared" si="314"/>
        <v>219.04253584364028</v>
      </c>
      <c r="AA44" s="429">
        <f t="shared" si="314"/>
        <v>213.54956520436656</v>
      </c>
      <c r="AB44" s="418">
        <f t="shared" si="314"/>
        <v>222.06442243957309</v>
      </c>
      <c r="AC44" s="2348">
        <f>+$D$44</f>
        <v>213.54956520436656</v>
      </c>
      <c r="AD44" s="2348">
        <f t="shared" si="315"/>
        <v>220.19037051745133</v>
      </c>
      <c r="AE44" s="718">
        <f t="shared" ref="AE44:AF44" si="330">+AE28/AE$6*1000</f>
        <v>213.54956520436656</v>
      </c>
      <c r="AF44" s="718">
        <f t="shared" si="330"/>
        <v>221.82321254834355</v>
      </c>
      <c r="AG44" s="2348">
        <f>+$D$44</f>
        <v>213.54956520436656</v>
      </c>
      <c r="AH44" s="2348">
        <f t="shared" si="317"/>
        <v>203.11433793081414</v>
      </c>
      <c r="AI44" s="718">
        <f t="shared" si="318"/>
        <v>213.54956520436656</v>
      </c>
      <c r="AJ44" s="718">
        <f t="shared" si="318"/>
        <v>219.31489747827393</v>
      </c>
      <c r="AK44" s="2348">
        <f>+$D$44</f>
        <v>213.54956520436656</v>
      </c>
      <c r="AL44" s="2348">
        <f t="shared" si="319"/>
        <v>262.64206295888476</v>
      </c>
      <c r="AM44" s="717">
        <f t="shared" ref="AM44:AP44" si="331">+AM28/AM$6*1000</f>
        <v>213.54956520436659</v>
      </c>
      <c r="AN44" s="717">
        <f t="shared" si="331"/>
        <v>229.50821079955625</v>
      </c>
      <c r="AO44" s="718">
        <f t="shared" si="331"/>
        <v>213.54956520436656</v>
      </c>
      <c r="AP44" s="718">
        <f t="shared" si="331"/>
        <v>224.5737164644552</v>
      </c>
      <c r="AQ44" s="2348">
        <f>+$D$44</f>
        <v>213.54956520436656</v>
      </c>
      <c r="AR44" s="2348">
        <f t="shared" si="321"/>
        <v>285.51970705497291</v>
      </c>
      <c r="AS44" s="718">
        <f t="shared" ref="AS44:AT44" si="332">+AS28/AS$6*1000</f>
        <v>213.54956520436656</v>
      </c>
      <c r="AT44" s="718">
        <f t="shared" si="332"/>
        <v>231.01299496843683</v>
      </c>
      <c r="AU44" s="2348">
        <f>+$D$44</f>
        <v>213.54956520436656</v>
      </c>
      <c r="AV44" s="2348">
        <f t="shared" si="323"/>
        <v>222.47759509968952</v>
      </c>
      <c r="AW44" s="718">
        <f t="shared" si="324"/>
        <v>213.54956520436656</v>
      </c>
      <c r="AX44" s="718">
        <f t="shared" si="324"/>
        <v>230.34559983287363</v>
      </c>
      <c r="AY44" s="2348">
        <f>+$D$44</f>
        <v>213.54956520436656</v>
      </c>
      <c r="AZ44" s="2348">
        <f t="shared" si="325"/>
        <v>198.74801337347543</v>
      </c>
      <c r="BA44" s="717">
        <f t="shared" ref="BA44:BF44" si="333">+BA28/BA$6*1000</f>
        <v>213.54956520436656</v>
      </c>
      <c r="BB44" s="717">
        <f t="shared" si="333"/>
        <v>236.12127187946777</v>
      </c>
      <c r="BC44" s="429">
        <f t="shared" si="333"/>
        <v>213.54956520436656</v>
      </c>
      <c r="BD44" s="418">
        <f t="shared" si="333"/>
        <v>232.80197837639713</v>
      </c>
      <c r="BE44" s="718">
        <f t="shared" si="333"/>
        <v>213.54956520436656</v>
      </c>
      <c r="BF44" s="718">
        <f t="shared" si="333"/>
        <v>227.4682202646822</v>
      </c>
    </row>
    <row r="45" spans="1:58" x14ac:dyDescent="0.3">
      <c r="A45" s="135" t="s">
        <v>445</v>
      </c>
      <c r="B45" s="1569" t="s">
        <v>239</v>
      </c>
      <c r="C45" s="2589" t="s">
        <v>240</v>
      </c>
      <c r="D45" s="2348">
        <v>0.34</v>
      </c>
      <c r="E45" s="2348">
        <f>+$D$45</f>
        <v>0.34</v>
      </c>
      <c r="F45" s="2348">
        <f t="shared" ref="F45" si="334">+F29/F$6*1000</f>
        <v>0</v>
      </c>
      <c r="G45" s="2348">
        <f>+$D$45</f>
        <v>0.34</v>
      </c>
      <c r="H45" s="2348">
        <f t="shared" ref="H45" si="335">+H29/H$6*1000</f>
        <v>3.801800320085019</v>
      </c>
      <c r="I45" s="2349">
        <f t="shared" si="307"/>
        <v>0.34</v>
      </c>
      <c r="J45" s="35">
        <f t="shared" si="307"/>
        <v>1.2098296719713779</v>
      </c>
      <c r="K45" s="2348">
        <f>+$D$45</f>
        <v>0.34</v>
      </c>
      <c r="L45" s="2348">
        <f t="shared" ref="L45" si="336">+L29/L$6*1000</f>
        <v>0</v>
      </c>
      <c r="M45" s="717">
        <f>+$D$45</f>
        <v>0.34</v>
      </c>
      <c r="N45" s="717">
        <f>+N29/N$6*1000</f>
        <v>0.69054969528489307</v>
      </c>
      <c r="O45" s="2348">
        <f>+$D$45</f>
        <v>0.34</v>
      </c>
      <c r="P45" s="2348">
        <f t="shared" si="309"/>
        <v>0</v>
      </c>
      <c r="Q45" s="718">
        <f t="shared" si="310"/>
        <v>0.34</v>
      </c>
      <c r="R45" s="718">
        <f t="shared" si="310"/>
        <v>0.4795028215669358</v>
      </c>
      <c r="S45" s="2348">
        <f>+$D$45</f>
        <v>0.34</v>
      </c>
      <c r="T45" s="2348">
        <f t="shared" si="311"/>
        <v>0</v>
      </c>
      <c r="U45" s="718">
        <f t="shared" si="312"/>
        <v>0.33999999999999997</v>
      </c>
      <c r="V45" s="718">
        <f t="shared" si="312"/>
        <v>0.37209320426201054</v>
      </c>
      <c r="W45" s="2348">
        <f>+$D$45</f>
        <v>0.34</v>
      </c>
      <c r="X45" s="2348">
        <f t="shared" si="313"/>
        <v>0</v>
      </c>
      <c r="Y45" s="717">
        <f t="shared" si="314"/>
        <v>0.34</v>
      </c>
      <c r="Z45" s="717">
        <f t="shared" si="314"/>
        <v>0</v>
      </c>
      <c r="AA45" s="429">
        <f t="shared" si="314"/>
        <v>0.34</v>
      </c>
      <c r="AB45" s="418">
        <f t="shared" si="314"/>
        <v>0.30620234057371704</v>
      </c>
      <c r="AC45" s="2348">
        <f>+$D$45</f>
        <v>0.34</v>
      </c>
      <c r="AD45" s="2348">
        <f t="shared" si="315"/>
        <v>0.60602447452011987</v>
      </c>
      <c r="AE45" s="718">
        <f t="shared" ref="AE45:AF45" si="337">+AE29/AE$6*1000</f>
        <v>0.33999999999999997</v>
      </c>
      <c r="AF45" s="718">
        <f t="shared" si="337"/>
        <v>0.34479255435793815</v>
      </c>
      <c r="AG45" s="2348">
        <f>+$D$45</f>
        <v>0.34</v>
      </c>
      <c r="AH45" s="2348">
        <f t="shared" si="317"/>
        <v>0</v>
      </c>
      <c r="AI45" s="718">
        <f t="shared" si="318"/>
        <v>0.33999999999999997</v>
      </c>
      <c r="AJ45" s="718">
        <f t="shared" si="318"/>
        <v>0.29856591711630026</v>
      </c>
      <c r="AK45" s="2348">
        <f>+$D$45</f>
        <v>0.34</v>
      </c>
      <c r="AL45" s="2348">
        <f t="shared" si="319"/>
        <v>0.24487102531791499</v>
      </c>
      <c r="AM45" s="717">
        <f t="shared" ref="AM45:AP45" si="338">+AM29/AM$6*1000</f>
        <v>0.34</v>
      </c>
      <c r="AN45" s="717">
        <f t="shared" si="338"/>
        <v>0.26421580505739972</v>
      </c>
      <c r="AO45" s="718">
        <f t="shared" si="338"/>
        <v>0.33999999999999997</v>
      </c>
      <c r="AP45" s="718">
        <f t="shared" si="338"/>
        <v>0.29204871911089042</v>
      </c>
      <c r="AQ45" s="2348">
        <f>+$D$45</f>
        <v>0.34</v>
      </c>
      <c r="AR45" s="2348">
        <f t="shared" si="321"/>
        <v>2.7147077778603679</v>
      </c>
      <c r="AS45" s="718">
        <f t="shared" ref="AS45:AT45" si="339">+AS29/AS$6*1000</f>
        <v>0.33999999999999997</v>
      </c>
      <c r="AT45" s="718">
        <f t="shared" si="339"/>
        <v>0.54801594924906272</v>
      </c>
      <c r="AU45" s="2348">
        <f>+$D$45</f>
        <v>0.34</v>
      </c>
      <c r="AV45" s="2348">
        <f t="shared" si="323"/>
        <v>0.90499671118395852</v>
      </c>
      <c r="AW45" s="718">
        <f t="shared" si="324"/>
        <v>0.33999999999999997</v>
      </c>
      <c r="AX45" s="718">
        <f t="shared" si="324"/>
        <v>0.57592878610130571</v>
      </c>
      <c r="AY45" s="2348">
        <f>+$D$45</f>
        <v>0.34</v>
      </c>
      <c r="AZ45" s="2348">
        <f t="shared" si="325"/>
        <v>2.2709974959473413</v>
      </c>
      <c r="BA45" s="717">
        <f t="shared" ref="BA45:BF45" si="340">+BA29/BA$6*1000</f>
        <v>0.33999999999999997</v>
      </c>
      <c r="BB45" s="717">
        <f t="shared" si="340"/>
        <v>2.0403912658676262</v>
      </c>
      <c r="BC45" s="429">
        <f t="shared" si="340"/>
        <v>0.34</v>
      </c>
      <c r="BD45" s="418">
        <f t="shared" si="340"/>
        <v>1.1488755825647641</v>
      </c>
      <c r="BE45" s="718">
        <f t="shared" si="340"/>
        <v>0.33999999999999997</v>
      </c>
      <c r="BF45" s="718">
        <f t="shared" si="340"/>
        <v>0.73028728682599908</v>
      </c>
    </row>
    <row r="46" spans="1:58" x14ac:dyDescent="0.3">
      <c r="A46" s="135"/>
      <c r="B46" s="1569" t="s">
        <v>1244</v>
      </c>
      <c r="C46" s="2589" t="s">
        <v>240</v>
      </c>
      <c r="D46" s="2348">
        <v>279.25712372878712</v>
      </c>
      <c r="E46" s="2348">
        <f>+$D$46</f>
        <v>279.25712372878712</v>
      </c>
      <c r="F46" s="2348">
        <f>+F30/F$6*1000</f>
        <v>246.35729856316595</v>
      </c>
      <c r="G46" s="2348">
        <f>+$D$46</f>
        <v>279.25712372878712</v>
      </c>
      <c r="H46" s="2348">
        <f>+H30/H$6*1000</f>
        <v>292.15213346334338</v>
      </c>
      <c r="I46" s="2349">
        <f t="shared" si="307"/>
        <v>279.25712372878712</v>
      </c>
      <c r="J46" s="35">
        <f t="shared" si="307"/>
        <v>260.93038116105112</v>
      </c>
      <c r="K46" s="2348">
        <f>+$D$46</f>
        <v>279.25712372878712</v>
      </c>
      <c r="L46" s="2348">
        <f>+L30/L$6*1000</f>
        <v>249.06900801904783</v>
      </c>
      <c r="M46" s="717">
        <f t="shared" ref="M46:N46" si="341">+M30/M$6*1000</f>
        <v>279.25712372878712</v>
      </c>
      <c r="N46" s="717">
        <f t="shared" si="341"/>
        <v>255.83927312217097</v>
      </c>
      <c r="O46" s="2348">
        <f>+$D$46</f>
        <v>279.25712372878712</v>
      </c>
      <c r="P46" s="2348">
        <f>+P30/P$6*1000</f>
        <v>207.38686137920047</v>
      </c>
      <c r="Q46" s="718">
        <f t="shared" si="310"/>
        <v>279.25712372878712</v>
      </c>
      <c r="R46" s="718">
        <f t="shared" si="310"/>
        <v>241.03117155863262</v>
      </c>
      <c r="S46" s="2348">
        <f>+$D$46</f>
        <v>279.25712372878712</v>
      </c>
      <c r="T46" s="2348">
        <f>+T30/T$6*1000</f>
        <v>276.56042952875976</v>
      </c>
      <c r="U46" s="718">
        <f t="shared" ref="U46:V46" si="342">+U30/U$6*1000</f>
        <v>279.25712372878712</v>
      </c>
      <c r="V46" s="718">
        <f t="shared" si="342"/>
        <v>248.98979834883306</v>
      </c>
      <c r="W46" s="2348">
        <f>+$D$46</f>
        <v>279.25712372878712</v>
      </c>
      <c r="X46" s="2348">
        <f>+X30/X$6*1000</f>
        <v>282.55143704782705</v>
      </c>
      <c r="Y46" s="717">
        <f t="shared" si="314"/>
        <v>279.25712372878712</v>
      </c>
      <c r="Z46" s="717">
        <f t="shared" si="314"/>
        <v>254.21089460448255</v>
      </c>
      <c r="AA46" s="429">
        <f>+AA30/AA$6*1000</f>
        <v>279.25712372878712</v>
      </c>
      <c r="AB46" s="418">
        <f>+AB30/AB$6*1000</f>
        <v>254.93294736456735</v>
      </c>
      <c r="AC46" s="2348">
        <f>+$D$46</f>
        <v>279.25712372878712</v>
      </c>
      <c r="AD46" s="2348">
        <f>+AD30/AD$6*1000</f>
        <v>277.99145751842343</v>
      </c>
      <c r="AE46" s="718">
        <f t="shared" ref="AE46:AF46" si="343">+AE30/AE$6*1000</f>
        <v>279.25712372878712</v>
      </c>
      <c r="AF46" s="718">
        <f t="shared" si="343"/>
        <v>257.90081642970449</v>
      </c>
      <c r="AG46" s="2348">
        <f>+$D$46</f>
        <v>279.25712372878712</v>
      </c>
      <c r="AH46" s="2348">
        <f>+AH30/AH$6*1000</f>
        <v>276.50828472214829</v>
      </c>
      <c r="AI46" s="718">
        <f t="shared" ref="AI46:AJ46" si="344">+AI30/AI$6*1000</f>
        <v>279.25712372878712</v>
      </c>
      <c r="AJ46" s="718">
        <f t="shared" si="344"/>
        <v>260.3955358656907</v>
      </c>
      <c r="AK46" s="2348">
        <f>+$D$46</f>
        <v>279.25712372878712</v>
      </c>
      <c r="AL46" s="2348">
        <f>+AL30/AL$6*1000</f>
        <v>279.05251608953694</v>
      </c>
      <c r="AM46" s="717">
        <f t="shared" ref="AM46:AP46" si="345">+AM30/AM$6*1000</f>
        <v>279.25712372878706</v>
      </c>
      <c r="AN46" s="717">
        <f t="shared" si="345"/>
        <v>277.85520888005561</v>
      </c>
      <c r="AO46" s="718">
        <f t="shared" si="345"/>
        <v>279.25712372878712</v>
      </c>
      <c r="AP46" s="718">
        <f t="shared" si="345"/>
        <v>262.66002006948372</v>
      </c>
      <c r="AQ46" s="2348">
        <f>+$D$46</f>
        <v>279.25712372878712</v>
      </c>
      <c r="AR46" s="2348">
        <f>+AR30/AR$6*1000</f>
        <v>238.76494069464175</v>
      </c>
      <c r="AS46" s="718">
        <f t="shared" ref="AS46:AT46" si="346">+AS30/AS$6*1000</f>
        <v>279.25712372878712</v>
      </c>
      <c r="AT46" s="718">
        <f t="shared" si="346"/>
        <v>260.13537374774035</v>
      </c>
      <c r="AU46" s="2348">
        <f>+$D$46</f>
        <v>279.25712372878712</v>
      </c>
      <c r="AV46" s="2348">
        <f>+AV30/AV$6*1000</f>
        <v>235.32473306666708</v>
      </c>
      <c r="AW46" s="718">
        <f t="shared" ref="AW46:AX46" si="347">+AW30/AW$6*1000</f>
        <v>279.25712372878712</v>
      </c>
      <c r="AX46" s="718">
        <f t="shared" si="347"/>
        <v>258.19539423238291</v>
      </c>
      <c r="AY46" s="2348">
        <f>+$D$46</f>
        <v>279.25712372878712</v>
      </c>
      <c r="AZ46" s="2348">
        <f>+AZ30/AZ$6*1000</f>
        <v>255.38291916082667</v>
      </c>
      <c r="BA46" s="717">
        <f t="shared" ref="BA46:BB46" si="348">+BA30/BA$6*1000</f>
        <v>279.25712372878712</v>
      </c>
      <c r="BB46" s="717">
        <f t="shared" si="348"/>
        <v>243.82674184737769</v>
      </c>
      <c r="BC46" s="429">
        <f>+BC30/BC$6*1000</f>
        <v>279.25712372878706</v>
      </c>
      <c r="BD46" s="418">
        <f>+BD30/BD$6*1000</f>
        <v>260.90664904559344</v>
      </c>
      <c r="BE46" s="718">
        <f t="shared" ref="BE46:BF46" si="349">+BE30/BE$6*1000</f>
        <v>279.25712372878712</v>
      </c>
      <c r="BF46" s="718">
        <f t="shared" si="349"/>
        <v>257.93928105369616</v>
      </c>
    </row>
    <row r="47" spans="1:58" ht="15" thickBot="1" x14ac:dyDescent="0.35">
      <c r="A47" s="135" t="s">
        <v>445</v>
      </c>
      <c r="B47" s="1570" t="s">
        <v>6</v>
      </c>
      <c r="C47" s="687" t="s">
        <v>240</v>
      </c>
      <c r="D47" s="1333">
        <v>6.7086666666666668</v>
      </c>
      <c r="E47" s="1333">
        <v>16</v>
      </c>
      <c r="F47" s="1333">
        <f>+F31/F$6*1000</f>
        <v>1.4999358857551643</v>
      </c>
      <c r="G47" s="1333">
        <v>16</v>
      </c>
      <c r="H47" s="1333">
        <f>+H31/H$6*1000</f>
        <v>11.179479857326305</v>
      </c>
      <c r="I47" s="546">
        <f>+I31/I$6*1000</f>
        <v>16</v>
      </c>
      <c r="J47" s="40">
        <f>+J31/J$6*1000</f>
        <v>4.580213260158815</v>
      </c>
      <c r="K47" s="1333">
        <v>2</v>
      </c>
      <c r="L47" s="1333">
        <f>+L31/L$6*1000</f>
        <v>4.3355403019390035</v>
      </c>
      <c r="M47" s="452">
        <f>+M31/M$6*1000</f>
        <v>10.547140649149924</v>
      </c>
      <c r="N47" s="452">
        <f>+N31/N$6*1000</f>
        <v>4.4751953630252732</v>
      </c>
      <c r="O47" s="1333">
        <v>2</v>
      </c>
      <c r="P47" s="1333">
        <f>+P31/P$6*1000</f>
        <v>1.9098068450968004</v>
      </c>
      <c r="Q47" s="546">
        <f>+Q31/Q$6*1000</f>
        <v>8.1308203991130821</v>
      </c>
      <c r="R47" s="546">
        <f>+R31/R$6*1000</f>
        <v>3.691157327417451</v>
      </c>
      <c r="S47" s="1333">
        <v>2</v>
      </c>
      <c r="T47" s="1333">
        <f>+T31/T$6*1000</f>
        <v>4.1411399032470504</v>
      </c>
      <c r="U47" s="546">
        <f>+U31/U$6*1000</f>
        <v>6.7796024200518579</v>
      </c>
      <c r="V47" s="546">
        <f>+V31/V$6*1000</f>
        <v>3.7919543490195324</v>
      </c>
      <c r="W47" s="1333">
        <v>15</v>
      </c>
      <c r="X47" s="1333">
        <f>+X31/X$6*1000</f>
        <v>2.0139960394151353</v>
      </c>
      <c r="Y47" s="452">
        <f>+Y31/Y$6*1000</f>
        <v>4.8</v>
      </c>
      <c r="Z47" s="452">
        <f>+Z31/Z$6*1000</f>
        <v>2.6819552106025952</v>
      </c>
      <c r="AA47" s="1040">
        <f>+AA31/AA$6*1000</f>
        <v>7.6669236700077095</v>
      </c>
      <c r="AB47" s="423">
        <f>+AB31/AB$6*1000</f>
        <v>3.4771106290059857</v>
      </c>
      <c r="AC47" s="1333">
        <v>8</v>
      </c>
      <c r="AD47" s="1333">
        <f>+AD31/AD$6*1000</f>
        <v>5.190624259406067</v>
      </c>
      <c r="AE47" s="546">
        <f>+AE31/AE$6*1000</f>
        <v>7.7225433526011562</v>
      </c>
      <c r="AF47" s="546">
        <f>+AF31/AF$6*1000</f>
        <v>3.6976575794560702</v>
      </c>
      <c r="AG47" s="103">
        <v>2</v>
      </c>
      <c r="AH47" s="103">
        <f>+AH31/AH$6*1000</f>
        <v>2.1585250270122818</v>
      </c>
      <c r="AI47" s="546">
        <f>+AI31/AI$6*1000</f>
        <v>6.9253731343283587</v>
      </c>
      <c r="AJ47" s="546">
        <f>+AJ31/AJ$6*1000</f>
        <v>3.4913047412948561</v>
      </c>
      <c r="AK47" s="103">
        <v>2</v>
      </c>
      <c r="AL47" s="103">
        <f>+AL31/AL$6*1000</f>
        <v>3.1527144509681548</v>
      </c>
      <c r="AM47" s="452">
        <f>+AM31/AM$6*1000</f>
        <v>4.0207253886010363</v>
      </c>
      <c r="AN47" s="452">
        <f>+AN31/AN$6*1000</f>
        <v>3.3973057144325236</v>
      </c>
      <c r="AO47" s="546">
        <f>+AO31/AO$6*1000</f>
        <v>6.3064282261962301</v>
      </c>
      <c r="AP47" s="546">
        <f>+AP31/AP$6*1000</f>
        <v>3.4502084676855542</v>
      </c>
      <c r="AQ47" s="103">
        <v>2</v>
      </c>
      <c r="AR47" s="103">
        <f>+AR31/AR$6*1000</f>
        <v>12.232113028555281</v>
      </c>
      <c r="AS47" s="546">
        <f>+AS31/AS$6*1000</f>
        <v>5.8191170167166737</v>
      </c>
      <c r="AT47" s="546">
        <f>+AT31/AT$6*1000</f>
        <v>4.3780648978610461</v>
      </c>
      <c r="AU47" s="103">
        <v>2</v>
      </c>
      <c r="AV47" s="103">
        <f>+AV31/AV$6*1000</f>
        <v>7.6484685512371096</v>
      </c>
      <c r="AW47" s="546">
        <f>+AW31/AW$6*1000</f>
        <v>5.4682755936161938</v>
      </c>
      <c r="AX47" s="546">
        <f>+AX31/AX$6*1000</f>
        <v>4.6337824416381359</v>
      </c>
      <c r="AY47" s="103">
        <v>2</v>
      </c>
      <c r="AZ47" s="103">
        <f>+AZ31/AZ$6*1000</f>
        <v>0.29300632028131773</v>
      </c>
      <c r="BA47" s="452">
        <f>+BA31/BA$6*1000</f>
        <v>2</v>
      </c>
      <c r="BB47" s="452">
        <f>+BB31/BB$6*1000</f>
        <v>6.5950678668809859</v>
      </c>
      <c r="BC47" s="1040">
        <f>+BC31/BC$6*1000</f>
        <v>3.015625</v>
      </c>
      <c r="BD47" s="423">
        <f>+BD31/BD$6*1000</f>
        <v>4.9900152280613588</v>
      </c>
      <c r="BE47" s="546">
        <f>+BE31/BE$6*1000</f>
        <v>5.1450758912813273</v>
      </c>
      <c r="BF47" s="546">
        <f>+BF31/BF$6*1000</f>
        <v>4.2384971707920656</v>
      </c>
    </row>
    <row r="48" spans="1:58" ht="16.2" thickBot="1" x14ac:dyDescent="0.35">
      <c r="A48" s="136" t="s">
        <v>445</v>
      </c>
      <c r="B48" s="1568" t="s">
        <v>47</v>
      </c>
      <c r="H48"/>
    </row>
    <row r="49" spans="1:63" x14ac:dyDescent="0.3">
      <c r="A49" s="135" t="s">
        <v>445</v>
      </c>
      <c r="B49" s="1940" t="s">
        <v>259</v>
      </c>
      <c r="C49" s="1907" t="s">
        <v>241</v>
      </c>
      <c r="D49" s="1941">
        <f>+'Maj Techno Summ'!D14</f>
        <v>2.4702702969758947</v>
      </c>
      <c r="E49" s="1941">
        <f>+'Maj Techno Summ'!E14</f>
        <v>2.2528865108420164</v>
      </c>
      <c r="F49" s="1942">
        <f>+F6/3551/F50</f>
        <v>2.2602287624284432</v>
      </c>
      <c r="G49" s="1941">
        <f>+'Maj Techno Summ'!G14</f>
        <v>2.3936919177696425</v>
      </c>
      <c r="H49" s="1942">
        <f>+H6/3551/H50</f>
        <v>1.8271182958050995</v>
      </c>
      <c r="I49" s="1943">
        <f>+(I6/3551)/(E50+G50)</f>
        <v>2.3174223223505117</v>
      </c>
      <c r="J49" s="1943">
        <f>+(J6/3551)/(F50+H50)</f>
        <v>2.1016899539850775</v>
      </c>
      <c r="K49" s="1941">
        <f>+'Maj Techno Summ'!K14</f>
        <v>2.4471008652249489</v>
      </c>
      <c r="L49" s="1942">
        <f>+'Maj Techno Summ'!L14</f>
        <v>2.4868497260238507</v>
      </c>
      <c r="M49" s="1944">
        <f>+(M6/3551)/(E50+G50+K50)</f>
        <v>2.3662622930434813</v>
      </c>
      <c r="N49" s="1944">
        <f>+(N6/3551)/(F50+H50+L50)</f>
        <v>2.2513521651965509</v>
      </c>
      <c r="O49" s="1941">
        <f>+'Maj Techno Summ'!O14</f>
        <v>2.3936919177696425</v>
      </c>
      <c r="P49" s="1942">
        <f>+'Maj Techno Summ'!P14</f>
        <v>2.4358635913554569</v>
      </c>
      <c r="Q49" s="1943">
        <f>+(Q6/3551)/(M50+O50)</f>
        <v>2.3739528420321245</v>
      </c>
      <c r="R49" s="1943">
        <f>+(R6/3551)/(N50+P50)</f>
        <v>2.3047065256361394</v>
      </c>
      <c r="S49" s="1941">
        <f>+'Maj Techno Summ'!S14</f>
        <v>2.3936919177696425</v>
      </c>
      <c r="T49" s="1942">
        <f>+'Maj Techno Summ'!T14</f>
        <v>2.3754677151130301</v>
      </c>
      <c r="U49" s="1943">
        <f>+(U6/3551)/(Q50+S50)</f>
        <v>2.3782752673761065</v>
      </c>
      <c r="V49" s="1943">
        <f>+(V6/3551)/(R50+T50)</f>
        <v>2.320188317704734</v>
      </c>
      <c r="W49" s="1941">
        <f>+'Maj Techno Summ'!W14</f>
        <v>2.3168490916157101</v>
      </c>
      <c r="X49" s="1942">
        <f>+'Maj Techno Summ'!X14</f>
        <v>2.3089599228862205</v>
      </c>
      <c r="Y49" s="1945">
        <f>+(Y6/3551)/(O50+S50+W50)</f>
        <v>2.3767135047072849</v>
      </c>
      <c r="Z49" s="1945">
        <f>+(Z6/3551)/(P50+T50+X50)</f>
        <v>2.3743513256456312</v>
      </c>
      <c r="AA49" s="1946">
        <f>+(AA6/3551)/(M50+Y50)</f>
        <v>2.3714884711682132</v>
      </c>
      <c r="AB49" s="1947">
        <f>+(AB6/3551)/(N50+Z50)</f>
        <v>2.3181920253217072</v>
      </c>
      <c r="AC49" s="1941">
        <f>+'Maj Techno Summ'!AC14</f>
        <v>2.4406270534121841</v>
      </c>
      <c r="AD49" s="1942">
        <f>+'Maj Techno Summ'!AD14</f>
        <v>2.1223595645794298</v>
      </c>
      <c r="AE49" s="1943">
        <f>+(AE6/3551)/(AA50+AC50)</f>
        <v>2.3827600328236067</v>
      </c>
      <c r="AF49" s="1943">
        <f>+(AF6/3551)/(AB50+AD50)</f>
        <v>2.2909837371806643</v>
      </c>
      <c r="AG49" s="1941">
        <f>+'Maj Techno Summ'!AG14</f>
        <v>2.4471008652249489</v>
      </c>
      <c r="AH49" s="1942">
        <f>+'Maj Techno Summ'!AH14</f>
        <v>2.3620869272753087</v>
      </c>
      <c r="AI49" s="1943">
        <f>+(AI6/3551)/(AE50+AG50)</f>
        <v>2.3915193586075274</v>
      </c>
      <c r="AJ49" s="1943">
        <f>+(AJ6/3551)/(AF50+AH50)</f>
        <v>2.3002671123769578</v>
      </c>
      <c r="AK49" s="1941">
        <f>+'Maj Techno Summ'!AK14</f>
        <v>2.4406270534121841</v>
      </c>
      <c r="AL49" s="1942">
        <f>+'Maj Techno Summ'!AL14</f>
        <v>2.307723312740801</v>
      </c>
      <c r="AM49" s="1945">
        <f>+(AM6/3551)/(AC50+AG50+AK50)</f>
        <v>2.4427364977107255</v>
      </c>
      <c r="AN49" s="1945">
        <f>+(AN6/3551)/(AD50+AH50+AL50)</f>
        <v>2.2684138231452518</v>
      </c>
      <c r="AO49" s="1943">
        <f>+(AO6/3551)/(AK50+AI50)</f>
        <v>2.3975816161762218</v>
      </c>
      <c r="AP49" s="1943">
        <f>+(AP6/3551)/(AL50+AJ50)</f>
        <v>2.3011695358700011</v>
      </c>
      <c r="AQ49" s="1941">
        <f>+'Maj Techno Summ'!AQ14</f>
        <v>2.478175161926218</v>
      </c>
      <c r="AR49" s="1942">
        <f>+'Maj Techno Summ'!AR14</f>
        <v>2.2672002493376202</v>
      </c>
      <c r="AS49" s="1943">
        <f>+(AS6/3551)/(AO50+AQ50)</f>
        <v>2.4064375026088309</v>
      </c>
      <c r="AT49" s="1943">
        <f>+(AT6/3551)/(AP50+AR50)</f>
        <v>2.2975324774855745</v>
      </c>
      <c r="AU49" s="1941">
        <f>+'Maj Techno Summ'!AU14</f>
        <v>2.4614871136977587</v>
      </c>
      <c r="AV49" s="1942">
        <f>+'Maj Techno Summ'!AV14</f>
        <v>2.0074321710463376</v>
      </c>
      <c r="AW49" s="1943">
        <f>+(AW6/3551)/(AS50+AU50)</f>
        <v>2.411391689058199</v>
      </c>
      <c r="AX49" s="1943">
        <f>+(AX6/3551)/(AT50+AV50)</f>
        <v>2.2718611540514697</v>
      </c>
      <c r="AY49" s="1941">
        <f>+'Maj Techno Summ'!AY14</f>
        <v>2.478175161926218</v>
      </c>
      <c r="AZ49" s="1942">
        <f>+'Maj Techno Summ'!AZ14</f>
        <v>2.3665177008969525</v>
      </c>
      <c r="BA49" s="1945">
        <f>+(BA6/3551)/(AQ50+AU50+AY50)</f>
        <v>2.4729961124760065</v>
      </c>
      <c r="BB49" s="1945">
        <f>+(BB6/3551)/(AR50+AV50+AZ50)</f>
        <v>2.2196034453298354</v>
      </c>
      <c r="BC49" s="1946">
        <f>+(BC6/3551)/(AM50+BA50)</f>
        <v>2.4576943754640177</v>
      </c>
      <c r="BD49" s="1947">
        <f>+(BD6/3551)/(AN50+BB50)</f>
        <v>2.2438374054957788</v>
      </c>
      <c r="BE49" s="1943">
        <f>+(BE6/3551)/(AW50+AY50)</f>
        <v>2.4174626035584201</v>
      </c>
      <c r="BF49" s="1943">
        <f>+(BF6/3551)/(AX50+AZ50)</f>
        <v>2.2801663652219371</v>
      </c>
      <c r="BG49" s="3464"/>
      <c r="BH49" s="5241"/>
      <c r="BI49" s="3464"/>
      <c r="BJ49" s="3464"/>
      <c r="BK49" s="3464"/>
    </row>
    <row r="50" spans="1:63" ht="15" thickBot="1" x14ac:dyDescent="0.35">
      <c r="A50" s="135" t="s">
        <v>445</v>
      </c>
      <c r="B50" s="1570" t="s">
        <v>422</v>
      </c>
      <c r="C50" s="687" t="s">
        <v>242</v>
      </c>
      <c r="D50" s="103">
        <f>+D6/(D49*3551)</f>
        <v>342.00000000000006</v>
      </c>
      <c r="E50" s="1333">
        <f>+E6/(E49*3551)</f>
        <v>26</v>
      </c>
      <c r="F50" s="179">
        <f>+F79/24</f>
        <v>29.53833333333333</v>
      </c>
      <c r="G50" s="1333">
        <f>+G6/(G49*3551)</f>
        <v>22</v>
      </c>
      <c r="H50" s="179">
        <f>+H79/24</f>
        <v>17.055555555555554</v>
      </c>
      <c r="I50" s="550">
        <f>+E50+G50</f>
        <v>48</v>
      </c>
      <c r="J50" s="550">
        <f>+F50+H50</f>
        <v>46.593888888888884</v>
      </c>
      <c r="K50" s="1333">
        <f>+K6/(K49*3551)</f>
        <v>29</v>
      </c>
      <c r="L50" s="179">
        <f>+L6/(L49*3551)</f>
        <v>29.611111111111111</v>
      </c>
      <c r="M50" s="1929">
        <f>+K50+G50+E50</f>
        <v>77</v>
      </c>
      <c r="N50" s="1929">
        <f>+L50+H50+F50</f>
        <v>76.204999999999998</v>
      </c>
      <c r="O50" s="1333">
        <f>+O6/(O49*3551)</f>
        <v>30</v>
      </c>
      <c r="P50" s="179">
        <f>+P6/(P49*3551)</f>
        <v>30.999999999999996</v>
      </c>
      <c r="Q50" s="550">
        <f>+M50+O50</f>
        <v>107</v>
      </c>
      <c r="R50" s="550">
        <f>+N50+P50</f>
        <v>107.205</v>
      </c>
      <c r="S50" s="1333">
        <f>+S6/(S49*3551)</f>
        <v>30</v>
      </c>
      <c r="T50" s="179">
        <f>+T6/(T49*3551)</f>
        <v>30.024305555555554</v>
      </c>
      <c r="U50" s="550">
        <f>+Q50+S50</f>
        <v>137</v>
      </c>
      <c r="V50" s="550">
        <f>+R50+T50</f>
        <v>137.22930555555556</v>
      </c>
      <c r="W50" s="1333">
        <f>+W6/(W49*3551)</f>
        <v>17.016867469879518</v>
      </c>
      <c r="X50" s="179">
        <f>+X6/(X49*3551)</f>
        <v>29.673611111111111</v>
      </c>
      <c r="Y50" s="1916">
        <f>+W50+S50+O50</f>
        <v>77.016867469879514</v>
      </c>
      <c r="Z50" s="70">
        <f>+X50+T50+P50</f>
        <v>90.697916666666657</v>
      </c>
      <c r="AA50" s="1948">
        <f>M50+Y50</f>
        <v>154.01686746987951</v>
      </c>
      <c r="AB50" s="440">
        <f>+N50+Z50</f>
        <v>166.90291666666667</v>
      </c>
      <c r="AC50" s="1333">
        <f>+AC6/(AC49*3551)</f>
        <v>30.000000000000004</v>
      </c>
      <c r="AD50" s="179">
        <f>+AD6/(AD49*3551)</f>
        <v>26.930555555555561</v>
      </c>
      <c r="AE50" s="550">
        <f>+AA50+AC50</f>
        <v>184.01686746987951</v>
      </c>
      <c r="AF50" s="550">
        <f>+AB50+AD50</f>
        <v>193.83347222222224</v>
      </c>
      <c r="AG50" s="1333">
        <f>+AG6/(AG49*3551)</f>
        <v>29</v>
      </c>
      <c r="AH50" s="179">
        <f>+AH6/(AH49*3551)</f>
        <v>29.107638888888889</v>
      </c>
      <c r="AI50" s="550">
        <f>+AE50+AG50</f>
        <v>213.01686746987951</v>
      </c>
      <c r="AJ50" s="550">
        <f>+AF50+AH50</f>
        <v>222.94111111111113</v>
      </c>
      <c r="AK50" s="1333">
        <f>+AK6/(AK49*3551)</f>
        <v>30.000000000000004</v>
      </c>
      <c r="AL50" s="179">
        <f>+AL6/(AL49*3551)</f>
        <v>30.697916666666668</v>
      </c>
      <c r="AM50" s="1916">
        <f>+AK50+AG50+AC50</f>
        <v>89</v>
      </c>
      <c r="AN50" s="70">
        <f>+AL50+AH50+AD50</f>
        <v>86.736111111111114</v>
      </c>
      <c r="AO50" s="550">
        <f>+AK50+AI50</f>
        <v>243.01686746987951</v>
      </c>
      <c r="AP50" s="550">
        <f>+AL50+AJ50</f>
        <v>253.63902777777778</v>
      </c>
      <c r="AQ50" s="1333">
        <f>+AQ6/(AQ49*3551)</f>
        <v>30</v>
      </c>
      <c r="AR50" s="179">
        <f>+AR6/(AR49*3551)</f>
        <v>30.413194444444393</v>
      </c>
      <c r="AS50" s="550">
        <f>+AO50+AQ50</f>
        <v>273.01686746987951</v>
      </c>
      <c r="AT50" s="546">
        <f>+AP50+AR50</f>
        <v>284.05222222222216</v>
      </c>
      <c r="AU50" s="1333">
        <f>+AU6/(AU49*3551)</f>
        <v>27</v>
      </c>
      <c r="AV50" s="179">
        <f>+AV6/(AV49*3551)</f>
        <v>27.576388888888886</v>
      </c>
      <c r="AW50" s="550">
        <f>+AS50+AU50</f>
        <v>300.01686746987951</v>
      </c>
      <c r="AX50" s="550">
        <f>+AT50+AV50</f>
        <v>311.62861111111101</v>
      </c>
      <c r="AY50" s="1333">
        <f>+AY6/(AY49*3551)</f>
        <v>30</v>
      </c>
      <c r="AZ50" s="179">
        <f>+AZ6/(AZ49*3551)</f>
        <v>29.972222222222232</v>
      </c>
      <c r="BA50" s="1916">
        <f>+AY50+AU50+AQ50</f>
        <v>87</v>
      </c>
      <c r="BB50" s="70">
        <f>+AZ50+AV50+AR50</f>
        <v>87.961805555555515</v>
      </c>
      <c r="BC50" s="433">
        <f t="shared" ref="BC50" si="350">AM50+BA50</f>
        <v>176</v>
      </c>
      <c r="BD50" s="433">
        <f t="shared" ref="BD50" si="351">AN50+BB50</f>
        <v>174.69791666666663</v>
      </c>
      <c r="BE50" s="550">
        <f>+AW50+AY50</f>
        <v>330.01686746987951</v>
      </c>
      <c r="BF50" s="550">
        <f>+AX50+AZ50</f>
        <v>341.60083333333324</v>
      </c>
    </row>
    <row r="51" spans="1:63" ht="15" thickBot="1" x14ac:dyDescent="0.35">
      <c r="A51" s="135"/>
      <c r="B51" s="3498" t="s">
        <v>2174</v>
      </c>
      <c r="C51" s="756" t="s">
        <v>66</v>
      </c>
      <c r="D51" s="2348">
        <f>+D6/D50</f>
        <v>8771.9298245614027</v>
      </c>
      <c r="E51" s="2348">
        <f>+E6/E50</f>
        <v>8000</v>
      </c>
      <c r="F51" s="2348">
        <f t="shared" ref="F51:BF51" si="352">+F6/F50</f>
        <v>8026.0723353834028</v>
      </c>
      <c r="G51" s="2348">
        <f>+G6/G50</f>
        <v>8500</v>
      </c>
      <c r="H51" s="2348">
        <f t="shared" ref="H51" si="353">+H6/H50</f>
        <v>6488.0970684039094</v>
      </c>
      <c r="I51" s="2349">
        <f t="shared" si="352"/>
        <v>8229.1666666666661</v>
      </c>
      <c r="J51" s="35">
        <f t="shared" si="352"/>
        <v>7463.1010266010098</v>
      </c>
      <c r="K51" s="2348">
        <f t="shared" si="352"/>
        <v>8689.6551724137935</v>
      </c>
      <c r="L51" s="2348">
        <f t="shared" si="352"/>
        <v>8830.803377110693</v>
      </c>
      <c r="M51" s="717">
        <f t="shared" si="352"/>
        <v>8402.5974025974028</v>
      </c>
      <c r="N51" s="717">
        <f t="shared" si="352"/>
        <v>7994.5515386129528</v>
      </c>
      <c r="O51" s="2348">
        <f t="shared" si="352"/>
        <v>8500</v>
      </c>
      <c r="P51" s="2348">
        <f t="shared" si="352"/>
        <v>8649.7516129032283</v>
      </c>
      <c r="Q51" s="718">
        <f t="shared" si="352"/>
        <v>8429.9065420560746</v>
      </c>
      <c r="R51" s="718">
        <f t="shared" si="352"/>
        <v>8184.0128725339309</v>
      </c>
      <c r="S51" s="2348">
        <f t="shared" si="352"/>
        <v>8500</v>
      </c>
      <c r="T51" s="2348">
        <f t="shared" si="352"/>
        <v>8435.2858563663704</v>
      </c>
      <c r="U51" s="718">
        <f t="shared" si="352"/>
        <v>8445.2554744525551</v>
      </c>
      <c r="V51" s="718">
        <f t="shared" si="352"/>
        <v>8238.9887161695115</v>
      </c>
      <c r="W51" s="2348">
        <f t="shared" si="352"/>
        <v>8227.1311243273867</v>
      </c>
      <c r="X51" s="2348">
        <f t="shared" si="352"/>
        <v>8199.116686168969</v>
      </c>
      <c r="Y51" s="717">
        <f t="shared" si="352"/>
        <v>8439.709655215569</v>
      </c>
      <c r="Z51" s="717">
        <f t="shared" si="352"/>
        <v>8431.3215573676371</v>
      </c>
      <c r="AA51" s="429">
        <f t="shared" si="352"/>
        <v>8421.1555611183248</v>
      </c>
      <c r="AB51" s="418">
        <f t="shared" si="352"/>
        <v>8231.899881917383</v>
      </c>
      <c r="AC51" s="2348">
        <f t="shared" si="352"/>
        <v>8666.6666666666661</v>
      </c>
      <c r="AD51" s="2348">
        <f t="shared" si="352"/>
        <v>7536.4988138215549</v>
      </c>
      <c r="AE51" s="718">
        <f t="shared" si="352"/>
        <v>8461.1808765566275</v>
      </c>
      <c r="AF51" s="718">
        <f t="shared" si="352"/>
        <v>8135.2832507285393</v>
      </c>
      <c r="AG51" s="2348">
        <f t="shared" si="352"/>
        <v>8689.6551724137935</v>
      </c>
      <c r="AH51" s="2348">
        <f t="shared" si="352"/>
        <v>8387.7706787546213</v>
      </c>
      <c r="AI51" s="718">
        <f t="shared" si="352"/>
        <v>8492.2852424153298</v>
      </c>
      <c r="AJ51" s="718">
        <f t="shared" si="352"/>
        <v>8168.2485160505767</v>
      </c>
      <c r="AK51" s="2348">
        <f t="shared" si="352"/>
        <v>8666.6666666666661</v>
      </c>
      <c r="AL51" s="2348">
        <f t="shared" si="352"/>
        <v>8194.7254835425847</v>
      </c>
      <c r="AM51" s="717">
        <f t="shared" si="352"/>
        <v>8674.1573033707864</v>
      </c>
      <c r="AN51" s="717">
        <f t="shared" si="352"/>
        <v>8055.1374859887901</v>
      </c>
      <c r="AO51" s="718">
        <f t="shared" si="352"/>
        <v>8513.8123190417646</v>
      </c>
      <c r="AP51" s="718">
        <f t="shared" si="352"/>
        <v>8171.4530218743721</v>
      </c>
      <c r="AQ51" s="2348">
        <f t="shared" si="352"/>
        <v>8800</v>
      </c>
      <c r="AR51" s="2348">
        <f t="shared" si="352"/>
        <v>8050.8280853978895</v>
      </c>
      <c r="AS51" s="718">
        <f t="shared" si="352"/>
        <v>8545.2595717639579</v>
      </c>
      <c r="AT51" s="718">
        <f t="shared" si="352"/>
        <v>8158.5378275512749</v>
      </c>
      <c r="AU51" s="2348">
        <f t="shared" si="352"/>
        <v>8740.7407407407409</v>
      </c>
      <c r="AV51" s="2348">
        <f t="shared" si="352"/>
        <v>7128.3916393855452</v>
      </c>
      <c r="AW51" s="718">
        <f t="shared" si="352"/>
        <v>8562.8518878456634</v>
      </c>
      <c r="AX51" s="718">
        <f t="shared" si="352"/>
        <v>8067.3789580367684</v>
      </c>
      <c r="AY51" s="2348">
        <f t="shared" si="352"/>
        <v>8800</v>
      </c>
      <c r="AZ51" s="2348">
        <f t="shared" si="352"/>
        <v>8403.5043558850775</v>
      </c>
      <c r="BA51" s="717">
        <f t="shared" si="352"/>
        <v>8781.6091954022995</v>
      </c>
      <c r="BB51" s="717">
        <f t="shared" si="352"/>
        <v>7881.8118343662454</v>
      </c>
      <c r="BC51" s="429">
        <f t="shared" si="352"/>
        <v>8727.2727272727279</v>
      </c>
      <c r="BD51" s="418">
        <f t="shared" si="352"/>
        <v>7967.8666269155101</v>
      </c>
      <c r="BE51" s="718">
        <f t="shared" si="352"/>
        <v>8584.4097052359502</v>
      </c>
      <c r="BF51" s="718">
        <f t="shared" si="352"/>
        <v>8096.8707629030987</v>
      </c>
    </row>
    <row r="52" spans="1:63" ht="15" thickBot="1" x14ac:dyDescent="0.35">
      <c r="A52" s="135" t="s">
        <v>445</v>
      </c>
      <c r="B52" s="1571" t="s">
        <v>243</v>
      </c>
      <c r="C52" s="695" t="s">
        <v>49</v>
      </c>
      <c r="D52" s="1331">
        <v>70</v>
      </c>
      <c r="E52" s="1331">
        <f>+$D$52</f>
        <v>70</v>
      </c>
      <c r="F52" s="1113">
        <f>+F110</f>
        <v>71.488901927598349</v>
      </c>
      <c r="G52" s="1331">
        <f>+$D$52</f>
        <v>70</v>
      </c>
      <c r="H52" s="1113">
        <f>+H110</f>
        <v>68.984559504465935</v>
      </c>
      <c r="I52" s="1332">
        <f>+(I43/(I43+I44+I46))*100</f>
        <v>70</v>
      </c>
      <c r="J52" s="1332">
        <f>+J110</f>
        <v>70.680006924292357</v>
      </c>
      <c r="K52" s="1331">
        <f>+$D$52</f>
        <v>70</v>
      </c>
      <c r="L52" s="1113">
        <f>+L110</f>
        <v>70.603076765400957</v>
      </c>
      <c r="M52" s="1437">
        <f>+$D$52</f>
        <v>70</v>
      </c>
      <c r="N52" s="1922">
        <f>+N110</f>
        <v>70.64670150666926</v>
      </c>
      <c r="O52" s="1331">
        <f>+$D$52</f>
        <v>70</v>
      </c>
      <c r="P52" s="1113">
        <f>+P110</f>
        <v>70.948413654028116</v>
      </c>
      <c r="Q52" s="705">
        <f>+$D$52</f>
        <v>70</v>
      </c>
      <c r="R52" s="1921">
        <f>+R110</f>
        <v>70.739371964867445</v>
      </c>
      <c r="S52" s="1331">
        <f>+$D$52</f>
        <v>70</v>
      </c>
      <c r="T52" s="1113">
        <f>+T110</f>
        <v>71.412130955035664</v>
      </c>
      <c r="U52" s="705">
        <f>+$D$52</f>
        <v>70</v>
      </c>
      <c r="V52" s="1921">
        <f>+V110</f>
        <v>70.890581727281386</v>
      </c>
      <c r="W52" s="1331">
        <f>+$D$52</f>
        <v>70</v>
      </c>
      <c r="X52" s="1113">
        <f>+X110</f>
        <v>71.775411644618927</v>
      </c>
      <c r="Y52" s="1932">
        <f>+(Y43/(Y43+Y44+Y46))*100</f>
        <v>70</v>
      </c>
      <c r="Z52" s="1933">
        <f>+Z110</f>
        <v>71.365148800778968</v>
      </c>
      <c r="AA52" s="1934">
        <f>+(AA43/(AA43+AA44+AA46))*100</f>
        <v>70</v>
      </c>
      <c r="AB52" s="1935">
        <f>+AB110</f>
        <v>71.047833949666796</v>
      </c>
      <c r="AC52" s="1331">
        <f>+$D$52</f>
        <v>70</v>
      </c>
      <c r="AD52" s="1113">
        <f>+AD110</f>
        <v>70.192964767058328</v>
      </c>
      <c r="AE52" s="705">
        <f>+$D$52</f>
        <v>70</v>
      </c>
      <c r="AF52" s="1332">
        <f>+AF110</f>
        <v>70.936419917075341</v>
      </c>
      <c r="AG52" s="1331">
        <f>+$D$52</f>
        <v>70</v>
      </c>
      <c r="AH52" s="1113">
        <f>+AH110</f>
        <v>71.299475739148974</v>
      </c>
      <c r="AI52" s="705">
        <f>+$D$52</f>
        <v>70</v>
      </c>
      <c r="AJ52" s="1332">
        <f>+AJ110</f>
        <v>70.985618411487877</v>
      </c>
      <c r="AK52" s="1331">
        <f>+$D$52</f>
        <v>70</v>
      </c>
      <c r="AL52" s="1113">
        <f>+AL110</f>
        <v>67.962178746849304</v>
      </c>
      <c r="AM52" s="1932">
        <f>+(AM43/(AM43+AM44+AM46))*100</f>
        <v>70</v>
      </c>
      <c r="AN52" s="1933">
        <f>+AN110</f>
        <v>69.768783385287577</v>
      </c>
      <c r="AO52" s="705">
        <f>+$D$52</f>
        <v>70</v>
      </c>
      <c r="AP52" s="1921">
        <f>+AP110</f>
        <v>70.611367564718435</v>
      </c>
      <c r="AQ52" s="1331">
        <f>+$D$52</f>
        <v>70</v>
      </c>
      <c r="AR52" s="1113">
        <f>+AR110</f>
        <v>68.691563814948694</v>
      </c>
      <c r="AS52" s="705">
        <f>+$D$52</f>
        <v>70</v>
      </c>
      <c r="AT52" s="1332">
        <f>+AT110</f>
        <v>70.406706483026397</v>
      </c>
      <c r="AU52" s="1331">
        <f>+$D$52</f>
        <v>70</v>
      </c>
      <c r="AV52" s="1113">
        <f>+AV110</f>
        <v>72.190192142263896</v>
      </c>
      <c r="AW52" s="705">
        <f>+$D$52</f>
        <v>70</v>
      </c>
      <c r="AX52" s="1332">
        <f>+AX110</f>
        <v>70.545115729494583</v>
      </c>
      <c r="AY52" s="1331">
        <f>+$D$52</f>
        <v>70</v>
      </c>
      <c r="AZ52" s="1113">
        <f>+AZ110</f>
        <v>72.275284582999859</v>
      </c>
      <c r="BA52" s="1932">
        <f>+(BA43/(BA43+BA44+BA46))*100</f>
        <v>70</v>
      </c>
      <c r="BB52" s="1933">
        <f>+BB110</f>
        <v>70.969266257123536</v>
      </c>
      <c r="BC52" s="1934">
        <f>+(BC43/(BC43+BC44+BC46))*100</f>
        <v>70</v>
      </c>
      <c r="BD52" s="1935">
        <f>+BD110</f>
        <v>70.362197475061009</v>
      </c>
      <c r="BE52" s="705">
        <f>+$D$52</f>
        <v>70</v>
      </c>
      <c r="BF52" s="1921">
        <f>+BF110</f>
        <v>70.700889265069549</v>
      </c>
    </row>
    <row r="53" spans="1:63" ht="15" thickBot="1" x14ac:dyDescent="0.35">
      <c r="A53" s="135"/>
      <c r="B53" s="1570" t="s">
        <v>1263</v>
      </c>
      <c r="C53" s="687" t="s">
        <v>49</v>
      </c>
      <c r="D53" s="1333">
        <v>17</v>
      </c>
      <c r="E53" s="1333">
        <v>17</v>
      </c>
      <c r="F53" s="179">
        <f>+F112</f>
        <v>15.217146620866739</v>
      </c>
      <c r="G53" s="1333">
        <v>17</v>
      </c>
      <c r="H53" s="179">
        <f>+H112</f>
        <v>17.654815348292281</v>
      </c>
      <c r="I53" s="1936">
        <f>+I112</f>
        <v>17.000000000000004</v>
      </c>
      <c r="J53" s="550">
        <f>+J112</f>
        <v>16.00450622277911</v>
      </c>
      <c r="K53" s="1333">
        <v>17</v>
      </c>
      <c r="L53" s="179">
        <f>+L112</f>
        <v>15.047416471674611</v>
      </c>
      <c r="M53" s="1653">
        <f>+M112</f>
        <v>17.000000000000014</v>
      </c>
      <c r="N53" s="1929">
        <f>+N112</f>
        <v>15.590152810246639</v>
      </c>
      <c r="O53" s="1333">
        <v>17</v>
      </c>
      <c r="P53" s="179">
        <f>+P112</f>
        <v>12.547111298604772</v>
      </c>
      <c r="Q53" s="1850">
        <f>+Q112</f>
        <v>17</v>
      </c>
      <c r="R53" s="1927">
        <f>+R112</f>
        <v>14.655486925334394</v>
      </c>
      <c r="S53" s="1333">
        <v>17</v>
      </c>
      <c r="T53" s="179">
        <f>+T112</f>
        <v>16.742641892683451</v>
      </c>
      <c r="U53" s="1850">
        <f>+U112</f>
        <v>16.999999999999986</v>
      </c>
      <c r="V53" s="1927">
        <f>+V112</f>
        <v>15.124597277401195</v>
      </c>
      <c r="W53" s="1333">
        <v>17</v>
      </c>
      <c r="X53" s="179">
        <f>+X112</f>
        <v>17.088308088955316</v>
      </c>
      <c r="Y53" s="1937">
        <f>+Y112</f>
        <v>17.000000000000007</v>
      </c>
      <c r="Z53" s="1937">
        <f>+Z112</f>
        <v>15.381380613189572</v>
      </c>
      <c r="AA53" s="1938">
        <f>+AA112</f>
        <v>17.000000000000004</v>
      </c>
      <c r="AB53" s="456">
        <f>+AB112</f>
        <v>15.473588516495298</v>
      </c>
      <c r="AC53" s="1333">
        <v>17</v>
      </c>
      <c r="AD53" s="179">
        <f>+AD112</f>
        <v>16.632684498704275</v>
      </c>
      <c r="AE53" s="1850">
        <f>+AE112</f>
        <v>17</v>
      </c>
      <c r="AF53" s="550">
        <f>+AF112</f>
        <v>15.624652047811763</v>
      </c>
      <c r="AG53" s="1333">
        <v>17</v>
      </c>
      <c r="AH53" s="179">
        <f>+AH112</f>
        <v>16.546201866162754</v>
      </c>
      <c r="AI53" s="1850">
        <f>+AI112</f>
        <v>17.000000000000018</v>
      </c>
      <c r="AJ53" s="550">
        <f>+AJ112</f>
        <v>15.749533294254956</v>
      </c>
      <c r="AK53" s="1333">
        <v>17</v>
      </c>
      <c r="AL53" s="179">
        <f>+AL112</f>
        <v>16.50419807859916</v>
      </c>
      <c r="AM53" s="1937">
        <f>+AM112</f>
        <v>17</v>
      </c>
      <c r="AN53" s="1937">
        <f>+AN112</f>
        <v>16.555984687432669</v>
      </c>
      <c r="AO53" s="1850">
        <f>+AO112</f>
        <v>17</v>
      </c>
      <c r="AP53" s="1927">
        <f>+AP112</f>
        <v>15.84294806878186</v>
      </c>
      <c r="AQ53" s="1333">
        <v>17</v>
      </c>
      <c r="AR53" s="179">
        <f>+AR112</f>
        <v>14.258202945770389</v>
      </c>
      <c r="AS53" s="1850">
        <f>+AS112</f>
        <v>17</v>
      </c>
      <c r="AT53" s="550">
        <f>+AT112</f>
        <v>15.674005982320899</v>
      </c>
      <c r="AU53" s="1333">
        <v>17</v>
      </c>
      <c r="AV53" s="179">
        <f>+AV112</f>
        <v>14.295112121795412</v>
      </c>
      <c r="AW53" s="1850">
        <f>+AW112</f>
        <v>17.000000000000004</v>
      </c>
      <c r="AX53" s="550">
        <f>+AX112</f>
        <v>15.566995500231274</v>
      </c>
      <c r="AY53" s="1333">
        <v>17</v>
      </c>
      <c r="AZ53" s="179">
        <f>+AZ112</f>
        <v>15.591139578588084</v>
      </c>
      <c r="BA53" s="1937">
        <f t="shared" ref="BA53:BF53" si="354">+BA112</f>
        <v>17</v>
      </c>
      <c r="BB53" s="1937">
        <f t="shared" si="354"/>
        <v>14.748408201545113</v>
      </c>
      <c r="BC53" s="1938">
        <f t="shared" si="354"/>
        <v>17</v>
      </c>
      <c r="BD53" s="456">
        <f t="shared" si="354"/>
        <v>15.662476433184631</v>
      </c>
      <c r="BE53" s="1850">
        <f t="shared" si="354"/>
        <v>17.000000000000004</v>
      </c>
      <c r="BF53" s="1927">
        <f t="shared" si="354"/>
        <v>15.569169281386333</v>
      </c>
    </row>
    <row r="54" spans="1:63" x14ac:dyDescent="0.3">
      <c r="A54" s="135"/>
      <c r="B54" s="1571" t="s">
        <v>566</v>
      </c>
      <c r="C54" s="695" t="s">
        <v>49</v>
      </c>
      <c r="D54" s="750"/>
      <c r="E54" s="1919" t="s">
        <v>32</v>
      </c>
      <c r="F54" s="1920">
        <v>0.59</v>
      </c>
      <c r="G54" s="1919" t="s">
        <v>32</v>
      </c>
      <c r="H54" s="1920">
        <v>0.56000000000000005</v>
      </c>
      <c r="I54" s="753" t="s">
        <v>32</v>
      </c>
      <c r="J54" s="1921">
        <f>+((F54*F58)+(H54*H58))/J58</f>
        <v>0.58120726303955561</v>
      </c>
      <c r="K54" s="1919" t="s">
        <v>32</v>
      </c>
      <c r="L54" s="1920">
        <v>0.8</v>
      </c>
      <c r="M54" s="754" t="s">
        <v>32</v>
      </c>
      <c r="N54" s="1922">
        <f>+((F54*F58)+(H54*H58)+(L54*L58))/N58</f>
        <v>0.66886459766600426</v>
      </c>
      <c r="O54" s="1919" t="s">
        <v>32</v>
      </c>
      <c r="P54" s="1920">
        <v>0.81</v>
      </c>
      <c r="Q54" s="753" t="s">
        <v>32</v>
      </c>
      <c r="R54" s="1921">
        <f>+((N54*N58)+(P54*P58))/R58</f>
        <v>0.71190093866225879</v>
      </c>
      <c r="S54" s="1919" t="s">
        <v>32</v>
      </c>
      <c r="T54" s="1920">
        <v>0.83</v>
      </c>
      <c r="U54" s="753" t="s">
        <v>32</v>
      </c>
      <c r="V54" s="1921">
        <f>+((R54*R58)+(T54*T58))/V58</f>
        <v>0.73877662323449134</v>
      </c>
      <c r="W54" s="1919" t="s">
        <v>32</v>
      </c>
      <c r="X54" s="1920">
        <v>0.66</v>
      </c>
      <c r="Y54" s="754" t="s">
        <v>32</v>
      </c>
      <c r="Z54" s="1922">
        <f>+((P54*P58)+(T54*T58)+(X54*X58))/Z58</f>
        <v>0.76585177423982886</v>
      </c>
      <c r="AA54" s="755" t="s">
        <v>32</v>
      </c>
      <c r="AB54" s="1923">
        <f>+((N54*N58)+(Z54*Z58))/AB58</f>
        <v>0.7237275005471927</v>
      </c>
      <c r="AC54" s="1919" t="s">
        <v>32</v>
      </c>
      <c r="AD54" s="1920">
        <v>1.36</v>
      </c>
      <c r="AE54" s="753" t="s">
        <v>32</v>
      </c>
      <c r="AF54" s="1921">
        <f>+((AB54*AB58)+(AD54*AD58))/AF58</f>
        <v>0.80906632368410969</v>
      </c>
      <c r="AG54" s="1919" t="s">
        <v>32</v>
      </c>
      <c r="AH54" s="1920">
        <v>0.56999999999999995</v>
      </c>
      <c r="AI54" s="753" t="s">
        <v>32</v>
      </c>
      <c r="AJ54" s="1921">
        <f>+((AF54*AF58)+(AH54*AH58))/AJ58</f>
        <v>0.77736382090169776</v>
      </c>
      <c r="AK54" s="1919" t="s">
        <v>32</v>
      </c>
      <c r="AL54" s="1920">
        <v>0.42</v>
      </c>
      <c r="AM54" s="754" t="s">
        <v>32</v>
      </c>
      <c r="AN54" s="1922">
        <f>+((AD54*AD58)+(AH54*AH58)+(AL54*AL58))/AN58</f>
        <v>0.76012107749737523</v>
      </c>
      <c r="AO54" s="753" t="s">
        <v>32</v>
      </c>
      <c r="AP54" s="1921">
        <f>+((AL54*AL58)+(AJ54*AJ58))/AP58</f>
        <v>0.73595479434382238</v>
      </c>
      <c r="AQ54" s="1919" t="s">
        <v>32</v>
      </c>
      <c r="AR54" s="1920">
        <v>0.66</v>
      </c>
      <c r="AS54" s="753" t="s">
        <v>32</v>
      </c>
      <c r="AT54" s="1921">
        <f>+((AP54*AP58)+(AR54*AR58))/AT58</f>
        <v>0.72755338308298756</v>
      </c>
      <c r="AU54" s="1919" t="s">
        <v>32</v>
      </c>
      <c r="AV54" s="1920">
        <v>0.46</v>
      </c>
      <c r="AW54" s="753" t="s">
        <v>32</v>
      </c>
      <c r="AX54" s="1921">
        <f>+((AT54*AT58)+(AV54*AV58))/AX58</f>
        <v>0.70465375936804009</v>
      </c>
      <c r="AY54" s="1919" t="s">
        <v>32</v>
      </c>
      <c r="AZ54" s="1920">
        <v>0.5</v>
      </c>
      <c r="BA54" s="754" t="s">
        <v>32</v>
      </c>
      <c r="BB54" s="1922">
        <f>+((AR54*AR58)+(AV54*AV58)+(AZ54*AZ58))/BB58</f>
        <v>0.54325166797223201</v>
      </c>
      <c r="BC54" s="755" t="s">
        <v>32</v>
      </c>
      <c r="BD54" s="1923">
        <f>+((AN54*AN58)+(BB54*BB58))/BD58</f>
        <v>0.64753259228442805</v>
      </c>
      <c r="BE54" s="753" t="s">
        <v>32</v>
      </c>
      <c r="BF54" s="1921">
        <f>+((AX54*AX58)+(AZ54*AZ58))/BF58</f>
        <v>0.68466031063544752</v>
      </c>
    </row>
    <row r="55" spans="1:63" x14ac:dyDescent="0.3">
      <c r="A55" s="135"/>
      <c r="B55" s="1569" t="s">
        <v>567</v>
      </c>
      <c r="C55" s="509" t="s">
        <v>49</v>
      </c>
      <c r="D55" s="146"/>
      <c r="E55" s="1528" t="s">
        <v>32</v>
      </c>
      <c r="F55" s="1033">
        <v>4.47</v>
      </c>
      <c r="G55" s="1528" t="s">
        <v>32</v>
      </c>
      <c r="H55" s="1033">
        <v>4.8</v>
      </c>
      <c r="I55" s="722" t="s">
        <v>32</v>
      </c>
      <c r="J55" s="343">
        <f>+((F55*F64)+(H55*H64))/J64</f>
        <v>4.5966992776292592</v>
      </c>
      <c r="K55" s="1528" t="s">
        <v>32</v>
      </c>
      <c r="L55" s="1033">
        <v>5.94</v>
      </c>
      <c r="M55" s="751" t="s">
        <v>32</v>
      </c>
      <c r="N55" s="345">
        <f>+((F55*F64)+(H55*H64)+(L55*L64))/N64</f>
        <v>5.1573983497365541</v>
      </c>
      <c r="O55" s="1528" t="s">
        <v>32</v>
      </c>
      <c r="P55" s="1033">
        <v>6.68</v>
      </c>
      <c r="Q55" s="722" t="s">
        <v>32</v>
      </c>
      <c r="R55" s="343">
        <f>+((N55*N64)+(P55*P64))/R64</f>
        <v>5.639638854296388</v>
      </c>
      <c r="S55" s="1528" t="s">
        <v>32</v>
      </c>
      <c r="T55" s="1033">
        <v>5.95</v>
      </c>
      <c r="U55" s="722" t="s">
        <v>32</v>
      </c>
      <c r="V55" s="343">
        <f>+((R55*R64)+(T55*T64))/V64</f>
        <v>5.7119303181881333</v>
      </c>
      <c r="W55" s="1528" t="s">
        <v>32</v>
      </c>
      <c r="X55" s="1033">
        <v>5.44</v>
      </c>
      <c r="Y55" s="751" t="s">
        <v>32</v>
      </c>
      <c r="Z55" s="345">
        <f>+((P55*P64)+(T55*T64)+(X55*X64))/Z64</f>
        <v>6.0298714634146338</v>
      </c>
      <c r="AA55" s="723" t="s">
        <v>32</v>
      </c>
      <c r="AB55" s="428">
        <f>+((N55*N64)+(Z55*Z64))/AB64</f>
        <v>5.6599679671804095</v>
      </c>
      <c r="AC55" s="1528" t="s">
        <v>32</v>
      </c>
      <c r="AD55" s="1033">
        <v>5.85</v>
      </c>
      <c r="AE55" s="722" t="s">
        <v>32</v>
      </c>
      <c r="AF55" s="343">
        <f>+((AB55*AB64)+(AD55*AD64))/AF64</f>
        <v>5.689124730901435</v>
      </c>
      <c r="AG55" s="1528" t="s">
        <v>32</v>
      </c>
      <c r="AH55" s="1033">
        <v>4.9000000000000004</v>
      </c>
      <c r="AI55" s="722" t="s">
        <v>32</v>
      </c>
      <c r="AJ55" s="343">
        <f>+((AF55*AF64)+(AH55*AH64))/AJ64</f>
        <v>5.5894867344923984</v>
      </c>
      <c r="AK55" s="1528" t="s">
        <v>32</v>
      </c>
      <c r="AL55" s="1033">
        <v>5.2</v>
      </c>
      <c r="AM55" s="751" t="s">
        <v>32</v>
      </c>
      <c r="AN55" s="345">
        <f>+((AD55*AD64)+(AH55*AH64)+(AL55*AL64))/AN64</f>
        <v>5.3298701298701303</v>
      </c>
      <c r="AO55" s="722" t="s">
        <v>32</v>
      </c>
      <c r="AP55" s="343">
        <f>+((AL55*AL64)+(AJ55*AJ64))/AP64</f>
        <v>5.5480765265846301</v>
      </c>
      <c r="AQ55" s="1528" t="s">
        <v>32</v>
      </c>
      <c r="AR55" s="1033">
        <v>5.48</v>
      </c>
      <c r="AS55" s="722" t="s">
        <v>32</v>
      </c>
      <c r="AT55" s="343">
        <f>+((AP55*AP64)+(AR55*AR64))/AT64</f>
        <v>5.5422263535883465</v>
      </c>
      <c r="AU55" s="1528" t="s">
        <v>32</v>
      </c>
      <c r="AV55" s="1033">
        <v>5</v>
      </c>
      <c r="AW55" s="722" t="s">
        <v>32</v>
      </c>
      <c r="AX55" s="343">
        <f>+((AT55*AT64)+(AV55*AV64))/AX64</f>
        <v>5.4883868057254714</v>
      </c>
      <c r="AY55" s="1528" t="s">
        <v>32</v>
      </c>
      <c r="AZ55" s="1033">
        <v>5.14</v>
      </c>
      <c r="BA55" s="751" t="s">
        <v>32</v>
      </c>
      <c r="BB55" s="345">
        <f>+((AR55*AR64)+(AV55*AV64)+(AZ55*AZ64))/BB64</f>
        <v>5.185873379099923</v>
      </c>
      <c r="BC55" s="723" t="s">
        <v>32</v>
      </c>
      <c r="BD55" s="428">
        <f>+((AN55*AN64)+(BB55*BB64))/BD64</f>
        <v>5.2589743375756308</v>
      </c>
      <c r="BE55" s="722" t="s">
        <v>32</v>
      </c>
      <c r="BF55" s="343">
        <f>+((AX55*AX64)+(AZ55*AZ64))/BF64</f>
        <v>5.4584649686870943</v>
      </c>
    </row>
    <row r="56" spans="1:63" x14ac:dyDescent="0.3">
      <c r="A56" s="135"/>
      <c r="B56" s="1569" t="s">
        <v>1259</v>
      </c>
      <c r="C56" s="509" t="s">
        <v>49</v>
      </c>
      <c r="D56" s="146"/>
      <c r="E56" s="1528" t="s">
        <v>32</v>
      </c>
      <c r="F56" s="1033">
        <v>1.23</v>
      </c>
      <c r="G56" s="1528" t="s">
        <v>32</v>
      </c>
      <c r="H56" s="1033">
        <v>1.42</v>
      </c>
      <c r="I56" s="1909"/>
      <c r="J56" s="343">
        <f>+((F56*F66)+(H56*H66))/J66</f>
        <v>1.29365</v>
      </c>
      <c r="K56" s="1528" t="s">
        <v>32</v>
      </c>
      <c r="L56" s="1033">
        <v>2.21</v>
      </c>
      <c r="M56" s="1910"/>
      <c r="N56" s="345">
        <f>+((J56*J66)+(L56*L66))/N66</f>
        <v>1.686620656830081</v>
      </c>
      <c r="O56" s="1528" t="s">
        <v>32</v>
      </c>
      <c r="P56" s="1033">
        <v>2.76</v>
      </c>
      <c r="Q56" s="1909"/>
      <c r="R56" s="343">
        <f>+((N56*N66)+(P56*P66))/R66</f>
        <v>1.9970872801082542</v>
      </c>
      <c r="S56" s="1528" t="s">
        <v>32</v>
      </c>
      <c r="T56" s="1033">
        <v>2.35</v>
      </c>
      <c r="U56" s="1909"/>
      <c r="V56" s="343">
        <f>+((R56*R66)+(T56*T66))/V66</f>
        <v>2.0802973112719751</v>
      </c>
      <c r="W56" s="1528" t="s">
        <v>32</v>
      </c>
      <c r="X56" s="1033">
        <v>1.84</v>
      </c>
      <c r="Y56" s="1910"/>
      <c r="Z56" s="345">
        <f>+((P56*P65)+(T56*T65)+(X56*X65))/Z65</f>
        <v>2.3186670746305946</v>
      </c>
      <c r="AA56" s="757"/>
      <c r="AB56" s="428">
        <f>+((N56*N66)+(Z56*Z66))/AB66</f>
        <v>2.034070091390372</v>
      </c>
      <c r="AC56" s="1528" t="s">
        <v>32</v>
      </c>
      <c r="AD56" s="1033">
        <v>1.54</v>
      </c>
      <c r="AE56" s="1909"/>
      <c r="AF56" s="343">
        <f>+((AB56*AB66)+(AD56*AD66))/AF66</f>
        <v>1.9470146621517437</v>
      </c>
      <c r="AG56" s="1528" t="s">
        <v>32</v>
      </c>
      <c r="AH56" s="1033">
        <v>2.2599999999999998</v>
      </c>
      <c r="AI56" s="1909"/>
      <c r="AJ56" s="343">
        <f>+((AF56*AF66)+(AH56*AH66))/AJ66</f>
        <v>1.9977978178416618</v>
      </c>
      <c r="AK56" s="1528" t="s">
        <v>32</v>
      </c>
      <c r="AL56" s="1033">
        <v>1.7</v>
      </c>
      <c r="AM56" s="1910"/>
      <c r="AN56" s="345">
        <f>+((AD56*AD65)+(AH56*AH65)+(AL56*AL65))/AN65</f>
        <v>1.8310273140996434</v>
      </c>
      <c r="AO56" s="1909"/>
      <c r="AP56" s="343">
        <f>+((AL56*AL66)+(AJ56*AJ66))/AP66</f>
        <v>1.9507361203521139</v>
      </c>
      <c r="AQ56" s="1528" t="s">
        <v>32</v>
      </c>
      <c r="AR56" s="1033">
        <v>1.41</v>
      </c>
      <c r="AS56" s="1909"/>
      <c r="AT56" s="343">
        <f>+((AP56*AP66)+(AR56*AR66))/AT66</f>
        <v>1.8914937953456945</v>
      </c>
      <c r="AU56" s="1528" t="s">
        <v>32</v>
      </c>
      <c r="AV56" s="1033">
        <v>1.23</v>
      </c>
      <c r="AW56" s="1909"/>
      <c r="AX56" s="343">
        <f>+((AT56*AT66)+(AV56*AV66))/AX66</f>
        <v>1.8467012350281684</v>
      </c>
      <c r="AY56" s="1528" t="s">
        <v>32</v>
      </c>
      <c r="AZ56" s="1033">
        <v>1.1000000000000001</v>
      </c>
      <c r="BA56" s="1910"/>
      <c r="BB56" s="345">
        <f>+((AR56*AR65)+(AV56*AV65)+(AZ56*AZ65))/BB65</f>
        <v>1.2361664713885046</v>
      </c>
      <c r="BC56" s="757"/>
      <c r="BD56" s="428">
        <f>+((AN56*AN66)+(BB56*BB66))/BD66</f>
        <v>1.5735083248747266</v>
      </c>
      <c r="BE56" s="1909"/>
      <c r="BF56" s="343">
        <f>+((AX56*AX66)+(AZ56*AZ66))/BF66</f>
        <v>1.7815286890382596</v>
      </c>
    </row>
    <row r="57" spans="1:63" ht="15" thickBot="1" x14ac:dyDescent="0.35">
      <c r="A57" s="135"/>
      <c r="B57" s="1579" t="s">
        <v>568</v>
      </c>
      <c r="C57" s="761" t="s">
        <v>49</v>
      </c>
      <c r="D57" s="821"/>
      <c r="E57" s="1924" t="s">
        <v>32</v>
      </c>
      <c r="F57" s="1925">
        <v>7.47</v>
      </c>
      <c r="G57" s="1924" t="s">
        <v>32</v>
      </c>
      <c r="H57" s="1925">
        <v>7.98</v>
      </c>
      <c r="I57" s="1926" t="s">
        <v>32</v>
      </c>
      <c r="J57" s="1927">
        <f>+((F57*F68)+(H57*H68))/J68</f>
        <v>7.6177348679192951</v>
      </c>
      <c r="K57" s="1924" t="s">
        <v>32</v>
      </c>
      <c r="L57" s="1925">
        <v>8.91</v>
      </c>
      <c r="M57" s="1928" t="s">
        <v>32</v>
      </c>
      <c r="N57" s="1929">
        <f>+((F57*F68)+(H57*H68)+(L57*L68))/N68</f>
        <v>8.1008335504037507</v>
      </c>
      <c r="O57" s="1924" t="s">
        <v>32</v>
      </c>
      <c r="P57" s="1925">
        <v>11.03</v>
      </c>
      <c r="Q57" s="1926" t="s">
        <v>32</v>
      </c>
      <c r="R57" s="1927">
        <f>+((N57*N68)+(P57*P68))/R68</f>
        <v>8.8290402870657303</v>
      </c>
      <c r="S57" s="1924" t="s">
        <v>32</v>
      </c>
      <c r="T57" s="1925">
        <v>10.47</v>
      </c>
      <c r="U57" s="1926" t="s">
        <v>32</v>
      </c>
      <c r="V57" s="1927">
        <f>+((R57*R68)+(T57*T68))/V68</f>
        <v>9.1669661960885893</v>
      </c>
      <c r="W57" s="1924" t="s">
        <v>32</v>
      </c>
      <c r="X57" s="1925">
        <v>10.7</v>
      </c>
      <c r="Y57" s="1928" t="s">
        <v>32</v>
      </c>
      <c r="Z57" s="1929">
        <f>+((P57*P68)+(T57*T68)+(X57*X68))/Z68</f>
        <v>10.733189730200175</v>
      </c>
      <c r="AA57" s="1930" t="s">
        <v>32</v>
      </c>
      <c r="AB57" s="440">
        <f>+((N57*N68)+(Z57*Z68))/AB68</f>
        <v>9.3461988745539397</v>
      </c>
      <c r="AC57" s="1924" t="s">
        <v>32</v>
      </c>
      <c r="AD57" s="1925">
        <v>9.8699999999999992</v>
      </c>
      <c r="AE57" s="1926" t="s">
        <v>32</v>
      </c>
      <c r="AF57" s="1927">
        <f>+((AB57*AB68)+(AD57*AD68))/AF68</f>
        <v>9.4105599919743188</v>
      </c>
      <c r="AG57" s="1924" t="s">
        <v>32</v>
      </c>
      <c r="AH57" s="1925">
        <v>9.69</v>
      </c>
      <c r="AI57" s="1926" t="s">
        <v>32</v>
      </c>
      <c r="AJ57" s="1927">
        <f>+((AF57*AF68)+(AH57*AH68))/AJ68</f>
        <v>9.4577275228898792</v>
      </c>
      <c r="AK57" s="1924" t="s">
        <v>32</v>
      </c>
      <c r="AL57" s="1925">
        <v>8.3000000000000007</v>
      </c>
      <c r="AM57" s="1928" t="s">
        <v>32</v>
      </c>
      <c r="AN57" s="1929">
        <f>+((AD57*AD68)+(AH57*AH68)+(AL57*AL68))/AN68</f>
        <v>9.108924070089147</v>
      </c>
      <c r="AO57" s="1926" t="s">
        <v>32</v>
      </c>
      <c r="AP57" s="1927">
        <f>+((AL57*AL68)+(AJ57*AJ68))/AP68</f>
        <v>9.251029550778842</v>
      </c>
      <c r="AQ57" s="1924" t="s">
        <v>32</v>
      </c>
      <c r="AR57" s="1925">
        <v>7.78</v>
      </c>
      <c r="AS57" s="1926" t="s">
        <v>32</v>
      </c>
      <c r="AT57" s="1927">
        <f>+((AP57*AP68)+(AR57*AR68))/AT68</f>
        <v>9.0033523601189458</v>
      </c>
      <c r="AU57" s="1924" t="s">
        <v>32</v>
      </c>
      <c r="AV57" s="1925">
        <v>7.19</v>
      </c>
      <c r="AW57" s="1926" t="s">
        <v>32</v>
      </c>
      <c r="AX57" s="1927">
        <f>+((AT57*AT68)+(AV57*AV68))/AX68</f>
        <v>8.8199335367851877</v>
      </c>
      <c r="AY57" s="1924" t="s">
        <v>32</v>
      </c>
      <c r="AZ57" s="1925">
        <v>7.04</v>
      </c>
      <c r="BA57" s="1928" t="s">
        <v>32</v>
      </c>
      <c r="BB57" s="1929">
        <f>+((AR57*AR68)+(AV57*AV68)+(AZ57*AZ68))/BB68</f>
        <v>7.4052138235294125</v>
      </c>
      <c r="BC57" s="1930" t="s">
        <v>32</v>
      </c>
      <c r="BD57" s="440">
        <f>+((AN57*AN68)+(BB57*BB68))/BD68</f>
        <v>8.193486416865527</v>
      </c>
      <c r="BE57" s="1926" t="s">
        <v>32</v>
      </c>
      <c r="BF57" s="1927">
        <f>+((AX57*AX68)+(AZ57*AZ68))/BF68</f>
        <v>8.6644702924490389</v>
      </c>
    </row>
    <row r="58" spans="1:63" ht="15.6" x14ac:dyDescent="0.3">
      <c r="A58" s="135"/>
      <c r="B58" s="1940" t="s">
        <v>1518</v>
      </c>
      <c r="C58" s="1907" t="s">
        <v>50</v>
      </c>
      <c r="D58" s="2077"/>
      <c r="E58" s="2078" t="s">
        <v>32</v>
      </c>
      <c r="F58" s="2079">
        <f>+RMHP!E28</f>
        <v>74827</v>
      </c>
      <c r="G58" s="2078" t="s">
        <v>32</v>
      </c>
      <c r="H58" s="2079">
        <f>+RMHP!G28</f>
        <v>31024</v>
      </c>
      <c r="I58" s="2066" t="s">
        <v>32</v>
      </c>
      <c r="J58" s="2067">
        <f t="shared" ref="I58:J69" si="355">+F58+H58</f>
        <v>105851</v>
      </c>
      <c r="K58" s="2078" t="s">
        <v>32</v>
      </c>
      <c r="L58" s="2079">
        <f>+RMHP!K28</f>
        <v>70756</v>
      </c>
      <c r="M58" s="2068" t="s">
        <v>32</v>
      </c>
      <c r="N58" s="2068">
        <f>F58+H58+L58</f>
        <v>176607</v>
      </c>
      <c r="O58" s="2078" t="s">
        <v>32</v>
      </c>
      <c r="P58" s="2079">
        <f>+RMHP!O28</f>
        <v>77478</v>
      </c>
      <c r="Q58" s="2066" t="s">
        <v>32</v>
      </c>
      <c r="R58" s="2067">
        <f t="shared" ref="R58:R69" si="356">+N58+P58</f>
        <v>254085</v>
      </c>
      <c r="S58" s="2078" t="s">
        <v>32</v>
      </c>
      <c r="T58" s="2079">
        <f>+RMHP!S28</f>
        <v>74857</v>
      </c>
      <c r="U58" s="2066" t="s">
        <v>32</v>
      </c>
      <c r="V58" s="2067">
        <f t="shared" ref="V58:V69" si="357">+R58+T58</f>
        <v>328942</v>
      </c>
      <c r="W58" s="2078" t="s">
        <v>32</v>
      </c>
      <c r="X58" s="2079">
        <f>+RMHP!W28</f>
        <v>77679</v>
      </c>
      <c r="Y58" s="2068" t="s">
        <v>32</v>
      </c>
      <c r="Z58" s="2068">
        <f>P58+T58+X58</f>
        <v>230014</v>
      </c>
      <c r="AA58" s="2069" t="s">
        <v>32</v>
      </c>
      <c r="AB58" s="2072">
        <f t="shared" ref="AB58:AB69" si="358">+N58+Z58</f>
        <v>406621</v>
      </c>
      <c r="AC58" s="2078" t="s">
        <v>32</v>
      </c>
      <c r="AD58" s="2079">
        <f>+RMHP!AC28</f>
        <v>62985</v>
      </c>
      <c r="AE58" s="2066" t="s">
        <v>32</v>
      </c>
      <c r="AF58" s="2067">
        <f t="shared" ref="AF58:AF69" si="359">+AB58+AD58</f>
        <v>469606</v>
      </c>
      <c r="AG58" s="2078" t="s">
        <v>32</v>
      </c>
      <c r="AH58" s="2079">
        <f>+RMHP!AG28</f>
        <v>71795</v>
      </c>
      <c r="AI58" s="2066" t="s">
        <v>32</v>
      </c>
      <c r="AJ58" s="2067">
        <f t="shared" ref="AJ58:AJ69" si="360">+AF58+AH58</f>
        <v>541401</v>
      </c>
      <c r="AK58" s="2078" t="s">
        <v>32</v>
      </c>
      <c r="AL58" s="2079">
        <f>+RMHP!AK28</f>
        <v>70956</v>
      </c>
      <c r="AM58" s="2068" t="s">
        <v>32</v>
      </c>
      <c r="AN58" s="2068">
        <f>AD58+AH58+AL58</f>
        <v>205736</v>
      </c>
      <c r="AO58" s="2066" t="s">
        <v>32</v>
      </c>
      <c r="AP58" s="2067">
        <f>+AL58+AJ58</f>
        <v>612357</v>
      </c>
      <c r="AQ58" s="2078" t="s">
        <v>32</v>
      </c>
      <c r="AR58" s="2079">
        <f>+RMHP!AQ28</f>
        <v>76157</v>
      </c>
      <c r="AS58" s="2066" t="s">
        <v>32</v>
      </c>
      <c r="AT58" s="2067">
        <f t="shared" ref="AT58:AT69" si="361">+AP58+AR58</f>
        <v>688514</v>
      </c>
      <c r="AU58" s="2078" t="s">
        <v>32</v>
      </c>
      <c r="AV58" s="2079">
        <f>+RMHP!AU28</f>
        <v>64445</v>
      </c>
      <c r="AW58" s="2066" t="s">
        <v>32</v>
      </c>
      <c r="AX58" s="2067">
        <f t="shared" ref="AX58:AX69" si="362">+AT58+AV58</f>
        <v>752959</v>
      </c>
      <c r="AY58" s="2078" t="s">
        <v>32</v>
      </c>
      <c r="AZ58" s="2079">
        <f>+RMHP!AY28</f>
        <v>81524</v>
      </c>
      <c r="BA58" s="2068" t="s">
        <v>32</v>
      </c>
      <c r="BB58" s="2068">
        <f>AR58+AV58+AZ58</f>
        <v>222126</v>
      </c>
      <c r="BC58" s="2069" t="s">
        <v>32</v>
      </c>
      <c r="BD58" s="432">
        <f>+AN58+BB58</f>
        <v>427862</v>
      </c>
      <c r="BE58" s="2066" t="s">
        <v>32</v>
      </c>
      <c r="BF58" s="2067">
        <f t="shared" ref="BF58:BF69" si="363">+AX58+AZ58</f>
        <v>834483</v>
      </c>
    </row>
    <row r="59" spans="1:63" ht="15" thickBot="1" x14ac:dyDescent="0.35">
      <c r="A59" s="135" t="s">
        <v>445</v>
      </c>
      <c r="B59" s="1578" t="s">
        <v>549</v>
      </c>
      <c r="C59" s="56" t="s">
        <v>50</v>
      </c>
      <c r="D59" s="1031">
        <f>+(D27/((100-D71)/100))-D27</f>
        <v>757239.54640948074</v>
      </c>
      <c r="E59" s="1031">
        <f>+(E27/((100-E71)/100))-E27</f>
        <v>52501.941884390661</v>
      </c>
      <c r="F59" s="1031">
        <f>+F58-((F54/100)*F58)</f>
        <v>74385.520699999994</v>
      </c>
      <c r="G59" s="1031">
        <f>+(G27/((100-G71)/100))-G27</f>
        <v>47201.265059524245</v>
      </c>
      <c r="H59" s="1031">
        <f>+H58-((H54/100)*H58)</f>
        <v>30850.265599999999</v>
      </c>
      <c r="I59" s="57">
        <f>+E59+G59</f>
        <v>99703.206943914905</v>
      </c>
      <c r="J59" s="35">
        <f t="shared" si="355"/>
        <v>105235.78629999999</v>
      </c>
      <c r="K59" s="1031">
        <f>+(K27/((100-K71)/100))-K27</f>
        <v>63608.121898396348</v>
      </c>
      <c r="L59" s="1031">
        <f>+L58-((L54/100)*L58)</f>
        <v>70189.952000000005</v>
      </c>
      <c r="M59" s="68">
        <f>+K59+G59+E59</f>
        <v>163311.32884231125</v>
      </c>
      <c r="N59" s="68">
        <f>+N58-((N54/100)*N58)</f>
        <v>175425.7383</v>
      </c>
      <c r="O59" s="1031">
        <f>+(O27/((100-O71)/100))-O27</f>
        <v>64365.361444805807</v>
      </c>
      <c r="P59" s="1031">
        <f>+P58-((P54/100)*P58)</f>
        <v>76850.428199999995</v>
      </c>
      <c r="Q59" s="57">
        <f>+M59+O59</f>
        <v>227676.69028711706</v>
      </c>
      <c r="R59" s="35">
        <f t="shared" si="356"/>
        <v>252276.16649999999</v>
      </c>
      <c r="S59" s="1031">
        <f>+(S27/((100-S71)/100))-S27</f>
        <v>64365.361444805807</v>
      </c>
      <c r="T59" s="1031">
        <f>+T58-((T54/100)*T58)</f>
        <v>74235.686900000001</v>
      </c>
      <c r="U59" s="57">
        <f>+Q59+S59</f>
        <v>292042.0517319229</v>
      </c>
      <c r="V59" s="35">
        <f t="shared" si="357"/>
        <v>326511.85340000002</v>
      </c>
      <c r="W59" s="1031">
        <f>+(W27/((100-W71)/100))-W27</f>
        <v>35337.845499109069</v>
      </c>
      <c r="X59" s="1031">
        <f>+X58-((X54/100)*X58)</f>
        <v>77166.318599999999</v>
      </c>
      <c r="Y59" s="64">
        <f>+W59+S59+O59</f>
        <v>164068.56838872068</v>
      </c>
      <c r="Z59" s="65">
        <f t="shared" ref="Z59:Z65" si="364">+X59+T59+P59</f>
        <v>228252.43369999999</v>
      </c>
      <c r="AA59" s="596">
        <f>M59+Y59</f>
        <v>327379.89723103191</v>
      </c>
      <c r="AB59" s="441">
        <f t="shared" si="358"/>
        <v>403678.17200000002</v>
      </c>
      <c r="AC59" s="1031">
        <f>+(AC27/((100-AC71)/100))-AC27</f>
        <v>65627.427355488297</v>
      </c>
      <c r="AD59" s="1031">
        <f>+AD58-((AD54/100)*AD58)</f>
        <v>62128.404000000002</v>
      </c>
      <c r="AE59" s="57">
        <f>+AA59+AC59</f>
        <v>393007.3245865202</v>
      </c>
      <c r="AF59" s="35">
        <f t="shared" si="359"/>
        <v>465806.576</v>
      </c>
      <c r="AG59" s="1031">
        <f>+(AG27/((100-AG71)/100))-AG27</f>
        <v>63608.121898396348</v>
      </c>
      <c r="AH59" s="1031">
        <f>+AH58-((AH54/100)*AH58)</f>
        <v>71385.768500000006</v>
      </c>
      <c r="AI59" s="57">
        <f>+AE59+AG59</f>
        <v>456615.44648491655</v>
      </c>
      <c r="AJ59" s="35">
        <f t="shared" si="360"/>
        <v>537192.34450000001</v>
      </c>
      <c r="AK59" s="1031">
        <f>+(AK27/((100-AK71)/100))-AK27</f>
        <v>65627.427355488297</v>
      </c>
      <c r="AL59" s="1031">
        <f>+AL58-((AL54/100)*AL58)</f>
        <v>70657.984800000006</v>
      </c>
      <c r="AM59" s="64">
        <f>+AK59+AG59+AC59</f>
        <v>194862.97660937294</v>
      </c>
      <c r="AN59" s="65">
        <f t="shared" ref="AN59:AN60" si="365">+AL59+AH59+AD59</f>
        <v>204172.15730000002</v>
      </c>
      <c r="AO59" s="546">
        <f>+AK59+AI59</f>
        <v>522242.87384040485</v>
      </c>
      <c r="AP59" s="546">
        <f>+AL59+AJ59</f>
        <v>607850.32929999998</v>
      </c>
      <c r="AQ59" s="1031">
        <f>+(AQ27/((100-AQ71)/100))-AQ27</f>
        <v>66637.080084034242</v>
      </c>
      <c r="AR59" s="1031">
        <f>+AR58-((AR54/100)*AR58)</f>
        <v>75654.363800000006</v>
      </c>
      <c r="AS59" s="57">
        <f>+AO59+AQ59</f>
        <v>588879.95392443915</v>
      </c>
      <c r="AT59" s="35">
        <f t="shared" si="361"/>
        <v>683504.69310000003</v>
      </c>
      <c r="AU59" s="1031">
        <f>+(AU27/((100-AU71)/100))-AU27</f>
        <v>59569.510984212451</v>
      </c>
      <c r="AV59" s="1031">
        <f>+AV58-((AV54/100)*AV58)</f>
        <v>64148.553</v>
      </c>
      <c r="AW59" s="57">
        <f>+AS59+AU59</f>
        <v>648449.46490865154</v>
      </c>
      <c r="AX59" s="35">
        <f t="shared" si="362"/>
        <v>747653.24609999999</v>
      </c>
      <c r="AY59" s="1031">
        <f>+(AY27/((100-AY71)/100))-AY27</f>
        <v>66637.080084034242</v>
      </c>
      <c r="AZ59" s="1031">
        <f>+AZ58-((AZ54/100)*AZ58)</f>
        <v>81116.38</v>
      </c>
      <c r="BA59" s="64">
        <f>+AY59+AU59+AQ59</f>
        <v>192843.67115228093</v>
      </c>
      <c r="BB59" s="65">
        <f t="shared" ref="BB59:BB60" si="366">+AZ59+AV59+AR59</f>
        <v>220919.29680000001</v>
      </c>
      <c r="BC59" s="433">
        <f t="shared" ref="BC59" si="367">AM59+BA59</f>
        <v>387706.64776165388</v>
      </c>
      <c r="BD59" s="433">
        <f t="shared" ref="BD59" si="368">AN59+BB59</f>
        <v>425091.45410000003</v>
      </c>
      <c r="BE59" s="57">
        <f>+AW59+AY59</f>
        <v>715086.54499268578</v>
      </c>
      <c r="BF59" s="35">
        <f t="shared" si="363"/>
        <v>828769.62609999999</v>
      </c>
    </row>
    <row r="60" spans="1:63" ht="15.75" hidden="1" customHeight="1" thickBot="1" x14ac:dyDescent="0.35">
      <c r="A60" s="135"/>
      <c r="B60" s="1578" t="s">
        <v>1046</v>
      </c>
      <c r="C60" s="56" t="s">
        <v>50</v>
      </c>
      <c r="D60" s="1526" t="s">
        <v>32</v>
      </c>
      <c r="E60" s="1528" t="s">
        <v>32</v>
      </c>
      <c r="F60" s="1031"/>
      <c r="G60" s="1528" t="s">
        <v>32</v>
      </c>
      <c r="H60" s="1031"/>
      <c r="I60" s="758" t="s">
        <v>32</v>
      </c>
      <c r="J60" s="35">
        <f t="shared" si="355"/>
        <v>0</v>
      </c>
      <c r="K60" s="1528" t="s">
        <v>32</v>
      </c>
      <c r="L60" s="1031"/>
      <c r="M60" s="759" t="s">
        <v>32</v>
      </c>
      <c r="N60" s="759"/>
      <c r="O60" s="1528" t="s">
        <v>32</v>
      </c>
      <c r="P60" s="1031"/>
      <c r="Q60" s="758" t="s">
        <v>32</v>
      </c>
      <c r="R60" s="35">
        <f t="shared" si="356"/>
        <v>0</v>
      </c>
      <c r="S60" s="1528" t="s">
        <v>32</v>
      </c>
      <c r="T60" s="1031"/>
      <c r="U60" s="758" t="s">
        <v>32</v>
      </c>
      <c r="V60" s="35">
        <f t="shared" si="357"/>
        <v>0</v>
      </c>
      <c r="W60" s="1528" t="s">
        <v>32</v>
      </c>
      <c r="X60" s="1031"/>
      <c r="Y60" s="759" t="s">
        <v>32</v>
      </c>
      <c r="Z60" s="65">
        <f t="shared" si="364"/>
        <v>0</v>
      </c>
      <c r="AA60" s="760" t="s">
        <v>32</v>
      </c>
      <c r="AB60" s="441">
        <f t="shared" si="358"/>
        <v>0</v>
      </c>
      <c r="AC60" s="1528" t="s">
        <v>32</v>
      </c>
      <c r="AD60" s="1031"/>
      <c r="AE60" s="758" t="s">
        <v>32</v>
      </c>
      <c r="AF60" s="35">
        <f t="shared" si="359"/>
        <v>0</v>
      </c>
      <c r="AG60" s="1528" t="s">
        <v>32</v>
      </c>
      <c r="AH60" s="1031"/>
      <c r="AI60" s="758" t="s">
        <v>32</v>
      </c>
      <c r="AJ60" s="35">
        <f t="shared" si="360"/>
        <v>0</v>
      </c>
      <c r="AK60" s="1528" t="s">
        <v>32</v>
      </c>
      <c r="AL60" s="1031"/>
      <c r="AM60" s="759" t="s">
        <v>32</v>
      </c>
      <c r="AN60" s="65">
        <f t="shared" si="365"/>
        <v>0</v>
      </c>
      <c r="AO60" s="546" t="e">
        <f t="shared" ref="AO60:AO61" si="369">+AK60+AI60</f>
        <v>#VALUE!</v>
      </c>
      <c r="AP60" s="546">
        <f t="shared" ref="AO60:AP67" si="370">+AL60+AJ60</f>
        <v>0</v>
      </c>
      <c r="AQ60" s="1528" t="s">
        <v>32</v>
      </c>
      <c r="AR60" s="1031"/>
      <c r="AS60" s="758" t="s">
        <v>32</v>
      </c>
      <c r="AT60" s="35">
        <f t="shared" si="361"/>
        <v>0</v>
      </c>
      <c r="AU60" s="1528" t="s">
        <v>32</v>
      </c>
      <c r="AV60" s="1031"/>
      <c r="AW60" s="758" t="s">
        <v>32</v>
      </c>
      <c r="AX60" s="35">
        <f t="shared" si="362"/>
        <v>0</v>
      </c>
      <c r="AY60" s="1528" t="s">
        <v>32</v>
      </c>
      <c r="AZ60" s="1031"/>
      <c r="BA60" s="759" t="s">
        <v>32</v>
      </c>
      <c r="BB60" s="65">
        <f t="shared" si="366"/>
        <v>0</v>
      </c>
      <c r="BC60" s="760" t="s">
        <v>32</v>
      </c>
      <c r="BD60" s="441">
        <f t="shared" ref="BD60" si="371">+AP60+BB60</f>
        <v>0</v>
      </c>
      <c r="BE60" s="758" t="s">
        <v>32</v>
      </c>
      <c r="BF60" s="35">
        <f t="shared" si="363"/>
        <v>0</v>
      </c>
    </row>
    <row r="61" spans="1:63" ht="15" thickBot="1" x14ac:dyDescent="0.35">
      <c r="A61" s="135"/>
      <c r="B61" s="1578" t="s">
        <v>556</v>
      </c>
      <c r="C61" s="56" t="s">
        <v>50</v>
      </c>
      <c r="D61" s="1031"/>
      <c r="E61" s="1528"/>
      <c r="F61" s="1031">
        <f>+F60-((F54/100)*F60)</f>
        <v>0</v>
      </c>
      <c r="G61" s="1528"/>
      <c r="H61" s="1031">
        <f>+H60-((H54/100)*H60)</f>
        <v>0</v>
      </c>
      <c r="I61" s="57">
        <f>+E61+G61</f>
        <v>0</v>
      </c>
      <c r="J61" s="35">
        <f t="shared" si="355"/>
        <v>0</v>
      </c>
      <c r="K61" s="1528">
        <v>0</v>
      </c>
      <c r="L61" s="1031">
        <f>+L60-((L54/100)*L60)</f>
        <v>0</v>
      </c>
      <c r="M61" s="68">
        <f>+K61+G61+E61</f>
        <v>0</v>
      </c>
      <c r="N61" s="68">
        <f>+N60-((N54/100)*N60)</f>
        <v>0</v>
      </c>
      <c r="O61" s="1528">
        <v>0</v>
      </c>
      <c r="P61" s="1031">
        <f>+P60-((P54/100)*P60)</f>
        <v>0</v>
      </c>
      <c r="Q61" s="57">
        <f>+M61+O61</f>
        <v>0</v>
      </c>
      <c r="R61" s="35">
        <f t="shared" si="356"/>
        <v>0</v>
      </c>
      <c r="S61" s="1528">
        <v>0</v>
      </c>
      <c r="T61" s="1031">
        <f>+T60-((T54/100)*T60)</f>
        <v>0</v>
      </c>
      <c r="U61" s="57">
        <f>+Q61+S61</f>
        <v>0</v>
      </c>
      <c r="V61" s="35">
        <f t="shared" si="357"/>
        <v>0</v>
      </c>
      <c r="W61" s="1528">
        <v>0</v>
      </c>
      <c r="X61" s="1031">
        <f>+X60-((X54/100)*X60)</f>
        <v>0</v>
      </c>
      <c r="Y61" s="64">
        <f>+W61+S61+O61</f>
        <v>0</v>
      </c>
      <c r="Z61" s="65">
        <f>+X61+T61+P61</f>
        <v>0</v>
      </c>
      <c r="AA61" s="596">
        <f>M61+Y61</f>
        <v>0</v>
      </c>
      <c r="AB61" s="441">
        <f t="shared" ref="AB61" si="372">+N61+Z61</f>
        <v>0</v>
      </c>
      <c r="AC61" s="1528">
        <v>0</v>
      </c>
      <c r="AD61" s="1031">
        <f>+AD60-((AD54/100)*AD60)</f>
        <v>0</v>
      </c>
      <c r="AE61" s="57">
        <f>+AA61+AC61</f>
        <v>0</v>
      </c>
      <c r="AF61" s="35">
        <f t="shared" si="359"/>
        <v>0</v>
      </c>
      <c r="AG61" s="1528">
        <v>0</v>
      </c>
      <c r="AH61" s="1031">
        <f>+AH60-((AH54/100)*AH60)</f>
        <v>0</v>
      </c>
      <c r="AI61" s="57">
        <f>+AE61+AG61</f>
        <v>0</v>
      </c>
      <c r="AJ61" s="35">
        <f t="shared" si="360"/>
        <v>0</v>
      </c>
      <c r="AK61" s="1528">
        <v>0</v>
      </c>
      <c r="AL61" s="1031">
        <f>+AL60-((AL54/100)*AL60)</f>
        <v>0</v>
      </c>
      <c r="AM61" s="64">
        <f>+AK61+AG61+AC61</f>
        <v>0</v>
      </c>
      <c r="AN61" s="65">
        <f>+AL61+AH61+AD61</f>
        <v>0</v>
      </c>
      <c r="AO61" s="546">
        <f t="shared" si="369"/>
        <v>0</v>
      </c>
      <c r="AP61" s="546">
        <f t="shared" si="370"/>
        <v>0</v>
      </c>
      <c r="AQ61" s="1528">
        <v>0</v>
      </c>
      <c r="AR61" s="1031">
        <f>+AR60-((AR54/100)*AR60)</f>
        <v>0</v>
      </c>
      <c r="AS61" s="57">
        <f>+AO61+AQ61</f>
        <v>0</v>
      </c>
      <c r="AT61" s="35">
        <f t="shared" si="361"/>
        <v>0</v>
      </c>
      <c r="AU61" s="1528">
        <v>0</v>
      </c>
      <c r="AV61" s="1031">
        <f>+AV60-((AV54/100)*AV60)</f>
        <v>0</v>
      </c>
      <c r="AW61" s="57">
        <f>+AS61+AU61</f>
        <v>0</v>
      </c>
      <c r="AX61" s="35">
        <f t="shared" si="362"/>
        <v>0</v>
      </c>
      <c r="AY61" s="1528"/>
      <c r="AZ61" s="1031">
        <f>+AZ60-((AZ54/100)*AZ60)</f>
        <v>0</v>
      </c>
      <c r="BA61" s="64">
        <f>+AY61+AU61+AQ61</f>
        <v>0</v>
      </c>
      <c r="BB61" s="65">
        <f>+AZ61+AV61+AR61</f>
        <v>0</v>
      </c>
      <c r="BC61" s="433">
        <f t="shared" ref="BC61" si="373">AM61+BA61</f>
        <v>0</v>
      </c>
      <c r="BD61" s="433">
        <f t="shared" ref="BD61:BD63" si="374">AN61+BB61</f>
        <v>0</v>
      </c>
      <c r="BE61" s="57">
        <f>+AW61+AY61</f>
        <v>0</v>
      </c>
      <c r="BF61" s="35">
        <f t="shared" si="363"/>
        <v>0</v>
      </c>
    </row>
    <row r="62" spans="1:63" ht="15" thickBot="1" x14ac:dyDescent="0.35">
      <c r="A62" s="135"/>
      <c r="B62" s="1578" t="s">
        <v>1261</v>
      </c>
      <c r="C62" s="56" t="s">
        <v>50</v>
      </c>
      <c r="D62" s="1526" t="s">
        <v>32</v>
      </c>
      <c r="E62" s="1528" t="s">
        <v>32</v>
      </c>
      <c r="F62" s="1031">
        <f>+F58+F60</f>
        <v>74827</v>
      </c>
      <c r="G62" s="1528" t="s">
        <v>32</v>
      </c>
      <c r="H62" s="1031">
        <f>+H58+H60</f>
        <v>31024</v>
      </c>
      <c r="I62" s="758" t="s">
        <v>32</v>
      </c>
      <c r="J62" s="35">
        <f t="shared" si="355"/>
        <v>105851</v>
      </c>
      <c r="K62" s="1528" t="s">
        <v>32</v>
      </c>
      <c r="L62" s="1031">
        <f>+L58+L60</f>
        <v>70756</v>
      </c>
      <c r="M62" s="759" t="s">
        <v>32</v>
      </c>
      <c r="N62" s="759">
        <f>+N58+N60</f>
        <v>176607</v>
      </c>
      <c r="O62" s="1528" t="s">
        <v>32</v>
      </c>
      <c r="P62" s="1031">
        <f>+P58+P60</f>
        <v>77478</v>
      </c>
      <c r="Q62" s="758" t="s">
        <v>32</v>
      </c>
      <c r="R62" s="35">
        <f t="shared" si="356"/>
        <v>254085</v>
      </c>
      <c r="S62" s="1528" t="s">
        <v>32</v>
      </c>
      <c r="T62" s="1031">
        <f>+T58+T60</f>
        <v>74857</v>
      </c>
      <c r="U62" s="758" t="s">
        <v>32</v>
      </c>
      <c r="V62" s="35">
        <f t="shared" si="357"/>
        <v>328942</v>
      </c>
      <c r="W62" s="1528" t="s">
        <v>32</v>
      </c>
      <c r="X62" s="1031">
        <f>+X58+X60</f>
        <v>77679</v>
      </c>
      <c r="Y62" s="759" t="s">
        <v>32</v>
      </c>
      <c r="Z62" s="65">
        <f t="shared" si="364"/>
        <v>230014</v>
      </c>
      <c r="AA62" s="760" t="s">
        <v>32</v>
      </c>
      <c r="AB62" s="441">
        <f t="shared" si="358"/>
        <v>406621</v>
      </c>
      <c r="AC62" s="1528" t="s">
        <v>32</v>
      </c>
      <c r="AD62" s="1031">
        <f>+AD58+AD60</f>
        <v>62985</v>
      </c>
      <c r="AE62" s="758" t="s">
        <v>32</v>
      </c>
      <c r="AF62" s="35">
        <f t="shared" si="359"/>
        <v>469606</v>
      </c>
      <c r="AG62" s="1528" t="s">
        <v>32</v>
      </c>
      <c r="AH62" s="1031">
        <f>+AH58+AH60</f>
        <v>71795</v>
      </c>
      <c r="AI62" s="758" t="s">
        <v>32</v>
      </c>
      <c r="AJ62" s="35">
        <f t="shared" si="360"/>
        <v>541401</v>
      </c>
      <c r="AK62" s="1528" t="s">
        <v>32</v>
      </c>
      <c r="AL62" s="1031">
        <f>+AL58+AL60</f>
        <v>70956</v>
      </c>
      <c r="AM62" s="759" t="s">
        <v>32</v>
      </c>
      <c r="AN62" s="65">
        <f t="shared" ref="AN62" si="375">+AL62+AH62+AD62</f>
        <v>205736</v>
      </c>
      <c r="AO62" s="758" t="s">
        <v>32</v>
      </c>
      <c r="AP62" s="546">
        <f t="shared" si="370"/>
        <v>612357</v>
      </c>
      <c r="AQ62" s="1528" t="s">
        <v>32</v>
      </c>
      <c r="AR62" s="1031">
        <f>+AR58+AR60</f>
        <v>76157</v>
      </c>
      <c r="AS62" s="758" t="s">
        <v>32</v>
      </c>
      <c r="AT62" s="35">
        <f t="shared" si="361"/>
        <v>688514</v>
      </c>
      <c r="AU62" s="1528" t="s">
        <v>32</v>
      </c>
      <c r="AV62" s="1031">
        <f>+AV58+AV60</f>
        <v>64445</v>
      </c>
      <c r="AW62" s="758" t="s">
        <v>32</v>
      </c>
      <c r="AX62" s="35">
        <f t="shared" si="362"/>
        <v>752959</v>
      </c>
      <c r="AY62" s="1528" t="s">
        <v>32</v>
      </c>
      <c r="AZ62" s="1031">
        <f>+AZ58+AZ60</f>
        <v>81524</v>
      </c>
      <c r="BA62" s="759" t="s">
        <v>32</v>
      </c>
      <c r="BB62" s="65">
        <f t="shared" ref="BB62" si="376">+AZ62+AV62+AR62</f>
        <v>222126</v>
      </c>
      <c r="BC62" s="760" t="s">
        <v>32</v>
      </c>
      <c r="BD62" s="433">
        <f t="shared" si="374"/>
        <v>427862</v>
      </c>
      <c r="BE62" s="758" t="s">
        <v>32</v>
      </c>
      <c r="BF62" s="35">
        <f t="shared" si="363"/>
        <v>834483</v>
      </c>
    </row>
    <row r="63" spans="1:63" ht="15" thickBot="1" x14ac:dyDescent="0.35">
      <c r="A63" s="135" t="s">
        <v>445</v>
      </c>
      <c r="B63" s="1579" t="s">
        <v>1260</v>
      </c>
      <c r="C63" s="761" t="s">
        <v>50</v>
      </c>
      <c r="D63" s="1031">
        <f>+D59+D61</f>
        <v>757239.54640948074</v>
      </c>
      <c r="E63" s="1031">
        <f>+E59+E61</f>
        <v>52501.941884390661</v>
      </c>
      <c r="F63" s="1031">
        <f>+F59+F61</f>
        <v>74385.520699999994</v>
      </c>
      <c r="G63" s="1031">
        <f>+G59+G61</f>
        <v>47201.265059524245</v>
      </c>
      <c r="H63" s="1031">
        <f>+H59+H61</f>
        <v>30850.265599999999</v>
      </c>
      <c r="I63" s="666">
        <f>+E63+G63</f>
        <v>99703.206943914905</v>
      </c>
      <c r="J63" s="40">
        <f t="shared" si="355"/>
        <v>105235.78629999999</v>
      </c>
      <c r="K63" s="1031">
        <f>+K59+K61</f>
        <v>63608.121898396348</v>
      </c>
      <c r="L63" s="1031">
        <f>+L59+L61</f>
        <v>70189.952000000005</v>
      </c>
      <c r="M63" s="68">
        <f>+K63+G63+E63</f>
        <v>163311.32884231125</v>
      </c>
      <c r="N63" s="68">
        <f>+N59+N61</f>
        <v>175425.7383</v>
      </c>
      <c r="O63" s="1031">
        <f>+O59+O61</f>
        <v>64365.361444805807</v>
      </c>
      <c r="P63" s="1031">
        <f>+P59+P61</f>
        <v>76850.428199999995</v>
      </c>
      <c r="Q63" s="666">
        <f>+M63+O63</f>
        <v>227676.69028711706</v>
      </c>
      <c r="R63" s="40">
        <f t="shared" si="356"/>
        <v>252276.16649999999</v>
      </c>
      <c r="S63" s="1031">
        <f>+S59+S61</f>
        <v>64365.361444805807</v>
      </c>
      <c r="T63" s="1031">
        <f>+T59+T61</f>
        <v>74235.686900000001</v>
      </c>
      <c r="U63" s="666">
        <f>+Q63+S63</f>
        <v>292042.0517319229</v>
      </c>
      <c r="V63" s="40">
        <f t="shared" si="357"/>
        <v>326511.85340000002</v>
      </c>
      <c r="W63" s="1031">
        <f>+W59+W61</f>
        <v>35337.845499109069</v>
      </c>
      <c r="X63" s="1031">
        <f>+X59+X61</f>
        <v>77166.318599999999</v>
      </c>
      <c r="Y63" s="64">
        <f>+W63+S63+O63</f>
        <v>164068.56838872068</v>
      </c>
      <c r="Z63" s="65">
        <f>+X63+T63+P63</f>
        <v>228252.43369999999</v>
      </c>
      <c r="AA63" s="596">
        <f>M63+Y63</f>
        <v>327379.89723103191</v>
      </c>
      <c r="AB63" s="441">
        <f t="shared" si="358"/>
        <v>403678.17200000002</v>
      </c>
      <c r="AC63" s="1031">
        <f>+AC59+AC61</f>
        <v>65627.427355488297</v>
      </c>
      <c r="AD63" s="1031">
        <f>+AD59+AD61</f>
        <v>62128.404000000002</v>
      </c>
      <c r="AE63" s="666">
        <f>+AA63+AC63</f>
        <v>393007.3245865202</v>
      </c>
      <c r="AF63" s="40">
        <f t="shared" si="359"/>
        <v>465806.576</v>
      </c>
      <c r="AG63" s="1031">
        <f>+AG59+AG61</f>
        <v>63608.121898396348</v>
      </c>
      <c r="AH63" s="1031">
        <f>+AH59+AH61</f>
        <v>71385.768500000006</v>
      </c>
      <c r="AI63" s="666">
        <f>+AE63+AG63</f>
        <v>456615.44648491655</v>
      </c>
      <c r="AJ63" s="40">
        <f t="shared" si="360"/>
        <v>537192.34450000001</v>
      </c>
      <c r="AK63" s="1031">
        <f>+AK59+AK61</f>
        <v>65627.427355488297</v>
      </c>
      <c r="AL63" s="1031">
        <f>+AL59+AL61</f>
        <v>70657.984800000006</v>
      </c>
      <c r="AM63" s="64">
        <f>+AK63+AG63+AC63</f>
        <v>194862.97660937294</v>
      </c>
      <c r="AN63" s="65">
        <f>+AL63+AH63+AD63</f>
        <v>204172.15730000002</v>
      </c>
      <c r="AO63" s="546">
        <f t="shared" si="370"/>
        <v>522242.87384040485</v>
      </c>
      <c r="AP63" s="546">
        <f t="shared" si="370"/>
        <v>607850.32929999998</v>
      </c>
      <c r="AQ63" s="1031">
        <f>+AQ59+AQ61</f>
        <v>66637.080084034242</v>
      </c>
      <c r="AR63" s="1031">
        <f>+AR59+AR61</f>
        <v>75654.363800000006</v>
      </c>
      <c r="AS63" s="666">
        <f>+AO63+AQ63</f>
        <v>588879.95392443915</v>
      </c>
      <c r="AT63" s="40">
        <f t="shared" si="361"/>
        <v>683504.69310000003</v>
      </c>
      <c r="AU63" s="1031">
        <f>+AU59+AU61</f>
        <v>59569.510984212451</v>
      </c>
      <c r="AV63" s="1031">
        <f>+AV59+AV61</f>
        <v>64148.553</v>
      </c>
      <c r="AW63" s="666">
        <f>+AS63+AU63</f>
        <v>648449.46490865154</v>
      </c>
      <c r="AX63" s="40">
        <f t="shared" si="362"/>
        <v>747653.24609999999</v>
      </c>
      <c r="AY63" s="1031">
        <f>+AY59+AY61</f>
        <v>66637.080084034242</v>
      </c>
      <c r="AZ63" s="1031">
        <f>+AZ59+AZ61</f>
        <v>81116.38</v>
      </c>
      <c r="BA63" s="64">
        <f>+AY63+AU63+AQ63</f>
        <v>192843.67115228093</v>
      </c>
      <c r="BB63" s="65">
        <f>+AZ63+AV63+AR63</f>
        <v>220919.29680000001</v>
      </c>
      <c r="BC63" s="433">
        <f t="shared" ref="BC63" si="377">AM63+BA63</f>
        <v>387706.64776165388</v>
      </c>
      <c r="BD63" s="433">
        <f t="shared" si="374"/>
        <v>425091.45410000003</v>
      </c>
      <c r="BE63" s="666">
        <f>+AW63+AY63</f>
        <v>715086.54499268578</v>
      </c>
      <c r="BF63" s="40">
        <f t="shared" si="363"/>
        <v>828769.62609999999</v>
      </c>
    </row>
    <row r="64" spans="1:63" ht="15.6" x14ac:dyDescent="0.3">
      <c r="A64" s="135"/>
      <c r="B64" s="1578" t="s">
        <v>244</v>
      </c>
      <c r="C64" s="56" t="s">
        <v>50</v>
      </c>
      <c r="D64" s="3485" t="s">
        <v>32</v>
      </c>
      <c r="E64" s="1528" t="s">
        <v>32</v>
      </c>
      <c r="F64" s="1031">
        <f>+RMHP!E29</f>
        <v>10831</v>
      </c>
      <c r="G64" s="1528" t="s">
        <v>32</v>
      </c>
      <c r="H64" s="1031">
        <f>+RMHP!G29</f>
        <v>6750</v>
      </c>
      <c r="I64" s="3486" t="s">
        <v>32</v>
      </c>
      <c r="J64" s="58">
        <f t="shared" si="355"/>
        <v>17581</v>
      </c>
      <c r="K64" s="1528" t="s">
        <v>32</v>
      </c>
      <c r="L64" s="1031">
        <f>+RMHP!K29</f>
        <v>12596</v>
      </c>
      <c r="M64" s="3487" t="s">
        <v>32</v>
      </c>
      <c r="N64" s="3487">
        <f>F64+H64+L64</f>
        <v>30177</v>
      </c>
      <c r="O64" s="1528" t="s">
        <v>32</v>
      </c>
      <c r="P64" s="1031">
        <f>+RMHP!O29</f>
        <v>13988</v>
      </c>
      <c r="Q64" s="2074" t="s">
        <v>32</v>
      </c>
      <c r="R64" s="94">
        <f t="shared" si="356"/>
        <v>44165</v>
      </c>
      <c r="S64" s="1528" t="s">
        <v>32</v>
      </c>
      <c r="T64" s="1031">
        <f>+RMHP!S29</f>
        <v>13411</v>
      </c>
      <c r="U64" s="2074" t="s">
        <v>32</v>
      </c>
      <c r="V64" s="94">
        <f t="shared" si="357"/>
        <v>57576</v>
      </c>
      <c r="W64" s="1528" t="s">
        <v>32</v>
      </c>
      <c r="X64" s="1031">
        <f>+RMHP!W29</f>
        <v>13601</v>
      </c>
      <c r="Y64" s="2075" t="s">
        <v>32</v>
      </c>
      <c r="Z64" s="1839">
        <f>P64+T64+X64</f>
        <v>41000</v>
      </c>
      <c r="AA64" s="2076" t="s">
        <v>32</v>
      </c>
      <c r="AB64" s="455">
        <f t="shared" si="358"/>
        <v>71177</v>
      </c>
      <c r="AC64" s="1528" t="s">
        <v>32</v>
      </c>
      <c r="AD64" s="1031">
        <f>+RMHP!AC29</f>
        <v>12900</v>
      </c>
      <c r="AE64" s="2074" t="s">
        <v>32</v>
      </c>
      <c r="AF64" s="94">
        <f t="shared" si="359"/>
        <v>84077</v>
      </c>
      <c r="AG64" s="1528" t="s">
        <v>32</v>
      </c>
      <c r="AH64" s="1031">
        <f>+RMHP!AG29</f>
        <v>12150</v>
      </c>
      <c r="AI64" s="2074" t="s">
        <v>32</v>
      </c>
      <c r="AJ64" s="94">
        <f t="shared" si="360"/>
        <v>96227</v>
      </c>
      <c r="AK64" s="1528" t="s">
        <v>32</v>
      </c>
      <c r="AL64" s="1031">
        <f>+RMHP!AK29</f>
        <v>11448</v>
      </c>
      <c r="AM64" s="2075" t="s">
        <v>32</v>
      </c>
      <c r="AN64" s="1839">
        <f>AD64+AH64+AL64</f>
        <v>36498</v>
      </c>
      <c r="AO64" s="2074" t="s">
        <v>32</v>
      </c>
      <c r="AP64" s="2067">
        <f>+AL64+AJ64</f>
        <v>107675</v>
      </c>
      <c r="AQ64" s="1528" t="s">
        <v>32</v>
      </c>
      <c r="AR64" s="1031">
        <f>+RMHP!AQ29</f>
        <v>10123</v>
      </c>
      <c r="AS64" s="2074" t="s">
        <v>32</v>
      </c>
      <c r="AT64" s="94">
        <f t="shared" si="361"/>
        <v>117798</v>
      </c>
      <c r="AU64" s="1528" t="s">
        <v>32</v>
      </c>
      <c r="AV64" s="1031">
        <f>+RMHP!AU29</f>
        <v>12986</v>
      </c>
      <c r="AW64" s="2074" t="s">
        <v>32</v>
      </c>
      <c r="AX64" s="94">
        <f t="shared" si="362"/>
        <v>130784</v>
      </c>
      <c r="AY64" s="1528" t="s">
        <v>32</v>
      </c>
      <c r="AZ64" s="1031">
        <f>+RMHP!AY29</f>
        <v>12288</v>
      </c>
      <c r="BA64" s="2075" t="s">
        <v>32</v>
      </c>
      <c r="BB64" s="1839">
        <f>AR64+AV64+AZ64</f>
        <v>35397</v>
      </c>
      <c r="BC64" s="2076" t="s">
        <v>32</v>
      </c>
      <c r="BD64" s="432">
        <f>+AN64+BB64</f>
        <v>71895</v>
      </c>
      <c r="BE64" s="2074" t="s">
        <v>32</v>
      </c>
      <c r="BF64" s="94">
        <f t="shared" si="363"/>
        <v>143072</v>
      </c>
    </row>
    <row r="65" spans="1:58" ht="15" thickBot="1" x14ac:dyDescent="0.35">
      <c r="A65" s="135" t="s">
        <v>445</v>
      </c>
      <c r="B65" s="1570" t="s">
        <v>245</v>
      </c>
      <c r="C65" s="687" t="s">
        <v>50</v>
      </c>
      <c r="D65" s="1031">
        <f>+((D23+D24)/((100-D72)/100))-(D23+D24)</f>
        <v>125143.11111111101</v>
      </c>
      <c r="E65" s="1031">
        <f>+((E23+E24)/((100-E72)/100))-(E23+E24)</f>
        <v>9267.5555555555475</v>
      </c>
      <c r="F65" s="1031">
        <f>+F64-((F55/100)*F64)</f>
        <v>10346.854300000001</v>
      </c>
      <c r="G65" s="1031">
        <f>+((G23+G24)/((100-G72)/100))-(G23+G24)</f>
        <v>7999.444444444438</v>
      </c>
      <c r="H65" s="1031">
        <f>+H64-((H55/100)*H64)</f>
        <v>6426</v>
      </c>
      <c r="I65" s="666">
        <f>+E65+G65</f>
        <v>17266.999999999985</v>
      </c>
      <c r="J65" s="40">
        <f t="shared" si="355"/>
        <v>16772.854299999999</v>
      </c>
      <c r="K65" s="1031">
        <f>+((K23+K24)/((100-K72)/100))-(K23+K24)</f>
        <v>10780</v>
      </c>
      <c r="L65" s="1031">
        <f>+L64-((L55/100)*L64)</f>
        <v>11847.7976</v>
      </c>
      <c r="M65" s="68">
        <f>+K65+G65+E65</f>
        <v>28046.999999999985</v>
      </c>
      <c r="N65" s="68">
        <f>+N64-((N55/100)*N64)</f>
        <v>28620.651900000001</v>
      </c>
      <c r="O65" s="1031">
        <f>+((O23+O24)/((100-O72)/100))-(O23+O24)</f>
        <v>10908.333333333328</v>
      </c>
      <c r="P65" s="1031">
        <f>+P64-((P55/100)*P64)</f>
        <v>13053.6016</v>
      </c>
      <c r="Q65" s="666">
        <f>+M65+O65</f>
        <v>38955.333333333314</v>
      </c>
      <c r="R65" s="40">
        <f t="shared" si="356"/>
        <v>41674.253499999999</v>
      </c>
      <c r="S65" s="1031">
        <f>+((S23+S24)/((100-S72)/100))-(S23+S24)</f>
        <v>10908.333333333328</v>
      </c>
      <c r="T65" s="1031">
        <f>+T64-((T55/100)*T64)</f>
        <v>12613.0455</v>
      </c>
      <c r="U65" s="666">
        <f>+Q65+S65</f>
        <v>49863.666666666642</v>
      </c>
      <c r="V65" s="40">
        <f t="shared" si="357"/>
        <v>54287.298999999999</v>
      </c>
      <c r="W65" s="1031">
        <f>+((W23+W24)/((100-W72)/100))-(W23+W24)</f>
        <v>6393.3333333333285</v>
      </c>
      <c r="X65" s="1031">
        <f>+X64-((X55/100)*X64)</f>
        <v>12861.105600000001</v>
      </c>
      <c r="Y65" s="64">
        <f>+W65+S65+O65</f>
        <v>28209.999999999985</v>
      </c>
      <c r="Z65" s="65">
        <f t="shared" si="364"/>
        <v>38527.752700000005</v>
      </c>
      <c r="AA65" s="596">
        <f>M65+Y65</f>
        <v>56256.999999999971</v>
      </c>
      <c r="AB65" s="441">
        <f t="shared" si="358"/>
        <v>67148.404600000009</v>
      </c>
      <c r="AC65" s="1031">
        <f>+((AC23+AC24)/((100-AC72)/100))-(AC23+AC24)</f>
        <v>11064.444444444438</v>
      </c>
      <c r="AD65" s="1031">
        <f>+AD64-((AD55/100)*AD64)</f>
        <v>12145.35</v>
      </c>
      <c r="AE65" s="666">
        <f>+AA65+AC65</f>
        <v>67321.444444444409</v>
      </c>
      <c r="AF65" s="40">
        <f t="shared" si="359"/>
        <v>79293.754600000015</v>
      </c>
      <c r="AG65" s="1031">
        <f>+((AG23+AG24)/((100-AG72)/100))-(AG23+AG24)</f>
        <v>10724</v>
      </c>
      <c r="AH65" s="1031">
        <f>+AH64-((AH55/100)*AH64)</f>
        <v>11554.65</v>
      </c>
      <c r="AI65" s="666">
        <f>+AE65+AG65</f>
        <v>78045.444444444409</v>
      </c>
      <c r="AJ65" s="40">
        <f t="shared" si="360"/>
        <v>90848.404600000009</v>
      </c>
      <c r="AK65" s="1031">
        <f>+((AK23+AK24)/((100-AK72)/100))-(AK23+AK24)</f>
        <v>11064.444444444438</v>
      </c>
      <c r="AL65" s="1031">
        <f>+AL64-((AL55/100)*AL64)</f>
        <v>10852.704</v>
      </c>
      <c r="AM65" s="64">
        <f>+AK65+AG65+AC65</f>
        <v>32852.888888888876</v>
      </c>
      <c r="AN65" s="65">
        <f t="shared" ref="AN65:AN67" si="378">+AL65+AH65+AD65</f>
        <v>34552.703999999998</v>
      </c>
      <c r="AO65" s="546">
        <f t="shared" si="370"/>
        <v>89109.888888888847</v>
      </c>
      <c r="AP65" s="546">
        <f t="shared" si="370"/>
        <v>101701.10860000001</v>
      </c>
      <c r="AQ65" s="1031">
        <f>+((AQ23+AQ24)/((100-AQ72)/100))-(AQ23+AQ24)</f>
        <v>11234.666666666657</v>
      </c>
      <c r="AR65" s="1031">
        <f>+AR64-((AR55/100)*AR64)</f>
        <v>9568.2595999999994</v>
      </c>
      <c r="AS65" s="666">
        <f>+AO65+AQ65</f>
        <v>100344.5555555555</v>
      </c>
      <c r="AT65" s="40">
        <f t="shared" si="361"/>
        <v>111269.36820000001</v>
      </c>
      <c r="AU65" s="1031">
        <f>+((AU23+AU24)/((100-AU72)/100))-(AU23+AU24)</f>
        <v>10043.111111111109</v>
      </c>
      <c r="AV65" s="1031">
        <f>+AV64-((AV55/100)*AV64)</f>
        <v>12336.7</v>
      </c>
      <c r="AW65" s="666">
        <f>+AS65+AU65</f>
        <v>110387.66666666661</v>
      </c>
      <c r="AX65" s="40">
        <f t="shared" si="362"/>
        <v>123606.06820000001</v>
      </c>
      <c r="AY65" s="1031">
        <f>+((AY23+AY24)/((100-AY72)/100))-(AY23+AY24)</f>
        <v>11234.666666666657</v>
      </c>
      <c r="AZ65" s="1031">
        <f>+AZ64-((AZ55/100)*AZ64)</f>
        <v>11656.3968</v>
      </c>
      <c r="BA65" s="64">
        <f>+AY65+AU65+AQ65</f>
        <v>32512.444444444423</v>
      </c>
      <c r="BB65" s="65">
        <f t="shared" ref="BB65:BB67" si="379">+AZ65+AV65+AR65</f>
        <v>33561.356399999997</v>
      </c>
      <c r="BC65" s="433">
        <f t="shared" ref="BC65" si="380">AM65+BA65</f>
        <v>65365.333333333299</v>
      </c>
      <c r="BD65" s="433">
        <f t="shared" ref="BD65" si="381">AN65+BB65</f>
        <v>68114.060399999988</v>
      </c>
      <c r="BE65" s="666">
        <f>+AW65+AY65</f>
        <v>121622.33333333327</v>
      </c>
      <c r="BF65" s="40">
        <f t="shared" si="363"/>
        <v>135262.465</v>
      </c>
    </row>
    <row r="66" spans="1:58" ht="16.2" thickBot="1" x14ac:dyDescent="0.35">
      <c r="A66" s="135"/>
      <c r="B66" s="1571" t="s">
        <v>1257</v>
      </c>
      <c r="C66" s="687" t="s">
        <v>50</v>
      </c>
      <c r="D66" s="1031"/>
      <c r="E66" s="1031"/>
      <c r="F66" s="1031">
        <f>+RMHP!E31</f>
        <v>798</v>
      </c>
      <c r="G66" s="1031"/>
      <c r="H66" s="1031">
        <f>+RMHP!G31</f>
        <v>402</v>
      </c>
      <c r="I66" s="1908"/>
      <c r="J66" s="40">
        <f t="shared" si="355"/>
        <v>1200</v>
      </c>
      <c r="K66" s="1031"/>
      <c r="L66" s="1031">
        <f>+RMHP!K31</f>
        <v>901</v>
      </c>
      <c r="M66" s="1020"/>
      <c r="N66" s="1020">
        <f>F66+H66+L66</f>
        <v>2101</v>
      </c>
      <c r="O66" s="1031"/>
      <c r="P66" s="1031">
        <f>+RMHP!O31</f>
        <v>855</v>
      </c>
      <c r="Q66" s="2046"/>
      <c r="R66" s="1772">
        <f t="shared" si="356"/>
        <v>2956</v>
      </c>
      <c r="S66" s="1031"/>
      <c r="T66" s="1031">
        <f>+RMHP!S31</f>
        <v>912</v>
      </c>
      <c r="U66" s="2046"/>
      <c r="V66" s="1772">
        <f t="shared" si="357"/>
        <v>3868</v>
      </c>
      <c r="W66" s="1031"/>
      <c r="X66" s="1031">
        <f>+RMHP!W31</f>
        <v>798</v>
      </c>
      <c r="Y66" s="2071"/>
      <c r="Z66" s="2070">
        <f>P66+T66+X66</f>
        <v>2565</v>
      </c>
      <c r="AA66" s="2048"/>
      <c r="AB66" s="2072">
        <f t="shared" si="358"/>
        <v>4666</v>
      </c>
      <c r="AC66" s="1031"/>
      <c r="AD66" s="1031">
        <f>+RMHP!AC31</f>
        <v>998</v>
      </c>
      <c r="AE66" s="2046"/>
      <c r="AF66" s="1772">
        <f t="shared" si="359"/>
        <v>5664</v>
      </c>
      <c r="AG66" s="1031"/>
      <c r="AH66" s="1031">
        <f>+RMHP!AG31</f>
        <v>1097</v>
      </c>
      <c r="AI66" s="2046"/>
      <c r="AJ66" s="1772">
        <f t="shared" si="360"/>
        <v>6761</v>
      </c>
      <c r="AK66" s="1031"/>
      <c r="AL66" s="1031">
        <f>+RMHP!AK31</f>
        <v>1269</v>
      </c>
      <c r="AM66" s="2071"/>
      <c r="AN66" s="2070">
        <f>AD66+AH66+AL66</f>
        <v>3364</v>
      </c>
      <c r="AO66" s="2046"/>
      <c r="AP66" s="2067">
        <f>+AL66+AJ66</f>
        <v>8030</v>
      </c>
      <c r="AQ66" s="1031"/>
      <c r="AR66" s="1031">
        <f>+RMHP!AQ31</f>
        <v>988</v>
      </c>
      <c r="AS66" s="2046"/>
      <c r="AT66" s="1772">
        <f t="shared" si="361"/>
        <v>9018</v>
      </c>
      <c r="AU66" s="1031"/>
      <c r="AV66" s="1031">
        <f>+RMHP!AU31</f>
        <v>655</v>
      </c>
      <c r="AW66" s="2046"/>
      <c r="AX66" s="1772">
        <f t="shared" si="362"/>
        <v>9673</v>
      </c>
      <c r="AY66" s="1031"/>
      <c r="AZ66" s="1031">
        <f>+RMHP!AY31</f>
        <v>925</v>
      </c>
      <c r="BA66" s="2071"/>
      <c r="BB66" s="2070">
        <f>AR66+AV66+AZ66</f>
        <v>2568</v>
      </c>
      <c r="BC66" s="2048"/>
      <c r="BD66" s="432">
        <f>+AN66+BB66</f>
        <v>5932</v>
      </c>
      <c r="BE66" s="2046"/>
      <c r="BF66" s="1772">
        <f t="shared" si="363"/>
        <v>10598</v>
      </c>
    </row>
    <row r="67" spans="1:58" ht="15" thickBot="1" x14ac:dyDescent="0.35">
      <c r="A67" s="135"/>
      <c r="B67" s="1570" t="s">
        <v>1258</v>
      </c>
      <c r="C67" s="687" t="s">
        <v>50</v>
      </c>
      <c r="D67" s="1031">
        <f>D30/((100-D73)/100)-D30</f>
        <v>12757.939662736491</v>
      </c>
      <c r="E67" s="1031">
        <f>E30/((100-E73)/100)-E30</f>
        <v>884.55048328306293</v>
      </c>
      <c r="F67" s="1031">
        <f>+F66-((F56/100)*F66)</f>
        <v>788.18460000000005</v>
      </c>
      <c r="G67" s="1031">
        <f>G30/((100-G73)/100)-G30</f>
        <v>795.24490564390726</v>
      </c>
      <c r="H67" s="1031">
        <f>+H66-((H56/100)*H66)</f>
        <v>396.29160000000002</v>
      </c>
      <c r="I67" s="40">
        <f t="shared" si="355"/>
        <v>1679.7953889269702</v>
      </c>
      <c r="J67" s="40">
        <f t="shared" si="355"/>
        <v>1184.4762000000001</v>
      </c>
      <c r="K67" s="1031">
        <f>K30/((100-K73)/100)-K30</f>
        <v>1071.6669316698681</v>
      </c>
      <c r="L67" s="1031">
        <f>+L66-((L56/100)*L66)</f>
        <v>881.08789999999999</v>
      </c>
      <c r="M67" s="1020">
        <f>E67+G67+K67</f>
        <v>2751.4623205968383</v>
      </c>
      <c r="N67" s="1020">
        <f>+N66-((N56/100)*N66)</f>
        <v>2065.5641000000001</v>
      </c>
      <c r="O67" s="1031">
        <f>O30/((100-O73)/100)-O30</f>
        <v>1084.4248713325942</v>
      </c>
      <c r="P67" s="1031">
        <f>+P66-((P56/100)*P66)</f>
        <v>831.40200000000004</v>
      </c>
      <c r="Q67" s="1908">
        <f>M67+O67</f>
        <v>3835.8871919294324</v>
      </c>
      <c r="R67" s="40">
        <f t="shared" si="356"/>
        <v>2896.9661000000001</v>
      </c>
      <c r="S67" s="1031">
        <f>S30/((100-S73)/100)-S30</f>
        <v>1084.4248713325942</v>
      </c>
      <c r="T67" s="1031">
        <f>+T66-((T56/100)*T66)</f>
        <v>890.56799999999998</v>
      </c>
      <c r="U67" s="1908">
        <f>Q67+S67</f>
        <v>4920.3120632620266</v>
      </c>
      <c r="V67" s="40">
        <f t="shared" si="357"/>
        <v>3787.5340999999999</v>
      </c>
      <c r="W67" s="1031">
        <f>W30/((100-W73)/100)-W30</f>
        <v>595.37051759436872</v>
      </c>
      <c r="X67" s="1031">
        <f>+X66-((X56/100)*X66)</f>
        <v>783.31680000000006</v>
      </c>
      <c r="Y67" s="64">
        <f>+W67+S67+O67</f>
        <v>2764.2202602595571</v>
      </c>
      <c r="Z67" s="1020">
        <f>+Z66-((Z56/100)*Z66)</f>
        <v>2505.5261895357253</v>
      </c>
      <c r="AA67" s="596">
        <f>M67+Y67</f>
        <v>5515.6825808563954</v>
      </c>
      <c r="AB67" s="422">
        <f t="shared" si="358"/>
        <v>4571.0902895357249</v>
      </c>
      <c r="AC67" s="1031">
        <f>AC30/((100-AC73)/100)-AC30</f>
        <v>1105.6881041038287</v>
      </c>
      <c r="AD67" s="1031">
        <f>+AD66-((AD56/100)*AD66)</f>
        <v>982.63080000000002</v>
      </c>
      <c r="AE67" s="1908">
        <f>AA67+AC67</f>
        <v>6621.370684960224</v>
      </c>
      <c r="AF67" s="40">
        <f t="shared" si="359"/>
        <v>5553.7210895357248</v>
      </c>
      <c r="AG67" s="1031">
        <f>AG30/((100-AG73)/100)-AG30</f>
        <v>1071.6669316698681</v>
      </c>
      <c r="AH67" s="1031">
        <f>+AH66-((AH56/100)*AH66)</f>
        <v>1072.2077999999999</v>
      </c>
      <c r="AI67" s="1908">
        <f>AE67+AG67</f>
        <v>7693.0376166300921</v>
      </c>
      <c r="AJ67" s="40">
        <f t="shared" si="360"/>
        <v>6625.9288895357249</v>
      </c>
      <c r="AK67" s="1031">
        <f>AK30/((100-AK73)/100)-AK30</f>
        <v>1105.6881041038287</v>
      </c>
      <c r="AL67" s="1031">
        <f>+AL66-((AL56/100)*AL66)</f>
        <v>1247.4269999999999</v>
      </c>
      <c r="AM67" s="64">
        <f>+AK67+AG67+AC67</f>
        <v>3283.0431398775254</v>
      </c>
      <c r="AN67" s="65">
        <f t="shared" si="378"/>
        <v>3302.2655999999997</v>
      </c>
      <c r="AO67" s="546">
        <f t="shared" si="370"/>
        <v>8798.7257207339208</v>
      </c>
      <c r="AP67" s="546">
        <f t="shared" si="370"/>
        <v>7873.3558895357246</v>
      </c>
      <c r="AQ67" s="1031">
        <f>AQ30/((100-AQ73)/100)-AQ30</f>
        <v>1122.6986903208162</v>
      </c>
      <c r="AR67" s="1031">
        <f>+AR66-((AR56/100)*AR66)</f>
        <v>974.06920000000002</v>
      </c>
      <c r="AS67" s="1908">
        <f>AO67+AQ67</f>
        <v>9921.424411054737</v>
      </c>
      <c r="AT67" s="40">
        <f t="shared" si="361"/>
        <v>8847.4250895357254</v>
      </c>
      <c r="AU67" s="1031">
        <f>AU30/((100-AU73)/100)-AU30</f>
        <v>1003.6245868019323</v>
      </c>
      <c r="AV67" s="1031">
        <f>+AV66-((AV56/100)*AV66)</f>
        <v>646.94349999999997</v>
      </c>
      <c r="AW67" s="1908">
        <f>AS67+AU67</f>
        <v>10925.048997856669</v>
      </c>
      <c r="AX67" s="40">
        <f t="shared" si="362"/>
        <v>9494.3685895357248</v>
      </c>
      <c r="AY67" s="1031">
        <f>AY30/((100-AY73)/100)-AY30</f>
        <v>1122.6986903208162</v>
      </c>
      <c r="AZ67" s="1031">
        <f>+AZ66-((AZ56/100)*AZ66)</f>
        <v>914.82500000000005</v>
      </c>
      <c r="BA67" s="64">
        <f>+AY67+AU67+AQ67</f>
        <v>3249.0219674435648</v>
      </c>
      <c r="BB67" s="65">
        <f t="shared" si="379"/>
        <v>2535.8377</v>
      </c>
      <c r="BC67" s="433">
        <f t="shared" ref="BC67" si="382">AM67+BA67</f>
        <v>6532.0651073210902</v>
      </c>
      <c r="BD67" s="433">
        <f t="shared" ref="BD67" si="383">AN67+BB67</f>
        <v>5838.1032999999998</v>
      </c>
      <c r="BE67" s="1908">
        <f>AW67+AY67</f>
        <v>12047.747688177486</v>
      </c>
      <c r="BF67" s="40">
        <f t="shared" si="363"/>
        <v>10409.193589535726</v>
      </c>
    </row>
    <row r="68" spans="1:58" ht="15.6" x14ac:dyDescent="0.3">
      <c r="A68" s="135"/>
      <c r="B68" s="1571" t="s">
        <v>569</v>
      </c>
      <c r="C68" s="695" t="s">
        <v>50</v>
      </c>
      <c r="D68" s="1526" t="s">
        <v>32</v>
      </c>
      <c r="E68" s="1528" t="s">
        <v>32</v>
      </c>
      <c r="F68" s="1031">
        <f>+RMHP!E30</f>
        <v>10245</v>
      </c>
      <c r="G68" s="1528" t="s">
        <v>32</v>
      </c>
      <c r="H68" s="1031">
        <f>+RMHP!G30</f>
        <v>4178</v>
      </c>
      <c r="I68" s="3488" t="s">
        <v>32</v>
      </c>
      <c r="J68" s="39">
        <f t="shared" si="355"/>
        <v>14423</v>
      </c>
      <c r="K68" s="1528" t="s">
        <v>32</v>
      </c>
      <c r="L68" s="1031">
        <f>+RMHP!K30</f>
        <v>8611</v>
      </c>
      <c r="M68" s="3489" t="s">
        <v>32</v>
      </c>
      <c r="N68" s="3489">
        <f>F68+H68+L68</f>
        <v>23034</v>
      </c>
      <c r="O68" s="1528" t="s">
        <v>32</v>
      </c>
      <c r="P68" s="1031">
        <f>+RMHP!O30</f>
        <v>7621</v>
      </c>
      <c r="Q68" s="2066" t="s">
        <v>32</v>
      </c>
      <c r="R68" s="2067">
        <f t="shared" si="356"/>
        <v>30655</v>
      </c>
      <c r="S68" s="1528" t="s">
        <v>32</v>
      </c>
      <c r="T68" s="1031">
        <f>+RMHP!S30</f>
        <v>7950</v>
      </c>
      <c r="U68" s="2066" t="s">
        <v>32</v>
      </c>
      <c r="V68" s="2067">
        <f t="shared" si="357"/>
        <v>38605</v>
      </c>
      <c r="W68" s="1528" t="s">
        <v>32</v>
      </c>
      <c r="X68" s="1031">
        <f>+RMHP!W30</f>
        <v>5111</v>
      </c>
      <c r="Y68" s="721"/>
      <c r="Z68" s="1839">
        <f>P68+T68+X68</f>
        <v>20682</v>
      </c>
      <c r="AA68" s="2069" t="s">
        <v>32</v>
      </c>
      <c r="AB68" s="455">
        <f t="shared" si="358"/>
        <v>43716</v>
      </c>
      <c r="AC68" s="1528" t="s">
        <v>32</v>
      </c>
      <c r="AD68" s="1031">
        <f>+RMHP!AC30</f>
        <v>6124</v>
      </c>
      <c r="AE68" s="2066" t="s">
        <v>32</v>
      </c>
      <c r="AF68" s="2067">
        <f t="shared" si="359"/>
        <v>49840</v>
      </c>
      <c r="AG68" s="1528" t="s">
        <v>32</v>
      </c>
      <c r="AH68" s="1031">
        <f>+RMHP!AG30</f>
        <v>10121</v>
      </c>
      <c r="AI68" s="2066" t="s">
        <v>32</v>
      </c>
      <c r="AJ68" s="2067">
        <f t="shared" si="360"/>
        <v>59961</v>
      </c>
      <c r="AK68" s="1528" t="s">
        <v>32</v>
      </c>
      <c r="AL68" s="1031">
        <f>+RMHP!AK30</f>
        <v>13032</v>
      </c>
      <c r="AM68" s="721"/>
      <c r="AN68" s="1839">
        <f>AD68+AH68+AL68</f>
        <v>29277</v>
      </c>
      <c r="AO68" s="2066" t="s">
        <v>32</v>
      </c>
      <c r="AP68" s="2067">
        <f>+AL68+AJ68</f>
        <v>72993</v>
      </c>
      <c r="AQ68" s="1528" t="s">
        <v>32</v>
      </c>
      <c r="AR68" s="1031">
        <f>+RMHP!AQ30</f>
        <v>14778</v>
      </c>
      <c r="AS68" s="2066" t="s">
        <v>32</v>
      </c>
      <c r="AT68" s="2067">
        <f t="shared" si="361"/>
        <v>87771</v>
      </c>
      <c r="AU68" s="1528" t="s">
        <v>32</v>
      </c>
      <c r="AV68" s="1031">
        <f>+RMHP!AU30</f>
        <v>9877</v>
      </c>
      <c r="AW68" s="2066" t="s">
        <v>32</v>
      </c>
      <c r="AX68" s="2067">
        <f t="shared" si="362"/>
        <v>97648</v>
      </c>
      <c r="AY68" s="1528" t="s">
        <v>32</v>
      </c>
      <c r="AZ68" s="1031">
        <f>+RMHP!AY30</f>
        <v>9345</v>
      </c>
      <c r="BA68" s="721"/>
      <c r="BB68" s="1839">
        <f>AR68+AV68+AZ68</f>
        <v>34000</v>
      </c>
      <c r="BC68" s="2069" t="s">
        <v>32</v>
      </c>
      <c r="BD68" s="432">
        <f>+AN68+BB68</f>
        <v>63277</v>
      </c>
      <c r="BE68" s="2066" t="s">
        <v>32</v>
      </c>
      <c r="BF68" s="2067">
        <f t="shared" si="363"/>
        <v>106993</v>
      </c>
    </row>
    <row r="69" spans="1:58" ht="15" thickBot="1" x14ac:dyDescent="0.35">
      <c r="A69" s="135" t="s">
        <v>445</v>
      </c>
      <c r="B69" s="1570" t="s">
        <v>570</v>
      </c>
      <c r="C69" s="687" t="s">
        <v>50</v>
      </c>
      <c r="D69" s="210">
        <f>+(D28/((100-D74)/100))-D28</f>
        <v>113055.65216701757</v>
      </c>
      <c r="E69" s="210">
        <f>+(E28/((100-E74)/100))-E28</f>
        <v>7838.5252169132218</v>
      </c>
      <c r="F69" s="210">
        <f>+F68-((F57/100)*F68)</f>
        <v>9479.6985000000004</v>
      </c>
      <c r="G69" s="210">
        <f>+(G28/((100-G74)/100))-G28</f>
        <v>7047.1356517440945</v>
      </c>
      <c r="H69" s="210">
        <f>+H68-((H57/100)*H68)</f>
        <v>3844.5956000000001</v>
      </c>
      <c r="I69" s="666">
        <f>+E69+G69</f>
        <v>14885.660868657316</v>
      </c>
      <c r="J69" s="40">
        <f t="shared" si="355"/>
        <v>13324.294100000001</v>
      </c>
      <c r="K69" s="210">
        <f>+(K28/((100-K74)/100))-K28</f>
        <v>9496.6747820294768</v>
      </c>
      <c r="L69" s="210">
        <f>+L68-((L57/100)*L68)</f>
        <v>7843.7599</v>
      </c>
      <c r="M69" s="1410">
        <f>+K69+G69+E69</f>
        <v>24382.335650686793</v>
      </c>
      <c r="N69" s="1410">
        <f>+N68-((N57/100)*N68)</f>
        <v>21168.054</v>
      </c>
      <c r="O69" s="210">
        <f>+(O28/((100-O74)/100))-O28</f>
        <v>9609.7304341964991</v>
      </c>
      <c r="P69" s="210">
        <f>+P68-((P57/100)*P68)</f>
        <v>6780.4036999999998</v>
      </c>
      <c r="Q69" s="666">
        <f>+M69+O69</f>
        <v>33992.066084883292</v>
      </c>
      <c r="R69" s="40">
        <f t="shared" si="356"/>
        <v>27948.457699999999</v>
      </c>
      <c r="S69" s="210">
        <f>+(S28/((100-S74)/100))-S28</f>
        <v>9609.7304341964991</v>
      </c>
      <c r="T69" s="210">
        <f>+T68-((T57/100)*T68)</f>
        <v>7117.6350000000002</v>
      </c>
      <c r="U69" s="666">
        <f>+Q69+S69</f>
        <v>43601.796519079791</v>
      </c>
      <c r="V69" s="40">
        <f t="shared" si="357"/>
        <v>35066.092700000001</v>
      </c>
      <c r="W69" s="210">
        <f>+(W28/((100-W74)/100))-W28</f>
        <v>5275.9304344608208</v>
      </c>
      <c r="X69" s="210">
        <f>+X68-((X57/100)*X68)</f>
        <v>4564.1229999999996</v>
      </c>
      <c r="Y69" s="1916">
        <f>+W69+S69+O69</f>
        <v>24495.391302853819</v>
      </c>
      <c r="Z69" s="70">
        <f>+X69+T69+P69</f>
        <v>18462.161700000001</v>
      </c>
      <c r="AA69" s="596">
        <f>M69+Y69</f>
        <v>48877.726953540609</v>
      </c>
      <c r="AB69" s="1521">
        <f t="shared" si="358"/>
        <v>39630.215700000001</v>
      </c>
      <c r="AC69" s="210">
        <f>+(AC28/((100-AC74)/100))-AC28</f>
        <v>9798.1565211415291</v>
      </c>
      <c r="AD69" s="210">
        <f>+AD68-((AD57/100)*AD68)</f>
        <v>5519.5612000000001</v>
      </c>
      <c r="AE69" s="666">
        <f>+AA69+AC69</f>
        <v>58675.883474682138</v>
      </c>
      <c r="AF69" s="40">
        <f t="shared" si="359"/>
        <v>45149.776899999997</v>
      </c>
      <c r="AG69" s="210">
        <f>+(AG28/((100-AG74)/100))-AG28</f>
        <v>9496.6747820294768</v>
      </c>
      <c r="AH69" s="210">
        <f>+AH68-((AH57/100)*AH68)</f>
        <v>9140.2751000000007</v>
      </c>
      <c r="AI69" s="666">
        <f>+AE69+AG69</f>
        <v>68172.558256711607</v>
      </c>
      <c r="AJ69" s="40">
        <f t="shared" si="360"/>
        <v>54290.051999999996</v>
      </c>
      <c r="AK69" s="210">
        <f>+(AK28/((100-AK74)/100))-AK28</f>
        <v>9798.1565211415291</v>
      </c>
      <c r="AL69" s="210">
        <f>+AL68-((AL57/100)*AL68)</f>
        <v>11950.344000000001</v>
      </c>
      <c r="AM69" s="1916">
        <f>+AK69+AG69+AC69</f>
        <v>29092.987824312535</v>
      </c>
      <c r="AN69" s="70">
        <f>+AL69+AH69+AD69</f>
        <v>26610.180300000004</v>
      </c>
      <c r="AO69" s="546">
        <f t="shared" ref="AO69" si="384">+AK69+AI69</f>
        <v>77970.714777853136</v>
      </c>
      <c r="AP69" s="546">
        <f t="shared" ref="AP69" si="385">+AL69+AJ69</f>
        <v>66240.395999999993</v>
      </c>
      <c r="AQ69" s="210">
        <f>+(AQ28/((100-AQ74)/100))-AQ28</f>
        <v>9948.8973906975443</v>
      </c>
      <c r="AR69" s="210">
        <f>+AR68-((AR57/100)*AR68)</f>
        <v>13628.2716</v>
      </c>
      <c r="AS69" s="666">
        <f>+AO69+AQ69</f>
        <v>87919.612168550681</v>
      </c>
      <c r="AT69" s="40">
        <f t="shared" si="361"/>
        <v>79868.667599999986</v>
      </c>
      <c r="AU69" s="210">
        <f>+(AU28/((100-AU74)/100))-AU28</f>
        <v>8893.7113038053867</v>
      </c>
      <c r="AV69" s="210">
        <f>+AV68-((AV57/100)*AV68)</f>
        <v>9166.8436999999994</v>
      </c>
      <c r="AW69" s="666">
        <f>+AS69+AU69</f>
        <v>96813.323472356074</v>
      </c>
      <c r="AX69" s="40">
        <f t="shared" si="362"/>
        <v>89035.511299999984</v>
      </c>
      <c r="AY69" s="210">
        <f>+(AY28/((100-AY74)/100))-AY28</f>
        <v>9948.8973906975443</v>
      </c>
      <c r="AZ69" s="210">
        <f>+AZ68-((AZ57/100)*AZ68)</f>
        <v>8687.1119999999992</v>
      </c>
      <c r="BA69" s="1916">
        <f>+AY69+AU69+AQ69</f>
        <v>28791.506085200475</v>
      </c>
      <c r="BB69" s="70">
        <f>+AZ69+AV69+AR69</f>
        <v>31482.227299999999</v>
      </c>
      <c r="BC69" s="433">
        <f t="shared" ref="BC69" si="386">AM69+BA69</f>
        <v>57884.49390951301</v>
      </c>
      <c r="BD69" s="433">
        <f t="shared" ref="BD69" si="387">AN69+BB69</f>
        <v>58092.407600000006</v>
      </c>
      <c r="BE69" s="666">
        <f>+AW69+AY69</f>
        <v>106762.22086305362</v>
      </c>
      <c r="BF69" s="40">
        <f t="shared" si="363"/>
        <v>97722.623299999977</v>
      </c>
    </row>
    <row r="70" spans="1:58" ht="30.75" hidden="1" customHeight="1" thickBot="1" x14ac:dyDescent="0.35">
      <c r="A70" s="135"/>
      <c r="B70" s="1580" t="s">
        <v>558</v>
      </c>
      <c r="C70" s="756" t="s">
        <v>49</v>
      </c>
      <c r="D70" s="1917"/>
      <c r="E70" s="1917">
        <v>0</v>
      </c>
      <c r="F70" s="3490">
        <f>+(F61/(F63+F27+F94))*100</f>
        <v>0</v>
      </c>
      <c r="G70" s="1917">
        <v>0</v>
      </c>
      <c r="H70" s="3490">
        <f>+(H61/(H63+H27+H94))*100</f>
        <v>0</v>
      </c>
      <c r="I70" s="3443" t="s">
        <v>32</v>
      </c>
      <c r="J70" s="3491">
        <f>+(J61/(J63+J27+J94))*100</f>
        <v>0</v>
      </c>
      <c r="K70" s="1917">
        <v>0</v>
      </c>
      <c r="L70" s="3490">
        <f>+(L61/(L63+L27+L94))*100</f>
        <v>0</v>
      </c>
      <c r="M70" s="3492" t="s">
        <v>32</v>
      </c>
      <c r="N70" s="3493">
        <f>+(N61/(N63+N27+N94))*100</f>
        <v>0</v>
      </c>
      <c r="O70" s="1917">
        <v>0</v>
      </c>
      <c r="P70" s="3490">
        <f>+(P61/(P63+P27+P94))*100</f>
        <v>0</v>
      </c>
      <c r="Q70" s="762" t="s">
        <v>32</v>
      </c>
      <c r="R70" s="568">
        <f>+(R61/(R63+R27+R94))*100</f>
        <v>0</v>
      </c>
      <c r="S70" s="1917">
        <v>0</v>
      </c>
      <c r="T70" s="3490">
        <f>+(T61/(T63+T27+T94))*100</f>
        <v>0</v>
      </c>
      <c r="U70" s="762" t="s">
        <v>32</v>
      </c>
      <c r="V70" s="568">
        <f>+(V61/(V63+V27+V94))*100</f>
        <v>0</v>
      </c>
      <c r="W70" s="1917">
        <v>0</v>
      </c>
      <c r="X70" s="3490">
        <f>+(X61/(X63+X27+X94))*100</f>
        <v>0</v>
      </c>
      <c r="Y70" s="1949" t="s">
        <v>32</v>
      </c>
      <c r="Z70" s="567">
        <f>+(Z61/(Z63+Z27+Z94))*100</f>
        <v>0</v>
      </c>
      <c r="AA70" s="1950" t="s">
        <v>32</v>
      </c>
      <c r="AB70" s="1951">
        <f>+(AB61/(AB63+AB27+AB94))*100</f>
        <v>0</v>
      </c>
      <c r="AC70" s="1917">
        <v>0</v>
      </c>
      <c r="AD70" s="3490">
        <f>+(AD61/(AD63+AD27+AD94))*100</f>
        <v>0</v>
      </c>
      <c r="AE70" s="762" t="s">
        <v>32</v>
      </c>
      <c r="AF70" s="568">
        <f>+(AF61/(AF63+AF27+AF94))*100</f>
        <v>0</v>
      </c>
      <c r="AG70" s="1917">
        <v>0</v>
      </c>
      <c r="AH70" s="3490">
        <f>+(AH61/(AH63+AH27+AH94))*100</f>
        <v>0</v>
      </c>
      <c r="AI70" s="762" t="s">
        <v>32</v>
      </c>
      <c r="AJ70" s="568">
        <f>+(AJ61/(AJ63+AJ27+AJ94))*100</f>
        <v>0</v>
      </c>
      <c r="AK70" s="1917">
        <v>0</v>
      </c>
      <c r="AL70" s="3490">
        <f>+(AL61/(AL63+AL27+AL94))*100</f>
        <v>0</v>
      </c>
      <c r="AM70" s="1949" t="s">
        <v>32</v>
      </c>
      <c r="AN70" s="567">
        <f>+(AN61/(AN63+AN27+AN94))*100</f>
        <v>0</v>
      </c>
      <c r="AO70" s="762" t="s">
        <v>32</v>
      </c>
      <c r="AP70" s="568">
        <f>+(AP61/(AP63+AP27+AP94))*100</f>
        <v>0</v>
      </c>
      <c r="AQ70" s="1917">
        <v>0</v>
      </c>
      <c r="AR70" s="3490">
        <f>+(AR61/(AR63+AR27+AR94))*100</f>
        <v>0</v>
      </c>
      <c r="AS70" s="762" t="s">
        <v>32</v>
      </c>
      <c r="AT70" s="568">
        <f>+(AT61/(AT63+AT27+AT94))*100</f>
        <v>0</v>
      </c>
      <c r="AU70" s="1917">
        <v>0</v>
      </c>
      <c r="AV70" s="3490">
        <f>+(AV61/(AV63+AV27+AV94))*100</f>
        <v>0</v>
      </c>
      <c r="AW70" s="762" t="s">
        <v>32</v>
      </c>
      <c r="AX70" s="568">
        <f>+(AX61/(AX63+AX27+AX94))*100</f>
        <v>0</v>
      </c>
      <c r="AY70" s="1917">
        <v>0</v>
      </c>
      <c r="AZ70" s="3490">
        <f>+(AZ61/(AZ63+AZ27+AZ94))*100</f>
        <v>0</v>
      </c>
      <c r="BA70" s="1949" t="s">
        <v>32</v>
      </c>
      <c r="BB70" s="567">
        <f>+(BB61/(BB63+BB27+BB94))*100</f>
        <v>0</v>
      </c>
      <c r="BC70" s="1950" t="s">
        <v>32</v>
      </c>
      <c r="BD70" s="1951">
        <f>+(BD61/(BD63+BD27+BD94))*100</f>
        <v>0</v>
      </c>
      <c r="BE70" s="762" t="s">
        <v>32</v>
      </c>
      <c r="BF70" s="568">
        <f>+(BF61/(BF63+BF27+BF94))*100</f>
        <v>0</v>
      </c>
    </row>
    <row r="71" spans="1:58" ht="27.6" x14ac:dyDescent="0.3">
      <c r="A71" s="186" t="s">
        <v>599</v>
      </c>
      <c r="B71" s="2983" t="s">
        <v>557</v>
      </c>
      <c r="C71" s="695" t="s">
        <v>49</v>
      </c>
      <c r="D71" s="1931">
        <v>18</v>
      </c>
      <c r="E71" s="1113">
        <f>+$D$71</f>
        <v>18</v>
      </c>
      <c r="F71" s="1113">
        <f>+(F59/(F63+F27+F94))*100</f>
        <v>21.32794495777317</v>
      </c>
      <c r="G71" s="1113">
        <f>+$D$71</f>
        <v>18</v>
      </c>
      <c r="H71" s="1113">
        <f>+(H59/(H63+H27+H94))*100</f>
        <v>19.628241432055614</v>
      </c>
      <c r="I71" s="3494">
        <f>+(I59/(I63+I27+I94))*100</f>
        <v>18.000000000000004</v>
      </c>
      <c r="J71" s="1921">
        <f>+(J59/(J63+J27+J94))*100</f>
        <v>20.799926574663289</v>
      </c>
      <c r="K71" s="1113">
        <f>+$D$71</f>
        <v>18</v>
      </c>
      <c r="L71" s="1113">
        <f>+(L59/(L63+L27+L94))*100</f>
        <v>18.678571115316529</v>
      </c>
      <c r="M71" s="1437">
        <f>+$D$71</f>
        <v>18</v>
      </c>
      <c r="N71" s="90">
        <f>+(N59/(N63+N27+N94))*100</f>
        <v>19.895832656709164</v>
      </c>
      <c r="O71" s="1113">
        <f>+$D$71</f>
        <v>18</v>
      </c>
      <c r="P71" s="1113">
        <f>+(P59/(P63+P27+P94))*100</f>
        <v>19.639971945924596</v>
      </c>
      <c r="Q71" s="763">
        <f>+(Q59/(Q63+Q27+Q94))*100</f>
        <v>18.000000000000004</v>
      </c>
      <c r="R71" s="569">
        <f>+(R59/(R63+R27+R94))*100</f>
        <v>19.817186987033697</v>
      </c>
      <c r="S71" s="1113">
        <f>+$D$71</f>
        <v>18</v>
      </c>
      <c r="T71" s="1113">
        <f>+(T59/(T63+T27+T94))*100</f>
        <v>19.902985944922893</v>
      </c>
      <c r="U71" s="763">
        <f>+(U59/(U63+U27+U94))*100</f>
        <v>18.000000000000004</v>
      </c>
      <c r="V71" s="569">
        <f>+(V59/(V63+V27+V94))*100</f>
        <v>19.836629188132257</v>
      </c>
      <c r="W71" s="1113">
        <f>+$D$71</f>
        <v>18</v>
      </c>
      <c r="X71" s="1113">
        <f>+(X59/(X63+X27+X94))*100</f>
        <v>21.088912905069453</v>
      </c>
      <c r="Y71" s="182">
        <f>+(Y59/(Y63+Y27+Y94))*100</f>
        <v>18.000000000000004</v>
      </c>
      <c r="Z71" s="182">
        <f>+(Z59/(Z27+Z63+Z94))*100</f>
        <v>20.195878820493306</v>
      </c>
      <c r="AA71" s="764">
        <f>+(AA59/(AA63+AA27+AA94))*100</f>
        <v>18.000000000000004</v>
      </c>
      <c r="AB71" s="458">
        <f>+(AB59/(AB63+AB27+AB94))*100</f>
        <v>20.064383642072933</v>
      </c>
      <c r="AC71" s="1113">
        <f>+$D$71</f>
        <v>18</v>
      </c>
      <c r="AD71" s="1113">
        <f>+(AD59/(AD63+AD27+AD94))*100</f>
        <v>20.693023667951554</v>
      </c>
      <c r="AE71" s="763">
        <f>+(AE59/(AE63+AE27+AE94))*100</f>
        <v>18.000000000000004</v>
      </c>
      <c r="AF71" s="569">
        <f>+(AF59/(AF63+AF27+AF94))*100</f>
        <v>20.146014016499063</v>
      </c>
      <c r="AG71" s="1113">
        <f>+$D$71</f>
        <v>18</v>
      </c>
      <c r="AH71" s="1113">
        <f>+(AH59/(AH63+AH27+AH94))*100</f>
        <v>19.704053138337525</v>
      </c>
      <c r="AI71" s="763">
        <f>+(AI59/(AI63+AI27+AI94))*100</f>
        <v>18.000000000000004</v>
      </c>
      <c r="AJ71" s="569">
        <f>+(AJ59/(AJ63+AJ27+AJ94))*100</f>
        <v>20.086144374380748</v>
      </c>
      <c r="AK71" s="1113">
        <f>+$D$71</f>
        <v>18</v>
      </c>
      <c r="AL71" s="1113">
        <f>+(AL59/(AL63+AL27+AL94))*100</f>
        <v>19.642092258081544</v>
      </c>
      <c r="AM71" s="182">
        <f>+(AM59/(AM63+AM27+AM94))*100</f>
        <v>18.000000000000011</v>
      </c>
      <c r="AN71" s="182">
        <f>+(AN59/(AN27+AN63+AN94))*100</f>
        <v>19.972711895963005</v>
      </c>
      <c r="AO71" s="763">
        <f>+(AO59/(AO63+AO27+AO94))*100</f>
        <v>18.000000000000004</v>
      </c>
      <c r="AP71" s="569">
        <f>+(AP59/(AP63+AP27+AP94))*100</f>
        <v>20.033498107908549</v>
      </c>
      <c r="AQ71" s="1113">
        <f>+$D$71</f>
        <v>18</v>
      </c>
      <c r="AR71" s="1113">
        <f>+(AR59/(AR63+AR27+AR94))*100</f>
        <v>21.173569709308374</v>
      </c>
      <c r="AS71" s="2403">
        <f>+(AS59/(AS63+AS27+AS94))*100</f>
        <v>18.000000000000004</v>
      </c>
      <c r="AT71" s="2242">
        <f>+(AT59/(AT63+AT27+AT94))*100</f>
        <v>20.153609268010079</v>
      </c>
      <c r="AU71" s="1113">
        <f>+$D$71</f>
        <v>18</v>
      </c>
      <c r="AV71" s="1113">
        <f>+(AV59/(AV63+AV27+AV94))*100</f>
        <v>21.543981815219844</v>
      </c>
      <c r="AW71" s="2403">
        <f>+(AW59/(AW63+AW27+AW94))*100</f>
        <v>18.000000000000004</v>
      </c>
      <c r="AX71" s="2242">
        <f>+(AX59/(AX63+AX27+AX94))*100</f>
        <v>20.265825621714889</v>
      </c>
      <c r="AY71" s="1113">
        <f>+$D$71</f>
        <v>18</v>
      </c>
      <c r="AZ71" s="1113">
        <f>+(AZ59/(AZ63+AZ27+AZ94))*100</f>
        <v>21.385834384525289</v>
      </c>
      <c r="BA71" s="2402">
        <f>+(BA59/(BA63+BA27+BA94))*100</f>
        <v>18.000000000000004</v>
      </c>
      <c r="BB71" s="182">
        <f>+(BB59/(BB27+BB63+BB94))*100</f>
        <v>21.35803560780802</v>
      </c>
      <c r="BC71" s="2401">
        <f>+(BC59/(BC63+BC27+BC94))*100</f>
        <v>18.000000000000004</v>
      </c>
      <c r="BD71" s="458">
        <f>+(BD59/(BD63+BD27+BD94))*100</f>
        <v>20.669450992470988</v>
      </c>
      <c r="BE71" s="2403">
        <f>+(BE59/(BE63+BE27+BE94))*100</f>
        <v>18.000000000000004</v>
      </c>
      <c r="BF71" s="569">
        <f>+(BF59/(BF63+BF27+BF94))*100</f>
        <v>20.370241400494592</v>
      </c>
    </row>
    <row r="72" spans="1:58" x14ac:dyDescent="0.3">
      <c r="A72" s="186" t="s">
        <v>599</v>
      </c>
      <c r="B72" s="1569" t="s">
        <v>555</v>
      </c>
      <c r="C72" s="509" t="s">
        <v>49</v>
      </c>
      <c r="D72" s="710">
        <v>10</v>
      </c>
      <c r="E72" s="178">
        <f>+$D$72</f>
        <v>10</v>
      </c>
      <c r="F72" s="178">
        <f>+(F65/(F65+F23+F24+F33))*100</f>
        <v>9.5096208368533901</v>
      </c>
      <c r="G72" s="178">
        <f>+$D$72</f>
        <v>10</v>
      </c>
      <c r="H72" s="178">
        <f>+(H65/(H65+H23+H24+H33))*100</f>
        <v>10.519324318478002</v>
      </c>
      <c r="I72" s="3495">
        <f>+(I65/(I65+I23+I24))*100</f>
        <v>9.9999999999999929</v>
      </c>
      <c r="J72" s="343">
        <f>+(J65/(J65+J23+J24+J33))*100</f>
        <v>9.872677755610912</v>
      </c>
      <c r="K72" s="178">
        <f>+$D$72</f>
        <v>10</v>
      </c>
      <c r="L72" s="178">
        <f>+(L65/(L65+L23+L24+L33))*100</f>
        <v>10.646072990245287</v>
      </c>
      <c r="M72" s="73">
        <f>+$D$72</f>
        <v>10</v>
      </c>
      <c r="N72" s="85">
        <f>+(N65/(N65+N23+N24+N33))*100</f>
        <v>10.178779542967387</v>
      </c>
      <c r="O72" s="178">
        <f>+$D$72</f>
        <v>10</v>
      </c>
      <c r="P72" s="178">
        <f>+(P65/(P65+P23+P24+P33))*100</f>
        <v>10.769778912379453</v>
      </c>
      <c r="Q72" s="765">
        <f>+(Q65/(Q65+Q23+Q24))*100</f>
        <v>9.9999999999999947</v>
      </c>
      <c r="R72" s="370">
        <f>+(R65/(R65+R23+R24+R33))*100</f>
        <v>10.356799346078819</v>
      </c>
      <c r="S72" s="178">
        <f>+$D$72</f>
        <v>10</v>
      </c>
      <c r="T72" s="178">
        <f>+(T65/(T65+T23+T24+T33))*100</f>
        <v>10.993989987040742</v>
      </c>
      <c r="U72" s="765">
        <f>+(U65/(U65+U23+U24))*100</f>
        <v>9.9999999999999964</v>
      </c>
      <c r="V72" s="370">
        <f>+(V65/(V65+V23+V24+V33))*100</f>
        <v>10.498166737867454</v>
      </c>
      <c r="W72" s="178">
        <f>+$D$72</f>
        <v>10</v>
      </c>
      <c r="X72" s="178">
        <f>+(X65/(X65+X23+X24+X33))*100</f>
        <v>11.013202090788104</v>
      </c>
      <c r="Y72" s="182">
        <f>+(Y65/(Y65+Y23+Y24))*100</f>
        <v>9.9999999999999947</v>
      </c>
      <c r="Z72" s="182">
        <f>+(Z65/(Z65+Z23+Z24+Z33))*100</f>
        <v>10.9233029851559</v>
      </c>
      <c r="AA72" s="764">
        <f>+(AA65/(AA65+AA23+AA24))*100</f>
        <v>9.9999999999999947</v>
      </c>
      <c r="AB72" s="458">
        <f>+(AB65/(AB65+AB23+AB24+AB33))*100</f>
        <v>10.593049438395235</v>
      </c>
      <c r="AC72" s="178">
        <f>+$D$72</f>
        <v>10</v>
      </c>
      <c r="AD72" s="178">
        <f>+(AD65/(AD65+AD23+AD24+AD33))*100</f>
        <v>11.32932064147489</v>
      </c>
      <c r="AE72" s="765">
        <f>+(AE65/(AE65+AE23+AE24))*100</f>
        <v>9.9999999999999947</v>
      </c>
      <c r="AF72" s="370">
        <f>+(AF65/(AF65+AF23+AF24+AF33))*100</f>
        <v>10.699554610471807</v>
      </c>
      <c r="AG72" s="178">
        <f>+$D$72</f>
        <v>10</v>
      </c>
      <c r="AH72" s="178">
        <f>+(AH65/(AH65+AH23+AH24+AH33))*100</f>
        <v>10.420987268513821</v>
      </c>
      <c r="AI72" s="765">
        <f>+(AI65/(AI65+AI23+AI24))*100</f>
        <v>9.9999999999999964</v>
      </c>
      <c r="AJ72" s="370">
        <f>+(AJ65/(AJ65+AJ23+AJ24+AJ33))*100</f>
        <v>10.663300897742198</v>
      </c>
      <c r="AK72" s="178">
        <f>+$D$72</f>
        <v>10</v>
      </c>
      <c r="AL72" s="178">
        <f>+(AL65/(AL65+AL23+AL24+AL33))*100</f>
        <v>9.3533307615525594</v>
      </c>
      <c r="AM72" s="182">
        <f>+(AM65/(AM65+AM23+AM24))*100</f>
        <v>9.9999999999999964</v>
      </c>
      <c r="AN72" s="182">
        <f>+(AN65/(AN65+AN23+AN24+AN33))*100</f>
        <v>10.34165847855532</v>
      </c>
      <c r="AO72" s="765">
        <f>+(AO65/(AO65+AO23+AO24))*100</f>
        <v>9.9999999999999947</v>
      </c>
      <c r="AP72" s="370">
        <f>+(AP65/(AP65+AP23+AP24+AP33))*100</f>
        <v>10.506280395989592</v>
      </c>
      <c r="AQ72" s="178">
        <f>+$D$72</f>
        <v>10</v>
      </c>
      <c r="AR72" s="178">
        <f>+(AR65/(AR65+AR23+AR24+AR33))*100</f>
        <v>8.5640020967490162</v>
      </c>
      <c r="AS72" s="2400">
        <f>+(AS65/(AS65+AS23+AS24))*100</f>
        <v>9.9999999999999947</v>
      </c>
      <c r="AT72" s="3128">
        <f>+(AT65/(AT65+AT23+AT24+AT33))*100</f>
        <v>10.305300471062235</v>
      </c>
      <c r="AU72" s="178">
        <f>+$D$72</f>
        <v>10</v>
      </c>
      <c r="AV72" s="178">
        <f>+(AV65/(AV65+AV23+AV24+AV33))*100</f>
        <v>12.013279064449675</v>
      </c>
      <c r="AW72" s="2400">
        <f>+(AW65/(AW65+AW23+AW24))*100</f>
        <v>9.9999999999999964</v>
      </c>
      <c r="AX72" s="3128">
        <f>+(AX65/(AX65+AX23+AX24+AX33))*100</f>
        <v>10.453636782467965</v>
      </c>
      <c r="AY72" s="178">
        <f>+$D$72</f>
        <v>10</v>
      </c>
      <c r="AZ72" s="178">
        <f>+(AZ65/(AZ65+AZ23+AZ24+AZ33))*100</f>
        <v>10.369400557745163</v>
      </c>
      <c r="BA72" s="2402">
        <f>+(BA65/(BA65+BA23+BA24))*100</f>
        <v>9.9999999999999929</v>
      </c>
      <c r="BB72" s="182">
        <f>+(BB65/(BB65+BB23+BB24+BB33))*100</f>
        <v>10.26874475308942</v>
      </c>
      <c r="BC72" s="2401">
        <f>+(BC65/(BC65+BC23+BC24))*100</f>
        <v>9.9999999999999964</v>
      </c>
      <c r="BD72" s="458">
        <f>+(BD65/(BD65+BD23+BD24+BD33))*100</f>
        <v>10.305603264036394</v>
      </c>
      <c r="BE72" s="2400">
        <f>+(BE65/(BE65+BE23+BE24))*100</f>
        <v>9.9999999999999947</v>
      </c>
      <c r="BF72" s="370">
        <f>+(BF65/(BF65+BF23+BF24+BF33))*100</f>
        <v>10.44632377947358</v>
      </c>
    </row>
    <row r="73" spans="1:58" x14ac:dyDescent="0.3">
      <c r="A73" s="186"/>
      <c r="B73" s="1569" t="s">
        <v>1262</v>
      </c>
      <c r="C73" s="509" t="s">
        <v>49</v>
      </c>
      <c r="D73" s="374">
        <v>1.5</v>
      </c>
      <c r="E73" s="1033">
        <f>+$D$73</f>
        <v>1.5</v>
      </c>
      <c r="F73" s="1033">
        <f>+(F67/(F67+F30))*100</f>
        <v>1.3315327028439401</v>
      </c>
      <c r="G73" s="1033">
        <f>+$D$73</f>
        <v>1.5</v>
      </c>
      <c r="H73" s="1033">
        <f>+(H67/(H67+H30))*100</f>
        <v>1.2109643050514483</v>
      </c>
      <c r="I73" s="3495">
        <f>+$D$73</f>
        <v>1.5</v>
      </c>
      <c r="J73" s="343">
        <f>+(J67/(J67+J30))*100</f>
        <v>1.288607598082018</v>
      </c>
      <c r="K73" s="1033">
        <f>+$D$73</f>
        <v>1.5</v>
      </c>
      <c r="L73" s="1033">
        <f>+(L67/(L67+L30))*100</f>
        <v>1.3347770433235353</v>
      </c>
      <c r="M73" s="73">
        <f>+$D$73</f>
        <v>1.5</v>
      </c>
      <c r="N73" s="1842">
        <f t="shared" ref="N73" si="388">+(N67/(N67+N30))*100</f>
        <v>1.3079051734362013</v>
      </c>
      <c r="O73" s="1033">
        <f>+$D$73</f>
        <v>1.5</v>
      </c>
      <c r="P73" s="1033">
        <f>+(P67/(P67+P30))*100</f>
        <v>1.4730568382415266</v>
      </c>
      <c r="Q73" s="1254">
        <f>+$D$73</f>
        <v>1.5</v>
      </c>
      <c r="R73" s="384">
        <f t="shared" ref="R73" si="389">+(R67/(R67+R30))*100</f>
        <v>1.3513873166102861</v>
      </c>
      <c r="S73" s="1033">
        <f>+$D$73</f>
        <v>1.5</v>
      </c>
      <c r="T73" s="1033">
        <f>+(T67/(T67+T30))*100</f>
        <v>1.2555013333801754</v>
      </c>
      <c r="U73" s="1254">
        <f>+$D$73</f>
        <v>1.5</v>
      </c>
      <c r="V73" s="384">
        <f t="shared" ref="V73" si="390">+(V67/(V67+V30))*100</f>
        <v>1.3275477350576226</v>
      </c>
      <c r="W73" s="1033">
        <f>+$D$73</f>
        <v>1.5</v>
      </c>
      <c r="X73" s="1033">
        <f>+(X67/(X67+X30))*100</f>
        <v>1.1266312264917322</v>
      </c>
      <c r="Y73" s="1255">
        <f>+$D$73</f>
        <v>1.5</v>
      </c>
      <c r="Z73" s="393">
        <f t="shared" ref="Z73:AB73" si="391">+(Z67/(Z67+Z30))*100</f>
        <v>1.2724773561955771</v>
      </c>
      <c r="AA73" s="764">
        <f>D73</f>
        <v>1.5</v>
      </c>
      <c r="AB73" s="458">
        <f t="shared" si="391"/>
        <v>1.2882456866268261</v>
      </c>
      <c r="AC73" s="1033">
        <f>+$D$73</f>
        <v>1.5</v>
      </c>
      <c r="AD73" s="1033">
        <f>+(AD67/(AD67+AD30))*100</f>
        <v>1.7117703016039856</v>
      </c>
      <c r="AE73" s="1254">
        <f>+$D$73</f>
        <v>1.5</v>
      </c>
      <c r="AF73" s="384">
        <f t="shared" ref="AF73" si="392">+(AF67/(AF67+AF30))*100</f>
        <v>1.3472221450336512</v>
      </c>
      <c r="AG73" s="1033">
        <f>+$D$73</f>
        <v>1.5</v>
      </c>
      <c r="AH73" s="1033">
        <f>+(AH67/(AH67+AH30))*100</f>
        <v>1.5634134107506925</v>
      </c>
      <c r="AI73" s="1254">
        <f>+$D$73</f>
        <v>1.5</v>
      </c>
      <c r="AJ73" s="384">
        <f t="shared" ref="AJ73" si="393">+(AJ67/(AJ67+AJ30))*100</f>
        <v>1.3780585813952553</v>
      </c>
      <c r="AK73" s="1033">
        <f>+$D$73</f>
        <v>1.5</v>
      </c>
      <c r="AL73" s="1033">
        <f>+(AL67/(AL67+AL30))*100</f>
        <v>1.7459679461835858</v>
      </c>
      <c r="AM73" s="1255">
        <f>+$D$73</f>
        <v>1.5</v>
      </c>
      <c r="AN73" s="393">
        <f t="shared" ref="AN73" si="394">+(AN67/(AN67+AN30))*100</f>
        <v>1.6726114255266378</v>
      </c>
      <c r="AO73" s="1254">
        <f>+$D$73</f>
        <v>1.5</v>
      </c>
      <c r="AP73" s="384">
        <f t="shared" ref="AP73" si="395">+(AP67/(AP67+AP30))*100</f>
        <v>1.4256549999418326</v>
      </c>
      <c r="AQ73" s="1033">
        <f>+$D$73</f>
        <v>1.5</v>
      </c>
      <c r="AR73" s="1033">
        <f>+(AR67/(AR67+AR30))*100</f>
        <v>1.6388539153220798</v>
      </c>
      <c r="AS73" s="1254">
        <f>+$D$73</f>
        <v>1.5</v>
      </c>
      <c r="AT73" s="387">
        <f t="shared" ref="AT73" si="396">+(AT67/(AT67+AT30))*100</f>
        <v>1.4463705870585031</v>
      </c>
      <c r="AU73" s="1033">
        <f>+$D$73</f>
        <v>1.5</v>
      </c>
      <c r="AV73" s="1033">
        <f>+(AV67/(AV67+AV30))*100</f>
        <v>1.3792347791267991</v>
      </c>
      <c r="AW73" s="1254">
        <f>+$D$73</f>
        <v>1.5</v>
      </c>
      <c r="AX73" s="387">
        <f t="shared" ref="AX73" si="397">+(AX67/(AX67+AX30))*100</f>
        <v>1.4415891571603885</v>
      </c>
      <c r="AY73" s="1033">
        <f>+$D$73</f>
        <v>1.5</v>
      </c>
      <c r="AZ73" s="1033">
        <f>+(AZ67/(AZ67+AZ30))*100</f>
        <v>1.4022766138826956</v>
      </c>
      <c r="BA73" s="1255">
        <f>+$D$73</f>
        <v>1.5</v>
      </c>
      <c r="BB73" s="393">
        <f t="shared" ref="BB73" si="398">+(BB67/(BB67+BB30))*100</f>
        <v>1.4779286052982572</v>
      </c>
      <c r="BC73" s="764">
        <v>2.7</v>
      </c>
      <c r="BD73" s="458">
        <f t="shared" ref="BD73" si="399">+(BD67/(BD67+BD30))*100</f>
        <v>1.5820892796353112</v>
      </c>
      <c r="BE73" s="1254">
        <f>+$D$73</f>
        <v>1.5</v>
      </c>
      <c r="BF73" s="384">
        <f t="shared" ref="BF73" si="400">+(BF67/(BF67+BF30))*100</f>
        <v>1.4380459938925627</v>
      </c>
    </row>
    <row r="74" spans="1:58" ht="15" thickBot="1" x14ac:dyDescent="0.35">
      <c r="A74" s="186" t="s">
        <v>599</v>
      </c>
      <c r="B74" s="1570" t="s">
        <v>571</v>
      </c>
      <c r="C74" s="687" t="s">
        <v>49</v>
      </c>
      <c r="D74" s="915">
        <v>15</v>
      </c>
      <c r="E74" s="179">
        <f>+$D$74</f>
        <v>15</v>
      </c>
      <c r="F74" s="1925">
        <f>+(F69/(F69+F28))*100</f>
        <v>15.667939426976641</v>
      </c>
      <c r="G74" s="179">
        <f>+$D$74</f>
        <v>15</v>
      </c>
      <c r="H74" s="1925">
        <f>+(H69/(H69+H28))*100</f>
        <v>13.580250925571141</v>
      </c>
      <c r="I74" s="3496">
        <f>+(I69/(I69+I28))*100</f>
        <v>15</v>
      </c>
      <c r="J74" s="1927">
        <f>+(J69/(J69+J28))*100</f>
        <v>15.002471440477647</v>
      </c>
      <c r="K74" s="179">
        <f>+$D$74</f>
        <v>15</v>
      </c>
      <c r="L74" s="1925">
        <f>+(L69/(L69+L28))*100</f>
        <v>11.213050639556647</v>
      </c>
      <c r="M74" s="1653">
        <f>+$D$74</f>
        <v>15</v>
      </c>
      <c r="N74" s="3497">
        <f>+(N69/(N69+N28))*100</f>
        <v>13.332858924616215</v>
      </c>
      <c r="O74" s="179">
        <f>+$D$74</f>
        <v>15</v>
      </c>
      <c r="P74" s="1925">
        <f>+(P69/(P69+P28))*100</f>
        <v>8.4830594574878244</v>
      </c>
      <c r="Q74" s="766">
        <f>+(Q69/(Q69+Q28))*100</f>
        <v>15</v>
      </c>
      <c r="R74" s="570">
        <f>+(R69/(R69+R28))*100</f>
        <v>11.708867054672844</v>
      </c>
      <c r="S74" s="179">
        <f>+$D$74</f>
        <v>15</v>
      </c>
      <c r="T74" s="1925">
        <f>+(T69/(T69+T28))*100</f>
        <v>12.55934253993173</v>
      </c>
      <c r="U74" s="766">
        <f>+(U69/(U69+U28))*100</f>
        <v>15.000000000000002</v>
      </c>
      <c r="V74" s="570">
        <f>+(V69/(V69+V28))*100</f>
        <v>11.872047782836663</v>
      </c>
      <c r="W74" s="179">
        <f>+$D$74</f>
        <v>15</v>
      </c>
      <c r="X74" s="1925">
        <f>+(X69/(X69+X28))*100</f>
        <v>9.2458676754681743</v>
      </c>
      <c r="Y74" s="182">
        <f>+(Y69/(Y69+Y28))*100</f>
        <v>15.000000000000005</v>
      </c>
      <c r="Z74" s="182">
        <f>+(Z69/(Z69+Z28))*100</f>
        <v>9.9277769052137863</v>
      </c>
      <c r="AA74" s="764">
        <f>+(AA69/(AA69+AA28))*100</f>
        <v>15</v>
      </c>
      <c r="AB74" s="458">
        <f>+(AB69/(AB69+AB28))*100</f>
        <v>11.495990391089133</v>
      </c>
      <c r="AC74" s="179">
        <f>+$D$74</f>
        <v>15</v>
      </c>
      <c r="AD74" s="1925">
        <f>+(AD69/(AD69+AD28))*100</f>
        <v>10.992982390479105</v>
      </c>
      <c r="AE74" s="766">
        <f>+(AE69/(AE69+AE28))*100</f>
        <v>15.000000000000002</v>
      </c>
      <c r="AF74" s="570">
        <f>+(AF69/(AF69+AF28))*100</f>
        <v>11.432041634813132</v>
      </c>
      <c r="AG74" s="179">
        <f>+$D$74</f>
        <v>15</v>
      </c>
      <c r="AH74" s="1925">
        <f>+(AH69/(AH69+AH28))*100</f>
        <v>15.563140278905319</v>
      </c>
      <c r="AI74" s="766">
        <f>+(AI69/(AI69+AI28))*100</f>
        <v>15.000000000000002</v>
      </c>
      <c r="AJ74" s="570">
        <f>+(AJ69/(AJ69+AJ28))*100</f>
        <v>11.966835818798005</v>
      </c>
      <c r="AK74" s="179">
        <f>+$D$74</f>
        <v>15</v>
      </c>
      <c r="AL74" s="1925">
        <f>+(AL69/(AL69+AL28))*100</f>
        <v>15.3168607096842</v>
      </c>
      <c r="AM74" s="182">
        <f>+(AM69/(AM69+AM28))*100</f>
        <v>15.000000000000005</v>
      </c>
      <c r="AN74" s="182">
        <f>+(AN69/(AN69+AN28))*100</f>
        <v>14.233012822943572</v>
      </c>
      <c r="AO74" s="766">
        <f>+(AO69/(AO69+AO28))*100</f>
        <v>15</v>
      </c>
      <c r="AP74" s="570">
        <f>+(AP69/(AP69+AP28))*100</f>
        <v>12.458420973870071</v>
      </c>
      <c r="AQ74" s="179">
        <f>+$D$74</f>
        <v>15</v>
      </c>
      <c r="AR74" s="1925">
        <f>+(AR69/(AR69+AR28))*100</f>
        <v>16.313825570968085</v>
      </c>
      <c r="AS74" s="4016">
        <f>+(AS69/(AS69+AS28))*100</f>
        <v>15</v>
      </c>
      <c r="AT74" s="3793">
        <f>+(AT69/(AT69+AT28))*100</f>
        <v>12.981921931164548</v>
      </c>
      <c r="AU74" s="179">
        <f>+$D$74</f>
        <v>15</v>
      </c>
      <c r="AV74" s="1925">
        <f>+(AV69/(AV69+AV28))*100</f>
        <v>17.328481689086477</v>
      </c>
      <c r="AW74" s="4016">
        <f>+(AW69/(AW69+AW28))*100</f>
        <v>15.000000000000002</v>
      </c>
      <c r="AX74" s="3793">
        <f>+(AX69/(AX69+AX28))*100</f>
        <v>13.326068752026341</v>
      </c>
      <c r="AY74" s="179">
        <f>+$D$74</f>
        <v>15</v>
      </c>
      <c r="AZ74" s="1925">
        <f>+(AZ69/(AZ69+AZ28))*100</f>
        <v>14.787552238350681</v>
      </c>
      <c r="BA74" s="182">
        <f t="shared" ref="BA74:BF74" si="401">+(BA69/(BA69+BA28))*100</f>
        <v>15</v>
      </c>
      <c r="BB74" s="182">
        <f t="shared" si="401"/>
        <v>16.129452204327258</v>
      </c>
      <c r="BC74" s="764">
        <f t="shared" si="401"/>
        <v>15.000000000000002</v>
      </c>
      <c r="BD74" s="458">
        <f t="shared" si="401"/>
        <v>15.201638130345446</v>
      </c>
      <c r="BE74" s="766">
        <f t="shared" si="401"/>
        <v>15.000000000000002</v>
      </c>
      <c r="BF74" s="570">
        <f t="shared" si="401"/>
        <v>13.444185757772825</v>
      </c>
    </row>
    <row r="75" spans="1:58" ht="15" thickBot="1" x14ac:dyDescent="0.35">
      <c r="A75" s="135"/>
      <c r="B75" s="3480" t="s">
        <v>1754</v>
      </c>
      <c r="C75" s="2356"/>
      <c r="D75" s="2399"/>
      <c r="E75" s="2399"/>
      <c r="F75" s="2399">
        <f>+F2*24</f>
        <v>720</v>
      </c>
      <c r="G75" s="2399"/>
      <c r="H75" s="2399">
        <f>+H2*24</f>
        <v>744</v>
      </c>
      <c r="I75" s="2349"/>
      <c r="J75" s="40">
        <f t="shared" ref="J75:J76" si="402">+F75+H75</f>
        <v>1464</v>
      </c>
      <c r="K75" s="2399"/>
      <c r="L75" s="2399">
        <f>+L2*24</f>
        <v>720</v>
      </c>
      <c r="M75" s="2350"/>
      <c r="N75" s="2350">
        <f>+F75+H75+L75</f>
        <v>2184</v>
      </c>
      <c r="O75" s="2399"/>
      <c r="P75" s="2399">
        <f>+P2*24</f>
        <v>744</v>
      </c>
      <c r="Q75" s="2045"/>
      <c r="R75" s="40">
        <f t="shared" ref="R75:R76" si="403">+N75+P75</f>
        <v>2928</v>
      </c>
      <c r="S75" s="2399"/>
      <c r="T75" s="2399">
        <f>+T2*24</f>
        <v>744</v>
      </c>
      <c r="U75" s="2045"/>
      <c r="V75" s="40">
        <f t="shared" ref="V75:V76" si="404">+R75+T75</f>
        <v>3672</v>
      </c>
      <c r="W75" s="2399"/>
      <c r="X75" s="2399">
        <f>+X2*24</f>
        <v>720</v>
      </c>
      <c r="Y75" s="2350"/>
      <c r="Z75" s="2350"/>
      <c r="AA75" s="2379"/>
      <c r="AB75" s="2379"/>
      <c r="AC75" s="2399"/>
      <c r="AD75" s="2399">
        <f>+AD2*24</f>
        <v>744</v>
      </c>
      <c r="AE75" s="2045"/>
      <c r="AF75" s="2045"/>
      <c r="AG75" s="2399"/>
      <c r="AH75" s="2399">
        <f>+AH2*24</f>
        <v>720</v>
      </c>
      <c r="AI75" s="2045"/>
      <c r="AJ75" s="2045"/>
      <c r="AK75" s="2399"/>
      <c r="AL75" s="2399">
        <f>+AL2*24</f>
        <v>744</v>
      </c>
      <c r="AM75" s="2350"/>
      <c r="AN75" s="2350"/>
      <c r="AO75" s="2045"/>
      <c r="AP75" s="2045"/>
      <c r="AQ75" s="2399"/>
      <c r="AR75" s="2399">
        <f>+AR2*24</f>
        <v>744</v>
      </c>
      <c r="AS75" s="2045"/>
      <c r="AT75" s="2045"/>
      <c r="AU75" s="2399"/>
      <c r="AV75" s="2399">
        <f>+AV2*24</f>
        <v>672</v>
      </c>
      <c r="AW75" s="2045"/>
      <c r="AX75" s="2045"/>
      <c r="AY75" s="2399"/>
      <c r="AZ75" s="2399">
        <f>+AZ2*24</f>
        <v>744</v>
      </c>
      <c r="BA75" s="2350"/>
      <c r="BB75" s="2350"/>
      <c r="BC75" s="2379"/>
      <c r="BD75" s="2379"/>
      <c r="BE75" s="2045"/>
      <c r="BF75" s="2045"/>
    </row>
    <row r="76" spans="1:58" ht="15" thickBot="1" x14ac:dyDescent="0.35">
      <c r="A76" s="135"/>
      <c r="B76" s="3480" t="s">
        <v>1751</v>
      </c>
      <c r="C76" s="2356" t="s">
        <v>219</v>
      </c>
      <c r="D76" s="2399"/>
      <c r="E76" s="2399"/>
      <c r="F76" s="2399">
        <v>711</v>
      </c>
      <c r="G76" s="2399"/>
      <c r="H76" s="2399">
        <v>409.33333333333331</v>
      </c>
      <c r="I76" s="2349"/>
      <c r="J76" s="40">
        <f t="shared" si="402"/>
        <v>1120.3333333333333</v>
      </c>
      <c r="K76" s="2399"/>
      <c r="L76" s="2399">
        <v>720</v>
      </c>
      <c r="M76" s="2350"/>
      <c r="N76" s="2350">
        <f>+F76+H76+L76</f>
        <v>1840.3333333333333</v>
      </c>
      <c r="O76" s="2399"/>
      <c r="P76" s="2399">
        <v>720</v>
      </c>
      <c r="Q76" s="2045"/>
      <c r="R76" s="40">
        <f t="shared" si="403"/>
        <v>2560.333333333333</v>
      </c>
      <c r="S76" s="2399"/>
      <c r="T76" s="2399">
        <v>720</v>
      </c>
      <c r="U76" s="2045"/>
      <c r="V76" s="40">
        <f t="shared" si="404"/>
        <v>3280.333333333333</v>
      </c>
      <c r="W76" s="2399"/>
      <c r="X76" s="2399">
        <v>720</v>
      </c>
      <c r="Y76" s="2350"/>
      <c r="Z76" s="2350"/>
      <c r="AA76" s="2379"/>
      <c r="AB76" s="2379"/>
      <c r="AC76" s="2399"/>
      <c r="AD76" s="2399">
        <v>720</v>
      </c>
      <c r="AE76" s="2045"/>
      <c r="AF76" s="2045"/>
      <c r="AG76" s="2399"/>
      <c r="AH76" s="2399">
        <v>720</v>
      </c>
      <c r="AI76" s="2045"/>
      <c r="AJ76" s="2045"/>
      <c r="AK76" s="2399"/>
      <c r="AL76" s="2399">
        <v>720</v>
      </c>
      <c r="AM76" s="2350"/>
      <c r="AN76" s="2350"/>
      <c r="AO76" s="2045"/>
      <c r="AP76" s="2045"/>
      <c r="AQ76" s="2399"/>
      <c r="AR76" s="2399">
        <v>720</v>
      </c>
      <c r="AS76" s="2045"/>
      <c r="AT76" s="2045"/>
      <c r="AU76" s="2399"/>
      <c r="AV76" s="2399">
        <v>720</v>
      </c>
      <c r="AW76" s="2045"/>
      <c r="AX76" s="2045"/>
      <c r="AY76" s="2399"/>
      <c r="AZ76" s="2399">
        <v>720</v>
      </c>
      <c r="BA76" s="2350"/>
      <c r="BB76" s="2350"/>
      <c r="BC76" s="2379"/>
      <c r="BD76" s="2379"/>
      <c r="BE76" s="2045"/>
      <c r="BF76" s="2045"/>
    </row>
    <row r="77" spans="1:58" ht="15" thickBot="1" x14ac:dyDescent="0.35">
      <c r="A77" s="135"/>
      <c r="B77" s="6540"/>
      <c r="C77" s="4042"/>
      <c r="D77" s="5562"/>
      <c r="E77" s="1197"/>
      <c r="F77" s="1197"/>
      <c r="G77" s="1197"/>
      <c r="H77" s="1197"/>
      <c r="I77" s="6541"/>
      <c r="J77" s="6542"/>
      <c r="K77" s="1197"/>
      <c r="L77" s="1197"/>
      <c r="M77" s="420"/>
      <c r="N77" s="2370"/>
      <c r="O77" s="1197"/>
      <c r="P77" s="1197"/>
      <c r="Q77" s="6541"/>
      <c r="R77" s="6542"/>
      <c r="S77" s="1197"/>
      <c r="T77" s="1197"/>
      <c r="U77" s="6541"/>
      <c r="V77" s="6542"/>
      <c r="W77" s="1197"/>
      <c r="X77" s="1197"/>
      <c r="Y77" s="4026"/>
      <c r="Z77" s="4026"/>
      <c r="AA77" s="4736"/>
      <c r="AB77" s="4736"/>
      <c r="AC77" s="1197"/>
      <c r="AD77" s="1197"/>
      <c r="AE77" s="2045"/>
      <c r="AF77" s="2045"/>
      <c r="AG77" s="1197"/>
      <c r="AH77" s="1197"/>
      <c r="AI77" s="2045"/>
      <c r="AJ77" s="2045"/>
      <c r="AK77" s="1197"/>
      <c r="AL77" s="1197"/>
      <c r="AM77" s="4026"/>
      <c r="AN77" s="4026"/>
      <c r="AO77" s="2045"/>
      <c r="AP77" s="2045"/>
      <c r="AQ77" s="1197"/>
      <c r="AR77" s="1197"/>
      <c r="AS77" s="2045"/>
      <c r="AT77" s="2045"/>
      <c r="AU77" s="1197"/>
      <c r="AV77" s="1197"/>
      <c r="AW77" s="2045"/>
      <c r="AX77" s="2045"/>
      <c r="AY77" s="1197"/>
      <c r="AZ77" s="1197"/>
      <c r="BA77" s="4026"/>
      <c r="BB77" s="4026"/>
      <c r="BC77" s="4736"/>
      <c r="BD77" s="4736"/>
      <c r="BE77" s="2045"/>
      <c r="BF77" s="2045"/>
    </row>
    <row r="78" spans="1:58" x14ac:dyDescent="0.3">
      <c r="A78" s="3479"/>
      <c r="B78" s="3480" t="s">
        <v>248</v>
      </c>
      <c r="C78" s="2356" t="s">
        <v>49</v>
      </c>
      <c r="D78" s="1931">
        <v>93.698630136986296</v>
      </c>
      <c r="E78" s="1113">
        <v>86.666666666666671</v>
      </c>
      <c r="F78" s="1113">
        <f>+F76*100/F75</f>
        <v>98.75</v>
      </c>
      <c r="G78" s="1113">
        <v>86.666666666666671</v>
      </c>
      <c r="H78" s="1113">
        <f>+H76*100/H75</f>
        <v>55.017921146953398</v>
      </c>
      <c r="I78" s="3494">
        <f>+I50/I2*100</f>
        <v>78.688524590163937</v>
      </c>
      <c r="J78" s="1921">
        <f>+J50/J2*100</f>
        <v>76.383424408014562</v>
      </c>
      <c r="K78" s="1113">
        <v>96.666666666666671</v>
      </c>
      <c r="L78" s="1113">
        <f>+L50/L2*100</f>
        <v>98.703703703703709</v>
      </c>
      <c r="M78" s="1437">
        <f>M50/M2*100</f>
        <v>84.615384615384613</v>
      </c>
      <c r="N78" s="161">
        <f>+N50/N2*100</f>
        <v>83.741758241758234</v>
      </c>
      <c r="O78" s="1113">
        <v>96.774193548387103</v>
      </c>
      <c r="P78" s="1113">
        <f>+P50/P2*100</f>
        <v>99.999999999999986</v>
      </c>
      <c r="Q78" s="2403">
        <f>+Q50/Q2*100</f>
        <v>87.704918032786878</v>
      </c>
      <c r="R78" s="569">
        <f>+R50/R2*100</f>
        <v>87.872950819672127</v>
      </c>
      <c r="S78" s="1113">
        <v>96.774193548387103</v>
      </c>
      <c r="T78" s="1113">
        <f>+T50/T2*100</f>
        <v>96.852598566308231</v>
      </c>
      <c r="U78" s="763">
        <f>+U50/U2*100</f>
        <v>89.542483660130728</v>
      </c>
      <c r="V78" s="569">
        <f>+V50/V2*100</f>
        <v>89.692356572258532</v>
      </c>
      <c r="W78" s="1113">
        <v>56.722891566265062</v>
      </c>
      <c r="X78" s="1113">
        <f>+X50/X2*100</f>
        <v>98.912037037037038</v>
      </c>
      <c r="Y78" s="717">
        <f>+Y50/Y2*100</f>
        <v>83.713986380303822</v>
      </c>
      <c r="Z78" s="717">
        <f>+Z50/Z2*100</f>
        <v>98.584692028985501</v>
      </c>
      <c r="AA78" s="429">
        <f>+AA50/AA2*100</f>
        <v>84.16222266113634</v>
      </c>
      <c r="AB78" s="429">
        <f>+AB50/AB2*100</f>
        <v>91.2037795992714</v>
      </c>
      <c r="AC78" s="1113">
        <v>96.774193548387103</v>
      </c>
      <c r="AD78" s="1113">
        <f>+AD50/AD2*100</f>
        <v>86.87275985663085</v>
      </c>
      <c r="AE78" s="240">
        <f>+AE50/AE2*100</f>
        <v>85.989190406485747</v>
      </c>
      <c r="AF78" s="718">
        <f>+AF50/AF2*100</f>
        <v>90.576388888888886</v>
      </c>
      <c r="AG78" s="1113">
        <v>96.666666666666671</v>
      </c>
      <c r="AH78" s="1113">
        <f>+AH50/AH2*100</f>
        <v>97.025462962962962</v>
      </c>
      <c r="AI78" s="240">
        <f>+AI50/AI2*100</f>
        <v>87.301994864704724</v>
      </c>
      <c r="AJ78" s="718">
        <f>+AJ50/AJ2*100</f>
        <v>91.369307832422592</v>
      </c>
      <c r="AK78" s="1113">
        <v>96.774193548387103</v>
      </c>
      <c r="AL78" s="1113">
        <f>+AL50/AL2*100</f>
        <v>99.025537634408607</v>
      </c>
      <c r="AM78" s="717">
        <f>+AM50/AM2*100</f>
        <v>96.739130434782609</v>
      </c>
      <c r="AN78" s="717">
        <f>+AN50/AN2*100</f>
        <v>94.278381642512073</v>
      </c>
      <c r="AO78" s="240">
        <f>+AO50/AO2*100</f>
        <v>88.3697699890471</v>
      </c>
      <c r="AP78" s="718">
        <f>+AP50/AP2*100</f>
        <v>92.232373737373734</v>
      </c>
      <c r="AQ78" s="1113">
        <v>96.774193548387103</v>
      </c>
      <c r="AR78" s="1113">
        <f>+AR50/AR2*100</f>
        <v>98.107078853046431</v>
      </c>
      <c r="AS78" s="240">
        <f>+AS50/AS2*100</f>
        <v>89.221198519568475</v>
      </c>
      <c r="AT78" s="240">
        <f>+AT50/AT2*100</f>
        <v>92.827523602033381</v>
      </c>
      <c r="AU78" s="1113">
        <v>96.428571428571431</v>
      </c>
      <c r="AV78" s="1113">
        <f>+AV50/AV2*100</f>
        <v>98.487103174603163</v>
      </c>
      <c r="AW78" s="240">
        <f>+AW50/AW2*100</f>
        <v>89.82540942211962</v>
      </c>
      <c r="AX78" s="240">
        <f>+AX50/AX2*100</f>
        <v>93.301979374584135</v>
      </c>
      <c r="AY78" s="1113">
        <v>96.774193548387103</v>
      </c>
      <c r="AZ78" s="1113">
        <f t="shared" ref="AZ78:BF78" si="405">+AZ50/AZ2*100</f>
        <v>96.684587813620098</v>
      </c>
      <c r="BA78" s="717">
        <f t="shared" si="405"/>
        <v>96.666666666666671</v>
      </c>
      <c r="BB78" s="717">
        <f t="shared" si="405"/>
        <v>97.735339506172792</v>
      </c>
      <c r="BC78" s="429">
        <f t="shared" si="405"/>
        <v>96.703296703296701</v>
      </c>
      <c r="BD78" s="429">
        <f t="shared" si="405"/>
        <v>95.987866300366278</v>
      </c>
      <c r="BE78" s="240">
        <f t="shared" si="405"/>
        <v>90.415580128734121</v>
      </c>
      <c r="BF78" s="240">
        <f t="shared" si="405"/>
        <v>93.589269406392674</v>
      </c>
    </row>
    <row r="79" spans="1:58" ht="15" thickBot="1" x14ac:dyDescent="0.35">
      <c r="A79" s="135"/>
      <c r="B79" s="3480" t="s">
        <v>1753</v>
      </c>
      <c r="C79" s="2356" t="s">
        <v>219</v>
      </c>
      <c r="D79" s="2580"/>
      <c r="E79" s="2583"/>
      <c r="F79" s="2399">
        <v>708.92</v>
      </c>
      <c r="G79" s="2583"/>
      <c r="H79" s="2399">
        <v>409.33333333333331</v>
      </c>
      <c r="I79" s="2349"/>
      <c r="J79" s="40">
        <f t="shared" ref="J79" si="406">+F79+H79</f>
        <v>1118.2533333333333</v>
      </c>
      <c r="K79" s="2583"/>
      <c r="L79" s="2399">
        <v>720</v>
      </c>
      <c r="M79" s="3047"/>
      <c r="N79" s="2350">
        <f>+F79+H79+L79</f>
        <v>1838.2533333333333</v>
      </c>
      <c r="O79" s="2583"/>
      <c r="P79" s="2399">
        <v>720</v>
      </c>
      <c r="Q79" s="2817"/>
      <c r="R79" s="40">
        <f t="shared" ref="R79" si="407">+N79+P79</f>
        <v>2558.2533333333331</v>
      </c>
      <c r="S79" s="2583"/>
      <c r="T79" s="2399">
        <v>720</v>
      </c>
      <c r="U79" s="2817"/>
      <c r="V79" s="40">
        <f t="shared" ref="V79" si="408">+R79+T79</f>
        <v>3278.2533333333331</v>
      </c>
      <c r="W79" s="2583"/>
      <c r="X79" s="2399">
        <v>720</v>
      </c>
      <c r="Y79" s="2350"/>
      <c r="Z79" s="2350"/>
      <c r="AA79" s="2379"/>
      <c r="AB79" s="2379"/>
      <c r="AC79" s="2583"/>
      <c r="AD79" s="2399">
        <v>720</v>
      </c>
      <c r="AE79" s="2817"/>
      <c r="AF79" s="2349"/>
      <c r="AG79" s="2583"/>
      <c r="AH79" s="2399">
        <v>720</v>
      </c>
      <c r="AI79" s="2817"/>
      <c r="AJ79" s="2349"/>
      <c r="AK79" s="2583"/>
      <c r="AL79" s="2399">
        <v>720</v>
      </c>
      <c r="AM79" s="2350"/>
      <c r="AN79" s="2350"/>
      <c r="AO79" s="2817"/>
      <c r="AP79" s="2349"/>
      <c r="AQ79" s="2583"/>
      <c r="AR79" s="2399">
        <v>720</v>
      </c>
      <c r="AS79" s="2817"/>
      <c r="AT79" s="2349"/>
      <c r="AU79" s="2583"/>
      <c r="AV79" s="2399">
        <v>720</v>
      </c>
      <c r="AW79" s="2817"/>
      <c r="AX79" s="2349"/>
      <c r="AY79" s="2583"/>
      <c r="AZ79" s="2399">
        <v>720</v>
      </c>
      <c r="BA79" s="2350"/>
      <c r="BB79" s="2350"/>
      <c r="BC79" s="2379"/>
      <c r="BD79" s="2379"/>
      <c r="BE79" s="2817"/>
      <c r="BF79" s="2349"/>
    </row>
    <row r="80" spans="1:58" x14ac:dyDescent="0.3">
      <c r="A80" s="135"/>
      <c r="B80" s="3480" t="s">
        <v>1752</v>
      </c>
      <c r="C80" s="2356" t="s">
        <v>49</v>
      </c>
      <c r="D80" s="2580"/>
      <c r="E80" s="2583"/>
      <c r="F80" s="5239">
        <f>+F79*100/F76</f>
        <v>99.707454289732766</v>
      </c>
      <c r="G80" s="2583"/>
      <c r="H80" s="5239">
        <f>+H79*100/H76</f>
        <v>99.999999999999986</v>
      </c>
      <c r="I80" s="3484"/>
      <c r="J80" s="5471">
        <f>+J79/J76*100</f>
        <v>99.814340969949427</v>
      </c>
      <c r="K80" s="2583"/>
      <c r="L80" s="3502">
        <f>+L79/L76*100</f>
        <v>100</v>
      </c>
      <c r="M80" s="3047"/>
      <c r="N80" s="2975">
        <f>+N79/N76*100</f>
        <v>99.886976996920851</v>
      </c>
      <c r="O80" s="2583"/>
      <c r="P80" s="3502">
        <f>+P79/P76*100</f>
        <v>100</v>
      </c>
      <c r="Q80" s="2817"/>
      <c r="R80" s="3501">
        <f>+R79/R76*100</f>
        <v>99.918760578049742</v>
      </c>
      <c r="S80" s="2583"/>
      <c r="T80" s="3502">
        <f>+T79/T76*100</f>
        <v>100</v>
      </c>
      <c r="U80" s="2817"/>
      <c r="V80" s="3501">
        <f>+V79/V76*100</f>
        <v>99.936591809775436</v>
      </c>
      <c r="W80" s="2583"/>
      <c r="X80" s="3502">
        <f>+X79/X76*100</f>
        <v>100</v>
      </c>
      <c r="Y80" s="2350"/>
      <c r="Z80" s="2350"/>
      <c r="AA80" s="2379"/>
      <c r="AB80" s="2379"/>
      <c r="AC80" s="2583"/>
      <c r="AD80" s="3502">
        <f>+AD79/AD76*100</f>
        <v>100</v>
      </c>
      <c r="AE80" s="2817"/>
      <c r="AF80" s="2349"/>
      <c r="AG80" s="2583"/>
      <c r="AH80" s="3502">
        <f>+AH79/AH76*100</f>
        <v>100</v>
      </c>
      <c r="AI80" s="2817"/>
      <c r="AJ80" s="2349"/>
      <c r="AK80" s="2583"/>
      <c r="AL80" s="3502">
        <f>+AL79/AL76*100</f>
        <v>100</v>
      </c>
      <c r="AM80" s="2350"/>
      <c r="AN80" s="2350"/>
      <c r="AO80" s="2817"/>
      <c r="AP80" s="2349"/>
      <c r="AQ80" s="2583"/>
      <c r="AR80" s="3502">
        <f>+AR79/AR76*100</f>
        <v>100</v>
      </c>
      <c r="AS80" s="2817"/>
      <c r="AT80" s="2349"/>
      <c r="AU80" s="2583"/>
      <c r="AV80" s="3502">
        <f>+AV79/AV76*100</f>
        <v>100</v>
      </c>
      <c r="AW80" s="2817"/>
      <c r="AX80" s="2349"/>
      <c r="AY80" s="2583"/>
      <c r="AZ80" s="3502">
        <f>+AZ79/AZ76*100</f>
        <v>100</v>
      </c>
      <c r="BA80" s="2350"/>
      <c r="BB80" s="2350"/>
      <c r="BC80" s="2379"/>
      <c r="BD80" s="2379"/>
      <c r="BE80" s="2817"/>
      <c r="BF80" s="2349"/>
    </row>
    <row r="81" spans="1:58" x14ac:dyDescent="0.3">
      <c r="A81" s="135" t="s">
        <v>445</v>
      </c>
      <c r="B81" s="3481" t="s">
        <v>247</v>
      </c>
      <c r="C81" s="2356" t="s">
        <v>246</v>
      </c>
      <c r="D81" s="2348">
        <v>1200</v>
      </c>
      <c r="E81" s="2399">
        <f>+$D$81</f>
        <v>1200</v>
      </c>
      <c r="F81" s="2399">
        <v>1148.1277011921873</v>
      </c>
      <c r="G81" s="2399">
        <f>+$D$81</f>
        <v>1200</v>
      </c>
      <c r="H81" s="2399">
        <v>1120.0555259849934</v>
      </c>
      <c r="I81" s="2349">
        <f>+AVERAGE(E81,G81)</f>
        <v>1200</v>
      </c>
      <c r="J81" s="2349">
        <f>+((F81*F$2)+(H81*H$2))/J$2</f>
        <v>1133.86151379181</v>
      </c>
      <c r="K81" s="2399">
        <v>1175</v>
      </c>
      <c r="L81" s="2399">
        <v>1191.5020847841542</v>
      </c>
      <c r="M81" s="2350">
        <f>+$D$81</f>
        <v>1200</v>
      </c>
      <c r="N81" s="2350">
        <f>+((F81*F$2)+(H81*H$2)+(L81*L$2))/N$2</f>
        <v>1152.8638998332422</v>
      </c>
      <c r="O81" s="2399">
        <v>1175</v>
      </c>
      <c r="P81" s="2399">
        <v>1200.0039557354435</v>
      </c>
      <c r="Q81" s="718">
        <f>+$D$81</f>
        <v>1200</v>
      </c>
      <c r="R81" s="718">
        <f>+((N81*N$2)+(P81*P$2))/R$2</f>
        <v>1164.8421107592112</v>
      </c>
      <c r="S81" s="2399">
        <v>1175</v>
      </c>
      <c r="T81" s="2399">
        <v>1194.6853780645938</v>
      </c>
      <c r="U81" s="718">
        <f>+$D$81</f>
        <v>1200</v>
      </c>
      <c r="V81" s="718">
        <f>+((R81*R$2)+(T81*T$2))/V$2</f>
        <v>1170.8887858341582</v>
      </c>
      <c r="W81" s="2399">
        <v>1175</v>
      </c>
      <c r="X81" s="2399">
        <v>1192.0538059017479</v>
      </c>
      <c r="Y81" s="717">
        <f>+AVERAGE(O81,S81,W81)</f>
        <v>1175</v>
      </c>
      <c r="Z81" s="717">
        <f>+((P81*P$2)+(T81*T$2)+(X81*X$2))/Z$2</f>
        <v>1195.619386139713</v>
      </c>
      <c r="AA81" s="429">
        <f>+AVERAGE(E81,G81,K81,O81,S81,W81)</f>
        <v>1183.3333333333333</v>
      </c>
      <c r="AB81" s="429">
        <f>+((N81*N$2)+(Z81*Z$2))/AB$2</f>
        <v>1174.3584612550744</v>
      </c>
      <c r="AC81" s="2399">
        <v>1175</v>
      </c>
      <c r="AD81" s="2399">
        <v>1181.3398177837144</v>
      </c>
      <c r="AE81" s="718">
        <f>+$D$81</f>
        <v>1200</v>
      </c>
      <c r="AF81" s="718">
        <f>+((AB81*AB$2)+(AD81*AD$2))/AF$2</f>
        <v>1175.3697792568867</v>
      </c>
      <c r="AG81" s="2399">
        <v>1175</v>
      </c>
      <c r="AH81" s="2399">
        <v>1190.434694173457</v>
      </c>
      <c r="AI81" s="718">
        <f>+$D$81</f>
        <v>1200</v>
      </c>
      <c r="AJ81" s="718">
        <f>+((AF81*AF$2)+(AH81*AH$2))/AJ$2</f>
        <v>1177.2220228941699</v>
      </c>
      <c r="AK81" s="2399">
        <v>1175</v>
      </c>
      <c r="AL81" s="2399">
        <v>1174.3942610341037</v>
      </c>
      <c r="AM81" s="717">
        <f>+AVERAGE(AC81,AG81,AK81)</f>
        <v>1175</v>
      </c>
      <c r="AN81" s="717">
        <f>+((AD81*AD$2)+(AH81*AH$2)+(AL81*AL$2))/AN$2</f>
        <v>1181.9651877016963</v>
      </c>
      <c r="AO81" s="718">
        <f>+$D$81</f>
        <v>1200</v>
      </c>
      <c r="AP81" s="718">
        <f>+((AL81*AL$2)+(AJ81*AJ$2))/AP$2</f>
        <v>1176.9032570117624</v>
      </c>
      <c r="AQ81" s="2399">
        <v>1175</v>
      </c>
      <c r="AR81" s="2399">
        <v>1192.1185457792001</v>
      </c>
      <c r="AS81" s="718">
        <f>+$D$81</f>
        <v>1200</v>
      </c>
      <c r="AT81" s="718">
        <f>+((AP81*AP$2)+(AR81*AR$2))/AT$2</f>
        <v>1178.4446751548689</v>
      </c>
      <c r="AU81" s="2399">
        <v>1175</v>
      </c>
      <c r="AV81" s="2399">
        <v>1190.1827846096053</v>
      </c>
      <c r="AW81" s="718">
        <f>+$D$81</f>
        <v>1200</v>
      </c>
      <c r="AX81" s="718">
        <f>+((AT81*AT$2)+(AV81*AV$2))/AX$2</f>
        <v>1179.4287082828109</v>
      </c>
      <c r="AY81" s="2399">
        <v>1175</v>
      </c>
      <c r="AZ81" s="2399">
        <v>1173.7284939713354</v>
      </c>
      <c r="BA81" s="717">
        <f>+AVERAGE(AQ81,AU81,AY81)</f>
        <v>1175</v>
      </c>
      <c r="BB81" s="717">
        <f>+((AR81*AR$2)+(AV81*AV$2)+(AZ81*AZ$2))/BB$2</f>
        <v>1185.1819577926171</v>
      </c>
      <c r="BC81" s="429">
        <f>+AVERAGE(AC81,AG81,AK81,AQ81,AU81,AY81)</f>
        <v>1175</v>
      </c>
      <c r="BD81" s="429">
        <f>+((AN81*AN$2)+(BB81*BB$2))/BD$2</f>
        <v>1183.5558981862175</v>
      </c>
      <c r="BE81" s="718">
        <f>+$D$81</f>
        <v>1200</v>
      </c>
      <c r="BF81" s="718">
        <f>+((AX81*AX$2)+(AZ81*AZ$2))/BF$2</f>
        <v>1178.9445804919733</v>
      </c>
    </row>
    <row r="82" spans="1:58" x14ac:dyDescent="0.3">
      <c r="A82" s="135" t="s">
        <v>445</v>
      </c>
      <c r="B82" s="3481" t="s">
        <v>249</v>
      </c>
      <c r="C82" s="2356" t="s">
        <v>217</v>
      </c>
      <c r="D82" s="2348">
        <v>357</v>
      </c>
      <c r="E82" s="2348">
        <f>$D$82</f>
        <v>357</v>
      </c>
      <c r="F82" s="2399">
        <f>+F18/F6*1000</f>
        <v>326.93603212123651</v>
      </c>
      <c r="G82" s="2348">
        <f>$D$82</f>
        <v>357</v>
      </c>
      <c r="H82" s="2399">
        <f>+H18/H6*1000</f>
        <v>353.90820193008921</v>
      </c>
      <c r="I82" s="2349">
        <f>+I18/I6*1000</f>
        <v>357</v>
      </c>
      <c r="J82" s="2349">
        <f>+J18/J6*1000</f>
        <v>335.51926338138617</v>
      </c>
      <c r="K82" s="2348">
        <f>$D$82</f>
        <v>357</v>
      </c>
      <c r="L82" s="2399">
        <f>+L18/L6*1000</f>
        <v>316.9394936477471</v>
      </c>
      <c r="M82" s="2350">
        <f>+M18/M6*1000</f>
        <v>363.62132921174651</v>
      </c>
      <c r="N82" s="2350">
        <f>+N18/N6*1000</f>
        <v>327.54450245623616</v>
      </c>
      <c r="O82" s="2348">
        <f>$D$82</f>
        <v>357</v>
      </c>
      <c r="P82" s="2399">
        <f>+P18/P6*1000</f>
        <v>348.25801262986107</v>
      </c>
      <c r="Q82" s="344">
        <f>+Q18/Q6*1000</f>
        <v>366.55543237250555</v>
      </c>
      <c r="R82" s="344">
        <f>+R18/R6*1000</f>
        <v>333.87499770620525</v>
      </c>
      <c r="S82" s="2348">
        <f>$D$82</f>
        <v>357</v>
      </c>
      <c r="T82" s="2399">
        <f>+T18/T6*1000</f>
        <v>360.36693508265699</v>
      </c>
      <c r="U82" s="344">
        <f>+U18/U6*1000</f>
        <v>368.19619706136558</v>
      </c>
      <c r="V82" s="344">
        <f>+V18/V6*1000</f>
        <v>339.80924611369562</v>
      </c>
      <c r="W82" s="2348">
        <f>$D$82</f>
        <v>357</v>
      </c>
      <c r="X82" s="2399">
        <f>+X18/X6*1000</f>
        <v>352.01502802742641</v>
      </c>
      <c r="Y82" s="346">
        <f>+Y18/Y6*1000</f>
        <v>374</v>
      </c>
      <c r="Z82" s="346">
        <f>+Z18/Z6*1000</f>
        <v>353.46371969363798</v>
      </c>
      <c r="AA82" s="502">
        <f>+AA18/AA6*1000</f>
        <v>368.82266769468004</v>
      </c>
      <c r="AB82" s="502">
        <f>+AB18/AB6*1000</f>
        <v>341.97066562653453</v>
      </c>
      <c r="AC82" s="2348">
        <f>$D$82</f>
        <v>357</v>
      </c>
      <c r="AD82" s="2399">
        <f>+AD18/AD6*1000</f>
        <v>388.82006197216134</v>
      </c>
      <c r="AE82" s="344">
        <f>+AE18/AE6*1000</f>
        <v>369.68721901091845</v>
      </c>
      <c r="AF82" s="344">
        <f>+AF18/AF6*1000</f>
        <v>348.00066813783224</v>
      </c>
      <c r="AG82" s="2348">
        <f>$D$82</f>
        <v>357</v>
      </c>
      <c r="AH82" s="2399">
        <f>+AH18/AH6*1000</f>
        <v>388.74481409242418</v>
      </c>
      <c r="AI82" s="344">
        <f>+AI18/AI6*1000</f>
        <v>370.28800442233279</v>
      </c>
      <c r="AJ82" s="344">
        <f>+AJ18/AJ6*1000</f>
        <v>353.46327117539084</v>
      </c>
      <c r="AK82" s="2348">
        <f>$D$82</f>
        <v>357</v>
      </c>
      <c r="AL82" s="2399">
        <f>+AL18/AL6*1000</f>
        <v>387.22923624886209</v>
      </c>
      <c r="AM82" s="346">
        <f>+AM18/AM6*1000</f>
        <v>374</v>
      </c>
      <c r="AN82" s="346">
        <f>+AN18/AN6*1000</f>
        <v>388.22098005170676</v>
      </c>
      <c r="AO82" s="344">
        <f>+AO18/AO6*1000</f>
        <v>370.75447075882067</v>
      </c>
      <c r="AP82" s="344">
        <f>+AP18/AP6*1000</f>
        <v>357.56160293204755</v>
      </c>
      <c r="AQ82" s="2348">
        <f>$D$82</f>
        <v>357</v>
      </c>
      <c r="AR82" s="2399">
        <f>+AR18/AR6*1000</f>
        <v>384.39911391153987</v>
      </c>
      <c r="AS82" s="344">
        <f>+AS18/AS6*1000</f>
        <v>371.1217316759537</v>
      </c>
      <c r="AT82" s="344">
        <f>+AT18/AT6*1000</f>
        <v>360.39713330699396</v>
      </c>
      <c r="AU82" s="2348">
        <f>$D$82</f>
        <v>357</v>
      </c>
      <c r="AV82" s="2399">
        <f>+AV18/AV6*1000</f>
        <v>366.24559392761967</v>
      </c>
      <c r="AW82" s="344">
        <f>+AW18/AW6*1000</f>
        <v>371.38614246788632</v>
      </c>
      <c r="AX82" s="344">
        <f>+AX18/AX6*1000</f>
        <v>360.85443281595201</v>
      </c>
      <c r="AY82" s="2348">
        <f>$D$82</f>
        <v>357</v>
      </c>
      <c r="AZ82" s="2399">
        <f t="shared" ref="AZ82:BF82" si="409">+AZ18/AZ6*1000</f>
        <v>345.38483878895494</v>
      </c>
      <c r="BA82" s="346">
        <f t="shared" si="409"/>
        <v>374</v>
      </c>
      <c r="BB82" s="346">
        <f t="shared" si="409"/>
        <v>365.07824798095601</v>
      </c>
      <c r="BC82" s="502">
        <f t="shared" si="409"/>
        <v>374</v>
      </c>
      <c r="BD82" s="502">
        <f t="shared" si="409"/>
        <v>376.69427863264553</v>
      </c>
      <c r="BE82" s="344">
        <f t="shared" si="409"/>
        <v>371.62972114366391</v>
      </c>
      <c r="BF82" s="344">
        <f t="shared" si="409"/>
        <v>359.44572098795544</v>
      </c>
    </row>
    <row r="83" spans="1:58" x14ac:dyDescent="0.3">
      <c r="A83" s="135" t="s">
        <v>445</v>
      </c>
      <c r="B83" s="3482" t="s">
        <v>250</v>
      </c>
      <c r="C83" s="2356" t="s">
        <v>49</v>
      </c>
      <c r="D83" s="2412">
        <v>0.53</v>
      </c>
      <c r="E83" s="2412">
        <v>0.53</v>
      </c>
      <c r="F83" s="2412">
        <v>0.65689667710995581</v>
      </c>
      <c r="G83" s="2412">
        <v>0.53</v>
      </c>
      <c r="H83" s="2412">
        <v>0.87389832614044516</v>
      </c>
      <c r="I83" s="2659">
        <f>+((E83*E$6)+(G83*G$6))/I$6</f>
        <v>0.53</v>
      </c>
      <c r="J83" s="2659">
        <f>+((F83*F$6)+(H83*H$6))/J$6</f>
        <v>0.72595212762292072</v>
      </c>
      <c r="K83" s="2412">
        <v>0.53</v>
      </c>
      <c r="L83" s="2412">
        <v>0.61333254599500653</v>
      </c>
      <c r="M83" s="3047">
        <f>+((E83*E$6)+(G83*G$6)+(K83*K$6))/M$6</f>
        <v>0.53</v>
      </c>
      <c r="N83" s="3047">
        <f>+((F83*F$6)+(H83*H$6)+(L83*L$6))/N$6</f>
        <v>0.67761384077391984</v>
      </c>
      <c r="O83" s="2412">
        <v>0.53</v>
      </c>
      <c r="P83" s="2412">
        <v>0.64083776122853031</v>
      </c>
      <c r="Q83" s="343">
        <f>+((M83*M$6)+(O83*O$6))/Q$6</f>
        <v>0.53</v>
      </c>
      <c r="R83" s="343">
        <f>+((N83*N$6)+(P83*P$6))/R$6</f>
        <v>0.66637427804780025</v>
      </c>
      <c r="S83" s="2412">
        <v>0.53</v>
      </c>
      <c r="T83" s="2412">
        <v>0.6053749134978198</v>
      </c>
      <c r="U83" s="343">
        <f>+((Q83*Q$6)+(S83*S$6))/U$6</f>
        <v>0.53</v>
      </c>
      <c r="V83" s="343">
        <f>+((R83*R$6)+(T83*T$6))/V$6</f>
        <v>0.65271029504818723</v>
      </c>
      <c r="W83" s="2412">
        <v>0.8</v>
      </c>
      <c r="X83" s="2412">
        <v>0.62674386842722107</v>
      </c>
      <c r="Y83" s="345">
        <f>+((O83*O$6)+(S83*S$6)+(W83*W$6))/Y$6</f>
        <v>0.58815384615384614</v>
      </c>
      <c r="Z83" s="345">
        <f>+((P83*P$6)+(T83*T$6)+(X83*X$6))/Z$6</f>
        <v>0.62460864863418319</v>
      </c>
      <c r="AA83" s="457">
        <f>+((M83*M$6)+(Y83*Y$6))/AA$6</f>
        <v>0.55914417887432533</v>
      </c>
      <c r="AB83" s="457">
        <f>+((N83*N$6)+(Z83*Z$6))/AB$6</f>
        <v>0.64811211841567518</v>
      </c>
      <c r="AC83" s="2412">
        <v>0.53</v>
      </c>
      <c r="AD83" s="2412">
        <v>0.73821603012782222</v>
      </c>
      <c r="AE83" s="343">
        <f>+((AA83*AA$6)+(AC83*AC$6))/AE$6</f>
        <v>0.5542774566473988</v>
      </c>
      <c r="AF83" s="343">
        <f>+((AB83*AB$6)+(AD83*AD$6))/AF$6</f>
        <v>0.65970942502542629</v>
      </c>
      <c r="AG83" s="2412">
        <v>0.53</v>
      </c>
      <c r="AH83" s="2412">
        <v>0.54765789463279879</v>
      </c>
      <c r="AI83" s="343">
        <f>+((AE83*AE$6)+(AG83*AG$6))/AI$6</f>
        <v>0.55089552238805961</v>
      </c>
      <c r="AJ83" s="343">
        <f>+((AF83*AF$6)+(AH83*AH$6))/AJ$6</f>
        <v>0.6446865790203089</v>
      </c>
      <c r="AK83" s="2412">
        <v>0.53</v>
      </c>
      <c r="AL83" s="2412">
        <v>0.59122406056901544</v>
      </c>
      <c r="AM83" s="345">
        <f>+((AC83*AC$6)+(AG83*AG$6)+(AK83*AK$6))/AM$6</f>
        <v>0.53</v>
      </c>
      <c r="AN83" s="345">
        <f>+((AD83*AD$6)+(AH83*AH$6)+(AL83*AL$6))/AN$6</f>
        <v>0.61870078364403347</v>
      </c>
      <c r="AO83" s="343">
        <f>+((AK83*AK$6)+(AI83*AI$6))/AO$6</f>
        <v>0.54826969550507487</v>
      </c>
      <c r="AP83" s="343">
        <f>+((AL83*AL$6)+(AJ83*AJ$6))/AP$6</f>
        <v>0.6381975852455708</v>
      </c>
      <c r="AQ83" s="2412">
        <v>0.53</v>
      </c>
      <c r="AR83" s="2412">
        <v>0.69047408598412296</v>
      </c>
      <c r="AS83" s="343">
        <f>+((AO83*AO$6)+(AQ83*AQ$6))/AS$6</f>
        <v>0.54620231461637381</v>
      </c>
      <c r="AT83" s="343">
        <f>+((AP83*AP$6)+(AR83*AR$6))/AT$6</f>
        <v>0.64372088455053789</v>
      </c>
      <c r="AU83" s="2412">
        <v>0.53</v>
      </c>
      <c r="AV83" s="2412">
        <v>0.87010859275438568</v>
      </c>
      <c r="AW83" s="343">
        <f>+((AS83*AS$6)+(AU83*AU$6))/AW$6</f>
        <v>0.54471389645776569</v>
      </c>
      <c r="AX83" s="349">
        <f>+((AT83*AT$6)+(AV83*AV$6))/AX$6</f>
        <v>0.66142246356615908</v>
      </c>
      <c r="AY83" s="2412">
        <v>0.53</v>
      </c>
      <c r="AZ83" s="2412">
        <v>0.61038668739689161</v>
      </c>
      <c r="BA83" s="345">
        <f>+((AQ83*AQ$6)+(AU83*AU$6)+(AY83*AY$6))/BA$6</f>
        <v>0.53</v>
      </c>
      <c r="BB83" s="345">
        <f>+((AR83*AR$6)+(AV83*AV$6)+(AZ83*AZ$6))/BB$6</f>
        <v>0.71231166389858636</v>
      </c>
      <c r="BC83" s="457">
        <f>+((AM83*AM$6)+(BA83*BA$6))/BC$6</f>
        <v>0.53</v>
      </c>
      <c r="BD83" s="457">
        <f>+((AN83*AN$6)+(BB83*BB$6))/BD$6</f>
        <v>0.66532555823723982</v>
      </c>
      <c r="BE83" s="343">
        <f>+((AW83*AW$6)+(AY83*AY$6))/BE$6</f>
        <v>0.54334274620543599</v>
      </c>
      <c r="BF83" s="349">
        <f>+((AX83*AX$6)+(AZ83*AZ$6))/BF$6</f>
        <v>0.65677497886713188</v>
      </c>
    </row>
    <row r="84" spans="1:58" ht="15.75" customHeight="1" x14ac:dyDescent="0.3">
      <c r="A84" s="135" t="s">
        <v>445</v>
      </c>
      <c r="B84" s="3482" t="s">
        <v>251</v>
      </c>
      <c r="C84" s="2356" t="s">
        <v>49</v>
      </c>
      <c r="D84" s="2416">
        <v>0.05</v>
      </c>
      <c r="E84" s="2416">
        <v>0.05</v>
      </c>
      <c r="F84" s="2416">
        <v>3.2577569705161159E-2</v>
      </c>
      <c r="G84" s="2416">
        <v>0.05</v>
      </c>
      <c r="H84" s="2416">
        <v>3.4898298693195919E-2</v>
      </c>
      <c r="I84" s="2829">
        <f>+((E84*E$6)+(G84*G$6))/I$6</f>
        <v>0.05</v>
      </c>
      <c r="J84" s="2829">
        <f>+((F84*F$6)+(H84*H$6))/J$6</f>
        <v>3.331608476485419E-2</v>
      </c>
      <c r="K84" s="2416">
        <v>0.05</v>
      </c>
      <c r="L84" s="2416">
        <v>3.8166186015443859E-2</v>
      </c>
      <c r="M84" s="3051">
        <f>+((E84*E$6)+(G84*G$6)+(K84*K$6))/M$6</f>
        <v>0.05</v>
      </c>
      <c r="N84" s="3051">
        <f>+((F84*F$6)+(H84*H$6)+(L84*L$6))/N$6</f>
        <v>3.5397832735400633E-2</v>
      </c>
      <c r="O84" s="2416">
        <v>0.05</v>
      </c>
      <c r="P84" s="2416">
        <v>3.4138594926817221E-2</v>
      </c>
      <c r="Q84" s="343">
        <f>+((M84*M$6)+(O84*O$6))/Q$6</f>
        <v>0.05</v>
      </c>
      <c r="R84" s="343">
        <f>+((N84*N$6)+(P84*P$6))/R$6</f>
        <v>3.5012982514506193E-2</v>
      </c>
      <c r="S84" s="2416">
        <v>0.05</v>
      </c>
      <c r="T84" s="2416">
        <v>3.4513028989228228E-2</v>
      </c>
      <c r="U84" s="343">
        <f>+((Q84*Q$6)+(S84*S$6))/U$6</f>
        <v>0.05</v>
      </c>
      <c r="V84" s="343">
        <f>+((R84*R$6)+(T84*T$6))/V$6</f>
        <v>3.490099189754825E-2</v>
      </c>
      <c r="W84" s="2416">
        <v>0.05</v>
      </c>
      <c r="X84" s="2416">
        <v>3.549951756153763E-2</v>
      </c>
      <c r="Y84" s="345">
        <f>+((O84*O$6)+(S84*S$6)+(W84*W$6))/Y$6</f>
        <v>0.05</v>
      </c>
      <c r="Z84" s="345">
        <f>+((P84*P$6)+(T84*T$6)+(X84*X$6))/Z$6</f>
        <v>3.46955945595342E-2</v>
      </c>
      <c r="AA84" s="457">
        <f>+((M84*M$6)+(Y84*Y$6))/AA$6</f>
        <v>0.05</v>
      </c>
      <c r="AB84" s="457">
        <f>+((N84*N$6)+(Z84*Z$6))/AB$6</f>
        <v>3.5006979785765904E-2</v>
      </c>
      <c r="AC84" s="2416">
        <v>0.05</v>
      </c>
      <c r="AD84" s="2416">
        <v>3.8858986537832957E-2</v>
      </c>
      <c r="AE84" s="343">
        <f>+((AA84*AA$6)+(AC84*AC$6))/AE$6</f>
        <v>0.05</v>
      </c>
      <c r="AF84" s="349">
        <f>+((AB84*AB$6)+(AD84*AD$6))/AF$6</f>
        <v>3.5502772948545216E-2</v>
      </c>
      <c r="AG84" s="2416">
        <v>0.05</v>
      </c>
      <c r="AH84" s="2416">
        <v>3.3078521245884285E-2</v>
      </c>
      <c r="AI84" s="343">
        <f>+((AE84*AE$6)+(AG84*AG$6))/AI$6</f>
        <v>0.05</v>
      </c>
      <c r="AJ84" s="349">
        <f>+((AF84*AF$6)+(AH84*AH$6))/AJ$6</f>
        <v>3.517775141712029E-2</v>
      </c>
      <c r="AK84" s="2416">
        <v>0.05</v>
      </c>
      <c r="AL84" s="2416">
        <v>3.2638060149334992E-2</v>
      </c>
      <c r="AM84" s="345">
        <f>+((AC84*AC$6)+(AG84*AG$6)+(AK84*AK$6))/AM$6</f>
        <v>0.05</v>
      </c>
      <c r="AN84" s="345">
        <f>+((AD84*AD$6)+(AH84*AH$6)+(AL84*AL$6))/AN$6</f>
        <v>3.4599139798159123E-2</v>
      </c>
      <c r="AO84" s="349">
        <f>+((AK84*AK$6)+(AI84*AI$6))/AO$6</f>
        <v>0.05</v>
      </c>
      <c r="AP84" s="349">
        <f>+((AL84*AL$6)+(AJ84*AJ$6))/AP$6</f>
        <v>3.4869497311181948E-2</v>
      </c>
      <c r="AQ84" s="2416">
        <v>0.05</v>
      </c>
      <c r="AR84" s="2416">
        <v>3.3590154307706899E-2</v>
      </c>
      <c r="AS84" s="349">
        <f>+((AO84*AO$6)+(AQ84*AQ$6))/AS$6</f>
        <v>0.05</v>
      </c>
      <c r="AT84" s="349">
        <f>+((AP84*AP$6)+(AR84*AR$6))/AT$6</f>
        <v>3.4734327699175047E-2</v>
      </c>
      <c r="AU84" s="2416">
        <v>0.05</v>
      </c>
      <c r="AV84" s="2416">
        <v>3.347434243144469E-2</v>
      </c>
      <c r="AW84" s="349">
        <f>+((AS84*AS$6)+(AU84*AU$6))/AW$6</f>
        <v>0.05</v>
      </c>
      <c r="AX84" s="349">
        <f>+((AT84*AT$6)+(AV84*AV$6))/AX$6</f>
        <v>3.4635807647215494E-2</v>
      </c>
      <c r="AY84" s="2416">
        <v>0.05</v>
      </c>
      <c r="AZ84" s="2416">
        <v>3.2579820086642078E-2</v>
      </c>
      <c r="BA84" s="345">
        <f>+((AQ84*AQ$6)+(AU84*AU$6)+(AY84*AY$6))/BA$6</f>
        <v>0.05</v>
      </c>
      <c r="BB84" s="345">
        <f>+((AR84*AR$6)+(AV84*AV$6)+(AZ84*AZ$6))/BB$6</f>
        <v>3.3190268267081997E-2</v>
      </c>
      <c r="BC84" s="457">
        <f>+((AM84*AM$6)+(BA84*BA$6))/BC$6</f>
        <v>0.05</v>
      </c>
      <c r="BD84" s="457">
        <f>+((AN84*AN$6)+(BB84*BB$6))/BD$6</f>
        <v>3.3897423102528954E-2</v>
      </c>
      <c r="BE84" s="349">
        <f>+((AW84*AW$6)+(AY84*AY$6))/BE$6</f>
        <v>0.05</v>
      </c>
      <c r="BF84" s="349">
        <f>+((AX84*AX$6)+(AZ84*AZ$6))/BF$6</f>
        <v>3.4448582695498012E-2</v>
      </c>
    </row>
    <row r="85" spans="1:58" x14ac:dyDescent="0.3">
      <c r="A85" s="135"/>
      <c r="B85" s="3483" t="s">
        <v>257</v>
      </c>
      <c r="C85" s="2356" t="s">
        <v>209</v>
      </c>
      <c r="D85" s="2399">
        <f>+(D86*D6)/1000000</f>
        <v>4545</v>
      </c>
      <c r="E85" s="2399">
        <f>+(E86*E6)/1000000</f>
        <v>315.12</v>
      </c>
      <c r="F85" s="2399">
        <f>EMD!E46/1000</f>
        <v>363.94208000000003</v>
      </c>
      <c r="G85" s="2399">
        <f>+(G86*G6)/1000000</f>
        <v>283.30500000000001</v>
      </c>
      <c r="H85" s="2399">
        <f>EMD!G46/1000</f>
        <v>198.14075</v>
      </c>
      <c r="I85" s="2349">
        <f>+E85+G85</f>
        <v>598.42499999999995</v>
      </c>
      <c r="J85" s="2349">
        <f>+F85+H85</f>
        <v>562.08283000000006</v>
      </c>
      <c r="K85" s="2399">
        <f>+(K86*K6)/1000000</f>
        <v>388.08</v>
      </c>
      <c r="L85" s="2399">
        <v>385.35410880000001</v>
      </c>
      <c r="M85" s="2350">
        <f>E85+G85+K85</f>
        <v>986.50499999999988</v>
      </c>
      <c r="N85" s="2350">
        <f>F85+H85+L85</f>
        <v>947.43693880000001</v>
      </c>
      <c r="O85" s="2399">
        <f>+(O86*O6)/1000000</f>
        <v>397.79999999999995</v>
      </c>
      <c r="P85" s="2399">
        <v>403.9</v>
      </c>
      <c r="Q85" s="240">
        <f>+M85+O85</f>
        <v>1384.3049999999998</v>
      </c>
      <c r="R85" s="240">
        <f>+N85+P85</f>
        <v>1351.3369388000001</v>
      </c>
      <c r="S85" s="2399">
        <f>+(S86*S6)/1000000</f>
        <v>395.25</v>
      </c>
      <c r="T85" s="2399">
        <v>388.2912048</v>
      </c>
      <c r="U85" s="240">
        <f>+Q85+S85</f>
        <v>1779.5549999999998</v>
      </c>
      <c r="V85" s="240">
        <f>+R85+T85</f>
        <v>1739.6281436000002</v>
      </c>
      <c r="W85" s="2399">
        <f>+(W86*W6)/1000000</f>
        <v>217</v>
      </c>
      <c r="X85" s="2399">
        <v>381.38400000000001</v>
      </c>
      <c r="Y85" s="717">
        <f>+W85+S85+O85</f>
        <v>1010.05</v>
      </c>
      <c r="Z85" s="717">
        <f>+X85+T85+P85</f>
        <v>1173.5752047999999</v>
      </c>
      <c r="AA85" s="430">
        <f>M85+Y85</f>
        <v>1996.5549999999998</v>
      </c>
      <c r="AB85" s="429">
        <f>N85+Z85</f>
        <v>2121.0121435999999</v>
      </c>
      <c r="AC85" s="2399">
        <f>+(AC86*AC6)/1000000</f>
        <v>400.40000000000003</v>
      </c>
      <c r="AD85" s="2399">
        <v>323.8</v>
      </c>
      <c r="AE85" s="240">
        <f>+AA85+AC85</f>
        <v>2396.9549999999999</v>
      </c>
      <c r="AF85" s="240">
        <f>+AB85+AD85</f>
        <v>2444.8121436000001</v>
      </c>
      <c r="AG85" s="2399">
        <f>+(AG86*AG6)/1000000</f>
        <v>388.08000000000004</v>
      </c>
      <c r="AH85" s="2399">
        <v>365.8</v>
      </c>
      <c r="AI85" s="240">
        <f>+AE85+AG85</f>
        <v>2785.0349999999999</v>
      </c>
      <c r="AJ85" s="240">
        <f>+AF85+AH85</f>
        <v>2810.6121436000003</v>
      </c>
      <c r="AK85" s="2399">
        <f>+(AK86*AK6)/1000000</f>
        <v>400.40000000000003</v>
      </c>
      <c r="AL85" s="2399">
        <v>384.5</v>
      </c>
      <c r="AM85" s="717">
        <f>+AK85+AG85+AC85</f>
        <v>1188.8800000000001</v>
      </c>
      <c r="AN85" s="717">
        <f>+AL85+AH85+AD85</f>
        <v>1074.0999999999999</v>
      </c>
      <c r="AO85" s="240">
        <f>+AK85+AI85</f>
        <v>3185.4349999999999</v>
      </c>
      <c r="AP85" s="240">
        <f>+AL85+AJ85</f>
        <v>3195.1121436000003</v>
      </c>
      <c r="AQ85" s="2399">
        <f>+(AQ86*AQ6)/1000000</f>
        <v>401.28</v>
      </c>
      <c r="AR85" s="2399">
        <v>385.8</v>
      </c>
      <c r="AS85" s="718">
        <f>+AO85+AQ85</f>
        <v>3586.7150000000001</v>
      </c>
      <c r="AT85" s="718">
        <f>+AP85+AR85</f>
        <v>3580.9121436000005</v>
      </c>
      <c r="AU85" s="2399">
        <f>+(AU86*AU6)/1000000</f>
        <v>362.26</v>
      </c>
      <c r="AV85" s="2399">
        <v>344.7</v>
      </c>
      <c r="AW85" s="718">
        <f>+AS85+AU85</f>
        <v>3948.9750000000004</v>
      </c>
      <c r="AX85" s="718">
        <f>+AT85+AV85</f>
        <v>3925.6121436000003</v>
      </c>
      <c r="AY85" s="2399">
        <f>+(AY86*AY6)/1000000</f>
        <v>401.28</v>
      </c>
      <c r="AZ85" s="2399">
        <v>376.6</v>
      </c>
      <c r="BA85" s="717">
        <f>+AY85+AU85+AQ85</f>
        <v>1164.82</v>
      </c>
      <c r="BB85" s="717">
        <f>+AZ85+AV85+AR85</f>
        <v>1107.0999999999999</v>
      </c>
      <c r="BC85" s="430">
        <f>AM85+BA85</f>
        <v>2353.6999999999998</v>
      </c>
      <c r="BD85" s="430">
        <f>AN85+BB85</f>
        <v>2181.1999999999998</v>
      </c>
      <c r="BE85" s="240">
        <f>+AW85+AY85</f>
        <v>4350.2550000000001</v>
      </c>
      <c r="BF85" s="240">
        <f>+AX85+AZ85</f>
        <v>4302.2121436000007</v>
      </c>
    </row>
    <row r="86" spans="1:58" x14ac:dyDescent="0.3">
      <c r="A86" s="135"/>
      <c r="B86" s="3483" t="s">
        <v>258</v>
      </c>
      <c r="C86" s="2356" t="s">
        <v>252</v>
      </c>
      <c r="D86" s="2399">
        <v>1515</v>
      </c>
      <c r="E86" s="2399">
        <v>1515</v>
      </c>
      <c r="F86" s="2399">
        <f>+(F85*1000000)/F6</f>
        <v>1535.1231330944233</v>
      </c>
      <c r="G86" s="2399">
        <v>1515</v>
      </c>
      <c r="H86" s="2399">
        <f>+(H85*1000000)/H6</f>
        <v>1790.5670710051954</v>
      </c>
      <c r="I86" s="2349">
        <f>+(I85*1000000)/I6</f>
        <v>1515</v>
      </c>
      <c r="J86" s="2349">
        <f>+(J85*1000000)/J6</f>
        <v>1616.411898834428</v>
      </c>
      <c r="K86" s="2399">
        <v>1540</v>
      </c>
      <c r="L86" s="2399">
        <f>+(L85*1000000)/L6</f>
        <v>1473.6863978302797</v>
      </c>
      <c r="M86" s="2350">
        <f>+(M85*1000000)/M6</f>
        <v>1524.7372488408034</v>
      </c>
      <c r="N86" s="2350">
        <f>+(N85*1000000)/N6</f>
        <v>1555.1516267886664</v>
      </c>
      <c r="O86" s="2399">
        <v>1559.9999999999998</v>
      </c>
      <c r="P86" s="2399">
        <f>+(P85*1000000)/P6</f>
        <v>1506.2897573415307</v>
      </c>
      <c r="Q86" s="718">
        <f>+(Q85*1000000)/Q6</f>
        <v>1534.7062084257204</v>
      </c>
      <c r="R86" s="718">
        <f>+(R85*1000000)/R6</f>
        <v>1540.2183861236649</v>
      </c>
      <c r="S86" s="2399">
        <v>1550</v>
      </c>
      <c r="T86" s="2399">
        <f>+(T85*1000000)/T6</f>
        <v>1533.1504598371025</v>
      </c>
      <c r="U86" s="718">
        <f>+(U85*1000000)/U6</f>
        <v>1538.0769230769229</v>
      </c>
      <c r="V86" s="718">
        <f>+(V85*1000000)/V6</f>
        <v>1538.6351561124245</v>
      </c>
      <c r="W86" s="2399">
        <v>1550</v>
      </c>
      <c r="X86" s="2399">
        <f>+(X85*1000000)/X6</f>
        <v>1567.5629908087797</v>
      </c>
      <c r="Y86" s="322">
        <f>+(Y85*1000000)/Y6</f>
        <v>1553.9230769230769</v>
      </c>
      <c r="Z86" s="322">
        <f>+(Z85*1000000)/Z6</f>
        <v>1534.6804503132128</v>
      </c>
      <c r="AA86" s="430">
        <f>+(AA85*1000000)/AA6</f>
        <v>1539.3639167309173</v>
      </c>
      <c r="AB86" s="429">
        <f>+(AB85*1000000)/AB6</f>
        <v>1543.7577436548534</v>
      </c>
      <c r="AC86" s="2399">
        <v>1540.0000000000002</v>
      </c>
      <c r="AD86" s="2399">
        <f>+(AD85*1000000)/AD6</f>
        <v>1595.3717467448357</v>
      </c>
      <c r="AE86" s="718">
        <f>+(AE85*1000000)/AE6</f>
        <v>1539.4701348747592</v>
      </c>
      <c r="AF86" s="718">
        <f>+(AF85*1000000)/AF6</f>
        <v>1550.4010003993935</v>
      </c>
      <c r="AG86" s="2399">
        <v>1540.0000000000002</v>
      </c>
      <c r="AH86" s="2399">
        <f>+(AH85*1000000)/AH6</f>
        <v>1498.2703128673488</v>
      </c>
      <c r="AI86" s="718">
        <f>+(AI85*1000000)/AI6</f>
        <v>1539.5439469320065</v>
      </c>
      <c r="AJ86" s="718">
        <f>+(AJ85*1000000)/AJ6</f>
        <v>1543.4117938424583</v>
      </c>
      <c r="AK86" s="2399">
        <v>1540.0000000000002</v>
      </c>
      <c r="AL86" s="2399">
        <f>+(AL85*1000000)/AL6</f>
        <v>1528.4563187457518</v>
      </c>
      <c r="AM86" s="322">
        <f>+(AM85*1000000)/AM6</f>
        <v>1540</v>
      </c>
      <c r="AN86" s="322">
        <f>+(AN85*1000000)/AN6</f>
        <v>1537.3466750387488</v>
      </c>
      <c r="AO86" s="718">
        <f>+(AO85*1000000)/AO6</f>
        <v>1539.6012566457225</v>
      </c>
      <c r="AP86" s="718">
        <f>+(AP85*1000000)/AP6</f>
        <v>1541.5965784801444</v>
      </c>
      <c r="AQ86" s="2399">
        <v>1520</v>
      </c>
      <c r="AR86" s="2399">
        <f>+(AR85*1000000)/AR6</f>
        <v>1575.6495572416577</v>
      </c>
      <c r="AS86" s="718">
        <f>+(AS85*1000000)/AS6</f>
        <v>1537.383197599657</v>
      </c>
      <c r="AT86" s="718">
        <f>+(AT85*1000000)/AT6</f>
        <v>1545.1944626397246</v>
      </c>
      <c r="AU86" s="2399">
        <v>1535</v>
      </c>
      <c r="AV86" s="2399">
        <f>+(AV85*1000000)/AV6</f>
        <v>1753.5265112147865</v>
      </c>
      <c r="AW86" s="718">
        <f>+(AW85*1000000)/AW6</f>
        <v>1537.1642662514598</v>
      </c>
      <c r="AX86" s="718">
        <f>+(AX85*1000000)/AX6</f>
        <v>1561.4842437793309</v>
      </c>
      <c r="AY86" s="2399">
        <v>1520</v>
      </c>
      <c r="AZ86" s="2399">
        <f t="shared" ref="AZ86:BF86" si="410">+(AZ85*1000000)/AZ6</f>
        <v>1495.2056940100852</v>
      </c>
      <c r="BA86" s="322">
        <f t="shared" si="410"/>
        <v>1524.6335078534032</v>
      </c>
      <c r="BB86" s="322">
        <f t="shared" si="410"/>
        <v>1596.859303295666</v>
      </c>
      <c r="BC86" s="430">
        <f t="shared" si="410"/>
        <v>1532.3567708333333</v>
      </c>
      <c r="BD86" s="430">
        <f t="shared" si="410"/>
        <v>1566.9881319974136</v>
      </c>
      <c r="BE86" s="718">
        <f t="shared" si="410"/>
        <v>1535.5647723261561</v>
      </c>
      <c r="BF86" s="718">
        <f t="shared" si="410"/>
        <v>1555.4487022622454</v>
      </c>
    </row>
    <row r="87" spans="1:58" x14ac:dyDescent="0.3">
      <c r="A87" s="135"/>
      <c r="B87" s="1582" t="s">
        <v>256</v>
      </c>
      <c r="C87" s="509" t="s">
        <v>211</v>
      </c>
      <c r="D87" s="192">
        <v>880</v>
      </c>
      <c r="E87" s="192">
        <f>+$D$87</f>
        <v>880</v>
      </c>
      <c r="F87" s="1031">
        <f>EMD!E45</f>
        <v>902.11</v>
      </c>
      <c r="G87" s="192">
        <f>+$D$87</f>
        <v>880</v>
      </c>
      <c r="H87" s="1031">
        <f>EMD!G45</f>
        <v>905.31</v>
      </c>
      <c r="I87" s="57">
        <f>D87</f>
        <v>880</v>
      </c>
      <c r="J87" s="35">
        <f>+((F87*F85)+(H85*H87))/J85</f>
        <v>903.23803730368354</v>
      </c>
      <c r="K87" s="192">
        <f>+$D$87</f>
        <v>880</v>
      </c>
      <c r="L87" s="1031">
        <v>917</v>
      </c>
      <c r="M87" s="725">
        <f>+$D$87</f>
        <v>880</v>
      </c>
      <c r="N87" s="65">
        <f>+((F87*F85)+(H87*H85)+(L85*L87))/N85</f>
        <v>908.83548516854603</v>
      </c>
      <c r="O87" s="192">
        <f>+$D$87</f>
        <v>880</v>
      </c>
      <c r="P87" s="1031">
        <v>913</v>
      </c>
      <c r="Q87" s="57">
        <v>880</v>
      </c>
      <c r="R87" s="35">
        <f>+((N87*N85)+(P85*P87))/R85</f>
        <v>910.08021362384727</v>
      </c>
      <c r="S87" s="192">
        <f>+$D$87</f>
        <v>880</v>
      </c>
      <c r="T87" s="1031">
        <v>916.48533097577422</v>
      </c>
      <c r="U87" s="57">
        <v>880</v>
      </c>
      <c r="V87" s="35">
        <f>+((R87*R85)+(T85*T87))/V85</f>
        <v>911.50985865610016</v>
      </c>
      <c r="W87" s="192">
        <f>+$D$87</f>
        <v>880</v>
      </c>
      <c r="X87" s="1031">
        <v>917.97</v>
      </c>
      <c r="Y87" s="725">
        <v>880</v>
      </c>
      <c r="Z87" s="65">
        <f>+((P87*P85)+(T87*T85)+(X85*X87))/Z85</f>
        <v>915.76829455021061</v>
      </c>
      <c r="AA87" s="768">
        <v>880</v>
      </c>
      <c r="AB87" s="418">
        <f>+((N87*N85)+(Z85*Z87))/AB85</f>
        <v>912.67147131057584</v>
      </c>
      <c r="AC87" s="192">
        <f>+$D$87</f>
        <v>880</v>
      </c>
      <c r="AD87" s="1031">
        <v>918</v>
      </c>
      <c r="AE87" s="57">
        <v>880</v>
      </c>
      <c r="AF87" s="35">
        <f>+((AB87*AB85)+(AD85*AD87))/AF85</f>
        <v>913.37720143963793</v>
      </c>
      <c r="AG87" s="192">
        <f>+$D$87</f>
        <v>880</v>
      </c>
      <c r="AH87" s="1031">
        <v>919</v>
      </c>
      <c r="AI87" s="57">
        <v>880</v>
      </c>
      <c r="AJ87" s="35">
        <f>+((AF87*AF85)+(AH85*AH87))/AJ85</f>
        <v>914.10900633063432</v>
      </c>
      <c r="AK87" s="192">
        <f>+$D$87</f>
        <v>880</v>
      </c>
      <c r="AL87" s="1031">
        <v>920.71</v>
      </c>
      <c r="AM87" s="725">
        <v>880</v>
      </c>
      <c r="AN87" s="65">
        <f>+((AD87*AD85)+(AH87*AH85)+(AL85*AL87))/AN85</f>
        <v>919.31067405269539</v>
      </c>
      <c r="AO87" s="57">
        <v>880</v>
      </c>
      <c r="AP87" s="35">
        <f>+((AL87*AL85)+(AJ85*AJ87))/AP85</f>
        <v>914.90337033158346</v>
      </c>
      <c r="AQ87" s="192">
        <f>+$D$87</f>
        <v>880</v>
      </c>
      <c r="AR87" s="1031">
        <v>914.9</v>
      </c>
      <c r="AS87" s="57">
        <v>880</v>
      </c>
      <c r="AT87" s="35">
        <f>+((AP87*AP85)+(AR85*AR87))/AT85</f>
        <v>914.90300721909341</v>
      </c>
      <c r="AU87" s="192">
        <f>+$D$87</f>
        <v>880</v>
      </c>
      <c r="AV87" s="1031">
        <v>882</v>
      </c>
      <c r="AW87" s="57">
        <v>880</v>
      </c>
      <c r="AX87" s="35">
        <f>+((AT87*AT85)+(AV85*AV87))/AX85</f>
        <v>912.01386122770657</v>
      </c>
      <c r="AY87" s="192">
        <f>+$D$87</f>
        <v>880</v>
      </c>
      <c r="AZ87" s="1031">
        <v>896</v>
      </c>
      <c r="BA87" s="725">
        <v>880</v>
      </c>
      <c r="BB87" s="65">
        <f>+((AR87*AR85)+(AV87*AV85)+(AZ85*AZ87))/BB85</f>
        <v>898.22727847529586</v>
      </c>
      <c r="BC87" s="768">
        <v>880</v>
      </c>
      <c r="BD87" s="418">
        <f>+((AN87*AN85)+(BB85*BB87))/BD85</f>
        <v>908.60948789657084</v>
      </c>
      <c r="BE87" s="57">
        <v>880</v>
      </c>
      <c r="BF87" s="35">
        <f>+((AX87*AX85)+(AZ85*AZ87))/BF85</f>
        <v>910.61206607278234</v>
      </c>
    </row>
    <row r="88" spans="1:58" x14ac:dyDescent="0.3">
      <c r="A88" s="135"/>
      <c r="B88" s="1569" t="s">
        <v>253</v>
      </c>
      <c r="C88" s="509" t="s">
        <v>298</v>
      </c>
      <c r="D88" s="1033">
        <v>9.6666666666666661</v>
      </c>
      <c r="E88" s="1033">
        <f>+(EMD!D25/E2/24)</f>
        <v>8</v>
      </c>
      <c r="F88" s="1033">
        <f>+(EMD!E25/F2/24)</f>
        <v>7.4826666666666668</v>
      </c>
      <c r="G88" s="1033">
        <f>+(EMD!F25/G2/24)</f>
        <v>8</v>
      </c>
      <c r="H88" s="1033">
        <f>+(EMD!G25/H2/24)</f>
        <v>4.9524059139784944</v>
      </c>
      <c r="I88" s="78">
        <f>+((E88*E2)+(G88*G2))/I2</f>
        <v>8</v>
      </c>
      <c r="J88" s="2592">
        <f>+((F88*F$2)+(H88*H$2))/J$2</f>
        <v>6.196796448087432</v>
      </c>
      <c r="K88" s="1033">
        <f>+(EMD!J25/K2/24)</f>
        <v>6</v>
      </c>
      <c r="L88" s="1033">
        <f>+(EMD!K25/L2/24)</f>
        <v>8.2055022791649517</v>
      </c>
      <c r="M88" s="351">
        <f>+((E88*E2)+(G88*G2)+(K88*K2))/M2</f>
        <v>7.3406593406593403</v>
      </c>
      <c r="N88" s="322">
        <f>+((F88*F$2)+(H88*H$2)+(L88*L$2))/N$2</f>
        <v>6.8590071616294717</v>
      </c>
      <c r="O88" s="1033">
        <f>+(EMD!N25/O2/24)</f>
        <v>6</v>
      </c>
      <c r="P88" s="1033">
        <f>+(EMD!O25/P2/24)</f>
        <v>8.5703466622744049</v>
      </c>
      <c r="Q88" s="78">
        <f>+((M88*M2)+(O88*O2))/Q2</f>
        <v>7</v>
      </c>
      <c r="R88" s="101">
        <f>+((N88*N$2)+(P88*P$2))/R$2</f>
        <v>7.2938557232687575</v>
      </c>
      <c r="S88" s="1033">
        <f>+(EMD!R25/S2/24)</f>
        <v>6</v>
      </c>
      <c r="T88" s="1033">
        <f>+(EMD!S25/T2/24)</f>
        <v>7.8822144417125877</v>
      </c>
      <c r="U88" s="78">
        <f>+((Q88*Q2)+(S88*S2))/U2</f>
        <v>6.7973856209150325</v>
      </c>
      <c r="V88" s="101">
        <f>+((R88*R$2)+(T88*T$2))/V$2</f>
        <v>7.4130656596854809</v>
      </c>
      <c r="W88" s="1033">
        <f>+(EMD!V25/W2/24)</f>
        <v>5</v>
      </c>
      <c r="X88" s="1033">
        <f>+(EMD!W25/X2/24)</f>
        <v>8.4426111111111108</v>
      </c>
      <c r="Y88" s="613">
        <f>+(EMD!X25/Y2/24)</f>
        <v>5.6739130434782608</v>
      </c>
      <c r="Z88" s="613">
        <f>+(EMD!Y25/Z2/24)</f>
        <v>8.2968231256188041</v>
      </c>
      <c r="AA88" s="609">
        <f>+(EMD!Z25/AA2/24)</f>
        <v>6.5027322404371581</v>
      </c>
      <c r="AB88" s="609">
        <f>+(EMD!AA25/AB2/24)</f>
        <v>7.5818436025421425</v>
      </c>
      <c r="AC88" s="1033">
        <f>+(EMD!AB25/AC2/24)</f>
        <v>6</v>
      </c>
      <c r="AD88" s="1033">
        <f>+(EMD!AC25/AD2/24)</f>
        <v>7.1577822580645174</v>
      </c>
      <c r="AE88" s="78">
        <f>+(EMD!AD25/AE2/24)</f>
        <v>6.4299065420560746</v>
      </c>
      <c r="AF88" s="101">
        <f>+(EMD!AE25/AF2/24)</f>
        <v>7.5204141554449153</v>
      </c>
      <c r="AG88" s="1033">
        <f>+(EMD!AF25/AG2/24)</f>
        <v>6</v>
      </c>
      <c r="AH88" s="1033">
        <f>+(EMD!AG25/AH2/24)</f>
        <v>8.1262083333333326</v>
      </c>
      <c r="AI88" s="78">
        <f>+(EMD!AH25/AI2/24)</f>
        <v>6.3770491803278686</v>
      </c>
      <c r="AJ88" s="101">
        <f>+(EMD!AI25/AJ2/24)</f>
        <v>7.594897046168902</v>
      </c>
      <c r="AK88" s="1033">
        <f>+(EMD!AJ25/AK2/24)</f>
        <v>6</v>
      </c>
      <c r="AL88" s="1033">
        <f>+(EMD!AK25/AL2/24)</f>
        <v>8.6895698924731182</v>
      </c>
      <c r="AM88" s="612">
        <f>(AC88*AC2+AG88*AG2+AK88*AK2)/AM2</f>
        <v>6</v>
      </c>
      <c r="AN88" s="612">
        <f>(AD88*AD2+AH88*AH2+AL88*AL2)/AN2</f>
        <v>7.9897192028985504</v>
      </c>
      <c r="AO88" s="49">
        <f>+((AK88*AK2)+(AI88*AI2))/AO2</f>
        <v>6.3345454545454549</v>
      </c>
      <c r="AP88" s="101">
        <f>+((AL88*AL$2)+(AJ88*AJ$2))/AP$2</f>
        <v>7.7182965306613767</v>
      </c>
      <c r="AQ88" s="1033">
        <f>+(EMD!AP25/AQ2/24)</f>
        <v>6</v>
      </c>
      <c r="AR88" s="1033">
        <f>+(EMD!AQ25/AR2/24)</f>
        <v>7.9370161290322585</v>
      </c>
      <c r="AS88" s="78">
        <f>+((AO88*AO2)+(AQ88*AQ2))/AS2</f>
        <v>6.3006535947712417</v>
      </c>
      <c r="AT88" s="101">
        <f>+((AP88*AP$2)+(AR88*AR$2))/AT$2</f>
        <v>7.7404543984701917</v>
      </c>
      <c r="AU88" s="1033">
        <f>+(EMD!AT25/AU2/24)</f>
        <v>6</v>
      </c>
      <c r="AV88" s="1033">
        <f>+(EMD!AU25/AV2/24)</f>
        <v>6.7931398809523804</v>
      </c>
      <c r="AW88" s="78">
        <f>+((AS88*AS2)+(AU88*AU2))/AW2</f>
        <v>6.2754491017964069</v>
      </c>
      <c r="AX88" s="101">
        <f>+((AT88*AT$2)+(AV88*AV$2))/AX$2</f>
        <v>7.6610388101752855</v>
      </c>
      <c r="AY88" s="1033">
        <f>+(EMD!AX25/AY2/24)</f>
        <v>6</v>
      </c>
      <c r="AZ88" s="1033">
        <f>+(EMD!AY25/AZ2/24)</f>
        <v>7.215040322580645</v>
      </c>
      <c r="BA88" s="612">
        <f>+(EMD!AZ25/BA2/24)</f>
        <v>6</v>
      </c>
      <c r="BB88" s="612">
        <f>+(EMD!BA25/BB2/24)</f>
        <v>7.3324629629629632</v>
      </c>
      <c r="BC88" s="608">
        <f>+(EMD!BB25/BC2/24)</f>
        <v>6</v>
      </c>
      <c r="BD88" s="608">
        <f>+(EMD!BC25/BD2/24)</f>
        <v>7.6647023809523809</v>
      </c>
      <c r="BE88" s="78">
        <f>+(EMD!BD25/BE2/24)</f>
        <v>6.2520547945205474</v>
      </c>
      <c r="BF88" s="101">
        <f>+(EMD!BE25/BF2/24)</f>
        <v>7.6231594865713577</v>
      </c>
    </row>
    <row r="89" spans="1:58" x14ac:dyDescent="0.3">
      <c r="A89" s="135"/>
      <c r="B89" s="1569" t="s">
        <v>427</v>
      </c>
      <c r="C89" s="509" t="s">
        <v>298</v>
      </c>
      <c r="D89" s="178">
        <v>232.05138947074431</v>
      </c>
      <c r="E89" s="1033">
        <f>+(EMD!D57/E2/24)</f>
        <v>196.1363636363636</v>
      </c>
      <c r="F89" s="178">
        <f>+(EMD!E57/F2/24)</f>
        <v>205.85138888888889</v>
      </c>
      <c r="G89" s="1033">
        <f>+(EMD!F57/G2/24)</f>
        <v>165.41788856304984</v>
      </c>
      <c r="H89" s="178">
        <f>+(EMD!G57/H2/24)</f>
        <v>109.21505376344085</v>
      </c>
      <c r="I89" s="49">
        <f>+(EMD!H57/I2/24)</f>
        <v>180.52533532041727</v>
      </c>
      <c r="J89" s="101">
        <f>+(EMD!I57/J2/24)</f>
        <v>156.74112021857923</v>
      </c>
      <c r="K89" s="178">
        <f>+(EMD!J57/K2/24)</f>
        <v>240.52556818181822</v>
      </c>
      <c r="L89" s="178">
        <f>+(EMD!K57/L2/24)</f>
        <v>227.10277777777773</v>
      </c>
      <c r="M89" s="73">
        <f>+((E89*E2)+(G89*G2)+(K89*K2))/M2</f>
        <v>200.30563186813185</v>
      </c>
      <c r="N89" s="73">
        <f>+((F89*F2)+(H89*H2)+(L89*L2))/N2</f>
        <v>179.93727106227107</v>
      </c>
      <c r="O89" s="178">
        <f>+(EMD!N57/O2/24)</f>
        <v>234.9026301319648</v>
      </c>
      <c r="P89" s="178">
        <f>+(EMD!O57/P2/24)</f>
        <v>228.64650537634409</v>
      </c>
      <c r="Q89" s="78">
        <f>+(EMD!P57/Q2/24)</f>
        <v>209.09667241058125</v>
      </c>
      <c r="R89" s="101">
        <f>+(EMD!Q57/R2/24)</f>
        <v>192.31420765027323</v>
      </c>
      <c r="S89" s="178">
        <f>+(EMD!R57/S2/24)</f>
        <v>234.9026301319648</v>
      </c>
      <c r="T89" s="178">
        <f>+(EMD!S57/T2/24)</f>
        <v>218.68817204301078</v>
      </c>
      <c r="U89" s="78">
        <f>+(EMD!T57/U2/24)</f>
        <v>214.3253305109923</v>
      </c>
      <c r="V89" s="101">
        <f>+(EMD!U57/V2/24)</f>
        <v>197.65795206971677</v>
      </c>
      <c r="W89" s="178">
        <f>+(EMD!V57/W2/24)</f>
        <v>133.26704545454547</v>
      </c>
      <c r="X89" s="178">
        <f>+(EMD!W57/X2/24)</f>
        <v>221.31944444444446</v>
      </c>
      <c r="Y89" s="613">
        <f>+(EMD!X57/Y2/24)</f>
        <v>201.76059165019765</v>
      </c>
      <c r="Z89" s="613">
        <f>+(EMD!Y57/Z2/24)</f>
        <v>222.90172101449275</v>
      </c>
      <c r="AA89" s="609">
        <f>+(EMD!Z57/AA2/24)</f>
        <v>201.03708705911575</v>
      </c>
      <c r="AB89" s="609">
        <f>+(EMD!AA57/AB2/24)</f>
        <v>201.53688524590166</v>
      </c>
      <c r="AC89" s="178">
        <f>+(EMD!AB57/AC2/24)</f>
        <v>240.1090542521994</v>
      </c>
      <c r="AD89" s="178">
        <f>+(EMD!AC57/AD2/24)</f>
        <v>181.80107526881719</v>
      </c>
      <c r="AE89" s="78">
        <f>+(EMD!AD57/AE2/24)</f>
        <v>206.69704492353446</v>
      </c>
      <c r="AF89" s="101">
        <f>+(EMD!AE57/AF2/24)</f>
        <v>198.67795950155764</v>
      </c>
      <c r="AG89" s="178">
        <f>+(EMD!AF57/AG2/24)</f>
        <v>240.52556818181822</v>
      </c>
      <c r="AH89" s="178">
        <f>+(EMD!AG57/AH2/24)</f>
        <v>210.42361111111111</v>
      </c>
      <c r="AI89" s="78">
        <f>+(EMD!AH57/AI2/24)</f>
        <v>210.85628958643818</v>
      </c>
      <c r="AJ89" s="101">
        <f>+(EMD!AI57/AJ2/24)</f>
        <v>200.1220969945355</v>
      </c>
      <c r="AK89" s="178">
        <f>+(EMD!AJ57/AK2/24)</f>
        <v>240.1090542521994</v>
      </c>
      <c r="AL89" s="178">
        <f>+(EMD!AK57/AL2/24)</f>
        <v>212.12768817204301</v>
      </c>
      <c r="AM89" s="612">
        <f>+(EMD!AL57/AM2/24)</f>
        <v>240.24487401185775</v>
      </c>
      <c r="AN89" s="612">
        <f>+(EMD!AM57/AN2/24)</f>
        <v>201.35326086956522</v>
      </c>
      <c r="AO89" s="49">
        <f>+(EMD!AN57/AO2/24)</f>
        <v>214.1538739669422</v>
      </c>
      <c r="AP89" s="101">
        <f>+(EMD!AO57/AP2/24)</f>
        <v>201.47545454545454</v>
      </c>
      <c r="AQ89" s="178">
        <f>+(EMD!AP57/AQ2/24)</f>
        <v>244.27419354838707</v>
      </c>
      <c r="AR89" s="178">
        <f>+(EMD!AQ57/AR2/24)</f>
        <v>212.09408602150538</v>
      </c>
      <c r="AS89" s="78">
        <f>+(EMD!AR57/AS2/24)</f>
        <v>217.20527889185982</v>
      </c>
      <c r="AT89" s="101">
        <f>+(EMD!AS57/AT2/24)</f>
        <v>202.55119825708061</v>
      </c>
      <c r="AU89" s="178">
        <f>+(EMD!AT57/AU2/24)</f>
        <v>241.44784902597405</v>
      </c>
      <c r="AV89" s="178">
        <f>+(EMD!AU57/AV2/24)</f>
        <v>210.07589285714286</v>
      </c>
      <c r="AW89" s="78">
        <f>+(EMD!AV57/AW2/24)</f>
        <v>219.23759016058796</v>
      </c>
      <c r="AX89" s="101">
        <f>+(EMD!AW57/AX2/24)</f>
        <v>203.18201097804391</v>
      </c>
      <c r="AY89" s="178">
        <f>+(EMD!AX57/AY2/24)</f>
        <v>244.27419354838707</v>
      </c>
      <c r="AZ89" s="178">
        <f>+(EMD!AY57/AZ2/24)</f>
        <v>207.74462365591398</v>
      </c>
      <c r="BA89" s="325">
        <f>+(EMD!AZ57/BA2/24)</f>
        <v>243.39488636363635</v>
      </c>
      <c r="BB89" s="325">
        <f>+(EMD!BA57/BB2/24)</f>
        <v>209.96805555555557</v>
      </c>
      <c r="BC89" s="449">
        <f>+(EMD!BB57/BC2/24)</f>
        <v>241.80257242757239</v>
      </c>
      <c r="BD89" s="449">
        <f>+(EMD!BC57/BD2/24)</f>
        <v>205.6133241758242</v>
      </c>
      <c r="BE89" s="49">
        <f>+(EMD!BD57/BE2/24)</f>
        <v>221.3639866127024</v>
      </c>
      <c r="BF89" s="101">
        <f>+(EMD!BE57/BF2/24)</f>
        <v>203.56952054794522</v>
      </c>
    </row>
    <row r="90" spans="1:58" x14ac:dyDescent="0.3">
      <c r="A90" s="135"/>
      <c r="B90" s="1582" t="s">
        <v>255</v>
      </c>
      <c r="C90" s="509" t="s">
        <v>1044</v>
      </c>
      <c r="D90" s="238">
        <v>0.72</v>
      </c>
      <c r="E90" s="238">
        <v>0.72</v>
      </c>
      <c r="F90" s="238">
        <v>0.66600000000000004</v>
      </c>
      <c r="G90" s="238">
        <v>0.72</v>
      </c>
      <c r="H90" s="238">
        <v>0.81200000000000006</v>
      </c>
      <c r="I90" s="347">
        <f>+((E90*E6)+(G90*G6))/I6</f>
        <v>0.72</v>
      </c>
      <c r="J90" s="180">
        <f>+((F90*F6)+(H90*H6))/J6</f>
        <v>0.71246091778535903</v>
      </c>
      <c r="K90" s="238">
        <v>0.68174999999999997</v>
      </c>
      <c r="L90" s="238">
        <v>0.67400000000000004</v>
      </c>
      <c r="M90" s="348">
        <f>+((E90*E6)+(G90*G6)+(K90*K6))/M6</f>
        <v>0.70510200927357036</v>
      </c>
      <c r="N90" s="183">
        <f>+((F90*F6)+(H90*H6)+(L90*L6))/N6</f>
        <v>0.69595282168421246</v>
      </c>
      <c r="O90" s="238">
        <v>0.68175000000000008</v>
      </c>
      <c r="P90" s="238">
        <v>0.68500000000000005</v>
      </c>
      <c r="Q90" s="347">
        <f>+((M90*M6)+(O90*O6))/Q6</f>
        <v>0.69850027716186258</v>
      </c>
      <c r="R90" s="180">
        <f>+((N90*N6)+(P90*P6))/R6</f>
        <v>0.69260540325708586</v>
      </c>
      <c r="S90" s="238">
        <v>0.68175000000000008</v>
      </c>
      <c r="T90" s="238">
        <v>0.69199999999999995</v>
      </c>
      <c r="U90" s="347">
        <f>+((Q90*Q6)+(S90*S6))/U6</f>
        <v>0.69480855661192742</v>
      </c>
      <c r="V90" s="180">
        <f>+((R90*R6)+(T90*T6))/V6</f>
        <v>0.69246979168352663</v>
      </c>
      <c r="W90" s="238">
        <v>0.72</v>
      </c>
      <c r="X90" s="238">
        <v>0.71199999999999997</v>
      </c>
      <c r="Y90" s="350">
        <f>+((O90*O6)+(S90*S6)+(W90*W6))/Y6</f>
        <v>0.68998846153846161</v>
      </c>
      <c r="Z90" s="350">
        <f>+((P90*P6)+(T90*T6)+(X90*X6))/Z6</f>
        <v>0.69590864260687779</v>
      </c>
      <c r="AA90" s="618">
        <f>(M90*M6+Y90*Y6)/AA6</f>
        <v>0.69752775636083264</v>
      </c>
      <c r="AB90" s="618">
        <f>(N90*N6+Z90*Z6)/AB6</f>
        <v>0.6959282324162378</v>
      </c>
      <c r="AC90" s="238">
        <v>0.68174999999999997</v>
      </c>
      <c r="AD90" s="238">
        <v>0.72899999999999998</v>
      </c>
      <c r="AE90" s="347">
        <f>+((AA90*AA6)+(AC90*AC6))/AE6</f>
        <v>0.69489306358381497</v>
      </c>
      <c r="AF90" s="180">
        <f>+((AB90*AB6)+(AD90*AD6))/AF6</f>
        <v>0.70018491141615313</v>
      </c>
      <c r="AG90" s="238">
        <v>0.68174999999999997</v>
      </c>
      <c r="AH90" s="238">
        <v>0.67700000000000005</v>
      </c>
      <c r="AI90" s="347">
        <f>+((AE90*AE6)+(AG90*AG6))/AI6</f>
        <v>0.69306218905472639</v>
      </c>
      <c r="AJ90" s="180">
        <f>+((AF90*AF6)+(AH90*AH6))/AJ6</f>
        <v>0.69707649020470963</v>
      </c>
      <c r="AK90" s="238">
        <v>0.68174999999999997</v>
      </c>
      <c r="AL90" s="238">
        <v>0.69199999999999995</v>
      </c>
      <c r="AM90" s="350">
        <f>+((AC90*AC6)+(AG90*AG6)+(AK90*AK6))/AM6</f>
        <v>0.68174999999999997</v>
      </c>
      <c r="AN90" s="350">
        <f>+((AD90*AD6)+(AH90*AH6)+(AL90*AL6))/AN6</f>
        <v>0.69750670207864551</v>
      </c>
      <c r="AO90" s="347">
        <f>+((AK90*AK6)+(AI90*AI6))/AO6</f>
        <v>0.69164064765587241</v>
      </c>
      <c r="AP90" s="180">
        <f>+((AL90*AL6)+(AJ90*AJ6))/AP6</f>
        <v>0.69646033304844157</v>
      </c>
      <c r="AQ90" s="238">
        <v>0.68174999999999986</v>
      </c>
      <c r="AR90" s="238">
        <v>0.69699999999999995</v>
      </c>
      <c r="AS90" s="347">
        <f>+((AO90*AO6)+(AQ90*AQ6))/AS6</f>
        <v>0.69052143163309043</v>
      </c>
      <c r="AT90" s="180">
        <f>+((AP90*AP6)+(AR90*AR6))/AT6</f>
        <v>0.69651735182468599</v>
      </c>
      <c r="AU90" s="238">
        <v>0.68175000000000008</v>
      </c>
      <c r="AV90" s="238">
        <v>0.73699999999999999</v>
      </c>
      <c r="AW90" s="347">
        <f>+((AS90*AS6)+(AU90*AU6))/AW6</f>
        <v>0.68971564811210584</v>
      </c>
      <c r="AX90" s="180">
        <f>+((AT90*AT6)+(AV90*AV6))/AX6</f>
        <v>0.6996827480430694</v>
      </c>
      <c r="AY90" s="238">
        <v>0.68174999999999986</v>
      </c>
      <c r="AZ90" s="238">
        <v>0.64600000000000002</v>
      </c>
      <c r="BA90" s="350">
        <f>+((AQ90*AQ6)+(AU90*AU6)+(AY90*AY6))/BA6</f>
        <v>0.68174999999999997</v>
      </c>
      <c r="BB90" s="350">
        <f>+((AR90*AR6)+(AV90*AV6)+(AZ90*AZ6))/BB6</f>
        <v>0.68981341958960241</v>
      </c>
      <c r="BC90" s="618">
        <f>(AM90*AM6+BA90*BA6)/BC6</f>
        <v>0.68174999999999997</v>
      </c>
      <c r="BD90" s="618">
        <f>(AN90*AN6+BB90*BB6)/BD6</f>
        <v>0.69367490858457626</v>
      </c>
      <c r="BE90" s="347">
        <f>+((AW90*AW6)+(AY90*AY6))/BE6</f>
        <v>0.68897334980585956</v>
      </c>
      <c r="BF90" s="180">
        <f>+((AX90*AX6)+(AZ90*AZ6))/BF6</f>
        <v>0.69479422142784886</v>
      </c>
    </row>
    <row r="91" spans="1:58" x14ac:dyDescent="0.3">
      <c r="A91" s="135"/>
      <c r="B91" s="1582" t="s">
        <v>229</v>
      </c>
      <c r="C91" s="509" t="s">
        <v>212</v>
      </c>
      <c r="D91" s="4056">
        <f>15.8025291778674*D2*24*1000</f>
        <v>138430155.59811842</v>
      </c>
      <c r="E91" s="1031">
        <f>+'POWER DISTRIBUTION'!I22</f>
        <v>9595039.9999999981</v>
      </c>
      <c r="F91" s="1031">
        <f>+'POWER DISTRIBUTION'!J22</f>
        <v>12014494.000000004</v>
      </c>
      <c r="G91" s="1031">
        <f>+'POWER DISTRIBUTION'!K22</f>
        <v>8626310</v>
      </c>
      <c r="H91" s="1031">
        <f>+'POWER DISTRIBUTION'!L22</f>
        <v>8376050.0000000047</v>
      </c>
      <c r="I91" s="57">
        <f>+'POWER DISTRIBUTION'!M22</f>
        <v>18221350</v>
      </c>
      <c r="J91" s="84">
        <f>+'POWER DISTRIBUTION'!N22</f>
        <v>20390544.000000007</v>
      </c>
      <c r="K91" s="1031">
        <f>+'POWER DISTRIBUTION'!O22</f>
        <v>11845370.205535013</v>
      </c>
      <c r="L91" s="1031">
        <f>+'POWER DISTRIBUTION'!P22</f>
        <v>12313432.000000006</v>
      </c>
      <c r="M91" s="717">
        <f>E91+G91+K91</f>
        <v>30066720.205535013</v>
      </c>
      <c r="N91" s="717">
        <f>F91+H91+L91</f>
        <v>32703976.000000015</v>
      </c>
      <c r="O91" s="1031">
        <f>+'POWER DISTRIBUTION'!S22</f>
        <v>11986386.517505666</v>
      </c>
      <c r="P91" s="1031">
        <f>+'POWER DISTRIBUTION'!T22</f>
        <v>12668533.999999953</v>
      </c>
      <c r="Q91" s="57">
        <f>+'POWER DISTRIBUTION'!U22</f>
        <v>42053106.723040678</v>
      </c>
      <c r="R91" s="84">
        <f>+'POWER DISTRIBUTION'!V22</f>
        <v>45372509.99999997</v>
      </c>
      <c r="S91" s="1031">
        <f>+'POWER DISTRIBUTION'!W22</f>
        <v>11986386.517505666</v>
      </c>
      <c r="T91" s="1031">
        <f>+'POWER DISTRIBUTION'!X22</f>
        <v>12400062.000000037</v>
      </c>
      <c r="U91" s="57">
        <f>+'POWER DISTRIBUTION'!Y22</f>
        <v>54039493.240546346</v>
      </c>
      <c r="V91" s="84">
        <f>+'POWER DISTRIBUTION'!Z22</f>
        <v>57772572.000000007</v>
      </c>
      <c r="W91" s="1031">
        <f>+'POWER DISTRIBUTION'!AA22</f>
        <v>8474361.2252972294</v>
      </c>
      <c r="X91" s="1031">
        <f>+'POWER DISTRIBUTION'!AB22</f>
        <v>12240051.999999998</v>
      </c>
      <c r="Y91" s="717">
        <f>O91+S91+W91</f>
        <v>32447134.260308564</v>
      </c>
      <c r="Z91" s="488">
        <f>P91+T91+X91</f>
        <v>37308647.999999993</v>
      </c>
      <c r="AA91" s="429">
        <f>M91+Y91</f>
        <v>62513854.465843573</v>
      </c>
      <c r="AB91" s="610">
        <f>N91+Z91</f>
        <v>70012624</v>
      </c>
      <c r="AC91" s="1031">
        <f>+'POWER DISTRIBUTION'!AG22</f>
        <v>12221413.704123424</v>
      </c>
      <c r="AD91" s="1031">
        <f>+'POWER DISTRIBUTION'!AH22</f>
        <v>11183425.999999981</v>
      </c>
      <c r="AE91" s="57">
        <f>+'POWER DISTRIBUTION'!AI22</f>
        <v>74735268.169966996</v>
      </c>
      <c r="AF91" s="84">
        <f>+'POWER DISTRIBUTION'!AJ22</f>
        <v>81196049.999999985</v>
      </c>
      <c r="AG91" s="1031">
        <f>+'POWER DISTRIBUTION'!AK22</f>
        <v>11845370.205535013</v>
      </c>
      <c r="AH91" s="1031">
        <f>+'POWER DISTRIBUTION'!AL22</f>
        <v>12323946.00000003</v>
      </c>
      <c r="AI91" s="57">
        <f>+'POWER DISTRIBUTION'!AM22</f>
        <v>86580638.375502005</v>
      </c>
      <c r="AJ91" s="84">
        <f>+'POWER DISTRIBUTION'!AN22</f>
        <v>93519996.000000015</v>
      </c>
      <c r="AK91" s="1031">
        <f>+'POWER DISTRIBUTION'!AO22</f>
        <v>12221413.704123424</v>
      </c>
      <c r="AL91" s="1031">
        <f>+'POWER DISTRIBUTION'!AP22</f>
        <v>12037367.999999981</v>
      </c>
      <c r="AM91" s="725">
        <f>+'POWER DISTRIBUTION'!AQ22</f>
        <v>36288197.613781862</v>
      </c>
      <c r="AN91" s="65">
        <f>+'POWER DISTRIBUTION'!AR22</f>
        <v>35544739.999999993</v>
      </c>
      <c r="AO91" s="57">
        <f>+'POWER DISTRIBUTION'!AS22</f>
        <v>98802052.079625428</v>
      </c>
      <c r="AP91" s="35">
        <f>+'POWER DISTRIBUTION'!AT22</f>
        <v>105557364</v>
      </c>
      <c r="AQ91" s="1031">
        <f>+'POWER DISTRIBUTION'!AU22</f>
        <v>12409435.453417631</v>
      </c>
      <c r="AR91" s="1031">
        <f>+'POWER DISTRIBUTION'!AV22</f>
        <v>11958026.000000011</v>
      </c>
      <c r="AS91" s="57">
        <f>+'POWER DISTRIBUTION'!AW22</f>
        <v>111211487.53304306</v>
      </c>
      <c r="AT91" s="84">
        <f>+'POWER DISTRIBUTION'!AX22</f>
        <v>117515390.00000001</v>
      </c>
      <c r="AU91" s="1031">
        <f>+'POWER DISTRIBUTION'!AY22</f>
        <v>11093283.208358185</v>
      </c>
      <c r="AV91" s="1031">
        <f>+'POWER DISTRIBUTION'!AZ22</f>
        <v>10781632.000000009</v>
      </c>
      <c r="AW91" s="57">
        <f>+'POWER DISTRIBUTION'!BA22</f>
        <v>122304770.74140124</v>
      </c>
      <c r="AX91" s="84">
        <f>+'POWER DISTRIBUTION'!BB22</f>
        <v>128297022.00000003</v>
      </c>
      <c r="AY91" s="1031">
        <f>+'POWER DISTRIBUTION'!BC22</f>
        <v>12409435.453417631</v>
      </c>
      <c r="AZ91" s="1031">
        <f>+'POWER DISTRIBUTION'!BD22</f>
        <v>11861079.99999998</v>
      </c>
      <c r="BA91" s="725">
        <f>+'POWER DISTRIBUTION'!BE22</f>
        <v>35912154.115193449</v>
      </c>
      <c r="BB91" s="65">
        <f>+'POWER DISTRIBUTION'!BF22</f>
        <v>34600738</v>
      </c>
      <c r="BC91" s="768">
        <f>+'POWER DISTRIBUTION'!BG22</f>
        <v>72200351.728975311</v>
      </c>
      <c r="BD91" s="418">
        <f>+'POWER DISTRIBUTION'!BH22</f>
        <v>70145478</v>
      </c>
      <c r="BE91" s="57">
        <f>+'POWER DISTRIBUTION'!BI22</f>
        <v>134714206.19481888</v>
      </c>
      <c r="BF91" s="35">
        <f>+'POWER DISTRIBUTION'!BJ22</f>
        <v>140158102</v>
      </c>
    </row>
    <row r="92" spans="1:58" x14ac:dyDescent="0.3">
      <c r="A92" s="135"/>
      <c r="B92" s="1583" t="s">
        <v>230</v>
      </c>
      <c r="C92" s="509" t="s">
        <v>254</v>
      </c>
      <c r="D92" s="178">
        <f t="shared" ref="D92:AI92" si="411">+D91/D6</f>
        <v>46.143385199372808</v>
      </c>
      <c r="E92" s="96">
        <f t="shared" si="411"/>
        <v>46.129999999999988</v>
      </c>
      <c r="F92" s="178">
        <f t="shared" si="411"/>
        <v>50.677645387486258</v>
      </c>
      <c r="G92" s="96">
        <f t="shared" ref="G92:H92" si="412">+G91/G6</f>
        <v>46.13</v>
      </c>
      <c r="H92" s="178">
        <f t="shared" si="412"/>
        <v>75.693058167454581</v>
      </c>
      <c r="I92" s="240">
        <f t="shared" si="411"/>
        <v>46.13</v>
      </c>
      <c r="J92" s="240">
        <f t="shared" si="411"/>
        <v>58.638186733629574</v>
      </c>
      <c r="K92" s="96">
        <f t="shared" si="411"/>
        <v>47.005437323551639</v>
      </c>
      <c r="L92" s="178">
        <f t="shared" si="411"/>
        <v>47.089512826308045</v>
      </c>
      <c r="M92" s="322">
        <f t="shared" si="411"/>
        <v>46.470974042557984</v>
      </c>
      <c r="N92" s="322">
        <f t="shared" si="411"/>
        <v>53.681294655109269</v>
      </c>
      <c r="O92" s="96">
        <f t="shared" si="411"/>
        <v>47.005437323551632</v>
      </c>
      <c r="P92" s="178">
        <f t="shared" si="411"/>
        <v>47.245563269950139</v>
      </c>
      <c r="Q92" s="240">
        <f t="shared" si="411"/>
        <v>46.622069537739108</v>
      </c>
      <c r="R92" s="240">
        <f t="shared" si="411"/>
        <v>51.714396402600421</v>
      </c>
      <c r="S92" s="96">
        <f t="shared" si="411"/>
        <v>47.005437323551632</v>
      </c>
      <c r="T92" s="178">
        <f t="shared" si="411"/>
        <v>48.961090342236453</v>
      </c>
      <c r="U92" s="240">
        <f t="shared" si="411"/>
        <v>46.706562869962269</v>
      </c>
      <c r="V92" s="240">
        <f t="shared" si="411"/>
        <v>51.097650187634208</v>
      </c>
      <c r="W92" s="96">
        <f t="shared" si="411"/>
        <v>60.531151609265926</v>
      </c>
      <c r="X92" s="178">
        <f t="shared" si="411"/>
        <v>50.309012755582252</v>
      </c>
      <c r="Y92" s="322">
        <f t="shared" si="411"/>
        <v>49.918668092782404</v>
      </c>
      <c r="Z92" s="325">
        <f t="shared" si="411"/>
        <v>48.788396754662877</v>
      </c>
      <c r="AA92" s="430">
        <f t="shared" si="411"/>
        <v>48.198808377674304</v>
      </c>
      <c r="AB92" s="449">
        <f t="shared" si="411"/>
        <v>50.957997001444248</v>
      </c>
      <c r="AC92" s="96">
        <f t="shared" si="411"/>
        <v>47.005437323551632</v>
      </c>
      <c r="AD92" s="178">
        <f t="shared" si="411"/>
        <v>55.101055812883203</v>
      </c>
      <c r="AE92" s="240">
        <f t="shared" si="411"/>
        <v>47.999529974288372</v>
      </c>
      <c r="AF92" s="240">
        <f t="shared" si="411"/>
        <v>51.491251578581675</v>
      </c>
      <c r="AG92" s="96">
        <f t="shared" si="411"/>
        <v>47.005437323551639</v>
      </c>
      <c r="AH92" s="178">
        <f t="shared" si="411"/>
        <v>50.477316646201082</v>
      </c>
      <c r="AI92" s="240">
        <f t="shared" si="411"/>
        <v>47.861049406026538</v>
      </c>
      <c r="AJ92" s="240">
        <f t="shared" ref="AJ92:BF92" si="413">+AJ91/AJ6</f>
        <v>51.355312441516887</v>
      </c>
      <c r="AK92" s="96">
        <f t="shared" si="413"/>
        <v>47.005437323551632</v>
      </c>
      <c r="AL92" s="178">
        <f t="shared" si="413"/>
        <v>47.850692277419725</v>
      </c>
      <c r="AM92" s="322">
        <f t="shared" si="413"/>
        <v>47.005437323551632</v>
      </c>
      <c r="AN92" s="325">
        <f t="shared" si="413"/>
        <v>50.874767576684484</v>
      </c>
      <c r="AO92" s="240">
        <f t="shared" si="413"/>
        <v>47.753529279664299</v>
      </c>
      <c r="AP92" s="240">
        <f t="shared" si="413"/>
        <v>50.929940440974747</v>
      </c>
      <c r="AQ92" s="96">
        <f t="shared" si="413"/>
        <v>47.005437323551632</v>
      </c>
      <c r="AR92" s="178">
        <f t="shared" si="413"/>
        <v>48.837891063722779</v>
      </c>
      <c r="AS92" s="240">
        <f t="shared" si="413"/>
        <v>47.66887592500774</v>
      </c>
      <c r="AT92" s="240">
        <f t="shared" si="413"/>
        <v>50.708903938758915</v>
      </c>
      <c r="AU92" s="96">
        <f t="shared" si="413"/>
        <v>47.005437323551632</v>
      </c>
      <c r="AV92" s="178">
        <f t="shared" si="413"/>
        <v>54.847338399076641</v>
      </c>
      <c r="AW92" s="240">
        <f t="shared" si="413"/>
        <v>47.607929443908617</v>
      </c>
      <c r="AX92" s="240">
        <f t="shared" si="413"/>
        <v>51.032494054059356</v>
      </c>
      <c r="AY92" s="96">
        <f t="shared" si="413"/>
        <v>47.005437323551632</v>
      </c>
      <c r="AZ92" s="178">
        <f t="shared" si="413"/>
        <v>47.091753460194127</v>
      </c>
      <c r="BA92" s="322">
        <f t="shared" si="413"/>
        <v>47.005437323551632</v>
      </c>
      <c r="BB92" s="325">
        <f t="shared" si="413"/>
        <v>49.907425143343758</v>
      </c>
      <c r="BC92" s="430">
        <f t="shared" si="413"/>
        <v>47.005437323551632</v>
      </c>
      <c r="BD92" s="449">
        <f t="shared" si="413"/>
        <v>50.392963295106213</v>
      </c>
      <c r="BE92" s="240">
        <f t="shared" si="413"/>
        <v>47.551784749318351</v>
      </c>
      <c r="BF92" s="240">
        <f t="shared" si="413"/>
        <v>50.673637326729853</v>
      </c>
    </row>
    <row r="93" spans="1:58" x14ac:dyDescent="0.3">
      <c r="A93" s="135"/>
      <c r="B93" s="1584" t="s">
        <v>761</v>
      </c>
      <c r="C93" s="1032" t="s">
        <v>49</v>
      </c>
      <c r="D93" s="4495">
        <v>5</v>
      </c>
      <c r="E93" s="4495">
        <v>5</v>
      </c>
      <c r="F93" s="1046">
        <v>4.2873020584015293</v>
      </c>
      <c r="G93" s="4495">
        <v>5</v>
      </c>
      <c r="H93" s="1046">
        <v>3.3433132609237246</v>
      </c>
      <c r="I93" s="615">
        <v>5</v>
      </c>
      <c r="J93" s="4416">
        <f>AVERAGE(F93,H93)</f>
        <v>3.815307659662627</v>
      </c>
      <c r="K93" s="334">
        <v>4.5999999999999996</v>
      </c>
      <c r="L93" s="1046">
        <v>4.570565078735414</v>
      </c>
      <c r="M93" s="614">
        <v>4.5999999999999996</v>
      </c>
      <c r="N93" s="1541">
        <f>AVERAGE(F93,H93,L93)</f>
        <v>4.0670601326868896</v>
      </c>
      <c r="O93" s="334">
        <v>4.5999999999999996</v>
      </c>
      <c r="P93" s="4495">
        <v>4.5550290656529127</v>
      </c>
      <c r="Q93" s="615">
        <v>4.5999999999999996</v>
      </c>
      <c r="R93" s="1538">
        <f>AVERAGE(F93,H93,L93,P93)</f>
        <v>4.1890523659283954</v>
      </c>
      <c r="S93" s="334">
        <v>4.5999999999999996</v>
      </c>
      <c r="T93" s="4495">
        <v>4.3585052447744994</v>
      </c>
      <c r="U93" s="615">
        <v>4.5999999999999996</v>
      </c>
      <c r="V93" s="1538">
        <f>AVERAGE(F93,H93,L93,P93,T93)</f>
        <v>4.2229429416976156</v>
      </c>
      <c r="W93" s="334">
        <v>4.5999999999999996</v>
      </c>
      <c r="X93" s="4495">
        <v>4.289585084407352</v>
      </c>
      <c r="Y93" s="614">
        <v>4.5999999999999996</v>
      </c>
      <c r="Z93" s="1541">
        <f>AVERAGE(P93,T93,X93)</f>
        <v>4.401039798278255</v>
      </c>
      <c r="AA93" s="611">
        <v>4.5999999999999996</v>
      </c>
      <c r="AB93" s="1952">
        <f>AVERAGE(F93,H93,L93,P93,T93,X93)</f>
        <v>4.2340499654825718</v>
      </c>
      <c r="AC93" s="334">
        <v>4.5999999999999996</v>
      </c>
      <c r="AD93" s="4495">
        <v>3.9089146542358315</v>
      </c>
      <c r="AE93" s="615">
        <v>4.5999999999999996</v>
      </c>
      <c r="AF93" s="4416">
        <f>AVERAGE(F93,H93,L93,P93,T93,X93,AD93)</f>
        <v>4.1876020638758948</v>
      </c>
      <c r="AG93" s="334">
        <v>4.5999999999999996</v>
      </c>
      <c r="AH93" s="4495">
        <v>4.4688035481815245</v>
      </c>
      <c r="AI93" s="615">
        <v>4.5999999999999996</v>
      </c>
      <c r="AJ93" s="4416">
        <f>AVERAGE(F93,H93,L93,P93,T93,X93,AD93,AH93)</f>
        <v>4.222752249414099</v>
      </c>
      <c r="AK93" s="334">
        <v>4.5999999999999996</v>
      </c>
      <c r="AL93" s="1046">
        <v>4.6483957855321032</v>
      </c>
      <c r="AM93" s="614">
        <v>4.5999999999999996</v>
      </c>
      <c r="AN93" s="1541">
        <f>AVERAGE(AD93,AL93)</f>
        <v>4.2786552198839676</v>
      </c>
      <c r="AO93" s="615">
        <v>4.5999999999999996</v>
      </c>
      <c r="AP93" s="1538">
        <f>AVERAGE(F93,H93,L93,P93,T93,X93,AD93,AL93,AH93)</f>
        <v>4.2700459756494329</v>
      </c>
      <c r="AQ93" s="334">
        <v>4.5999999999999996</v>
      </c>
      <c r="AR93" s="1046">
        <v>3.9051862052866602</v>
      </c>
      <c r="AS93" s="615">
        <v>4.5999999999999996</v>
      </c>
      <c r="AT93" s="1538">
        <f>AVERAGE(F93,H93,L93,P93,T93,X93,AD93,AL93,AR93,AH93)</f>
        <v>4.2335599986131554</v>
      </c>
      <c r="AU93" s="334">
        <v>4.5999999999999996</v>
      </c>
      <c r="AV93" s="1046">
        <v>2.021938028312273</v>
      </c>
      <c r="AW93" s="615">
        <v>4.5999999999999996</v>
      </c>
      <c r="AX93" s="1538">
        <f>AVERAGE(F93,H93,L93,P93,T93,X93,AD93,AL93,AR93,AV93,AH93)</f>
        <v>4.0325034558585298</v>
      </c>
      <c r="AY93" s="334">
        <v>4.5999999999999996</v>
      </c>
      <c r="AZ93" s="1046">
        <v>4.5015092912411649</v>
      </c>
      <c r="BA93" s="614">
        <v>4.5999999999999996</v>
      </c>
      <c r="BB93" s="1541">
        <f>AVERAGE(AR93,AV93,AZ93)</f>
        <v>3.4762111749466995</v>
      </c>
      <c r="BC93" s="611">
        <v>4.5999999999999996</v>
      </c>
      <c r="BD93" s="1952">
        <f>AVERAGE(AD93,AL93,AR93,AV93,AZ93,AH93)</f>
        <v>3.9091245854649266</v>
      </c>
      <c r="BE93" s="615">
        <v>4.5999999999999996</v>
      </c>
      <c r="BF93" s="1538">
        <f>AVERAGE(F93,H93,L93,P93,T93,X93,AD93,AL93,AR93,AV93,AZ93,AH93)</f>
        <v>4.0715872754737488</v>
      </c>
    </row>
    <row r="94" spans="1:58" hidden="1" x14ac:dyDescent="0.3">
      <c r="A94" s="135"/>
      <c r="B94" s="770" t="s">
        <v>778</v>
      </c>
      <c r="C94" s="1527"/>
      <c r="D94" s="770"/>
      <c r="E94" s="770"/>
      <c r="F94" s="365">
        <f>+SMS!F68</f>
        <v>0</v>
      </c>
      <c r="G94" s="770"/>
      <c r="H94" s="365">
        <f>+SMS!H68</f>
        <v>0</v>
      </c>
      <c r="I94" s="602"/>
      <c r="J94" s="718">
        <f>+F94+H94</f>
        <v>0</v>
      </c>
      <c r="K94" s="770"/>
      <c r="L94" s="365">
        <f>+SMS!L68</f>
        <v>0</v>
      </c>
      <c r="M94" s="601"/>
      <c r="N94" s="717">
        <f>+L94+H94+F94</f>
        <v>0</v>
      </c>
      <c r="O94" s="770"/>
      <c r="P94" s="365">
        <f>+SMS!P68</f>
        <v>0</v>
      </c>
      <c r="Q94" s="602"/>
      <c r="R94" s="718">
        <f>+N94+P94</f>
        <v>0</v>
      </c>
      <c r="S94" s="770"/>
      <c r="T94" s="365">
        <f>+SMS!T68</f>
        <v>0</v>
      </c>
      <c r="U94" s="602"/>
      <c r="V94" s="718">
        <f>+R94+T94</f>
        <v>0</v>
      </c>
      <c r="W94" s="770"/>
      <c r="X94" s="365">
        <f>+SMS!X68</f>
        <v>0</v>
      </c>
      <c r="Y94" s="601"/>
      <c r="Z94" s="65">
        <f>+X94+T94+P94</f>
        <v>0</v>
      </c>
      <c r="AA94" s="771"/>
      <c r="AB94" s="441">
        <f>+N94+Z94</f>
        <v>0</v>
      </c>
      <c r="AC94" s="770"/>
      <c r="AD94" s="365">
        <f>+SMS!AD68</f>
        <v>0</v>
      </c>
      <c r="AE94" s="602"/>
      <c r="AF94" s="718">
        <f>+AB94+AD94</f>
        <v>0</v>
      </c>
      <c r="AG94" s="770"/>
      <c r="AH94" s="365">
        <f>+SMS!AH68</f>
        <v>0</v>
      </c>
      <c r="AI94" s="602"/>
      <c r="AJ94" s="718">
        <f>+AF94+AH94</f>
        <v>0</v>
      </c>
      <c r="AK94" s="770"/>
      <c r="AL94" s="365">
        <f>+SMS!AL68</f>
        <v>0</v>
      </c>
      <c r="AM94" s="601"/>
      <c r="AN94" s="65">
        <f>+AL94+AH94+AD94</f>
        <v>0</v>
      </c>
      <c r="AO94" s="602"/>
      <c r="AP94" s="718">
        <f>+AL94+AJ94</f>
        <v>0</v>
      </c>
      <c r="AQ94" s="770"/>
      <c r="AR94" s="365">
        <f>+SMS!AR68</f>
        <v>0</v>
      </c>
      <c r="AS94" s="602"/>
      <c r="AT94" s="718">
        <f>+AP94+AR94</f>
        <v>0</v>
      </c>
      <c r="AU94" s="770"/>
      <c r="AV94" s="365">
        <f>+SMS!AV68</f>
        <v>0</v>
      </c>
      <c r="AW94" s="602"/>
      <c r="AX94" s="718">
        <f>+AT94+AV94</f>
        <v>0</v>
      </c>
      <c r="AY94" s="770"/>
      <c r="AZ94" s="365">
        <f>+SMS!AZ68</f>
        <v>0</v>
      </c>
      <c r="BA94" s="601"/>
      <c r="BB94" s="65">
        <f>+AZ94+AV94+AR94</f>
        <v>0</v>
      </c>
      <c r="BC94" s="771"/>
      <c r="BD94" s="441">
        <f>+AN94+BB94</f>
        <v>0</v>
      </c>
      <c r="BE94" s="602"/>
      <c r="BF94" s="718">
        <f>+AX94+AZ94</f>
        <v>0</v>
      </c>
    </row>
    <row r="95" spans="1:58" x14ac:dyDescent="0.3">
      <c r="A95" s="135"/>
      <c r="B95" s="88"/>
      <c r="C95" s="316"/>
      <c r="D95" s="827"/>
      <c r="E95" s="827"/>
      <c r="F95" s="171"/>
      <c r="G95" s="827"/>
      <c r="H95" s="171"/>
      <c r="I95" s="316"/>
      <c r="J95" s="316"/>
      <c r="K95" s="827"/>
      <c r="L95" s="171"/>
      <c r="M95" s="316"/>
      <c r="N95" s="316"/>
      <c r="O95" s="827"/>
      <c r="P95" s="171"/>
      <c r="Q95" s="316"/>
      <c r="R95" s="316"/>
      <c r="S95" s="827"/>
      <c r="T95" s="243"/>
      <c r="U95" s="316"/>
      <c r="V95" s="316"/>
      <c r="W95" s="827"/>
      <c r="X95" s="171"/>
      <c r="Y95" s="316"/>
      <c r="Z95" s="316"/>
      <c r="AC95" s="827"/>
      <c r="AD95" s="171"/>
      <c r="AE95" s="316"/>
      <c r="AF95" s="316"/>
      <c r="AG95" s="827"/>
      <c r="AH95" s="243"/>
      <c r="AI95" s="316"/>
      <c r="AJ95" s="316"/>
      <c r="AK95" s="827"/>
      <c r="AL95" s="171"/>
      <c r="AM95" s="316"/>
      <c r="AN95" s="316"/>
      <c r="AO95" s="316"/>
      <c r="AP95" s="316"/>
      <c r="AQ95" s="827"/>
      <c r="AR95" s="171"/>
      <c r="AS95" s="316"/>
      <c r="AT95" s="316"/>
      <c r="AU95" s="827"/>
      <c r="AV95" s="171"/>
      <c r="AW95" s="316"/>
      <c r="AX95" s="316"/>
      <c r="AY95" s="827"/>
      <c r="AZ95" s="171"/>
      <c r="BA95" s="316"/>
      <c r="BB95" s="316"/>
      <c r="BE95" s="316"/>
      <c r="BF95" s="316"/>
    </row>
    <row r="96" spans="1:58" ht="15" customHeight="1" x14ac:dyDescent="0.3">
      <c r="A96" s="135"/>
      <c r="B96" s="772" t="s">
        <v>2259</v>
      </c>
      <c r="C96" s="827"/>
      <c r="D96" s="827"/>
      <c r="E96" s="827"/>
      <c r="F96" s="5240">
        <f>+F49-'Maj Techno Summ'!F14</f>
        <v>-1.0627618490133273E-5</v>
      </c>
      <c r="G96" s="827"/>
      <c r="H96" s="5240">
        <f>+H49-'Maj Techno Summ'!H14</f>
        <v>0</v>
      </c>
      <c r="I96" s="316"/>
      <c r="J96" s="316"/>
      <c r="K96" s="827"/>
      <c r="L96" s="171"/>
      <c r="M96" s="316"/>
      <c r="N96" s="316"/>
      <c r="O96" s="827"/>
      <c r="P96" s="171"/>
      <c r="Q96" s="316"/>
      <c r="R96" s="316"/>
      <c r="S96" s="827"/>
      <c r="T96" s="243"/>
      <c r="U96" s="316"/>
      <c r="V96" s="316"/>
      <c r="W96" s="827"/>
      <c r="X96" s="171"/>
      <c r="Y96" s="316"/>
      <c r="Z96" s="316"/>
      <c r="AC96" s="827"/>
      <c r="AD96" s="171"/>
      <c r="AE96" s="316"/>
      <c r="AF96" s="316"/>
      <c r="AG96" s="827"/>
      <c r="AH96" s="243"/>
      <c r="AI96" s="316"/>
      <c r="AJ96" s="316"/>
      <c r="AK96" s="827"/>
      <c r="AL96" s="171"/>
      <c r="AM96" s="316"/>
      <c r="AN96" s="316"/>
      <c r="AO96" s="316"/>
      <c r="AP96" s="316"/>
      <c r="AQ96" s="827"/>
      <c r="AR96" s="171"/>
      <c r="AS96" s="316"/>
      <c r="AT96" s="316"/>
      <c r="AU96" s="827"/>
      <c r="AV96" s="171"/>
      <c r="AW96" s="316"/>
      <c r="AX96" s="316"/>
      <c r="AY96" s="827"/>
      <c r="AZ96" s="171"/>
      <c r="BA96" s="316"/>
      <c r="BB96" s="316"/>
      <c r="BE96" s="316"/>
      <c r="BF96" s="316"/>
    </row>
    <row r="97" spans="1:60" ht="18.600000000000001" thickBot="1" x14ac:dyDescent="0.4">
      <c r="A97" s="135"/>
      <c r="B97" s="2852" t="s">
        <v>878</v>
      </c>
      <c r="C97" s="316"/>
      <c r="D97" s="2853"/>
      <c r="E97" s="2853"/>
      <c r="F97" s="2505"/>
      <c r="G97" s="2853"/>
      <c r="H97" s="2505"/>
      <c r="I97" s="316"/>
      <c r="J97" s="316"/>
      <c r="K97" s="2853"/>
      <c r="L97" s="2505"/>
      <c r="M97" s="316"/>
      <c r="N97" s="316"/>
      <c r="O97" s="2853"/>
      <c r="P97" s="2505"/>
      <c r="Q97" s="316"/>
      <c r="R97" s="316"/>
      <c r="S97" s="2853"/>
      <c r="T97" s="4973"/>
      <c r="U97" s="316"/>
      <c r="V97" s="316"/>
      <c r="W97" s="2853"/>
      <c r="X97" s="2505"/>
      <c r="Y97" s="316"/>
      <c r="Z97" s="316"/>
      <c r="AC97" s="2853"/>
      <c r="AD97" s="2505"/>
      <c r="AE97" s="316"/>
      <c r="AF97" s="316"/>
      <c r="AG97" s="2853"/>
      <c r="AH97" s="4973"/>
      <c r="AI97" s="316"/>
      <c r="AJ97" s="316"/>
      <c r="AK97" s="2853"/>
      <c r="AL97" s="2505"/>
      <c r="AM97" s="316"/>
      <c r="AN97" s="316"/>
      <c r="AO97" s="316"/>
      <c r="AP97" s="316"/>
      <c r="AQ97" s="2853"/>
      <c r="AR97" s="2505"/>
      <c r="AS97" s="316"/>
      <c r="AT97" s="316"/>
      <c r="AU97" s="2853"/>
      <c r="AV97" s="2505"/>
      <c r="AW97" s="316"/>
      <c r="AX97" s="316"/>
      <c r="AY97" s="2853"/>
      <c r="AZ97" s="2505"/>
      <c r="BA97" s="316"/>
      <c r="BB97" s="316"/>
      <c r="BE97" s="316"/>
      <c r="BF97" s="316"/>
    </row>
    <row r="98" spans="1:60" ht="18" x14ac:dyDescent="0.35">
      <c r="A98" s="603"/>
      <c r="B98" s="838" t="s">
        <v>238</v>
      </c>
      <c r="C98" s="2854" t="s">
        <v>50</v>
      </c>
      <c r="D98" s="548"/>
      <c r="E98" s="548"/>
      <c r="F98" s="2302">
        <v>51024.1</v>
      </c>
      <c r="G98" s="548"/>
      <c r="H98" s="2302">
        <v>24465.599999999999</v>
      </c>
      <c r="I98" s="2301"/>
      <c r="J98" s="3979">
        <f>+F98+H98</f>
        <v>75489.7</v>
      </c>
      <c r="K98" s="548"/>
      <c r="L98" s="2302">
        <v>62108.3</v>
      </c>
      <c r="M98" s="605"/>
      <c r="N98" s="605">
        <f>+F98+H98+L98</f>
        <v>137598</v>
      </c>
      <c r="O98" s="548"/>
      <c r="P98" s="2302">
        <v>73148.350000000006</v>
      </c>
      <c r="Q98" s="604"/>
      <c r="R98" s="604">
        <f>+N98+P98</f>
        <v>210746.35</v>
      </c>
      <c r="S98" s="548"/>
      <c r="T98" s="2302">
        <v>49554.400000000001</v>
      </c>
      <c r="U98" s="604"/>
      <c r="V98" s="604">
        <f>+R98+T98</f>
        <v>260300.75</v>
      </c>
      <c r="W98" s="548"/>
      <c r="X98" s="2302">
        <v>44799.8</v>
      </c>
      <c r="Y98" s="605"/>
      <c r="Z98" s="605">
        <f>+P98+T98+X98</f>
        <v>167502.54999999999</v>
      </c>
      <c r="AA98" s="606"/>
      <c r="AB98" s="606">
        <f>+N98+Z98</f>
        <v>305100.55</v>
      </c>
      <c r="AC98" s="548"/>
      <c r="AD98" s="2302">
        <v>44690.3</v>
      </c>
      <c r="AE98" s="604"/>
      <c r="AF98" s="604">
        <f>+AB98+AD98</f>
        <v>349790.85</v>
      </c>
      <c r="AG98" s="548"/>
      <c r="AH98" s="2302">
        <v>49589.9</v>
      </c>
      <c r="AI98" s="604"/>
      <c r="AJ98" s="604">
        <f>+AF98+AH98</f>
        <v>399380.75</v>
      </c>
      <c r="AK98" s="548"/>
      <c r="AL98" s="2302">
        <v>66070.5</v>
      </c>
      <c r="AM98" s="605"/>
      <c r="AN98" s="605">
        <f>+AD98+AH98+AL98</f>
        <v>160350.70000000001</v>
      </c>
      <c r="AO98" s="604"/>
      <c r="AP98" s="604">
        <f>+AL98+AJ98</f>
        <v>465451.25</v>
      </c>
      <c r="AQ98" s="548"/>
      <c r="AR98" s="2302">
        <v>69909.899999999994</v>
      </c>
      <c r="AS98" s="604"/>
      <c r="AT98" s="604">
        <f>+AP98+AR98</f>
        <v>535361.15</v>
      </c>
      <c r="AU98" s="548"/>
      <c r="AV98" s="2302">
        <v>43733.599999999999</v>
      </c>
      <c r="AW98" s="604"/>
      <c r="AX98" s="604">
        <f>+AT98+AV98</f>
        <v>579094.75</v>
      </c>
      <c r="AY98" s="548"/>
      <c r="AZ98" s="2302">
        <v>50059</v>
      </c>
      <c r="BA98" s="605"/>
      <c r="BB98" s="605">
        <f>+AR98+AV98+AZ98</f>
        <v>163702.5</v>
      </c>
      <c r="BC98" s="606"/>
      <c r="BD98" s="606">
        <f t="shared" ref="BD98:BD107" si="414">+AN98+BB98</f>
        <v>324053.2</v>
      </c>
      <c r="BE98" s="604"/>
      <c r="BF98" s="604">
        <f>+AX98+AZ98</f>
        <v>629153.75</v>
      </c>
      <c r="BH98" s="1507"/>
    </row>
    <row r="99" spans="1:60" ht="18" x14ac:dyDescent="0.35">
      <c r="A99" s="603"/>
      <c r="B99" s="840" t="s">
        <v>25</v>
      </c>
      <c r="C99" s="2856" t="s">
        <v>50</v>
      </c>
      <c r="D99" s="2857"/>
      <c r="E99" s="2857"/>
      <c r="F99" s="2358">
        <v>93845.146996904004</v>
      </c>
      <c r="G99" s="2857"/>
      <c r="H99" s="2358">
        <v>47428.210959752309</v>
      </c>
      <c r="I99" s="2526"/>
      <c r="J99" s="3979">
        <f t="shared" ref="J99:J107" si="415">+F99+H99</f>
        <v>141273.35795665631</v>
      </c>
      <c r="K99" s="2857"/>
      <c r="L99" s="2358">
        <v>94019.513828689378</v>
      </c>
      <c r="M99" s="605"/>
      <c r="N99" s="605">
        <f t="shared" ref="N99:N107" si="416">+F99+H99+L99</f>
        <v>235292.87178534569</v>
      </c>
      <c r="O99" s="2857"/>
      <c r="P99" s="2358">
        <v>100330.49597523219</v>
      </c>
      <c r="Q99" s="1027"/>
      <c r="R99" s="604">
        <f t="shared" ref="R99:R107" si="417">+N99+P99</f>
        <v>335623.36776057788</v>
      </c>
      <c r="S99" s="2857"/>
      <c r="T99" s="2358">
        <v>95643.7266460268</v>
      </c>
      <c r="U99" s="1027"/>
      <c r="V99" s="604">
        <f t="shared" ref="V99:V107" si="418">+R99+T99</f>
        <v>431267.09440660465</v>
      </c>
      <c r="W99" s="2857"/>
      <c r="X99" s="2358">
        <v>98019.232549019609</v>
      </c>
      <c r="Y99" s="605"/>
      <c r="Z99" s="605">
        <f t="shared" ref="Z99:Z107" si="419">+P99+T99+X99</f>
        <v>293993.45517027861</v>
      </c>
      <c r="AA99" s="1029"/>
      <c r="AB99" s="606">
        <f t="shared" ref="AB99:AB107" si="420">+N99+Z99</f>
        <v>529286.32695562427</v>
      </c>
      <c r="AC99" s="2857"/>
      <c r="AD99" s="2358">
        <v>85255.344767801871</v>
      </c>
      <c r="AE99" s="1027"/>
      <c r="AF99" s="604">
        <f t="shared" ref="AF99:AF107" si="421">+AB99+AD99</f>
        <v>614541.67172342609</v>
      </c>
      <c r="AG99" s="2857"/>
      <c r="AH99" s="2358">
        <v>92292</v>
      </c>
      <c r="AI99" s="1027"/>
      <c r="AJ99" s="604">
        <f t="shared" ref="AJ99:AJ107" si="422">+AF99+AH99</f>
        <v>706833.67172342609</v>
      </c>
      <c r="AK99" s="2857"/>
      <c r="AL99" s="2358">
        <v>98492.893292053646</v>
      </c>
      <c r="AM99" s="605"/>
      <c r="AN99" s="605">
        <f t="shared" ref="AN99:AN107" si="423">+AD99+AH99+AL99</f>
        <v>276040.23805985553</v>
      </c>
      <c r="AO99" s="1027"/>
      <c r="AP99" s="604">
        <f t="shared" ref="AP99:AP107" si="424">+AL99+AJ99</f>
        <v>805326.56501547969</v>
      </c>
      <c r="AQ99" s="2857"/>
      <c r="AR99" s="2358">
        <v>97384.190371517034</v>
      </c>
      <c r="AS99" s="1027"/>
      <c r="AT99" s="604">
        <f t="shared" ref="AT99:AT107" si="425">+AP99+AR99</f>
        <v>902710.75538699678</v>
      </c>
      <c r="AU99" s="2857"/>
      <c r="AV99" s="2358">
        <v>87196.794891640864</v>
      </c>
      <c r="AW99" s="1027"/>
      <c r="AX99" s="604">
        <f t="shared" ref="AX99:AX103" si="426">+AT99+AV99</f>
        <v>989907.55027863767</v>
      </c>
      <c r="AY99" s="2857"/>
      <c r="AZ99" s="2358">
        <v>95429.557688338493</v>
      </c>
      <c r="BA99" s="605"/>
      <c r="BB99" s="605">
        <f t="shared" ref="BB99:BB107" si="427">+AR99+AV99+AZ99</f>
        <v>280010.54295149638</v>
      </c>
      <c r="BC99" s="1029"/>
      <c r="BD99" s="606">
        <f t="shared" si="414"/>
        <v>556050.78101135185</v>
      </c>
      <c r="BE99" s="1027"/>
      <c r="BF99" s="604">
        <f t="shared" ref="BF99:BF107" si="428">+AX99+AZ99</f>
        <v>1085337.1079669762</v>
      </c>
    </row>
    <row r="100" spans="1:60" ht="18" x14ac:dyDescent="0.35">
      <c r="A100" s="603"/>
      <c r="B100" s="840" t="s">
        <v>879</v>
      </c>
      <c r="C100" s="2856" t="s">
        <v>50</v>
      </c>
      <c r="D100" s="2857"/>
      <c r="E100" s="2857"/>
      <c r="F100" s="2858">
        <v>7761.8844478844203</v>
      </c>
      <c r="G100" s="2857"/>
      <c r="H100" s="2858">
        <v>3822.1231372549018</v>
      </c>
      <c r="I100" s="2526"/>
      <c r="J100" s="3979">
        <f t="shared" si="415"/>
        <v>11584.007585139323</v>
      </c>
      <c r="K100" s="2857"/>
      <c r="L100" s="2858">
        <v>8601.9142414860689</v>
      </c>
      <c r="M100" s="605"/>
      <c r="N100" s="605">
        <f t="shared" si="416"/>
        <v>20185.921826625392</v>
      </c>
      <c r="O100" s="2857"/>
      <c r="P100" s="2858">
        <v>11281.726934984523</v>
      </c>
      <c r="Q100" s="1027"/>
      <c r="R100" s="604">
        <f t="shared" si="417"/>
        <v>31467.648761609915</v>
      </c>
      <c r="S100" s="2857"/>
      <c r="T100" s="2858">
        <v>9736.7554489164086</v>
      </c>
      <c r="U100" s="1027"/>
      <c r="V100" s="604">
        <f t="shared" si="418"/>
        <v>41204.404210526322</v>
      </c>
      <c r="W100" s="2857"/>
      <c r="X100" s="2858">
        <v>9223.1608875129023</v>
      </c>
      <c r="Y100" s="605"/>
      <c r="Z100" s="605">
        <f t="shared" si="419"/>
        <v>30241.643271413835</v>
      </c>
      <c r="AA100" s="1029"/>
      <c r="AB100" s="606">
        <f t="shared" si="420"/>
        <v>50427.565098039224</v>
      </c>
      <c r="AC100" s="2857"/>
      <c r="AD100" s="2858">
        <v>6343.1684210526319</v>
      </c>
      <c r="AE100" s="1027"/>
      <c r="AF100" s="604">
        <f t="shared" si="421"/>
        <v>56770.733519091853</v>
      </c>
      <c r="AG100" s="2857"/>
      <c r="AH100" s="2858">
        <v>9510</v>
      </c>
      <c r="AI100" s="1027"/>
      <c r="AJ100" s="604">
        <f t="shared" si="422"/>
        <v>66280.733519091853</v>
      </c>
      <c r="AK100" s="2857"/>
      <c r="AL100" s="2858">
        <v>9249.7928792569655</v>
      </c>
      <c r="AM100" s="605"/>
      <c r="AN100" s="605">
        <f t="shared" si="423"/>
        <v>25102.961300309598</v>
      </c>
      <c r="AO100" s="1027"/>
      <c r="AP100" s="604">
        <f t="shared" si="424"/>
        <v>75530.526398348826</v>
      </c>
      <c r="AQ100" s="2857"/>
      <c r="AR100" s="2858">
        <v>8042.2678679050568</v>
      </c>
      <c r="AS100" s="1027"/>
      <c r="AT100" s="604">
        <f t="shared" si="425"/>
        <v>83572.794266253884</v>
      </c>
      <c r="AU100" s="2857"/>
      <c r="AV100" s="2858">
        <v>6049.3302992776062</v>
      </c>
      <c r="AW100" s="1027"/>
      <c r="AX100" s="604">
        <f t="shared" si="426"/>
        <v>89622.124565531485</v>
      </c>
      <c r="AY100" s="2857"/>
      <c r="AZ100" s="2858">
        <v>8548.8579979360165</v>
      </c>
      <c r="BA100" s="605"/>
      <c r="BB100" s="605">
        <f t="shared" si="427"/>
        <v>22640.456165118681</v>
      </c>
      <c r="BC100" s="1029"/>
      <c r="BD100" s="606">
        <f t="shared" si="414"/>
        <v>47743.417465428283</v>
      </c>
      <c r="BE100" s="1027"/>
      <c r="BF100" s="604">
        <f t="shared" si="428"/>
        <v>98170.982563467507</v>
      </c>
    </row>
    <row r="101" spans="1:60" ht="18" x14ac:dyDescent="0.35">
      <c r="A101" s="603"/>
      <c r="B101" s="840" t="s">
        <v>1824</v>
      </c>
      <c r="C101" s="3974" t="s">
        <v>50</v>
      </c>
      <c r="D101" s="3975"/>
      <c r="E101" s="3975"/>
      <c r="F101" s="3976">
        <v>0</v>
      </c>
      <c r="G101" s="3975"/>
      <c r="H101" s="3976">
        <v>5159.9587203302372</v>
      </c>
      <c r="I101" s="3977"/>
      <c r="J101" s="3979">
        <f t="shared" si="415"/>
        <v>5159.9587203302372</v>
      </c>
      <c r="K101" s="3975"/>
      <c r="L101" s="3976">
        <v>0</v>
      </c>
      <c r="M101" s="3978"/>
      <c r="N101" s="605">
        <f t="shared" si="416"/>
        <v>5159.9587203302372</v>
      </c>
      <c r="O101" s="3975"/>
      <c r="P101" s="3976"/>
      <c r="Q101" s="3977"/>
      <c r="R101" s="604">
        <f t="shared" si="417"/>
        <v>5159.9587203302372</v>
      </c>
      <c r="S101" s="3975"/>
      <c r="T101" s="3976"/>
      <c r="U101" s="3977"/>
      <c r="V101" s="604">
        <f t="shared" si="418"/>
        <v>5159.9587203302372</v>
      </c>
      <c r="W101" s="3975"/>
      <c r="X101" s="3976"/>
      <c r="Y101" s="3978"/>
      <c r="Z101" s="605">
        <f t="shared" si="419"/>
        <v>0</v>
      </c>
      <c r="AA101" s="3980"/>
      <c r="AB101" s="606">
        <f t="shared" si="420"/>
        <v>5159.9587203302372</v>
      </c>
      <c r="AC101" s="3975"/>
      <c r="AD101" s="3976">
        <v>6500</v>
      </c>
      <c r="AE101" s="3977"/>
      <c r="AF101" s="604">
        <f t="shared" si="421"/>
        <v>11659.958720330236</v>
      </c>
      <c r="AG101" s="3975"/>
      <c r="AH101" s="3976">
        <v>700</v>
      </c>
      <c r="AI101" s="3977"/>
      <c r="AJ101" s="604">
        <f t="shared" si="422"/>
        <v>12359.958720330236</v>
      </c>
      <c r="AK101" s="3975"/>
      <c r="AL101" s="3976">
        <v>799.7936016511868</v>
      </c>
      <c r="AM101" s="3978"/>
      <c r="AN101" s="605">
        <f t="shared" si="423"/>
        <v>7999.7936016511867</v>
      </c>
      <c r="AO101" s="3977"/>
      <c r="AP101" s="604">
        <f t="shared" si="424"/>
        <v>13159.752321981423</v>
      </c>
      <c r="AQ101" s="3975"/>
      <c r="AR101" s="3976">
        <v>0</v>
      </c>
      <c r="AS101" s="3977"/>
      <c r="AT101" s="604">
        <f t="shared" si="425"/>
        <v>13159.752321981423</v>
      </c>
      <c r="AU101" s="3975"/>
      <c r="AV101" s="3976">
        <v>0</v>
      </c>
      <c r="AW101" s="3977"/>
      <c r="AX101" s="604">
        <f t="shared" si="426"/>
        <v>13159.752321981423</v>
      </c>
      <c r="AY101" s="3975"/>
      <c r="AZ101" s="3976">
        <v>0</v>
      </c>
      <c r="BA101" s="3978"/>
      <c r="BB101" s="605">
        <f t="shared" si="427"/>
        <v>0</v>
      </c>
      <c r="BC101" s="3980"/>
      <c r="BD101" s="606">
        <f t="shared" si="414"/>
        <v>7999.7936016511867</v>
      </c>
      <c r="BE101" s="3977"/>
      <c r="BF101" s="604">
        <f t="shared" si="428"/>
        <v>13159.752321981423</v>
      </c>
    </row>
    <row r="102" spans="1:60" ht="18" x14ac:dyDescent="0.35">
      <c r="A102" s="603"/>
      <c r="B102" s="840" t="s">
        <v>123</v>
      </c>
      <c r="C102" s="2856" t="s">
        <v>50</v>
      </c>
      <c r="D102" s="2857"/>
      <c r="E102" s="2857"/>
      <c r="F102" s="2358">
        <v>32598.357857142852</v>
      </c>
      <c r="G102" s="2857"/>
      <c r="H102" s="2358">
        <v>11327.228241758239</v>
      </c>
      <c r="I102" s="2662"/>
      <c r="J102" s="3979">
        <f t="shared" si="415"/>
        <v>43925.586098901091</v>
      </c>
      <c r="K102" s="2857"/>
      <c r="L102" s="2358">
        <v>44610.065274725261</v>
      </c>
      <c r="M102" s="605"/>
      <c r="N102" s="605">
        <f t="shared" si="416"/>
        <v>88535.651373626344</v>
      </c>
      <c r="O102" s="2857"/>
      <c r="P102" s="2358">
        <v>42070.860109890105</v>
      </c>
      <c r="Q102" s="604"/>
      <c r="R102" s="604">
        <f t="shared" si="417"/>
        <v>130606.51148351646</v>
      </c>
      <c r="S102" s="2857"/>
      <c r="T102" s="2358">
        <v>39478.498549450553</v>
      </c>
      <c r="U102" s="604"/>
      <c r="V102" s="604">
        <f t="shared" si="418"/>
        <v>170085.01003296702</v>
      </c>
      <c r="W102" s="2857"/>
      <c r="X102" s="2358">
        <v>34369.631934065947</v>
      </c>
      <c r="Y102" s="605"/>
      <c r="Z102" s="605">
        <f t="shared" si="419"/>
        <v>115918.9905934066</v>
      </c>
      <c r="AA102" s="606"/>
      <c r="AB102" s="606">
        <f t="shared" si="420"/>
        <v>204454.64196703295</v>
      </c>
      <c r="AC102" s="2857"/>
      <c r="AD102" s="2358">
        <v>27983.437582417573</v>
      </c>
      <c r="AE102" s="604"/>
      <c r="AF102" s="604">
        <f t="shared" si="421"/>
        <v>232438.07954945051</v>
      </c>
      <c r="AG102" s="2857"/>
      <c r="AH102" s="2358">
        <v>36662.43483516483</v>
      </c>
      <c r="AI102" s="604"/>
      <c r="AJ102" s="604">
        <f t="shared" si="422"/>
        <v>269100.51438461535</v>
      </c>
      <c r="AK102" s="2857"/>
      <c r="AL102" s="2358">
        <v>36176.249340659349</v>
      </c>
      <c r="AM102" s="605"/>
      <c r="AN102" s="605">
        <f t="shared" si="423"/>
        <v>100822.12175824176</v>
      </c>
      <c r="AO102" s="604"/>
      <c r="AP102" s="604">
        <f t="shared" si="424"/>
        <v>305276.76372527471</v>
      </c>
      <c r="AQ102" s="2857"/>
      <c r="AR102" s="2358">
        <v>34931.323340659335</v>
      </c>
      <c r="AS102" s="604"/>
      <c r="AT102" s="604">
        <f t="shared" si="425"/>
        <v>340208.08706593403</v>
      </c>
      <c r="AU102" s="2857"/>
      <c r="AV102" s="2358">
        <v>19267.00813186813</v>
      </c>
      <c r="AW102" s="604"/>
      <c r="AX102" s="604">
        <f t="shared" si="426"/>
        <v>359475.09519780218</v>
      </c>
      <c r="AY102" s="2857"/>
      <c r="AZ102" s="2358">
        <v>37482.176813186823</v>
      </c>
      <c r="BA102" s="605"/>
      <c r="BB102" s="605">
        <f t="shared" si="427"/>
        <v>91680.508285714284</v>
      </c>
      <c r="BC102" s="606"/>
      <c r="BD102" s="606">
        <f t="shared" si="414"/>
        <v>192502.63004395604</v>
      </c>
      <c r="BE102" s="604"/>
      <c r="BF102" s="604">
        <f t="shared" si="428"/>
        <v>396957.27201098902</v>
      </c>
    </row>
    <row r="103" spans="1:60" ht="18" x14ac:dyDescent="0.35">
      <c r="A103" s="603"/>
      <c r="B103" s="840" t="s">
        <v>19</v>
      </c>
      <c r="C103" s="2856" t="s">
        <v>50</v>
      </c>
      <c r="D103" s="2857"/>
      <c r="E103" s="2857"/>
      <c r="F103" s="2858">
        <v>274384.69999999995</v>
      </c>
      <c r="G103" s="2857"/>
      <c r="H103" s="2858">
        <v>126322.58</v>
      </c>
      <c r="I103" s="2526"/>
      <c r="J103" s="3979">
        <f t="shared" si="415"/>
        <v>400707.27999999997</v>
      </c>
      <c r="K103" s="2857"/>
      <c r="L103" s="2858">
        <v>305588</v>
      </c>
      <c r="M103" s="605"/>
      <c r="N103" s="605">
        <f t="shared" si="416"/>
        <v>706295.28</v>
      </c>
      <c r="O103" s="2857"/>
      <c r="P103" s="2858">
        <v>314445.58999999997</v>
      </c>
      <c r="Q103" s="1027"/>
      <c r="R103" s="604">
        <f t="shared" si="417"/>
        <v>1020740.87</v>
      </c>
      <c r="S103" s="2857"/>
      <c r="T103" s="2858">
        <v>298752</v>
      </c>
      <c r="U103" s="1027"/>
      <c r="V103" s="604">
        <f t="shared" si="418"/>
        <v>1319492.8700000001</v>
      </c>
      <c r="W103" s="2857"/>
      <c r="X103" s="2858">
        <v>288743.09999999998</v>
      </c>
      <c r="Y103" s="605"/>
      <c r="Z103" s="605">
        <f t="shared" si="419"/>
        <v>901940.69</v>
      </c>
      <c r="AA103" s="1029"/>
      <c r="AB103" s="606">
        <f t="shared" si="420"/>
        <v>1608235.97</v>
      </c>
      <c r="AC103" s="2857"/>
      <c r="AD103" s="2858">
        <v>238110</v>
      </c>
      <c r="AE103" s="1027"/>
      <c r="AF103" s="604">
        <f t="shared" si="421"/>
        <v>1846345.97</v>
      </c>
      <c r="AG103" s="2857"/>
      <c r="AH103" s="2858">
        <v>290904.40000000002</v>
      </c>
      <c r="AI103" s="1027"/>
      <c r="AJ103" s="604">
        <f t="shared" si="422"/>
        <v>2137250.37</v>
      </c>
      <c r="AK103" s="2857"/>
      <c r="AL103" s="2858">
        <v>289069.39999999997</v>
      </c>
      <c r="AM103" s="605"/>
      <c r="AN103" s="605">
        <f t="shared" si="423"/>
        <v>818083.8</v>
      </c>
      <c r="AO103" s="1027"/>
      <c r="AP103" s="604">
        <f t="shared" si="424"/>
        <v>2426319.77</v>
      </c>
      <c r="AQ103" s="2857"/>
      <c r="AR103" s="2858">
        <v>281651.3</v>
      </c>
      <c r="AS103" s="1027"/>
      <c r="AT103" s="604">
        <f t="shared" si="425"/>
        <v>2707971.07</v>
      </c>
      <c r="AU103" s="2857"/>
      <c r="AV103" s="2858">
        <v>233607.7</v>
      </c>
      <c r="AW103" s="1027"/>
      <c r="AX103" s="604">
        <f t="shared" si="426"/>
        <v>2941578.77</v>
      </c>
      <c r="AY103" s="2857"/>
      <c r="AZ103" s="2858">
        <v>298183.2</v>
      </c>
      <c r="BA103" s="605"/>
      <c r="BB103" s="605">
        <f t="shared" si="427"/>
        <v>813442.2</v>
      </c>
      <c r="BC103" s="1029"/>
      <c r="BD103" s="606">
        <f t="shared" si="414"/>
        <v>1631526</v>
      </c>
      <c r="BE103" s="1027"/>
      <c r="BF103" s="604">
        <f t="shared" si="428"/>
        <v>3239761.97</v>
      </c>
    </row>
    <row r="104" spans="1:60" ht="18.75" hidden="1" customHeight="1" x14ac:dyDescent="0.3">
      <c r="A104" s="135"/>
      <c r="B104" s="840" t="s">
        <v>1749</v>
      </c>
      <c r="C104" s="2856" t="s">
        <v>50</v>
      </c>
      <c r="D104" s="3545"/>
      <c r="E104" s="3545"/>
      <c r="F104" s="2858"/>
      <c r="G104" s="3545"/>
      <c r="H104" s="2858"/>
      <c r="I104" s="2855"/>
      <c r="J104" s="3979">
        <f>+F104+H104</f>
        <v>0</v>
      </c>
      <c r="K104" s="3545"/>
      <c r="L104" s="2858">
        <v>0</v>
      </c>
      <c r="M104" s="3546"/>
      <c r="N104" s="605">
        <f>+F104+H104+L104</f>
        <v>0</v>
      </c>
      <c r="O104" s="3545"/>
      <c r="P104" s="2858"/>
      <c r="Q104" s="2855"/>
      <c r="R104" s="604">
        <f>+N104+P104</f>
        <v>0</v>
      </c>
      <c r="S104" s="3545"/>
      <c r="T104" s="2858"/>
      <c r="U104" s="2855"/>
      <c r="V104" s="604">
        <f>+R104+T104</f>
        <v>0</v>
      </c>
      <c r="W104" s="3545"/>
      <c r="X104" s="2858"/>
      <c r="Y104" s="3546"/>
      <c r="Z104" s="605">
        <f>+P104+T104+X104</f>
        <v>0</v>
      </c>
      <c r="AA104" s="1029"/>
      <c r="AB104" s="606">
        <f>+N104+Z104</f>
        <v>0</v>
      </c>
      <c r="AC104" s="3545"/>
      <c r="AD104" s="2858"/>
      <c r="AE104" s="2855"/>
      <c r="AF104" s="604">
        <f>+AB104+AD104</f>
        <v>0</v>
      </c>
      <c r="AG104" s="3545"/>
      <c r="AH104" s="2858"/>
      <c r="AI104" s="2855"/>
      <c r="AJ104" s="604">
        <f>+AF104+AH104</f>
        <v>0</v>
      </c>
      <c r="AK104" s="3545"/>
      <c r="AL104" s="2858"/>
      <c r="AM104" s="3546"/>
      <c r="AN104" s="605">
        <f>+AD104+AH104+AL104</f>
        <v>0</v>
      </c>
      <c r="AO104" s="2855"/>
      <c r="AP104" s="604">
        <f>+AL104+AJ104</f>
        <v>0</v>
      </c>
      <c r="AQ104" s="3545"/>
      <c r="AR104" s="2858"/>
      <c r="AS104" s="3636"/>
      <c r="AT104" s="577">
        <f>+AP104+AR104</f>
        <v>0</v>
      </c>
      <c r="AU104" s="3545"/>
      <c r="AV104" s="2858"/>
      <c r="AW104" s="2855"/>
      <c r="AX104" s="604">
        <f>+AT104+AV104</f>
        <v>0</v>
      </c>
      <c r="AY104" s="3545"/>
      <c r="AZ104" s="2858">
        <v>0</v>
      </c>
      <c r="BA104" s="3546"/>
      <c r="BB104" s="605">
        <f t="shared" si="427"/>
        <v>0</v>
      </c>
      <c r="BC104" s="3547"/>
      <c r="BD104" s="606">
        <f>+AN104+BB104</f>
        <v>0</v>
      </c>
      <c r="BE104" s="2855"/>
      <c r="BF104" s="604">
        <f t="shared" si="428"/>
        <v>0</v>
      </c>
    </row>
    <row r="105" spans="1:60" ht="18" x14ac:dyDescent="0.35">
      <c r="A105" s="603"/>
      <c r="B105" s="840" t="s">
        <v>880</v>
      </c>
      <c r="C105" s="2856" t="s">
        <v>50</v>
      </c>
      <c r="D105" s="2857"/>
      <c r="E105" s="2857"/>
      <c r="F105" s="2858">
        <v>0</v>
      </c>
      <c r="G105" s="2857"/>
      <c r="H105" s="2858">
        <v>420.7</v>
      </c>
      <c r="I105" s="2526"/>
      <c r="J105" s="3979">
        <f t="shared" si="415"/>
        <v>420.7</v>
      </c>
      <c r="K105" s="2857"/>
      <c r="L105" s="2858">
        <v>0</v>
      </c>
      <c r="M105" s="605"/>
      <c r="N105" s="605">
        <f t="shared" si="416"/>
        <v>420.7</v>
      </c>
      <c r="O105" s="2857"/>
      <c r="P105" s="2858"/>
      <c r="Q105" s="1027"/>
      <c r="R105" s="604">
        <f t="shared" si="417"/>
        <v>420.7</v>
      </c>
      <c r="S105" s="2857"/>
      <c r="T105" s="2858"/>
      <c r="U105" s="1027"/>
      <c r="V105" s="604">
        <f t="shared" si="418"/>
        <v>420.7</v>
      </c>
      <c r="W105" s="2857"/>
      <c r="X105" s="2858"/>
      <c r="Y105" s="605"/>
      <c r="Z105" s="605">
        <f t="shared" si="419"/>
        <v>0</v>
      </c>
      <c r="AA105" s="1029"/>
      <c r="AB105" s="606">
        <f t="shared" si="420"/>
        <v>420.7</v>
      </c>
      <c r="AC105" s="2857"/>
      <c r="AD105" s="2858">
        <v>123</v>
      </c>
      <c r="AE105" s="1027"/>
      <c r="AF105" s="604">
        <f t="shared" si="421"/>
        <v>543.70000000000005</v>
      </c>
      <c r="AG105" s="2857"/>
      <c r="AH105" s="2858"/>
      <c r="AI105" s="1027"/>
      <c r="AJ105" s="604">
        <f t="shared" si="422"/>
        <v>543.70000000000005</v>
      </c>
      <c r="AK105" s="2857"/>
      <c r="AL105" s="2858">
        <v>61.6</v>
      </c>
      <c r="AM105" s="605"/>
      <c r="AN105" s="605">
        <f t="shared" si="423"/>
        <v>184.6</v>
      </c>
      <c r="AO105" s="1027"/>
      <c r="AP105" s="604">
        <f t="shared" si="424"/>
        <v>605.30000000000007</v>
      </c>
      <c r="AQ105" s="2857"/>
      <c r="AR105" s="2858">
        <v>664.7</v>
      </c>
      <c r="AS105" s="1027"/>
      <c r="AT105" s="604">
        <f t="shared" si="425"/>
        <v>1270</v>
      </c>
      <c r="AU105" s="2857"/>
      <c r="AV105" s="2858">
        <v>177.9</v>
      </c>
      <c r="AW105" s="1027"/>
      <c r="AX105" s="604">
        <f t="shared" ref="AX105:AX107" si="429">+AT105+AV105</f>
        <v>1447.9</v>
      </c>
      <c r="AY105" s="2857"/>
      <c r="AZ105" s="2858">
        <v>572</v>
      </c>
      <c r="BA105" s="605"/>
      <c r="BB105" s="605">
        <f t="shared" si="427"/>
        <v>1414.6</v>
      </c>
      <c r="BC105" s="1029"/>
      <c r="BD105" s="606">
        <f t="shared" si="414"/>
        <v>1599.1999999999998</v>
      </c>
      <c r="BE105" s="1027"/>
      <c r="BF105" s="604">
        <f t="shared" si="428"/>
        <v>2019.9</v>
      </c>
    </row>
    <row r="106" spans="1:60" ht="18" x14ac:dyDescent="0.35">
      <c r="A106" s="603"/>
      <c r="B106" s="840" t="s">
        <v>6</v>
      </c>
      <c r="C106" s="2856" t="s">
        <v>50</v>
      </c>
      <c r="D106" s="2857"/>
      <c r="E106" s="2857"/>
      <c r="F106" s="2358">
        <v>355.6</v>
      </c>
      <c r="G106" s="2857"/>
      <c r="H106" s="2358">
        <v>1237.0999999999999</v>
      </c>
      <c r="I106" s="2662"/>
      <c r="J106" s="3979">
        <f t="shared" si="415"/>
        <v>1592.6999999999998</v>
      </c>
      <c r="K106" s="2857"/>
      <c r="L106" s="2358">
        <v>1133.6999999999998</v>
      </c>
      <c r="M106" s="605"/>
      <c r="N106" s="605">
        <f t="shared" si="416"/>
        <v>2726.3999999999996</v>
      </c>
      <c r="O106" s="2857"/>
      <c r="P106" s="2358">
        <v>512.09999999999991</v>
      </c>
      <c r="Q106" s="604"/>
      <c r="R106" s="604">
        <f t="shared" si="417"/>
        <v>3238.4999999999995</v>
      </c>
      <c r="S106" s="2857"/>
      <c r="T106" s="2358">
        <v>1048.7999999999997</v>
      </c>
      <c r="U106" s="604"/>
      <c r="V106" s="604">
        <f t="shared" si="418"/>
        <v>4287.2999999999993</v>
      </c>
      <c r="W106" s="2857"/>
      <c r="X106" s="2358">
        <v>490</v>
      </c>
      <c r="Y106" s="605"/>
      <c r="Z106" s="605">
        <f t="shared" si="419"/>
        <v>2050.8999999999996</v>
      </c>
      <c r="AA106" s="606"/>
      <c r="AB106" s="606">
        <f t="shared" si="420"/>
        <v>4777.2999999999993</v>
      </c>
      <c r="AC106" s="2857"/>
      <c r="AD106" s="2358">
        <v>1053.5</v>
      </c>
      <c r="AE106" s="604"/>
      <c r="AF106" s="604">
        <f t="shared" si="421"/>
        <v>5830.7999999999993</v>
      </c>
      <c r="AG106" s="2857"/>
      <c r="AH106" s="2358">
        <v>527</v>
      </c>
      <c r="AI106" s="604"/>
      <c r="AJ106" s="604">
        <f t="shared" si="422"/>
        <v>6357.7999999999993</v>
      </c>
      <c r="AK106" s="2857"/>
      <c r="AL106" s="2358">
        <v>793.09999999999991</v>
      </c>
      <c r="AM106" s="605"/>
      <c r="AN106" s="605">
        <f t="shared" si="423"/>
        <v>2373.6</v>
      </c>
      <c r="AO106" s="604"/>
      <c r="AP106" s="604">
        <f t="shared" si="424"/>
        <v>7150.9</v>
      </c>
      <c r="AQ106" s="2857"/>
      <c r="AR106" s="2358">
        <v>2995.0499999999988</v>
      </c>
      <c r="AS106" s="604"/>
      <c r="AT106" s="604">
        <f t="shared" si="425"/>
        <v>10145.949999999999</v>
      </c>
      <c r="AU106" s="2857"/>
      <c r="AV106" s="2358">
        <v>1503.5</v>
      </c>
      <c r="AW106" s="604"/>
      <c r="AX106" s="604">
        <f t="shared" si="429"/>
        <v>11649.449999999999</v>
      </c>
      <c r="AY106" s="2857"/>
      <c r="AZ106" s="2358">
        <v>73.8</v>
      </c>
      <c r="BA106" s="605"/>
      <c r="BB106" s="605">
        <f t="shared" si="427"/>
        <v>4572.3499999999995</v>
      </c>
      <c r="BC106" s="606"/>
      <c r="BD106" s="606">
        <f t="shared" si="414"/>
        <v>6945.9499999999989</v>
      </c>
      <c r="BE106" s="604"/>
      <c r="BF106" s="604">
        <f t="shared" si="428"/>
        <v>11723.249999999998</v>
      </c>
    </row>
    <row r="107" spans="1:60" ht="18.600000000000001" thickBot="1" x14ac:dyDescent="0.35">
      <c r="A107" s="135"/>
      <c r="B107" s="853" t="s">
        <v>1244</v>
      </c>
      <c r="C107" s="2859" t="s">
        <v>50</v>
      </c>
      <c r="D107" s="2860"/>
      <c r="E107" s="2860"/>
      <c r="F107" s="2207">
        <v>58405.599999999999</v>
      </c>
      <c r="G107" s="2860"/>
      <c r="H107" s="2207">
        <v>32329</v>
      </c>
      <c r="I107" s="2208"/>
      <c r="J107" s="3979">
        <f t="shared" si="415"/>
        <v>90734.6</v>
      </c>
      <c r="K107" s="2860"/>
      <c r="L107" s="2207">
        <v>65129.030000000006</v>
      </c>
      <c r="M107" s="605"/>
      <c r="N107" s="605">
        <f t="shared" si="416"/>
        <v>155863.63</v>
      </c>
      <c r="O107" s="2860"/>
      <c r="P107" s="2207">
        <v>55609.19</v>
      </c>
      <c r="Q107" s="604"/>
      <c r="R107" s="604">
        <f t="shared" si="417"/>
        <v>211472.82</v>
      </c>
      <c r="S107" s="2860"/>
      <c r="T107" s="2207">
        <v>70042.69</v>
      </c>
      <c r="U107" s="604"/>
      <c r="V107" s="604">
        <f t="shared" si="418"/>
        <v>281515.51</v>
      </c>
      <c r="W107" s="2860"/>
      <c r="X107" s="2207">
        <v>68744.03</v>
      </c>
      <c r="Y107" s="605"/>
      <c r="Z107" s="605">
        <f t="shared" si="419"/>
        <v>194395.91</v>
      </c>
      <c r="AA107" s="606"/>
      <c r="AB107" s="606">
        <f t="shared" si="420"/>
        <v>350259.54000000004</v>
      </c>
      <c r="AC107" s="2860"/>
      <c r="AD107" s="2207">
        <v>56421.73</v>
      </c>
      <c r="AE107" s="604"/>
      <c r="AF107" s="604">
        <f t="shared" si="421"/>
        <v>406681.27</v>
      </c>
      <c r="AG107" s="2860"/>
      <c r="AH107" s="2207">
        <v>67508.83</v>
      </c>
      <c r="AI107" s="604"/>
      <c r="AJ107" s="604">
        <f t="shared" si="422"/>
        <v>474190.10000000003</v>
      </c>
      <c r="AK107" s="2860"/>
      <c r="AL107" s="2207">
        <v>70198.73</v>
      </c>
      <c r="AM107" s="605"/>
      <c r="AN107" s="605">
        <f t="shared" si="423"/>
        <v>194129.28999999998</v>
      </c>
      <c r="AO107" s="604"/>
      <c r="AP107" s="604">
        <f t="shared" si="424"/>
        <v>544388.83000000007</v>
      </c>
      <c r="AQ107" s="2860"/>
      <c r="AR107" s="2207">
        <v>58461.93</v>
      </c>
      <c r="AS107" s="604"/>
      <c r="AT107" s="604">
        <f t="shared" si="425"/>
        <v>602850.76000000013</v>
      </c>
      <c r="AU107" s="2860"/>
      <c r="AV107" s="2207">
        <v>46259.03</v>
      </c>
      <c r="AW107" s="604"/>
      <c r="AX107" s="604">
        <f t="shared" si="429"/>
        <v>649109.79000000015</v>
      </c>
      <c r="AY107" s="2860"/>
      <c r="AZ107" s="2207">
        <v>64323.73</v>
      </c>
      <c r="BA107" s="605"/>
      <c r="BB107" s="605">
        <f t="shared" si="427"/>
        <v>169044.69</v>
      </c>
      <c r="BC107" s="606"/>
      <c r="BD107" s="606">
        <f t="shared" si="414"/>
        <v>363173.98</v>
      </c>
      <c r="BE107" s="604"/>
      <c r="BF107" s="604">
        <f t="shared" si="428"/>
        <v>713433.52000000014</v>
      </c>
    </row>
    <row r="108" spans="1:60" x14ac:dyDescent="0.3">
      <c r="A108" s="135"/>
      <c r="B108" s="88"/>
      <c r="C108" s="316"/>
      <c r="D108" s="316"/>
      <c r="E108" s="316"/>
      <c r="F108" s="316"/>
      <c r="G108" s="316"/>
      <c r="H108" s="316"/>
      <c r="I108" s="316"/>
      <c r="J108" s="316"/>
      <c r="K108" s="316"/>
      <c r="L108" s="316"/>
      <c r="M108" s="316"/>
      <c r="N108" s="316"/>
      <c r="O108" s="316"/>
      <c r="P108" s="316"/>
      <c r="Q108" s="316"/>
      <c r="R108" s="316"/>
      <c r="S108" s="316"/>
      <c r="T108" s="316"/>
      <c r="U108" s="316"/>
      <c r="V108" s="316"/>
      <c r="W108" s="316"/>
      <c r="X108" s="316"/>
      <c r="Y108" s="316"/>
      <c r="Z108" s="316"/>
      <c r="AA108" s="316"/>
      <c r="AB108" s="316"/>
      <c r="AC108" s="316"/>
      <c r="AD108" s="316"/>
      <c r="AE108" s="316"/>
      <c r="AF108" s="316"/>
      <c r="AG108" s="316"/>
      <c r="AH108" s="316"/>
      <c r="AI108" s="316"/>
      <c r="AJ108" s="316"/>
      <c r="AK108" s="316"/>
      <c r="AL108" s="316"/>
      <c r="AM108" s="316"/>
      <c r="AN108" s="316"/>
      <c r="AO108" s="316"/>
      <c r="AP108" s="316"/>
      <c r="AQ108" s="316"/>
      <c r="AR108" s="316"/>
      <c r="AS108" s="316"/>
      <c r="AT108" s="316"/>
      <c r="AU108" s="316"/>
      <c r="AV108" s="316"/>
      <c r="AW108" s="316"/>
      <c r="AX108" s="316"/>
      <c r="AY108" s="316"/>
      <c r="AZ108" s="316"/>
      <c r="BA108" s="316"/>
      <c r="BB108" s="316"/>
      <c r="BC108" s="316"/>
      <c r="BD108" s="316"/>
      <c r="BE108" s="316"/>
      <c r="BF108" s="316"/>
    </row>
    <row r="109" spans="1:60" x14ac:dyDescent="0.3">
      <c r="A109" s="135"/>
      <c r="B109" s="209" t="s">
        <v>1274</v>
      </c>
      <c r="C109" s="316" t="s">
        <v>1275</v>
      </c>
      <c r="D109" s="1232">
        <f t="shared" ref="D109:AI109" si="430">+D27+D28+D30</f>
        <v>4928066.8893315373</v>
      </c>
      <c r="E109" s="1232">
        <f t="shared" si="430"/>
        <v>341679.30432698654</v>
      </c>
      <c r="F109" s="1232">
        <f t="shared" si="430"/>
        <v>383814.39999999991</v>
      </c>
      <c r="G109" s="1232">
        <f t="shared" ref="G109:H109" si="431">+G27+G28+G30</f>
        <v>307182.8361016658</v>
      </c>
      <c r="H109" s="1232">
        <f t="shared" si="431"/>
        <v>183117.18</v>
      </c>
      <c r="I109" s="1232">
        <f t="shared" si="430"/>
        <v>648862.1404286524</v>
      </c>
      <c r="J109" s="1232">
        <f t="shared" si="430"/>
        <v>566931.57999999996</v>
      </c>
      <c r="K109" s="1232">
        <f t="shared" si="430"/>
        <v>413957.61870384909</v>
      </c>
      <c r="L109" s="1232">
        <f t="shared" si="430"/>
        <v>432825.33</v>
      </c>
      <c r="M109" s="1232">
        <f t="shared" si="430"/>
        <v>1062819.7591325014</v>
      </c>
      <c r="N109" s="1232">
        <f t="shared" si="430"/>
        <v>999756.91</v>
      </c>
      <c r="O109" s="1232">
        <f t="shared" si="430"/>
        <v>418885.68559318065</v>
      </c>
      <c r="P109" s="1232">
        <f t="shared" si="430"/>
        <v>443203.12999999995</v>
      </c>
      <c r="Q109" s="1232">
        <f t="shared" si="430"/>
        <v>1481705.444725682</v>
      </c>
      <c r="R109" s="1232">
        <f t="shared" si="430"/>
        <v>1442960.04</v>
      </c>
      <c r="S109" s="1232">
        <f t="shared" si="430"/>
        <v>418885.68559318065</v>
      </c>
      <c r="T109" s="1232">
        <f t="shared" si="430"/>
        <v>418349.09</v>
      </c>
      <c r="U109" s="1232">
        <f t="shared" si="430"/>
        <v>1900591.1303188624</v>
      </c>
      <c r="V109" s="1232">
        <f t="shared" si="430"/>
        <v>1861309.1300000001</v>
      </c>
      <c r="W109" s="1232">
        <f t="shared" si="430"/>
        <v>229976.45483547173</v>
      </c>
      <c r="X109" s="1232">
        <f t="shared" si="430"/>
        <v>402286.92999999993</v>
      </c>
      <c r="Y109" s="1232">
        <f t="shared" si="430"/>
        <v>1067747.8260218331</v>
      </c>
      <c r="Z109" s="1232">
        <f t="shared" si="430"/>
        <v>1263839.1499999999</v>
      </c>
      <c r="AA109" s="1232">
        <f t="shared" si="430"/>
        <v>2130567.5851543345</v>
      </c>
      <c r="AB109" s="1232">
        <f t="shared" si="430"/>
        <v>2263596.06</v>
      </c>
      <c r="AC109" s="1232">
        <f t="shared" si="430"/>
        <v>427099.13040873315</v>
      </c>
      <c r="AD109" s="1232">
        <f t="shared" si="430"/>
        <v>339222.02999999997</v>
      </c>
      <c r="AE109" s="1232">
        <f t="shared" si="430"/>
        <v>2557666.7155630672</v>
      </c>
      <c r="AF109" s="1232">
        <f t="shared" si="430"/>
        <v>2602818.09</v>
      </c>
      <c r="AG109" s="1232">
        <f t="shared" si="430"/>
        <v>413957.61870384909</v>
      </c>
      <c r="AH109" s="1232">
        <f t="shared" si="430"/>
        <v>408003</v>
      </c>
      <c r="AI109" s="1232">
        <f t="shared" si="430"/>
        <v>2971624.3342669168</v>
      </c>
      <c r="AJ109" s="1232">
        <f t="shared" ref="AJ109:BF109" si="432">+AJ27+AJ28+AJ30</f>
        <v>3010821.09</v>
      </c>
      <c r="AK109" s="1232">
        <f t="shared" si="432"/>
        <v>427099.13040873315</v>
      </c>
      <c r="AL109" s="1232">
        <f t="shared" si="432"/>
        <v>425338.62999999995</v>
      </c>
      <c r="AM109" s="1232">
        <f t="shared" si="432"/>
        <v>1268155.8795213152</v>
      </c>
      <c r="AN109" s="1232">
        <f t="shared" si="432"/>
        <v>1172563.6599999999</v>
      </c>
      <c r="AO109" s="1232">
        <f t="shared" si="432"/>
        <v>3398723.4646756495</v>
      </c>
      <c r="AP109" s="1232">
        <f t="shared" si="432"/>
        <v>3436159.7199999997</v>
      </c>
      <c r="AQ109" s="1232">
        <f t="shared" si="432"/>
        <v>433669.88626117515</v>
      </c>
      <c r="AR109" s="1232">
        <f t="shared" si="432"/>
        <v>410023.12999999995</v>
      </c>
      <c r="AS109" s="1232">
        <f t="shared" si="432"/>
        <v>3832393.3509368249</v>
      </c>
      <c r="AT109" s="1232">
        <f t="shared" si="432"/>
        <v>3846182.8499999996</v>
      </c>
      <c r="AU109" s="1232">
        <f t="shared" si="432"/>
        <v>387674.59529408091</v>
      </c>
      <c r="AV109" s="1232">
        <f t="shared" si="432"/>
        <v>323600.32999999996</v>
      </c>
      <c r="AW109" s="1232">
        <f t="shared" si="432"/>
        <v>4220067.9462309061</v>
      </c>
      <c r="AX109" s="1232">
        <f t="shared" si="432"/>
        <v>4169783.1799999997</v>
      </c>
      <c r="AY109" s="1232">
        <f t="shared" si="432"/>
        <v>433669.88626117515</v>
      </c>
      <c r="AZ109" s="1232">
        <f t="shared" si="432"/>
        <v>412565.93</v>
      </c>
      <c r="BA109" s="1232">
        <f t="shared" si="432"/>
        <v>1255014.3678164312</v>
      </c>
      <c r="BB109" s="1232">
        <f t="shared" si="432"/>
        <v>1146189.3899999999</v>
      </c>
      <c r="BC109" s="1232">
        <f t="shared" si="432"/>
        <v>2523170.2473377464</v>
      </c>
      <c r="BD109" s="1232">
        <f t="shared" si="432"/>
        <v>2318753.0499999998</v>
      </c>
      <c r="BE109" s="1232">
        <f t="shared" si="432"/>
        <v>4653737.8324920814</v>
      </c>
      <c r="BF109" s="1232">
        <f t="shared" si="432"/>
        <v>4582349.1100000003</v>
      </c>
    </row>
    <row r="110" spans="1:60" x14ac:dyDescent="0.3">
      <c r="A110" s="135"/>
      <c r="B110" s="88"/>
      <c r="C110" s="316" t="s">
        <v>1276</v>
      </c>
      <c r="D110" s="1512">
        <f t="shared" ref="D110:AI110" si="433">+D27*100/D109</f>
        <v>69.999999999999986</v>
      </c>
      <c r="E110" s="1512">
        <f t="shared" si="433"/>
        <v>70</v>
      </c>
      <c r="F110" s="1512">
        <f t="shared" si="433"/>
        <v>71.488901927598349</v>
      </c>
      <c r="G110" s="1512">
        <f t="shared" ref="G110:H110" si="434">+G27*100/G109</f>
        <v>70</v>
      </c>
      <c r="H110" s="1512">
        <f t="shared" si="434"/>
        <v>68.984559504465935</v>
      </c>
      <c r="I110" s="1512">
        <f t="shared" si="433"/>
        <v>70</v>
      </c>
      <c r="J110" s="1512">
        <f t="shared" si="433"/>
        <v>70.680006924292357</v>
      </c>
      <c r="K110" s="1512">
        <f t="shared" si="433"/>
        <v>70</v>
      </c>
      <c r="L110" s="1512">
        <f t="shared" si="433"/>
        <v>70.603076765400957</v>
      </c>
      <c r="M110" s="1512">
        <f t="shared" si="433"/>
        <v>69.999999999999986</v>
      </c>
      <c r="N110" s="1512">
        <f t="shared" si="433"/>
        <v>70.64670150666926</v>
      </c>
      <c r="O110" s="1512">
        <f t="shared" si="433"/>
        <v>70</v>
      </c>
      <c r="P110" s="1512">
        <f t="shared" si="433"/>
        <v>70.948413654028116</v>
      </c>
      <c r="Q110" s="1512">
        <f t="shared" si="433"/>
        <v>70</v>
      </c>
      <c r="R110" s="1512">
        <f t="shared" si="433"/>
        <v>70.739371964867445</v>
      </c>
      <c r="S110" s="1512">
        <f t="shared" si="433"/>
        <v>70</v>
      </c>
      <c r="T110" s="1512">
        <f t="shared" si="433"/>
        <v>71.412130955035664</v>
      </c>
      <c r="U110" s="1512">
        <f t="shared" si="433"/>
        <v>70.000000000000014</v>
      </c>
      <c r="V110" s="1512">
        <f t="shared" si="433"/>
        <v>70.890581727281386</v>
      </c>
      <c r="W110" s="1512">
        <f t="shared" si="433"/>
        <v>70</v>
      </c>
      <c r="X110" s="1512">
        <f t="shared" si="433"/>
        <v>71.775411644618927</v>
      </c>
      <c r="Y110" s="1512">
        <f t="shared" si="433"/>
        <v>70</v>
      </c>
      <c r="Z110" s="1512">
        <f t="shared" si="433"/>
        <v>71.365148800778968</v>
      </c>
      <c r="AA110" s="1512">
        <f t="shared" si="433"/>
        <v>70</v>
      </c>
      <c r="AB110" s="1512">
        <f t="shared" si="433"/>
        <v>71.047833949666796</v>
      </c>
      <c r="AC110" s="1512">
        <f t="shared" si="433"/>
        <v>70</v>
      </c>
      <c r="AD110" s="1512">
        <f t="shared" si="433"/>
        <v>70.192964767058328</v>
      </c>
      <c r="AE110" s="1512">
        <f t="shared" si="433"/>
        <v>70</v>
      </c>
      <c r="AF110" s="1512">
        <f t="shared" si="433"/>
        <v>70.936419917075341</v>
      </c>
      <c r="AG110" s="1512">
        <f t="shared" si="433"/>
        <v>70</v>
      </c>
      <c r="AH110" s="1512">
        <f t="shared" si="433"/>
        <v>71.299475739148974</v>
      </c>
      <c r="AI110" s="1512">
        <f t="shared" si="433"/>
        <v>69.999999999999986</v>
      </c>
      <c r="AJ110" s="1512">
        <f t="shared" ref="AJ110:BF110" si="435">+AJ27*100/AJ109</f>
        <v>70.985618411487877</v>
      </c>
      <c r="AK110" s="1512">
        <f t="shared" si="435"/>
        <v>70</v>
      </c>
      <c r="AL110" s="1512">
        <f t="shared" si="435"/>
        <v>67.962178746849304</v>
      </c>
      <c r="AM110" s="1512">
        <f t="shared" si="435"/>
        <v>70</v>
      </c>
      <c r="AN110" s="1512">
        <f t="shared" si="435"/>
        <v>69.768783385287577</v>
      </c>
      <c r="AO110" s="1512">
        <f t="shared" si="435"/>
        <v>70</v>
      </c>
      <c r="AP110" s="1512">
        <f t="shared" si="435"/>
        <v>70.611367564718435</v>
      </c>
      <c r="AQ110" s="1512">
        <f t="shared" si="435"/>
        <v>70.000000000000014</v>
      </c>
      <c r="AR110" s="1512">
        <f t="shared" si="435"/>
        <v>68.691563814948694</v>
      </c>
      <c r="AS110" s="1512">
        <f t="shared" si="435"/>
        <v>70</v>
      </c>
      <c r="AT110" s="1512">
        <f t="shared" si="435"/>
        <v>70.406706483026397</v>
      </c>
      <c r="AU110" s="1512">
        <f t="shared" si="435"/>
        <v>70</v>
      </c>
      <c r="AV110" s="1512">
        <f t="shared" si="435"/>
        <v>72.190192142263896</v>
      </c>
      <c r="AW110" s="1512">
        <f t="shared" si="435"/>
        <v>70</v>
      </c>
      <c r="AX110" s="1512">
        <f t="shared" si="435"/>
        <v>70.545115729494583</v>
      </c>
      <c r="AY110" s="1512">
        <f t="shared" si="435"/>
        <v>70.000000000000014</v>
      </c>
      <c r="AZ110" s="1512">
        <f t="shared" si="435"/>
        <v>72.275284582999859</v>
      </c>
      <c r="BA110" s="1512">
        <f t="shared" si="435"/>
        <v>70</v>
      </c>
      <c r="BB110" s="1512">
        <f t="shared" si="435"/>
        <v>70.969266257123536</v>
      </c>
      <c r="BC110" s="1512">
        <f t="shared" si="435"/>
        <v>70</v>
      </c>
      <c r="BD110" s="1512">
        <f t="shared" si="435"/>
        <v>70.362197475061009</v>
      </c>
      <c r="BE110" s="1512">
        <f t="shared" si="435"/>
        <v>70</v>
      </c>
      <c r="BF110" s="1512">
        <f t="shared" si="435"/>
        <v>70.700889265069549</v>
      </c>
    </row>
    <row r="111" spans="1:60" x14ac:dyDescent="0.3">
      <c r="A111" s="135"/>
      <c r="B111" s="88"/>
      <c r="C111" s="316" t="s">
        <v>1277</v>
      </c>
      <c r="D111" s="1232">
        <f t="shared" ref="D111:AI111" si="436">+D28*100/D109</f>
        <v>12.999999999999996</v>
      </c>
      <c r="E111" s="1232">
        <f t="shared" si="436"/>
        <v>13</v>
      </c>
      <c r="F111" s="1232">
        <f t="shared" si="436"/>
        <v>13.293951451534912</v>
      </c>
      <c r="G111" s="1232">
        <f t="shared" ref="G111:H111" si="437">+G28*100/G109</f>
        <v>12.999999999999996</v>
      </c>
      <c r="H111" s="1232">
        <f t="shared" si="437"/>
        <v>13.360625147241784</v>
      </c>
      <c r="I111" s="1232">
        <f t="shared" si="436"/>
        <v>12.999999999999996</v>
      </c>
      <c r="J111" s="1232">
        <f t="shared" si="436"/>
        <v>13.315486852928533</v>
      </c>
      <c r="K111" s="1232">
        <f t="shared" si="436"/>
        <v>12.999999999999998</v>
      </c>
      <c r="L111" s="1232">
        <f t="shared" si="436"/>
        <v>14.349506762924433</v>
      </c>
      <c r="M111" s="1232">
        <f t="shared" si="436"/>
        <v>12.999999999999998</v>
      </c>
      <c r="N111" s="1232">
        <f t="shared" si="436"/>
        <v>13.763145683084101</v>
      </c>
      <c r="O111" s="1232">
        <f t="shared" si="436"/>
        <v>12.999999999999998</v>
      </c>
      <c r="P111" s="1232">
        <f t="shared" si="436"/>
        <v>16.504475047367112</v>
      </c>
      <c r="Q111" s="1232">
        <f t="shared" si="436"/>
        <v>13</v>
      </c>
      <c r="R111" s="1232">
        <f t="shared" si="436"/>
        <v>14.605141109798161</v>
      </c>
      <c r="S111" s="1232">
        <f t="shared" si="436"/>
        <v>12.999999999999998</v>
      </c>
      <c r="T111" s="1232">
        <f t="shared" si="436"/>
        <v>11.845227152280884</v>
      </c>
      <c r="U111" s="1232">
        <f t="shared" si="436"/>
        <v>13.000000000000002</v>
      </c>
      <c r="V111" s="1232">
        <f t="shared" si="436"/>
        <v>13.984820995317419</v>
      </c>
      <c r="W111" s="1232">
        <f t="shared" si="436"/>
        <v>12.999999999999998</v>
      </c>
      <c r="X111" s="1232">
        <f t="shared" si="436"/>
        <v>11.136280266425759</v>
      </c>
      <c r="Y111" s="1232">
        <f t="shared" si="436"/>
        <v>12.999999999999995</v>
      </c>
      <c r="Z111" s="1232">
        <f t="shared" si="436"/>
        <v>13.25347058603146</v>
      </c>
      <c r="AA111" s="1232">
        <f t="shared" si="436"/>
        <v>12.999999999999996</v>
      </c>
      <c r="AB111" s="1232">
        <f t="shared" si="436"/>
        <v>13.478577533837907</v>
      </c>
      <c r="AC111" s="1232">
        <f t="shared" si="436"/>
        <v>12.999999999999998</v>
      </c>
      <c r="AD111" s="1232">
        <f t="shared" si="436"/>
        <v>13.174350734237397</v>
      </c>
      <c r="AE111" s="1232">
        <f t="shared" si="436"/>
        <v>13</v>
      </c>
      <c r="AF111" s="1232">
        <f t="shared" si="436"/>
        <v>13.438928035112896</v>
      </c>
      <c r="AG111" s="1232">
        <f t="shared" si="436"/>
        <v>12.999999999999998</v>
      </c>
      <c r="AH111" s="1232">
        <f t="shared" si="436"/>
        <v>12.154322394688274</v>
      </c>
      <c r="AI111" s="1232">
        <f t="shared" si="436"/>
        <v>12.999999999999996</v>
      </c>
      <c r="AJ111" s="1232">
        <f t="shared" ref="AJ111:BF111" si="438">+AJ28*100/AJ109</f>
        <v>13.264848294257167</v>
      </c>
      <c r="AK111" s="1232">
        <f t="shared" si="438"/>
        <v>12.999999999999998</v>
      </c>
      <c r="AL111" s="1232">
        <f t="shared" si="438"/>
        <v>15.533623174551535</v>
      </c>
      <c r="AM111" s="1232">
        <f t="shared" si="438"/>
        <v>13.000000000000002</v>
      </c>
      <c r="AN111" s="1232">
        <f t="shared" si="438"/>
        <v>13.675231927279752</v>
      </c>
      <c r="AO111" s="1232">
        <f t="shared" si="438"/>
        <v>13</v>
      </c>
      <c r="AP111" s="1512">
        <f t="shared" si="438"/>
        <v>13.545684366499705</v>
      </c>
      <c r="AQ111" s="1232">
        <f t="shared" si="438"/>
        <v>13</v>
      </c>
      <c r="AR111" s="1232">
        <f t="shared" si="438"/>
        <v>17.050233239280917</v>
      </c>
      <c r="AS111" s="1232">
        <f t="shared" si="438"/>
        <v>12.999999999999998</v>
      </c>
      <c r="AT111" s="1512">
        <f t="shared" si="438"/>
        <v>13.919287534652703</v>
      </c>
      <c r="AU111" s="1232">
        <f t="shared" si="438"/>
        <v>12.999999999999996</v>
      </c>
      <c r="AV111" s="1232">
        <f t="shared" si="438"/>
        <v>13.514695735940691</v>
      </c>
      <c r="AW111" s="1232">
        <f t="shared" si="438"/>
        <v>12.999999999999996</v>
      </c>
      <c r="AX111" s="1512">
        <f t="shared" si="438"/>
        <v>13.887888770274143</v>
      </c>
      <c r="AY111" s="1232">
        <f t="shared" si="438"/>
        <v>13</v>
      </c>
      <c r="AZ111" s="1232">
        <f t="shared" si="438"/>
        <v>12.133575838412057</v>
      </c>
      <c r="BA111" s="1232">
        <f t="shared" si="438"/>
        <v>13</v>
      </c>
      <c r="BB111" s="1232">
        <f t="shared" si="438"/>
        <v>14.282325541331351</v>
      </c>
      <c r="BC111" s="1232">
        <f t="shared" si="438"/>
        <v>13</v>
      </c>
      <c r="BD111" s="1232">
        <f t="shared" si="438"/>
        <v>13.97532609175436</v>
      </c>
      <c r="BE111" s="1232">
        <f t="shared" si="438"/>
        <v>12.999999999999996</v>
      </c>
      <c r="BF111" s="1512">
        <f t="shared" si="438"/>
        <v>13.729941453544118</v>
      </c>
    </row>
    <row r="112" spans="1:60" x14ac:dyDescent="0.3">
      <c r="A112" s="135"/>
      <c r="B112" s="88"/>
      <c r="C112" s="316" t="s">
        <v>1278</v>
      </c>
      <c r="D112" s="1512">
        <f t="shared" ref="D112" si="439">100-D110-D111</f>
        <v>17.000000000000018</v>
      </c>
      <c r="E112" s="1512">
        <f t="shared" ref="E112:G112" si="440">100-E110-E111</f>
        <v>17</v>
      </c>
      <c r="F112" s="1512">
        <f>100-F110-F111</f>
        <v>15.217146620866739</v>
      </c>
      <c r="G112" s="1512">
        <f t="shared" si="440"/>
        <v>17.000000000000004</v>
      </c>
      <c r="H112" s="1512">
        <f>100-H110-H111</f>
        <v>17.654815348292281</v>
      </c>
      <c r="I112" s="1512">
        <f t="shared" ref="I112:S112" si="441">100-I110-I111</f>
        <v>17.000000000000004</v>
      </c>
      <c r="J112" s="1512">
        <f t="shared" si="441"/>
        <v>16.00450622277911</v>
      </c>
      <c r="K112" s="1512">
        <f t="shared" si="441"/>
        <v>17</v>
      </c>
      <c r="L112" s="1512">
        <f>100-L110-L111</f>
        <v>15.047416471674611</v>
      </c>
      <c r="M112" s="1512">
        <f t="shared" si="441"/>
        <v>17.000000000000014</v>
      </c>
      <c r="N112" s="1512">
        <f t="shared" si="441"/>
        <v>15.590152810246639</v>
      </c>
      <c r="O112" s="1512">
        <f t="shared" ref="O112" si="442">100-O110-O111</f>
        <v>17</v>
      </c>
      <c r="P112" s="1512">
        <f>100-P110-P111</f>
        <v>12.547111298604772</v>
      </c>
      <c r="Q112" s="1512">
        <f t="shared" si="441"/>
        <v>17</v>
      </c>
      <c r="R112" s="1512">
        <f t="shared" si="441"/>
        <v>14.655486925334394</v>
      </c>
      <c r="S112" s="1512">
        <f t="shared" si="441"/>
        <v>17</v>
      </c>
      <c r="T112" s="1512">
        <f>100-T110-T111</f>
        <v>16.742641892683451</v>
      </c>
      <c r="U112" s="1512">
        <f t="shared" ref="U112:W112" si="443">100-U110-U111</f>
        <v>16.999999999999986</v>
      </c>
      <c r="V112" s="1512">
        <f t="shared" si="443"/>
        <v>15.124597277401195</v>
      </c>
      <c r="W112" s="1512">
        <f t="shared" si="443"/>
        <v>17</v>
      </c>
      <c r="X112" s="1512">
        <f>100-X110-X111</f>
        <v>17.088308088955316</v>
      </c>
      <c r="Y112" s="1512">
        <f t="shared" ref="Y112:Z112" si="444">100-Y110-Y111</f>
        <v>17.000000000000007</v>
      </c>
      <c r="Z112" s="1512">
        <f t="shared" si="444"/>
        <v>15.381380613189572</v>
      </c>
      <c r="AA112" s="1512">
        <f t="shared" ref="AA112:AF112" si="445">100-AA110-AA111</f>
        <v>17.000000000000004</v>
      </c>
      <c r="AB112" s="1512">
        <f t="shared" si="445"/>
        <v>15.473588516495298</v>
      </c>
      <c r="AC112" s="1512">
        <f t="shared" si="445"/>
        <v>17</v>
      </c>
      <c r="AD112" s="1512">
        <f>100-AD110-AD111</f>
        <v>16.632684498704275</v>
      </c>
      <c r="AE112" s="1512">
        <f t="shared" si="445"/>
        <v>17</v>
      </c>
      <c r="AF112" s="1512">
        <f t="shared" si="445"/>
        <v>15.624652047811763</v>
      </c>
      <c r="AG112" s="1512">
        <f t="shared" ref="AG112" si="446">100-AG110-AG111</f>
        <v>17</v>
      </c>
      <c r="AH112" s="1512">
        <f>100-AH110-AH111</f>
        <v>16.546201866162754</v>
      </c>
      <c r="AI112" s="1512">
        <f t="shared" ref="AI112:AK112" si="447">100-AI110-AI111</f>
        <v>17.000000000000018</v>
      </c>
      <c r="AJ112" s="1512">
        <f t="shared" si="447"/>
        <v>15.749533294254956</v>
      </c>
      <c r="AK112" s="1512">
        <f t="shared" si="447"/>
        <v>17</v>
      </c>
      <c r="AL112" s="1512">
        <f>100-AL110-AL111</f>
        <v>16.50419807859916</v>
      </c>
      <c r="AM112" s="1512">
        <f t="shared" ref="AM112:AT112" si="448">100-AM110-AM111</f>
        <v>17</v>
      </c>
      <c r="AN112" s="1512">
        <f t="shared" si="448"/>
        <v>16.555984687432669</v>
      </c>
      <c r="AO112" s="1512">
        <f t="shared" si="448"/>
        <v>17</v>
      </c>
      <c r="AP112" s="1512">
        <f t="shared" si="448"/>
        <v>15.84294806878186</v>
      </c>
      <c r="AQ112" s="1512">
        <f t="shared" si="448"/>
        <v>16.999999999999986</v>
      </c>
      <c r="AR112" s="1512">
        <f>100-AR110-AR111</f>
        <v>14.258202945770389</v>
      </c>
      <c r="AS112" s="1512">
        <f t="shared" si="448"/>
        <v>17</v>
      </c>
      <c r="AT112" s="1512">
        <f t="shared" si="448"/>
        <v>15.674005982320899</v>
      </c>
      <c r="AU112" s="1512">
        <f t="shared" ref="AU112" si="449">100-AU110-AU111</f>
        <v>17.000000000000004</v>
      </c>
      <c r="AV112" s="1512">
        <f>100-AV110-AV111</f>
        <v>14.295112121795412</v>
      </c>
      <c r="AW112" s="1512">
        <f t="shared" ref="AW112:AY112" si="450">100-AW110-AW111</f>
        <v>17.000000000000004</v>
      </c>
      <c r="AX112" s="1512">
        <f t="shared" si="450"/>
        <v>15.566995500231274</v>
      </c>
      <c r="AY112" s="1512">
        <f t="shared" si="450"/>
        <v>16.999999999999986</v>
      </c>
      <c r="AZ112" s="1512">
        <f>100-AZ110-AZ111</f>
        <v>15.591139578588084</v>
      </c>
      <c r="BA112" s="1512">
        <f t="shared" ref="BA112:BD112" si="451">100-BA110-BA111</f>
        <v>17</v>
      </c>
      <c r="BB112" s="1512">
        <f t="shared" si="451"/>
        <v>14.748408201545113</v>
      </c>
      <c r="BC112" s="1512">
        <f t="shared" si="451"/>
        <v>17</v>
      </c>
      <c r="BD112" s="1512">
        <f t="shared" si="451"/>
        <v>15.662476433184631</v>
      </c>
      <c r="BE112" s="1512">
        <f t="shared" ref="BE112:BF112" si="452">100-BE110-BE111</f>
        <v>17.000000000000004</v>
      </c>
      <c r="BF112" s="1512">
        <f t="shared" si="452"/>
        <v>15.569169281386333</v>
      </c>
    </row>
    <row r="113" spans="2:58" x14ac:dyDescent="0.3">
      <c r="H113"/>
    </row>
    <row r="114" spans="2:58" x14ac:dyDescent="0.3">
      <c r="H114"/>
      <c r="AD114" s="23"/>
      <c r="AH114" s="110"/>
      <c r="AL114" s="23"/>
    </row>
    <row r="115" spans="2:58" hidden="1" x14ac:dyDescent="0.3">
      <c r="B115" t="s">
        <v>2119</v>
      </c>
      <c r="H115"/>
    </row>
    <row r="116" spans="2:58" ht="18" hidden="1" x14ac:dyDescent="0.35">
      <c r="B116" t="s">
        <v>2120</v>
      </c>
      <c r="C116" s="6163" t="s">
        <v>49</v>
      </c>
      <c r="F116" s="4853">
        <v>94.5</v>
      </c>
      <c r="H116" s="4853">
        <v>94.5</v>
      </c>
      <c r="L116" s="4853">
        <v>94.5</v>
      </c>
      <c r="N116" s="4853">
        <v>94.5</v>
      </c>
      <c r="P116" s="4853">
        <v>94.5</v>
      </c>
      <c r="T116" s="4853">
        <v>94.5</v>
      </c>
      <c r="X116" s="4853">
        <v>94.5</v>
      </c>
      <c r="AD116" s="4853">
        <v>94.5</v>
      </c>
      <c r="AH116" s="4853">
        <v>94.5</v>
      </c>
      <c r="AL116" s="4853">
        <v>94.5</v>
      </c>
      <c r="AN116" s="4853">
        <v>94.5</v>
      </c>
      <c r="AR116" s="4853">
        <v>94.5</v>
      </c>
      <c r="AV116" s="4853">
        <v>94.5</v>
      </c>
      <c r="AZ116" s="4853">
        <v>94.5</v>
      </c>
      <c r="BB116" s="4853">
        <v>94.5</v>
      </c>
      <c r="BD116" s="4853">
        <v>94.5</v>
      </c>
      <c r="BF116" s="4853">
        <v>94.5</v>
      </c>
    </row>
    <row r="117" spans="2:58" ht="18" hidden="1" x14ac:dyDescent="0.35">
      <c r="B117" t="s">
        <v>2121</v>
      </c>
      <c r="C117" s="6163"/>
      <c r="F117" s="4854">
        <f>+'Quality Iron ore sinter pellet'!R52</f>
        <v>57.06</v>
      </c>
      <c r="H117" s="4854">
        <f>+'Quality Iron ore sinter pellet'!T52</f>
        <v>2.21</v>
      </c>
      <c r="L117" s="4854">
        <f>+'Quality Iron ore sinter pellet'!R54</f>
        <v>56.59</v>
      </c>
      <c r="N117" s="4854">
        <f>AVERAGE(F117,H117,L117)</f>
        <v>38.620000000000005</v>
      </c>
      <c r="P117" s="4854">
        <f>+'Quality Iron ore sinter pellet'!R55</f>
        <v>55.77</v>
      </c>
      <c r="T117" s="4854">
        <f>+'Quality Iron ore sinter pellet'!R56</f>
        <v>56.09</v>
      </c>
      <c r="X117" s="4854">
        <f>+'Quality Iron ore sinter pellet'!R57</f>
        <v>55.81</v>
      </c>
      <c r="AD117" s="4854">
        <f>+'Quality Iron ore sinter pellet'!R58</f>
        <v>55.81</v>
      </c>
      <c r="AH117" s="4854">
        <f>+'Quality Iron ore sinter pellet'!R59</f>
        <v>55.81</v>
      </c>
      <c r="AL117" s="4854">
        <f>+'Quality Iron ore sinter pellet'!R60</f>
        <v>53.71</v>
      </c>
      <c r="AN117" s="4854">
        <f>AVERAGE(AD117,AH117,AL117)</f>
        <v>55.110000000000007</v>
      </c>
      <c r="AR117" s="4854">
        <f>+'Quality Iron ore sinter pellet'!R61</f>
        <v>54.17</v>
      </c>
      <c r="AV117" s="4854">
        <f>+'Quality Iron ore sinter pellet'!R62</f>
        <v>55.25</v>
      </c>
      <c r="AZ117" s="4854">
        <f>+'Quality Iron ore sinter pellet'!R63</f>
        <v>55.76</v>
      </c>
      <c r="BB117" s="4854">
        <f>AVERAGE(AR117,AV117,AZ117)</f>
        <v>55.06</v>
      </c>
      <c r="BD117" s="4854">
        <f>AVERAGE(AN117,BB117)</f>
        <v>55.085000000000008</v>
      </c>
      <c r="BF117" s="4854">
        <f>'Quality Iron ore sinter pellet'!R64</f>
        <v>55.72005642302755</v>
      </c>
    </row>
    <row r="118" spans="2:58" ht="18" hidden="1" x14ac:dyDescent="0.35">
      <c r="B118" t="s">
        <v>2122</v>
      </c>
      <c r="C118" s="6163"/>
      <c r="F118" s="4855">
        <f>+'Quality Iron ore sinter pellet'!L52</f>
        <v>62.97</v>
      </c>
      <c r="H118" s="4855">
        <f>+'Quality Iron ore sinter pellet'!N52</f>
        <v>1.76</v>
      </c>
      <c r="L118" s="4855">
        <f>+'Quality Iron ore sinter pellet'!L54</f>
        <v>63.086674418604645</v>
      </c>
      <c r="N118" s="4854">
        <f t="shared" ref="N118:N119" si="453">AVERAGE(F118,H118,L118)</f>
        <v>42.605558139534885</v>
      </c>
      <c r="P118" s="4855">
        <f>+'Quality Iron ore sinter pellet'!L55</f>
        <v>62.5</v>
      </c>
      <c r="T118" s="4855">
        <f>+'Quality Iron ore sinter pellet'!L56</f>
        <v>63.167023255813973</v>
      </c>
      <c r="X118" s="4855">
        <f>+'Quality Iron ore sinter pellet'!L57</f>
        <v>62.72</v>
      </c>
      <c r="AD118" s="4855">
        <f>+'Quality Iron ore sinter pellet'!L58</f>
        <v>62.71</v>
      </c>
      <c r="AH118" s="4855">
        <f>+'Quality Iron ore sinter pellet'!L59</f>
        <v>63.103594594594576</v>
      </c>
      <c r="AL118" s="4855">
        <f>+'Quality Iron ore sinter pellet'!L60</f>
        <v>62.52</v>
      </c>
      <c r="AN118" s="4854">
        <f t="shared" ref="AN118:AN119" si="454">AVERAGE(AD118,AH118,AL118)</f>
        <v>62.77786486486486</v>
      </c>
      <c r="AR118" s="4855">
        <f>+'Quality Iron ore sinter pellet'!L61</f>
        <v>62.606999999999992</v>
      </c>
      <c r="AV118" s="4855">
        <f>+'Quality Iron ore sinter pellet'!L62</f>
        <v>62.828891304347806</v>
      </c>
      <c r="AZ118" s="4855">
        <f>+'Quality Iron ore sinter pellet'!L63</f>
        <v>62.996566037735839</v>
      </c>
      <c r="BB118" s="4854">
        <f t="shared" ref="BB118:BB119" si="455">AVERAGE(AR118,AV118,AZ118)</f>
        <v>62.810819114027879</v>
      </c>
      <c r="BD118" s="4854">
        <f t="shared" ref="BD118:BD119" si="456">AVERAGE(AN118,BB118)</f>
        <v>62.794341989446366</v>
      </c>
      <c r="BF118" s="4854">
        <f>'Quality Iron ore sinter pellet'!L64</f>
        <v>62.85497913425808</v>
      </c>
    </row>
    <row r="119" spans="2:58" ht="18" hidden="1" x14ac:dyDescent="0.35">
      <c r="B119" t="s">
        <v>2123</v>
      </c>
      <c r="C119" s="6163"/>
      <c r="F119" s="4855">
        <f>+'Quality Iron ore sinter pellet'!X52</f>
        <v>63.366999999999997</v>
      </c>
      <c r="H119" s="4855">
        <f>+'Quality Iron ore sinter pellet'!Z52</f>
        <v>0.71799999999999997</v>
      </c>
      <c r="L119" s="4855">
        <f>+'Quality Iron ore sinter pellet'!X54</f>
        <v>63.178235294117648</v>
      </c>
      <c r="N119" s="4854">
        <f t="shared" si="453"/>
        <v>42.421078431372543</v>
      </c>
      <c r="P119" s="4855">
        <f>+'Quality Iron ore sinter pellet'!X55</f>
        <v>63.954999999999998</v>
      </c>
      <c r="T119" s="4855">
        <f>+'Quality Iron ore sinter pellet'!X56</f>
        <v>63.846666666666678</v>
      </c>
      <c r="X119" s="4855">
        <f>+'Quality Iron ore sinter pellet'!X57</f>
        <v>63.853076923076927</v>
      </c>
      <c r="AD119" s="4855">
        <f>+'Quality Iron ore sinter pellet'!X58</f>
        <v>63.32866666666667</v>
      </c>
      <c r="AH119" s="4855">
        <f>+'Quality Iron ore sinter pellet'!X59</f>
        <v>62.823333333333338</v>
      </c>
      <c r="AL119" s="4855">
        <f>+'Quality Iron ore sinter pellet'!X60</f>
        <v>62.42</v>
      </c>
      <c r="AN119" s="4854">
        <f t="shared" si="454"/>
        <v>62.857333333333337</v>
      </c>
      <c r="AR119" s="4855">
        <f>+'Quality Iron ore sinter pellet'!X61</f>
        <v>62.94</v>
      </c>
      <c r="AV119" s="4855">
        <f>+'Quality Iron ore sinter pellet'!X62</f>
        <v>63.323571428571434</v>
      </c>
      <c r="AZ119" s="4855">
        <f>+'Quality Iron ore sinter pellet'!X63</f>
        <v>62.881333333333338</v>
      </c>
      <c r="BB119" s="4854">
        <f t="shared" si="455"/>
        <v>63.048301587301587</v>
      </c>
      <c r="BD119" s="4854">
        <f t="shared" si="456"/>
        <v>62.952817460317462</v>
      </c>
      <c r="BF119" s="4854">
        <f>'Quality Iron ore sinter pellet'!X64</f>
        <v>63.271094470480499</v>
      </c>
    </row>
    <row r="120" spans="2:58" ht="18" hidden="1" x14ac:dyDescent="0.35">
      <c r="C120" s="6163"/>
      <c r="F120" s="4856"/>
      <c r="H120" s="4856"/>
      <c r="L120" s="4856"/>
      <c r="N120" s="4856"/>
      <c r="P120" s="4856"/>
      <c r="T120" s="4856"/>
      <c r="X120" s="4856"/>
      <c r="AD120" s="4856"/>
      <c r="AH120" s="4856"/>
      <c r="AL120" s="4856"/>
      <c r="AN120" s="4856"/>
      <c r="AR120" s="4856"/>
      <c r="AV120" s="4856"/>
      <c r="AZ120" s="4856"/>
      <c r="BB120" s="4856"/>
      <c r="BD120" s="4856"/>
      <c r="BF120" s="4856"/>
    </row>
    <row r="121" spans="2:58" ht="18" hidden="1" x14ac:dyDescent="0.35">
      <c r="B121" t="s">
        <v>2124</v>
      </c>
      <c r="C121" s="6163"/>
      <c r="F121" s="4859">
        <f>+F52</f>
        <v>71.488901927598349</v>
      </c>
      <c r="H121" s="4859">
        <f>+H52</f>
        <v>68.984559504465935</v>
      </c>
      <c r="L121" s="4859">
        <f>+L52</f>
        <v>70.603076765400957</v>
      </c>
      <c r="N121" s="4859">
        <f>+N52</f>
        <v>70.64670150666926</v>
      </c>
      <c r="P121" s="4859">
        <f>+P52</f>
        <v>70.948413654028116</v>
      </c>
      <c r="T121" s="4859">
        <f>+T52</f>
        <v>71.412130955035664</v>
      </c>
      <c r="X121" s="4859">
        <f>+X52</f>
        <v>71.775411644618927</v>
      </c>
      <c r="AD121" s="4859">
        <f>+AD52</f>
        <v>70.192964767058328</v>
      </c>
      <c r="AH121" s="4859">
        <f>+AH52</f>
        <v>71.299475739148974</v>
      </c>
      <c r="AL121" s="4859">
        <f>+AL52</f>
        <v>67.962178746849304</v>
      </c>
      <c r="AN121" s="4859">
        <f>+AN52</f>
        <v>69.768783385287577</v>
      </c>
      <c r="AR121" s="4859">
        <f>+AR52</f>
        <v>68.691563814948694</v>
      </c>
      <c r="AV121" s="4859">
        <f>+AV52</f>
        <v>72.190192142263896</v>
      </c>
      <c r="AZ121" s="4859">
        <f>+AZ52</f>
        <v>72.275284582999859</v>
      </c>
      <c r="BB121" s="4859">
        <f>+BB52</f>
        <v>70.969266257123536</v>
      </c>
      <c r="BD121" s="4859">
        <f>+BD52</f>
        <v>70.362197475061009</v>
      </c>
      <c r="BF121" s="4859">
        <f>+BF52</f>
        <v>70.700889265069549</v>
      </c>
    </row>
    <row r="122" spans="2:58" ht="18" hidden="1" x14ac:dyDescent="0.35">
      <c r="B122" t="s">
        <v>2125</v>
      </c>
      <c r="C122" s="6163"/>
      <c r="F122" s="4860">
        <f t="shared" ref="F122" si="457">100-F121-F123</f>
        <v>13.293951451534912</v>
      </c>
      <c r="H122" s="4860">
        <f t="shared" ref="H122" si="458">100-H121-H123</f>
        <v>13.360625147241784</v>
      </c>
      <c r="L122" s="4860">
        <f t="shared" ref="L122" si="459">100-L121-L123</f>
        <v>14.349506762924433</v>
      </c>
      <c r="N122" s="4860">
        <f t="shared" ref="N122" si="460">100-N121-N123</f>
        <v>13.763145683084101</v>
      </c>
      <c r="P122" s="4860">
        <f t="shared" ref="P122" si="461">100-P121-P123</f>
        <v>16.504475047367112</v>
      </c>
      <c r="T122" s="4860">
        <f t="shared" ref="T122" si="462">100-T121-T123</f>
        <v>11.845227152280884</v>
      </c>
      <c r="X122" s="4860">
        <f t="shared" ref="X122" si="463">100-X121-X123</f>
        <v>11.136280266425757</v>
      </c>
      <c r="AD122" s="4860">
        <f t="shared" ref="AD122" si="464">100-AD121-AD123</f>
        <v>13.174350734237397</v>
      </c>
      <c r="AH122" s="4860">
        <f t="shared" ref="AH122" si="465">100-AH121-AH123</f>
        <v>12.154322394688272</v>
      </c>
      <c r="AL122" s="4860">
        <f t="shared" ref="AL122" si="466">100-AL121-AL123</f>
        <v>15.533623174551536</v>
      </c>
      <c r="AN122" s="4860">
        <f t="shared" ref="AN122" si="467">100-AN121-AN123</f>
        <v>13.675231927279754</v>
      </c>
      <c r="AR122" s="4860">
        <f t="shared" ref="AR122" si="468">100-AR121-AR123</f>
        <v>17.050233239280917</v>
      </c>
      <c r="AV122" s="4860">
        <f t="shared" ref="AV122" si="469">100-AV121-AV123</f>
        <v>13.514695735940691</v>
      </c>
      <c r="AZ122" s="4860">
        <f t="shared" ref="AZ122:BB122" si="470">100-AZ121-AZ123</f>
        <v>12.133575838412057</v>
      </c>
      <c r="BB122" s="4860">
        <f t="shared" si="470"/>
        <v>14.282325541331351</v>
      </c>
      <c r="BD122" s="4860">
        <f t="shared" ref="BD122" si="471">100-BD121-BD123</f>
        <v>13.97532609175436</v>
      </c>
      <c r="BF122" s="4860">
        <f t="shared" ref="BF122" si="472">100-BF121-BF123</f>
        <v>13.729941453544118</v>
      </c>
    </row>
    <row r="123" spans="2:58" ht="18" hidden="1" x14ac:dyDescent="0.35">
      <c r="B123" t="s">
        <v>2126</v>
      </c>
      <c r="C123" s="6163"/>
      <c r="F123" s="4859">
        <f>+F53</f>
        <v>15.217146620866739</v>
      </c>
      <c r="H123" s="4859">
        <f>+H53</f>
        <v>17.654815348292281</v>
      </c>
      <c r="L123" s="4859">
        <f>+L53</f>
        <v>15.047416471674611</v>
      </c>
      <c r="N123" s="4859">
        <f>+N53</f>
        <v>15.590152810246639</v>
      </c>
      <c r="P123" s="4859">
        <f>+P53</f>
        <v>12.547111298604772</v>
      </c>
      <c r="T123" s="4859">
        <f>+T53</f>
        <v>16.742641892683451</v>
      </c>
      <c r="X123" s="4859">
        <f>+X53</f>
        <v>17.088308088955316</v>
      </c>
      <c r="AD123" s="4859">
        <f>+AD53</f>
        <v>16.632684498704275</v>
      </c>
      <c r="AH123" s="4859">
        <f>+AH53</f>
        <v>16.546201866162754</v>
      </c>
      <c r="AL123" s="4859">
        <f>+AL53</f>
        <v>16.50419807859916</v>
      </c>
      <c r="AN123" s="4859">
        <f>+AN53</f>
        <v>16.555984687432669</v>
      </c>
      <c r="AR123" s="4859">
        <f>+AR53</f>
        <v>14.258202945770389</v>
      </c>
      <c r="AV123" s="4859">
        <f>+AV53</f>
        <v>14.295112121795412</v>
      </c>
      <c r="AZ123" s="4859">
        <f>+AZ53</f>
        <v>15.591139578588084</v>
      </c>
      <c r="BB123" s="4859">
        <f>+BB53</f>
        <v>14.748408201545113</v>
      </c>
      <c r="BD123" s="4859">
        <f>+BD53</f>
        <v>15.662476433184631</v>
      </c>
      <c r="BF123" s="4859">
        <f>+BF53</f>
        <v>15.569169281386333</v>
      </c>
    </row>
    <row r="124" spans="2:58" ht="18" hidden="1" x14ac:dyDescent="0.35">
      <c r="B124" t="s">
        <v>2127</v>
      </c>
      <c r="C124" s="6163"/>
      <c r="F124" s="4860">
        <f t="shared" ref="F124" si="473">+F121+F123</f>
        <v>86.706048548465091</v>
      </c>
      <c r="H124" s="4860">
        <f t="shared" ref="H124" si="474">+H121+H123</f>
        <v>86.639374852758209</v>
      </c>
      <c r="L124" s="4860">
        <f t="shared" ref="L124" si="475">+L121+L123</f>
        <v>85.650493237075565</v>
      </c>
      <c r="N124" s="4860">
        <f t="shared" ref="N124" si="476">+N121+N123</f>
        <v>86.236854316915895</v>
      </c>
      <c r="P124" s="4860">
        <f t="shared" ref="P124" si="477">+P121+P123</f>
        <v>83.495524952632891</v>
      </c>
      <c r="T124" s="4860">
        <f t="shared" ref="T124" si="478">+T121+T123</f>
        <v>88.154772847719116</v>
      </c>
      <c r="X124" s="4860">
        <f t="shared" ref="X124" si="479">+X121+X123</f>
        <v>88.863719733574243</v>
      </c>
      <c r="AD124" s="4860">
        <f t="shared" ref="AD124" si="480">+AD121+AD123</f>
        <v>86.825649265762607</v>
      </c>
      <c r="AH124" s="4860">
        <f t="shared" ref="AH124" si="481">+AH121+AH123</f>
        <v>87.845677605311721</v>
      </c>
      <c r="AL124" s="4860">
        <f t="shared" ref="AL124" si="482">+AL121+AL123</f>
        <v>84.466376825448464</v>
      </c>
      <c r="AN124" s="4860">
        <f t="shared" ref="AN124" si="483">+AN121+AN123</f>
        <v>86.324768072720246</v>
      </c>
      <c r="AR124" s="4860">
        <f t="shared" ref="AR124" si="484">+AR121+AR123</f>
        <v>82.949766760719086</v>
      </c>
      <c r="AV124" s="4860">
        <f t="shared" ref="AV124" si="485">+AV121+AV123</f>
        <v>86.485304264059309</v>
      </c>
      <c r="AZ124" s="4860">
        <f t="shared" ref="AZ124:BB124" si="486">+AZ121+AZ123</f>
        <v>87.866424161587943</v>
      </c>
      <c r="BB124" s="4860">
        <f t="shared" si="486"/>
        <v>85.717674458668654</v>
      </c>
      <c r="BD124" s="4860">
        <f t="shared" ref="BD124" si="487">+BD121+BD123</f>
        <v>86.024673908245646</v>
      </c>
      <c r="BF124" s="4860">
        <f t="shared" ref="BF124" si="488">+BF121+BF123</f>
        <v>86.270058546455886</v>
      </c>
    </row>
    <row r="125" spans="2:58" ht="18" hidden="1" x14ac:dyDescent="0.35">
      <c r="C125" s="6163"/>
      <c r="F125" s="4856"/>
      <c r="H125" s="4856"/>
      <c r="L125" s="4856"/>
      <c r="N125" s="4856"/>
      <c r="P125" s="4856"/>
      <c r="T125" s="4856"/>
      <c r="X125" s="4856"/>
      <c r="AD125" s="4856"/>
      <c r="AH125" s="4856"/>
      <c r="AL125" s="4856"/>
      <c r="AN125" s="4856"/>
      <c r="AR125" s="4856"/>
      <c r="AV125" s="4856"/>
      <c r="AZ125" s="4856"/>
      <c r="BB125" s="4856"/>
      <c r="BD125" s="4856"/>
      <c r="BF125" s="4856"/>
    </row>
    <row r="126" spans="2:58" ht="18" hidden="1" x14ac:dyDescent="0.35">
      <c r="B126" t="s">
        <v>2128</v>
      </c>
      <c r="C126" s="6163"/>
      <c r="F126" s="4857">
        <f t="shared" ref="F126" si="489">+((F121*F117)+(F122*F118)+(F123*F119))/100</f>
        <v>58.805417968163781</v>
      </c>
      <c r="H126" s="4857">
        <f t="shared" ref="H126" si="490">+((H121*H117)+(H122*H118)+(H123*H119))/100</f>
        <v>1.886467341840891</v>
      </c>
      <c r="L126" s="4857">
        <f t="shared" ref="L126" si="491">+((L121*L117)+(L122*L118)+(L123*L119))/100</f>
        <v>58.513599937902598</v>
      </c>
      <c r="N126" s="4857">
        <f t="shared" ref="N126" si="492">+((N121*N117)+(N122*N118)+(N123*N119))/100</f>
        <v>39.761132108916513</v>
      </c>
      <c r="P126" s="4857">
        <f t="shared" ref="P126" si="493">+((P121*P117)+(P122*P118)+(P123*P119))/100</f>
        <v>57.907732230478608</v>
      </c>
      <c r="T126" s="4857">
        <f t="shared" ref="T126" si="494">+((T121*T117)+(T122*T118)+(T123*T119))/100</f>
        <v>58.226960403080064</v>
      </c>
      <c r="X126" s="4857">
        <f t="shared" ref="X126" si="495">+((X121*X117)+(X122*X118)+(X123*X119))/100</f>
        <v>57.953942730857072</v>
      </c>
      <c r="AD126" s="4857">
        <f t="shared" ref="AD126" si="496">+((AD121*AD117)+(AD122*AD118)+(AD123*AD119))/100</f>
        <v>57.969586305838291</v>
      </c>
      <c r="AH126" s="4857">
        <f t="shared" ref="AH126" si="497">+((AH121*AH117)+(AH122*AH118)+(AH123*AH119))/100</f>
        <v>57.856927292068796</v>
      </c>
      <c r="AL126" s="4857">
        <f t="shared" ref="AL126" si="498">+((AL121*AL117)+(AL122*AL118)+(AL123*AL119))/100</f>
        <v>56.516027854323987</v>
      </c>
      <c r="AN126" s="4857">
        <f t="shared" ref="AN126" si="499">+((AN121*AN117)+(AN122*AN118)+(AN123*AN119))/100</f>
        <v>57.4412456244917</v>
      </c>
      <c r="AR126" s="4857">
        <f t="shared" ref="AR126" si="500">+((AR121*AR117)+(AR122*AR118)+(AR123*AR119))/100</f>
        <v>56.85897257674219</v>
      </c>
      <c r="AV126" s="4857">
        <f t="shared" ref="AV126" si="501">+((AV121*AV117)+(AV122*AV118)+(AV123*AV119))/100</f>
        <v>57.4283901878878</v>
      </c>
      <c r="AZ126" s="4857">
        <f t="shared" ref="AZ126:BB126" si="502">+((AZ121*AZ117)+(AZ122*AZ118)+(AZ123*AZ119))/100</f>
        <v>57.748351248141965</v>
      </c>
      <c r="BB126" s="4857">
        <f t="shared" si="502"/>
        <v>57.345144544450939</v>
      </c>
      <c r="BD126" s="4857">
        <f t="shared" ref="BD126" si="503">+((BD121*BD117)+(BD122*BD118)+(BD123*BD119))/100</f>
        <v>57.39470073808188</v>
      </c>
      <c r="BF126" s="4857">
        <f t="shared" ref="BF126" si="504">+((BF121*BF117)+(BF122*BF118)+(BF123*BF119))/100</f>
        <v>57.875311030144964</v>
      </c>
    </row>
    <row r="127" spans="2:58" ht="18" hidden="1" x14ac:dyDescent="0.35">
      <c r="B127" t="s">
        <v>2129</v>
      </c>
      <c r="C127" s="6163" t="s">
        <v>240</v>
      </c>
      <c r="F127" s="4858">
        <f t="shared" ref="F127" si="505">+F116*1000/F126</f>
        <v>1606.9947849220396</v>
      </c>
      <c r="H127" s="4858">
        <f t="shared" ref="H127" si="506">+H116*1000/H126</f>
        <v>50093.631574762956</v>
      </c>
      <c r="L127" s="4858">
        <f t="shared" ref="L127" si="507">+L116*1000/L126</f>
        <v>1615.009161977521</v>
      </c>
      <c r="N127" s="4858">
        <f t="shared" ref="N127" si="508">+N116*1000/N126</f>
        <v>2376.6928904624469</v>
      </c>
      <c r="P127" s="4858">
        <f t="shared" ref="P127" si="509">+P116*1000/P126</f>
        <v>1631.9064200939606</v>
      </c>
      <c r="T127" s="4858">
        <f t="shared" ref="T127" si="510">+T116*1000/T126</f>
        <v>1622.9595250347497</v>
      </c>
      <c r="X127" s="4858">
        <f t="shared" ref="X127" si="511">+X116*1000/X126</f>
        <v>1630.605193487281</v>
      </c>
      <c r="AD127" s="4858">
        <f t="shared" ref="AD127" si="512">+AD116*1000/AD126</f>
        <v>1630.165161114538</v>
      </c>
      <c r="AH127" s="4858">
        <f t="shared" ref="AH127" si="513">+AH116*1000/AH126</f>
        <v>1633.3394188556285</v>
      </c>
      <c r="AL127" s="4858">
        <f t="shared" ref="AL127" si="514">+AL116*1000/AL126</f>
        <v>1672.0920345567049</v>
      </c>
      <c r="AN127" s="4858">
        <f t="shared" ref="AN127" si="515">+AN116*1000/AN126</f>
        <v>1645.1593097017947</v>
      </c>
      <c r="AR127" s="4858">
        <f t="shared" ref="AR127" si="516">+AR116*1000/AR126</f>
        <v>1662.0068164695372</v>
      </c>
      <c r="AV127" s="4858">
        <f t="shared" ref="AV127" si="517">+AV116*1000/AV126</f>
        <v>1645.5275812333489</v>
      </c>
      <c r="AZ127" s="4858">
        <f t="shared" ref="AZ127:BB127" si="518">+AZ116*1000/AZ126</f>
        <v>1636.4103555777363</v>
      </c>
      <c r="BB127" s="4858">
        <f t="shared" si="518"/>
        <v>1647.9163275410103</v>
      </c>
      <c r="BD127" s="4858">
        <f t="shared" ref="BD127" si="519">+BD116*1000/BD126</f>
        <v>1646.4934703858196</v>
      </c>
      <c r="BF127" s="4858">
        <f t="shared" ref="BF127" si="520">+BF116*1000/BF126</f>
        <v>1632.8205985930456</v>
      </c>
    </row>
    <row r="128" spans="2:58" ht="18" hidden="1" x14ac:dyDescent="0.35">
      <c r="C128" s="6163"/>
      <c r="F128" s="4858"/>
      <c r="H128" s="4858"/>
      <c r="L128" s="4858"/>
      <c r="N128" s="4858"/>
      <c r="P128" s="4858"/>
      <c r="T128" s="4858"/>
      <c r="X128" s="4858"/>
      <c r="AD128" s="4858"/>
      <c r="AH128" s="4858"/>
      <c r="AL128" s="4858"/>
      <c r="AN128" s="4858"/>
      <c r="AR128" s="4858"/>
      <c r="AV128" s="4858"/>
      <c r="AZ128" s="4858"/>
      <c r="BB128" s="4858"/>
      <c r="BD128" s="4858"/>
      <c r="BF128" s="4858"/>
    </row>
    <row r="129" spans="2:58" ht="18" hidden="1" x14ac:dyDescent="0.35">
      <c r="B129" s="29" t="s">
        <v>2134</v>
      </c>
      <c r="C129" s="6163"/>
      <c r="F129" s="4856"/>
      <c r="H129" s="4856"/>
      <c r="L129" s="4856"/>
      <c r="N129" s="4856"/>
      <c r="P129" s="4856"/>
      <c r="T129" s="4856"/>
      <c r="X129" s="4856"/>
      <c r="AD129" s="4856"/>
      <c r="AH129" s="4856"/>
      <c r="AL129" s="4856"/>
      <c r="AN129" s="4856"/>
      <c r="AR129" s="4856"/>
      <c r="AV129" s="4856"/>
      <c r="AZ129" s="4856"/>
      <c r="BB129" s="4856"/>
      <c r="BD129" s="4856"/>
      <c r="BF129" s="4856"/>
    </row>
    <row r="130" spans="2:58" ht="18" hidden="1" x14ac:dyDescent="0.35">
      <c r="B130" t="s">
        <v>2132</v>
      </c>
      <c r="C130" s="6163"/>
      <c r="F130" s="4858">
        <f t="shared" ref="F130" si="521">+F127*F121/100</f>
        <v>1148.8229257745368</v>
      </c>
      <c r="H130" s="4858">
        <f t="shared" ref="H130" si="522">+H127*H121/100</f>
        <v>34556.871081640289</v>
      </c>
      <c r="L130" s="4858">
        <f t="shared" ref="L130" si="523">+L127*L121/100</f>
        <v>1140.2461583992479</v>
      </c>
      <c r="N130" s="4858">
        <f t="shared" ref="N130" si="524">+N127*N121/100</f>
        <v>1679.0551320552345</v>
      </c>
      <c r="P130" s="4858">
        <f t="shared" ref="P130" si="525">+P127*P121/100</f>
        <v>1157.8117173749049</v>
      </c>
      <c r="T130" s="4858">
        <f t="shared" ref="T130" si="526">+T127*T121/100</f>
        <v>1158.9899813650402</v>
      </c>
      <c r="X130" s="4858">
        <f t="shared" ref="X130" si="527">+X127*X121/100</f>
        <v>1170.3735899240307</v>
      </c>
      <c r="AD130" s="4858">
        <f t="shared" ref="AD130" si="528">+AD127*AD121/100</f>
        <v>1144.2612571859872</v>
      </c>
      <c r="AH130" s="4858">
        <f t="shared" ref="AH130" si="529">+AH127*AH121/100</f>
        <v>1164.5624426849258</v>
      </c>
      <c r="AL130" s="4858">
        <f t="shared" ref="AL130" si="530">+AL127*AL121/100</f>
        <v>1136.390177337257</v>
      </c>
      <c r="AN130" s="4858">
        <f t="shared" ref="AN130" si="531">+AN127*AN121/100</f>
        <v>1147.8076351287375</v>
      </c>
      <c r="AR130" s="4858">
        <f t="shared" ref="AR130" si="532">+AR127*AR121/100</f>
        <v>1141.6584729439694</v>
      </c>
      <c r="AV130" s="4858">
        <f t="shared" ref="AV130" si="533">+AV127*AV121/100</f>
        <v>1187.9095226463023</v>
      </c>
      <c r="AZ130" s="4858">
        <f t="shared" ref="AZ130:BB130" si="534">+AZ127*AZ121/100</f>
        <v>1182.7202414394887</v>
      </c>
      <c r="BB130" s="4858">
        <f t="shared" si="534"/>
        <v>1169.5141261871916</v>
      </c>
      <c r="BD130" s="4858">
        <f t="shared" ref="BD130" si="535">+BD127*BD121/100</f>
        <v>1158.5089870468555</v>
      </c>
      <c r="BF130" s="4858">
        <f t="shared" ref="BF130" si="536">+BF127*BF121/100</f>
        <v>1154.4186833085148</v>
      </c>
    </row>
    <row r="131" spans="2:58" ht="18" hidden="1" x14ac:dyDescent="0.35">
      <c r="B131" t="s">
        <v>2130</v>
      </c>
      <c r="C131" s="6163"/>
      <c r="F131" s="4858">
        <f t="shared" ref="F131" si="537">+F127*F122/100</f>
        <v>213.63310653623384</v>
      </c>
      <c r="H131" s="4858">
        <f t="shared" ref="H131" si="538">+H127*H122/100</f>
        <v>6692.8223373444298</v>
      </c>
      <c r="L131" s="4858">
        <f t="shared" ref="L131" si="539">+L127*L122/100</f>
        <v>231.74584891981357</v>
      </c>
      <c r="N131" s="4858">
        <f t="shared" ref="N131" si="540">+N127*N122/100</f>
        <v>327.10770495384901</v>
      </c>
      <c r="P131" s="4858">
        <f t="shared" ref="P131" si="541">+P127*P122/100</f>
        <v>269.33758790078969</v>
      </c>
      <c r="T131" s="4858">
        <f t="shared" ref="T131" si="542">+T127*T122/100</f>
        <v>192.24324232994505</v>
      </c>
      <c r="X131" s="4858">
        <f t="shared" ref="X131" si="543">+X127*X122/100</f>
        <v>181.58876438563763</v>
      </c>
      <c r="AD131" s="4858">
        <f t="shared" ref="AD131" si="544">+AD127*AD122/100</f>
        <v>214.76367587257536</v>
      </c>
      <c r="AH131" s="4858">
        <f t="shared" ref="AH131" si="545">+AH127*AH122/100</f>
        <v>198.52133876724093</v>
      </c>
      <c r="AL131" s="4858">
        <f t="shared" ref="AL131" si="546">+AL127*AL122/100</f>
        <v>259.7364757797306</v>
      </c>
      <c r="AN131" s="4858">
        <f t="shared" ref="AN131" si="547">+AN127*AN122/100</f>
        <v>224.97935117495501</v>
      </c>
      <c r="AR131" s="4858">
        <f t="shared" ref="AR131" si="548">+AR127*AR122/100</f>
        <v>283.3760386608036</v>
      </c>
      <c r="AV131" s="4858">
        <f t="shared" ref="AV131" si="549">+AV127*AV122/100</f>
        <v>222.38804585467139</v>
      </c>
      <c r="AZ131" s="4858">
        <f t="shared" ref="AZ131:BB131" si="550">+AZ127*AZ122/100</f>
        <v>198.55509152165303</v>
      </c>
      <c r="BB131" s="4858">
        <f t="shared" si="550"/>
        <v>235.36077454815933</v>
      </c>
      <c r="BD131" s="4858">
        <f t="shared" ref="BD131" si="551">+BD127*BD122/100</f>
        <v>230.10283156586127</v>
      </c>
      <c r="BF131" s="4858">
        <f t="shared" ref="BF131" si="552">+BF127*BF122/100</f>
        <v>224.18531222823378</v>
      </c>
    </row>
    <row r="132" spans="2:58" ht="18" hidden="1" x14ac:dyDescent="0.35">
      <c r="B132" t="s">
        <v>2131</v>
      </c>
      <c r="C132" s="6163"/>
      <c r="F132" s="4858">
        <f t="shared" ref="F132" si="553">+F127*F123/100</f>
        <v>244.53875261126888</v>
      </c>
      <c r="H132" s="4858">
        <f t="shared" ref="H132" si="554">+H127*H123/100</f>
        <v>8843.9381557782399</v>
      </c>
      <c r="L132" s="4858">
        <f t="shared" ref="L132" si="555">+L127*L123/100</f>
        <v>243.01715465845959</v>
      </c>
      <c r="N132" s="4858">
        <f t="shared" ref="N132" si="556">+N127*N123/100</f>
        <v>370.53005345336328</v>
      </c>
      <c r="P132" s="4858">
        <f t="shared" ref="P132" si="557">+P127*P123/100</f>
        <v>204.75711481826599</v>
      </c>
      <c r="T132" s="4858">
        <f t="shared" ref="T132" si="558">+T127*T123/100</f>
        <v>271.72630133976435</v>
      </c>
      <c r="X132" s="4858">
        <f t="shared" ref="X132" si="559">+X127*X123/100</f>
        <v>278.64283917761253</v>
      </c>
      <c r="AD132" s="4858">
        <f t="shared" ref="AD132" si="560">+AD127*AD123/100</f>
        <v>271.14022805597534</v>
      </c>
      <c r="AH132" s="4858">
        <f t="shared" ref="AH132" si="561">+AH127*AH123/100</f>
        <v>270.25563740346189</v>
      </c>
      <c r="AL132" s="4858">
        <f t="shared" ref="AL132" si="562">+AL127*AL123/100</f>
        <v>275.96538143971725</v>
      </c>
      <c r="AN132" s="4858">
        <f t="shared" ref="AN132" si="563">+AN127*AN123/100</f>
        <v>272.37232339810214</v>
      </c>
      <c r="AR132" s="4858">
        <f t="shared" ref="AR132" si="564">+AR127*AR123/100</f>
        <v>236.97230486476423</v>
      </c>
      <c r="AV132" s="4858">
        <f t="shared" ref="AV132" si="565">+AV127*AV123/100</f>
        <v>235.23001273237531</v>
      </c>
      <c r="AZ132" s="4858">
        <f t="shared" ref="AZ132:BB132" si="566">+AZ127*AZ123/100</f>
        <v>255.13502261659443</v>
      </c>
      <c r="BB132" s="4858">
        <f t="shared" si="566"/>
        <v>243.0414268056594</v>
      </c>
      <c r="BD132" s="4858">
        <f t="shared" ref="BD132" si="567">+BD127*BD123/100</f>
        <v>257.88165177310276</v>
      </c>
      <c r="BF132" s="4858">
        <f t="shared" ref="BF132" si="568">+BF127*BF123/100</f>
        <v>254.21660305629692</v>
      </c>
    </row>
    <row r="133" spans="2:58" ht="18" hidden="1" x14ac:dyDescent="0.35">
      <c r="C133" s="6163"/>
      <c r="F133" s="4858">
        <f>SUM(F130:F132)</f>
        <v>1606.9947849220393</v>
      </c>
      <c r="H133" s="4858">
        <f>SUM(H130:H132)</f>
        <v>50093.631574762956</v>
      </c>
      <c r="L133" s="4858">
        <f>SUM(L130:L132)</f>
        <v>1615.009161977521</v>
      </c>
      <c r="N133" s="4858">
        <f>SUM(N130:N132)</f>
        <v>2376.6928904624465</v>
      </c>
      <c r="P133" s="4858">
        <f>SUM(P130:P132)</f>
        <v>1631.9064200939606</v>
      </c>
      <c r="T133" s="4858">
        <f>SUM(T130:T132)</f>
        <v>1622.9595250347497</v>
      </c>
      <c r="X133" s="4858">
        <f>SUM(X130:X132)</f>
        <v>1630.605193487281</v>
      </c>
      <c r="AD133" s="4858">
        <f>SUM(AD130:AD132)</f>
        <v>1630.1651611145378</v>
      </c>
      <c r="AH133" s="4858">
        <f>SUM(AH130:AH132)</f>
        <v>1633.3394188556285</v>
      </c>
      <c r="AL133" s="4858">
        <f>SUM(AL130:AL132)</f>
        <v>1672.0920345567049</v>
      </c>
      <c r="AN133" s="4858">
        <f>SUM(AN130:AN132)</f>
        <v>1645.1593097017949</v>
      </c>
      <c r="AR133" s="4858">
        <f>SUM(AR130:AR132)</f>
        <v>1662.0068164695372</v>
      </c>
      <c r="AV133" s="4858">
        <f>SUM(AV130:AV132)</f>
        <v>1645.5275812333491</v>
      </c>
      <c r="AZ133" s="4858">
        <f>SUM(AZ130:AZ132)</f>
        <v>1636.4103555777363</v>
      </c>
      <c r="BB133" s="4858">
        <f>SUM(BB130:BB132)</f>
        <v>1647.9163275410101</v>
      </c>
      <c r="BD133" s="4858">
        <f>SUM(BD130:BD132)</f>
        <v>1646.4934703858196</v>
      </c>
      <c r="BF133" s="4858">
        <f>SUM(BF130:BF132)</f>
        <v>1632.8205985930456</v>
      </c>
    </row>
    <row r="134" spans="2:58" hidden="1" x14ac:dyDescent="0.3">
      <c r="B134" s="29" t="s">
        <v>2133</v>
      </c>
      <c r="C134" s="6163"/>
      <c r="H134"/>
    </row>
    <row r="135" spans="2:58" ht="15" hidden="1" customHeight="1" x14ac:dyDescent="0.3">
      <c r="C135" s="6163"/>
      <c r="H135"/>
    </row>
    <row r="136" spans="2:58" ht="18" hidden="1" x14ac:dyDescent="0.35">
      <c r="B136" t="s">
        <v>2132</v>
      </c>
      <c r="C136" s="6163"/>
      <c r="F136" s="4858">
        <f>+F43</f>
        <v>1157.366304927348</v>
      </c>
      <c r="H136" s="4858">
        <f>+H43</f>
        <v>1141.5574639362144</v>
      </c>
      <c r="L136" s="4858">
        <f>+L43</f>
        <v>1168.6416951476904</v>
      </c>
      <c r="N136" s="4858">
        <f>+N43</f>
        <v>1159.3344197412844</v>
      </c>
      <c r="P136" s="4858">
        <f>+P43</f>
        <v>1172.6817812780748</v>
      </c>
      <c r="T136" s="4858">
        <f>+T43</f>
        <v>1179.6089134008994</v>
      </c>
      <c r="X136" s="4858">
        <f>+X43</f>
        <v>1186.7907343029558</v>
      </c>
      <c r="AD136" s="4858">
        <f>+AD43</f>
        <v>1173.1746961624856</v>
      </c>
      <c r="AH136" s="4858">
        <f>+AH43</f>
        <v>1191.5058149107797</v>
      </c>
      <c r="AL136" s="4858">
        <f>+AL43</f>
        <v>1149.1026033447156</v>
      </c>
      <c r="AN136" s="4858">
        <f>+AN43</f>
        <v>1170.913131826082</v>
      </c>
      <c r="AR136" s="4858">
        <f>+AR43</f>
        <v>1150.2948318857887</v>
      </c>
      <c r="AV136" s="4858">
        <f>+AV43</f>
        <v>1188.3878595123601</v>
      </c>
      <c r="AZ136" s="4858">
        <f>+AZ43</f>
        <v>1183.869406527212</v>
      </c>
      <c r="BB136" s="4858">
        <f>+BB43</f>
        <v>1173.2930582271642</v>
      </c>
      <c r="BD136" s="4858">
        <f>+BD43</f>
        <v>1172.0985018567574</v>
      </c>
      <c r="BF136" s="4858">
        <f>+BF43</f>
        <v>1171.3236729137279</v>
      </c>
    </row>
    <row r="137" spans="2:58" ht="18" hidden="1" x14ac:dyDescent="0.35">
      <c r="B137" t="s">
        <v>2130</v>
      </c>
      <c r="C137" s="6163"/>
      <c r="F137" s="4858">
        <f>+F44</f>
        <v>215.22181841496086</v>
      </c>
      <c r="H137" s="4858">
        <f>+H44</f>
        <v>221.09181343254582</v>
      </c>
      <c r="L137" s="4858">
        <f>+L44</f>
        <v>237.51701308540027</v>
      </c>
      <c r="N137" s="4858">
        <f>+N44</f>
        <v>225.85751597768177</v>
      </c>
      <c r="P137" s="4858">
        <f>+P44</f>
        <v>272.79675754254362</v>
      </c>
      <c r="T137" s="4858">
        <f>+T44</f>
        <v>195.66333259102376</v>
      </c>
      <c r="X137" s="4858">
        <f>+X44</f>
        <v>184.13595870732692</v>
      </c>
      <c r="AD137" s="4858">
        <f>+AD44</f>
        <v>220.19037051745133</v>
      </c>
      <c r="AH137" s="4858">
        <f>+AH44</f>
        <v>203.11433793081414</v>
      </c>
      <c r="AL137" s="4858">
        <f>+AL44</f>
        <v>262.64206295888476</v>
      </c>
      <c r="AN137" s="4858">
        <f>+AN44</f>
        <v>229.50821079955625</v>
      </c>
      <c r="AR137" s="4858">
        <f>+AR44</f>
        <v>285.51970705497291</v>
      </c>
      <c r="AV137" s="4858">
        <f>+AV44</f>
        <v>222.47759509968952</v>
      </c>
      <c r="AZ137" s="4858">
        <f>+AZ44</f>
        <v>198.74801337347543</v>
      </c>
      <c r="BB137" s="4858">
        <f>+BB44</f>
        <v>236.12127187946777</v>
      </c>
      <c r="BD137" s="4858">
        <f>+BD44</f>
        <v>232.80197837639713</v>
      </c>
      <c r="BF137" s="4858">
        <f>+BF44</f>
        <v>227.4682202646822</v>
      </c>
    </row>
    <row r="138" spans="2:58" ht="18" hidden="1" x14ac:dyDescent="0.35">
      <c r="B138" t="s">
        <v>2131</v>
      </c>
      <c r="C138" s="6163"/>
      <c r="F138" s="4858">
        <f>+F46</f>
        <v>246.35729856316595</v>
      </c>
      <c r="H138" s="4858">
        <f>+H46</f>
        <v>292.15213346334338</v>
      </c>
      <c r="L138" s="4858">
        <f>+L46</f>
        <v>249.06900801904783</v>
      </c>
      <c r="N138" s="4858">
        <f>+N46</f>
        <v>255.83927312217097</v>
      </c>
      <c r="P138" s="4858">
        <f>+P46</f>
        <v>207.38686137920047</v>
      </c>
      <c r="T138" s="4858">
        <f>+T46</f>
        <v>276.56042952875976</v>
      </c>
      <c r="X138" s="4858">
        <f>+X46</f>
        <v>282.55143704782705</v>
      </c>
      <c r="AD138" s="4858">
        <f>+AD46</f>
        <v>277.99145751842343</v>
      </c>
      <c r="AH138" s="4858">
        <f>+AH46</f>
        <v>276.50828472214829</v>
      </c>
      <c r="AL138" s="4858">
        <f>+AL46</f>
        <v>279.05251608953694</v>
      </c>
      <c r="AN138" s="4858">
        <f>+AN46</f>
        <v>277.85520888005561</v>
      </c>
      <c r="AR138" s="4858">
        <f>+AR46</f>
        <v>238.76494069464175</v>
      </c>
      <c r="AV138" s="4858">
        <f>+AV46</f>
        <v>235.32473306666708</v>
      </c>
      <c r="AZ138" s="4858">
        <f>+AZ46</f>
        <v>255.38291916082667</v>
      </c>
      <c r="BB138" s="4858">
        <f>+BB46</f>
        <v>243.82674184737769</v>
      </c>
      <c r="BD138" s="4858">
        <f>+BD46</f>
        <v>260.90664904559344</v>
      </c>
      <c r="BF138" s="4858">
        <f>+BF46</f>
        <v>257.93928105369616</v>
      </c>
    </row>
    <row r="139" spans="2:58" ht="18" hidden="1" x14ac:dyDescent="0.35">
      <c r="C139" s="6163"/>
      <c r="F139" s="4858">
        <f>SUM(F136:F138)</f>
        <v>1618.9454219054746</v>
      </c>
      <c r="H139" s="4858">
        <f>SUM(H136:H138)</f>
        <v>1654.8014108321036</v>
      </c>
      <c r="L139" s="4858">
        <f>SUM(L136:L138)</f>
        <v>1655.2277162521386</v>
      </c>
      <c r="N139" s="4858">
        <f>SUM(N136:N138)</f>
        <v>1641.031208841137</v>
      </c>
      <c r="P139" s="4858">
        <f>SUM(P136:P138)</f>
        <v>1652.8654001998189</v>
      </c>
      <c r="T139" s="4858">
        <f>SUM(T136:T138)</f>
        <v>1651.8326755206831</v>
      </c>
      <c r="X139" s="4858">
        <f>SUM(X136:X138)</f>
        <v>1653.4781300581096</v>
      </c>
      <c r="AD139" s="4858">
        <f>SUM(AD136:AD138)</f>
        <v>1671.3565241983604</v>
      </c>
      <c r="AH139" s="4858">
        <f>SUM(AH136:AH138)</f>
        <v>1671.1284375637422</v>
      </c>
      <c r="AL139" s="4858">
        <f>SUM(AL136:AL138)</f>
        <v>1690.7971823931373</v>
      </c>
      <c r="AN139" s="4858">
        <f>SUM(AN136:AN138)</f>
        <v>1678.276551505694</v>
      </c>
      <c r="AR139" s="4858">
        <f>SUM(AR136:AR138)</f>
        <v>1674.5794796354035</v>
      </c>
      <c r="AV139" s="4858">
        <f>SUM(AV136:AV138)</f>
        <v>1646.1901876787167</v>
      </c>
      <c r="AZ139" s="4858">
        <f>SUM(AZ136:AZ138)</f>
        <v>1638.0003390615143</v>
      </c>
      <c r="BB139" s="4858">
        <f>SUM(BB136:BB138)</f>
        <v>1653.2410719540096</v>
      </c>
      <c r="BD139" s="4858">
        <f>SUM(BD136:BD138)</f>
        <v>1665.8071292787479</v>
      </c>
      <c r="BF139" s="4858">
        <f>SUM(BF136:BF138)</f>
        <v>1656.7311742321062</v>
      </c>
    </row>
    <row r="140" spans="2:58" hidden="1" x14ac:dyDescent="0.3">
      <c r="C140" s="6163"/>
      <c r="H140"/>
    </row>
    <row r="141" spans="2:58" hidden="1" x14ac:dyDescent="0.3">
      <c r="B141" s="29" t="s">
        <v>1429</v>
      </c>
      <c r="C141" s="6163"/>
      <c r="H141"/>
    </row>
    <row r="142" spans="2:58" ht="15" hidden="1" customHeight="1" x14ac:dyDescent="0.3">
      <c r="C142" s="6163"/>
      <c r="H142"/>
    </row>
    <row r="143" spans="2:58" ht="18" hidden="1" x14ac:dyDescent="0.35">
      <c r="B143" t="s">
        <v>2132</v>
      </c>
      <c r="C143" s="6163"/>
      <c r="F143" s="4858">
        <f>+F136-F130</f>
        <v>8.5433791528112124</v>
      </c>
      <c r="H143" s="4858">
        <f>+H136-H130</f>
        <v>-33415.313617704072</v>
      </c>
      <c r="L143" s="4858">
        <f>+L136-L130</f>
        <v>28.39553674844251</v>
      </c>
      <c r="N143" s="4858">
        <f>+N136-N130</f>
        <v>-519.72071231395012</v>
      </c>
      <c r="P143" s="4858">
        <f>+P136-P130</f>
        <v>14.870063903169921</v>
      </c>
      <c r="T143" s="4858">
        <f>+T136-T130</f>
        <v>20.618932035859189</v>
      </c>
      <c r="X143" s="4858">
        <f>+X136-X130</f>
        <v>16.417144378925059</v>
      </c>
      <c r="AD143" s="4858">
        <f>+AD136-AD130</f>
        <v>28.913438976498355</v>
      </c>
      <c r="AH143" s="4858">
        <f>+AH136-AH130</f>
        <v>26.943372225853864</v>
      </c>
      <c r="AL143" s="4858">
        <f>+AL136-AL130</f>
        <v>12.712426007458589</v>
      </c>
      <c r="AN143" s="4858">
        <f>+AN136-AN130</f>
        <v>23.105496697344506</v>
      </c>
      <c r="AR143" s="4858">
        <f>+AR136-AR130</f>
        <v>8.6363589418192532</v>
      </c>
      <c r="AV143" s="4858">
        <f>+AV136-AV130</f>
        <v>0.47833686605781622</v>
      </c>
      <c r="AZ143" s="4858">
        <f>+AZ136-AZ130</f>
        <v>1.1491650877233042</v>
      </c>
      <c r="BB143" s="4858">
        <f>+BB136-BB130</f>
        <v>3.7789320399726876</v>
      </c>
      <c r="BD143" s="4858">
        <f>+BD136-BD130</f>
        <v>13.589514809901857</v>
      </c>
      <c r="BF143" s="4858">
        <f>+BF136-BF130</f>
        <v>16.904989605213132</v>
      </c>
    </row>
    <row r="144" spans="2:58" ht="18" hidden="1" x14ac:dyDescent="0.35">
      <c r="B144" t="s">
        <v>2130</v>
      </c>
      <c r="C144" s="6163"/>
      <c r="F144" s="4858">
        <f t="shared" ref="F144:F146" si="569">+F137-F131</f>
        <v>1.5887118787270254</v>
      </c>
      <c r="H144" s="4858">
        <f t="shared" ref="H144" si="570">+H137-H131</f>
        <v>-6471.7305239118841</v>
      </c>
      <c r="L144" s="4858">
        <f t="shared" ref="L144" si="571">+L137-L131</f>
        <v>5.771164165586697</v>
      </c>
      <c r="N144" s="4858">
        <f t="shared" ref="N144" si="572">+N137-N131</f>
        <v>-101.25018897616724</v>
      </c>
      <c r="P144" s="4858">
        <f t="shared" ref="P144" si="573">+P137-P131</f>
        <v>3.459169641753931</v>
      </c>
      <c r="T144" s="4858">
        <f t="shared" ref="T144" si="574">+T137-T131</f>
        <v>3.4200902610787125</v>
      </c>
      <c r="X144" s="4858">
        <f t="shared" ref="X144" si="575">+X137-X131</f>
        <v>2.5471943216892896</v>
      </c>
      <c r="AD144" s="4858">
        <f t="shared" ref="AD144" si="576">+AD137-AD131</f>
        <v>5.4266946448759654</v>
      </c>
      <c r="AH144" s="4858">
        <f t="shared" ref="AH144" si="577">+AH137-AH131</f>
        <v>4.5929991635732108</v>
      </c>
      <c r="AL144" s="4858">
        <f t="shared" ref="AL144" si="578">+AL137-AL131</f>
        <v>2.9055871791541676</v>
      </c>
      <c r="AN144" s="4858">
        <f t="shared" ref="AN144" si="579">+AN137-AN131</f>
        <v>4.5288596246012389</v>
      </c>
      <c r="AR144" s="4858">
        <f t="shared" ref="AR144" si="580">+AR137-AR131</f>
        <v>2.1436683941693104</v>
      </c>
      <c r="AV144" s="4858">
        <f t="shared" ref="AV144" si="581">+AV137-AV131</f>
        <v>8.9549245018133661E-2</v>
      </c>
      <c r="AZ144" s="4858">
        <f t="shared" ref="AZ144:BB144" si="582">+AZ137-AZ131</f>
        <v>0.19292185182240473</v>
      </c>
      <c r="BB144" s="4858">
        <f t="shared" si="582"/>
        <v>0.76049733130844288</v>
      </c>
      <c r="BD144" s="4858">
        <f t="shared" ref="BD144" si="583">+BD137-BD131</f>
        <v>2.6991468105358649</v>
      </c>
      <c r="BF144" s="4858">
        <f t="shared" ref="BF144" si="584">+BF137-BF131</f>
        <v>3.2829080364484184</v>
      </c>
    </row>
    <row r="145" spans="2:60" ht="18" hidden="1" x14ac:dyDescent="0.35">
      <c r="B145" t="s">
        <v>2131</v>
      </c>
      <c r="C145" s="6163"/>
      <c r="F145" s="4858">
        <f t="shared" si="569"/>
        <v>1.8185459518970788</v>
      </c>
      <c r="H145" s="4858">
        <f t="shared" ref="H145" si="585">+H138-H132</f>
        <v>-8551.7860223148964</v>
      </c>
      <c r="L145" s="4858">
        <f t="shared" ref="L145" si="586">+L138-L132</f>
        <v>6.0518533605882396</v>
      </c>
      <c r="N145" s="4858">
        <f t="shared" ref="N145" si="587">+N138-N132</f>
        <v>-114.69078033119231</v>
      </c>
      <c r="P145" s="4858">
        <f t="shared" ref="P145" si="588">+P138-P132</f>
        <v>2.6297465609344783</v>
      </c>
      <c r="T145" s="4858">
        <f t="shared" ref="T145" si="589">+T138-T132</f>
        <v>4.8341281889954075</v>
      </c>
      <c r="X145" s="4858">
        <f t="shared" ref="X145" si="590">+X138-X132</f>
        <v>3.9085978702145212</v>
      </c>
      <c r="AD145" s="4858">
        <f t="shared" ref="AD145" si="591">+AD138-AD132</f>
        <v>6.8512294624480887</v>
      </c>
      <c r="AH145" s="4858">
        <f t="shared" ref="AH145" si="592">+AH138-AH132</f>
        <v>6.2526473186863996</v>
      </c>
      <c r="AL145" s="4858">
        <f t="shared" ref="AL145" si="593">+AL138-AL132</f>
        <v>3.0871346498196885</v>
      </c>
      <c r="AN145" s="4858">
        <f t="shared" ref="AN145" si="594">+AN138-AN132</f>
        <v>5.482885481953474</v>
      </c>
      <c r="AR145" s="4858">
        <f t="shared" ref="AR145" si="595">+AR138-AR132</f>
        <v>1.7926358298775256</v>
      </c>
      <c r="AV145" s="4858">
        <f t="shared" ref="AV145" si="596">+AV138-AV132</f>
        <v>9.472033429176463E-2</v>
      </c>
      <c r="AZ145" s="4858">
        <f t="shared" ref="AZ145:BB145" si="597">+AZ138-AZ132</f>
        <v>0.24789654423224761</v>
      </c>
      <c r="BB145" s="4858">
        <f t="shared" si="597"/>
        <v>0.7853150417182917</v>
      </c>
      <c r="BD145" s="4858">
        <f t="shared" ref="BD145" si="598">+BD138-BD132</f>
        <v>3.0249972724906797</v>
      </c>
      <c r="BF145" s="4858">
        <f t="shared" ref="BF145" si="599">+BF138-BF132</f>
        <v>3.722677997399245</v>
      </c>
    </row>
    <row r="146" spans="2:60" ht="18" hidden="1" x14ac:dyDescent="0.35">
      <c r="C146" s="6163"/>
      <c r="F146" s="4858">
        <f t="shared" si="569"/>
        <v>11.950636983435288</v>
      </c>
      <c r="H146" s="4858">
        <f t="shared" ref="H146" si="600">+H139-H133</f>
        <v>-48438.830163930856</v>
      </c>
      <c r="L146" s="4858">
        <f t="shared" ref="L146" si="601">+L139-L133</f>
        <v>40.218554274617645</v>
      </c>
      <c r="N146" s="4858">
        <f t="shared" ref="N146" si="602">+N139-N133</f>
        <v>-735.66168162130953</v>
      </c>
      <c r="P146" s="4858">
        <f t="shared" ref="P146" si="603">+P139-P133</f>
        <v>20.958980105858245</v>
      </c>
      <c r="T146" s="4858">
        <f t="shared" ref="T146" si="604">+T139-T133</f>
        <v>28.873150485933365</v>
      </c>
      <c r="X146" s="4858">
        <f t="shared" ref="X146" si="605">+X139-X133</f>
        <v>22.872936570828642</v>
      </c>
      <c r="AD146" s="4858">
        <f t="shared" ref="AD146" si="606">+AD139-AD133</f>
        <v>41.19136308382258</v>
      </c>
      <c r="AH146" s="4858">
        <f t="shared" ref="AH146" si="607">+AH139-AH133</f>
        <v>37.789018708113645</v>
      </c>
      <c r="AL146" s="4858">
        <f t="shared" ref="AL146" si="608">+AL139-AL133</f>
        <v>18.705147836432388</v>
      </c>
      <c r="AN146" s="4858">
        <f t="shared" ref="AN146" si="609">+AN139-AN133</f>
        <v>33.117241803899105</v>
      </c>
      <c r="AR146" s="4858">
        <f t="shared" ref="AR146" si="610">+AR139-AR133</f>
        <v>12.572663165866288</v>
      </c>
      <c r="AV146" s="4858">
        <f t="shared" ref="AV146" si="611">+AV139-AV133</f>
        <v>0.66260644536760083</v>
      </c>
      <c r="AZ146" s="4858">
        <f t="shared" ref="AZ146:BB146" si="612">+AZ139-AZ133</f>
        <v>1.5899834837780418</v>
      </c>
      <c r="BB146" s="4858">
        <f t="shared" si="612"/>
        <v>5.3247444129995074</v>
      </c>
      <c r="BD146" s="4858">
        <f t="shared" ref="BD146" si="613">+BD139-BD133</f>
        <v>19.313658892928288</v>
      </c>
      <c r="BF146" s="4858">
        <f t="shared" ref="BF146" si="614">+BF139-BF133</f>
        <v>23.910575639060653</v>
      </c>
    </row>
    <row r="147" spans="2:60" hidden="1" x14ac:dyDescent="0.3">
      <c r="H147"/>
    </row>
    <row r="148" spans="2:60" hidden="1" x14ac:dyDescent="0.3">
      <c r="H148"/>
    </row>
    <row r="149" spans="2:60" hidden="1" x14ac:dyDescent="0.3">
      <c r="B149" t="s">
        <v>238</v>
      </c>
      <c r="F149" s="1507">
        <f>+F98-F28</f>
        <v>0</v>
      </c>
      <c r="H149" s="1507">
        <f>+H98-H28</f>
        <v>0</v>
      </c>
      <c r="I149" s="1507">
        <f>+I98-I28</f>
        <v>-84352.078255724802</v>
      </c>
      <c r="J149" s="1507">
        <f>+J98-J28</f>
        <v>0</v>
      </c>
      <c r="K149" s="1507"/>
      <c r="L149" s="1507">
        <f>+L98-L28</f>
        <v>0</v>
      </c>
      <c r="M149" s="1507"/>
      <c r="N149" s="1507">
        <f>+N98-N28</f>
        <v>0</v>
      </c>
      <c r="O149" s="1507"/>
      <c r="P149" s="1507">
        <f>+P98-P28</f>
        <v>0</v>
      </c>
      <c r="Q149" s="1507">
        <f>+Q98-Q28</f>
        <v>-192621.70781433865</v>
      </c>
      <c r="R149" s="1507">
        <f>+R98-R28</f>
        <v>0</v>
      </c>
      <c r="S149" s="1507"/>
      <c r="T149" s="1507">
        <f>+T98-T28</f>
        <v>0</v>
      </c>
      <c r="U149" s="1507">
        <f>+U98-U28</f>
        <v>-247076.84694145212</v>
      </c>
      <c r="V149" s="1507">
        <f>+V98-V28</f>
        <v>0</v>
      </c>
      <c r="W149" s="1507"/>
      <c r="X149" s="1507">
        <f>+X98-X28</f>
        <v>0</v>
      </c>
      <c r="Y149" s="1507"/>
      <c r="Z149" s="1507">
        <f>+Z98-Z28</f>
        <v>0</v>
      </c>
      <c r="AA149" s="1507"/>
      <c r="AB149" s="1507">
        <f>+AB98-AB28</f>
        <v>0</v>
      </c>
      <c r="AC149" s="1507"/>
      <c r="AD149" s="1507">
        <f>+AD98-AD28</f>
        <v>0</v>
      </c>
      <c r="AE149" s="1507">
        <f>+AE98-AE28</f>
        <v>-332496.67302319873</v>
      </c>
      <c r="AF149" s="1507">
        <f>+AF98-AF28</f>
        <v>0</v>
      </c>
      <c r="AG149" s="1507"/>
      <c r="AH149" s="1507">
        <f>+AH98-AH28</f>
        <v>-9.9999999998544808E-2</v>
      </c>
      <c r="AI149" s="1507">
        <f>+AI98-AI28</f>
        <v>-386311.1634546991</v>
      </c>
      <c r="AJ149" s="1507">
        <f>+AJ98-AJ28</f>
        <v>-0.1000000000349246</v>
      </c>
      <c r="AK149" s="1507"/>
      <c r="AL149" s="1507">
        <f>+AL98-AL28</f>
        <v>0</v>
      </c>
      <c r="AM149" s="1507"/>
      <c r="AN149" s="1507">
        <f>+AN98-AN28</f>
        <v>-9.9999999976716936E-2</v>
      </c>
      <c r="AO149" s="1507">
        <f>+AO98-AO28</f>
        <v>-441834.05040783441</v>
      </c>
      <c r="AP149" s="1507">
        <f>+AP98-AP28</f>
        <v>-0.1000000000349246</v>
      </c>
      <c r="AQ149" s="1507"/>
      <c r="AR149" s="1507">
        <f>+AR98-AR28</f>
        <v>0</v>
      </c>
      <c r="AS149" s="1507">
        <f>+AS98-AS28</f>
        <v>-498211.13562178717</v>
      </c>
      <c r="AT149" s="1507">
        <f>+AT98-AT28</f>
        <v>-9.9999999976716936E-2</v>
      </c>
      <c r="AU149" s="1507"/>
      <c r="AV149" s="1507">
        <f>+AV98-AV28</f>
        <v>0</v>
      </c>
      <c r="AW149" s="1507">
        <f>+AW98-AW28</f>
        <v>-548608.83301001764</v>
      </c>
      <c r="AX149" s="1507">
        <f>+AX98-AX28</f>
        <v>-9.9999999976716936E-2</v>
      </c>
      <c r="AY149" s="1507"/>
      <c r="AZ149" s="1507">
        <f>+AZ98-AZ28</f>
        <v>0</v>
      </c>
      <c r="BA149" s="1507"/>
      <c r="BB149" s="1507">
        <f>+BB98-BB28</f>
        <v>0</v>
      </c>
      <c r="BC149" s="1507"/>
      <c r="BD149" s="1507">
        <f>+BD98-BD28</f>
        <v>-9.9999999976716936E-2</v>
      </c>
      <c r="BE149" s="1507"/>
      <c r="BF149" s="1507">
        <f t="shared" ref="BF149" si="615">+BF98-BF28</f>
        <v>-9.9999999976716936E-2</v>
      </c>
      <c r="BG149" s="1507"/>
      <c r="BH149" s="1507"/>
    </row>
    <row r="150" spans="2:60" hidden="1" x14ac:dyDescent="0.3">
      <c r="B150" t="s">
        <v>25</v>
      </c>
      <c r="F150" s="2436">
        <f>+F99-F23</f>
        <v>2909.19955690403</v>
      </c>
      <c r="H150" s="2436">
        <f>+H99-H23</f>
        <v>1470.2745397523249</v>
      </c>
      <c r="L150" s="2436">
        <f>+L99-L23</f>
        <v>2914.6049286893831</v>
      </c>
      <c r="N150" s="2436">
        <f>+N99-N23</f>
        <v>7294.0790253457671</v>
      </c>
      <c r="P150" s="2436">
        <f>+P99-P23</f>
        <v>3110.2453752321744</v>
      </c>
      <c r="T150" s="2436">
        <f>+T99-T23</f>
        <v>2964.9555260268098</v>
      </c>
      <c r="X150" s="2436">
        <f>+X99-X23</f>
        <v>3038.5962090196117</v>
      </c>
      <c r="Z150" s="2436">
        <f>+Z99-Z23</f>
        <v>9113.797110278625</v>
      </c>
      <c r="AB150" s="2436">
        <f>+AB99-AB23</f>
        <v>16407.876135624363</v>
      </c>
      <c r="AD150" s="2436">
        <f>+AD99-AD23</f>
        <v>2642.9156878018694</v>
      </c>
      <c r="AH150" s="2436">
        <f>+AH99-AH23</f>
        <v>2861</v>
      </c>
      <c r="AL150" s="2436">
        <f>+AL99-AL23</f>
        <v>3053.2796920536202</v>
      </c>
      <c r="AN150" s="2436">
        <f>+AN99-AN23</f>
        <v>8557.1953798554605</v>
      </c>
      <c r="AR150" s="2436">
        <f>+AR99-AR23</f>
        <v>3018.9099015170359</v>
      </c>
      <c r="AV150" s="2436">
        <f>+AV99-AV23</f>
        <v>2703.1006416408636</v>
      </c>
      <c r="AZ150" s="2436">
        <f>+AZ99-AZ23</f>
        <v>2958.3162883384939</v>
      </c>
      <c r="BB150" s="2436">
        <f>+BB99-BB23</f>
        <v>8680.3268314963789</v>
      </c>
      <c r="BD150" s="2436">
        <f>+BD99-BD23</f>
        <v>17237.522211351781</v>
      </c>
      <c r="BF150" s="2436">
        <f>+BF99-BF23</f>
        <v>33645.398346976377</v>
      </c>
    </row>
    <row r="151" spans="2:60" hidden="1" x14ac:dyDescent="0.3">
      <c r="B151" t="s">
        <v>879</v>
      </c>
      <c r="F151" s="2436">
        <f>+F100-F24</f>
        <v>240.61841788441689</v>
      </c>
      <c r="H151" s="2436">
        <f>+H100-H24</f>
        <v>118.48581725490203</v>
      </c>
      <c r="L151" s="2436">
        <f>+L100-L24</f>
        <v>266.65934148606902</v>
      </c>
      <c r="N151" s="2436">
        <f>+N100-N24</f>
        <v>625.76357662538794</v>
      </c>
      <c r="P151" s="2436">
        <f>+P100-P24</f>
        <v>349.73353498451979</v>
      </c>
      <c r="T151" s="2436">
        <f>+T100-T24</f>
        <v>301.83941891640825</v>
      </c>
      <c r="X151" s="2436">
        <f>+X100-X24</f>
        <v>285.91798751289934</v>
      </c>
      <c r="Z151" s="2436">
        <f>+Z100-Z24</f>
        <v>937.49094141382739</v>
      </c>
      <c r="AB151" s="2436">
        <f>+AB100-AB24</f>
        <v>1563.2545180392117</v>
      </c>
      <c r="AD151" s="2436">
        <f>+AD100-AD24</f>
        <v>196.6382210526308</v>
      </c>
      <c r="AH151" s="2436">
        <f>+AH100-AH24</f>
        <v>295</v>
      </c>
      <c r="AL151" s="2436">
        <f>+AL100-AL24</f>
        <v>286.74357925696677</v>
      </c>
      <c r="AN151" s="2436">
        <f>+AN100-AN24</f>
        <v>778.38180030959847</v>
      </c>
      <c r="AR151" s="2436">
        <f>+AR100-AR24</f>
        <v>249.31030390505657</v>
      </c>
      <c r="AV151" s="2436">
        <f>+AV100-AV24</f>
        <v>187.52923927760639</v>
      </c>
      <c r="AZ151" s="2436">
        <f>+AZ100-AZ24</f>
        <v>265.0145979360168</v>
      </c>
      <c r="BB151" s="2436">
        <f>+BB100-BB24</f>
        <v>701.85414111868158</v>
      </c>
      <c r="BD151" s="2436">
        <f>+BD100-BD24</f>
        <v>1480.2359414282837</v>
      </c>
      <c r="BF151" s="2436">
        <f>+BF100-BF24</f>
        <v>3043.4904594675027</v>
      </c>
    </row>
    <row r="152" spans="2:60" hidden="1" x14ac:dyDescent="0.3">
      <c r="B152" t="s">
        <v>1824</v>
      </c>
      <c r="F152" s="2436">
        <f>+F101-F33</f>
        <v>0</v>
      </c>
      <c r="H152" s="2436">
        <f>+H101-H33</f>
        <v>159.95872033023716</v>
      </c>
      <c r="L152" s="2436">
        <f>+L101-L33</f>
        <v>0</v>
      </c>
      <c r="N152" s="2436">
        <f>+N101-N33</f>
        <v>159.95872033023716</v>
      </c>
      <c r="P152" s="2436">
        <f>+P101-P33</f>
        <v>0</v>
      </c>
      <c r="T152" s="2436">
        <f>+T101-T33</f>
        <v>0</v>
      </c>
      <c r="X152" s="2436">
        <f>+X101-X33</f>
        <v>0</v>
      </c>
      <c r="Z152" s="2436">
        <f>+Z101-Z33</f>
        <v>0</v>
      </c>
      <c r="AB152" s="2436">
        <f>+AB101-AB33</f>
        <v>159.95872033023716</v>
      </c>
      <c r="AD152" s="2436">
        <f>+AD101-AD33</f>
        <v>201.5</v>
      </c>
      <c r="AH152" s="2436">
        <f>+AH101-AH33</f>
        <v>22</v>
      </c>
      <c r="AL152" s="2436">
        <f>+AL101-AL33</f>
        <v>24.793601651186805</v>
      </c>
      <c r="AN152" s="2436">
        <f>+AN101-AN33</f>
        <v>248.29360165118669</v>
      </c>
      <c r="AR152" s="2436">
        <f>+AR101-AR33</f>
        <v>0</v>
      </c>
      <c r="AV152" s="2436">
        <f>+AV101-AV33</f>
        <v>0</v>
      </c>
      <c r="AZ152" s="2436">
        <f>+AZ101-AZ33</f>
        <v>0</v>
      </c>
      <c r="BB152" s="2436">
        <f>+BB101-BB33</f>
        <v>0</v>
      </c>
      <c r="BD152" s="2436">
        <f>+BD101-BD33</f>
        <v>248.29360165118669</v>
      </c>
      <c r="BF152" s="2436">
        <f>+BF101-BF33</f>
        <v>408.25232198142294</v>
      </c>
    </row>
    <row r="153" spans="2:60" hidden="1" x14ac:dyDescent="0.3">
      <c r="B153" t="s">
        <v>123</v>
      </c>
      <c r="F153" s="2436">
        <f>+F102-F25</f>
        <v>2933.8522071428561</v>
      </c>
      <c r="H153" s="2436">
        <f>+H102-H25</f>
        <v>1019.4505417582404</v>
      </c>
      <c r="L153" s="2436">
        <f>+L102-L25</f>
        <v>4014.9058747252639</v>
      </c>
      <c r="N153" s="2436">
        <f>+N102-N25</f>
        <v>7968.2086236263567</v>
      </c>
      <c r="P153" s="2436">
        <f>+P102-P25</f>
        <v>3786.3774098900976</v>
      </c>
      <c r="T153" s="2436">
        <f>+T102-T25</f>
        <v>3553.064869450558</v>
      </c>
      <c r="X153" s="2436">
        <f>+X102-X25</f>
        <v>3093.2668740659428</v>
      </c>
      <c r="Z153" s="2436">
        <f>+Z102-Z25</f>
        <v>10432.709153406598</v>
      </c>
      <c r="AB153" s="2436">
        <f>+AB102-AB25</f>
        <v>18400.91777703297</v>
      </c>
      <c r="AD153" s="2436">
        <f>+AD102-AD25</f>
        <v>2518.5093824175747</v>
      </c>
      <c r="AH153" s="2436">
        <f>+AH102-AH25</f>
        <v>3299.4348351648296</v>
      </c>
      <c r="AL153" s="2436">
        <f>+AL102-AL25</f>
        <v>3255.8624406593517</v>
      </c>
      <c r="AN153" s="2436">
        <f>+AN102-AN25</f>
        <v>9073.8066582417669</v>
      </c>
      <c r="AR153" s="2436">
        <f>+AR102-AR25</f>
        <v>3143.819100659337</v>
      </c>
      <c r="AV153" s="2436">
        <f>+AV102-AV25</f>
        <v>1734.0307318681298</v>
      </c>
      <c r="AZ153" s="2436">
        <f>+AZ102-AZ25</f>
        <v>3373.3959131868105</v>
      </c>
      <c r="BB153" s="2436">
        <f>+BB102-BB25</f>
        <v>8251.2457457142737</v>
      </c>
      <c r="BD153" s="2436">
        <f>+BD102-BD25</f>
        <v>17325.052403956041</v>
      </c>
      <c r="BF153" s="2436">
        <f>+BF102-BF25</f>
        <v>35725.970180989068</v>
      </c>
    </row>
    <row r="154" spans="2:60" hidden="1" x14ac:dyDescent="0.3">
      <c r="B154" t="s">
        <v>19</v>
      </c>
      <c r="F154" s="2436">
        <f>+F103-F27</f>
        <v>0</v>
      </c>
      <c r="H154" s="2436">
        <f>+H103-H27</f>
        <v>0</v>
      </c>
      <c r="L154" s="2436">
        <f>+L103-L27</f>
        <v>0</v>
      </c>
      <c r="N154" s="2436">
        <f>+N103-N27</f>
        <v>0</v>
      </c>
      <c r="P154" s="2436">
        <f>+P103-P27</f>
        <v>0</v>
      </c>
      <c r="T154" s="2436">
        <f>+T103-T27</f>
        <v>0</v>
      </c>
      <c r="X154" s="2436">
        <f>+X103-X27</f>
        <v>0</v>
      </c>
      <c r="Z154" s="2436">
        <f>+Z103-Z27</f>
        <v>0</v>
      </c>
      <c r="AB154" s="2436">
        <f>+AB103-AB27</f>
        <v>0</v>
      </c>
      <c r="AD154" s="2436">
        <f>+AD103-AD27</f>
        <v>0</v>
      </c>
      <c r="AH154" s="2436">
        <f>+AH103-AH27</f>
        <v>0.40000000002328306</v>
      </c>
      <c r="AL154" s="2436">
        <f>+AL103-AL27</f>
        <v>0</v>
      </c>
      <c r="AN154" s="2436">
        <f>+AN103-AN27</f>
        <v>0.40000000013969839</v>
      </c>
      <c r="AR154" s="2436">
        <f>+AR103-AR27</f>
        <v>0</v>
      </c>
      <c r="AV154" s="2436">
        <f>+AV103-AV27</f>
        <v>0</v>
      </c>
      <c r="AZ154" s="2436">
        <f>+AZ103-AZ27</f>
        <v>0</v>
      </c>
      <c r="BB154" s="2436">
        <f>+BB103-BB27</f>
        <v>0</v>
      </c>
      <c r="BD154" s="2436">
        <f>+BD103-BD27</f>
        <v>0.40000000013969839</v>
      </c>
      <c r="BF154" s="2436">
        <f>+BF103-BF27</f>
        <v>0.40000000037252903</v>
      </c>
    </row>
    <row r="155" spans="2:60" hidden="1" x14ac:dyDescent="0.3">
      <c r="B155" t="s">
        <v>880</v>
      </c>
      <c r="F155" s="2436">
        <f>+F105-F29</f>
        <v>0</v>
      </c>
      <c r="H155" s="2436">
        <f>+H105-H29</f>
        <v>0</v>
      </c>
      <c r="L155" s="2436">
        <f>+L105-L29</f>
        <v>0</v>
      </c>
      <c r="N155" s="2436">
        <f>+N105-N29</f>
        <v>0</v>
      </c>
      <c r="P155" s="2436">
        <f>+P105-P29</f>
        <v>0</v>
      </c>
      <c r="T155" s="2436">
        <f>+T105-T29</f>
        <v>0</v>
      </c>
      <c r="X155" s="2436">
        <f>+X105-X29</f>
        <v>0</v>
      </c>
      <c r="Z155" s="2436">
        <f>+Z105-Z29</f>
        <v>0</v>
      </c>
      <c r="AB155" s="2436">
        <f>+AB105-AB29</f>
        <v>0</v>
      </c>
      <c r="AD155" s="2436">
        <f>+AD105-AD29</f>
        <v>0</v>
      </c>
      <c r="AH155" s="2436">
        <f>+AH105-AH29</f>
        <v>0</v>
      </c>
      <c r="AL155" s="2436">
        <f>+AL105-AL29</f>
        <v>0</v>
      </c>
      <c r="AN155" s="2436">
        <f>+AN105-AN29</f>
        <v>0</v>
      </c>
      <c r="AR155" s="2436">
        <f>+AR105-AR29</f>
        <v>0</v>
      </c>
      <c r="AV155" s="2436">
        <f>+AV105-AV29</f>
        <v>0</v>
      </c>
      <c r="AZ155" s="2436">
        <f>+AZ105-AZ29</f>
        <v>0</v>
      </c>
      <c r="BB155" s="2436">
        <f>+BB105-BB29</f>
        <v>0</v>
      </c>
      <c r="BD155" s="2436">
        <f>+BD105-BD29</f>
        <v>0</v>
      </c>
      <c r="BF155" s="2436">
        <f>+BF105-BF29</f>
        <v>0</v>
      </c>
    </row>
    <row r="156" spans="2:60" hidden="1" x14ac:dyDescent="0.3">
      <c r="B156" t="s">
        <v>6</v>
      </c>
      <c r="F156" s="2436">
        <f>+F106-F31</f>
        <v>0</v>
      </c>
      <c r="H156" s="2436">
        <f>+H106-H31</f>
        <v>0</v>
      </c>
      <c r="L156" s="2436">
        <f>+L106-L31</f>
        <v>0</v>
      </c>
      <c r="N156" s="2436">
        <f>+N106-N31</f>
        <v>0</v>
      </c>
      <c r="P156" s="2436">
        <f>+P106-P31</f>
        <v>0</v>
      </c>
      <c r="T156" s="2436">
        <f>+T106-T31</f>
        <v>0</v>
      </c>
      <c r="X156" s="2436">
        <f>+X106-X31</f>
        <v>0</v>
      </c>
      <c r="Z156" s="2436">
        <f>+Z106-Z31</f>
        <v>0</v>
      </c>
      <c r="AB156" s="2436">
        <f>+AB106-AB31</f>
        <v>0</v>
      </c>
      <c r="AD156" s="2436">
        <f>+AD106-AD31</f>
        <v>0</v>
      </c>
      <c r="AH156" s="2436">
        <f>+AH106-AH31</f>
        <v>0</v>
      </c>
      <c r="AL156" s="2436">
        <f>+AL106-AL31</f>
        <v>0</v>
      </c>
      <c r="AN156" s="2436">
        <f>+AN106-AN31</f>
        <v>0</v>
      </c>
      <c r="AR156" s="2436">
        <f>+AR106-AR31</f>
        <v>0</v>
      </c>
      <c r="AV156" s="2436">
        <f>+AV106-AV31</f>
        <v>0</v>
      </c>
      <c r="AZ156" s="2436">
        <f>+AZ106-AZ31</f>
        <v>0</v>
      </c>
      <c r="BB156" s="2436">
        <f>+BB106-BB31</f>
        <v>0</v>
      </c>
      <c r="BD156" s="2436">
        <f>+BD106-BD31</f>
        <v>0</v>
      </c>
      <c r="BF156" s="2436">
        <f>+BF106-BF31</f>
        <v>0</v>
      </c>
    </row>
    <row r="157" spans="2:60" hidden="1" x14ac:dyDescent="0.3">
      <c r="B157" t="s">
        <v>1244</v>
      </c>
      <c r="F157" s="2436">
        <f>+F107-F30</f>
        <v>0</v>
      </c>
      <c r="H157" s="2436">
        <f>+H107-H30</f>
        <v>0</v>
      </c>
      <c r="L157" s="2436">
        <f>+L107-L30</f>
        <v>0</v>
      </c>
      <c r="N157" s="2436">
        <f>+N107-N30</f>
        <v>0</v>
      </c>
      <c r="P157" s="2436">
        <f>+P107-P30</f>
        <v>0</v>
      </c>
      <c r="T157" s="2436">
        <f>+T107-T30</f>
        <v>0</v>
      </c>
      <c r="X157" s="2436">
        <f>+X107-X30</f>
        <v>0</v>
      </c>
      <c r="Z157" s="2436">
        <f>+Z107-Z30</f>
        <v>0</v>
      </c>
      <c r="AB157" s="2436">
        <f>+AB107-AB30</f>
        <v>0</v>
      </c>
      <c r="AD157" s="2436">
        <f>+AD107-AD30</f>
        <v>0</v>
      </c>
      <c r="AH157" s="2436">
        <f>+AH107-AH30</f>
        <v>-0.16999999999825377</v>
      </c>
      <c r="AL157" s="2436">
        <f>+AL107-AL30</f>
        <v>0</v>
      </c>
      <c r="AN157" s="2436">
        <f>+AN107-AN30</f>
        <v>-0.17000000001280569</v>
      </c>
      <c r="AR157" s="2436">
        <f>+AR107-AR30</f>
        <v>0</v>
      </c>
      <c r="AV157" s="2436">
        <f>+AV107-AV30</f>
        <v>0</v>
      </c>
      <c r="AZ157" s="2436">
        <f>+AZ107-AZ30</f>
        <v>0</v>
      </c>
      <c r="BB157" s="2436">
        <f>+BB107-BB30</f>
        <v>0</v>
      </c>
      <c r="BD157" s="2436">
        <f>+BD107-BD30</f>
        <v>-0.17000000004190952</v>
      </c>
      <c r="BF157" s="2436">
        <f>+BF107-BF30</f>
        <v>-0.16999999992549419</v>
      </c>
    </row>
    <row r="158" spans="2:60" x14ac:dyDescent="0.3">
      <c r="H158"/>
    </row>
    <row r="159" spans="2:60" x14ac:dyDescent="0.3">
      <c r="H159" s="23">
        <f>+H99+H100</f>
        <v>51250.334097007209</v>
      </c>
    </row>
    <row r="160" spans="2:60" x14ac:dyDescent="0.3">
      <c r="H160"/>
    </row>
    <row r="161" spans="8:8" x14ac:dyDescent="0.3">
      <c r="H161"/>
    </row>
    <row r="162" spans="8:8" x14ac:dyDescent="0.3">
      <c r="H162"/>
    </row>
    <row r="163" spans="8:8" x14ac:dyDescent="0.3">
      <c r="H163"/>
    </row>
    <row r="164" spans="8:8" x14ac:dyDescent="0.3">
      <c r="H164"/>
    </row>
    <row r="165" spans="8:8" x14ac:dyDescent="0.3">
      <c r="H165"/>
    </row>
    <row r="166" spans="8:8" x14ac:dyDescent="0.3">
      <c r="H166"/>
    </row>
    <row r="167" spans="8:8" x14ac:dyDescent="0.3">
      <c r="H167"/>
    </row>
    <row r="168" spans="8:8" x14ac:dyDescent="0.3">
      <c r="H168"/>
    </row>
    <row r="169" spans="8:8" x14ac:dyDescent="0.3">
      <c r="H169"/>
    </row>
    <row r="170" spans="8:8" x14ac:dyDescent="0.3">
      <c r="H170"/>
    </row>
    <row r="171" spans="8:8" x14ac:dyDescent="0.3">
      <c r="H171"/>
    </row>
    <row r="172" spans="8:8" x14ac:dyDescent="0.3">
      <c r="H172"/>
    </row>
    <row r="173" spans="8:8" x14ac:dyDescent="0.3">
      <c r="H173"/>
    </row>
    <row r="174" spans="8:8" x14ac:dyDescent="0.3">
      <c r="H174"/>
    </row>
    <row r="175" spans="8:8" x14ac:dyDescent="0.3">
      <c r="H175"/>
    </row>
    <row r="176" spans="8:8" x14ac:dyDescent="0.3">
      <c r="H176"/>
    </row>
    <row r="177" spans="8:8" x14ac:dyDescent="0.3">
      <c r="H177"/>
    </row>
    <row r="178" spans="8:8" x14ac:dyDescent="0.3">
      <c r="H178"/>
    </row>
    <row r="179" spans="8:8" x14ac:dyDescent="0.3">
      <c r="H179"/>
    </row>
    <row r="180" spans="8:8" x14ac:dyDescent="0.3">
      <c r="H180"/>
    </row>
    <row r="181" spans="8:8" x14ac:dyDescent="0.3">
      <c r="H181"/>
    </row>
    <row r="182" spans="8:8" x14ac:dyDescent="0.3">
      <c r="H182"/>
    </row>
    <row r="183" spans="8:8" x14ac:dyDescent="0.3">
      <c r="H183"/>
    </row>
    <row r="184" spans="8:8" x14ac:dyDescent="0.3">
      <c r="H184"/>
    </row>
    <row r="185" spans="8:8" x14ac:dyDescent="0.3">
      <c r="H185"/>
    </row>
    <row r="186" spans="8:8" x14ac:dyDescent="0.3">
      <c r="H186"/>
    </row>
    <row r="187" spans="8:8" x14ac:dyDescent="0.3">
      <c r="H187"/>
    </row>
    <row r="188" spans="8:8" x14ac:dyDescent="0.3">
      <c r="H188"/>
    </row>
    <row r="189" spans="8:8" x14ac:dyDescent="0.3">
      <c r="H189"/>
    </row>
    <row r="190" spans="8:8" x14ac:dyDescent="0.3">
      <c r="H190"/>
    </row>
    <row r="191" spans="8:8" x14ac:dyDescent="0.3">
      <c r="H191"/>
    </row>
    <row r="192" spans="8:8" x14ac:dyDescent="0.3">
      <c r="H192"/>
    </row>
    <row r="193" spans="8:8" x14ac:dyDescent="0.3">
      <c r="H193"/>
    </row>
    <row r="194" spans="8:8" x14ac:dyDescent="0.3">
      <c r="H194"/>
    </row>
    <row r="195" spans="8:8" x14ac:dyDescent="0.3">
      <c r="H195"/>
    </row>
    <row r="196" spans="8:8" x14ac:dyDescent="0.3">
      <c r="H196"/>
    </row>
    <row r="197" spans="8:8" x14ac:dyDescent="0.3">
      <c r="H197"/>
    </row>
    <row r="198" spans="8:8" x14ac:dyDescent="0.3">
      <c r="H198"/>
    </row>
    <row r="199" spans="8:8" x14ac:dyDescent="0.3">
      <c r="H199"/>
    </row>
    <row r="200" spans="8:8" x14ac:dyDescent="0.3">
      <c r="H200"/>
    </row>
    <row r="201" spans="8:8" x14ac:dyDescent="0.3">
      <c r="H201"/>
    </row>
    <row r="202" spans="8:8" x14ac:dyDescent="0.3">
      <c r="H202"/>
    </row>
    <row r="203" spans="8:8" x14ac:dyDescent="0.3">
      <c r="H203"/>
    </row>
    <row r="204" spans="8:8" x14ac:dyDescent="0.3">
      <c r="H204"/>
    </row>
    <row r="205" spans="8:8" x14ac:dyDescent="0.3">
      <c r="H205"/>
    </row>
    <row r="206" spans="8:8" x14ac:dyDescent="0.3">
      <c r="H206"/>
    </row>
    <row r="207" spans="8:8" x14ac:dyDescent="0.3">
      <c r="H207"/>
    </row>
    <row r="208" spans="8:8" x14ac:dyDescent="0.3">
      <c r="H208"/>
    </row>
    <row r="209" spans="8:8" x14ac:dyDescent="0.3">
      <c r="H209"/>
    </row>
    <row r="210" spans="8:8" x14ac:dyDescent="0.3">
      <c r="H210"/>
    </row>
    <row r="211" spans="8:8" x14ac:dyDescent="0.3">
      <c r="H211"/>
    </row>
    <row r="212" spans="8:8" x14ac:dyDescent="0.3">
      <c r="H212"/>
    </row>
    <row r="213" spans="8:8" x14ac:dyDescent="0.3">
      <c r="H213"/>
    </row>
    <row r="214" spans="8:8" x14ac:dyDescent="0.3">
      <c r="H214"/>
    </row>
    <row r="215" spans="8:8" x14ac:dyDescent="0.3">
      <c r="H215"/>
    </row>
    <row r="216" spans="8:8" x14ac:dyDescent="0.3">
      <c r="H216"/>
    </row>
    <row r="217" spans="8:8" x14ac:dyDescent="0.3">
      <c r="H217"/>
    </row>
    <row r="218" spans="8:8" x14ac:dyDescent="0.3">
      <c r="H218"/>
    </row>
    <row r="219" spans="8:8" x14ac:dyDescent="0.3">
      <c r="H219"/>
    </row>
    <row r="220" spans="8:8" x14ac:dyDescent="0.3">
      <c r="H220"/>
    </row>
    <row r="221" spans="8:8" x14ac:dyDescent="0.3">
      <c r="H221"/>
    </row>
    <row r="222" spans="8:8" x14ac:dyDescent="0.3">
      <c r="H222"/>
    </row>
    <row r="223" spans="8:8" x14ac:dyDescent="0.3">
      <c r="H223"/>
    </row>
    <row r="224" spans="8:8" x14ac:dyDescent="0.3">
      <c r="H224"/>
    </row>
    <row r="225" spans="8:8" x14ac:dyDescent="0.3">
      <c r="H225"/>
    </row>
    <row r="226" spans="8:8" x14ac:dyDescent="0.3">
      <c r="H226"/>
    </row>
    <row r="227" spans="8:8" x14ac:dyDescent="0.3">
      <c r="H227"/>
    </row>
    <row r="228" spans="8:8" x14ac:dyDescent="0.3">
      <c r="H228"/>
    </row>
    <row r="229" spans="8:8" x14ac:dyDescent="0.3">
      <c r="H229"/>
    </row>
    <row r="230" spans="8:8" x14ac:dyDescent="0.3">
      <c r="H230"/>
    </row>
    <row r="231" spans="8:8" x14ac:dyDescent="0.3">
      <c r="H231"/>
    </row>
    <row r="232" spans="8:8" x14ac:dyDescent="0.3">
      <c r="H232"/>
    </row>
    <row r="233" spans="8:8" x14ac:dyDescent="0.3">
      <c r="H233"/>
    </row>
    <row r="234" spans="8:8" x14ac:dyDescent="0.3">
      <c r="H234"/>
    </row>
    <row r="235" spans="8:8" x14ac:dyDescent="0.3">
      <c r="H235"/>
    </row>
    <row r="236" spans="8:8" x14ac:dyDescent="0.3">
      <c r="H236"/>
    </row>
    <row r="237" spans="8:8" x14ac:dyDescent="0.3">
      <c r="H237"/>
    </row>
    <row r="238" spans="8:8" x14ac:dyDescent="0.3">
      <c r="H238"/>
    </row>
    <row r="239" spans="8:8" x14ac:dyDescent="0.3">
      <c r="H239"/>
    </row>
    <row r="240" spans="8:8" x14ac:dyDescent="0.3">
      <c r="H240"/>
    </row>
    <row r="241" spans="8:8" x14ac:dyDescent="0.3">
      <c r="H241"/>
    </row>
    <row r="242" spans="8:8" x14ac:dyDescent="0.3">
      <c r="H242"/>
    </row>
    <row r="243" spans="8:8" x14ac:dyDescent="0.3">
      <c r="H243"/>
    </row>
    <row r="244" spans="8:8" x14ac:dyDescent="0.3">
      <c r="H244"/>
    </row>
    <row r="245" spans="8:8" x14ac:dyDescent="0.3">
      <c r="H245"/>
    </row>
    <row r="246" spans="8:8" x14ac:dyDescent="0.3">
      <c r="H246"/>
    </row>
    <row r="247" spans="8:8" x14ac:dyDescent="0.3">
      <c r="H247"/>
    </row>
    <row r="248" spans="8:8" x14ac:dyDescent="0.3">
      <c r="H248"/>
    </row>
    <row r="249" spans="8:8" x14ac:dyDescent="0.3">
      <c r="H249"/>
    </row>
    <row r="250" spans="8:8" x14ac:dyDescent="0.3">
      <c r="H250"/>
    </row>
  </sheetData>
  <mergeCells count="32">
    <mergeCell ref="C116:C126"/>
    <mergeCell ref="C127:C146"/>
    <mergeCell ref="AY4:AZ4"/>
    <mergeCell ref="BE4:BF4"/>
    <mergeCell ref="BA4:BB4"/>
    <mergeCell ref="BC4:BD4"/>
    <mergeCell ref="AK4:AL4"/>
    <mergeCell ref="AM4:AN4"/>
    <mergeCell ref="AO4:AP4"/>
    <mergeCell ref="AU4:AV4"/>
    <mergeCell ref="AW4:AX4"/>
    <mergeCell ref="AQ4:AR4"/>
    <mergeCell ref="AS4:AT4"/>
    <mergeCell ref="S4:T4"/>
    <mergeCell ref="U4:V4"/>
    <mergeCell ref="AG4:AH4"/>
    <mergeCell ref="AI4:AJ4"/>
    <mergeCell ref="AC4:AD4"/>
    <mergeCell ref="AE4:AF4"/>
    <mergeCell ref="W4:X4"/>
    <mergeCell ref="AA4:AB4"/>
    <mergeCell ref="Y4:Z4"/>
    <mergeCell ref="K4:L4"/>
    <mergeCell ref="M4:N4"/>
    <mergeCell ref="O4:P4"/>
    <mergeCell ref="Q4:R4"/>
    <mergeCell ref="B4:B5"/>
    <mergeCell ref="C4:C5"/>
    <mergeCell ref="E4:F4"/>
    <mergeCell ref="G4:H4"/>
    <mergeCell ref="I4:J4"/>
    <mergeCell ref="D4:D5"/>
  </mergeCells>
  <printOptions horizontalCentered="1" verticalCentered="1"/>
  <pageMargins left="0" right="0" top="0" bottom="0" header="0" footer="0"/>
  <pageSetup scale="41"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tabColor theme="2" tint="-0.499984740745262"/>
    <pageSetUpPr fitToPage="1"/>
  </sheetPr>
  <dimension ref="A1:BQ505"/>
  <sheetViews>
    <sheetView zoomScale="110" zoomScaleNormal="110" workbookViewId="0">
      <pane xSplit="4" topLeftCell="E1" activePane="topRight" state="frozen"/>
      <selection pane="topRight" activeCell="BG105" sqref="BG105"/>
    </sheetView>
  </sheetViews>
  <sheetFormatPr defaultColWidth="9.109375" defaultRowHeight="21" customHeight="1" x14ac:dyDescent="0.25"/>
  <cols>
    <col min="1" max="1" width="2.6640625" style="4" customWidth="1"/>
    <col min="2" max="2" width="57.44140625" style="4" bestFit="1" customWidth="1"/>
    <col min="3" max="3" width="12.6640625" style="4" bestFit="1" customWidth="1"/>
    <col min="4" max="4" width="13.6640625" style="2961" customWidth="1"/>
    <col min="5" max="5" width="9.44140625" style="105" customWidth="1"/>
    <col min="6" max="6" width="18.109375" style="41" customWidth="1"/>
    <col min="7" max="7" width="9.44140625" style="105" customWidth="1"/>
    <col min="8" max="8" width="16.5546875" style="41" customWidth="1"/>
    <col min="9" max="9" width="9.44140625" style="105" customWidth="1"/>
    <col min="10" max="10" width="18.5546875" style="41" customWidth="1"/>
    <col min="11" max="11" width="9.44140625" style="2962" hidden="1" customWidth="1"/>
    <col min="12" max="12" width="23.88671875" style="4" hidden="1" customWidth="1"/>
    <col min="13" max="13" width="9.44140625" style="105" hidden="1" customWidth="1"/>
    <col min="14" max="14" width="20.44140625" style="4" hidden="1" customWidth="1"/>
    <col min="15" max="15" width="9.44140625" style="2962" hidden="1" customWidth="1"/>
    <col min="16" max="16" width="20.6640625" style="4" hidden="1" customWidth="1"/>
    <col min="17" max="17" width="9.44140625" style="105" hidden="1" customWidth="1"/>
    <col min="18" max="18" width="17.33203125" style="4" hidden="1" customWidth="1"/>
    <col min="19" max="19" width="14.88671875" style="4" hidden="1" customWidth="1"/>
    <col min="20" max="20" width="18" style="4" hidden="1" customWidth="1"/>
    <col min="21" max="21" width="10.44140625" style="4" hidden="1" customWidth="1"/>
    <col min="22" max="22" width="17.6640625" style="4" hidden="1" customWidth="1"/>
    <col min="23" max="23" width="9.44140625" style="41" hidden="1" customWidth="1"/>
    <col min="24" max="24" width="18.109375" style="4" hidden="1" customWidth="1"/>
    <col min="25" max="25" width="12.109375" style="4" hidden="1" customWidth="1"/>
    <col min="26" max="26" width="18.109375" style="4" hidden="1" customWidth="1"/>
    <col min="27" max="27" width="10.44140625" style="4" hidden="1" customWidth="1"/>
    <col min="28" max="28" width="18.109375" style="4" hidden="1" customWidth="1"/>
    <col min="29" max="29" width="9.44140625" style="4" hidden="1" customWidth="1"/>
    <col min="30" max="30" width="26.109375" style="4" hidden="1" customWidth="1"/>
    <col min="31" max="31" width="10.44140625" style="4" hidden="1" customWidth="1"/>
    <col min="32" max="32" width="14.6640625" style="4" hidden="1" customWidth="1"/>
    <col min="33" max="33" width="9.44140625" style="4" hidden="1" customWidth="1"/>
    <col min="34" max="34" width="18.109375" style="4" hidden="1" customWidth="1"/>
    <col min="35" max="35" width="10.44140625" style="4" hidden="1" customWidth="1"/>
    <col min="36" max="36" width="32" style="4" hidden="1" customWidth="1"/>
    <col min="37" max="37" width="9.44140625" style="4" hidden="1" customWidth="1"/>
    <col min="38" max="38" width="18.109375" style="4" hidden="1" customWidth="1"/>
    <col min="39" max="39" width="9.44140625" style="4" hidden="1" customWidth="1"/>
    <col min="40" max="40" width="19.33203125" style="4" hidden="1" customWidth="1"/>
    <col min="41" max="41" width="10.44140625" style="4" hidden="1" customWidth="1"/>
    <col min="42" max="42" width="18.109375" style="4" hidden="1" customWidth="1"/>
    <col min="43" max="43" width="10.109375" style="4" hidden="1" customWidth="1"/>
    <col min="44" max="44" width="14.109375" style="4" hidden="1" customWidth="1"/>
    <col min="45" max="45" width="11.109375" style="4" hidden="1" customWidth="1"/>
    <col min="46" max="46" width="13.5546875" style="4" hidden="1" customWidth="1"/>
    <col min="47" max="47" width="12.88671875" style="4" hidden="1" customWidth="1"/>
    <col min="48" max="48" width="12.109375" style="4" hidden="1" customWidth="1"/>
    <col min="49" max="49" width="10.33203125" style="4" hidden="1" customWidth="1"/>
    <col min="50" max="50" width="17.88671875" style="4" hidden="1" customWidth="1"/>
    <col min="51" max="51" width="9.33203125" style="4" hidden="1" customWidth="1"/>
    <col min="52" max="52" width="12" style="4" hidden="1" customWidth="1"/>
    <col min="53" max="53" width="9.33203125" style="4" hidden="1" customWidth="1"/>
    <col min="54" max="54" width="11.6640625" style="4" hidden="1" customWidth="1"/>
    <col min="55" max="55" width="10.44140625" style="4" hidden="1" customWidth="1"/>
    <col min="56" max="56" width="10" style="4" hidden="1" customWidth="1"/>
    <col min="57" max="57" width="10.33203125" style="4" hidden="1" customWidth="1"/>
    <col min="58" max="58" width="28.6640625" style="4" hidden="1" customWidth="1"/>
    <col min="59" max="59" width="10.109375" style="4" customWidth="1"/>
    <col min="60" max="60" width="9.6640625" style="4" customWidth="1"/>
    <col min="61" max="76" width="9.109375" style="4" customWidth="1"/>
    <col min="77" max="16384" width="9.109375" style="4"/>
  </cols>
  <sheetData>
    <row r="1" spans="1:64" ht="13.8" x14ac:dyDescent="0.25">
      <c r="B1" s="2963" t="s">
        <v>260</v>
      </c>
      <c r="C1" s="2964" t="s">
        <v>554</v>
      </c>
      <c r="D1" s="2964"/>
      <c r="E1" s="597"/>
      <c r="F1" s="189"/>
      <c r="G1" s="189"/>
      <c r="H1" s="189"/>
      <c r="I1" s="189"/>
      <c r="J1" s="189"/>
      <c r="K1" s="597"/>
      <c r="L1" s="189"/>
      <c r="M1" s="189"/>
      <c r="N1" s="189"/>
      <c r="O1" s="597"/>
      <c r="P1" s="41"/>
      <c r="Q1" s="189"/>
      <c r="R1" s="189"/>
      <c r="S1" s="555"/>
      <c r="T1" s="41"/>
      <c r="U1" s="41"/>
      <c r="V1" s="41"/>
      <c r="X1" s="41"/>
      <c r="Y1" s="41"/>
      <c r="Z1" s="41"/>
      <c r="AA1" s="41"/>
      <c r="AB1" s="41"/>
    </row>
    <row r="2" spans="1:64" ht="14.4" thickBot="1" x14ac:dyDescent="0.3">
      <c r="B2" s="41"/>
      <c r="C2" s="41" t="s">
        <v>1724</v>
      </c>
      <c r="D2" s="2965">
        <v>365</v>
      </c>
      <c r="E2" s="189">
        <v>30</v>
      </c>
      <c r="F2" s="189">
        <v>30</v>
      </c>
      <c r="G2" s="189">
        <v>31</v>
      </c>
      <c r="H2" s="189">
        <v>31</v>
      </c>
      <c r="I2" s="189">
        <f>+E2+G2</f>
        <v>61</v>
      </c>
      <c r="J2" s="189">
        <f>+F2+H2</f>
        <v>61</v>
      </c>
      <c r="K2" s="597">
        <v>30</v>
      </c>
      <c r="L2" s="189">
        <v>30</v>
      </c>
      <c r="M2" s="189">
        <f>+I2+K2</f>
        <v>91</v>
      </c>
      <c r="N2" s="189">
        <f>+J2+L2</f>
        <v>91</v>
      </c>
      <c r="O2" s="597">
        <v>31</v>
      </c>
      <c r="P2" s="189">
        <v>31</v>
      </c>
      <c r="Q2" s="189">
        <f>+M2+O2</f>
        <v>122</v>
      </c>
      <c r="R2" s="189">
        <f>+N2+P2</f>
        <v>122</v>
      </c>
      <c r="S2" s="189">
        <v>31</v>
      </c>
      <c r="T2" s="189">
        <v>31</v>
      </c>
      <c r="U2" s="189">
        <f>+Q2+S2</f>
        <v>153</v>
      </c>
      <c r="V2" s="189">
        <f>+R2+T2</f>
        <v>153</v>
      </c>
      <c r="W2" s="189">
        <v>30</v>
      </c>
      <c r="X2" s="189">
        <v>30</v>
      </c>
      <c r="Y2" s="189">
        <f>O2+S2+W2</f>
        <v>92</v>
      </c>
      <c r="Z2" s="189">
        <f>P2+T2+X2</f>
        <v>92</v>
      </c>
      <c r="AA2" s="189">
        <f>+U2+W2</f>
        <v>183</v>
      </c>
      <c r="AB2" s="189">
        <f>+V2+X2</f>
        <v>183</v>
      </c>
      <c r="AC2" s="189">
        <v>31</v>
      </c>
      <c r="AD2" s="189">
        <v>31</v>
      </c>
      <c r="AE2" s="189">
        <f>+AA2+AC2</f>
        <v>214</v>
      </c>
      <c r="AF2" s="189">
        <f>+AB2+AD2</f>
        <v>214</v>
      </c>
      <c r="AG2" s="189">
        <v>30</v>
      </c>
      <c r="AH2" s="189">
        <v>30</v>
      </c>
      <c r="AI2" s="189">
        <f>+AE2+AG2</f>
        <v>244</v>
      </c>
      <c r="AJ2" s="189">
        <f>+AF2+AH2</f>
        <v>244</v>
      </c>
      <c r="AK2" s="189">
        <v>31</v>
      </c>
      <c r="AL2" s="189">
        <v>31</v>
      </c>
      <c r="AM2" s="189">
        <f>AC2+AG2+AK2</f>
        <v>92</v>
      </c>
      <c r="AN2" s="189">
        <f>AD2+AH2+AL2</f>
        <v>92</v>
      </c>
      <c r="AO2" s="189">
        <f>AI2+AK2</f>
        <v>275</v>
      </c>
      <c r="AP2" s="189">
        <f>AJ2+AL2</f>
        <v>275</v>
      </c>
      <c r="AQ2" s="189">
        <v>31</v>
      </c>
      <c r="AR2" s="189">
        <v>31</v>
      </c>
      <c r="AS2" s="189">
        <f>+AO2+AQ2</f>
        <v>306</v>
      </c>
      <c r="AT2" s="189">
        <f>+AP2+AR2</f>
        <v>306</v>
      </c>
      <c r="AU2" s="189">
        <v>28</v>
      </c>
      <c r="AV2" s="189">
        <v>28</v>
      </c>
      <c r="AW2" s="189">
        <f>+AS2+AU2</f>
        <v>334</v>
      </c>
      <c r="AX2" s="189">
        <f>+AT2+AV2</f>
        <v>334</v>
      </c>
      <c r="AY2" s="189">
        <v>31</v>
      </c>
      <c r="AZ2" s="189">
        <v>31</v>
      </c>
      <c r="BA2" s="189">
        <f>AQ2+AU2+AY2</f>
        <v>90</v>
      </c>
      <c r="BB2" s="189">
        <f>AR2+AV2+AZ2</f>
        <v>90</v>
      </c>
      <c r="BC2" s="189">
        <f>+AM2+BA2</f>
        <v>182</v>
      </c>
      <c r="BD2" s="189">
        <f>+AN2+BB2</f>
        <v>182</v>
      </c>
      <c r="BE2" s="189">
        <f>+AW2+AY2</f>
        <v>365</v>
      </c>
      <c r="BF2" s="189">
        <f>+AX2+AZ2</f>
        <v>365</v>
      </c>
    </row>
    <row r="3" spans="1:64" ht="13.8" x14ac:dyDescent="0.25">
      <c r="B3" s="5955" t="s">
        <v>170</v>
      </c>
      <c r="C3" s="6202" t="s">
        <v>171</v>
      </c>
      <c r="D3" s="5818" t="s">
        <v>2212</v>
      </c>
      <c r="E3" s="6204" t="s">
        <v>2211</v>
      </c>
      <c r="F3" s="5844"/>
      <c r="G3" s="5845" t="s">
        <v>2260</v>
      </c>
      <c r="H3" s="5845"/>
      <c r="I3" s="6159" t="s">
        <v>14</v>
      </c>
      <c r="J3" s="6159"/>
      <c r="K3" s="5845" t="s">
        <v>1963</v>
      </c>
      <c r="L3" s="5845"/>
      <c r="M3" s="5846" t="s">
        <v>604</v>
      </c>
      <c r="N3" s="5846"/>
      <c r="O3" s="6165" t="s">
        <v>1986</v>
      </c>
      <c r="P3" s="6165"/>
      <c r="Q3" s="6159" t="s">
        <v>17</v>
      </c>
      <c r="R3" s="6159"/>
      <c r="S3" s="6165" t="s">
        <v>1988</v>
      </c>
      <c r="T3" s="6165"/>
      <c r="U3" s="6159" t="s">
        <v>18</v>
      </c>
      <c r="V3" s="6159"/>
      <c r="W3" s="6165" t="s">
        <v>2019</v>
      </c>
      <c r="X3" s="6165"/>
      <c r="Y3" s="5846" t="s">
        <v>625</v>
      </c>
      <c r="Z3" s="5846"/>
      <c r="AA3" s="5832" t="s">
        <v>623</v>
      </c>
      <c r="AB3" s="5832"/>
      <c r="AC3" s="6165" t="s">
        <v>2043</v>
      </c>
      <c r="AD3" s="6165"/>
      <c r="AE3" s="6159" t="s">
        <v>24</v>
      </c>
      <c r="AF3" s="6159"/>
      <c r="AG3" s="6165" t="s">
        <v>2064</v>
      </c>
      <c r="AH3" s="6165"/>
      <c r="AI3" s="6159" t="s">
        <v>27</v>
      </c>
      <c r="AJ3" s="6159"/>
      <c r="AK3" s="6165" t="s">
        <v>2088</v>
      </c>
      <c r="AL3" s="6165"/>
      <c r="AM3" s="5846" t="s">
        <v>627</v>
      </c>
      <c r="AN3" s="5846"/>
      <c r="AO3" s="6159" t="s">
        <v>1565</v>
      </c>
      <c r="AP3" s="6159"/>
      <c r="AQ3" s="6165" t="s">
        <v>2099</v>
      </c>
      <c r="AR3" s="6165"/>
      <c r="AS3" s="6159" t="s">
        <v>28</v>
      </c>
      <c r="AT3" s="6159"/>
      <c r="AU3" s="6165" t="s">
        <v>2136</v>
      </c>
      <c r="AV3" s="6165"/>
      <c r="AW3" s="6159" t="s">
        <v>30</v>
      </c>
      <c r="AX3" s="6159"/>
      <c r="AY3" s="6165" t="s">
        <v>2154</v>
      </c>
      <c r="AZ3" s="6165"/>
      <c r="BA3" s="5846" t="s">
        <v>628</v>
      </c>
      <c r="BB3" s="5846"/>
      <c r="BC3" s="5832" t="s">
        <v>634</v>
      </c>
      <c r="BD3" s="5832"/>
      <c r="BE3" s="6159" t="s">
        <v>1961</v>
      </c>
      <c r="BF3" s="5821"/>
    </row>
    <row r="4" spans="1:64" ht="14.4" thickBot="1" x14ac:dyDescent="0.3">
      <c r="B4" s="6201"/>
      <c r="C4" s="6203"/>
      <c r="D4" s="6205"/>
      <c r="E4" s="2862" t="s">
        <v>172</v>
      </c>
      <c r="F4" s="2862" t="s">
        <v>173</v>
      </c>
      <c r="G4" s="2862" t="s">
        <v>172</v>
      </c>
      <c r="H4" s="2862" t="s">
        <v>173</v>
      </c>
      <c r="I4" s="2863" t="s">
        <v>172</v>
      </c>
      <c r="J4" s="2863" t="s">
        <v>173</v>
      </c>
      <c r="K4" s="2865" t="s">
        <v>172</v>
      </c>
      <c r="L4" s="2862" t="s">
        <v>173</v>
      </c>
      <c r="M4" s="2966" t="s">
        <v>172</v>
      </c>
      <c r="N4" s="2966" t="s">
        <v>173</v>
      </c>
      <c r="O4" s="2865" t="s">
        <v>172</v>
      </c>
      <c r="P4" s="2862" t="s">
        <v>173</v>
      </c>
      <c r="Q4" s="2863" t="s">
        <v>172</v>
      </c>
      <c r="R4" s="2863" t="s">
        <v>173</v>
      </c>
      <c r="S4" s="2865" t="s">
        <v>172</v>
      </c>
      <c r="T4" s="2862" t="s">
        <v>173</v>
      </c>
      <c r="U4" s="2863" t="s">
        <v>172</v>
      </c>
      <c r="V4" s="2863" t="s">
        <v>173</v>
      </c>
      <c r="W4" s="2865" t="s">
        <v>172</v>
      </c>
      <c r="X4" s="2862" t="s">
        <v>173</v>
      </c>
      <c r="Y4" s="2966" t="s">
        <v>172</v>
      </c>
      <c r="Z4" s="2966" t="s">
        <v>173</v>
      </c>
      <c r="AA4" s="2967" t="s">
        <v>172</v>
      </c>
      <c r="AB4" s="2967" t="s">
        <v>173</v>
      </c>
      <c r="AC4" s="2865" t="s">
        <v>172</v>
      </c>
      <c r="AD4" s="2862" t="s">
        <v>173</v>
      </c>
      <c r="AE4" s="2863" t="s">
        <v>172</v>
      </c>
      <c r="AF4" s="2863" t="s">
        <v>173</v>
      </c>
      <c r="AG4" s="2865" t="s">
        <v>172</v>
      </c>
      <c r="AH4" s="2862" t="s">
        <v>173</v>
      </c>
      <c r="AI4" s="2863" t="s">
        <v>172</v>
      </c>
      <c r="AJ4" s="2863" t="s">
        <v>173</v>
      </c>
      <c r="AK4" s="2865" t="s">
        <v>172</v>
      </c>
      <c r="AL4" s="2862" t="s">
        <v>173</v>
      </c>
      <c r="AM4" s="2966" t="s">
        <v>172</v>
      </c>
      <c r="AN4" s="2966" t="s">
        <v>173</v>
      </c>
      <c r="AO4" s="2863" t="s">
        <v>172</v>
      </c>
      <c r="AP4" s="2863" t="s">
        <v>173</v>
      </c>
      <c r="AQ4" s="2865" t="s">
        <v>172</v>
      </c>
      <c r="AR4" s="2862" t="s">
        <v>173</v>
      </c>
      <c r="AS4" s="2863" t="s">
        <v>172</v>
      </c>
      <c r="AT4" s="2863" t="s">
        <v>173</v>
      </c>
      <c r="AU4" s="2865" t="s">
        <v>172</v>
      </c>
      <c r="AV4" s="2862" t="s">
        <v>173</v>
      </c>
      <c r="AW4" s="2863" t="s">
        <v>172</v>
      </c>
      <c r="AX4" s="2863" t="s">
        <v>173</v>
      </c>
      <c r="AY4" s="2865" t="s">
        <v>172</v>
      </c>
      <c r="AZ4" s="2862" t="s">
        <v>173</v>
      </c>
      <c r="BA4" s="2966" t="s">
        <v>172</v>
      </c>
      <c r="BB4" s="2966" t="s">
        <v>173</v>
      </c>
      <c r="BC4" s="2967" t="s">
        <v>172</v>
      </c>
      <c r="BD4" s="2967" t="s">
        <v>173</v>
      </c>
      <c r="BE4" s="2863" t="s">
        <v>172</v>
      </c>
      <c r="BF4" s="841" t="s">
        <v>173</v>
      </c>
    </row>
    <row r="5" spans="1:64" ht="14.4" thickBot="1" x14ac:dyDescent="0.3">
      <c r="A5" s="1166"/>
      <c r="B5" s="2968" t="s">
        <v>266</v>
      </c>
      <c r="C5" s="2969" t="s">
        <v>50</v>
      </c>
      <c r="D5" s="2970">
        <v>2817514.1242937851</v>
      </c>
      <c r="E5" s="2971">
        <f>+'Maj Production Summ'!E18</f>
        <v>193691.14877589454</v>
      </c>
      <c r="F5" s="2971">
        <f>+'Maj Production Summ'!F18</f>
        <v>223226</v>
      </c>
      <c r="G5" s="2971">
        <f>+'Maj Production Summ'!G18</f>
        <v>170903.95480225986</v>
      </c>
      <c r="H5" s="2971">
        <f>+'Maj Production Summ'!H18</f>
        <v>97961</v>
      </c>
      <c r="I5" s="2971">
        <f>+'Maj Production Summ'!I18</f>
        <v>364595.10357815441</v>
      </c>
      <c r="J5" s="2971">
        <f>+'Maj Production Summ'!J18</f>
        <v>321187</v>
      </c>
      <c r="K5" s="2971">
        <f>+'Maj Production Summ'!K18</f>
        <v>237110.48158640199</v>
      </c>
      <c r="L5" s="2971">
        <f>+'Maj Production Summ'!L18</f>
        <v>243453</v>
      </c>
      <c r="M5" s="2971">
        <f>+'Maj Production Summ'!M18</f>
        <v>601705.5851645564</v>
      </c>
      <c r="N5" s="2971">
        <f>+'Maj Production Summ'!N18</f>
        <v>564640</v>
      </c>
      <c r="O5" s="2971">
        <f>+'Maj Production Summ'!O18</f>
        <v>239943.34277620399</v>
      </c>
      <c r="P5" s="2971">
        <f>+'Maj Production Summ'!P18</f>
        <v>253662</v>
      </c>
      <c r="Q5" s="2971">
        <f>+'Maj Production Summ'!Q18</f>
        <v>841648.92794076039</v>
      </c>
      <c r="R5" s="2971">
        <f>+'Maj Production Summ'!R18</f>
        <v>818302</v>
      </c>
      <c r="S5" s="2971">
        <f>+'Maj Production Summ'!S18</f>
        <v>239943.34277620399</v>
      </c>
      <c r="T5" s="2971">
        <f>+'Maj Production Summ'!T18</f>
        <v>237622</v>
      </c>
      <c r="U5" s="2971">
        <f>+'Maj Production Summ'!U18</f>
        <v>1081592.2707169643</v>
      </c>
      <c r="V5" s="2971">
        <f>+'Maj Production Summ'!V18</f>
        <v>1055924</v>
      </c>
      <c r="W5" s="2971">
        <f>+'Maj Production Summ'!W18</f>
        <v>125920.679886686</v>
      </c>
      <c r="X5" s="2971">
        <f>+'Maj Production Summ'!X18</f>
        <v>226847</v>
      </c>
      <c r="Y5" s="2971">
        <f>+'Maj Production Summ'!Y18</f>
        <v>605807.36543909402</v>
      </c>
      <c r="Z5" s="2971">
        <f>+'Maj Production Summ'!Z18</f>
        <v>718131</v>
      </c>
      <c r="AA5" s="2971">
        <f>+'Maj Production Summ'!AA18</f>
        <v>1207512.9506036504</v>
      </c>
      <c r="AB5" s="2971">
        <f>+'Maj Production Summ'!AB18</f>
        <v>1282771</v>
      </c>
      <c r="AC5" s="2971">
        <f>+'Maj Production Summ'!AC18</f>
        <v>244664.77809253999</v>
      </c>
      <c r="AD5" s="2971">
        <f>+'Maj Production Summ'!AD18</f>
        <v>179201</v>
      </c>
      <c r="AE5" s="2971">
        <f>+'Maj Production Summ'!AE18</f>
        <v>1452177.7286961903</v>
      </c>
      <c r="AF5" s="2971">
        <f>+'Maj Production Summ'!AF18</f>
        <v>1461972</v>
      </c>
      <c r="AG5" s="2971">
        <f>+'Maj Production Summ'!AG18</f>
        <v>237110.48158640199</v>
      </c>
      <c r="AH5" s="2971">
        <f>+'Maj Production Summ'!AH18</f>
        <v>229502</v>
      </c>
      <c r="AI5" s="2971">
        <f>+'Maj Production Summ'!AI18</f>
        <v>1689288.2102825923</v>
      </c>
      <c r="AJ5" s="2971">
        <f>+'Maj Production Summ'!AJ18</f>
        <v>1691474</v>
      </c>
      <c r="AK5" s="2971">
        <f>+'Maj Production Summ'!AK18</f>
        <v>244664.77809253999</v>
      </c>
      <c r="AL5" s="2971">
        <f>+'Maj Production Summ'!AL18</f>
        <v>234365</v>
      </c>
      <c r="AM5" s="2971">
        <f>+'Maj Production Summ'!AM18</f>
        <v>726440.03777148202</v>
      </c>
      <c r="AN5" s="2971">
        <f>+'Maj Production Summ'!AN18</f>
        <v>643068</v>
      </c>
      <c r="AO5" s="2971">
        <f>+'Maj Production Summ'!AO18</f>
        <v>1933952.9883751324</v>
      </c>
      <c r="AP5" s="2971">
        <f>+'Maj Production Summ'!AP18</f>
        <v>1925839</v>
      </c>
      <c r="AQ5" s="2971">
        <f>+'Maj Production Summ'!AQ18</f>
        <v>248441.92634560907</v>
      </c>
      <c r="AR5" s="2971">
        <f>+'Maj Production Summ'!AR18</f>
        <v>228047</v>
      </c>
      <c r="AS5" s="2971">
        <f>+'Maj Production Summ'!AS18</f>
        <v>2182394.9147207416</v>
      </c>
      <c r="AT5" s="2971">
        <f>+'Maj Production Summ'!AT18</f>
        <v>2153886</v>
      </c>
      <c r="AU5" s="2971">
        <f>+'Maj Production Summ'!AU18</f>
        <v>222001.88857412653</v>
      </c>
      <c r="AV5" s="2971">
        <f>+'Maj Production Summ'!AV18</f>
        <v>185016</v>
      </c>
      <c r="AW5" s="2971">
        <f>+'Maj Production Summ'!AW18</f>
        <v>2404396.8032948682</v>
      </c>
      <c r="AX5" s="2971">
        <f>+'Maj Production Summ'!AX18</f>
        <v>2338902</v>
      </c>
      <c r="AY5" s="2971">
        <f>+'Maj Production Summ'!AY18</f>
        <v>248441.92634560907</v>
      </c>
      <c r="AZ5" s="2971">
        <f>+'Maj Production Summ'!AZ18</f>
        <v>241240</v>
      </c>
      <c r="BA5" s="2971">
        <f>+'Maj Production Summ'!BA18</f>
        <v>718885.74126534467</v>
      </c>
      <c r="BB5" s="2971">
        <f>+'Maj Production Summ'!BB18</f>
        <v>654303</v>
      </c>
      <c r="BC5" s="2971">
        <f>+'Maj Production Summ'!BC18</f>
        <v>1445325.7790368267</v>
      </c>
      <c r="BD5" s="2971">
        <f>+'Maj Production Summ'!BD18</f>
        <v>1297371</v>
      </c>
      <c r="BE5" s="2971">
        <f>+'Maj Production Summ'!BE18</f>
        <v>2652838.7296404773</v>
      </c>
      <c r="BF5" s="2972">
        <f>+'Maj Production Summ'!BF18</f>
        <v>2580142</v>
      </c>
      <c r="BG5" s="2263"/>
      <c r="BH5" s="2263"/>
      <c r="BI5" s="3238"/>
      <c r="BJ5" s="2263"/>
      <c r="BK5" s="3238"/>
      <c r="BL5" s="3238"/>
    </row>
    <row r="6" spans="1:64" ht="13.8" x14ac:dyDescent="0.25">
      <c r="A6" s="1166"/>
      <c r="B6" s="2973" t="s">
        <v>471</v>
      </c>
      <c r="C6" s="819"/>
      <c r="D6" s="818"/>
      <c r="E6" s="2974"/>
      <c r="F6" s="2974"/>
      <c r="G6" s="2974"/>
      <c r="H6" s="2974"/>
      <c r="I6" s="2974"/>
      <c r="J6" s="2974"/>
      <c r="K6" s="2974"/>
      <c r="L6" s="2974"/>
      <c r="M6" s="2974"/>
      <c r="N6" s="2974"/>
      <c r="O6" s="2974"/>
      <c r="P6" s="2974"/>
      <c r="Q6" s="2974"/>
      <c r="R6" s="2974"/>
      <c r="S6" s="2974"/>
      <c r="T6" s="2974"/>
      <c r="U6" s="2974"/>
      <c r="V6" s="2974"/>
      <c r="W6" s="2974"/>
      <c r="X6" s="2974"/>
      <c r="Y6" s="2974"/>
      <c r="Z6" s="2974"/>
      <c r="AA6" s="2974"/>
      <c r="AB6" s="2974"/>
      <c r="AC6" s="2974"/>
      <c r="AD6" s="2974"/>
      <c r="AE6" s="2974"/>
      <c r="AF6" s="2974"/>
      <c r="AG6" s="2974"/>
      <c r="AH6" s="2974"/>
      <c r="AI6" s="2974"/>
      <c r="AJ6" s="2974"/>
      <c r="AK6" s="2974"/>
      <c r="AL6" s="2974"/>
      <c r="AM6" s="2974"/>
      <c r="AN6" s="2974"/>
      <c r="AO6" s="2974"/>
      <c r="AP6" s="2974"/>
      <c r="AQ6" s="2974"/>
      <c r="AR6" s="2974"/>
      <c r="AS6" s="2974"/>
      <c r="AT6" s="2974"/>
      <c r="AU6" s="2974"/>
      <c r="AV6" s="2974"/>
      <c r="AW6" s="2974"/>
      <c r="AX6" s="2974"/>
      <c r="AY6" s="2974"/>
      <c r="AZ6" s="2974"/>
      <c r="BA6" s="2974"/>
      <c r="BB6" s="2974"/>
      <c r="BC6" s="2974"/>
      <c r="BD6" s="2974"/>
      <c r="BE6" s="2974"/>
      <c r="BF6" s="2265"/>
      <c r="BG6" s="2263"/>
      <c r="BH6" s="2263"/>
      <c r="BI6" s="3238"/>
      <c r="BJ6" s="2263"/>
      <c r="BK6" s="3238"/>
      <c r="BL6" s="3238"/>
    </row>
    <row r="7" spans="1:64" ht="13.8" x14ac:dyDescent="0.25">
      <c r="A7" s="6196"/>
      <c r="B7" s="8" t="s">
        <v>261</v>
      </c>
      <c r="C7" s="2589" t="s">
        <v>174</v>
      </c>
      <c r="D7" s="6206">
        <f>+(D5/D52)</f>
        <v>18060.98797624221</v>
      </c>
      <c r="E7" s="6166">
        <f>+(E5/E52)</f>
        <v>1241.6099280506057</v>
      </c>
      <c r="F7" s="2648">
        <v>342</v>
      </c>
      <c r="G7" s="6166">
        <f>+(G5/G52)</f>
        <v>1095.5381718093579</v>
      </c>
      <c r="H7" s="2648">
        <v>251</v>
      </c>
      <c r="I7" s="6168">
        <f>+(I5/I52)</f>
        <v>2337.1480998599641</v>
      </c>
      <c r="J7" s="2668">
        <f>+F7+H7</f>
        <v>593</v>
      </c>
      <c r="K7" s="6166">
        <f>+(K5/K52)</f>
        <v>1519.9389845282176</v>
      </c>
      <c r="L7" s="2648">
        <v>451</v>
      </c>
      <c r="M7" s="6185">
        <f>+(M5/M52)</f>
        <v>3857.0870843881812</v>
      </c>
      <c r="N7" s="2975">
        <f>+L7+H7+F7</f>
        <v>1044</v>
      </c>
      <c r="O7" s="6166">
        <f>+(O5/O52)</f>
        <v>1538.0983511295126</v>
      </c>
      <c r="P7" s="2648">
        <v>529</v>
      </c>
      <c r="Q7" s="6168">
        <f>+(Q5/Q52)</f>
        <v>5517.5069289440034</v>
      </c>
      <c r="R7" s="2668">
        <f>+N7+P7</f>
        <v>1573</v>
      </c>
      <c r="S7" s="6166">
        <f>+(S5/S52)</f>
        <v>1538.0983511295126</v>
      </c>
      <c r="T7" s="2648">
        <v>486</v>
      </c>
      <c r="U7" s="6168">
        <f>+(U5/U52)</f>
        <v>7117.129214118695</v>
      </c>
      <c r="V7" s="2668">
        <f>+R7+T7</f>
        <v>2059</v>
      </c>
      <c r="W7" s="6166">
        <f>+(W5/W52)</f>
        <v>807.18384542747424</v>
      </c>
      <c r="X7" s="2648">
        <v>481</v>
      </c>
      <c r="Y7" s="6185">
        <f>+(Y5/Y52)</f>
        <v>4038.71576959396</v>
      </c>
      <c r="Z7" s="2975">
        <f>+P7+T7+X7</f>
        <v>1496</v>
      </c>
      <c r="AA7" s="6172">
        <f>+(AA5/AA52)</f>
        <v>7956.6004133632714</v>
      </c>
      <c r="AB7" s="2976">
        <f>+Z7+N7</f>
        <v>2540</v>
      </c>
      <c r="AC7" s="6166">
        <f>+(AC5/AC52)</f>
        <v>1568.3639621316663</v>
      </c>
      <c r="AD7" s="2648">
        <v>354</v>
      </c>
      <c r="AE7" s="6168">
        <f>+(AE5/AE52)</f>
        <v>9587.6989341030003</v>
      </c>
      <c r="AF7" s="2668">
        <f>+AB7+AD7</f>
        <v>2894</v>
      </c>
      <c r="AG7" s="6166">
        <f>+(AG5/AG52)</f>
        <v>1519.9389845282176</v>
      </c>
      <c r="AH7" s="2648">
        <v>531</v>
      </c>
      <c r="AI7" s="6168">
        <f>+(AI5/AI52)</f>
        <v>11168.43547799511</v>
      </c>
      <c r="AJ7" s="2668">
        <f>+AF7+AH7</f>
        <v>3425</v>
      </c>
      <c r="AK7" s="6166">
        <f>+(AK5/AK52)</f>
        <v>1568.3639621316663</v>
      </c>
      <c r="AL7" s="2648">
        <v>532</v>
      </c>
      <c r="AM7" s="6185">
        <f>+(AM5/AM52)</f>
        <v>4842.9335851432133</v>
      </c>
      <c r="AN7" s="2975">
        <f>+AD7+AH7+AL7</f>
        <v>1417</v>
      </c>
      <c r="AO7" s="6168">
        <f>+(AO5/AO52)</f>
        <v>12799.533998598692</v>
      </c>
      <c r="AP7" s="2668">
        <f>+AL7+AJ7</f>
        <v>3957</v>
      </c>
      <c r="AQ7" s="6166">
        <f>+(AQ5/AQ52)</f>
        <v>1592.5764509333912</v>
      </c>
      <c r="AR7" s="2648">
        <v>536</v>
      </c>
      <c r="AS7" s="6168">
        <f>+(AS5/AS52)</f>
        <v>14455.81350755892</v>
      </c>
      <c r="AT7" s="2668">
        <f>+AP7+AR7</f>
        <v>4493</v>
      </c>
      <c r="AU7" s="6166">
        <f>+(AU5/AU52)</f>
        <v>1423.0890293213236</v>
      </c>
      <c r="AV7" s="2648">
        <v>439</v>
      </c>
      <c r="AW7" s="6168">
        <f>+(AW5/AW52)</f>
        <v>15935.826098045552</v>
      </c>
      <c r="AX7" s="2668">
        <f>+AT7+AV7</f>
        <v>4932</v>
      </c>
      <c r="AY7" s="6166">
        <f>+(AY5/AY52)</f>
        <v>1592.5764509333912</v>
      </c>
      <c r="AZ7" s="2648">
        <v>538</v>
      </c>
      <c r="BA7" s="6185">
        <f>+(BA5/BA52)</f>
        <v>4792.5716084356309</v>
      </c>
      <c r="BB7" s="2975">
        <f>+AR7+AV7+AZ7</f>
        <v>1513</v>
      </c>
      <c r="BC7" s="6172">
        <f>+(BC5/BC52)</f>
        <v>9635.5051935788451</v>
      </c>
      <c r="BD7" s="2976">
        <f>+BB7+AN7</f>
        <v>2930</v>
      </c>
      <c r="BE7" s="6168">
        <f>+(BE5/BE52)</f>
        <v>17592.105607009333</v>
      </c>
      <c r="BF7" s="2830">
        <f>+AX7+AZ7</f>
        <v>5470</v>
      </c>
      <c r="BG7" s="2263"/>
      <c r="BH7" s="2263"/>
      <c r="BI7" s="3238"/>
      <c r="BJ7" s="2263"/>
      <c r="BK7" s="3238"/>
      <c r="BL7" s="3238"/>
    </row>
    <row r="8" spans="1:64" ht="13.8" x14ac:dyDescent="0.25">
      <c r="A8" s="6196"/>
      <c r="B8" s="8" t="s">
        <v>262</v>
      </c>
      <c r="C8" s="2589" t="s">
        <v>174</v>
      </c>
      <c r="D8" s="6206"/>
      <c r="E8" s="6166"/>
      <c r="F8" s="2648">
        <v>559</v>
      </c>
      <c r="G8" s="6166"/>
      <c r="H8" s="2648">
        <v>148</v>
      </c>
      <c r="I8" s="6168"/>
      <c r="J8" s="2668">
        <f>+F8+H8</f>
        <v>707</v>
      </c>
      <c r="K8" s="6166"/>
      <c r="L8" s="2648">
        <v>582</v>
      </c>
      <c r="M8" s="6185"/>
      <c r="N8" s="2975">
        <f>+L8+H8+F8</f>
        <v>1289</v>
      </c>
      <c r="O8" s="6166"/>
      <c r="P8" s="2648">
        <v>562</v>
      </c>
      <c r="Q8" s="6168"/>
      <c r="R8" s="2668">
        <f>+N8+P8</f>
        <v>1851</v>
      </c>
      <c r="S8" s="6166"/>
      <c r="T8" s="2648">
        <v>533</v>
      </c>
      <c r="U8" s="6168"/>
      <c r="V8" s="2668">
        <f>+R8+T8</f>
        <v>2384</v>
      </c>
      <c r="W8" s="6166"/>
      <c r="X8" s="2648">
        <v>517</v>
      </c>
      <c r="Y8" s="6185"/>
      <c r="Z8" s="2975">
        <f>+P8+T8+X8</f>
        <v>1612</v>
      </c>
      <c r="AA8" s="6172"/>
      <c r="AB8" s="2976">
        <f>+Z8+N8</f>
        <v>2901</v>
      </c>
      <c r="AC8" s="6166"/>
      <c r="AD8" s="2648">
        <v>393</v>
      </c>
      <c r="AE8" s="6168"/>
      <c r="AF8" s="2668">
        <f>+AB8+AD8</f>
        <v>3294</v>
      </c>
      <c r="AG8" s="6166"/>
      <c r="AH8" s="2648">
        <v>489</v>
      </c>
      <c r="AI8" s="6168"/>
      <c r="AJ8" s="2668">
        <f>+AF8+AH8</f>
        <v>3783</v>
      </c>
      <c r="AK8" s="6166"/>
      <c r="AL8" s="2648">
        <v>490</v>
      </c>
      <c r="AM8" s="6185"/>
      <c r="AN8" s="2975">
        <f>+AD8+AH8+AL8</f>
        <v>1372</v>
      </c>
      <c r="AO8" s="6168"/>
      <c r="AP8" s="2668">
        <f t="shared" ref="AP8:AP14" si="0">+AL8+AJ8</f>
        <v>4273</v>
      </c>
      <c r="AQ8" s="6166"/>
      <c r="AR8" s="2648">
        <v>436</v>
      </c>
      <c r="AS8" s="6168"/>
      <c r="AT8" s="2668">
        <f>+AP8+AR8</f>
        <v>4709</v>
      </c>
      <c r="AU8" s="6166"/>
      <c r="AV8" s="2648">
        <v>385</v>
      </c>
      <c r="AW8" s="6168"/>
      <c r="AX8" s="2668">
        <f>+AT8+AV8</f>
        <v>5094</v>
      </c>
      <c r="AY8" s="6166"/>
      <c r="AZ8" s="2648">
        <v>475</v>
      </c>
      <c r="BA8" s="6185"/>
      <c r="BB8" s="2975">
        <f>+AR8+AV8+AZ8</f>
        <v>1296</v>
      </c>
      <c r="BC8" s="6172"/>
      <c r="BD8" s="2976">
        <f t="shared" ref="BD8:BD9" si="1">+BB8+AN8</f>
        <v>2668</v>
      </c>
      <c r="BE8" s="6168"/>
      <c r="BF8" s="2830">
        <f>+AX8+AZ8</f>
        <v>5569</v>
      </c>
      <c r="BG8" s="2263"/>
      <c r="BH8" s="2263"/>
      <c r="BI8" s="3238"/>
      <c r="BJ8" s="2263"/>
      <c r="BK8" s="3238"/>
      <c r="BL8" s="3238"/>
    </row>
    <row r="9" spans="1:64" ht="14.4" thickBot="1" x14ac:dyDescent="0.3">
      <c r="A9" s="6196"/>
      <c r="B9" s="2813" t="s">
        <v>263</v>
      </c>
      <c r="C9" s="149" t="s">
        <v>174</v>
      </c>
      <c r="D9" s="6206"/>
      <c r="E9" s="6166"/>
      <c r="F9" s="2648">
        <v>521</v>
      </c>
      <c r="G9" s="6166"/>
      <c r="H9" s="2648">
        <v>229</v>
      </c>
      <c r="I9" s="6168"/>
      <c r="J9" s="2668">
        <f>+F9+H9</f>
        <v>750</v>
      </c>
      <c r="K9" s="6166"/>
      <c r="L9" s="2648">
        <v>525</v>
      </c>
      <c r="M9" s="6185"/>
      <c r="N9" s="2975">
        <f>+L9+H9+F9</f>
        <v>1275</v>
      </c>
      <c r="O9" s="6166"/>
      <c r="P9" s="2648">
        <v>524</v>
      </c>
      <c r="Q9" s="6168"/>
      <c r="R9" s="2668">
        <f>+N9+P9</f>
        <v>1799</v>
      </c>
      <c r="S9" s="6166"/>
      <c r="T9" s="2648">
        <v>500</v>
      </c>
      <c r="U9" s="6168"/>
      <c r="V9" s="2668">
        <f>+R9+T9</f>
        <v>2299</v>
      </c>
      <c r="W9" s="6166"/>
      <c r="X9" s="2648">
        <v>456</v>
      </c>
      <c r="Y9" s="6185"/>
      <c r="Z9" s="2975">
        <f t="shared" ref="Z9:Z14" si="2">+P9+T9+X9</f>
        <v>1480</v>
      </c>
      <c r="AA9" s="6172"/>
      <c r="AB9" s="2976">
        <f>+Z9+N9</f>
        <v>2755</v>
      </c>
      <c r="AC9" s="6166"/>
      <c r="AD9" s="2648">
        <v>405</v>
      </c>
      <c r="AE9" s="6168"/>
      <c r="AF9" s="2668">
        <f>+AB9+AD9</f>
        <v>3160</v>
      </c>
      <c r="AG9" s="6166"/>
      <c r="AH9" s="2648">
        <v>437</v>
      </c>
      <c r="AI9" s="6168"/>
      <c r="AJ9" s="2668">
        <f>+AF9+AH9</f>
        <v>3597</v>
      </c>
      <c r="AK9" s="6166"/>
      <c r="AL9" s="2648">
        <v>482</v>
      </c>
      <c r="AM9" s="6185"/>
      <c r="AN9" s="2975">
        <f t="shared" ref="AN9" si="3">+AD9+AH9+AL9</f>
        <v>1324</v>
      </c>
      <c r="AO9" s="6168"/>
      <c r="AP9" s="2668">
        <f t="shared" si="0"/>
        <v>4079</v>
      </c>
      <c r="AQ9" s="6166"/>
      <c r="AR9" s="2648">
        <v>491</v>
      </c>
      <c r="AS9" s="6168"/>
      <c r="AT9" s="2668">
        <f>+AP9+AR9</f>
        <v>4570</v>
      </c>
      <c r="AU9" s="6166"/>
      <c r="AV9" s="2648">
        <v>364</v>
      </c>
      <c r="AW9" s="6168"/>
      <c r="AX9" s="2668">
        <f>+AT9+AV9</f>
        <v>4934</v>
      </c>
      <c r="AY9" s="6166"/>
      <c r="AZ9" s="2648">
        <v>515</v>
      </c>
      <c r="BA9" s="6185"/>
      <c r="BB9" s="2975">
        <f t="shared" ref="BB9" si="4">+AR9+AV9+AZ9</f>
        <v>1370</v>
      </c>
      <c r="BC9" s="6172"/>
      <c r="BD9" s="2976">
        <f t="shared" si="1"/>
        <v>2694</v>
      </c>
      <c r="BE9" s="6168"/>
      <c r="BF9" s="2830">
        <f>+AX9+AZ9</f>
        <v>5449</v>
      </c>
      <c r="BG9" s="2263"/>
      <c r="BH9" s="2263"/>
      <c r="BI9" s="3238"/>
      <c r="BJ9" s="2263"/>
      <c r="BK9" s="3238"/>
      <c r="BL9" s="3238"/>
    </row>
    <row r="10" spans="1:64" ht="14.4" thickBot="1" x14ac:dyDescent="0.3">
      <c r="A10" s="6196"/>
      <c r="B10" s="2977" t="s">
        <v>264</v>
      </c>
      <c r="C10" s="2978" t="s">
        <v>174</v>
      </c>
      <c r="D10" s="6207"/>
      <c r="E10" s="6167"/>
      <c r="F10" s="2979">
        <f>SUM(F7:F9)</f>
        <v>1422</v>
      </c>
      <c r="G10" s="6167"/>
      <c r="H10" s="2979">
        <f>SUM(H7:H9)</f>
        <v>628</v>
      </c>
      <c r="I10" s="6169"/>
      <c r="J10" s="2980">
        <f>SUM(J7:J9)</f>
        <v>2050</v>
      </c>
      <c r="K10" s="6167"/>
      <c r="L10" s="2979">
        <f>SUM(L7:L9)</f>
        <v>1558</v>
      </c>
      <c r="M10" s="6186"/>
      <c r="N10" s="2981">
        <f>SUM(N7:N9)</f>
        <v>3608</v>
      </c>
      <c r="O10" s="6167"/>
      <c r="P10" s="2979">
        <f>SUM(P7:P9)</f>
        <v>1615</v>
      </c>
      <c r="Q10" s="6169"/>
      <c r="R10" s="2980">
        <f>SUM(R7:R9)</f>
        <v>5223</v>
      </c>
      <c r="S10" s="6167"/>
      <c r="T10" s="2979">
        <f>SUM(T7:T9)</f>
        <v>1519</v>
      </c>
      <c r="U10" s="6169"/>
      <c r="V10" s="2980">
        <f>SUM(V7:V9)</f>
        <v>6742</v>
      </c>
      <c r="W10" s="6167"/>
      <c r="X10" s="2979">
        <f>SUM(X7:X9)</f>
        <v>1454</v>
      </c>
      <c r="Y10" s="6186"/>
      <c r="Z10" s="2981">
        <f>SUM(Z7:Z9)</f>
        <v>4588</v>
      </c>
      <c r="AA10" s="6173"/>
      <c r="AB10" s="2982">
        <f>SUM(AB7:AB9)</f>
        <v>8196</v>
      </c>
      <c r="AC10" s="6167"/>
      <c r="AD10" s="2979">
        <f>SUM(AD7:AD9)</f>
        <v>1152</v>
      </c>
      <c r="AE10" s="6169"/>
      <c r="AF10" s="2980">
        <f>SUM(AF7:AF9)</f>
        <v>9348</v>
      </c>
      <c r="AG10" s="6167"/>
      <c r="AH10" s="2979">
        <f>SUM(AH7:AH9)</f>
        <v>1457</v>
      </c>
      <c r="AI10" s="6169"/>
      <c r="AJ10" s="2980">
        <f>SUM(AJ7:AJ9)</f>
        <v>10805</v>
      </c>
      <c r="AK10" s="6167"/>
      <c r="AL10" s="2979">
        <f>SUM(AL7:AL9)</f>
        <v>1504</v>
      </c>
      <c r="AM10" s="6186"/>
      <c r="AN10" s="2981">
        <f>SUM(AN7:AN9)</f>
        <v>4113</v>
      </c>
      <c r="AO10" s="6169"/>
      <c r="AP10" s="2980">
        <f>SUM(AP7:AP9)</f>
        <v>12309</v>
      </c>
      <c r="AQ10" s="6167"/>
      <c r="AR10" s="2979">
        <f>SUM(AR7:AR9)</f>
        <v>1463</v>
      </c>
      <c r="AS10" s="6169"/>
      <c r="AT10" s="2980">
        <f>SUM(AT7:AT9)</f>
        <v>13772</v>
      </c>
      <c r="AU10" s="6167"/>
      <c r="AV10" s="2979">
        <f>SUM(AV7:AV9)</f>
        <v>1188</v>
      </c>
      <c r="AW10" s="6169"/>
      <c r="AX10" s="2980">
        <f>SUM(AX7:AX9)</f>
        <v>14960</v>
      </c>
      <c r="AY10" s="6167"/>
      <c r="AZ10" s="2979">
        <f>SUM(AZ7:AZ9)</f>
        <v>1528</v>
      </c>
      <c r="BA10" s="6186"/>
      <c r="BB10" s="2981">
        <f>SUM(BB7:BB9)</f>
        <v>4179</v>
      </c>
      <c r="BC10" s="6173"/>
      <c r="BD10" s="2982">
        <f>SUM(BD7:BD9)</f>
        <v>8292</v>
      </c>
      <c r="BE10" s="6169"/>
      <c r="BF10" s="4095">
        <f>SUM(BF7:BF9)</f>
        <v>16488</v>
      </c>
      <c r="BG10" s="2263"/>
      <c r="BH10" s="2263"/>
      <c r="BI10" s="3238"/>
      <c r="BJ10" s="2263"/>
      <c r="BK10" s="3238"/>
      <c r="BL10" s="3238"/>
    </row>
    <row r="11" spans="1:64" ht="13.8" x14ac:dyDescent="0.25">
      <c r="B11" s="2983" t="s">
        <v>582</v>
      </c>
      <c r="C11" s="695" t="s">
        <v>174</v>
      </c>
      <c r="D11" s="2984" t="s">
        <v>32</v>
      </c>
      <c r="E11" s="1919" t="s">
        <v>32</v>
      </c>
      <c r="F11" s="191">
        <v>2</v>
      </c>
      <c r="G11" s="1919" t="s">
        <v>32</v>
      </c>
      <c r="H11" s="191">
        <v>0</v>
      </c>
      <c r="I11" s="2985" t="s">
        <v>32</v>
      </c>
      <c r="J11" s="2986">
        <f t="shared" ref="J11:J20" si="5">+F11+H11</f>
        <v>2</v>
      </c>
      <c r="K11" s="1919" t="s">
        <v>32</v>
      </c>
      <c r="L11" s="191">
        <v>1</v>
      </c>
      <c r="M11" s="2987" t="s">
        <v>32</v>
      </c>
      <c r="N11" s="2988">
        <f t="shared" ref="N11:N20" si="6">+L11+H11+F11</f>
        <v>3</v>
      </c>
      <c r="O11" s="1919" t="s">
        <v>32</v>
      </c>
      <c r="P11" s="191">
        <v>4</v>
      </c>
      <c r="Q11" s="2985" t="s">
        <v>32</v>
      </c>
      <c r="R11" s="2986">
        <f t="shared" ref="R11:R20" si="7">+N11+P11</f>
        <v>7</v>
      </c>
      <c r="S11" s="1919" t="s">
        <v>32</v>
      </c>
      <c r="T11" s="191">
        <v>4</v>
      </c>
      <c r="U11" s="2985" t="s">
        <v>32</v>
      </c>
      <c r="V11" s="2986">
        <f t="shared" ref="V11:V20" si="8">+R11+T11</f>
        <v>11</v>
      </c>
      <c r="W11" s="1919" t="s">
        <v>32</v>
      </c>
      <c r="X11" s="191">
        <v>6</v>
      </c>
      <c r="Y11" s="2987" t="s">
        <v>32</v>
      </c>
      <c r="Z11" s="2988">
        <f t="shared" si="2"/>
        <v>14</v>
      </c>
      <c r="AA11" s="2989" t="s">
        <v>32</v>
      </c>
      <c r="AB11" s="2990">
        <f>+Z11+N11</f>
        <v>17</v>
      </c>
      <c r="AC11" s="1919" t="s">
        <v>32</v>
      </c>
      <c r="AD11" s="191">
        <v>6</v>
      </c>
      <c r="AE11" s="2985" t="s">
        <v>32</v>
      </c>
      <c r="AF11" s="2986">
        <f t="shared" ref="AF11:AF20" si="9">+AB11+AD11</f>
        <v>23</v>
      </c>
      <c r="AG11" s="1919" t="s">
        <v>32</v>
      </c>
      <c r="AH11" s="191">
        <v>3</v>
      </c>
      <c r="AI11" s="2985" t="s">
        <v>32</v>
      </c>
      <c r="AJ11" s="2986">
        <f t="shared" ref="AJ11:AJ20" si="10">+AF11+AH11</f>
        <v>26</v>
      </c>
      <c r="AK11" s="1919" t="s">
        <v>32</v>
      </c>
      <c r="AL11" s="191">
        <v>1</v>
      </c>
      <c r="AM11" s="2987" t="s">
        <v>32</v>
      </c>
      <c r="AN11" s="2988">
        <f t="shared" ref="AN11:AN14" si="11">+AD11+AH11+AL11</f>
        <v>10</v>
      </c>
      <c r="AO11" s="2985" t="s">
        <v>32</v>
      </c>
      <c r="AP11" s="2986">
        <f t="shared" si="0"/>
        <v>27</v>
      </c>
      <c r="AQ11" s="1919" t="s">
        <v>32</v>
      </c>
      <c r="AR11" s="191">
        <v>1</v>
      </c>
      <c r="AS11" s="2985" t="s">
        <v>32</v>
      </c>
      <c r="AT11" s="2986">
        <f t="shared" ref="AT11:AT20" si="12">+AP11+AR11</f>
        <v>28</v>
      </c>
      <c r="AU11" s="1919" t="s">
        <v>32</v>
      </c>
      <c r="AV11" s="191">
        <v>1</v>
      </c>
      <c r="AW11" s="2985" t="s">
        <v>32</v>
      </c>
      <c r="AX11" s="2986">
        <f t="shared" ref="AX11:AX20" si="13">+AT11+AV11</f>
        <v>29</v>
      </c>
      <c r="AY11" s="1919" t="s">
        <v>32</v>
      </c>
      <c r="AZ11" s="191">
        <v>4</v>
      </c>
      <c r="BA11" s="2987" t="s">
        <v>32</v>
      </c>
      <c r="BB11" s="2988">
        <f t="shared" ref="BB11:BB14" si="14">+AR11+AV11+AZ11</f>
        <v>6</v>
      </c>
      <c r="BC11" s="2989" t="s">
        <v>32</v>
      </c>
      <c r="BD11" s="2990">
        <f t="shared" ref="BD11:BD13" si="15">+BB11+AN11</f>
        <v>16</v>
      </c>
      <c r="BE11" s="2985" t="s">
        <v>32</v>
      </c>
      <c r="BF11" s="2805">
        <f t="shared" ref="BF11:BF20" si="16">+AX11+AZ11</f>
        <v>33</v>
      </c>
      <c r="BG11" s="2263"/>
      <c r="BH11" s="2263"/>
      <c r="BI11" s="3238"/>
      <c r="BJ11" s="2263"/>
      <c r="BK11" s="3238"/>
      <c r="BL11" s="3238"/>
    </row>
    <row r="12" spans="1:64" ht="13.8" x14ac:dyDescent="0.25">
      <c r="B12" s="1739" t="s">
        <v>96</v>
      </c>
      <c r="C12" s="2589" t="s">
        <v>174</v>
      </c>
      <c r="D12" s="1826" t="s">
        <v>32</v>
      </c>
      <c r="E12" s="2356" t="s">
        <v>32</v>
      </c>
      <c r="F12" s="2648">
        <v>5</v>
      </c>
      <c r="G12" s="2356" t="s">
        <v>32</v>
      </c>
      <c r="H12" s="2648">
        <v>2</v>
      </c>
      <c r="I12" s="2668" t="s">
        <v>32</v>
      </c>
      <c r="J12" s="2668">
        <f t="shared" si="5"/>
        <v>7</v>
      </c>
      <c r="K12" s="2356" t="s">
        <v>32</v>
      </c>
      <c r="L12" s="2648">
        <v>1</v>
      </c>
      <c r="M12" s="2975" t="s">
        <v>32</v>
      </c>
      <c r="N12" s="2975">
        <f t="shared" si="6"/>
        <v>8</v>
      </c>
      <c r="O12" s="2356" t="s">
        <v>32</v>
      </c>
      <c r="P12" s="2648">
        <v>5</v>
      </c>
      <c r="Q12" s="2668" t="s">
        <v>32</v>
      </c>
      <c r="R12" s="2668">
        <f t="shared" si="7"/>
        <v>13</v>
      </c>
      <c r="S12" s="2356" t="s">
        <v>32</v>
      </c>
      <c r="T12" s="2648">
        <v>6</v>
      </c>
      <c r="U12" s="2668" t="s">
        <v>32</v>
      </c>
      <c r="V12" s="2668">
        <f t="shared" si="8"/>
        <v>19</v>
      </c>
      <c r="W12" s="2356" t="s">
        <v>32</v>
      </c>
      <c r="X12" s="2648">
        <v>4</v>
      </c>
      <c r="Y12" s="2975" t="s">
        <v>32</v>
      </c>
      <c r="Z12" s="2975">
        <f t="shared" si="2"/>
        <v>15</v>
      </c>
      <c r="AA12" s="2976" t="s">
        <v>32</v>
      </c>
      <c r="AB12" s="2976">
        <f>+Z12+N12</f>
        <v>23</v>
      </c>
      <c r="AC12" s="2356" t="s">
        <v>32</v>
      </c>
      <c r="AD12" s="2648">
        <v>1</v>
      </c>
      <c r="AE12" s="2668" t="s">
        <v>32</v>
      </c>
      <c r="AF12" s="2668">
        <f t="shared" si="9"/>
        <v>24</v>
      </c>
      <c r="AG12" s="2356" t="s">
        <v>32</v>
      </c>
      <c r="AH12" s="2648">
        <v>4</v>
      </c>
      <c r="AI12" s="2668" t="s">
        <v>32</v>
      </c>
      <c r="AJ12" s="2668">
        <f t="shared" si="10"/>
        <v>28</v>
      </c>
      <c r="AK12" s="2356" t="s">
        <v>32</v>
      </c>
      <c r="AL12" s="2648">
        <v>5</v>
      </c>
      <c r="AM12" s="2975" t="s">
        <v>32</v>
      </c>
      <c r="AN12" s="2975">
        <f t="shared" si="11"/>
        <v>10</v>
      </c>
      <c r="AO12" s="2668" t="s">
        <v>32</v>
      </c>
      <c r="AP12" s="2668">
        <f t="shared" si="0"/>
        <v>33</v>
      </c>
      <c r="AQ12" s="2356" t="s">
        <v>32</v>
      </c>
      <c r="AR12" s="2648">
        <v>1</v>
      </c>
      <c r="AS12" s="2668" t="s">
        <v>32</v>
      </c>
      <c r="AT12" s="2668">
        <f t="shared" si="12"/>
        <v>34</v>
      </c>
      <c r="AU12" s="2356" t="s">
        <v>32</v>
      </c>
      <c r="AV12" s="2648">
        <v>1</v>
      </c>
      <c r="AW12" s="2668" t="s">
        <v>32</v>
      </c>
      <c r="AX12" s="2668">
        <f t="shared" si="13"/>
        <v>35</v>
      </c>
      <c r="AY12" s="2356" t="s">
        <v>32</v>
      </c>
      <c r="AZ12" s="2648">
        <v>2</v>
      </c>
      <c r="BA12" s="2975" t="s">
        <v>32</v>
      </c>
      <c r="BB12" s="2975">
        <f t="shared" si="14"/>
        <v>4</v>
      </c>
      <c r="BC12" s="2976" t="s">
        <v>32</v>
      </c>
      <c r="BD12" s="2976">
        <f t="shared" si="15"/>
        <v>14</v>
      </c>
      <c r="BE12" s="2668" t="s">
        <v>32</v>
      </c>
      <c r="BF12" s="2830">
        <f t="shared" si="16"/>
        <v>37</v>
      </c>
      <c r="BG12" s="2263"/>
      <c r="BH12" s="2263"/>
      <c r="BI12" s="3238"/>
      <c r="BJ12" s="2263"/>
      <c r="BK12" s="3238"/>
      <c r="BL12" s="3238"/>
    </row>
    <row r="13" spans="1:64" ht="15" customHeight="1" thickBot="1" x14ac:dyDescent="0.3">
      <c r="B13" s="1739" t="s">
        <v>150</v>
      </c>
      <c r="C13" s="2589" t="s">
        <v>174</v>
      </c>
      <c r="D13" s="1826" t="s">
        <v>32</v>
      </c>
      <c r="E13" s="2356" t="s">
        <v>32</v>
      </c>
      <c r="F13" s="2648">
        <v>0</v>
      </c>
      <c r="G13" s="2356" t="s">
        <v>32</v>
      </c>
      <c r="H13" s="2648">
        <v>0</v>
      </c>
      <c r="I13" s="2668" t="s">
        <v>32</v>
      </c>
      <c r="J13" s="2668">
        <f t="shared" si="5"/>
        <v>0</v>
      </c>
      <c r="K13" s="2356" t="s">
        <v>32</v>
      </c>
      <c r="L13" s="2648">
        <v>0</v>
      </c>
      <c r="M13" s="2975" t="s">
        <v>32</v>
      </c>
      <c r="N13" s="2975">
        <f t="shared" si="6"/>
        <v>0</v>
      </c>
      <c r="O13" s="2356" t="s">
        <v>32</v>
      </c>
      <c r="P13" s="2648">
        <v>0</v>
      </c>
      <c r="Q13" s="2668" t="s">
        <v>32</v>
      </c>
      <c r="R13" s="2668">
        <f t="shared" si="7"/>
        <v>0</v>
      </c>
      <c r="S13" s="2356" t="s">
        <v>32</v>
      </c>
      <c r="T13" s="2648">
        <v>0</v>
      </c>
      <c r="U13" s="2668" t="s">
        <v>32</v>
      </c>
      <c r="V13" s="2668">
        <f t="shared" si="8"/>
        <v>0</v>
      </c>
      <c r="W13" s="2356" t="s">
        <v>32</v>
      </c>
      <c r="X13" s="2648">
        <v>0</v>
      </c>
      <c r="Y13" s="2975" t="s">
        <v>32</v>
      </c>
      <c r="Z13" s="2975">
        <f t="shared" si="2"/>
        <v>0</v>
      </c>
      <c r="AA13" s="2976" t="s">
        <v>32</v>
      </c>
      <c r="AB13" s="2976">
        <f>+Z13+N13</f>
        <v>0</v>
      </c>
      <c r="AC13" s="2356" t="s">
        <v>32</v>
      </c>
      <c r="AD13" s="2648">
        <v>0</v>
      </c>
      <c r="AE13" s="2668" t="s">
        <v>32</v>
      </c>
      <c r="AF13" s="2668">
        <f t="shared" si="9"/>
        <v>0</v>
      </c>
      <c r="AG13" s="2356" t="s">
        <v>32</v>
      </c>
      <c r="AH13" s="2648">
        <v>0</v>
      </c>
      <c r="AI13" s="2668" t="s">
        <v>32</v>
      </c>
      <c r="AJ13" s="2668">
        <f t="shared" si="10"/>
        <v>0</v>
      </c>
      <c r="AK13" s="2356" t="s">
        <v>32</v>
      </c>
      <c r="AL13" s="2648">
        <v>0</v>
      </c>
      <c r="AM13" s="2975" t="s">
        <v>32</v>
      </c>
      <c r="AN13" s="2975">
        <f t="shared" si="11"/>
        <v>0</v>
      </c>
      <c r="AO13" s="2668" t="s">
        <v>32</v>
      </c>
      <c r="AP13" s="2668">
        <f t="shared" si="0"/>
        <v>0</v>
      </c>
      <c r="AQ13" s="2356" t="s">
        <v>32</v>
      </c>
      <c r="AR13" s="2648">
        <v>0</v>
      </c>
      <c r="AS13" s="2668" t="s">
        <v>32</v>
      </c>
      <c r="AT13" s="2668">
        <f t="shared" si="12"/>
        <v>0</v>
      </c>
      <c r="AU13" s="2356" t="s">
        <v>32</v>
      </c>
      <c r="AV13" s="2648">
        <v>0</v>
      </c>
      <c r="AW13" s="2668" t="s">
        <v>32</v>
      </c>
      <c r="AX13" s="2668">
        <f t="shared" si="13"/>
        <v>0</v>
      </c>
      <c r="AY13" s="2356" t="s">
        <v>32</v>
      </c>
      <c r="AZ13" s="2648">
        <v>0</v>
      </c>
      <c r="BA13" s="2975" t="s">
        <v>32</v>
      </c>
      <c r="BB13" s="2975">
        <f t="shared" si="14"/>
        <v>0</v>
      </c>
      <c r="BC13" s="2976" t="s">
        <v>32</v>
      </c>
      <c r="BD13" s="2976">
        <f t="shared" si="15"/>
        <v>0</v>
      </c>
      <c r="BE13" s="2668" t="s">
        <v>32</v>
      </c>
      <c r="BF13" s="2830">
        <f t="shared" si="16"/>
        <v>0</v>
      </c>
      <c r="BG13" s="2263"/>
      <c r="BH13" s="2263"/>
      <c r="BI13" s="3238"/>
      <c r="BJ13" s="2263"/>
      <c r="BK13" s="3238"/>
      <c r="BL13" s="3238"/>
    </row>
    <row r="14" spans="1:64" s="4982" customFormat="1" ht="15.75" hidden="1" customHeight="1" thickBot="1" x14ac:dyDescent="0.3">
      <c r="B14" s="4983" t="s">
        <v>119</v>
      </c>
      <c r="C14" s="4984" t="s">
        <v>174</v>
      </c>
      <c r="D14" s="4985" t="s">
        <v>32</v>
      </c>
      <c r="E14" s="4986" t="s">
        <v>32</v>
      </c>
      <c r="F14" s="4986">
        <f>+F10+F13-F11-F25</f>
        <v>2</v>
      </c>
      <c r="G14" s="4986" t="s">
        <v>32</v>
      </c>
      <c r="H14" s="4986"/>
      <c r="I14" s="4986" t="s">
        <v>32</v>
      </c>
      <c r="J14" s="4986">
        <f t="shared" si="5"/>
        <v>2</v>
      </c>
      <c r="K14" s="4986" t="s">
        <v>32</v>
      </c>
      <c r="L14" s="4986">
        <f>+L10+L13-L11-L25</f>
        <v>1</v>
      </c>
      <c r="M14" s="4986" t="s">
        <v>32</v>
      </c>
      <c r="N14" s="4986">
        <f t="shared" si="6"/>
        <v>3</v>
      </c>
      <c r="O14" s="4986" t="s">
        <v>32</v>
      </c>
      <c r="P14" s="4986">
        <f>+P10+P13-P11-P25</f>
        <v>1</v>
      </c>
      <c r="Q14" s="4986" t="s">
        <v>32</v>
      </c>
      <c r="R14" s="4986">
        <f t="shared" si="7"/>
        <v>4</v>
      </c>
      <c r="S14" s="4986" t="s">
        <v>32</v>
      </c>
      <c r="T14" s="4986">
        <f>+T10+T13-T11-T25</f>
        <v>0</v>
      </c>
      <c r="U14" s="4986" t="s">
        <v>32</v>
      </c>
      <c r="V14" s="4986">
        <f t="shared" si="8"/>
        <v>4</v>
      </c>
      <c r="W14" s="4986" t="s">
        <v>32</v>
      </c>
      <c r="X14" s="4986">
        <f>+X10+X13-X11-X25</f>
        <v>0</v>
      </c>
      <c r="Y14" s="4986" t="s">
        <v>32</v>
      </c>
      <c r="Z14" s="4986">
        <f t="shared" si="2"/>
        <v>1</v>
      </c>
      <c r="AA14" s="4986" t="s">
        <v>32</v>
      </c>
      <c r="AB14" s="4986">
        <f>+Z14+N14</f>
        <v>4</v>
      </c>
      <c r="AC14" s="4986" t="s">
        <v>32</v>
      </c>
      <c r="AD14" s="4986">
        <f>+AD10+AD13-AD11-AD25</f>
        <v>1</v>
      </c>
      <c r="AE14" s="4986" t="s">
        <v>32</v>
      </c>
      <c r="AF14" s="4986">
        <f t="shared" si="9"/>
        <v>5</v>
      </c>
      <c r="AG14" s="4986" t="s">
        <v>32</v>
      </c>
      <c r="AH14" s="4986">
        <f>+AH10+AH13-AH11-AH25</f>
        <v>-3</v>
      </c>
      <c r="AI14" s="4986" t="s">
        <v>32</v>
      </c>
      <c r="AJ14" s="4986">
        <f t="shared" si="10"/>
        <v>2</v>
      </c>
      <c r="AK14" s="4986" t="s">
        <v>32</v>
      </c>
      <c r="AL14" s="4986">
        <f>+AL10+AL13-AL11-AL25</f>
        <v>-1</v>
      </c>
      <c r="AM14" s="4986" t="s">
        <v>32</v>
      </c>
      <c r="AN14" s="4986">
        <f t="shared" si="11"/>
        <v>-3</v>
      </c>
      <c r="AO14" s="4986" t="s">
        <v>32</v>
      </c>
      <c r="AP14" s="4986">
        <f t="shared" si="0"/>
        <v>1</v>
      </c>
      <c r="AQ14" s="4986" t="s">
        <v>32</v>
      </c>
      <c r="AR14" s="4986">
        <f>+AR10+AR13-AR11-AR25</f>
        <v>1</v>
      </c>
      <c r="AS14" s="4986" t="s">
        <v>32</v>
      </c>
      <c r="AT14" s="4986">
        <f t="shared" si="12"/>
        <v>2</v>
      </c>
      <c r="AU14" s="4986" t="s">
        <v>32</v>
      </c>
      <c r="AV14" s="4986">
        <f>+AV10+AV13-AV11-AV25</f>
        <v>2</v>
      </c>
      <c r="AW14" s="4986" t="s">
        <v>32</v>
      </c>
      <c r="AX14" s="4986">
        <f t="shared" si="13"/>
        <v>4</v>
      </c>
      <c r="AY14" s="4986" t="s">
        <v>32</v>
      </c>
      <c r="AZ14" s="4986">
        <f>+AZ10+AZ13-AZ11-AZ25</f>
        <v>-2</v>
      </c>
      <c r="BA14" s="4986" t="s">
        <v>32</v>
      </c>
      <c r="BB14" s="4986">
        <f t="shared" si="14"/>
        <v>1</v>
      </c>
      <c r="BC14" s="4986" t="s">
        <v>32</v>
      </c>
      <c r="BD14" s="4986">
        <f>+BB14+AN14</f>
        <v>-2</v>
      </c>
      <c r="BE14" s="4986" t="s">
        <v>32</v>
      </c>
      <c r="BF14" s="4987">
        <f t="shared" si="16"/>
        <v>2</v>
      </c>
      <c r="BG14" s="4988"/>
      <c r="BH14" s="4988"/>
      <c r="BI14" s="4989"/>
      <c r="BJ14" s="4988"/>
      <c r="BK14" s="4989"/>
      <c r="BL14" s="4989"/>
    </row>
    <row r="15" spans="1:64" ht="13.8" x14ac:dyDescent="0.25">
      <c r="B15" s="2994" t="s">
        <v>779</v>
      </c>
      <c r="C15" s="695" t="s">
        <v>50</v>
      </c>
      <c r="D15" s="1022">
        <v>2992200</v>
      </c>
      <c r="E15" s="145">
        <v>205700</v>
      </c>
      <c r="F15" s="247">
        <v>235708.2</v>
      </c>
      <c r="G15" s="145">
        <v>181500</v>
      </c>
      <c r="H15" s="247">
        <v>102483.72</v>
      </c>
      <c r="I15" s="341">
        <f>+E15+G15</f>
        <v>387200</v>
      </c>
      <c r="J15" s="341">
        <f t="shared" si="5"/>
        <v>338191.92000000004</v>
      </c>
      <c r="K15" s="145">
        <v>251100</v>
      </c>
      <c r="L15" s="247">
        <v>258527.52499999999</v>
      </c>
      <c r="M15" s="574">
        <f>+K15+G15+E15</f>
        <v>638300</v>
      </c>
      <c r="N15" s="574">
        <f t="shared" si="6"/>
        <v>596719.44500000007</v>
      </c>
      <c r="O15" s="145">
        <v>254100</v>
      </c>
      <c r="P15" s="247">
        <v>266778.07500000001</v>
      </c>
      <c r="Q15" s="341">
        <f>+M15+O15</f>
        <v>892400</v>
      </c>
      <c r="R15" s="341">
        <f t="shared" si="7"/>
        <v>863497.52</v>
      </c>
      <c r="S15" s="145">
        <v>254100</v>
      </c>
      <c r="T15" s="247">
        <v>251918.72</v>
      </c>
      <c r="U15" s="341">
        <f>+Q15+S15</f>
        <v>1146500</v>
      </c>
      <c r="V15" s="341">
        <f t="shared" si="8"/>
        <v>1115416.24</v>
      </c>
      <c r="W15" s="145">
        <v>133350</v>
      </c>
      <c r="X15" s="247">
        <v>241323.3</v>
      </c>
      <c r="Y15" s="574">
        <f>+W15+S15+O15</f>
        <v>641550</v>
      </c>
      <c r="Z15" s="574">
        <f>+X15+T15+P15</f>
        <v>760020.09499999997</v>
      </c>
      <c r="AA15" s="955">
        <f>+Y15+M15</f>
        <v>1279850</v>
      </c>
      <c r="AB15" s="955">
        <f t="shared" ref="AB15:AB24" si="17">+Z15+N15</f>
        <v>1356739.54</v>
      </c>
      <c r="AC15" s="145">
        <v>259100</v>
      </c>
      <c r="AD15" s="247">
        <v>190772.82</v>
      </c>
      <c r="AE15" s="341">
        <f>+AA15+AC15</f>
        <v>1538950</v>
      </c>
      <c r="AF15" s="341">
        <f t="shared" si="9"/>
        <v>1547512.36</v>
      </c>
      <c r="AG15" s="145">
        <v>251100</v>
      </c>
      <c r="AH15" s="247">
        <v>243243.53</v>
      </c>
      <c r="AI15" s="341">
        <f>+AE15+AG15</f>
        <v>1790050</v>
      </c>
      <c r="AJ15" s="341">
        <f t="shared" si="10"/>
        <v>1790755.8900000001</v>
      </c>
      <c r="AK15" s="145">
        <v>259100</v>
      </c>
      <c r="AL15" s="247">
        <v>250346.23999999999</v>
      </c>
      <c r="AM15" s="574">
        <f>+AK15+AG15+AC15</f>
        <v>769300</v>
      </c>
      <c r="AN15" s="574">
        <f>+AL15+AH15+AD15</f>
        <v>684362.59000000008</v>
      </c>
      <c r="AO15" s="341">
        <f>+AK15+AI15</f>
        <v>2049150</v>
      </c>
      <c r="AP15" s="341">
        <f>+AL15+AJ15</f>
        <v>2041102.1300000001</v>
      </c>
      <c r="AQ15" s="145">
        <v>263100</v>
      </c>
      <c r="AR15" s="247">
        <v>242224.07</v>
      </c>
      <c r="AS15" s="341">
        <f>+AO15+AQ15</f>
        <v>2312250</v>
      </c>
      <c r="AT15" s="341">
        <f t="shared" si="12"/>
        <v>2283326.2000000002</v>
      </c>
      <c r="AU15" s="145">
        <v>235100</v>
      </c>
      <c r="AV15" s="247">
        <v>194681.07500000001</v>
      </c>
      <c r="AW15" s="341">
        <f>+AS15+AU15</f>
        <v>2547350</v>
      </c>
      <c r="AX15" s="341">
        <f t="shared" si="13"/>
        <v>2478007.2750000004</v>
      </c>
      <c r="AY15" s="145">
        <v>263100</v>
      </c>
      <c r="AZ15" s="247">
        <v>250513.94500000001</v>
      </c>
      <c r="BA15" s="574">
        <f>+AY15+AU15+AQ15</f>
        <v>761300</v>
      </c>
      <c r="BB15" s="574">
        <f>+AZ15+AV15+AR15</f>
        <v>687419.09000000008</v>
      </c>
      <c r="BC15" s="955">
        <f>+BA15+AM15</f>
        <v>1530600</v>
      </c>
      <c r="BD15" s="955">
        <f>+BB15+AN15</f>
        <v>1371781.6800000002</v>
      </c>
      <c r="BE15" s="341">
        <f>+AW15+AY15</f>
        <v>2810450</v>
      </c>
      <c r="BF15" s="39">
        <f t="shared" si="16"/>
        <v>2728521.22</v>
      </c>
      <c r="BG15" s="2263"/>
      <c r="BH15" s="2263"/>
      <c r="BI15" s="3238"/>
      <c r="BJ15" s="2263"/>
      <c r="BK15" s="3238"/>
      <c r="BL15" s="3238"/>
    </row>
    <row r="16" spans="1:64" ht="13.8" x14ac:dyDescent="0.25">
      <c r="B16" s="1569" t="s">
        <v>768</v>
      </c>
      <c r="C16" s="2589" t="s">
        <v>50</v>
      </c>
      <c r="D16" s="1826"/>
      <c r="E16" s="2348"/>
      <c r="F16" s="2399">
        <v>2536</v>
      </c>
      <c r="G16" s="2348"/>
      <c r="H16" s="2399">
        <v>3402</v>
      </c>
      <c r="I16" s="2349"/>
      <c r="J16" s="2668">
        <f t="shared" si="5"/>
        <v>5938</v>
      </c>
      <c r="K16" s="2348"/>
      <c r="L16" s="2399">
        <v>2392</v>
      </c>
      <c r="M16" s="2350"/>
      <c r="N16" s="2350">
        <f t="shared" si="6"/>
        <v>8330</v>
      </c>
      <c r="O16" s="2348"/>
      <c r="P16" s="2399">
        <v>2490</v>
      </c>
      <c r="Q16" s="2349"/>
      <c r="R16" s="2668">
        <f t="shared" si="7"/>
        <v>10820</v>
      </c>
      <c r="S16" s="2348"/>
      <c r="T16" s="2399">
        <v>904</v>
      </c>
      <c r="U16" s="2349"/>
      <c r="V16" s="2668">
        <f t="shared" si="8"/>
        <v>11724</v>
      </c>
      <c r="W16" s="2348"/>
      <c r="X16" s="2399">
        <v>550</v>
      </c>
      <c r="Y16" s="2350"/>
      <c r="Z16" s="2350">
        <f t="shared" ref="Y16:Z24" si="18">+X16+T16+P16</f>
        <v>3944</v>
      </c>
      <c r="AA16" s="2379"/>
      <c r="AB16" s="2379">
        <f t="shared" si="17"/>
        <v>12274</v>
      </c>
      <c r="AC16" s="2348"/>
      <c r="AD16" s="2399">
        <v>2202</v>
      </c>
      <c r="AE16" s="2349"/>
      <c r="AF16" s="2349">
        <f t="shared" si="9"/>
        <v>14476</v>
      </c>
      <c r="AG16" s="2348"/>
      <c r="AH16" s="2399">
        <v>4618</v>
      </c>
      <c r="AI16" s="2349"/>
      <c r="AJ16" s="2349">
        <f t="shared" si="10"/>
        <v>19094</v>
      </c>
      <c r="AK16" s="2348"/>
      <c r="AL16" s="2399">
        <v>2620</v>
      </c>
      <c r="AM16" s="2350"/>
      <c r="AN16" s="2350">
        <f t="shared" ref="AN16:AN20" si="19">+AL16+AH16+AD16</f>
        <v>9440</v>
      </c>
      <c r="AO16" s="2349"/>
      <c r="AP16" s="2349">
        <f t="shared" ref="AO16:AP24" si="20">+AL16+AJ16</f>
        <v>21714</v>
      </c>
      <c r="AQ16" s="2348"/>
      <c r="AR16" s="2399">
        <v>1852</v>
      </c>
      <c r="AS16" s="2349"/>
      <c r="AT16" s="2349">
        <f t="shared" si="12"/>
        <v>23566</v>
      </c>
      <c r="AU16" s="2348"/>
      <c r="AV16" s="2399">
        <v>2468</v>
      </c>
      <c r="AW16" s="2349"/>
      <c r="AX16" s="2349">
        <f t="shared" si="13"/>
        <v>26034</v>
      </c>
      <c r="AY16" s="2348"/>
      <c r="AZ16" s="2399">
        <v>5897</v>
      </c>
      <c r="BA16" s="2350"/>
      <c r="BB16" s="2350">
        <f t="shared" ref="BB16:BB20" si="21">+AZ16+AV16+AR16</f>
        <v>10217</v>
      </c>
      <c r="BC16" s="2379"/>
      <c r="BD16" s="2379">
        <f>+BB16+AN16</f>
        <v>19657</v>
      </c>
      <c r="BE16" s="2349"/>
      <c r="BF16" s="35">
        <f t="shared" si="16"/>
        <v>31931</v>
      </c>
      <c r="BG16" s="2263"/>
      <c r="BH16" s="2263"/>
      <c r="BI16" s="3238"/>
      <c r="BJ16" s="2263"/>
      <c r="BK16" s="3238"/>
      <c r="BL16" s="3238"/>
    </row>
    <row r="17" spans="1:64" ht="13.8" x14ac:dyDescent="0.25">
      <c r="B17" s="1569" t="s">
        <v>769</v>
      </c>
      <c r="C17" s="2589" t="s">
        <v>50</v>
      </c>
      <c r="D17" s="1826"/>
      <c r="E17" s="2348"/>
      <c r="F17" s="2399">
        <v>5439.7</v>
      </c>
      <c r="G17" s="2348"/>
      <c r="H17" s="2399">
        <v>1318.8</v>
      </c>
      <c r="I17" s="2349"/>
      <c r="J17" s="2668">
        <f t="shared" si="5"/>
        <v>6758.5</v>
      </c>
      <c r="K17" s="2348"/>
      <c r="L17" s="2399">
        <v>5415.2</v>
      </c>
      <c r="M17" s="2350"/>
      <c r="N17" s="2350">
        <f t="shared" si="6"/>
        <v>12173.7</v>
      </c>
      <c r="O17" s="2348"/>
      <c r="P17" s="2399">
        <v>8216.6</v>
      </c>
      <c r="Q17" s="2349"/>
      <c r="R17" s="2668">
        <f t="shared" si="7"/>
        <v>20390.300000000003</v>
      </c>
      <c r="S17" s="2348"/>
      <c r="T17" s="2399">
        <v>7341.5999999999995</v>
      </c>
      <c r="U17" s="2349"/>
      <c r="V17" s="2349">
        <f t="shared" si="8"/>
        <v>27731.9</v>
      </c>
      <c r="W17" s="2348"/>
      <c r="X17" s="2399">
        <v>7070</v>
      </c>
      <c r="Y17" s="2350"/>
      <c r="Z17" s="2350">
        <f t="shared" si="18"/>
        <v>22628.199999999997</v>
      </c>
      <c r="AA17" s="2379"/>
      <c r="AB17" s="2379">
        <f t="shared" si="17"/>
        <v>34801.899999999994</v>
      </c>
      <c r="AC17" s="2348"/>
      <c r="AD17" s="2399">
        <v>3190.6</v>
      </c>
      <c r="AE17" s="2349"/>
      <c r="AF17" s="2349">
        <f t="shared" si="9"/>
        <v>37992.499999999993</v>
      </c>
      <c r="AG17" s="2348"/>
      <c r="AH17" s="2399">
        <v>3495.7999999999997</v>
      </c>
      <c r="AI17" s="2349"/>
      <c r="AJ17" s="2349">
        <f t="shared" si="10"/>
        <v>41488.299999999996</v>
      </c>
      <c r="AK17" s="2348"/>
      <c r="AL17" s="2399">
        <v>3376.7999999999997</v>
      </c>
      <c r="AM17" s="2350"/>
      <c r="AN17" s="2350">
        <f t="shared" si="19"/>
        <v>10063.199999999999</v>
      </c>
      <c r="AO17" s="2349"/>
      <c r="AP17" s="2349">
        <f t="shared" si="20"/>
        <v>44865.1</v>
      </c>
      <c r="AQ17" s="2348"/>
      <c r="AR17" s="2399">
        <v>5061.7</v>
      </c>
      <c r="AS17" s="2349"/>
      <c r="AT17" s="2349">
        <f t="shared" si="12"/>
        <v>49926.799999999996</v>
      </c>
      <c r="AU17" s="2348"/>
      <c r="AV17" s="2399">
        <v>5033</v>
      </c>
      <c r="AW17" s="2349"/>
      <c r="AX17" s="2349">
        <f t="shared" si="13"/>
        <v>54959.799999999996</v>
      </c>
      <c r="AY17" s="2348"/>
      <c r="AZ17" s="2399">
        <v>7018.9</v>
      </c>
      <c r="BA17" s="2350"/>
      <c r="BB17" s="2350">
        <f t="shared" si="21"/>
        <v>17113.599999999999</v>
      </c>
      <c r="BC17" s="2379"/>
      <c r="BD17" s="2379">
        <f>+BB17+AN17</f>
        <v>27176.799999999996</v>
      </c>
      <c r="BE17" s="2349"/>
      <c r="BF17" s="35">
        <f t="shared" si="16"/>
        <v>61978.7</v>
      </c>
      <c r="BG17" s="2263"/>
      <c r="BH17" s="2263"/>
      <c r="BI17" s="3238"/>
      <c r="BJ17" s="2263"/>
      <c r="BK17" s="3238"/>
      <c r="BL17" s="3238"/>
    </row>
    <row r="18" spans="1:64" ht="13.8" x14ac:dyDescent="0.25">
      <c r="B18" s="1569" t="s">
        <v>978</v>
      </c>
      <c r="C18" s="2589" t="s">
        <v>50</v>
      </c>
      <c r="D18" s="1826"/>
      <c r="E18" s="2348"/>
      <c r="F18" s="2399">
        <v>971</v>
      </c>
      <c r="G18" s="2348"/>
      <c r="H18" s="2399">
        <v>100</v>
      </c>
      <c r="I18" s="2349"/>
      <c r="J18" s="2349">
        <f t="shared" si="5"/>
        <v>1071</v>
      </c>
      <c r="K18" s="2348"/>
      <c r="L18" s="2399">
        <v>597</v>
      </c>
      <c r="M18" s="2350"/>
      <c r="N18" s="2350">
        <f t="shared" si="6"/>
        <v>1668</v>
      </c>
      <c r="O18" s="2348"/>
      <c r="P18" s="2399">
        <v>588</v>
      </c>
      <c r="Q18" s="2349"/>
      <c r="R18" s="2668">
        <f t="shared" si="7"/>
        <v>2256</v>
      </c>
      <c r="S18" s="2348"/>
      <c r="T18" s="2399">
        <v>352.5</v>
      </c>
      <c r="U18" s="2349"/>
      <c r="V18" s="2349">
        <f t="shared" si="8"/>
        <v>2608.5</v>
      </c>
      <c r="W18" s="2348"/>
      <c r="X18" s="2399">
        <v>102</v>
      </c>
      <c r="Y18" s="2350"/>
      <c r="Z18" s="2350">
        <f t="shared" si="18"/>
        <v>1042.5</v>
      </c>
      <c r="AA18" s="2379"/>
      <c r="AB18" s="2379">
        <f t="shared" si="17"/>
        <v>2710.5</v>
      </c>
      <c r="AC18" s="2348"/>
      <c r="AD18" s="2399">
        <v>138</v>
      </c>
      <c r="AE18" s="2349"/>
      <c r="AF18" s="2349">
        <f t="shared" si="9"/>
        <v>2848.5</v>
      </c>
      <c r="AG18" s="2348"/>
      <c r="AH18" s="2399">
        <v>260</v>
      </c>
      <c r="AI18" s="2349"/>
      <c r="AJ18" s="2349">
        <f t="shared" si="10"/>
        <v>3108.5</v>
      </c>
      <c r="AK18" s="2348"/>
      <c r="AL18" s="2399">
        <v>550</v>
      </c>
      <c r="AM18" s="2350"/>
      <c r="AN18" s="2350">
        <f t="shared" si="19"/>
        <v>948</v>
      </c>
      <c r="AO18" s="2349"/>
      <c r="AP18" s="2349">
        <f t="shared" si="20"/>
        <v>3658.5</v>
      </c>
      <c r="AQ18" s="2348"/>
      <c r="AR18" s="2399">
        <v>665</v>
      </c>
      <c r="AS18" s="2349"/>
      <c r="AT18" s="2349">
        <f t="shared" si="12"/>
        <v>4323.5</v>
      </c>
      <c r="AU18" s="2348"/>
      <c r="AV18" s="2399">
        <v>544</v>
      </c>
      <c r="AW18" s="2349"/>
      <c r="AX18" s="2349">
        <f t="shared" si="13"/>
        <v>4867.5</v>
      </c>
      <c r="AY18" s="2348"/>
      <c r="AZ18" s="2399">
        <v>350</v>
      </c>
      <c r="BA18" s="2350"/>
      <c r="BB18" s="2350">
        <f t="shared" si="21"/>
        <v>1559</v>
      </c>
      <c r="BC18" s="2379"/>
      <c r="BD18" s="2379">
        <f>+BB18+AN18</f>
        <v>2507</v>
      </c>
      <c r="BE18" s="2349"/>
      <c r="BF18" s="35">
        <f t="shared" si="16"/>
        <v>5217.5</v>
      </c>
      <c r="BG18" s="2263"/>
      <c r="BH18" s="2263"/>
      <c r="BI18" s="3238"/>
      <c r="BJ18" s="2263"/>
      <c r="BK18" s="3238"/>
      <c r="BL18" s="3238"/>
    </row>
    <row r="19" spans="1:64" ht="13.8" x14ac:dyDescent="0.25">
      <c r="B19" s="2995" t="s">
        <v>278</v>
      </c>
      <c r="C19" s="2589" t="s">
        <v>50</v>
      </c>
      <c r="D19" s="143">
        <f>+D5*D90/1000</f>
        <v>95795.480225988693</v>
      </c>
      <c r="E19" s="2399">
        <f>+E5*E90/1000</f>
        <v>6585.4990583804147</v>
      </c>
      <c r="F19" s="2399">
        <f>SUM(F16:F18)</f>
        <v>8946.7000000000007</v>
      </c>
      <c r="G19" s="2399">
        <f>+G5*G90/1000</f>
        <v>5810.7344632768354</v>
      </c>
      <c r="H19" s="2399">
        <f>SUM(H16:H18)</f>
        <v>4820.8</v>
      </c>
      <c r="I19" s="2349">
        <f>+E19+G19</f>
        <v>12396.23352165725</v>
      </c>
      <c r="J19" s="2349">
        <f t="shared" si="5"/>
        <v>13767.5</v>
      </c>
      <c r="K19" s="2399">
        <f>+K5*K90/1000</f>
        <v>8061.7563739376674</v>
      </c>
      <c r="L19" s="2399">
        <f>SUM(L16:L18)</f>
        <v>8404.2000000000007</v>
      </c>
      <c r="M19" s="2350">
        <f>+K19+G19+E19</f>
        <v>20457.989895594917</v>
      </c>
      <c r="N19" s="2350">
        <f t="shared" si="6"/>
        <v>22171.7</v>
      </c>
      <c r="O19" s="2399">
        <f>+O5*O90/1000</f>
        <v>8158.0736543909361</v>
      </c>
      <c r="P19" s="2399">
        <f>SUM(P16:P18)</f>
        <v>11294.6</v>
      </c>
      <c r="Q19" s="2349">
        <f>+M19+O19</f>
        <v>28616.063549985854</v>
      </c>
      <c r="R19" s="2668">
        <f t="shared" si="7"/>
        <v>33466.300000000003</v>
      </c>
      <c r="S19" s="2399">
        <f>+S5*S90/1000</f>
        <v>8158.0736543909361</v>
      </c>
      <c r="T19" s="2399">
        <f>SUM(T16:T18)</f>
        <v>8598.0999999999985</v>
      </c>
      <c r="U19" s="2349">
        <f>+Q19+S19</f>
        <v>36774.137204376791</v>
      </c>
      <c r="V19" s="2349">
        <f t="shared" si="8"/>
        <v>42064.4</v>
      </c>
      <c r="W19" s="2399">
        <f>+W5*W90/1000</f>
        <v>4281.3031161473245</v>
      </c>
      <c r="X19" s="2399">
        <f>SUM(X16:X18)</f>
        <v>7722</v>
      </c>
      <c r="Y19" s="2350">
        <f t="shared" si="18"/>
        <v>20597.450424929197</v>
      </c>
      <c r="Z19" s="2350">
        <f t="shared" si="18"/>
        <v>27614.699999999997</v>
      </c>
      <c r="AA19" s="2379">
        <f>+Y19+M19</f>
        <v>41055.440320524111</v>
      </c>
      <c r="AB19" s="2379">
        <f t="shared" si="17"/>
        <v>49786.399999999994</v>
      </c>
      <c r="AC19" s="2399">
        <f>+AC5*AC90/1000</f>
        <v>8318.6024551463597</v>
      </c>
      <c r="AD19" s="2399">
        <f>SUM(AD16:AD18)</f>
        <v>5530.6</v>
      </c>
      <c r="AE19" s="2349">
        <f>+AA19+AC19</f>
        <v>49374.042775670474</v>
      </c>
      <c r="AF19" s="2349">
        <f t="shared" si="9"/>
        <v>55316.999999999993</v>
      </c>
      <c r="AG19" s="2399">
        <f>+AG5*AG90/1000</f>
        <v>8061.7563739376674</v>
      </c>
      <c r="AH19" s="2399">
        <f>SUM(AH16:AH18)</f>
        <v>8373.7999999999993</v>
      </c>
      <c r="AI19" s="2349">
        <f>+AE19+AG19</f>
        <v>57435.799149608138</v>
      </c>
      <c r="AJ19" s="2349">
        <f t="shared" si="10"/>
        <v>63690.799999999988</v>
      </c>
      <c r="AK19" s="2399">
        <f>+AK5*AK90/1000</f>
        <v>8318.6024551463597</v>
      </c>
      <c r="AL19" s="2399">
        <f>SUM(AL16:AL18)</f>
        <v>6546.7999999999993</v>
      </c>
      <c r="AM19" s="2350">
        <f t="shared" ref="AM19:AM20" si="22">+AK19+AG19+AC19</f>
        <v>24698.961284230387</v>
      </c>
      <c r="AN19" s="2350">
        <f t="shared" si="19"/>
        <v>20451.199999999997</v>
      </c>
      <c r="AO19" s="2349">
        <f>+AK19+AI19</f>
        <v>65754.401604754501</v>
      </c>
      <c r="AP19" s="2349">
        <f t="shared" si="20"/>
        <v>70237.599999999991</v>
      </c>
      <c r="AQ19" s="2399">
        <f>+AQ5*AQ90/1000</f>
        <v>8447.0254957507077</v>
      </c>
      <c r="AR19" s="2399">
        <f>SUM(AR16:AR18)</f>
        <v>7578.7</v>
      </c>
      <c r="AS19" s="2349">
        <f>+AO19+AQ19</f>
        <v>74201.427100505214</v>
      </c>
      <c r="AT19" s="2349">
        <f t="shared" si="12"/>
        <v>77816.299999999988</v>
      </c>
      <c r="AU19" s="2399">
        <f>+AU5*AU90/1000</f>
        <v>7548.0642115203018</v>
      </c>
      <c r="AV19" s="2399">
        <f>SUM(AV16:AV18)</f>
        <v>8045</v>
      </c>
      <c r="AW19" s="2349">
        <f>+AS19+AU19</f>
        <v>81749.491312025522</v>
      </c>
      <c r="AX19" s="2349">
        <f t="shared" si="13"/>
        <v>85861.299999999988</v>
      </c>
      <c r="AY19" s="2399">
        <f>+AY5*AY90/1000</f>
        <v>8447.0254957507077</v>
      </c>
      <c r="AZ19" s="2399">
        <f>SUM(AZ16:AZ18)</f>
        <v>13265.9</v>
      </c>
      <c r="BA19" s="2350">
        <f t="shared" ref="BA19:BA20" si="23">+AY19+AU19+AQ19</f>
        <v>24442.11520302172</v>
      </c>
      <c r="BB19" s="2350">
        <f t="shared" si="21"/>
        <v>28889.600000000002</v>
      </c>
      <c r="BC19" s="2379">
        <f t="shared" ref="BC19:BC20" si="24">+BA19+AM19</f>
        <v>49141.07648725211</v>
      </c>
      <c r="BD19" s="2379">
        <f t="shared" ref="BD19:BD20" si="25">+BB19+AN19</f>
        <v>49340.800000000003</v>
      </c>
      <c r="BE19" s="2349">
        <f>+AW19+AY19</f>
        <v>90196.516807776236</v>
      </c>
      <c r="BF19" s="35">
        <f t="shared" si="16"/>
        <v>99127.199999999983</v>
      </c>
      <c r="BG19" s="2263"/>
      <c r="BH19" s="2263"/>
      <c r="BI19" s="3238"/>
      <c r="BJ19" s="2263"/>
      <c r="BK19" s="3238"/>
      <c r="BL19" s="3238"/>
    </row>
    <row r="20" spans="1:64" ht="14.4" thickBot="1" x14ac:dyDescent="0.3">
      <c r="B20" s="1330" t="s">
        <v>279</v>
      </c>
      <c r="C20" s="687" t="s">
        <v>50</v>
      </c>
      <c r="D20" s="2996">
        <v>2860420.4307551119</v>
      </c>
      <c r="E20" s="103">
        <v>196640.76017857314</v>
      </c>
      <c r="F20" s="2126">
        <v>226466</v>
      </c>
      <c r="G20" s="103">
        <v>173506.55309874099</v>
      </c>
      <c r="H20" s="2126">
        <v>99547</v>
      </c>
      <c r="I20" s="546">
        <f>+E20+G20</f>
        <v>370147.31327731413</v>
      </c>
      <c r="J20" s="546">
        <f t="shared" si="5"/>
        <v>326013</v>
      </c>
      <c r="K20" s="103">
        <v>243190.23752451516</v>
      </c>
      <c r="L20" s="2126">
        <v>246853</v>
      </c>
      <c r="M20" s="452">
        <f>+K20+G20+E20</f>
        <v>613337.5508018292</v>
      </c>
      <c r="N20" s="452">
        <f t="shared" si="6"/>
        <v>572866</v>
      </c>
      <c r="O20" s="103">
        <v>246095.73618072201</v>
      </c>
      <c r="P20" s="2126">
        <v>257058</v>
      </c>
      <c r="Q20" s="546">
        <f>+M20+O20</f>
        <v>859433.28698255122</v>
      </c>
      <c r="R20" s="2992">
        <f t="shared" si="7"/>
        <v>829924</v>
      </c>
      <c r="S20" s="103">
        <v>246095.73618072201</v>
      </c>
      <c r="T20" s="2126">
        <v>240774</v>
      </c>
      <c r="U20" s="546">
        <f>+Q20+S20</f>
        <v>1105529.0231632732</v>
      </c>
      <c r="V20" s="546">
        <f t="shared" si="8"/>
        <v>1070698</v>
      </c>
      <c r="W20" s="103">
        <v>129149.41526839545</v>
      </c>
      <c r="X20" s="2126">
        <v>230197</v>
      </c>
      <c r="Y20" s="452">
        <f t="shared" si="18"/>
        <v>621340.88762983948</v>
      </c>
      <c r="Z20" s="452">
        <f t="shared" si="18"/>
        <v>728029</v>
      </c>
      <c r="AA20" s="1040">
        <f>+Y20+M20</f>
        <v>1234678.4384316686</v>
      </c>
      <c r="AB20" s="1040">
        <f t="shared" si="17"/>
        <v>1300895</v>
      </c>
      <c r="AC20" s="103">
        <v>250938.23394106681</v>
      </c>
      <c r="AD20" s="2126">
        <v>181931</v>
      </c>
      <c r="AE20" s="546">
        <f>+AA20+AC20</f>
        <v>1485616.6723727353</v>
      </c>
      <c r="AF20" s="546">
        <f t="shared" si="9"/>
        <v>1482826</v>
      </c>
      <c r="AG20" s="103">
        <v>243190.23752451516</v>
      </c>
      <c r="AH20" s="2126">
        <v>232890</v>
      </c>
      <c r="AI20" s="546">
        <f>+AE20+AG20</f>
        <v>1728806.9098972506</v>
      </c>
      <c r="AJ20" s="546">
        <f t="shared" si="10"/>
        <v>1715716</v>
      </c>
      <c r="AK20" s="103">
        <v>250938.23394106681</v>
      </c>
      <c r="AL20" s="2126">
        <v>237877</v>
      </c>
      <c r="AM20" s="452">
        <f t="shared" si="22"/>
        <v>745066.70540664881</v>
      </c>
      <c r="AN20" s="452">
        <f t="shared" si="19"/>
        <v>652698</v>
      </c>
      <c r="AO20" s="546">
        <f>+AK20+AI20</f>
        <v>1979745.1438383174</v>
      </c>
      <c r="AP20" s="546">
        <f t="shared" si="20"/>
        <v>1953593</v>
      </c>
      <c r="AQ20" s="103">
        <v>254812.23214934263</v>
      </c>
      <c r="AR20" s="210">
        <v>231328</v>
      </c>
      <c r="AS20" s="546">
        <f>+AO20+AQ20</f>
        <v>2234557.3759876601</v>
      </c>
      <c r="AT20" s="546">
        <f t="shared" si="12"/>
        <v>2184921</v>
      </c>
      <c r="AU20" s="103">
        <v>227694.24469141182</v>
      </c>
      <c r="AV20" s="210">
        <v>187823</v>
      </c>
      <c r="AW20" s="546">
        <f>+AS20+AU20</f>
        <v>2462251.6206790721</v>
      </c>
      <c r="AX20" s="546">
        <f t="shared" si="13"/>
        <v>2372744</v>
      </c>
      <c r="AY20" s="103">
        <v>254812.23214934263</v>
      </c>
      <c r="AZ20" s="210">
        <v>244718</v>
      </c>
      <c r="BA20" s="452">
        <f t="shared" si="23"/>
        <v>737318.70899009705</v>
      </c>
      <c r="BB20" s="452">
        <f t="shared" si="21"/>
        <v>663869</v>
      </c>
      <c r="BC20" s="1040">
        <f t="shared" si="24"/>
        <v>1482385.4143967459</v>
      </c>
      <c r="BD20" s="1040">
        <f t="shared" si="25"/>
        <v>1316567</v>
      </c>
      <c r="BE20" s="546">
        <f>+AW20+AY20</f>
        <v>2717063.8528284146</v>
      </c>
      <c r="BF20" s="40">
        <f t="shared" si="16"/>
        <v>2617462</v>
      </c>
      <c r="BG20" s="2263"/>
      <c r="BH20" s="2263"/>
      <c r="BI20" s="3238"/>
      <c r="BJ20" s="2263"/>
      <c r="BK20" s="3238"/>
      <c r="BL20" s="3238"/>
    </row>
    <row r="21" spans="1:64" ht="13.8" x14ac:dyDescent="0.25">
      <c r="A21" s="1166"/>
      <c r="B21" s="2973" t="s">
        <v>295</v>
      </c>
      <c r="C21" s="819"/>
      <c r="D21" s="818"/>
      <c r="E21" s="2974"/>
      <c r="F21" s="2974"/>
      <c r="G21" s="2974"/>
      <c r="H21" s="2974"/>
      <c r="I21" s="2974"/>
      <c r="J21" s="2974"/>
      <c r="K21" s="2974"/>
      <c r="L21" s="2974"/>
      <c r="M21" s="2974"/>
      <c r="N21" s="2974"/>
      <c r="O21" s="2974"/>
      <c r="P21" s="2974"/>
      <c r="Q21" s="2974"/>
      <c r="R21" s="2974"/>
      <c r="S21" s="2974"/>
      <c r="T21" s="2974"/>
      <c r="U21" s="2974"/>
      <c r="V21" s="2974"/>
      <c r="W21" s="2974"/>
      <c r="X21" s="2974"/>
      <c r="Y21" s="2974"/>
      <c r="Z21" s="2974"/>
      <c r="AA21" s="2974"/>
      <c r="AB21" s="2974"/>
      <c r="AC21" s="2974"/>
      <c r="AD21" s="2974"/>
      <c r="AE21" s="2974"/>
      <c r="AF21" s="2974"/>
      <c r="AG21" s="2974"/>
      <c r="AH21" s="2974"/>
      <c r="AI21" s="2974"/>
      <c r="AJ21" s="2974"/>
      <c r="AK21" s="2974"/>
      <c r="AL21" s="2974"/>
      <c r="AM21" s="2974"/>
      <c r="AN21" s="2974"/>
      <c r="AO21" s="2974"/>
      <c r="AP21" s="2974"/>
      <c r="AQ21" s="2974"/>
      <c r="AR21" s="2974"/>
      <c r="AS21" s="2974"/>
      <c r="AT21" s="2974"/>
      <c r="AU21" s="2974"/>
      <c r="AV21" s="2974"/>
      <c r="AW21" s="2974"/>
      <c r="AX21" s="2974"/>
      <c r="AY21" s="2974"/>
      <c r="AZ21" s="2974"/>
      <c r="BA21" s="2974"/>
      <c r="BB21" s="2974"/>
      <c r="BC21" s="2974"/>
      <c r="BD21" s="2974"/>
      <c r="BE21" s="2974"/>
      <c r="BF21" s="2265"/>
      <c r="BG21" s="2263"/>
      <c r="BH21" s="2263"/>
      <c r="BI21" s="3238"/>
      <c r="BJ21" s="2263"/>
      <c r="BK21" s="3238"/>
      <c r="BL21" s="3238"/>
    </row>
    <row r="22" spans="1:64" ht="13.8" x14ac:dyDescent="0.25">
      <c r="B22" s="1578" t="s">
        <v>280</v>
      </c>
      <c r="C22" s="56" t="s">
        <v>174</v>
      </c>
      <c r="D22" s="5812">
        <f>+D29/156</f>
        <v>12310.359557244872</v>
      </c>
      <c r="E22" s="6170">
        <f>+E29/156</f>
        <v>862.74341666436544</v>
      </c>
      <c r="F22" s="2399">
        <v>495</v>
      </c>
      <c r="G22" s="6170">
        <f>+G29/156</f>
        <v>692.9935025447628</v>
      </c>
      <c r="H22" s="2399">
        <v>241</v>
      </c>
      <c r="I22" s="6171">
        <f>+E22+G22</f>
        <v>1555.7369192091282</v>
      </c>
      <c r="J22" s="2668">
        <f>+F22+H22</f>
        <v>736</v>
      </c>
      <c r="K22" s="6170">
        <f>+K29/150</f>
        <v>1140.9828060025734</v>
      </c>
      <c r="L22" s="2399">
        <v>541</v>
      </c>
      <c r="M22" s="6174">
        <f>+K22+G22+E22</f>
        <v>2696.7197252117016</v>
      </c>
      <c r="N22" s="2350">
        <f>+L22+H22+F22</f>
        <v>1277</v>
      </c>
      <c r="O22" s="6170">
        <f>+O29/150</f>
        <v>1142.2783977516533</v>
      </c>
      <c r="P22" s="2399">
        <v>587</v>
      </c>
      <c r="Q22" s="6171">
        <f>+M22+O22</f>
        <v>3838.9981229633549</v>
      </c>
      <c r="R22" s="2668">
        <f>+N22+P22</f>
        <v>1864</v>
      </c>
      <c r="S22" s="6170">
        <f>+S29/150</f>
        <v>1142.2783977516533</v>
      </c>
      <c r="T22" s="2399">
        <v>512</v>
      </c>
      <c r="U22" s="6171">
        <f>+Q22+S22</f>
        <v>4981.2765207150078</v>
      </c>
      <c r="V22" s="2668">
        <f>+R22+T22</f>
        <v>2376</v>
      </c>
      <c r="W22" s="6170">
        <f>+W29/150</f>
        <v>603.76319572653995</v>
      </c>
      <c r="X22" s="2399">
        <v>490</v>
      </c>
      <c r="Y22" s="6174">
        <f>+W22+S22+O22</f>
        <v>2888.3199912298464</v>
      </c>
      <c r="Z22" s="2350">
        <f t="shared" si="18"/>
        <v>1589</v>
      </c>
      <c r="AA22" s="6175">
        <f>+Y22+M22</f>
        <v>5585.0397164415481</v>
      </c>
      <c r="AB22" s="2976">
        <f t="shared" si="17"/>
        <v>2866</v>
      </c>
      <c r="AC22" s="6170">
        <f>+AC29/150</f>
        <v>1159.6825333333334</v>
      </c>
      <c r="AD22" s="2399">
        <v>440</v>
      </c>
      <c r="AE22" s="6171">
        <f>+AA22+AC22</f>
        <v>6744.7222497748817</v>
      </c>
      <c r="AF22" s="2668">
        <f>+AB22+AD22</f>
        <v>3306</v>
      </c>
      <c r="AG22" s="6170">
        <f>+AG29/150</f>
        <v>1123.3926564863066</v>
      </c>
      <c r="AH22" s="2399">
        <v>542</v>
      </c>
      <c r="AI22" s="6171">
        <f>+AE22+AG22</f>
        <v>7868.1149062611885</v>
      </c>
      <c r="AJ22" s="2668">
        <f>+AF22+AH22</f>
        <v>3848</v>
      </c>
      <c r="AK22" s="6170">
        <f>+AK29/150</f>
        <v>1156.16448367762</v>
      </c>
      <c r="AL22" s="2399">
        <v>455</v>
      </c>
      <c r="AM22" s="6174">
        <f>+AK22+AG22+AC22</f>
        <v>3439.2396734972599</v>
      </c>
      <c r="AN22" s="2350">
        <f t="shared" ref="AN22:AN24" si="26">+AL22+AH22+AD22</f>
        <v>1437</v>
      </c>
      <c r="AO22" s="6171">
        <f>+AK22+AI22</f>
        <v>9024.2793899388089</v>
      </c>
      <c r="AP22" s="2349">
        <f t="shared" si="20"/>
        <v>4303</v>
      </c>
      <c r="AQ22" s="6170">
        <f>+AQ29/150</f>
        <v>1177.8274421281592</v>
      </c>
      <c r="AR22" s="2399">
        <v>459</v>
      </c>
      <c r="AS22" s="6171">
        <f>+AO22+AQ22</f>
        <v>10202.106832066967</v>
      </c>
      <c r="AT22" s="2668">
        <f>+AP22+AR22</f>
        <v>4762</v>
      </c>
      <c r="AU22" s="6170">
        <f>+AU29/150</f>
        <v>1050.8129422971672</v>
      </c>
      <c r="AV22" s="2399">
        <v>366</v>
      </c>
      <c r="AW22" s="6171">
        <f>+AS22+AU22</f>
        <v>11252.919774364134</v>
      </c>
      <c r="AX22" s="2668">
        <f>+AT22+AV22</f>
        <v>5128</v>
      </c>
      <c r="AY22" s="6170">
        <f>+AY29/150</f>
        <v>1174.3094122249049</v>
      </c>
      <c r="AZ22" s="2399">
        <v>472</v>
      </c>
      <c r="BA22" s="6174">
        <f>+AY22+AU22+AQ22</f>
        <v>3402.9497966502313</v>
      </c>
      <c r="BB22" s="2350">
        <f t="shared" ref="BB22:BB24" si="27">+AZ22+AV22+AR22</f>
        <v>1297</v>
      </c>
      <c r="BC22" s="6175">
        <f>+BA22+AM22</f>
        <v>6842.1894701474912</v>
      </c>
      <c r="BD22" s="2379">
        <f t="shared" ref="BD22:BD24" si="28">+BB22+AN22</f>
        <v>2734</v>
      </c>
      <c r="BE22" s="6171">
        <f>+AW22+AY22</f>
        <v>12427.22918658904</v>
      </c>
      <c r="BF22" s="2830">
        <f>+AX22+AZ22</f>
        <v>5600</v>
      </c>
      <c r="BG22" s="2263"/>
      <c r="BH22" s="2263"/>
      <c r="BI22" s="3238"/>
      <c r="BJ22" s="2263"/>
      <c r="BK22" s="3238"/>
      <c r="BL22" s="3238"/>
    </row>
    <row r="23" spans="1:64" ht="13.8" x14ac:dyDescent="0.25">
      <c r="B23" s="1569" t="s">
        <v>281</v>
      </c>
      <c r="C23" s="2589" t="s">
        <v>174</v>
      </c>
      <c r="D23" s="5812"/>
      <c r="E23" s="6170"/>
      <c r="F23" s="2399">
        <v>564</v>
      </c>
      <c r="G23" s="6170"/>
      <c r="H23" s="2399">
        <v>250</v>
      </c>
      <c r="I23" s="6171"/>
      <c r="J23" s="2668">
        <f>+F23+H23</f>
        <v>814</v>
      </c>
      <c r="K23" s="6170"/>
      <c r="L23" s="2399">
        <v>626</v>
      </c>
      <c r="M23" s="6174"/>
      <c r="N23" s="2350">
        <f>+L23+H23+F23</f>
        <v>1440</v>
      </c>
      <c r="O23" s="6170"/>
      <c r="P23" s="2399">
        <v>611</v>
      </c>
      <c r="Q23" s="6171"/>
      <c r="R23" s="2668">
        <f>+N23+P23</f>
        <v>2051</v>
      </c>
      <c r="S23" s="6170"/>
      <c r="T23" s="2399">
        <v>633</v>
      </c>
      <c r="U23" s="6171"/>
      <c r="V23" s="2668">
        <f>+R23+T23</f>
        <v>2684</v>
      </c>
      <c r="W23" s="6170"/>
      <c r="X23" s="2399">
        <v>612</v>
      </c>
      <c r="Y23" s="6174"/>
      <c r="Z23" s="2350">
        <f t="shared" si="18"/>
        <v>1856</v>
      </c>
      <c r="AA23" s="6175"/>
      <c r="AB23" s="2976">
        <f t="shared" si="17"/>
        <v>3296</v>
      </c>
      <c r="AC23" s="6170"/>
      <c r="AD23" s="2399">
        <v>426</v>
      </c>
      <c r="AE23" s="6171"/>
      <c r="AF23" s="2668">
        <f>+AB23+AD23</f>
        <v>3722</v>
      </c>
      <c r="AG23" s="6170"/>
      <c r="AH23" s="2399">
        <v>589</v>
      </c>
      <c r="AI23" s="6171"/>
      <c r="AJ23" s="2668">
        <f>+AF23+AH23</f>
        <v>4311</v>
      </c>
      <c r="AK23" s="6170"/>
      <c r="AL23" s="2399">
        <v>630</v>
      </c>
      <c r="AM23" s="6174"/>
      <c r="AN23" s="2350">
        <f t="shared" si="26"/>
        <v>1645</v>
      </c>
      <c r="AO23" s="6171"/>
      <c r="AP23" s="2349">
        <f t="shared" si="20"/>
        <v>4941</v>
      </c>
      <c r="AQ23" s="6170"/>
      <c r="AR23" s="2399">
        <v>597</v>
      </c>
      <c r="AS23" s="6171"/>
      <c r="AT23" s="2668">
        <f>+AP23+AR23</f>
        <v>5538</v>
      </c>
      <c r="AU23" s="6170"/>
      <c r="AV23" s="2399">
        <v>502</v>
      </c>
      <c r="AW23" s="6171"/>
      <c r="AX23" s="2668">
        <f>+AT23+AV23</f>
        <v>6040</v>
      </c>
      <c r="AY23" s="6170"/>
      <c r="AZ23" s="2399">
        <v>645</v>
      </c>
      <c r="BA23" s="6174"/>
      <c r="BB23" s="2350">
        <f t="shared" si="27"/>
        <v>1744</v>
      </c>
      <c r="BC23" s="6175"/>
      <c r="BD23" s="2379">
        <f t="shared" si="28"/>
        <v>3389</v>
      </c>
      <c r="BE23" s="6171"/>
      <c r="BF23" s="2830">
        <f>+AX23+AZ23</f>
        <v>6685</v>
      </c>
      <c r="BG23" s="2263"/>
      <c r="BH23" s="2263"/>
      <c r="BI23" s="3238"/>
      <c r="BJ23" s="2263"/>
      <c r="BK23" s="3238"/>
      <c r="BL23" s="3238"/>
    </row>
    <row r="24" spans="1:64" ht="14.4" thickBot="1" x14ac:dyDescent="0.3">
      <c r="B24" s="1570" t="s">
        <v>282</v>
      </c>
      <c r="C24" s="687" t="s">
        <v>174</v>
      </c>
      <c r="D24" s="143">
        <f>+D38/156</f>
        <v>5750.6284189973594</v>
      </c>
      <c r="E24" s="2399">
        <f>+E38/156</f>
        <v>378.8665113862391</v>
      </c>
      <c r="F24" s="2399">
        <v>359</v>
      </c>
      <c r="G24" s="2399">
        <f>+G38/156</f>
        <v>402.54466926459645</v>
      </c>
      <c r="H24" s="2399">
        <v>137</v>
      </c>
      <c r="I24" s="2349">
        <f>+E24+G24</f>
        <v>781.4111806508356</v>
      </c>
      <c r="J24" s="2668">
        <f>+F24+H24</f>
        <v>496</v>
      </c>
      <c r="K24" s="2399">
        <f>+K38/150</f>
        <v>439.7537379067727</v>
      </c>
      <c r="L24" s="2399">
        <v>389</v>
      </c>
      <c r="M24" s="2350">
        <f>+K24+G24+E24</f>
        <v>1221.1649185576082</v>
      </c>
      <c r="N24" s="2350">
        <f>+L24+H24+F24</f>
        <v>885</v>
      </c>
      <c r="O24" s="2399">
        <f>+O38/150</f>
        <v>457.3438874230427</v>
      </c>
      <c r="P24" s="2399">
        <v>412</v>
      </c>
      <c r="Q24" s="2349">
        <f>+M24+O24</f>
        <v>1678.5088059806508</v>
      </c>
      <c r="R24" s="2668">
        <f>+N24+P24</f>
        <v>1297</v>
      </c>
      <c r="S24" s="2399">
        <f>+S38/150</f>
        <v>457.3438874230427</v>
      </c>
      <c r="T24" s="2399">
        <v>370</v>
      </c>
      <c r="U24" s="2349">
        <f>+Q24+S24</f>
        <v>2135.8526934036936</v>
      </c>
      <c r="V24" s="2668">
        <f>+R24+T24</f>
        <v>1667</v>
      </c>
      <c r="W24" s="2399">
        <f>+W38/150</f>
        <v>235.70800351803064</v>
      </c>
      <c r="X24" s="2399">
        <v>346</v>
      </c>
      <c r="Y24" s="2350">
        <f t="shared" si="18"/>
        <v>1150.395778364116</v>
      </c>
      <c r="Z24" s="2350">
        <f t="shared" si="18"/>
        <v>1128</v>
      </c>
      <c r="AA24" s="2379">
        <f>+Y24+M24</f>
        <v>2371.5606969217242</v>
      </c>
      <c r="AB24" s="2976">
        <f t="shared" si="17"/>
        <v>2013</v>
      </c>
      <c r="AC24" s="2399">
        <f>+AC38/150</f>
        <v>471.41599999999994</v>
      </c>
      <c r="AD24" s="2399">
        <v>279</v>
      </c>
      <c r="AE24" s="2349">
        <f>+AA24+AC24</f>
        <v>2842.9766969217244</v>
      </c>
      <c r="AF24" s="2668">
        <f>+AB24+AD24</f>
        <v>2292</v>
      </c>
      <c r="AG24" s="2399">
        <f>+AG38/150</f>
        <v>457.34388742304327</v>
      </c>
      <c r="AH24" s="2399">
        <v>326</v>
      </c>
      <c r="AI24" s="2349">
        <f>+AE24+AG24</f>
        <v>3300.3205843447677</v>
      </c>
      <c r="AJ24" s="2668">
        <f>+AF24+AH24</f>
        <v>2618</v>
      </c>
      <c r="AK24" s="2399">
        <f>+AK38/150</f>
        <v>474.93403693931401</v>
      </c>
      <c r="AL24" s="2399">
        <v>419</v>
      </c>
      <c r="AM24" s="2350">
        <f t="shared" ref="AM24" si="29">+AK24+AG24+AC24</f>
        <v>1403.6939243623572</v>
      </c>
      <c r="AN24" s="2350">
        <f t="shared" si="26"/>
        <v>1024</v>
      </c>
      <c r="AO24" s="2349">
        <f t="shared" si="20"/>
        <v>3775.2546212840816</v>
      </c>
      <c r="AP24" s="2349">
        <f t="shared" si="20"/>
        <v>3037</v>
      </c>
      <c r="AQ24" s="2399">
        <f>+AQ38/150</f>
        <v>478.45206684256789</v>
      </c>
      <c r="AR24" s="2399">
        <v>405</v>
      </c>
      <c r="AS24" s="2349">
        <f>+AO24+AQ24</f>
        <v>4253.7066881266492</v>
      </c>
      <c r="AT24" s="2668">
        <f>+AP24+AR24</f>
        <v>3442</v>
      </c>
      <c r="AU24" s="2399">
        <f>+AU38/150</f>
        <v>429.19964819700959</v>
      </c>
      <c r="AV24" s="2399">
        <v>317</v>
      </c>
      <c r="AW24" s="2349">
        <f>+AS24+AU24</f>
        <v>4682.9063363236592</v>
      </c>
      <c r="AX24" s="2668">
        <f>+AT24+AV24</f>
        <v>3759</v>
      </c>
      <c r="AY24" s="2399">
        <f>+AY38/150</f>
        <v>481.97009674582222</v>
      </c>
      <c r="AZ24" s="2399">
        <v>409</v>
      </c>
      <c r="BA24" s="2350">
        <f t="shared" ref="BA24" si="30">+AY24+AU24+AQ24</f>
        <v>1389.6218117853996</v>
      </c>
      <c r="BB24" s="2350">
        <f t="shared" si="27"/>
        <v>1131</v>
      </c>
      <c r="BC24" s="2379">
        <f>+BA24+AM24</f>
        <v>2793.315736147757</v>
      </c>
      <c r="BD24" s="2379">
        <f t="shared" si="28"/>
        <v>2155</v>
      </c>
      <c r="BE24" s="2349">
        <f>+AW24+AY24</f>
        <v>5164.8764330694812</v>
      </c>
      <c r="BF24" s="2830">
        <f>+AX24+AZ24</f>
        <v>4168</v>
      </c>
      <c r="BG24" s="2263"/>
      <c r="BH24" s="2263"/>
      <c r="BI24" s="3238"/>
      <c r="BJ24" s="2263"/>
      <c r="BK24" s="3238"/>
      <c r="BL24" s="3238"/>
    </row>
    <row r="25" spans="1:64" ht="14.4" thickBot="1" x14ac:dyDescent="0.3">
      <c r="B25" s="2127" t="s">
        <v>283</v>
      </c>
      <c r="C25" s="2978" t="s">
        <v>174</v>
      </c>
      <c r="D25" s="2997">
        <f t="shared" ref="D25:J25" si="31">SUM(D22:D24)</f>
        <v>18060.987976242232</v>
      </c>
      <c r="E25" s="2998">
        <f t="shared" si="31"/>
        <v>1241.6099280506046</v>
      </c>
      <c r="F25" s="2865">
        <f t="shared" si="31"/>
        <v>1418</v>
      </c>
      <c r="G25" s="2998">
        <f t="shared" ref="G25:H25" si="32">SUM(G22:G24)</f>
        <v>1095.5381718093593</v>
      </c>
      <c r="H25" s="2865">
        <f t="shared" si="32"/>
        <v>628</v>
      </c>
      <c r="I25" s="2999">
        <f t="shared" si="31"/>
        <v>2337.1480998599636</v>
      </c>
      <c r="J25" s="2863">
        <f t="shared" si="31"/>
        <v>2046</v>
      </c>
      <c r="K25" s="2998">
        <f t="shared" ref="K25:L25" si="33">SUM(K22:K24)</f>
        <v>1580.736543909346</v>
      </c>
      <c r="L25" s="2865">
        <f t="shared" si="33"/>
        <v>1556</v>
      </c>
      <c r="M25" s="3000">
        <f t="shared" ref="M25:R25" si="34">SUM(M22:M24)</f>
        <v>3917.8846437693101</v>
      </c>
      <c r="N25" s="2966">
        <f t="shared" si="34"/>
        <v>3602</v>
      </c>
      <c r="O25" s="2998">
        <f t="shared" si="34"/>
        <v>1599.6222851746961</v>
      </c>
      <c r="P25" s="2865">
        <f t="shared" si="34"/>
        <v>1610</v>
      </c>
      <c r="Q25" s="2999">
        <f t="shared" si="34"/>
        <v>5517.5069289440053</v>
      </c>
      <c r="R25" s="2863">
        <f t="shared" si="34"/>
        <v>5212</v>
      </c>
      <c r="S25" s="2998">
        <f t="shared" ref="S25:T25" si="35">SUM(S22:S24)</f>
        <v>1599.6222851746961</v>
      </c>
      <c r="T25" s="2865">
        <f t="shared" si="35"/>
        <v>1515</v>
      </c>
      <c r="U25" s="2999">
        <f t="shared" ref="U25:X25" si="36">SUM(U22:U24)</f>
        <v>7117.1292141187014</v>
      </c>
      <c r="V25" s="2863">
        <f t="shared" si="36"/>
        <v>6727</v>
      </c>
      <c r="W25" s="2998">
        <f t="shared" si="36"/>
        <v>839.47119924457058</v>
      </c>
      <c r="X25" s="2865">
        <f t="shared" si="36"/>
        <v>1448</v>
      </c>
      <c r="Y25" s="3000">
        <f t="shared" ref="Y25:AF25" si="37">SUM(Y22:Y24)</f>
        <v>4038.7157695939622</v>
      </c>
      <c r="Z25" s="2966">
        <f t="shared" si="37"/>
        <v>4573</v>
      </c>
      <c r="AA25" s="2367">
        <f t="shared" si="37"/>
        <v>7956.6004133632723</v>
      </c>
      <c r="AB25" s="2967">
        <f t="shared" si="37"/>
        <v>8175</v>
      </c>
      <c r="AC25" s="2998">
        <f t="shared" si="37"/>
        <v>1631.0985333333333</v>
      </c>
      <c r="AD25" s="2865">
        <f t="shared" si="37"/>
        <v>1145</v>
      </c>
      <c r="AE25" s="2999">
        <f t="shared" si="37"/>
        <v>9587.6989466966061</v>
      </c>
      <c r="AF25" s="2863">
        <f t="shared" si="37"/>
        <v>9320</v>
      </c>
      <c r="AG25" s="2998">
        <f t="shared" ref="AG25:AH25" si="38">SUM(AG22:AG24)</f>
        <v>1580.7365439093498</v>
      </c>
      <c r="AH25" s="2865">
        <f t="shared" si="38"/>
        <v>1457</v>
      </c>
      <c r="AI25" s="2999">
        <f t="shared" ref="AI25:AL25" si="39">SUM(AI22:AI24)</f>
        <v>11168.435490605956</v>
      </c>
      <c r="AJ25" s="2863">
        <f t="shared" si="39"/>
        <v>10777</v>
      </c>
      <c r="AK25" s="2998">
        <f t="shared" si="39"/>
        <v>1631.0985206169339</v>
      </c>
      <c r="AL25" s="2865">
        <f t="shared" si="39"/>
        <v>1504</v>
      </c>
      <c r="AM25" s="3000">
        <f t="shared" ref="AM25:AT25" si="40">SUM(AM22:AM24)</f>
        <v>4842.9335978596173</v>
      </c>
      <c r="AN25" s="2966">
        <f t="shared" si="40"/>
        <v>4106</v>
      </c>
      <c r="AO25" s="2999">
        <f t="shared" si="40"/>
        <v>12799.534011222891</v>
      </c>
      <c r="AP25" s="2863">
        <f t="shared" si="40"/>
        <v>12281</v>
      </c>
      <c r="AQ25" s="2998">
        <f>SUM(AQ22:AQ24)</f>
        <v>1656.279508970727</v>
      </c>
      <c r="AR25" s="2865">
        <f>SUM(AR22:AR24)</f>
        <v>1461</v>
      </c>
      <c r="AS25" s="2999">
        <f t="shared" si="40"/>
        <v>14455.813520193617</v>
      </c>
      <c r="AT25" s="2863">
        <f t="shared" si="40"/>
        <v>13742</v>
      </c>
      <c r="AU25" s="2998">
        <f>SUM(AU22:AU24)</f>
        <v>1480.0125904941767</v>
      </c>
      <c r="AV25" s="2865">
        <f>SUM(AV22:AV24)</f>
        <v>1185</v>
      </c>
      <c r="AW25" s="2999">
        <f t="shared" ref="AW25:AX25" si="41">SUM(AW22:AW24)</f>
        <v>15935.826110687794</v>
      </c>
      <c r="AX25" s="2863">
        <f t="shared" si="41"/>
        <v>14927</v>
      </c>
      <c r="AY25" s="2998">
        <f>SUM(AY22:AY24)</f>
        <v>1656.2795089707272</v>
      </c>
      <c r="AZ25" s="2865">
        <f>SUM(AZ22:AZ24)</f>
        <v>1526</v>
      </c>
      <c r="BA25" s="3000">
        <f t="shared" ref="BA25:BD25" si="42">SUM(BA22:BA24)</f>
        <v>4792.5716084356309</v>
      </c>
      <c r="BB25" s="2966">
        <f t="shared" si="42"/>
        <v>4172</v>
      </c>
      <c r="BC25" s="2367">
        <f t="shared" si="42"/>
        <v>9635.5052062952491</v>
      </c>
      <c r="BD25" s="2967">
        <f t="shared" si="42"/>
        <v>8278</v>
      </c>
      <c r="BE25" s="2999">
        <f t="shared" ref="BE25:BF25" si="43">SUM(BE22:BE24)</f>
        <v>17592.10561965852</v>
      </c>
      <c r="BF25" s="841">
        <f t="shared" si="43"/>
        <v>16453</v>
      </c>
      <c r="BG25" s="2263"/>
      <c r="BH25" s="2263"/>
      <c r="BI25" s="3238"/>
      <c r="BJ25" s="2263"/>
      <c r="BK25" s="3238"/>
      <c r="BL25" s="3238"/>
    </row>
    <row r="26" spans="1:64" ht="14.4" thickBot="1" x14ac:dyDescent="0.3">
      <c r="B26" s="3002" t="s">
        <v>529</v>
      </c>
      <c r="C26" s="2953" t="s">
        <v>350</v>
      </c>
      <c r="D26" s="3003">
        <f>+'Maj Production Summ'!D21</f>
        <v>53.120552871300617</v>
      </c>
      <c r="E26" s="3003">
        <f>+'Maj Production Summ'!E21</f>
        <v>47.75422800194638</v>
      </c>
      <c r="F26" s="3003">
        <f>+'Maj Production Summ'!F21</f>
        <v>48.005642412131181</v>
      </c>
      <c r="G26" s="3003">
        <f>+'Maj Production Summ'!G21</f>
        <v>54.776908590467905</v>
      </c>
      <c r="H26" s="3003">
        <f>+'Maj Production Summ'!H21</f>
        <v>44.679841897233196</v>
      </c>
      <c r="I26" s="2084">
        <f>+'Maj Production Summ'!I21</f>
        <v>50.80756738826009</v>
      </c>
      <c r="J26" s="2084">
        <f>+'Maj Production Summ'!J21</f>
        <v>46.93333333333333</v>
      </c>
      <c r="K26" s="3003">
        <f>+'Maj Production Summ'!K21</f>
        <v>54.508156686529261</v>
      </c>
      <c r="L26" s="3003">
        <f>+'Maj Production Summ'!L21</f>
        <v>52.547595930600707</v>
      </c>
      <c r="M26" s="2085">
        <f>+'Maj Production Summ'!M21</f>
        <v>52.238461916924173</v>
      </c>
      <c r="N26" s="2085">
        <f>+'Maj Production Summ'!N21</f>
        <v>49.20428932449969</v>
      </c>
      <c r="O26" s="3003">
        <f>+'Maj Production Summ'!O21</f>
        <v>53.320742839156438</v>
      </c>
      <c r="P26" s="3003">
        <f>+'Maj Production Summ'!P21</f>
        <v>51.935483870967744</v>
      </c>
      <c r="Q26" s="3003">
        <f>+'Maj Production Summ'!Q21</f>
        <v>52.547685037561962</v>
      </c>
      <c r="R26" s="3003">
        <f>+'Maj Production Summ'!R21</f>
        <v>50.016793819874287</v>
      </c>
      <c r="S26" s="3003">
        <f>+'Maj Production Summ'!S21</f>
        <v>53.320742839156438</v>
      </c>
      <c r="T26" s="3003">
        <f>+'Maj Production Summ'!T21</f>
        <v>50.459118769515442</v>
      </c>
      <c r="U26" s="3003">
        <f>+'Maj Production Summ'!U21</f>
        <v>52.719475660138514</v>
      </c>
      <c r="V26" s="3003">
        <f>+'Maj Production Summ'!V21</f>
        <v>50.11573271691995</v>
      </c>
      <c r="W26" s="3003">
        <f>+'Maj Production Summ'!W21</f>
        <v>49.331711652010291</v>
      </c>
      <c r="X26" s="3003">
        <f>+'Maj Production Summ'!X21</f>
        <v>48.797337714309791</v>
      </c>
      <c r="Y26" s="3003">
        <f>+'Maj Production Summ'!Y21</f>
        <v>52.439366885097684</v>
      </c>
      <c r="Z26" s="3003">
        <f>+'Maj Production Summ'!Z21</f>
        <v>50.420044531151902</v>
      </c>
      <c r="AA26" s="3003">
        <f>+'Maj Production Summ'!AA21</f>
        <v>52.3402471435598</v>
      </c>
      <c r="AB26" s="3003">
        <f>+'Maj Production Summ'!AB21</f>
        <v>49.877044526659553</v>
      </c>
      <c r="AC26" s="3003">
        <f>+'Maj Production Summ'!AC21</f>
        <v>54.369951111111114</v>
      </c>
      <c r="AD26" s="3003">
        <f>+'Maj Production Summ'!AD21</f>
        <v>45.927576601671305</v>
      </c>
      <c r="AE26" s="3003">
        <f>+'Maj Production Summ'!AE21</f>
        <v>52.674782727393065</v>
      </c>
      <c r="AF26" s="3003">
        <f>+'Maj Production Summ'!AF21</f>
        <v>49.355620247690133</v>
      </c>
      <c r="AG26" s="3003">
        <f>+'Maj Production Summ'!AG21</f>
        <v>54.508156686529261</v>
      </c>
      <c r="AH26" s="3003">
        <f>+'Maj Production Summ'!AH21</f>
        <v>50.055827535858455</v>
      </c>
      <c r="AI26" s="3003">
        <f>+'Maj Production Summ'!AI21</f>
        <v>52.92674289272221</v>
      </c>
      <c r="AJ26" s="3003">
        <f>+'Maj Production Summ'!AJ21</f>
        <v>49.449137636568487</v>
      </c>
      <c r="AK26" s="3003">
        <f>+'Maj Production Summ'!AK21</f>
        <v>54.369950687231139</v>
      </c>
      <c r="AL26" s="3003">
        <f>+'Maj Production Summ'!AL21</f>
        <v>48.993552765524257</v>
      </c>
      <c r="AM26" s="3003">
        <f>+'Maj Production Summ'!AM21</f>
        <v>54.414984245613667</v>
      </c>
      <c r="AN26" s="3003">
        <f>+'Maj Production Summ'!AN21</f>
        <v>48.456398059986981</v>
      </c>
      <c r="AO26" s="3003">
        <f>+'Maj Production Summ'!AO21</f>
        <v>53.10638274237165</v>
      </c>
      <c r="AP26" s="3003">
        <f>+'Maj Production Summ'!AP21</f>
        <v>49.392889401804602</v>
      </c>
      <c r="AQ26" s="3003">
        <f>+'Maj Production Summ'!AQ21</f>
        <v>55.20931696569091</v>
      </c>
      <c r="AR26" s="3003">
        <f>+'Maj Production Summ'!AR21</f>
        <v>48.03836054344103</v>
      </c>
      <c r="AS26" s="3003">
        <f>+'Maj Production Summ'!AS21</f>
        <v>53.339165400102679</v>
      </c>
      <c r="AT26" s="3003">
        <f>+'Maj Production Summ'!AT21</f>
        <v>49.245262734573778</v>
      </c>
      <c r="AU26" s="3003">
        <f>+'Maj Production Summ'!AU21</f>
        <v>54.815281129413961</v>
      </c>
      <c r="AV26" s="3003">
        <f>+'Maj Production Summ'!AV21</f>
        <v>42.97176011966819</v>
      </c>
      <c r="AW26" s="3003">
        <f>+'Maj Production Summ'!AW21</f>
        <v>53.472899859597433</v>
      </c>
      <c r="AX26" s="3003">
        <f>+'Maj Production Summ'!AX21</f>
        <v>48.681063085302746</v>
      </c>
      <c r="AY26" s="3003">
        <f>+'Maj Production Summ'!AY21</f>
        <v>55.20931696569091</v>
      </c>
      <c r="AZ26" s="3003">
        <f>+'Maj Production Summ'!AZ21</f>
        <v>50.91380908248378</v>
      </c>
      <c r="BA26" s="3003">
        <f>+'Maj Production Summ'!BA21</f>
        <v>55.087029982018748</v>
      </c>
      <c r="BB26" s="3003">
        <f>+'Maj Production Summ'!BB21</f>
        <v>47.429751596339308</v>
      </c>
      <c r="BC26" s="3003">
        <f>+'Maj Production Summ'!BC21</f>
        <v>54.74718867213209</v>
      </c>
      <c r="BD26" s="3003">
        <f>+'Maj Production Summ'!BD21</f>
        <v>47.933486834327496</v>
      </c>
      <c r="BE26" s="3003">
        <f>+'Maj Production Summ'!BE21</f>
        <v>53.631710330487593</v>
      </c>
      <c r="BF26" s="2279">
        <f>+'Maj Production Summ'!BF21</f>
        <v>48.87987538812267</v>
      </c>
      <c r="BG26" s="2263"/>
      <c r="BH26" s="2263"/>
      <c r="BI26" s="3238"/>
      <c r="BJ26" s="2263"/>
      <c r="BK26" s="3238"/>
      <c r="BL26" s="3238"/>
    </row>
    <row r="27" spans="1:64" ht="14.4" thickBot="1" x14ac:dyDescent="0.3">
      <c r="B27" s="1581" t="s">
        <v>428</v>
      </c>
      <c r="C27" s="767" t="s">
        <v>50</v>
      </c>
      <c r="D27" s="2954">
        <f>+D20-D5</f>
        <v>42906.306461326778</v>
      </c>
      <c r="E27" s="3004">
        <f>+E20-E5</f>
        <v>2949.6114026785945</v>
      </c>
      <c r="F27" s="3005">
        <v>3240</v>
      </c>
      <c r="G27" s="3004">
        <f>+G20-G5</f>
        <v>2602.5982964811265</v>
      </c>
      <c r="H27" s="3005">
        <v>1586</v>
      </c>
      <c r="I27" s="3006">
        <f>+E27+G27</f>
        <v>5552.2096991597209</v>
      </c>
      <c r="J27" s="3006">
        <f>+F27+H27</f>
        <v>4826</v>
      </c>
      <c r="K27" s="3004">
        <f>+K20-K5</f>
        <v>6079.7559381131723</v>
      </c>
      <c r="L27" s="3005">
        <v>3400</v>
      </c>
      <c r="M27" s="3007">
        <f>+K27+G27+E27</f>
        <v>11631.965637272893</v>
      </c>
      <c r="N27" s="3007">
        <f>+L27+H27+F27</f>
        <v>8226</v>
      </c>
      <c r="O27" s="3004">
        <f>+O20-O5</f>
        <v>6152.3934045180213</v>
      </c>
      <c r="P27" s="3005">
        <v>3396</v>
      </c>
      <c r="Q27" s="3006">
        <f>+M27+O27</f>
        <v>17784.359041790914</v>
      </c>
      <c r="R27" s="3006">
        <f>+N27+P27</f>
        <v>11622</v>
      </c>
      <c r="S27" s="3004">
        <f>+S20-S5</f>
        <v>6152.3934045180213</v>
      </c>
      <c r="T27" s="3005">
        <v>3152</v>
      </c>
      <c r="U27" s="3006">
        <f>+Q27+S27</f>
        <v>23936.752446308936</v>
      </c>
      <c r="V27" s="3006">
        <f>+R27+T27</f>
        <v>14774</v>
      </c>
      <c r="W27" s="3004">
        <f>+W20-W5</f>
        <v>3228.7353817094408</v>
      </c>
      <c r="X27" s="3005">
        <v>3350</v>
      </c>
      <c r="Y27" s="3008">
        <f>+W27+S27+O27</f>
        <v>15533.522190745483</v>
      </c>
      <c r="Z27" s="3008">
        <f>+X27+T27+P27</f>
        <v>9898</v>
      </c>
      <c r="AA27" s="2952">
        <f>+Y27+M27</f>
        <v>27165.487828018377</v>
      </c>
      <c r="AB27" s="2952">
        <f t="shared" ref="AB27:AB33" si="44">+Z27+N27</f>
        <v>18124</v>
      </c>
      <c r="AC27" s="3004">
        <f>+AC20-AC5</f>
        <v>6273.4558485268208</v>
      </c>
      <c r="AD27" s="3005">
        <v>2730</v>
      </c>
      <c r="AE27" s="3006">
        <f>+AA27+AC27</f>
        <v>33438.943676545197</v>
      </c>
      <c r="AF27" s="3006">
        <f>+AB27+AD27</f>
        <v>20854</v>
      </c>
      <c r="AG27" s="3004">
        <f>+AG20-AG5</f>
        <v>6079.7559381131723</v>
      </c>
      <c r="AH27" s="3005">
        <v>3388</v>
      </c>
      <c r="AI27" s="3006">
        <f>+AE27+AG27</f>
        <v>39518.69961465837</v>
      </c>
      <c r="AJ27" s="3006">
        <f>+AF27+AH27</f>
        <v>24242</v>
      </c>
      <c r="AK27" s="3004">
        <f>+AK20-AK5</f>
        <v>6273.4558485268208</v>
      </c>
      <c r="AL27" s="3005">
        <v>3512</v>
      </c>
      <c r="AM27" s="3008">
        <f>+AK27+AG27+AC27</f>
        <v>18626.667635166814</v>
      </c>
      <c r="AN27" s="3008">
        <f>+AL27+AH27+AD27</f>
        <v>9630</v>
      </c>
      <c r="AO27" s="3006">
        <f>+AK27+AI27</f>
        <v>45792.15546318519</v>
      </c>
      <c r="AP27" s="3006">
        <f>+AL27+AJ27</f>
        <v>27754</v>
      </c>
      <c r="AQ27" s="3004">
        <f>+AQ20-AQ5</f>
        <v>6370.3058037335577</v>
      </c>
      <c r="AR27" s="3005">
        <v>3281</v>
      </c>
      <c r="AS27" s="3006">
        <f>+AO27+AQ27</f>
        <v>52162.461266918748</v>
      </c>
      <c r="AT27" s="3006">
        <f>+AP27+AR27</f>
        <v>31035</v>
      </c>
      <c r="AU27" s="3004">
        <f>+AU20-AU5</f>
        <v>5692.3561172852933</v>
      </c>
      <c r="AV27" s="3005">
        <v>2807</v>
      </c>
      <c r="AW27" s="3006">
        <f>+AS27+AU27</f>
        <v>57854.817384204041</v>
      </c>
      <c r="AX27" s="3006">
        <f>+AT27+AV27</f>
        <v>33842</v>
      </c>
      <c r="AY27" s="3004">
        <f>+AY20-AY5</f>
        <v>6370.3058037335577</v>
      </c>
      <c r="AZ27" s="3005">
        <v>3478</v>
      </c>
      <c r="BA27" s="3008">
        <f>+AY27+AU27+AQ27</f>
        <v>18432.967724752409</v>
      </c>
      <c r="BB27" s="3008">
        <f>+AZ27+AV27+AR27</f>
        <v>9566</v>
      </c>
      <c r="BC27" s="2952">
        <f t="shared" ref="BC27:BD33" si="45">+BA27+AM27</f>
        <v>37059.635359919223</v>
      </c>
      <c r="BD27" s="2952">
        <f t="shared" si="45"/>
        <v>19196</v>
      </c>
      <c r="BE27" s="3006">
        <f>+AW27+AY27</f>
        <v>64225.123187937599</v>
      </c>
      <c r="BF27" s="3009">
        <f>+AX27+AZ27</f>
        <v>37320</v>
      </c>
      <c r="BG27" s="2263"/>
      <c r="BH27" s="2263"/>
      <c r="BI27" s="3238"/>
      <c r="BJ27" s="2263"/>
      <c r="BK27" s="3238"/>
      <c r="BL27" s="3238"/>
    </row>
    <row r="28" spans="1:64" ht="14.4" thickBot="1" x14ac:dyDescent="0.3">
      <c r="A28" s="1166"/>
      <c r="B28" s="1204" t="s">
        <v>267</v>
      </c>
      <c r="C28" s="454"/>
      <c r="D28" s="818"/>
      <c r="E28" s="2974"/>
      <c r="F28" s="1552"/>
      <c r="G28" s="2974"/>
      <c r="H28" s="1552"/>
      <c r="I28" s="2974"/>
      <c r="J28" s="3010"/>
      <c r="K28" s="2974"/>
      <c r="L28" s="1552"/>
      <c r="M28" s="2974"/>
      <c r="N28" s="1552"/>
      <c r="O28" s="2974"/>
      <c r="P28" s="1552"/>
      <c r="Q28" s="2974"/>
      <c r="R28" s="1552"/>
      <c r="S28" s="2974"/>
      <c r="T28" s="1552"/>
      <c r="U28" s="2974"/>
      <c r="V28" s="1552"/>
      <c r="W28" s="2974"/>
      <c r="X28" s="1552"/>
      <c r="Y28" s="2974"/>
      <c r="Z28" s="1552"/>
      <c r="AA28" s="2974"/>
      <c r="AB28" s="1552"/>
      <c r="AC28" s="2974"/>
      <c r="AD28" s="1552"/>
      <c r="AE28" s="2974"/>
      <c r="AF28" s="1552"/>
      <c r="AG28" s="2974"/>
      <c r="AH28" s="1552"/>
      <c r="AI28" s="2974"/>
      <c r="AJ28" s="1552"/>
      <c r="AK28" s="2974"/>
      <c r="AL28" s="1552"/>
      <c r="AM28" s="2974"/>
      <c r="AN28" s="1552"/>
      <c r="AO28" s="2974"/>
      <c r="AP28" s="1552"/>
      <c r="AQ28" s="2974"/>
      <c r="AR28" s="1552"/>
      <c r="AS28" s="2974"/>
      <c r="AT28" s="1552"/>
      <c r="AU28" s="2974"/>
      <c r="AV28" s="1552"/>
      <c r="AW28" s="2974"/>
      <c r="AX28" s="1552"/>
      <c r="AY28" s="2974"/>
      <c r="AZ28" s="1552"/>
      <c r="BA28" s="2974"/>
      <c r="BB28" s="1552"/>
      <c r="BC28" s="2974"/>
      <c r="BD28" s="1552"/>
      <c r="BE28" s="2974"/>
      <c r="BF28" s="3010"/>
      <c r="BG28" s="2263"/>
      <c r="BH28" s="2263"/>
      <c r="BI28" s="3238"/>
      <c r="BJ28" s="2263"/>
      <c r="BK28" s="3238"/>
      <c r="BL28" s="3238"/>
    </row>
    <row r="29" spans="1:64" ht="13.8" x14ac:dyDescent="0.25">
      <c r="B29" s="2983" t="s">
        <v>159</v>
      </c>
      <c r="C29" s="695" t="s">
        <v>50</v>
      </c>
      <c r="D29" s="6197">
        <v>1920416.0909301999</v>
      </c>
      <c r="E29" s="6189">
        <v>134587.972999641</v>
      </c>
      <c r="F29" s="2399">
        <v>77766.95</v>
      </c>
      <c r="G29" s="6157">
        <v>108106.986396983</v>
      </c>
      <c r="H29" s="2399">
        <v>37415.47</v>
      </c>
      <c r="I29" s="6184">
        <f>+E29+G29</f>
        <v>242694.95939662401</v>
      </c>
      <c r="J29" s="35">
        <f>+F29+H29</f>
        <v>115182.42</v>
      </c>
      <c r="K29" s="6189">
        <v>171147.420900386</v>
      </c>
      <c r="L29" s="2399">
        <v>84359</v>
      </c>
      <c r="M29" s="6176">
        <f>E29+G29+K29</f>
        <v>413842.38029701001</v>
      </c>
      <c r="N29" s="2350">
        <f>+L29+H29+F29</f>
        <v>199541.41999999998</v>
      </c>
      <c r="O29" s="6189">
        <v>171341.75966274799</v>
      </c>
      <c r="P29" s="2399">
        <v>92367</v>
      </c>
      <c r="Q29" s="6184">
        <f>+M29+O29</f>
        <v>585184.13995975803</v>
      </c>
      <c r="R29" s="2349">
        <f>+N29+P29</f>
        <v>291908.42</v>
      </c>
      <c r="S29" s="6189">
        <v>171341.75966274799</v>
      </c>
      <c r="T29" s="2399">
        <v>80201</v>
      </c>
      <c r="U29" s="6184">
        <f>+Q29+S29</f>
        <v>756525.899622506</v>
      </c>
      <c r="V29" s="2349">
        <f>+R29+T29</f>
        <v>372109.42</v>
      </c>
      <c r="W29" s="6189">
        <v>90564.479358981</v>
      </c>
      <c r="X29" s="2399">
        <v>76461.27</v>
      </c>
      <c r="Y29" s="6176">
        <f>+W29+S29+O29</f>
        <v>433247.99868447694</v>
      </c>
      <c r="Z29" s="2350">
        <f>+X29+T29+P29</f>
        <v>249029.27000000002</v>
      </c>
      <c r="AA29" s="6177">
        <f>+Y29+M29</f>
        <v>847090.37898148689</v>
      </c>
      <c r="AB29" s="2379">
        <f t="shared" si="44"/>
        <v>448570.69</v>
      </c>
      <c r="AC29" s="6189">
        <v>173952.38</v>
      </c>
      <c r="AD29" s="2399">
        <v>68585</v>
      </c>
      <c r="AE29" s="6184">
        <f>AA29+AC29</f>
        <v>1021042.7589814869</v>
      </c>
      <c r="AF29" s="2349">
        <f>+AB29+AD29</f>
        <v>517155.69</v>
      </c>
      <c r="AG29" s="6189">
        <v>168508.89847294599</v>
      </c>
      <c r="AH29" s="2399">
        <v>85308</v>
      </c>
      <c r="AI29" s="5990">
        <f>AE29+AG29</f>
        <v>1189551.6574544329</v>
      </c>
      <c r="AJ29" s="2349">
        <f>+AF29+AH29</f>
        <v>602463.68999999994</v>
      </c>
      <c r="AK29" s="6189">
        <v>173424.67255164299</v>
      </c>
      <c r="AL29" s="2399">
        <v>70881</v>
      </c>
      <c r="AM29" s="6176">
        <f>+AK29+AG29+AC29</f>
        <v>515885.95102458901</v>
      </c>
      <c r="AN29" s="2350">
        <f>+AL29+AH29+AD29</f>
        <v>224774</v>
      </c>
      <c r="AO29" s="6184">
        <f>AK29+AI29</f>
        <v>1362976.330006076</v>
      </c>
      <c r="AP29" s="2349">
        <f t="shared" ref="AP29:AP33" si="46">+AL29+AJ29</f>
        <v>673344.69</v>
      </c>
      <c r="AQ29" s="6157">
        <v>176674.11631922389</v>
      </c>
      <c r="AR29" s="2399">
        <v>71675.960000000006</v>
      </c>
      <c r="AS29" s="6184">
        <f>AO29+AQ29</f>
        <v>1539650.4463252998</v>
      </c>
      <c r="AT29" s="2349">
        <f>+AP29+AR29</f>
        <v>745020.64999999991</v>
      </c>
      <c r="AU29" s="6157">
        <v>157621.94134457508</v>
      </c>
      <c r="AV29" s="2399">
        <v>56908.77</v>
      </c>
      <c r="AW29" s="6184">
        <f>AS29+AU29</f>
        <v>1697272.3876698748</v>
      </c>
      <c r="AX29" s="2349">
        <f>+AT29+AV29</f>
        <v>801929.41999999993</v>
      </c>
      <c r="AY29" s="6157">
        <v>176146.41183373574</v>
      </c>
      <c r="AZ29" s="2399">
        <v>74754.41</v>
      </c>
      <c r="BA29" s="6176">
        <f>+AY29+AU29+AQ29</f>
        <v>510442.46949753468</v>
      </c>
      <c r="BB29" s="2350">
        <f>+AZ29+AV29+AR29</f>
        <v>203339.14</v>
      </c>
      <c r="BC29" s="6177">
        <f>+BA29+AM29</f>
        <v>1026328.4205221237</v>
      </c>
      <c r="BD29" s="2379">
        <f t="shared" si="45"/>
        <v>428113.14</v>
      </c>
      <c r="BE29" s="5990">
        <f>AW29+AY29</f>
        <v>1873418.7995036105</v>
      </c>
      <c r="BF29" s="35">
        <f t="shared" ref="BF29:BF49" si="47">+AX29+AZ29</f>
        <v>876683.83</v>
      </c>
      <c r="BG29" s="2263"/>
      <c r="BH29" s="2263"/>
      <c r="BI29" s="3238"/>
      <c r="BJ29" s="2263"/>
      <c r="BK29" s="3238"/>
      <c r="BL29" s="3238"/>
    </row>
    <row r="30" spans="1:64" ht="14.4" thickBot="1" x14ac:dyDescent="0.3">
      <c r="B30" s="3012" t="s">
        <v>1609</v>
      </c>
      <c r="C30" s="2693" t="s">
        <v>50</v>
      </c>
      <c r="D30" s="6198"/>
      <c r="E30" s="6187"/>
      <c r="F30" s="2399">
        <v>145</v>
      </c>
      <c r="G30" s="6187"/>
      <c r="H30" s="2399">
        <v>21.5</v>
      </c>
      <c r="I30" s="6184"/>
      <c r="J30" s="35">
        <f t="shared" ref="J30:J49" si="48">+F30+H30</f>
        <v>166.5</v>
      </c>
      <c r="K30" s="6187"/>
      <c r="L30" s="2399">
        <v>28</v>
      </c>
      <c r="M30" s="6176"/>
      <c r="N30" s="2350">
        <f>+L30+H30+F30</f>
        <v>194.5</v>
      </c>
      <c r="O30" s="6187"/>
      <c r="P30" s="2399">
        <v>13</v>
      </c>
      <c r="Q30" s="6184"/>
      <c r="R30" s="2349">
        <f t="shared" ref="R30:R49" si="49">+N30+P30</f>
        <v>207.5</v>
      </c>
      <c r="S30" s="6187"/>
      <c r="T30" s="2399">
        <v>33</v>
      </c>
      <c r="U30" s="6184"/>
      <c r="V30" s="2349">
        <f t="shared" ref="V30:V49" si="50">+R30+T30</f>
        <v>240.5</v>
      </c>
      <c r="W30" s="6187"/>
      <c r="X30" s="2399">
        <v>130</v>
      </c>
      <c r="Y30" s="6176"/>
      <c r="Z30" s="2350">
        <f>+X30+T30+P30</f>
        <v>176</v>
      </c>
      <c r="AA30" s="6177"/>
      <c r="AB30" s="2976">
        <f t="shared" si="44"/>
        <v>370.5</v>
      </c>
      <c r="AC30" s="6187"/>
      <c r="AD30" s="2399">
        <v>47.5</v>
      </c>
      <c r="AE30" s="6184"/>
      <c r="AF30" s="2349">
        <f t="shared" ref="AF30:AF49" si="51">+AB30+AD30</f>
        <v>418</v>
      </c>
      <c r="AG30" s="6187"/>
      <c r="AH30" s="2399">
        <v>0</v>
      </c>
      <c r="AI30" s="5991"/>
      <c r="AJ30" s="2349">
        <f t="shared" ref="AJ30:AJ49" si="52">+AF30+AH30</f>
        <v>418</v>
      </c>
      <c r="AK30" s="6187"/>
      <c r="AL30" s="2399">
        <v>19</v>
      </c>
      <c r="AM30" s="6176"/>
      <c r="AN30" s="2350">
        <f>+AL30+AH30+AD30</f>
        <v>66.5</v>
      </c>
      <c r="AO30" s="6184"/>
      <c r="AP30" s="2349">
        <f t="shared" si="46"/>
        <v>437</v>
      </c>
      <c r="AQ30" s="6187"/>
      <c r="AR30" s="2399">
        <v>183.5</v>
      </c>
      <c r="AS30" s="6184"/>
      <c r="AT30" s="2349">
        <f t="shared" ref="AT30:AT49" si="53">+AP30+AR30</f>
        <v>620.5</v>
      </c>
      <c r="AU30" s="6187"/>
      <c r="AV30" s="2399">
        <v>128</v>
      </c>
      <c r="AW30" s="6184"/>
      <c r="AX30" s="2349">
        <f t="shared" ref="AX30:AX49" si="54">+AT30+AV30</f>
        <v>748.5</v>
      </c>
      <c r="AY30" s="6187"/>
      <c r="AZ30" s="2399">
        <v>52</v>
      </c>
      <c r="BA30" s="6176"/>
      <c r="BB30" s="2350">
        <f>+AZ30+AV30+AR30</f>
        <v>363.5</v>
      </c>
      <c r="BC30" s="6177"/>
      <c r="BD30" s="2379">
        <f t="shared" si="45"/>
        <v>430</v>
      </c>
      <c r="BE30" s="5991"/>
      <c r="BF30" s="35">
        <f t="shared" si="47"/>
        <v>800.5</v>
      </c>
      <c r="BG30" s="2263"/>
      <c r="BH30" s="2263"/>
      <c r="BI30" s="3238"/>
      <c r="BJ30" s="2263"/>
      <c r="BK30" s="3238"/>
      <c r="BL30" s="3238"/>
    </row>
    <row r="31" spans="1:64" ht="14.4" thickBot="1" x14ac:dyDescent="0.3">
      <c r="B31" s="3013" t="s">
        <v>160</v>
      </c>
      <c r="C31" s="2978" t="s">
        <v>50</v>
      </c>
      <c r="D31" s="6198"/>
      <c r="E31" s="6187"/>
      <c r="F31" s="3001">
        <f>SUM(F29:F30)</f>
        <v>77911.95</v>
      </c>
      <c r="G31" s="6187"/>
      <c r="H31" s="3001">
        <f>SUM(H29:H30)</f>
        <v>37436.97</v>
      </c>
      <c r="I31" s="6184"/>
      <c r="J31" s="1847">
        <f t="shared" si="48"/>
        <v>115348.92</v>
      </c>
      <c r="K31" s="6187"/>
      <c r="L31" s="3001">
        <f>SUM(L29:L30)</f>
        <v>84387</v>
      </c>
      <c r="M31" s="6176"/>
      <c r="N31" s="3000">
        <f>SUM(N29:N30)</f>
        <v>199735.91999999998</v>
      </c>
      <c r="O31" s="6187"/>
      <c r="P31" s="3001">
        <f>SUM(P29:P30)</f>
        <v>92380</v>
      </c>
      <c r="Q31" s="6184"/>
      <c r="R31" s="2999">
        <f t="shared" si="49"/>
        <v>292115.92</v>
      </c>
      <c r="S31" s="6187"/>
      <c r="T31" s="3001">
        <f>SUM(T29:T30)</f>
        <v>80234</v>
      </c>
      <c r="U31" s="6184"/>
      <c r="V31" s="2999">
        <f t="shared" si="50"/>
        <v>372349.92</v>
      </c>
      <c r="W31" s="6187"/>
      <c r="X31" s="3001">
        <f>SUM(X29:X30)</f>
        <v>76591.27</v>
      </c>
      <c r="Y31" s="6176"/>
      <c r="Z31" s="3000">
        <f>SUM(Z29:Z30)</f>
        <v>249205.27000000002</v>
      </c>
      <c r="AA31" s="6177"/>
      <c r="AB31" s="2367">
        <f>SUM(AB29:AB30)</f>
        <v>448941.19</v>
      </c>
      <c r="AC31" s="6187"/>
      <c r="AD31" s="3001">
        <f>SUM(AD29:AD30)</f>
        <v>68632.5</v>
      </c>
      <c r="AE31" s="6184"/>
      <c r="AF31" s="2999">
        <f t="shared" si="51"/>
        <v>517573.69</v>
      </c>
      <c r="AG31" s="6187"/>
      <c r="AH31" s="3001">
        <f>SUM(AH29:AH30)</f>
        <v>85308</v>
      </c>
      <c r="AI31" s="5991"/>
      <c r="AJ31" s="2999">
        <f t="shared" si="52"/>
        <v>602881.68999999994</v>
      </c>
      <c r="AK31" s="6187"/>
      <c r="AL31" s="3001">
        <f>SUM(AL29:AL30)</f>
        <v>70900</v>
      </c>
      <c r="AM31" s="6176"/>
      <c r="AN31" s="3000">
        <f>SUM(AN29:AN30)</f>
        <v>224840.5</v>
      </c>
      <c r="AO31" s="6184"/>
      <c r="AP31" s="2999">
        <f>+AL31+AJ31</f>
        <v>673781.69</v>
      </c>
      <c r="AQ31" s="6187"/>
      <c r="AR31" s="3001">
        <f>SUM(AR29:AR30)</f>
        <v>71859.460000000006</v>
      </c>
      <c r="AS31" s="6184"/>
      <c r="AT31" s="2999">
        <f t="shared" si="53"/>
        <v>745641.14999999991</v>
      </c>
      <c r="AU31" s="6187"/>
      <c r="AV31" s="3001">
        <f>SUM(AV29:AV30)</f>
        <v>57036.77</v>
      </c>
      <c r="AW31" s="6184"/>
      <c r="AX31" s="2999">
        <f t="shared" si="54"/>
        <v>802677.91999999993</v>
      </c>
      <c r="AY31" s="6187"/>
      <c r="AZ31" s="3001">
        <f>SUM(AZ29:AZ30)</f>
        <v>74806.41</v>
      </c>
      <c r="BA31" s="6176"/>
      <c r="BB31" s="3000">
        <f>SUM(BB29:BB30)</f>
        <v>203702.64</v>
      </c>
      <c r="BC31" s="6177"/>
      <c r="BD31" s="2367">
        <f>SUM(BD29:BD30)</f>
        <v>428543.14</v>
      </c>
      <c r="BE31" s="5991"/>
      <c r="BF31" s="1847">
        <f t="shared" si="47"/>
        <v>877484.33</v>
      </c>
      <c r="BG31" s="2263"/>
      <c r="BH31" s="2263"/>
      <c r="BI31" s="3238"/>
      <c r="BJ31" s="2263"/>
      <c r="BK31" s="3238"/>
      <c r="BL31" s="3238"/>
    </row>
    <row r="32" spans="1:64" ht="13.8" x14ac:dyDescent="0.25">
      <c r="B32" s="1575" t="s">
        <v>161</v>
      </c>
      <c r="C32" s="56" t="s">
        <v>50</v>
      </c>
      <c r="D32" s="6198"/>
      <c r="E32" s="6187"/>
      <c r="F32" s="2399">
        <v>88688.22</v>
      </c>
      <c r="G32" s="6187"/>
      <c r="H32" s="2399">
        <v>39041.86</v>
      </c>
      <c r="I32" s="6184"/>
      <c r="J32" s="35">
        <f t="shared" si="48"/>
        <v>127730.08</v>
      </c>
      <c r="K32" s="6187"/>
      <c r="L32" s="2399">
        <v>98320</v>
      </c>
      <c r="M32" s="6176"/>
      <c r="N32" s="2350">
        <f>+L32+H32+F32</f>
        <v>226050.08</v>
      </c>
      <c r="O32" s="6187"/>
      <c r="P32" s="2399">
        <v>96684</v>
      </c>
      <c r="Q32" s="6184"/>
      <c r="R32" s="2349">
        <f t="shared" si="49"/>
        <v>322734.07999999996</v>
      </c>
      <c r="S32" s="6187"/>
      <c r="T32" s="2399">
        <v>99276</v>
      </c>
      <c r="U32" s="6184"/>
      <c r="V32" s="2349">
        <f t="shared" si="50"/>
        <v>422010.07999999996</v>
      </c>
      <c r="W32" s="6187"/>
      <c r="X32" s="2399">
        <v>95618.33</v>
      </c>
      <c r="Y32" s="6176"/>
      <c r="Z32" s="2350">
        <f>+X32+T32+P32</f>
        <v>291578.33</v>
      </c>
      <c r="AA32" s="6177"/>
      <c r="AB32" s="2976">
        <f t="shared" si="44"/>
        <v>517628.41000000003</v>
      </c>
      <c r="AC32" s="6187"/>
      <c r="AD32" s="2399">
        <v>66561</v>
      </c>
      <c r="AE32" s="6184"/>
      <c r="AF32" s="2349">
        <f t="shared" si="51"/>
        <v>584189.41</v>
      </c>
      <c r="AG32" s="6187"/>
      <c r="AH32" s="2399">
        <v>92702.44</v>
      </c>
      <c r="AI32" s="5991"/>
      <c r="AJ32" s="2349">
        <f t="shared" si="52"/>
        <v>676891.85000000009</v>
      </c>
      <c r="AK32" s="6187"/>
      <c r="AL32" s="2399">
        <v>97862</v>
      </c>
      <c r="AM32" s="6176"/>
      <c r="AN32" s="2350">
        <f>+AL32+AH32+AD32</f>
        <v>257125.44</v>
      </c>
      <c r="AO32" s="6184"/>
      <c r="AP32" s="2349">
        <f t="shared" si="46"/>
        <v>774753.85000000009</v>
      </c>
      <c r="AQ32" s="6187"/>
      <c r="AR32" s="2399">
        <v>92891.32</v>
      </c>
      <c r="AS32" s="6184"/>
      <c r="AT32" s="2349">
        <f t="shared" si="53"/>
        <v>867645.17000000016</v>
      </c>
      <c r="AU32" s="6187"/>
      <c r="AV32" s="2399">
        <v>78443.02</v>
      </c>
      <c r="AW32" s="6184"/>
      <c r="AX32" s="2349">
        <f t="shared" si="54"/>
        <v>946088.19000000018</v>
      </c>
      <c r="AY32" s="6187"/>
      <c r="AZ32" s="2399">
        <v>101786.5</v>
      </c>
      <c r="BA32" s="6176"/>
      <c r="BB32" s="2350">
        <f>+AZ32+AV32+AR32</f>
        <v>273120.84000000003</v>
      </c>
      <c r="BC32" s="6177"/>
      <c r="BD32" s="2379">
        <f t="shared" si="45"/>
        <v>530246.28</v>
      </c>
      <c r="BE32" s="5991"/>
      <c r="BF32" s="35">
        <f t="shared" si="47"/>
        <v>1047874.6900000002</v>
      </c>
      <c r="BG32" s="2263"/>
      <c r="BH32" s="2263"/>
      <c r="BI32" s="3238"/>
      <c r="BJ32" s="2263"/>
      <c r="BK32" s="3238"/>
      <c r="BL32" s="3238"/>
    </row>
    <row r="33" spans="1:64" ht="14.4" thickBot="1" x14ac:dyDescent="0.3">
      <c r="B33" s="3012" t="s">
        <v>1610</v>
      </c>
      <c r="C33" s="2693" t="s">
        <v>50</v>
      </c>
      <c r="D33" s="6198"/>
      <c r="E33" s="6187"/>
      <c r="F33" s="2399">
        <v>145</v>
      </c>
      <c r="G33" s="6187"/>
      <c r="H33" s="2399">
        <v>21.5</v>
      </c>
      <c r="I33" s="6184"/>
      <c r="J33" s="35">
        <f t="shared" si="48"/>
        <v>166.5</v>
      </c>
      <c r="K33" s="6187"/>
      <c r="L33" s="2399">
        <v>28</v>
      </c>
      <c r="M33" s="6176"/>
      <c r="N33" s="2350">
        <f>+L33+H33+F33</f>
        <v>194.5</v>
      </c>
      <c r="O33" s="6187"/>
      <c r="P33" s="2399">
        <v>13</v>
      </c>
      <c r="Q33" s="6184"/>
      <c r="R33" s="2349">
        <f t="shared" si="49"/>
        <v>207.5</v>
      </c>
      <c r="S33" s="6187"/>
      <c r="T33" s="2399">
        <v>33</v>
      </c>
      <c r="U33" s="6184"/>
      <c r="V33" s="2349">
        <f t="shared" si="50"/>
        <v>240.5</v>
      </c>
      <c r="W33" s="6187"/>
      <c r="X33" s="2399">
        <v>130</v>
      </c>
      <c r="Y33" s="6176"/>
      <c r="Z33" s="2350">
        <f>+X33+T33+P33</f>
        <v>176</v>
      </c>
      <c r="AA33" s="6177"/>
      <c r="AB33" s="2976">
        <f t="shared" si="44"/>
        <v>370.5</v>
      </c>
      <c r="AC33" s="6187"/>
      <c r="AD33" s="2399">
        <v>47.5</v>
      </c>
      <c r="AE33" s="6184"/>
      <c r="AF33" s="2349">
        <f t="shared" si="51"/>
        <v>418</v>
      </c>
      <c r="AG33" s="6187"/>
      <c r="AH33" s="2399">
        <v>0</v>
      </c>
      <c r="AI33" s="5991"/>
      <c r="AJ33" s="2349">
        <f t="shared" si="52"/>
        <v>418</v>
      </c>
      <c r="AK33" s="6187"/>
      <c r="AL33" s="2399">
        <v>19</v>
      </c>
      <c r="AM33" s="6176"/>
      <c r="AN33" s="2350">
        <f>+AL33+AH33+AD33</f>
        <v>66.5</v>
      </c>
      <c r="AO33" s="6184"/>
      <c r="AP33" s="2349">
        <f t="shared" si="46"/>
        <v>437</v>
      </c>
      <c r="AQ33" s="6187"/>
      <c r="AR33" s="2399">
        <v>183.5</v>
      </c>
      <c r="AS33" s="6184"/>
      <c r="AT33" s="2349">
        <f t="shared" si="53"/>
        <v>620.5</v>
      </c>
      <c r="AU33" s="6187"/>
      <c r="AV33" s="2399">
        <v>128</v>
      </c>
      <c r="AW33" s="6184"/>
      <c r="AX33" s="2349">
        <f t="shared" si="54"/>
        <v>748.5</v>
      </c>
      <c r="AY33" s="6187"/>
      <c r="AZ33" s="2399">
        <v>52</v>
      </c>
      <c r="BA33" s="6176"/>
      <c r="BB33" s="2350">
        <f>+AZ33+AV33+AR33</f>
        <v>363.5</v>
      </c>
      <c r="BC33" s="6177"/>
      <c r="BD33" s="2379">
        <f t="shared" si="45"/>
        <v>430</v>
      </c>
      <c r="BE33" s="5991"/>
      <c r="BF33" s="35">
        <f t="shared" si="47"/>
        <v>800.5</v>
      </c>
      <c r="BG33" s="2263"/>
      <c r="BH33" s="2263"/>
      <c r="BI33" s="3238"/>
      <c r="BJ33" s="2263"/>
      <c r="BK33" s="3238"/>
      <c r="BL33" s="3238"/>
    </row>
    <row r="34" spans="1:64" ht="14.4" thickBot="1" x14ac:dyDescent="0.3">
      <c r="B34" s="3013" t="s">
        <v>162</v>
      </c>
      <c r="C34" s="2978" t="s">
        <v>50</v>
      </c>
      <c r="D34" s="6198"/>
      <c r="E34" s="6187"/>
      <c r="F34" s="3001">
        <f>SUM(F32:F33)</f>
        <v>88833.22</v>
      </c>
      <c r="G34" s="6187"/>
      <c r="H34" s="3001">
        <f>SUM(H32:H33)</f>
        <v>39063.360000000001</v>
      </c>
      <c r="I34" s="6184"/>
      <c r="J34" s="1847">
        <f t="shared" si="48"/>
        <v>127896.58</v>
      </c>
      <c r="K34" s="6187"/>
      <c r="L34" s="3001">
        <f>SUM(L32:L33)</f>
        <v>98348</v>
      </c>
      <c r="M34" s="6176"/>
      <c r="N34" s="3000">
        <f>SUM(N32:N33)</f>
        <v>226244.58</v>
      </c>
      <c r="O34" s="6187"/>
      <c r="P34" s="3001">
        <f>SUM(P32:P33)</f>
        <v>96697</v>
      </c>
      <c r="Q34" s="6184"/>
      <c r="R34" s="2999">
        <f t="shared" si="49"/>
        <v>322941.57999999996</v>
      </c>
      <c r="S34" s="6187"/>
      <c r="T34" s="3001">
        <f>SUM(T32:T33)</f>
        <v>99309</v>
      </c>
      <c r="U34" s="6184"/>
      <c r="V34" s="2999">
        <f t="shared" si="50"/>
        <v>422250.57999999996</v>
      </c>
      <c r="W34" s="6187"/>
      <c r="X34" s="3001">
        <f>SUM(X32:X33)</f>
        <v>95748.33</v>
      </c>
      <c r="Y34" s="6176"/>
      <c r="Z34" s="3000">
        <f>SUM(Z32:Z33)</f>
        <v>291754.33</v>
      </c>
      <c r="AA34" s="6177"/>
      <c r="AB34" s="2367">
        <f>SUM(AB32:AB33)</f>
        <v>517998.91000000003</v>
      </c>
      <c r="AC34" s="6187"/>
      <c r="AD34" s="3001">
        <f>SUM(AD32:AD33)</f>
        <v>66608.5</v>
      </c>
      <c r="AE34" s="6184"/>
      <c r="AF34" s="2999">
        <f t="shared" si="51"/>
        <v>584607.41</v>
      </c>
      <c r="AG34" s="6187"/>
      <c r="AH34" s="3001">
        <f>SUM(AH32:AH33)</f>
        <v>92702.44</v>
      </c>
      <c r="AI34" s="5991"/>
      <c r="AJ34" s="2999">
        <f t="shared" si="52"/>
        <v>677309.85000000009</v>
      </c>
      <c r="AK34" s="6187"/>
      <c r="AL34" s="3001">
        <f>SUM(AL32:AL33)</f>
        <v>97881</v>
      </c>
      <c r="AM34" s="6176"/>
      <c r="AN34" s="3000">
        <f>SUM(AN32:AN33)</f>
        <v>257191.94</v>
      </c>
      <c r="AO34" s="6184"/>
      <c r="AP34" s="2999">
        <f>+AL34+AJ34</f>
        <v>775190.85000000009</v>
      </c>
      <c r="AQ34" s="6187"/>
      <c r="AR34" s="3001">
        <f>SUM(AR32:AR33)</f>
        <v>93074.82</v>
      </c>
      <c r="AS34" s="6184"/>
      <c r="AT34" s="2999">
        <f t="shared" si="53"/>
        <v>868265.67000000016</v>
      </c>
      <c r="AU34" s="6187"/>
      <c r="AV34" s="3001">
        <f>SUM(AV32:AV33)</f>
        <v>78571.02</v>
      </c>
      <c r="AW34" s="6184"/>
      <c r="AX34" s="2999">
        <f t="shared" si="54"/>
        <v>946836.69000000018</v>
      </c>
      <c r="AY34" s="6187"/>
      <c r="AZ34" s="3001">
        <f>SUM(AZ32:AZ33)</f>
        <v>101838.5</v>
      </c>
      <c r="BA34" s="6176"/>
      <c r="BB34" s="3000">
        <f>SUM(BB32:BB33)</f>
        <v>273484.34000000003</v>
      </c>
      <c r="BC34" s="6177"/>
      <c r="BD34" s="2367">
        <f>SUM(BD32:BD33)</f>
        <v>530676.28</v>
      </c>
      <c r="BE34" s="5991"/>
      <c r="BF34" s="1847">
        <f t="shared" si="47"/>
        <v>1048675.1900000002</v>
      </c>
      <c r="BG34" s="2263"/>
      <c r="BH34" s="2263"/>
      <c r="BI34" s="3238"/>
      <c r="BJ34" s="2263"/>
      <c r="BK34" s="3238"/>
      <c r="BL34" s="3238"/>
    </row>
    <row r="35" spans="1:64" ht="15" customHeight="1" x14ac:dyDescent="0.25">
      <c r="B35" s="3014" t="s">
        <v>430</v>
      </c>
      <c r="C35" s="2073" t="s">
        <v>50</v>
      </c>
      <c r="D35" s="6198"/>
      <c r="E35" s="6187"/>
      <c r="F35" s="3001">
        <f>+F29+F32</f>
        <v>166455.16999999998</v>
      </c>
      <c r="G35" s="6187"/>
      <c r="H35" s="3001">
        <f>+H29+H32</f>
        <v>76457.33</v>
      </c>
      <c r="I35" s="6184"/>
      <c r="J35" s="1847">
        <f t="shared" si="48"/>
        <v>242912.5</v>
      </c>
      <c r="K35" s="6187"/>
      <c r="L35" s="3001">
        <f>+L29+L32</f>
        <v>182679</v>
      </c>
      <c r="M35" s="6176"/>
      <c r="N35" s="3000">
        <f>+N29+N32</f>
        <v>425591.5</v>
      </c>
      <c r="O35" s="6187"/>
      <c r="P35" s="3001">
        <f>+P29+P32</f>
        <v>189051</v>
      </c>
      <c r="Q35" s="6184"/>
      <c r="R35" s="2999">
        <f t="shared" si="49"/>
        <v>614642.5</v>
      </c>
      <c r="S35" s="6187"/>
      <c r="T35" s="3001">
        <f>+T29+T32</f>
        <v>179477</v>
      </c>
      <c r="U35" s="6184"/>
      <c r="V35" s="2999">
        <f t="shared" si="50"/>
        <v>794119.5</v>
      </c>
      <c r="W35" s="6187"/>
      <c r="X35" s="3001">
        <f>+X29+X32</f>
        <v>172079.6</v>
      </c>
      <c r="Y35" s="6176"/>
      <c r="Z35" s="3000">
        <f>+Z29+Z32</f>
        <v>540607.60000000009</v>
      </c>
      <c r="AA35" s="6177"/>
      <c r="AB35" s="2367">
        <f>+AB29+AB32</f>
        <v>966199.10000000009</v>
      </c>
      <c r="AC35" s="6187"/>
      <c r="AD35" s="3001">
        <f>+AD29+AD32</f>
        <v>135146</v>
      </c>
      <c r="AE35" s="6184"/>
      <c r="AF35" s="2999">
        <f t="shared" si="51"/>
        <v>1101345.1000000001</v>
      </c>
      <c r="AG35" s="6187"/>
      <c r="AH35" s="3001">
        <f>+AH29+AH32</f>
        <v>178010.44</v>
      </c>
      <c r="AI35" s="5991"/>
      <c r="AJ35" s="2999">
        <f t="shared" si="52"/>
        <v>1279355.54</v>
      </c>
      <c r="AK35" s="6187"/>
      <c r="AL35" s="3001">
        <f>+AL29+AL32</f>
        <v>168743</v>
      </c>
      <c r="AM35" s="6176"/>
      <c r="AN35" s="3000">
        <f>+AN29+AN32</f>
        <v>481899.44</v>
      </c>
      <c r="AO35" s="6184"/>
      <c r="AP35" s="2999">
        <f t="shared" ref="AP35:AP49" si="55">+AL35+AJ35</f>
        <v>1448098.54</v>
      </c>
      <c r="AQ35" s="6187"/>
      <c r="AR35" s="3001">
        <f>+AR29+AR32</f>
        <v>164567.28000000003</v>
      </c>
      <c r="AS35" s="6184"/>
      <c r="AT35" s="2999">
        <f t="shared" si="53"/>
        <v>1612665.82</v>
      </c>
      <c r="AU35" s="6187"/>
      <c r="AV35" s="3001">
        <f>+AV29+AV32</f>
        <v>135351.79</v>
      </c>
      <c r="AW35" s="6184"/>
      <c r="AX35" s="2999">
        <f t="shared" si="54"/>
        <v>1748017.61</v>
      </c>
      <c r="AY35" s="6187"/>
      <c r="AZ35" s="3001">
        <f>+AZ29+AZ32</f>
        <v>176540.91</v>
      </c>
      <c r="BA35" s="6176"/>
      <c r="BB35" s="3000">
        <f>+BB29+BB32</f>
        <v>476459.98000000004</v>
      </c>
      <c r="BC35" s="6177"/>
      <c r="BD35" s="2367">
        <f>+BD29+BD32</f>
        <v>958359.42</v>
      </c>
      <c r="BE35" s="5991"/>
      <c r="BF35" s="1847">
        <f t="shared" si="47"/>
        <v>1924558.52</v>
      </c>
      <c r="BG35" s="2263"/>
      <c r="BH35" s="2263"/>
      <c r="BI35" s="3238"/>
      <c r="BJ35" s="2263"/>
      <c r="BK35" s="3238"/>
      <c r="BL35" s="3238"/>
    </row>
    <row r="36" spans="1:64" ht="15.75" customHeight="1" thickBot="1" x14ac:dyDescent="0.3">
      <c r="B36" s="3015" t="s">
        <v>1611</v>
      </c>
      <c r="C36" s="3016" t="s">
        <v>50</v>
      </c>
      <c r="D36" s="6198"/>
      <c r="E36" s="6187"/>
      <c r="F36" s="3017">
        <f>+F30+F33</f>
        <v>290</v>
      </c>
      <c r="G36" s="6187"/>
      <c r="H36" s="3017">
        <f>+H30+H33</f>
        <v>43</v>
      </c>
      <c r="I36" s="6184"/>
      <c r="J36" s="1847">
        <f t="shared" si="48"/>
        <v>333</v>
      </c>
      <c r="K36" s="6187"/>
      <c r="L36" s="3017">
        <f>+L30+L33</f>
        <v>56</v>
      </c>
      <c r="M36" s="6176"/>
      <c r="N36" s="3000">
        <f>+N30+N33</f>
        <v>389</v>
      </c>
      <c r="O36" s="6187"/>
      <c r="P36" s="3017">
        <f>+P30+P33</f>
        <v>26</v>
      </c>
      <c r="Q36" s="6184"/>
      <c r="R36" s="2999">
        <f t="shared" si="49"/>
        <v>415</v>
      </c>
      <c r="S36" s="6187"/>
      <c r="T36" s="3017">
        <f>+T30+T33</f>
        <v>66</v>
      </c>
      <c r="U36" s="6184"/>
      <c r="V36" s="2999">
        <f t="shared" si="50"/>
        <v>481</v>
      </c>
      <c r="W36" s="6187"/>
      <c r="X36" s="3017">
        <f>+X30+X33</f>
        <v>260</v>
      </c>
      <c r="Y36" s="6176"/>
      <c r="Z36" s="3000">
        <f>+Z30+Z33</f>
        <v>352</v>
      </c>
      <c r="AA36" s="6177"/>
      <c r="AB36" s="2367">
        <f>+AB30+AB33</f>
        <v>741</v>
      </c>
      <c r="AC36" s="6187"/>
      <c r="AD36" s="3017">
        <f>+AD30+AD33</f>
        <v>95</v>
      </c>
      <c r="AE36" s="6184"/>
      <c r="AF36" s="2999">
        <f t="shared" si="51"/>
        <v>836</v>
      </c>
      <c r="AG36" s="6187"/>
      <c r="AH36" s="3017">
        <f>+AH30+AH33</f>
        <v>0</v>
      </c>
      <c r="AI36" s="5991"/>
      <c r="AJ36" s="2999">
        <f t="shared" si="52"/>
        <v>836</v>
      </c>
      <c r="AK36" s="6187"/>
      <c r="AL36" s="3017">
        <f>+AL30+AL33</f>
        <v>38</v>
      </c>
      <c r="AM36" s="6176"/>
      <c r="AN36" s="3000">
        <f>+AN30+AN33</f>
        <v>133</v>
      </c>
      <c r="AO36" s="6184"/>
      <c r="AP36" s="2999">
        <f t="shared" si="55"/>
        <v>874</v>
      </c>
      <c r="AQ36" s="6187"/>
      <c r="AR36" s="3001">
        <f>+AR30+AR33</f>
        <v>367</v>
      </c>
      <c r="AS36" s="6184"/>
      <c r="AT36" s="2999">
        <f t="shared" si="53"/>
        <v>1241</v>
      </c>
      <c r="AU36" s="6187"/>
      <c r="AV36" s="3001">
        <f>+AV30+AV33</f>
        <v>256</v>
      </c>
      <c r="AW36" s="6184"/>
      <c r="AX36" s="2999">
        <f t="shared" si="54"/>
        <v>1497</v>
      </c>
      <c r="AY36" s="6187"/>
      <c r="AZ36" s="3001">
        <f>+AZ30+AZ33</f>
        <v>104</v>
      </c>
      <c r="BA36" s="6176"/>
      <c r="BB36" s="3000">
        <f>+BB30+BB33</f>
        <v>727</v>
      </c>
      <c r="BC36" s="6177"/>
      <c r="BD36" s="2367">
        <f>+BD30+BD33</f>
        <v>860</v>
      </c>
      <c r="BE36" s="5991"/>
      <c r="BF36" s="1847">
        <f t="shared" si="47"/>
        <v>1601</v>
      </c>
      <c r="BG36" s="2263"/>
      <c r="BH36" s="2263"/>
      <c r="BI36" s="3238"/>
      <c r="BJ36" s="2263"/>
      <c r="BK36" s="3238"/>
      <c r="BL36" s="3238"/>
    </row>
    <row r="37" spans="1:64" ht="13.8" x14ac:dyDescent="0.25">
      <c r="B37" s="3018" t="s">
        <v>429</v>
      </c>
      <c r="C37" s="3019" t="s">
        <v>50</v>
      </c>
      <c r="D37" s="6199"/>
      <c r="E37" s="6158"/>
      <c r="F37" s="3001">
        <f>+F31+F34</f>
        <v>166745.16999999998</v>
      </c>
      <c r="G37" s="6158"/>
      <c r="H37" s="3001">
        <f>+H31+H34</f>
        <v>76500.33</v>
      </c>
      <c r="I37" s="6184"/>
      <c r="J37" s="1847">
        <f t="shared" si="48"/>
        <v>243245.5</v>
      </c>
      <c r="K37" s="6158"/>
      <c r="L37" s="3001">
        <f>+L31+L34</f>
        <v>182735</v>
      </c>
      <c r="M37" s="6176"/>
      <c r="N37" s="3000">
        <f>+N31+N34</f>
        <v>425980.5</v>
      </c>
      <c r="O37" s="6158"/>
      <c r="P37" s="3001">
        <f>+P31+P34</f>
        <v>189077</v>
      </c>
      <c r="Q37" s="6184"/>
      <c r="R37" s="2999">
        <f t="shared" si="49"/>
        <v>615057.5</v>
      </c>
      <c r="S37" s="6158"/>
      <c r="T37" s="3001">
        <f>+T31+T34</f>
        <v>179543</v>
      </c>
      <c r="U37" s="6184"/>
      <c r="V37" s="2999">
        <f t="shared" si="50"/>
        <v>794600.5</v>
      </c>
      <c r="W37" s="6158"/>
      <c r="X37" s="3001">
        <f>+X31+X34</f>
        <v>172339.6</v>
      </c>
      <c r="Y37" s="6176"/>
      <c r="Z37" s="3000">
        <f>+Z31+Z34</f>
        <v>540959.60000000009</v>
      </c>
      <c r="AA37" s="6177"/>
      <c r="AB37" s="2367">
        <f>+AB31+AB34</f>
        <v>966940.10000000009</v>
      </c>
      <c r="AC37" s="6158"/>
      <c r="AD37" s="3001">
        <f>+AD31+AD34</f>
        <v>135241</v>
      </c>
      <c r="AE37" s="6184"/>
      <c r="AF37" s="2999">
        <f t="shared" si="51"/>
        <v>1102181.1000000001</v>
      </c>
      <c r="AG37" s="6158"/>
      <c r="AH37" s="3001">
        <f>+AH31+AH34</f>
        <v>178010.44</v>
      </c>
      <c r="AI37" s="5992"/>
      <c r="AJ37" s="2999">
        <f t="shared" si="52"/>
        <v>1280191.54</v>
      </c>
      <c r="AK37" s="6158"/>
      <c r="AL37" s="3001">
        <f>+AL31+AL34</f>
        <v>168781</v>
      </c>
      <c r="AM37" s="6176"/>
      <c r="AN37" s="3000">
        <f>+AN31+AN34</f>
        <v>482032.44</v>
      </c>
      <c r="AO37" s="6184"/>
      <c r="AP37" s="2999">
        <f t="shared" si="55"/>
        <v>1448972.54</v>
      </c>
      <c r="AQ37" s="6158"/>
      <c r="AR37" s="3001">
        <f>+AR31+AR34</f>
        <v>164934.28000000003</v>
      </c>
      <c r="AS37" s="6184"/>
      <c r="AT37" s="2999">
        <f t="shared" si="53"/>
        <v>1613906.82</v>
      </c>
      <c r="AU37" s="6158"/>
      <c r="AV37" s="3001">
        <f>+AV31+AV34</f>
        <v>135607.79</v>
      </c>
      <c r="AW37" s="6184"/>
      <c r="AX37" s="2999">
        <f t="shared" si="54"/>
        <v>1749514.61</v>
      </c>
      <c r="AY37" s="6158"/>
      <c r="AZ37" s="3001">
        <f>+AZ31+AZ34</f>
        <v>176644.91</v>
      </c>
      <c r="BA37" s="6176"/>
      <c r="BB37" s="3000">
        <f>+BB31+BB34</f>
        <v>477186.98000000004</v>
      </c>
      <c r="BC37" s="6177"/>
      <c r="BD37" s="2367">
        <f>+BD31+BD34</f>
        <v>959219.42</v>
      </c>
      <c r="BE37" s="5992"/>
      <c r="BF37" s="1847">
        <f t="shared" si="47"/>
        <v>1926159.52</v>
      </c>
      <c r="BG37" s="2263"/>
      <c r="BH37" s="2263"/>
      <c r="BI37" s="3238"/>
      <c r="BJ37" s="2263"/>
      <c r="BK37" s="3238"/>
      <c r="BL37" s="3238"/>
    </row>
    <row r="38" spans="1:64" ht="15" customHeight="1" x14ac:dyDescent="0.25">
      <c r="B38" s="1739" t="s">
        <v>489</v>
      </c>
      <c r="C38" s="2589" t="s">
        <v>50</v>
      </c>
      <c r="D38" s="5822">
        <v>897098.03336358804</v>
      </c>
      <c r="E38" s="6190">
        <v>59103.175776253302</v>
      </c>
      <c r="F38" s="2399"/>
      <c r="G38" s="6157">
        <v>62796.968405277046</v>
      </c>
      <c r="H38" s="2399">
        <v>2935.94</v>
      </c>
      <c r="I38" s="6184">
        <f>+E38+G38</f>
        <v>121900.14418153034</v>
      </c>
      <c r="J38" s="35">
        <f t="shared" si="48"/>
        <v>2935.94</v>
      </c>
      <c r="K38" s="6190">
        <v>65963.060686015902</v>
      </c>
      <c r="L38" s="2399">
        <v>0</v>
      </c>
      <c r="M38" s="6176">
        <f>+K38+G38+E38</f>
        <v>187863.20486754624</v>
      </c>
      <c r="N38" s="2350">
        <f>+L38+H38+F38</f>
        <v>2935.94</v>
      </c>
      <c r="O38" s="6190">
        <v>68601.583113456407</v>
      </c>
      <c r="P38" s="2399">
        <v>0</v>
      </c>
      <c r="Q38" s="6184">
        <f>+M38+O38</f>
        <v>256464.78798100265</v>
      </c>
      <c r="R38" s="2349">
        <f t="shared" si="49"/>
        <v>2935.94</v>
      </c>
      <c r="S38" s="6190">
        <v>68601.583113456407</v>
      </c>
      <c r="T38" s="2399">
        <v>9565.49</v>
      </c>
      <c r="U38" s="6191">
        <f>+Q38+S38</f>
        <v>325066.37109445909</v>
      </c>
      <c r="V38" s="2349">
        <f t="shared" si="50"/>
        <v>12501.43</v>
      </c>
      <c r="W38" s="6190">
        <v>35356.200527704597</v>
      </c>
      <c r="X38" s="2399">
        <v>0</v>
      </c>
      <c r="Y38" s="6176">
        <f>+W38+S38+O38</f>
        <v>172559.36675461743</v>
      </c>
      <c r="Z38" s="2350">
        <f t="shared" ref="Z38:Z45" si="56">+X38+T38+P38</f>
        <v>9565.49</v>
      </c>
      <c r="AA38" s="6177">
        <f>+Y38+M38</f>
        <v>360422.57162216364</v>
      </c>
      <c r="AB38" s="2379">
        <f t="shared" ref="AB38:AB45" si="57">+Z38+N38</f>
        <v>12501.43</v>
      </c>
      <c r="AC38" s="6190">
        <v>70712.399999999994</v>
      </c>
      <c r="AD38" s="2399">
        <v>14823.38</v>
      </c>
      <c r="AE38" s="6184">
        <f>+AA38+AC38</f>
        <v>431134.97162216366</v>
      </c>
      <c r="AF38" s="2349">
        <f t="shared" si="51"/>
        <v>27324.809999999998</v>
      </c>
      <c r="AG38" s="6190">
        <v>68601.583113456494</v>
      </c>
      <c r="AH38" s="2399"/>
      <c r="AI38" s="5990">
        <f>+AE38+AG38</f>
        <v>499736.55473562016</v>
      </c>
      <c r="AJ38" s="2349">
        <f t="shared" si="52"/>
        <v>27324.809999999998</v>
      </c>
      <c r="AK38" s="6190">
        <v>71240.105540897101</v>
      </c>
      <c r="AL38" s="2399"/>
      <c r="AM38" s="6176">
        <f>+AK38+AG38+AC38</f>
        <v>210554.0886543536</v>
      </c>
      <c r="AN38" s="2350">
        <f t="shared" ref="AN38:AN45" si="58">+AL38+AH38+AD38</f>
        <v>14823.38</v>
      </c>
      <c r="AO38" s="6184">
        <f>+AK38+AI38</f>
        <v>570976.66027651727</v>
      </c>
      <c r="AP38" s="2349">
        <f t="shared" si="55"/>
        <v>27324.809999999998</v>
      </c>
      <c r="AQ38" s="6157">
        <v>71767.810026385181</v>
      </c>
      <c r="AR38" s="2399">
        <v>11159.83</v>
      </c>
      <c r="AS38" s="6184">
        <f>+AO38+AQ38</f>
        <v>642744.47030290239</v>
      </c>
      <c r="AT38" s="2349">
        <f t="shared" si="53"/>
        <v>38484.639999999999</v>
      </c>
      <c r="AU38" s="6157">
        <v>64379.947229551442</v>
      </c>
      <c r="AV38" s="2399">
        <v>8522.07</v>
      </c>
      <c r="AW38" s="6184">
        <f>+AS38+AU38</f>
        <v>707124.41753245378</v>
      </c>
      <c r="AX38" s="2349">
        <f t="shared" si="54"/>
        <v>47006.71</v>
      </c>
      <c r="AY38" s="6157">
        <v>72295.514511873334</v>
      </c>
      <c r="AZ38" s="2399">
        <v>6952.48</v>
      </c>
      <c r="BA38" s="6176">
        <f>+AY38+AU38+AQ38</f>
        <v>208443.27176780996</v>
      </c>
      <c r="BB38" s="2350">
        <f t="shared" ref="BB38:BB45" si="59">+AZ38+AV38+AR38</f>
        <v>26634.379999999997</v>
      </c>
      <c r="BC38" s="6177">
        <f>+BA38+AM38</f>
        <v>418997.36042216356</v>
      </c>
      <c r="BD38" s="2379">
        <f t="shared" ref="BD38:BD45" si="60">+BB38+AN38</f>
        <v>41457.759999999995</v>
      </c>
      <c r="BE38" s="5990">
        <f>+AW38+AY38</f>
        <v>779419.93204432714</v>
      </c>
      <c r="BF38" s="35">
        <f t="shared" si="47"/>
        <v>53959.19</v>
      </c>
      <c r="BG38" s="2263"/>
      <c r="BH38" s="2263"/>
      <c r="BI38" s="3238"/>
      <c r="BJ38" s="2263"/>
      <c r="BK38" s="3238"/>
      <c r="BL38" s="3238"/>
    </row>
    <row r="39" spans="1:64" ht="15" customHeight="1" x14ac:dyDescent="0.25">
      <c r="B39" s="1739" t="s">
        <v>1145</v>
      </c>
      <c r="C39" s="2589" t="s">
        <v>50</v>
      </c>
      <c r="D39" s="5822"/>
      <c r="E39" s="6190"/>
      <c r="F39" s="2399"/>
      <c r="G39" s="6187"/>
      <c r="H39" s="2399">
        <v>0</v>
      </c>
      <c r="I39" s="6184"/>
      <c r="J39" s="35">
        <f t="shared" si="48"/>
        <v>0</v>
      </c>
      <c r="K39" s="6190"/>
      <c r="L39" s="2399">
        <v>5410.51</v>
      </c>
      <c r="M39" s="6176"/>
      <c r="N39" s="2350">
        <f t="shared" ref="N39:N45" si="61">+L39+H39+F39</f>
        <v>5410.51</v>
      </c>
      <c r="O39" s="6190"/>
      <c r="P39" s="2399">
        <v>5924.69</v>
      </c>
      <c r="Q39" s="6184"/>
      <c r="R39" s="2349">
        <f t="shared" si="49"/>
        <v>11335.2</v>
      </c>
      <c r="S39" s="6190"/>
      <c r="T39" s="2399">
        <v>4826.59</v>
      </c>
      <c r="U39" s="6192"/>
      <c r="V39" s="2349">
        <f t="shared" si="50"/>
        <v>16161.79</v>
      </c>
      <c r="W39" s="6190"/>
      <c r="X39" s="2399">
        <v>6252.37</v>
      </c>
      <c r="Y39" s="6176"/>
      <c r="Z39" s="2350">
        <f t="shared" si="56"/>
        <v>17003.649999999998</v>
      </c>
      <c r="AA39" s="6177"/>
      <c r="AB39" s="2379">
        <f t="shared" si="57"/>
        <v>22414.159999999996</v>
      </c>
      <c r="AC39" s="6190"/>
      <c r="AD39" s="2399">
        <v>0</v>
      </c>
      <c r="AE39" s="6184"/>
      <c r="AF39" s="2349">
        <f t="shared" si="51"/>
        <v>22414.159999999996</v>
      </c>
      <c r="AG39" s="6190"/>
      <c r="AH39" s="2399">
        <v>5072.0200000000004</v>
      </c>
      <c r="AI39" s="5991"/>
      <c r="AJ39" s="2349">
        <f t="shared" si="52"/>
        <v>27486.179999999997</v>
      </c>
      <c r="AK39" s="6190"/>
      <c r="AL39" s="2399"/>
      <c r="AM39" s="6176"/>
      <c r="AN39" s="2350">
        <f t="shared" si="58"/>
        <v>5072.0200000000004</v>
      </c>
      <c r="AO39" s="6184"/>
      <c r="AP39" s="2349">
        <f t="shared" si="55"/>
        <v>27486.179999999997</v>
      </c>
      <c r="AQ39" s="6187"/>
      <c r="AR39" s="2399">
        <v>0</v>
      </c>
      <c r="AS39" s="6184"/>
      <c r="AT39" s="2349">
        <f t="shared" si="53"/>
        <v>27486.179999999997</v>
      </c>
      <c r="AU39" s="6187"/>
      <c r="AV39" s="2399">
        <v>0</v>
      </c>
      <c r="AW39" s="6184"/>
      <c r="AX39" s="2349">
        <f t="shared" si="54"/>
        <v>27486.179999999997</v>
      </c>
      <c r="AY39" s="6187"/>
      <c r="AZ39" s="2399">
        <v>0</v>
      </c>
      <c r="BA39" s="6176"/>
      <c r="BB39" s="2350">
        <f t="shared" si="59"/>
        <v>0</v>
      </c>
      <c r="BC39" s="6177"/>
      <c r="BD39" s="2379">
        <f t="shared" si="60"/>
        <v>5072.0200000000004</v>
      </c>
      <c r="BE39" s="5991"/>
      <c r="BF39" s="35">
        <f t="shared" si="47"/>
        <v>27486.179999999997</v>
      </c>
      <c r="BG39" s="2263"/>
      <c r="BH39" s="2263"/>
      <c r="BI39" s="3238"/>
      <c r="BJ39" s="2263"/>
      <c r="BK39" s="3238"/>
      <c r="BL39" s="3238"/>
    </row>
    <row r="40" spans="1:64" ht="15" customHeight="1" x14ac:dyDescent="0.25">
      <c r="B40" s="1739" t="s">
        <v>1146</v>
      </c>
      <c r="C40" s="2589" t="s">
        <v>50</v>
      </c>
      <c r="D40" s="5822"/>
      <c r="E40" s="6190"/>
      <c r="F40" s="2399">
        <v>47373.39</v>
      </c>
      <c r="G40" s="6187"/>
      <c r="H40" s="2399">
        <v>18491.48</v>
      </c>
      <c r="I40" s="6184"/>
      <c r="J40" s="35">
        <f t="shared" si="48"/>
        <v>65864.87</v>
      </c>
      <c r="K40" s="6190"/>
      <c r="L40" s="2399">
        <v>50304.05</v>
      </c>
      <c r="M40" s="6176"/>
      <c r="N40" s="2350">
        <f t="shared" si="61"/>
        <v>116168.92</v>
      </c>
      <c r="O40" s="6190"/>
      <c r="P40" s="2399">
        <v>48455.39</v>
      </c>
      <c r="Q40" s="6184"/>
      <c r="R40" s="2349">
        <f t="shared" si="49"/>
        <v>164624.31</v>
      </c>
      <c r="S40" s="6190"/>
      <c r="T40" s="2399">
        <v>38287.4</v>
      </c>
      <c r="U40" s="6192"/>
      <c r="V40" s="2349">
        <f t="shared" si="50"/>
        <v>202911.71</v>
      </c>
      <c r="W40" s="6190"/>
      <c r="X40" s="2399">
        <v>38145.660000000003</v>
      </c>
      <c r="Y40" s="6176"/>
      <c r="Z40" s="2350">
        <f t="shared" si="56"/>
        <v>124888.45</v>
      </c>
      <c r="AA40" s="6177"/>
      <c r="AB40" s="2379">
        <f t="shared" si="57"/>
        <v>241057.37</v>
      </c>
      <c r="AC40" s="6190"/>
      <c r="AD40" s="2399">
        <v>29076.93</v>
      </c>
      <c r="AE40" s="6184"/>
      <c r="AF40" s="2349">
        <f t="shared" si="51"/>
        <v>270134.3</v>
      </c>
      <c r="AG40" s="6190"/>
      <c r="AH40" s="2399">
        <v>40044.449999999997</v>
      </c>
      <c r="AI40" s="5991"/>
      <c r="AJ40" s="2349">
        <f t="shared" si="52"/>
        <v>310178.75</v>
      </c>
      <c r="AK40" s="6190"/>
      <c r="AL40" s="2399">
        <v>56432.95</v>
      </c>
      <c r="AM40" s="6176"/>
      <c r="AN40" s="2350">
        <f t="shared" si="58"/>
        <v>125554.32999999999</v>
      </c>
      <c r="AO40" s="6184"/>
      <c r="AP40" s="2349">
        <f t="shared" si="55"/>
        <v>366611.7</v>
      </c>
      <c r="AQ40" s="6187"/>
      <c r="AR40" s="2399">
        <v>42695.8</v>
      </c>
      <c r="AS40" s="6184"/>
      <c r="AT40" s="2349">
        <f t="shared" si="53"/>
        <v>409307.5</v>
      </c>
      <c r="AU40" s="6187"/>
      <c r="AV40" s="2399">
        <v>36998.6</v>
      </c>
      <c r="AW40" s="6184"/>
      <c r="AX40" s="2349">
        <f t="shared" si="54"/>
        <v>446306.1</v>
      </c>
      <c r="AY40" s="6187"/>
      <c r="AZ40" s="2399">
        <v>47127.39</v>
      </c>
      <c r="BA40" s="6176"/>
      <c r="BB40" s="2350">
        <f t="shared" si="59"/>
        <v>126821.79</v>
      </c>
      <c r="BC40" s="6177"/>
      <c r="BD40" s="2379">
        <f t="shared" si="60"/>
        <v>252376.12</v>
      </c>
      <c r="BE40" s="5991"/>
      <c r="BF40" s="35">
        <f t="shared" si="47"/>
        <v>493433.49</v>
      </c>
      <c r="BG40" s="2263"/>
      <c r="BH40" s="2263"/>
      <c r="BI40" s="3238"/>
      <c r="BJ40" s="2263"/>
      <c r="BK40" s="3238"/>
      <c r="BL40" s="3238"/>
    </row>
    <row r="41" spans="1:64" ht="15" customHeight="1" x14ac:dyDescent="0.25">
      <c r="A41" s="2263">
        <f>+J38+J39+J40+J41</f>
        <v>77735.489999999991</v>
      </c>
      <c r="B41" s="1739" t="s">
        <v>1147</v>
      </c>
      <c r="C41" s="2589" t="s">
        <v>50</v>
      </c>
      <c r="D41" s="5822"/>
      <c r="E41" s="6190"/>
      <c r="F41" s="2399">
        <v>8934.68</v>
      </c>
      <c r="G41" s="6187"/>
      <c r="H41" s="2399">
        <v>0</v>
      </c>
      <c r="I41" s="6184"/>
      <c r="J41" s="35">
        <f t="shared" si="48"/>
        <v>8934.68</v>
      </c>
      <c r="K41" s="6190"/>
      <c r="L41" s="2399">
        <v>4969.74</v>
      </c>
      <c r="M41" s="6176"/>
      <c r="N41" s="2350">
        <f t="shared" si="61"/>
        <v>13904.42</v>
      </c>
      <c r="O41" s="6190"/>
      <c r="P41" s="2399">
        <v>10197.709999999999</v>
      </c>
      <c r="Q41" s="6184"/>
      <c r="R41" s="2349">
        <f t="shared" si="49"/>
        <v>24102.129999999997</v>
      </c>
      <c r="S41" s="6190"/>
      <c r="T41" s="2399">
        <v>5371.31</v>
      </c>
      <c r="U41" s="6192"/>
      <c r="V41" s="2349">
        <f t="shared" si="50"/>
        <v>29473.439999999999</v>
      </c>
      <c r="W41" s="6190"/>
      <c r="X41" s="2399">
        <v>9948.9699999999993</v>
      </c>
      <c r="Y41" s="6176"/>
      <c r="Z41" s="2350">
        <f t="shared" si="56"/>
        <v>25517.989999999998</v>
      </c>
      <c r="AA41" s="6177"/>
      <c r="AB41" s="2379">
        <f t="shared" si="57"/>
        <v>39422.409999999996</v>
      </c>
      <c r="AC41" s="6190"/>
      <c r="AD41" s="2399">
        <v>0</v>
      </c>
      <c r="AE41" s="6184"/>
      <c r="AF41" s="2349">
        <f t="shared" si="51"/>
        <v>39422.409999999996</v>
      </c>
      <c r="AG41" s="6190"/>
      <c r="AH41" s="2399">
        <v>6374.74</v>
      </c>
      <c r="AI41" s="5991"/>
      <c r="AJ41" s="2349">
        <f t="shared" si="52"/>
        <v>45797.149999999994</v>
      </c>
      <c r="AK41" s="6190"/>
      <c r="AL41" s="2399">
        <v>9146.43</v>
      </c>
      <c r="AM41" s="6176"/>
      <c r="AN41" s="2350">
        <f t="shared" si="58"/>
        <v>15521.17</v>
      </c>
      <c r="AO41" s="6184"/>
      <c r="AP41" s="2349">
        <f t="shared" si="55"/>
        <v>54943.579999999994</v>
      </c>
      <c r="AQ41" s="6187"/>
      <c r="AR41" s="2399">
        <v>9043.4699999999993</v>
      </c>
      <c r="AS41" s="6184"/>
      <c r="AT41" s="2349">
        <f t="shared" si="53"/>
        <v>63987.049999999996</v>
      </c>
      <c r="AU41" s="6187"/>
      <c r="AV41" s="2399">
        <v>3834.71</v>
      </c>
      <c r="AW41" s="6184"/>
      <c r="AX41" s="2349">
        <f t="shared" si="54"/>
        <v>67821.759999999995</v>
      </c>
      <c r="AY41" s="6187"/>
      <c r="AZ41" s="2399">
        <v>10406.17</v>
      </c>
      <c r="BA41" s="6176"/>
      <c r="BB41" s="2350">
        <f t="shared" si="59"/>
        <v>23284.35</v>
      </c>
      <c r="BC41" s="6177"/>
      <c r="BD41" s="2379">
        <f t="shared" si="60"/>
        <v>38805.519999999997</v>
      </c>
      <c r="BE41" s="5991"/>
      <c r="BF41" s="35">
        <f t="shared" si="47"/>
        <v>78227.929999999993</v>
      </c>
      <c r="BG41" s="2263"/>
      <c r="BH41" s="2263"/>
      <c r="BI41" s="3238"/>
      <c r="BJ41" s="2263"/>
      <c r="BK41" s="3238"/>
      <c r="BL41" s="3238"/>
    </row>
    <row r="42" spans="1:64" ht="15" customHeight="1" x14ac:dyDescent="0.25">
      <c r="B42" s="1739" t="s">
        <v>1612</v>
      </c>
      <c r="C42" s="2589" t="s">
        <v>50</v>
      </c>
      <c r="D42" s="5822"/>
      <c r="E42" s="6190"/>
      <c r="F42" s="2399"/>
      <c r="G42" s="6187"/>
      <c r="H42" s="2399">
        <v>33</v>
      </c>
      <c r="I42" s="6184"/>
      <c r="J42" s="35">
        <f t="shared" si="48"/>
        <v>33</v>
      </c>
      <c r="K42" s="6190"/>
      <c r="L42" s="2399">
        <v>0</v>
      </c>
      <c r="M42" s="6176"/>
      <c r="N42" s="2350">
        <f t="shared" si="61"/>
        <v>33</v>
      </c>
      <c r="O42" s="6190"/>
      <c r="P42" s="2399">
        <v>0</v>
      </c>
      <c r="Q42" s="6184"/>
      <c r="R42" s="2349">
        <f t="shared" si="49"/>
        <v>33</v>
      </c>
      <c r="S42" s="6190"/>
      <c r="T42" s="2399">
        <v>0</v>
      </c>
      <c r="U42" s="6192"/>
      <c r="V42" s="2349">
        <f t="shared" si="50"/>
        <v>33</v>
      </c>
      <c r="W42" s="6190"/>
      <c r="X42" s="2399">
        <v>0</v>
      </c>
      <c r="Y42" s="6176"/>
      <c r="Z42" s="2350">
        <f t="shared" si="56"/>
        <v>0</v>
      </c>
      <c r="AA42" s="6177"/>
      <c r="AB42" s="2379">
        <f t="shared" si="57"/>
        <v>33</v>
      </c>
      <c r="AC42" s="6190"/>
      <c r="AD42" s="2399">
        <v>17</v>
      </c>
      <c r="AE42" s="6184"/>
      <c r="AF42" s="2349">
        <f t="shared" si="51"/>
        <v>50</v>
      </c>
      <c r="AG42" s="6190"/>
      <c r="AH42" s="2399">
        <v>0</v>
      </c>
      <c r="AI42" s="5991"/>
      <c r="AJ42" s="2349">
        <f t="shared" si="52"/>
        <v>50</v>
      </c>
      <c r="AK42" s="6190"/>
      <c r="AL42" s="2399"/>
      <c r="AM42" s="6176"/>
      <c r="AN42" s="2350">
        <f t="shared" si="58"/>
        <v>17</v>
      </c>
      <c r="AO42" s="6184"/>
      <c r="AP42" s="2349">
        <f t="shared" si="55"/>
        <v>50</v>
      </c>
      <c r="AQ42" s="6187"/>
      <c r="AR42" s="2399">
        <v>35</v>
      </c>
      <c r="AS42" s="6184"/>
      <c r="AT42" s="2349">
        <f t="shared" si="53"/>
        <v>85</v>
      </c>
      <c r="AU42" s="6187"/>
      <c r="AV42" s="2399">
        <v>22</v>
      </c>
      <c r="AW42" s="6184"/>
      <c r="AX42" s="2349">
        <f t="shared" si="54"/>
        <v>107</v>
      </c>
      <c r="AY42" s="6187"/>
      <c r="AZ42" s="2399">
        <v>0</v>
      </c>
      <c r="BA42" s="6176"/>
      <c r="BB42" s="2350">
        <f t="shared" si="59"/>
        <v>57</v>
      </c>
      <c r="BC42" s="6177"/>
      <c r="BD42" s="2379">
        <f t="shared" si="60"/>
        <v>74</v>
      </c>
      <c r="BE42" s="5991"/>
      <c r="BF42" s="35">
        <f t="shared" si="47"/>
        <v>107</v>
      </c>
      <c r="BG42" s="2263"/>
      <c r="BH42" s="2263"/>
      <c r="BI42" s="3238"/>
      <c r="BJ42" s="2263"/>
      <c r="BK42" s="3238"/>
      <c r="BL42" s="3238"/>
    </row>
    <row r="43" spans="1:64" ht="13.8" x14ac:dyDescent="0.25">
      <c r="B43" s="1739" t="s">
        <v>1613</v>
      </c>
      <c r="C43" s="2589" t="s">
        <v>50</v>
      </c>
      <c r="D43" s="5822"/>
      <c r="E43" s="6190"/>
      <c r="F43" s="2399"/>
      <c r="G43" s="6187"/>
      <c r="H43" s="2399">
        <v>0</v>
      </c>
      <c r="I43" s="6184"/>
      <c r="J43" s="35">
        <f t="shared" si="48"/>
        <v>0</v>
      </c>
      <c r="K43" s="6190"/>
      <c r="L43" s="2399">
        <v>0</v>
      </c>
      <c r="M43" s="6176"/>
      <c r="N43" s="2350">
        <f t="shared" si="61"/>
        <v>0</v>
      </c>
      <c r="O43" s="6190"/>
      <c r="P43" s="2399">
        <v>0</v>
      </c>
      <c r="Q43" s="6184"/>
      <c r="R43" s="2349">
        <f t="shared" si="49"/>
        <v>0</v>
      </c>
      <c r="S43" s="6190"/>
      <c r="T43" s="2399">
        <v>11</v>
      </c>
      <c r="U43" s="6192"/>
      <c r="V43" s="2349">
        <f t="shared" si="50"/>
        <v>11</v>
      </c>
      <c r="W43" s="6190"/>
      <c r="X43" s="2399">
        <v>25</v>
      </c>
      <c r="Y43" s="6176"/>
      <c r="Z43" s="2350">
        <f t="shared" si="56"/>
        <v>36</v>
      </c>
      <c r="AA43" s="6177"/>
      <c r="AB43" s="2379">
        <f t="shared" si="57"/>
        <v>36</v>
      </c>
      <c r="AC43" s="6190"/>
      <c r="AD43" s="2399">
        <v>0</v>
      </c>
      <c r="AE43" s="6184"/>
      <c r="AF43" s="2349">
        <f t="shared" si="51"/>
        <v>36</v>
      </c>
      <c r="AG43" s="6190"/>
      <c r="AH43" s="2399">
        <v>0</v>
      </c>
      <c r="AI43" s="5991"/>
      <c r="AJ43" s="2349">
        <f t="shared" si="52"/>
        <v>36</v>
      </c>
      <c r="AK43" s="6190"/>
      <c r="AL43" s="2399"/>
      <c r="AM43" s="6176"/>
      <c r="AN43" s="2350">
        <f t="shared" si="58"/>
        <v>0</v>
      </c>
      <c r="AO43" s="6184"/>
      <c r="AP43" s="2349">
        <f t="shared" si="55"/>
        <v>36</v>
      </c>
      <c r="AQ43" s="6187"/>
      <c r="AR43" s="2399">
        <v>0</v>
      </c>
      <c r="AS43" s="6184"/>
      <c r="AT43" s="2349">
        <f t="shared" si="53"/>
        <v>36</v>
      </c>
      <c r="AU43" s="6187"/>
      <c r="AV43" s="2399">
        <v>0</v>
      </c>
      <c r="AW43" s="6184"/>
      <c r="AX43" s="2349">
        <f t="shared" si="54"/>
        <v>36</v>
      </c>
      <c r="AY43" s="6187"/>
      <c r="AZ43" s="2399">
        <v>0</v>
      </c>
      <c r="BA43" s="6176"/>
      <c r="BB43" s="2350">
        <f t="shared" si="59"/>
        <v>0</v>
      </c>
      <c r="BC43" s="6177"/>
      <c r="BD43" s="2379">
        <f t="shared" si="60"/>
        <v>0</v>
      </c>
      <c r="BE43" s="5991"/>
      <c r="BF43" s="35">
        <f t="shared" si="47"/>
        <v>36</v>
      </c>
      <c r="BG43" s="2263"/>
      <c r="BH43" s="2263"/>
      <c r="BI43" s="3238"/>
      <c r="BJ43" s="2263"/>
      <c r="BK43" s="3238"/>
      <c r="BL43" s="3238"/>
    </row>
    <row r="44" spans="1:64" ht="13.8" x14ac:dyDescent="0.25">
      <c r="B44" s="1739" t="s">
        <v>1614</v>
      </c>
      <c r="C44" s="2589" t="s">
        <v>50</v>
      </c>
      <c r="D44" s="5822"/>
      <c r="E44" s="6190"/>
      <c r="F44" s="2399">
        <v>111</v>
      </c>
      <c r="G44" s="6187"/>
      <c r="H44" s="2399">
        <v>0</v>
      </c>
      <c r="I44" s="6184"/>
      <c r="J44" s="35">
        <f t="shared" si="48"/>
        <v>111</v>
      </c>
      <c r="K44" s="6190"/>
      <c r="L44" s="2399">
        <v>34</v>
      </c>
      <c r="M44" s="6176"/>
      <c r="N44" s="2350">
        <f t="shared" si="61"/>
        <v>145</v>
      </c>
      <c r="O44" s="6190"/>
      <c r="P44" s="2399">
        <v>0</v>
      </c>
      <c r="Q44" s="6184"/>
      <c r="R44" s="2349">
        <f t="shared" si="49"/>
        <v>145</v>
      </c>
      <c r="S44" s="6190"/>
      <c r="T44" s="2399">
        <v>17</v>
      </c>
      <c r="U44" s="6192"/>
      <c r="V44" s="2349">
        <f t="shared" si="50"/>
        <v>162</v>
      </c>
      <c r="W44" s="6190"/>
      <c r="X44" s="2399">
        <v>82</v>
      </c>
      <c r="Y44" s="6176"/>
      <c r="Z44" s="2350">
        <f t="shared" si="56"/>
        <v>99</v>
      </c>
      <c r="AA44" s="6177"/>
      <c r="AB44" s="2379">
        <f t="shared" si="57"/>
        <v>244</v>
      </c>
      <c r="AC44" s="6190"/>
      <c r="AD44" s="2399">
        <v>43</v>
      </c>
      <c r="AE44" s="6184"/>
      <c r="AF44" s="2349">
        <f t="shared" si="51"/>
        <v>287</v>
      </c>
      <c r="AG44" s="6190"/>
      <c r="AH44" s="2399">
        <v>0</v>
      </c>
      <c r="AI44" s="5991"/>
      <c r="AJ44" s="2349">
        <f t="shared" si="52"/>
        <v>287</v>
      </c>
      <c r="AK44" s="6190"/>
      <c r="AL44" s="2399"/>
      <c r="AM44" s="6176"/>
      <c r="AN44" s="2350">
        <f t="shared" si="58"/>
        <v>43</v>
      </c>
      <c r="AO44" s="6184"/>
      <c r="AP44" s="2349">
        <f t="shared" si="55"/>
        <v>287</v>
      </c>
      <c r="AQ44" s="6187"/>
      <c r="AR44" s="2399">
        <v>120</v>
      </c>
      <c r="AS44" s="6184"/>
      <c r="AT44" s="2349">
        <f t="shared" si="53"/>
        <v>407</v>
      </c>
      <c r="AU44" s="6187"/>
      <c r="AV44" s="2399">
        <v>31</v>
      </c>
      <c r="AW44" s="6184"/>
      <c r="AX44" s="2349">
        <f t="shared" si="54"/>
        <v>438</v>
      </c>
      <c r="AY44" s="6187"/>
      <c r="AZ44" s="2399">
        <v>62</v>
      </c>
      <c r="BA44" s="6176"/>
      <c r="BB44" s="2350">
        <f t="shared" si="59"/>
        <v>213</v>
      </c>
      <c r="BC44" s="6177"/>
      <c r="BD44" s="2379">
        <f t="shared" si="60"/>
        <v>256</v>
      </c>
      <c r="BE44" s="5991"/>
      <c r="BF44" s="35">
        <f t="shared" si="47"/>
        <v>500</v>
      </c>
      <c r="BG44" s="2263"/>
      <c r="BH44" s="2263"/>
      <c r="BI44" s="3238"/>
      <c r="BJ44" s="2263"/>
      <c r="BK44" s="3238"/>
      <c r="BL44" s="3238"/>
    </row>
    <row r="45" spans="1:64" ht="13.8" x14ac:dyDescent="0.25">
      <c r="A45" s="2263"/>
      <c r="B45" s="1739" t="s">
        <v>1615</v>
      </c>
      <c r="C45" s="2589" t="s">
        <v>50</v>
      </c>
      <c r="D45" s="5822"/>
      <c r="E45" s="6190"/>
      <c r="F45" s="2399">
        <v>62</v>
      </c>
      <c r="G45" s="6187"/>
      <c r="H45" s="2399">
        <v>0</v>
      </c>
      <c r="I45" s="6184"/>
      <c r="J45" s="35">
        <f t="shared" si="48"/>
        <v>62</v>
      </c>
      <c r="K45" s="6190"/>
      <c r="L45" s="2399">
        <v>0</v>
      </c>
      <c r="M45" s="6176"/>
      <c r="N45" s="2350">
        <f t="shared" si="61"/>
        <v>62</v>
      </c>
      <c r="O45" s="6190"/>
      <c r="P45" s="2399">
        <v>7</v>
      </c>
      <c r="Q45" s="6184"/>
      <c r="R45" s="2349">
        <f t="shared" si="49"/>
        <v>69</v>
      </c>
      <c r="S45" s="6190"/>
      <c r="T45" s="2399">
        <v>0</v>
      </c>
      <c r="U45" s="6192"/>
      <c r="V45" s="2349">
        <f t="shared" si="50"/>
        <v>69</v>
      </c>
      <c r="W45" s="6190"/>
      <c r="X45" s="2399">
        <v>53</v>
      </c>
      <c r="Y45" s="6176"/>
      <c r="Z45" s="2350">
        <f t="shared" si="56"/>
        <v>60</v>
      </c>
      <c r="AA45" s="6177"/>
      <c r="AB45" s="2379">
        <f t="shared" si="57"/>
        <v>122</v>
      </c>
      <c r="AC45" s="6190"/>
      <c r="AD45" s="2399">
        <v>0</v>
      </c>
      <c r="AE45" s="6184"/>
      <c r="AF45" s="2349">
        <f t="shared" si="51"/>
        <v>122</v>
      </c>
      <c r="AG45" s="6190"/>
      <c r="AH45" s="2399">
        <v>0</v>
      </c>
      <c r="AI45" s="5991"/>
      <c r="AJ45" s="2349">
        <f t="shared" si="52"/>
        <v>122</v>
      </c>
      <c r="AK45" s="6190"/>
      <c r="AL45" s="2399">
        <v>5</v>
      </c>
      <c r="AM45" s="6176"/>
      <c r="AN45" s="2350">
        <f t="shared" si="58"/>
        <v>5</v>
      </c>
      <c r="AO45" s="6184"/>
      <c r="AP45" s="2349">
        <f t="shared" si="55"/>
        <v>127</v>
      </c>
      <c r="AQ45" s="6187"/>
      <c r="AR45" s="2399">
        <v>59</v>
      </c>
      <c r="AS45" s="6184"/>
      <c r="AT45" s="2349">
        <f t="shared" si="53"/>
        <v>186</v>
      </c>
      <c r="AU45" s="6187"/>
      <c r="AV45" s="2399">
        <v>0</v>
      </c>
      <c r="AW45" s="6184"/>
      <c r="AX45" s="2349">
        <f t="shared" si="54"/>
        <v>186</v>
      </c>
      <c r="AY45" s="6187"/>
      <c r="AZ45" s="2399">
        <v>47</v>
      </c>
      <c r="BA45" s="6176"/>
      <c r="BB45" s="2350">
        <f t="shared" si="59"/>
        <v>106</v>
      </c>
      <c r="BC45" s="6177"/>
      <c r="BD45" s="2379">
        <f t="shared" si="60"/>
        <v>111</v>
      </c>
      <c r="BE45" s="5991"/>
      <c r="BF45" s="35">
        <f t="shared" si="47"/>
        <v>233</v>
      </c>
      <c r="BG45" s="2263"/>
      <c r="BH45" s="2263"/>
      <c r="BI45" s="3238"/>
      <c r="BJ45" s="2263"/>
      <c r="BK45" s="3238"/>
      <c r="BL45" s="3238"/>
    </row>
    <row r="46" spans="1:64" ht="16.5" customHeight="1" thickBot="1" x14ac:dyDescent="0.3">
      <c r="A46" s="2263"/>
      <c r="B46" s="3020" t="s">
        <v>163</v>
      </c>
      <c r="C46" s="3021" t="s">
        <v>50</v>
      </c>
      <c r="D46" s="5822"/>
      <c r="E46" s="6190"/>
      <c r="F46" s="3001">
        <f>SUM(F38:F45)</f>
        <v>56481.07</v>
      </c>
      <c r="G46" s="6158"/>
      <c r="H46" s="3001">
        <f>SUM(H38:H45)</f>
        <v>21460.42</v>
      </c>
      <c r="I46" s="6184"/>
      <c r="J46" s="1847">
        <f t="shared" si="48"/>
        <v>77941.489999999991</v>
      </c>
      <c r="K46" s="6190"/>
      <c r="L46" s="3001">
        <f>SUM(L38:L45)</f>
        <v>60718.3</v>
      </c>
      <c r="M46" s="6176"/>
      <c r="N46" s="3000">
        <f>SUM(N38:N45)</f>
        <v>138659.79</v>
      </c>
      <c r="O46" s="6190"/>
      <c r="P46" s="3001">
        <f>SUM(P38:P45)</f>
        <v>64584.79</v>
      </c>
      <c r="Q46" s="6184"/>
      <c r="R46" s="2999">
        <f t="shared" si="49"/>
        <v>203244.58000000002</v>
      </c>
      <c r="S46" s="6190"/>
      <c r="T46" s="3001">
        <f>SUM(T38:T45)</f>
        <v>58078.79</v>
      </c>
      <c r="U46" s="6193"/>
      <c r="V46" s="2999">
        <f t="shared" si="50"/>
        <v>261323.37000000002</v>
      </c>
      <c r="W46" s="6190"/>
      <c r="X46" s="3001">
        <f>SUM(X38:X45)</f>
        <v>54507.000000000007</v>
      </c>
      <c r="Y46" s="6176"/>
      <c r="Z46" s="3000">
        <f>SUM(Z38:Z45)</f>
        <v>177170.58</v>
      </c>
      <c r="AA46" s="6177"/>
      <c r="AB46" s="2367">
        <f>SUM(AB38:AB45)</f>
        <v>315830.36999999994</v>
      </c>
      <c r="AC46" s="6190"/>
      <c r="AD46" s="3001">
        <f>SUM(AD38:AD45)</f>
        <v>43960.31</v>
      </c>
      <c r="AE46" s="6184"/>
      <c r="AF46" s="2999">
        <f t="shared" si="51"/>
        <v>359790.67999999993</v>
      </c>
      <c r="AG46" s="6190"/>
      <c r="AH46" s="3001">
        <f>SUM(AH38:AH45)</f>
        <v>51491.21</v>
      </c>
      <c r="AI46" s="5992"/>
      <c r="AJ46" s="2999">
        <f t="shared" si="52"/>
        <v>411281.88999999996</v>
      </c>
      <c r="AK46" s="6190"/>
      <c r="AL46" s="3001">
        <f>SUM(AL38:AL45)</f>
        <v>65584.38</v>
      </c>
      <c r="AM46" s="6176"/>
      <c r="AN46" s="3000">
        <f>SUM(AN38:AN45)</f>
        <v>161035.9</v>
      </c>
      <c r="AO46" s="6184"/>
      <c r="AP46" s="2999">
        <f t="shared" si="55"/>
        <v>476866.26999999996</v>
      </c>
      <c r="AQ46" s="6158"/>
      <c r="AR46" s="3001">
        <f>SUM(AR38:AR45)</f>
        <v>63113.100000000006</v>
      </c>
      <c r="AS46" s="6184"/>
      <c r="AT46" s="2999">
        <f t="shared" si="53"/>
        <v>539979.37</v>
      </c>
      <c r="AU46" s="6158"/>
      <c r="AV46" s="3001">
        <f>SUM(AV38:AV45)</f>
        <v>49408.38</v>
      </c>
      <c r="AW46" s="6184"/>
      <c r="AX46" s="2999">
        <f t="shared" si="54"/>
        <v>589387.75</v>
      </c>
      <c r="AY46" s="6158"/>
      <c r="AZ46" s="3001">
        <f>SUM(AZ38:AZ45)</f>
        <v>64595.039999999994</v>
      </c>
      <c r="BA46" s="6176"/>
      <c r="BB46" s="3000">
        <f>SUM(BB38:BB45)</f>
        <v>177116.52</v>
      </c>
      <c r="BC46" s="6177"/>
      <c r="BD46" s="2367">
        <f>SUM(BD38:BD45)</f>
        <v>338152.42000000004</v>
      </c>
      <c r="BE46" s="5992"/>
      <c r="BF46" s="1847">
        <f t="shared" si="47"/>
        <v>653982.79</v>
      </c>
      <c r="BG46" s="2263"/>
      <c r="BH46" s="2263"/>
      <c r="BI46" s="3238"/>
      <c r="BJ46" s="2263"/>
      <c r="BK46" s="3238"/>
      <c r="BL46" s="3238"/>
    </row>
    <row r="47" spans="1:64" ht="13.8" x14ac:dyDescent="0.25">
      <c r="A47" s="6196"/>
      <c r="B47" s="1575" t="s">
        <v>164</v>
      </c>
      <c r="C47" s="56" t="s">
        <v>50</v>
      </c>
      <c r="D47" s="6208">
        <f>+D29+D38</f>
        <v>2817514.1242937879</v>
      </c>
      <c r="E47" s="6180">
        <f>+E29+E38</f>
        <v>193691.14877589431</v>
      </c>
      <c r="F47" s="2399">
        <f>+F35+F38+F39+F40+F41</f>
        <v>222763.24</v>
      </c>
      <c r="G47" s="6180">
        <f>+G29+G38</f>
        <v>170903.95480226004</v>
      </c>
      <c r="H47" s="2399">
        <f>+H35+H38+H39+H40+H41</f>
        <v>97884.75</v>
      </c>
      <c r="I47" s="6194">
        <f>+E47+G47</f>
        <v>364595.10357815435</v>
      </c>
      <c r="J47" s="35">
        <f t="shared" si="48"/>
        <v>320647.99</v>
      </c>
      <c r="K47" s="6180">
        <f>+K29+K38</f>
        <v>237110.4815864019</v>
      </c>
      <c r="L47" s="2399">
        <f>+L35+L38+L39+L40+L41</f>
        <v>243363.3</v>
      </c>
      <c r="M47" s="6185">
        <f>+K47+G47+E47</f>
        <v>601705.58516455628</v>
      </c>
      <c r="N47" s="2350">
        <f>+L47+H47+F47</f>
        <v>564011.29</v>
      </c>
      <c r="O47" s="6180">
        <f>+O29+O38</f>
        <v>239943.3427762044</v>
      </c>
      <c r="P47" s="2399">
        <f>+P35+P38+P39+P40+P41</f>
        <v>253628.79</v>
      </c>
      <c r="Q47" s="6168">
        <f>+M47+O47</f>
        <v>841648.92794076074</v>
      </c>
      <c r="R47" s="2349">
        <f t="shared" si="49"/>
        <v>817640.08000000007</v>
      </c>
      <c r="S47" s="6180">
        <f>+S29+S38</f>
        <v>239943.3427762044</v>
      </c>
      <c r="T47" s="2399">
        <f>+T35+T38+T39+T40+T41</f>
        <v>237527.78999999998</v>
      </c>
      <c r="U47" s="6168">
        <f>+Q47+S47</f>
        <v>1081592.2707169652</v>
      </c>
      <c r="V47" s="2349">
        <f t="shared" si="50"/>
        <v>1055167.8700000001</v>
      </c>
      <c r="W47" s="6180">
        <f>+W29+W38</f>
        <v>125920.6798866856</v>
      </c>
      <c r="X47" s="2399">
        <f>+X35+X38+X39+X40+X41</f>
        <v>226426.6</v>
      </c>
      <c r="Y47" s="6176">
        <f>+W47+S47+O47</f>
        <v>605807.36543909437</v>
      </c>
      <c r="Z47" s="2350">
        <f>+X47+T47+P47</f>
        <v>717583.18</v>
      </c>
      <c r="AA47" s="6177">
        <f>+Y47+M47</f>
        <v>1207512.9506036507</v>
      </c>
      <c r="AB47" s="2379">
        <f>+Z47+N47</f>
        <v>1281594.4700000002</v>
      </c>
      <c r="AC47" s="6180">
        <f>+AC29+AC38</f>
        <v>244664.78</v>
      </c>
      <c r="AD47" s="2399">
        <f>+AD35+AD38+AD39+AD40+AD41</f>
        <v>179046.31</v>
      </c>
      <c r="AE47" s="6168">
        <f>+AA47+AC47</f>
        <v>1452177.7306036507</v>
      </c>
      <c r="AF47" s="2349">
        <f t="shared" si="51"/>
        <v>1460640.7800000003</v>
      </c>
      <c r="AG47" s="6180">
        <f>+AG29+AG38</f>
        <v>237110.48158640249</v>
      </c>
      <c r="AH47" s="2399">
        <f>+AH35+AH38+AH39+AH40+AH41</f>
        <v>229501.64999999997</v>
      </c>
      <c r="AI47" s="6168">
        <f>+AE47+AG47</f>
        <v>1689288.2121900532</v>
      </c>
      <c r="AJ47" s="2349">
        <f t="shared" si="52"/>
        <v>1690142.4300000002</v>
      </c>
      <c r="AK47" s="6180">
        <f>+AK29+AK38</f>
        <v>244664.7780925401</v>
      </c>
      <c r="AL47" s="2399">
        <f>+AL35+AL38+AL39+AL40+AL41</f>
        <v>234322.38</v>
      </c>
      <c r="AM47" s="6176">
        <f>+AK47+AG47+AC47</f>
        <v>726440.03967894264</v>
      </c>
      <c r="AN47" s="2350">
        <f>+AL47+AH47+AD47</f>
        <v>642870.34</v>
      </c>
      <c r="AO47" s="6168">
        <f>+AK47+AI47</f>
        <v>1933952.9902825933</v>
      </c>
      <c r="AP47" s="2349">
        <f t="shared" si="55"/>
        <v>1924464.81</v>
      </c>
      <c r="AQ47" s="6180">
        <f>+AQ29+AQ38</f>
        <v>248441.92634560907</v>
      </c>
      <c r="AR47" s="2399">
        <f>+AR35+AR38+AR39+AR40+AR41</f>
        <v>227466.38000000003</v>
      </c>
      <c r="AS47" s="6168">
        <f>+AO47+AQ47</f>
        <v>2182394.9166282024</v>
      </c>
      <c r="AT47" s="2349">
        <f t="shared" si="53"/>
        <v>2151931.19</v>
      </c>
      <c r="AU47" s="6180">
        <f>+AU29+AU38</f>
        <v>222001.88857412653</v>
      </c>
      <c r="AV47" s="2399">
        <f>+AV35+AV38+AV39+AV40+AV41</f>
        <v>184707.17</v>
      </c>
      <c r="AW47" s="6168">
        <f>+AS47+AU47</f>
        <v>2404396.8052023291</v>
      </c>
      <c r="AX47" s="2349">
        <f t="shared" si="54"/>
        <v>2336638.36</v>
      </c>
      <c r="AY47" s="6180">
        <f>+AY29+AY38</f>
        <v>248441.92634560907</v>
      </c>
      <c r="AZ47" s="2399">
        <f>+AZ35+AZ38+AZ39+AZ40+AZ41</f>
        <v>241026.95000000004</v>
      </c>
      <c r="BA47" s="6176">
        <f>+AY47+AU47+AQ47</f>
        <v>718885.74126534467</v>
      </c>
      <c r="BB47" s="2350">
        <f>+AZ47+AV47+AR47</f>
        <v>653200.50000000012</v>
      </c>
      <c r="BC47" s="6177">
        <f>+BA47+AM47</f>
        <v>1445325.7809442873</v>
      </c>
      <c r="BD47" s="2379">
        <f t="shared" ref="BD47:BD48" si="62">+BB47+AN47</f>
        <v>1296070.8400000001</v>
      </c>
      <c r="BE47" s="6168">
        <f>+AW47+AY47</f>
        <v>2652838.7315479382</v>
      </c>
      <c r="BF47" s="35">
        <f t="shared" si="47"/>
        <v>2577665.31</v>
      </c>
      <c r="BG47" s="2263"/>
      <c r="BH47" s="2263"/>
      <c r="BI47" s="3238"/>
      <c r="BJ47" s="2263"/>
      <c r="BK47" s="3238"/>
      <c r="BL47" s="3238"/>
    </row>
    <row r="48" spans="1:64" ht="14.4" thickBot="1" x14ac:dyDescent="0.3">
      <c r="A48" s="6196"/>
      <c r="B48" s="3012" t="s">
        <v>1616</v>
      </c>
      <c r="C48" s="2693" t="s">
        <v>50</v>
      </c>
      <c r="D48" s="6208"/>
      <c r="E48" s="6180"/>
      <c r="F48" s="2399">
        <f>+F36+F42+F43+F44+F45</f>
        <v>463</v>
      </c>
      <c r="G48" s="6180"/>
      <c r="H48" s="2399">
        <f>+H36+H42+H43+H44+H45</f>
        <v>76</v>
      </c>
      <c r="I48" s="5991"/>
      <c r="J48" s="35">
        <f t="shared" si="48"/>
        <v>539</v>
      </c>
      <c r="K48" s="6180"/>
      <c r="L48" s="2399">
        <f>+L36+L42+L43+L44+L45</f>
        <v>90</v>
      </c>
      <c r="M48" s="6185"/>
      <c r="N48" s="2350">
        <f>+L48+H48+F48</f>
        <v>629</v>
      </c>
      <c r="O48" s="6180"/>
      <c r="P48" s="2399">
        <f>+P36+P42+P43+P44+P45</f>
        <v>33</v>
      </c>
      <c r="Q48" s="6168"/>
      <c r="R48" s="2349">
        <f t="shared" si="49"/>
        <v>662</v>
      </c>
      <c r="S48" s="6180"/>
      <c r="T48" s="2399">
        <f>+T36+T42+T43+T44+T45</f>
        <v>94</v>
      </c>
      <c r="U48" s="6168"/>
      <c r="V48" s="2349">
        <f t="shared" si="50"/>
        <v>756</v>
      </c>
      <c r="W48" s="6180"/>
      <c r="X48" s="2399">
        <f>+X36+X42+X43+X44+X45</f>
        <v>420</v>
      </c>
      <c r="Y48" s="6176"/>
      <c r="Z48" s="2350">
        <f>+X48+T48+P48</f>
        <v>547</v>
      </c>
      <c r="AA48" s="6177"/>
      <c r="AB48" s="2379">
        <f>+Z48+N48</f>
        <v>1176</v>
      </c>
      <c r="AC48" s="6180"/>
      <c r="AD48" s="2399">
        <f>+AD36+AD42+AD43+AD44+AD45</f>
        <v>155</v>
      </c>
      <c r="AE48" s="6168"/>
      <c r="AF48" s="2349">
        <f t="shared" si="51"/>
        <v>1331</v>
      </c>
      <c r="AG48" s="6180"/>
      <c r="AH48" s="2399">
        <f>+AH36+AH42+AH43+AH44+AH45</f>
        <v>0</v>
      </c>
      <c r="AI48" s="6168"/>
      <c r="AJ48" s="2349">
        <f t="shared" si="52"/>
        <v>1331</v>
      </c>
      <c r="AK48" s="6180"/>
      <c r="AL48" s="2399">
        <f>+AL36+AL42+AL43+AL44+AL45</f>
        <v>43</v>
      </c>
      <c r="AM48" s="6176"/>
      <c r="AN48" s="2350">
        <f>+AL48+AH48+AD48</f>
        <v>198</v>
      </c>
      <c r="AO48" s="6168"/>
      <c r="AP48" s="2349">
        <f t="shared" si="55"/>
        <v>1374</v>
      </c>
      <c r="AQ48" s="6180"/>
      <c r="AR48" s="2399">
        <f>+AR36+AR42+AR43+AR44+AR45</f>
        <v>581</v>
      </c>
      <c r="AS48" s="6168"/>
      <c r="AT48" s="2349">
        <f t="shared" si="53"/>
        <v>1955</v>
      </c>
      <c r="AU48" s="6180"/>
      <c r="AV48" s="2399">
        <f>+AV36+AV42+AV43+AV44+AV45</f>
        <v>309</v>
      </c>
      <c r="AW48" s="6168"/>
      <c r="AX48" s="2349">
        <f t="shared" si="54"/>
        <v>2264</v>
      </c>
      <c r="AY48" s="6180"/>
      <c r="AZ48" s="2399">
        <f>+AZ36+AZ42+AZ43+AZ44+AZ45</f>
        <v>213</v>
      </c>
      <c r="BA48" s="6176"/>
      <c r="BB48" s="2350">
        <f>+AZ48+AV48+AR48</f>
        <v>1103</v>
      </c>
      <c r="BC48" s="6177"/>
      <c r="BD48" s="2379">
        <f t="shared" si="62"/>
        <v>1301</v>
      </c>
      <c r="BE48" s="6168"/>
      <c r="BF48" s="35">
        <f t="shared" si="47"/>
        <v>2477</v>
      </c>
      <c r="BG48" s="2263"/>
      <c r="BH48" s="2263"/>
      <c r="BI48" s="3238"/>
      <c r="BJ48" s="2263"/>
      <c r="BK48" s="3238"/>
      <c r="BL48" s="3238"/>
    </row>
    <row r="49" spans="1:64" ht="14.4" thickBot="1" x14ac:dyDescent="0.3">
      <c r="A49" s="6196"/>
      <c r="B49" s="3013" t="s">
        <v>294</v>
      </c>
      <c r="C49" s="2978" t="s">
        <v>50</v>
      </c>
      <c r="D49" s="6209"/>
      <c r="E49" s="6181"/>
      <c r="F49" s="3003">
        <f>SUM(F47:F48)</f>
        <v>223226.23999999999</v>
      </c>
      <c r="G49" s="6181"/>
      <c r="H49" s="3003">
        <f>SUM(H47:H48)</f>
        <v>97960.75</v>
      </c>
      <c r="I49" s="6195"/>
      <c r="J49" s="1772">
        <f t="shared" si="48"/>
        <v>321186.99</v>
      </c>
      <c r="K49" s="6181"/>
      <c r="L49" s="3003">
        <f>SUM(L47:L48)</f>
        <v>243453.3</v>
      </c>
      <c r="M49" s="6186"/>
      <c r="N49" s="2085">
        <f>SUM(N47:N48)</f>
        <v>564640.29</v>
      </c>
      <c r="O49" s="6181"/>
      <c r="P49" s="3003">
        <f>SUM(P47:P48)</f>
        <v>253661.79</v>
      </c>
      <c r="Q49" s="6169"/>
      <c r="R49" s="2084">
        <f t="shared" si="49"/>
        <v>818302.08000000007</v>
      </c>
      <c r="S49" s="6181"/>
      <c r="T49" s="3003">
        <f>SUM(T47:T48)</f>
        <v>237621.78999999998</v>
      </c>
      <c r="U49" s="6169"/>
      <c r="V49" s="2084">
        <f t="shared" si="50"/>
        <v>1055923.8700000001</v>
      </c>
      <c r="W49" s="6181"/>
      <c r="X49" s="3003">
        <f>SUM(X47:X48)</f>
        <v>226846.6</v>
      </c>
      <c r="Y49" s="6178"/>
      <c r="Z49" s="2085">
        <f>SUM(Z47:Z48)</f>
        <v>718130.18</v>
      </c>
      <c r="AA49" s="6179"/>
      <c r="AB49" s="2086">
        <f>SUM(AB47:AB48)</f>
        <v>1282770.4700000002</v>
      </c>
      <c r="AC49" s="6181"/>
      <c r="AD49" s="3003">
        <f>SUM(AD47:AD48)</f>
        <v>179201.31</v>
      </c>
      <c r="AE49" s="6169"/>
      <c r="AF49" s="2084">
        <f t="shared" si="51"/>
        <v>1461971.7800000003</v>
      </c>
      <c r="AG49" s="6181"/>
      <c r="AH49" s="3003">
        <f>SUM(AH47:AH48)</f>
        <v>229501.64999999997</v>
      </c>
      <c r="AI49" s="6169"/>
      <c r="AJ49" s="2084">
        <f t="shared" si="52"/>
        <v>1691473.4300000002</v>
      </c>
      <c r="AK49" s="6181"/>
      <c r="AL49" s="3003">
        <f>SUM(AL47:AL48)</f>
        <v>234365.38</v>
      </c>
      <c r="AM49" s="6178"/>
      <c r="AN49" s="2085">
        <f>SUM(AN47:AN48)</f>
        <v>643068.34</v>
      </c>
      <c r="AO49" s="6169"/>
      <c r="AP49" s="2084">
        <f t="shared" si="55"/>
        <v>1925838.81</v>
      </c>
      <c r="AQ49" s="6181"/>
      <c r="AR49" s="3003">
        <f>SUM(AR47:AR48)</f>
        <v>228047.38000000003</v>
      </c>
      <c r="AS49" s="6169"/>
      <c r="AT49" s="2084">
        <f t="shared" si="53"/>
        <v>2153886.19</v>
      </c>
      <c r="AU49" s="6181"/>
      <c r="AV49" s="3003">
        <f>SUM(AV47:AV48)</f>
        <v>185016.17</v>
      </c>
      <c r="AW49" s="6169"/>
      <c r="AX49" s="2084">
        <f t="shared" si="54"/>
        <v>2338902.36</v>
      </c>
      <c r="AY49" s="6181"/>
      <c r="AZ49" s="3003">
        <f>SUM(AZ47:AZ48)</f>
        <v>241239.95000000004</v>
      </c>
      <c r="BA49" s="6178"/>
      <c r="BB49" s="2085">
        <f>SUM(BB47:BB48)</f>
        <v>654303.50000000012</v>
      </c>
      <c r="BC49" s="6179"/>
      <c r="BD49" s="2086">
        <f>SUM(BD47:BD48)</f>
        <v>1297371.8400000001</v>
      </c>
      <c r="BE49" s="6169"/>
      <c r="BF49" s="1772">
        <f t="shared" si="47"/>
        <v>2580142.31</v>
      </c>
      <c r="BG49" s="2263"/>
      <c r="BH49" s="2263"/>
      <c r="BI49" s="3238"/>
      <c r="BJ49" s="2263"/>
      <c r="BK49" s="3238"/>
      <c r="BL49" s="3238"/>
    </row>
    <row r="50" spans="1:64" ht="13.8" x14ac:dyDescent="0.25">
      <c r="A50" s="2394"/>
      <c r="B50" s="3022" t="s">
        <v>265</v>
      </c>
      <c r="C50" s="3023"/>
      <c r="D50" s="3024"/>
      <c r="E50" s="3025"/>
      <c r="F50" s="3523"/>
      <c r="G50" s="3025"/>
      <c r="H50" s="3523"/>
      <c r="I50" s="3025"/>
      <c r="J50" s="3026"/>
      <c r="K50" s="3025"/>
      <c r="L50" s="3523"/>
      <c r="M50" s="3027"/>
      <c r="N50" s="3027"/>
      <c r="O50" s="3025"/>
      <c r="P50" s="3523"/>
      <c r="Q50" s="3027"/>
      <c r="R50" s="3027"/>
      <c r="S50" s="3025"/>
      <c r="T50" s="3523"/>
      <c r="U50" s="3027"/>
      <c r="V50" s="3027"/>
      <c r="W50" s="3025"/>
      <c r="X50" s="3523"/>
      <c r="Y50" s="3027"/>
      <c r="Z50" s="3027"/>
      <c r="AA50" s="3027"/>
      <c r="AB50" s="3027"/>
      <c r="AC50" s="3025"/>
      <c r="AD50" s="3523"/>
      <c r="AE50" s="3027"/>
      <c r="AF50" s="3027"/>
      <c r="AG50" s="3025"/>
      <c r="AH50" s="3523"/>
      <c r="AI50" s="3027"/>
      <c r="AJ50" s="3027"/>
      <c r="AK50" s="3025"/>
      <c r="AL50" s="3523"/>
      <c r="AM50" s="3027"/>
      <c r="AN50" s="3027"/>
      <c r="AO50" s="3027"/>
      <c r="AP50" s="3027"/>
      <c r="AQ50" s="3025"/>
      <c r="AR50" s="3523"/>
      <c r="AS50" s="3027"/>
      <c r="AT50" s="3027"/>
      <c r="AU50" s="3025"/>
      <c r="AV50" s="3523"/>
      <c r="AW50" s="3027"/>
      <c r="AX50" s="3027"/>
      <c r="AY50" s="3025"/>
      <c r="AZ50" s="3523"/>
      <c r="BA50" s="3027"/>
      <c r="BB50" s="3027"/>
      <c r="BC50" s="3027"/>
      <c r="BD50" s="3027"/>
      <c r="BE50" s="3027"/>
      <c r="BF50" s="3028"/>
      <c r="BG50" s="2263"/>
      <c r="BH50" s="2263"/>
      <c r="BI50" s="3238"/>
      <c r="BJ50" s="2263"/>
      <c r="BK50" s="3238"/>
      <c r="BL50" s="3238"/>
    </row>
    <row r="51" spans="1:64" ht="13.8" x14ac:dyDescent="0.25">
      <c r="A51" s="2959"/>
      <c r="B51" s="2995" t="s">
        <v>272</v>
      </c>
      <c r="C51" s="2589" t="s">
        <v>49</v>
      </c>
      <c r="D51" s="1239">
        <v>91.5</v>
      </c>
      <c r="E51" s="2412">
        <v>91.5</v>
      </c>
      <c r="F51" s="2412">
        <v>91.33269773977122</v>
      </c>
      <c r="G51" s="2412">
        <v>91.5</v>
      </c>
      <c r="H51" s="2412">
        <v>92.198998015369497</v>
      </c>
      <c r="I51" s="2817">
        <f>+((E51*E15)+(G15*G51))/I15</f>
        <v>91.5</v>
      </c>
      <c r="J51" s="101">
        <f>+((F51*F15)+(H15*H51))/J15</f>
        <v>91.595216356065592</v>
      </c>
      <c r="K51" s="2583">
        <v>91</v>
      </c>
      <c r="L51" s="2583">
        <v>91.478019092307079</v>
      </c>
      <c r="M51" s="2350">
        <f>+$D$51</f>
        <v>91.5</v>
      </c>
      <c r="N51" s="3029">
        <f>+((F51*F15)+(H51*H15)+(L15*L51))/N15</f>
        <v>91.544440872226176</v>
      </c>
      <c r="O51" s="2583">
        <v>91</v>
      </c>
      <c r="P51" s="2583">
        <v>91.096502143164116</v>
      </c>
      <c r="Q51" s="2817">
        <f>+((M51*M15)+(O15*O51))/Q15</f>
        <v>91.357631107126849</v>
      </c>
      <c r="R51" s="2817">
        <f>+((N51*N15)+(P15*P51))/R15</f>
        <v>91.40604993410615</v>
      </c>
      <c r="S51" s="2583">
        <v>91</v>
      </c>
      <c r="T51" s="2583">
        <v>91.196842369840709</v>
      </c>
      <c r="U51" s="2817">
        <f>+((Q51*Q15)+(S15*S51))/U15</f>
        <v>91.278368948975142</v>
      </c>
      <c r="V51" s="2817">
        <f>+((R51*R15)+(T15*T51))/V15</f>
        <v>91.358800037687146</v>
      </c>
      <c r="W51" s="2583">
        <v>91</v>
      </c>
      <c r="X51" s="2583">
        <v>91.283791205631914</v>
      </c>
      <c r="Y51" s="3029">
        <f>+((O51*O15)+(S51*S15)+(W15*W51))/Y15</f>
        <v>91</v>
      </c>
      <c r="Z51" s="3029">
        <f>+((P51*P15)+(T51*T15)+(X15*X51))/Z15</f>
        <v>91.189229686213508</v>
      </c>
      <c r="AA51" s="3030">
        <f>+((Y51*Y15)+(M15*M51))/AA15</f>
        <v>91.249365159979689</v>
      </c>
      <c r="AB51" s="3030">
        <f>+((Z51*Z15)+(N15*N51))/AB15</f>
        <v>91.345458214627499</v>
      </c>
      <c r="AC51" s="2583">
        <v>91</v>
      </c>
      <c r="AD51" s="2583">
        <v>91.973148618954397</v>
      </c>
      <c r="AE51" s="2817">
        <f>+((AA51*AA15)+(AC15*AC51))/AE15</f>
        <v>91.207381656324117</v>
      </c>
      <c r="AF51" s="2817">
        <f>+((AB51*AB15)+(AD15*AD51))/AF15</f>
        <v>91.422838060899224</v>
      </c>
      <c r="AG51" s="2583">
        <v>91</v>
      </c>
      <c r="AH51" s="2583">
        <v>91.9149532711387</v>
      </c>
      <c r="AI51" s="2817">
        <f>+((AE51*AE15)+(AG15*AG51))/AI15</f>
        <v>91.178291109186901</v>
      </c>
      <c r="AJ51" s="2817">
        <f>+((AF51*AF15)+(AH15*AH51))/AJ15</f>
        <v>91.489683487221029</v>
      </c>
      <c r="AK51" s="2583">
        <v>91</v>
      </c>
      <c r="AL51" s="2583">
        <v>91.883340213984127</v>
      </c>
      <c r="AM51" s="3029">
        <f>+((AC51*AC15)+(AG51*AG15)+(AK15*AK51))/AM15</f>
        <v>91</v>
      </c>
      <c r="AN51" s="3029">
        <f>+((AD51*AD15)+(AH51*AH15)+(AL15*AL51))/AN15</f>
        <v>91.919611446010776</v>
      </c>
      <c r="AO51" s="2817">
        <f>+((AK51*AK15)+(AI15*AI51))/AO15</f>
        <v>91.155747505063076</v>
      </c>
      <c r="AP51" s="2817">
        <f>+((AL51*AL15)+(AJ15*AJ51))/AP15</f>
        <v>91.537966461378645</v>
      </c>
      <c r="AQ51" s="2412">
        <f>+$D$51</f>
        <v>91.5</v>
      </c>
      <c r="AR51" s="2412">
        <v>91.56534312244834</v>
      </c>
      <c r="AS51" s="2817">
        <f>+((AO51*AO15)+(AQ15*AQ51))/AS15</f>
        <v>91.194918369553463</v>
      </c>
      <c r="AT51" s="2817">
        <f>+((AP51*AP15)+(AR15*AR51))/AT15</f>
        <v>91.540870683415463</v>
      </c>
      <c r="AU51" s="2412">
        <f>+$D$51</f>
        <v>91.5</v>
      </c>
      <c r="AV51" s="2412">
        <v>91.430499119943164</v>
      </c>
      <c r="AW51" s="2817">
        <f>+((AS51*AS15)+(AU15*AU51))/AW15</f>
        <v>91.223074960252816</v>
      </c>
      <c r="AX51" s="2817">
        <f>+((AT51*AT15)+(AV15*AV51))/AX15</f>
        <v>91.532199500387463</v>
      </c>
      <c r="AY51" s="2412">
        <f>+$D$51</f>
        <v>91.5</v>
      </c>
      <c r="AZ51" s="2412">
        <v>91.607352897769729</v>
      </c>
      <c r="BA51" s="3029">
        <f>+((AQ51*AQ15)+(AU51*AU15)+(AY15*AY51))/BA15</f>
        <v>91.5</v>
      </c>
      <c r="BB51" s="3029">
        <f>+((AR51*AR15)+(AV51*AV15)+(AZ15*AZ51))/BB15</f>
        <v>91.542464006855724</v>
      </c>
      <c r="BC51" s="3030">
        <f>+((BA51*BA15)+(AM15*AM51))/BC15</f>
        <v>91.248693322879916</v>
      </c>
      <c r="BD51" s="3030">
        <f>+((BB51*BB15)+(AN15*AN51))/BD15</f>
        <v>91.730617560759441</v>
      </c>
      <c r="BE51" s="2817">
        <f>+((AW51*AW15)+(AY15*AY51))/BE15</f>
        <v>91.248999270579446</v>
      </c>
      <c r="BF51" s="101">
        <f>+((AX51*AX15)+(AZ15*AZ51))/BF15</f>
        <v>91.539099565492478</v>
      </c>
      <c r="BG51" s="2263"/>
      <c r="BH51" s="2263"/>
      <c r="BI51" s="3238"/>
      <c r="BJ51" s="2263"/>
      <c r="BK51" s="3238"/>
      <c r="BL51" s="3238"/>
    </row>
    <row r="52" spans="1:64" ht="13.8" x14ac:dyDescent="0.25">
      <c r="B52" s="2995" t="s">
        <v>511</v>
      </c>
      <c r="C52" s="2589" t="s">
        <v>512</v>
      </c>
      <c r="D52" s="706">
        <v>156.00000000000003</v>
      </c>
      <c r="E52" s="2580">
        <f>+$D$52</f>
        <v>156.00000000000003</v>
      </c>
      <c r="F52" s="2583">
        <f>+F49/F25</f>
        <v>157.42330042313117</v>
      </c>
      <c r="G52" s="2580">
        <f>+$D$52</f>
        <v>156.00000000000003</v>
      </c>
      <c r="H52" s="2583">
        <f>+H49/H25</f>
        <v>155.98845541401275</v>
      </c>
      <c r="I52" s="2349">
        <f>+I47/I25</f>
        <v>156</v>
      </c>
      <c r="J52" s="101">
        <f>+J49/J25</f>
        <v>156.98288856304984</v>
      </c>
      <c r="K52" s="2580">
        <f>+$D$52</f>
        <v>156.00000000000003</v>
      </c>
      <c r="L52" s="2583">
        <f>+L49/L25</f>
        <v>156.46098971722364</v>
      </c>
      <c r="M52" s="2975">
        <f>+$D$52</f>
        <v>156.00000000000003</v>
      </c>
      <c r="N52" s="3029">
        <f>+N49/N25</f>
        <v>156.75743753470294</v>
      </c>
      <c r="O52" s="2580">
        <f>+$D$52</f>
        <v>156.00000000000003</v>
      </c>
      <c r="P52" s="2583">
        <f>+P49/P25</f>
        <v>157.55390683229814</v>
      </c>
      <c r="Q52" s="2349">
        <f>+Q47/Q25</f>
        <v>152.54152623272623</v>
      </c>
      <c r="R52" s="2817">
        <f>+R49/R25</f>
        <v>157.00346891788183</v>
      </c>
      <c r="S52" s="2580">
        <f>+$D$52</f>
        <v>156.00000000000003</v>
      </c>
      <c r="T52" s="2583">
        <f>+T49/T25</f>
        <v>156.84606600660064</v>
      </c>
      <c r="U52" s="2349">
        <f>+U47/U25</f>
        <v>151.97030125171003</v>
      </c>
      <c r="V52" s="2817">
        <f>+V49/V25</f>
        <v>156.96801991972649</v>
      </c>
      <c r="W52" s="2580">
        <f>+$D$52</f>
        <v>156.00000000000003</v>
      </c>
      <c r="X52" s="2583">
        <f>+X49/X25</f>
        <v>156.66201657458564</v>
      </c>
      <c r="Y52" s="2350">
        <f>+Y47/Y25</f>
        <v>150</v>
      </c>
      <c r="Z52" s="3029">
        <f>+Z49/Z25</f>
        <v>157.03699540782856</v>
      </c>
      <c r="AA52" s="2379">
        <f>+AA47/AA25</f>
        <v>151.76242212385179</v>
      </c>
      <c r="AB52" s="3030">
        <f>+AB49/AB25</f>
        <v>156.91381896024467</v>
      </c>
      <c r="AC52" s="2580">
        <f>+$D$52</f>
        <v>156.00000000000003</v>
      </c>
      <c r="AD52" s="2583">
        <f>+AD49/AD25</f>
        <v>156.50769432314411</v>
      </c>
      <c r="AE52" s="2349">
        <f>+AE47/AE25</f>
        <v>151.46259166846193</v>
      </c>
      <c r="AF52" s="2817">
        <f>+AF49/AF25</f>
        <v>156.86392489270389</v>
      </c>
      <c r="AG52" s="2580">
        <f>+$D$52</f>
        <v>156.00000000000003</v>
      </c>
      <c r="AH52" s="2583">
        <f>+AH49/AH25</f>
        <v>157.51657515442687</v>
      </c>
      <c r="AI52" s="2349">
        <f>+AI47/AI25</f>
        <v>151.25558218167217</v>
      </c>
      <c r="AJ52" s="2817">
        <f>+AJ49/AJ25</f>
        <v>156.95216015588755</v>
      </c>
      <c r="AK52" s="2580">
        <f>+$D$52</f>
        <v>156.00000000000003</v>
      </c>
      <c r="AL52" s="2583">
        <f>+AL49/AL25</f>
        <v>155.82804521276597</v>
      </c>
      <c r="AM52" s="2350">
        <f>+AM47/AM25</f>
        <v>150</v>
      </c>
      <c r="AN52" s="3029">
        <f>+AN49/AN25</f>
        <v>156.61674135411593</v>
      </c>
      <c r="AO52" s="2349">
        <f>+AO47/AO25</f>
        <v>151.09557805673737</v>
      </c>
      <c r="AP52" s="2817">
        <f>+AP49/AP25</f>
        <v>156.8144947479847</v>
      </c>
      <c r="AQ52" s="2580">
        <f>+$D$52</f>
        <v>156.00000000000003</v>
      </c>
      <c r="AR52" s="2580">
        <f>+AR49/AR25</f>
        <v>156.08992470910337</v>
      </c>
      <c r="AS52" s="2349">
        <f>+AS47/AS25</f>
        <v>150.97005184658553</v>
      </c>
      <c r="AT52" s="2817">
        <f>+AT49/AT25</f>
        <v>156.73746106825789</v>
      </c>
      <c r="AU52" s="2580">
        <f>+$D$52</f>
        <v>156.00000000000003</v>
      </c>
      <c r="AV52" s="2580">
        <f>+AV49/AV25</f>
        <v>156.13178902953587</v>
      </c>
      <c r="AW52" s="2349">
        <f>+AW47/AW25</f>
        <v>150.87995994068706</v>
      </c>
      <c r="AX52" s="2817">
        <f>+AX49/AX25</f>
        <v>156.68937897769143</v>
      </c>
      <c r="AY52" s="2580">
        <f>+$D$52</f>
        <v>156.00000000000003</v>
      </c>
      <c r="AZ52" s="2580">
        <f>+AZ49/AZ25</f>
        <v>158.08646788990828</v>
      </c>
      <c r="BA52" s="2350">
        <f>+BA47/BA25</f>
        <v>150</v>
      </c>
      <c r="BB52" s="3029">
        <f>+BB49/BB25</f>
        <v>156.83209491850434</v>
      </c>
      <c r="BC52" s="2379">
        <f>+BC47/BC25</f>
        <v>150</v>
      </c>
      <c r="BD52" s="3030">
        <f>+BD49/BD25</f>
        <v>156.72527663686881</v>
      </c>
      <c r="BE52" s="2349">
        <f>+BE47/BE25</f>
        <v>150.79711257437484</v>
      </c>
      <c r="BF52" s="101">
        <f>+BF49/BF25</f>
        <v>156.81895763690514</v>
      </c>
      <c r="BG52" s="2263"/>
      <c r="BH52" s="2263"/>
      <c r="BI52" s="3238"/>
      <c r="BJ52" s="2263"/>
      <c r="BK52" s="3238"/>
      <c r="BL52" s="3238"/>
    </row>
    <row r="53" spans="1:64" ht="13.8" x14ac:dyDescent="0.25">
      <c r="B53" s="2995" t="s">
        <v>273</v>
      </c>
      <c r="C53" s="2589" t="s">
        <v>49</v>
      </c>
      <c r="D53" s="1239">
        <v>98.5</v>
      </c>
      <c r="E53" s="2581">
        <f>+$D$53</f>
        <v>98.5</v>
      </c>
      <c r="F53" s="2412">
        <f>+F49/F20*100</f>
        <v>98.569427640352188</v>
      </c>
      <c r="G53" s="2581">
        <f>+$D$53</f>
        <v>98.5</v>
      </c>
      <c r="H53" s="2412">
        <f>+H49/H20*100</f>
        <v>98.406531588094069</v>
      </c>
      <c r="I53" s="2817">
        <f>+I47/I20*100</f>
        <v>98.499999999999972</v>
      </c>
      <c r="J53" s="101">
        <f>+J49/J20*100</f>
        <v>98.519687865207828</v>
      </c>
      <c r="K53" s="2580">
        <f>+$D$53</f>
        <v>98.5</v>
      </c>
      <c r="L53" s="2583">
        <f>+L49/L20*100</f>
        <v>98.62278359995625</v>
      </c>
      <c r="M53" s="3029">
        <f>+$D$53</f>
        <v>98.5</v>
      </c>
      <c r="N53" s="3029">
        <f>+N49/N20*100</f>
        <v>98.564112724441671</v>
      </c>
      <c r="O53" s="2580">
        <f>+$D$53</f>
        <v>98.5</v>
      </c>
      <c r="P53" s="2583">
        <f>+P49/P20*100</f>
        <v>98.678815675839687</v>
      </c>
      <c r="Q53" s="2349">
        <f>+Q47/Q20*100</f>
        <v>97.930687662304663</v>
      </c>
      <c r="R53" s="2817">
        <f>+R49/R20*100</f>
        <v>98.59964044900498</v>
      </c>
      <c r="S53" s="2580">
        <f>+$D$53</f>
        <v>98.5</v>
      </c>
      <c r="T53" s="2583">
        <f>+T49/T20*100</f>
        <v>98.690801332369773</v>
      </c>
      <c r="U53" s="2349">
        <f>+U47/U20*100</f>
        <v>97.834814650291378</v>
      </c>
      <c r="V53" s="2817">
        <f>+V49/V20*100</f>
        <v>98.620140319679322</v>
      </c>
      <c r="W53" s="2580">
        <f>+$D$53</f>
        <v>98.5</v>
      </c>
      <c r="X53" s="2583">
        <f>+X49/X20*100</f>
        <v>98.544550971559147</v>
      </c>
      <c r="Y53" s="2350">
        <f>+Y47/Y20*100</f>
        <v>97.500000000000142</v>
      </c>
      <c r="Z53" s="3029">
        <f>+Z49/Z20*100</f>
        <v>98.640326140854285</v>
      </c>
      <c r="AA53" s="2379">
        <f>+AA47/AA20*100</f>
        <v>97.799792481795961</v>
      </c>
      <c r="AB53" s="3030">
        <f>+AB49/AB20*100</f>
        <v>98.606764573620481</v>
      </c>
      <c r="AC53" s="2580">
        <f>+$D$53</f>
        <v>98.5</v>
      </c>
      <c r="AD53" s="2583">
        <f>+AD49/AD20*100</f>
        <v>98.499601497270945</v>
      </c>
      <c r="AE53" s="2349">
        <f>+AE47/AE20*100</f>
        <v>97.749154112838681</v>
      </c>
      <c r="AF53" s="2817">
        <f>+AF49/AF20*100</f>
        <v>98.59361651333333</v>
      </c>
      <c r="AG53" s="2580">
        <f>+$D$53</f>
        <v>98.5</v>
      </c>
      <c r="AH53" s="2583">
        <f>+AH49/AH20*100</f>
        <v>98.54508566275922</v>
      </c>
      <c r="AI53" s="2349">
        <f>+AI47/AI20*100</f>
        <v>97.714105752299076</v>
      </c>
      <c r="AJ53" s="2817">
        <f>+AJ49/AJ20*100</f>
        <v>98.587028972160908</v>
      </c>
      <c r="AK53" s="2580">
        <f>+$D$53</f>
        <v>98.5</v>
      </c>
      <c r="AL53" s="2583">
        <f>+AL49/AL20*100</f>
        <v>98.52376648435957</v>
      </c>
      <c r="AM53" s="2350">
        <f>+AM47/AM20*100</f>
        <v>97.500000256011987</v>
      </c>
      <c r="AN53" s="3029">
        <f>+AN49/AN20*100</f>
        <v>98.524637734449925</v>
      </c>
      <c r="AO53" s="2349">
        <f>+AO47/AO20*100</f>
        <v>97.686967249383301</v>
      </c>
      <c r="AP53" s="2817">
        <f>+AP49/AP20*100</f>
        <v>98.579325888247965</v>
      </c>
      <c r="AQ53" s="2581">
        <f>+$D$53</f>
        <v>98.5</v>
      </c>
      <c r="AR53" s="2581">
        <f>+AR49/AR20*100</f>
        <v>98.581831857795009</v>
      </c>
      <c r="AS53" s="2349">
        <f>+AS47/AS20*100</f>
        <v>97.665646900813982</v>
      </c>
      <c r="AT53" s="2817">
        <f>+AT49/AT20*100</f>
        <v>98.579591207187818</v>
      </c>
      <c r="AU53" s="2581">
        <f>+$D$53</f>
        <v>98.5</v>
      </c>
      <c r="AV53" s="2581">
        <f>+AV49/AV20*100</f>
        <v>98.505598355898911</v>
      </c>
      <c r="AW53" s="2349">
        <f>+AW47/AW20*100</f>
        <v>97.65032887009383</v>
      </c>
      <c r="AX53" s="2817">
        <f>+AX49/AX20*100</f>
        <v>98.573734039576109</v>
      </c>
      <c r="AY53" s="2581">
        <f>+$D$53</f>
        <v>98.5</v>
      </c>
      <c r="AZ53" s="2581">
        <f>+AZ49/AZ20*100</f>
        <v>98.578751869498788</v>
      </c>
      <c r="BA53" s="2350">
        <f>+BA47/BA20*100</f>
        <v>97.500000000000014</v>
      </c>
      <c r="BB53" s="3029">
        <f>+BB49/BB20*100</f>
        <v>98.559128382256162</v>
      </c>
      <c r="BC53" s="2379">
        <f>+BC47/BC20*100</f>
        <v>97.50000012867504</v>
      </c>
      <c r="BD53" s="3030">
        <f>+BD49/BD20*100</f>
        <v>98.542029383996407</v>
      </c>
      <c r="BE53" s="2817">
        <f>+BE47/BE20*100</f>
        <v>97.636230697573808</v>
      </c>
      <c r="BF53" s="101">
        <f>+BF49/BF20*100</f>
        <v>98.574203178498863</v>
      </c>
      <c r="BG53" s="2263"/>
      <c r="BH53" s="2263"/>
      <c r="BI53" s="3238"/>
      <c r="BJ53" s="2263"/>
      <c r="BK53" s="3238"/>
      <c r="BL53" s="3238"/>
    </row>
    <row r="54" spans="1:64" ht="13.8" x14ac:dyDescent="0.25">
      <c r="A54" s="1166"/>
      <c r="B54" s="913" t="s">
        <v>274</v>
      </c>
      <c r="C54" s="381"/>
      <c r="D54" s="3031"/>
      <c r="E54" s="3032"/>
      <c r="F54" s="3032"/>
      <c r="G54" s="3032"/>
      <c r="H54" s="3032"/>
      <c r="I54" s="3032"/>
      <c r="J54" s="3033"/>
      <c r="K54" s="3032"/>
      <c r="L54" s="3032"/>
      <c r="M54" s="3032"/>
      <c r="N54" s="3032"/>
      <c r="O54" s="3032"/>
      <c r="P54" s="3032"/>
      <c r="Q54" s="3032"/>
      <c r="R54" s="3032"/>
      <c r="S54" s="3032"/>
      <c r="T54" s="3032"/>
      <c r="U54" s="3032"/>
      <c r="V54" s="3032"/>
      <c r="W54" s="3032"/>
      <c r="X54" s="3032"/>
      <c r="Y54" s="3032"/>
      <c r="Z54" s="3032"/>
      <c r="AA54" s="3032"/>
      <c r="AB54" s="3032"/>
      <c r="AC54" s="3032"/>
      <c r="AD54" s="3032"/>
      <c r="AE54" s="3032"/>
      <c r="AF54" s="3032"/>
      <c r="AG54" s="3032"/>
      <c r="AH54" s="3032"/>
      <c r="AI54" s="3032"/>
      <c r="AJ54" s="3032"/>
      <c r="AK54" s="3032"/>
      <c r="AL54" s="3032"/>
      <c r="AM54" s="3032"/>
      <c r="AN54" s="3032"/>
      <c r="AO54" s="3032"/>
      <c r="AP54" s="3032"/>
      <c r="AQ54" s="3032"/>
      <c r="AR54" s="3032"/>
      <c r="AS54" s="3032"/>
      <c r="AT54" s="3032"/>
      <c r="AU54" s="3032"/>
      <c r="AV54" s="3032"/>
      <c r="AW54" s="3032"/>
      <c r="AX54" s="3032"/>
      <c r="AY54" s="3032"/>
      <c r="AZ54" s="3032"/>
      <c r="BA54" s="3032"/>
      <c r="BB54" s="3032"/>
      <c r="BC54" s="3032"/>
      <c r="BD54" s="3032"/>
      <c r="BE54" s="3032"/>
      <c r="BF54" s="3033"/>
      <c r="BG54" s="2263"/>
      <c r="BH54" s="2263"/>
      <c r="BI54" s="3238"/>
      <c r="BJ54" s="2263"/>
      <c r="BK54" s="3238"/>
      <c r="BL54" s="3238"/>
    </row>
    <row r="55" spans="1:64" ht="13.8" x14ac:dyDescent="0.25">
      <c r="B55" s="681" t="s">
        <v>83</v>
      </c>
      <c r="C55" s="2589" t="s">
        <v>50</v>
      </c>
      <c r="D55" s="143">
        <f>+(D72*D$5/1000)</f>
        <v>3512.0013926130637</v>
      </c>
      <c r="E55" s="2399">
        <f>+E72*E$5/1000</f>
        <v>241.43395710865158</v>
      </c>
      <c r="F55" s="2399">
        <v>409</v>
      </c>
      <c r="G55" s="2399">
        <f>+G72*G$5/1000</f>
        <v>213.02996215469253</v>
      </c>
      <c r="H55" s="2399">
        <v>147</v>
      </c>
      <c r="I55" s="2349">
        <f t="shared" ref="I55:I70" si="63">+E55+G55</f>
        <v>454.46391926334411</v>
      </c>
      <c r="J55" s="35">
        <f t="shared" ref="J55:J70" si="64">+F55+H55</f>
        <v>556</v>
      </c>
      <c r="K55" s="2399">
        <f>+K72*K$5/1000</f>
        <v>388.20492139678475</v>
      </c>
      <c r="L55" s="2399">
        <v>405</v>
      </c>
      <c r="M55" s="2350">
        <f t="shared" ref="M55:M70" si="65">+K55+G55+E55</f>
        <v>842.66884066012892</v>
      </c>
      <c r="N55" s="2350">
        <f t="shared" ref="N55:N70" si="66">+L55+H55+F55</f>
        <v>961</v>
      </c>
      <c r="O55" s="2399">
        <f>+O72*O$5/1000</f>
        <v>392.84297302637651</v>
      </c>
      <c r="P55" s="2399">
        <v>383</v>
      </c>
      <c r="Q55" s="2349">
        <f>+M55+O55</f>
        <v>1235.5118136865053</v>
      </c>
      <c r="R55" s="2349">
        <f>+N55+P55</f>
        <v>1344</v>
      </c>
      <c r="S55" s="2399">
        <f>+S72*S$5/1000</f>
        <v>392.84297302637651</v>
      </c>
      <c r="T55" s="2399">
        <v>300</v>
      </c>
      <c r="U55" s="2349">
        <f>+Q55+S55</f>
        <v>1628.3547867128818</v>
      </c>
      <c r="V55" s="2349">
        <f>+R55+T55</f>
        <v>1644</v>
      </c>
      <c r="W55" s="2399">
        <f>+W72*W$5/1000</f>
        <v>206.16139493533055</v>
      </c>
      <c r="X55" s="2399">
        <v>293</v>
      </c>
      <c r="Y55" s="2350">
        <f t="shared" ref="Y55:Y70" si="67">+W55+S55+O55</f>
        <v>991.8473409880836</v>
      </c>
      <c r="Z55" s="2350">
        <f t="shared" ref="Z55:Z70" si="68">+X55+T55+P55</f>
        <v>976</v>
      </c>
      <c r="AA55" s="2379">
        <f>+Y55+M55</f>
        <v>1834.5161816482125</v>
      </c>
      <c r="AB55" s="2379">
        <f>+Z55+N55</f>
        <v>1937</v>
      </c>
      <c r="AC55" s="2399">
        <f>+AC72*AC$5/1000</f>
        <v>400.57305907569491</v>
      </c>
      <c r="AD55" s="2399">
        <v>251</v>
      </c>
      <c r="AE55" s="2349">
        <f>+AA55+AC55</f>
        <v>2235.0892407239076</v>
      </c>
      <c r="AF55" s="2349">
        <f>+AB55+AD55</f>
        <v>2188</v>
      </c>
      <c r="AG55" s="2399">
        <f>+AG72*AG$5/1000</f>
        <v>388.20492139678475</v>
      </c>
      <c r="AH55" s="2399">
        <v>290</v>
      </c>
      <c r="AI55" s="2349">
        <f>+AE55+AG55</f>
        <v>2623.2941621206924</v>
      </c>
      <c r="AJ55" s="2349">
        <f>+AF55+AH55</f>
        <v>2478</v>
      </c>
      <c r="AK55" s="2399">
        <f>+AK72*AK$5/1000</f>
        <v>400.57305907569491</v>
      </c>
      <c r="AL55" s="2399">
        <v>401.53</v>
      </c>
      <c r="AM55" s="2350">
        <f t="shared" ref="AM55:AM70" si="69">+AK55+AG55+AC55</f>
        <v>1189.3510395481744</v>
      </c>
      <c r="AN55" s="2350">
        <f t="shared" ref="AN55:AN70" si="70">+AL55+AH55+AD55</f>
        <v>942.53</v>
      </c>
      <c r="AO55" s="2349">
        <f t="shared" ref="AO55" si="71">+AK55+AI55</f>
        <v>3023.8672211963872</v>
      </c>
      <c r="AP55" s="2349">
        <f t="shared" ref="AP55" si="72">+AL55+AJ55</f>
        <v>2879.5299999999997</v>
      </c>
      <c r="AQ55" s="2399">
        <f>+AQ72*AQ$5/1000</f>
        <v>406.75712791515014</v>
      </c>
      <c r="AR55" s="2399">
        <v>267.8</v>
      </c>
      <c r="AS55" s="2349">
        <f>+AO55+AQ55</f>
        <v>3430.6243491115374</v>
      </c>
      <c r="AT55" s="2349">
        <f>+AP55+AR55</f>
        <v>3147.33</v>
      </c>
      <c r="AU55" s="2399">
        <f>+AU72*AU$5/1000</f>
        <v>363.4686460389654</v>
      </c>
      <c r="AV55" s="2399">
        <v>135</v>
      </c>
      <c r="AW55" s="2349">
        <f>+AS55+AU55</f>
        <v>3794.0929951505027</v>
      </c>
      <c r="AX55" s="2349">
        <f>+AT55+AV55</f>
        <v>3282.33</v>
      </c>
      <c r="AY55" s="2399">
        <f>+AY72*AY$5/1000</f>
        <v>406.75712791515014</v>
      </c>
      <c r="AZ55" s="2399">
        <v>421</v>
      </c>
      <c r="BA55" s="2350">
        <f t="shared" ref="BA55:BA70" si="73">+AY55+AU55+AQ55</f>
        <v>1176.9829018692658</v>
      </c>
      <c r="BB55" s="2350">
        <f t="shared" ref="BB55:BB70" si="74">+AZ55+AV55+AR55</f>
        <v>823.8</v>
      </c>
      <c r="BC55" s="2379">
        <f t="shared" ref="BC55:BD56" si="75">+BA55+AM55</f>
        <v>2366.3339414174402</v>
      </c>
      <c r="BD55" s="2379">
        <f t="shared" si="75"/>
        <v>1766.33</v>
      </c>
      <c r="BE55" s="2349">
        <f t="shared" ref="BE55:BE70" si="76">+AW55+AY55</f>
        <v>4200.850123065653</v>
      </c>
      <c r="BF55" s="35">
        <f t="shared" ref="BF55:BF70" si="77">+AX55+AZ55</f>
        <v>3703.33</v>
      </c>
      <c r="BG55" s="2263"/>
      <c r="BH55" s="2263"/>
      <c r="BI55" s="3238"/>
      <c r="BJ55" s="2263"/>
      <c r="BK55" s="3238"/>
      <c r="BL55" s="3238"/>
    </row>
    <row r="56" spans="1:64" ht="13.8" x14ac:dyDescent="0.25">
      <c r="B56" s="681" t="s">
        <v>796</v>
      </c>
      <c r="C56" s="2589" t="s">
        <v>50</v>
      </c>
      <c r="D56" s="143">
        <f>+D73*D$5/1000</f>
        <v>2201.7356157900963</v>
      </c>
      <c r="E56" s="2399">
        <f>+E73*E$5/1000</f>
        <v>151.3592059915857</v>
      </c>
      <c r="F56" s="2399">
        <v>140</v>
      </c>
      <c r="G56" s="2399">
        <f>+G73*G$5/1000</f>
        <v>133.55224058081092</v>
      </c>
      <c r="H56" s="2399">
        <v>56</v>
      </c>
      <c r="I56" s="2349">
        <f t="shared" si="63"/>
        <v>284.91144657239658</v>
      </c>
      <c r="J56" s="35">
        <f t="shared" si="64"/>
        <v>196</v>
      </c>
      <c r="K56" s="2399">
        <f>+K73*K$5/1000</f>
        <v>199.20262417083617</v>
      </c>
      <c r="L56" s="2399">
        <v>105</v>
      </c>
      <c r="M56" s="2350">
        <f t="shared" si="65"/>
        <v>484.11407074323279</v>
      </c>
      <c r="N56" s="2350">
        <f t="shared" si="66"/>
        <v>301</v>
      </c>
      <c r="O56" s="2399">
        <f>+O73*O$5/1000</f>
        <v>201.58258383834942</v>
      </c>
      <c r="P56" s="2399">
        <v>137</v>
      </c>
      <c r="Q56" s="2349">
        <f t="shared" ref="Q56:Q62" si="78">+M56+O56</f>
        <v>685.69665458158215</v>
      </c>
      <c r="R56" s="2349">
        <f t="shared" ref="R56:R62" si="79">+N56+P56</f>
        <v>438</v>
      </c>
      <c r="S56" s="2399">
        <f>+S73*S$5/1000</f>
        <v>201.58258383834942</v>
      </c>
      <c r="T56" s="2399">
        <v>131</v>
      </c>
      <c r="U56" s="2349">
        <f t="shared" ref="U56:U70" si="80">+Q56+S56</f>
        <v>887.27923841993152</v>
      </c>
      <c r="V56" s="2349">
        <f t="shared" ref="V56:V70" si="81">+R56+T56</f>
        <v>569</v>
      </c>
      <c r="W56" s="2399">
        <f>+W73*W$5/1000</f>
        <v>105.78920722095233</v>
      </c>
      <c r="X56" s="2399">
        <v>129</v>
      </c>
      <c r="Y56" s="2350">
        <f t="shared" si="67"/>
        <v>508.95437489765118</v>
      </c>
      <c r="Z56" s="2350">
        <f t="shared" si="68"/>
        <v>397</v>
      </c>
      <c r="AA56" s="2379">
        <f>+Y56+M56</f>
        <v>993.06844564088397</v>
      </c>
      <c r="AB56" s="2379">
        <f>+Z56+N56</f>
        <v>698</v>
      </c>
      <c r="AC56" s="2399">
        <f>+AC73*AC$5/1000</f>
        <v>205.54918328420422</v>
      </c>
      <c r="AD56" s="2399">
        <v>94</v>
      </c>
      <c r="AE56" s="2349">
        <f t="shared" ref="AE56:AE70" si="82">+AA56+AC56</f>
        <v>1198.6176289250882</v>
      </c>
      <c r="AF56" s="2349">
        <f t="shared" ref="AF56:AF70" si="83">+AB56+AD56</f>
        <v>792</v>
      </c>
      <c r="AG56" s="2399">
        <f>+AG73*AG$5/1000</f>
        <v>199.20262417083617</v>
      </c>
      <c r="AH56" s="2399">
        <v>112</v>
      </c>
      <c r="AI56" s="2349">
        <f t="shared" ref="AI56:AI70" si="84">+AE56+AG56</f>
        <v>1397.8202530959243</v>
      </c>
      <c r="AJ56" s="2349">
        <f t="shared" ref="AJ56:AJ70" si="85">+AF56+AH56</f>
        <v>904</v>
      </c>
      <c r="AK56" s="2399">
        <f>+AK73*AK$5/1000</f>
        <v>205.54918328420422</v>
      </c>
      <c r="AL56" s="2399">
        <v>70</v>
      </c>
      <c r="AM56" s="2350">
        <f t="shared" si="69"/>
        <v>610.30099073924464</v>
      </c>
      <c r="AN56" s="2350">
        <f t="shared" si="70"/>
        <v>276</v>
      </c>
      <c r="AO56" s="2349">
        <f t="shared" ref="AO56:AO70" si="86">+AK56+AI56</f>
        <v>1603.3694363801285</v>
      </c>
      <c r="AP56" s="2349">
        <f t="shared" ref="AP56:AP70" si="87">+AL56+AJ56</f>
        <v>974</v>
      </c>
      <c r="AQ56" s="2399">
        <f>+AQ73*AQ$5/1000</f>
        <v>208.72246284088834</v>
      </c>
      <c r="AR56" s="2399">
        <v>88</v>
      </c>
      <c r="AS56" s="2349">
        <f t="shared" ref="AS56:AS70" si="88">+AO56+AQ56</f>
        <v>1812.0918992210168</v>
      </c>
      <c r="AT56" s="2349">
        <f t="shared" ref="AT56:AT70" si="89">+AP56+AR56</f>
        <v>1062</v>
      </c>
      <c r="AU56" s="2399">
        <f>+AU73*AU$5/1000</f>
        <v>186.50950594410051</v>
      </c>
      <c r="AV56" s="2399">
        <v>143.714</v>
      </c>
      <c r="AW56" s="2349">
        <f t="shared" ref="AW56:AW70" si="90">+AS56+AU56</f>
        <v>1998.6014051651173</v>
      </c>
      <c r="AX56" s="2349">
        <f t="shared" ref="AX56:AX70" si="91">+AT56+AV56</f>
        <v>1205.7139999999999</v>
      </c>
      <c r="AY56" s="2399">
        <f>+AY73*AY$5/1000</f>
        <v>208.72246284088834</v>
      </c>
      <c r="AZ56" s="2399">
        <v>122</v>
      </c>
      <c r="BA56" s="2350">
        <f t="shared" si="73"/>
        <v>603.95443162587719</v>
      </c>
      <c r="BB56" s="2350">
        <f t="shared" si="74"/>
        <v>353.714</v>
      </c>
      <c r="BC56" s="2379">
        <f t="shared" si="75"/>
        <v>1214.2554223651218</v>
      </c>
      <c r="BD56" s="2379">
        <f t="shared" si="75"/>
        <v>629.71399999999994</v>
      </c>
      <c r="BE56" s="2349">
        <f t="shared" si="76"/>
        <v>2207.3238680060058</v>
      </c>
      <c r="BF56" s="35">
        <f t="shared" si="77"/>
        <v>1327.7139999999999</v>
      </c>
      <c r="BG56" s="2263"/>
      <c r="BH56" s="2263"/>
      <c r="BI56" s="3238"/>
      <c r="BJ56" s="2263"/>
      <c r="BK56" s="3238"/>
      <c r="BL56" s="3238"/>
    </row>
    <row r="57" spans="1:64" ht="13.8" x14ac:dyDescent="0.25">
      <c r="B57" s="682" t="s">
        <v>838</v>
      </c>
      <c r="C57" s="3034" t="s">
        <v>50</v>
      </c>
      <c r="D57" s="1225">
        <f>SUM(D55:D56)</f>
        <v>5713.73700840316</v>
      </c>
      <c r="E57" s="3001">
        <f>SUM(E55:E56)</f>
        <v>392.79316310023728</v>
      </c>
      <c r="F57" s="3001">
        <f>SUM(F55:F56)</f>
        <v>549</v>
      </c>
      <c r="G57" s="3001">
        <f>SUM(G55:G56)</f>
        <v>346.58220273550342</v>
      </c>
      <c r="H57" s="3001">
        <f>SUM(H55:H56)</f>
        <v>203</v>
      </c>
      <c r="I57" s="2349">
        <f t="shared" si="63"/>
        <v>739.37536583574069</v>
      </c>
      <c r="J57" s="35">
        <f t="shared" si="64"/>
        <v>752</v>
      </c>
      <c r="K57" s="3001">
        <f>SUM(K55:K56)</f>
        <v>587.4075455676209</v>
      </c>
      <c r="L57" s="3001">
        <f>SUM(L55:L56)</f>
        <v>510</v>
      </c>
      <c r="M57" s="2350">
        <f t="shared" si="65"/>
        <v>1326.7829114033616</v>
      </c>
      <c r="N57" s="2350">
        <f t="shared" si="66"/>
        <v>1262</v>
      </c>
      <c r="O57" s="3001">
        <f>SUM(O55:O56)</f>
        <v>594.42555686472588</v>
      </c>
      <c r="P57" s="3001">
        <f>SUM(P55:P56)</f>
        <v>520</v>
      </c>
      <c r="Q57" s="2349">
        <f t="shared" si="78"/>
        <v>1921.2084682680875</v>
      </c>
      <c r="R57" s="2349">
        <f t="shared" si="79"/>
        <v>1782</v>
      </c>
      <c r="S57" s="3001">
        <f>SUM(S55:S56)</f>
        <v>594.42555686472588</v>
      </c>
      <c r="T57" s="3001">
        <f>SUM(T55:T56)</f>
        <v>431</v>
      </c>
      <c r="U57" s="2349">
        <f t="shared" si="80"/>
        <v>2515.6340251328133</v>
      </c>
      <c r="V57" s="2349">
        <f t="shared" si="81"/>
        <v>2213</v>
      </c>
      <c r="W57" s="3001">
        <f>SUM(W55:W56)</f>
        <v>311.95060215628291</v>
      </c>
      <c r="X57" s="3001">
        <f>SUM(X55:X56)</f>
        <v>422</v>
      </c>
      <c r="Y57" s="3000">
        <f t="shared" si="67"/>
        <v>1500.8017158857347</v>
      </c>
      <c r="Z57" s="3000">
        <f t="shared" si="68"/>
        <v>1373</v>
      </c>
      <c r="AA57" s="3035">
        <f t="shared" ref="AA57:AB57" si="92">SUM(AA55:AA56)</f>
        <v>2827.5846272890967</v>
      </c>
      <c r="AB57" s="3035">
        <f t="shared" si="92"/>
        <v>2635</v>
      </c>
      <c r="AC57" s="3001">
        <f>SUM(AC55:AC56)</f>
        <v>606.12224235989913</v>
      </c>
      <c r="AD57" s="3001">
        <f>SUM(AD55:AD56)</f>
        <v>345</v>
      </c>
      <c r="AE57" s="2349">
        <f t="shared" si="82"/>
        <v>3433.706869648996</v>
      </c>
      <c r="AF57" s="2349">
        <f t="shared" si="83"/>
        <v>2980</v>
      </c>
      <c r="AG57" s="3001">
        <f>SUM(AG55:AG56)</f>
        <v>587.4075455676209</v>
      </c>
      <c r="AH57" s="3001">
        <f>SUM(AH55:AH56)</f>
        <v>402</v>
      </c>
      <c r="AI57" s="2349">
        <f t="shared" si="84"/>
        <v>4021.1144152166171</v>
      </c>
      <c r="AJ57" s="2349">
        <f t="shared" si="85"/>
        <v>3382</v>
      </c>
      <c r="AK57" s="3001">
        <f>SUM(AK55:AK56)</f>
        <v>606.12224235989913</v>
      </c>
      <c r="AL57" s="3001">
        <f>SUM(AL55:AL56)</f>
        <v>471.53</v>
      </c>
      <c r="AM57" s="3000">
        <f t="shared" si="69"/>
        <v>1799.6520302874192</v>
      </c>
      <c r="AN57" s="3000">
        <f t="shared" si="70"/>
        <v>1218.53</v>
      </c>
      <c r="AO57" s="2349">
        <f t="shared" si="86"/>
        <v>4627.2366575765163</v>
      </c>
      <c r="AP57" s="2349">
        <f t="shared" si="87"/>
        <v>3853.5299999999997</v>
      </c>
      <c r="AQ57" s="3001">
        <f>SUM(AQ55:AQ56)</f>
        <v>615.47959075603853</v>
      </c>
      <c r="AR57" s="3001">
        <f>SUM(AR55:AR56)</f>
        <v>355.8</v>
      </c>
      <c r="AS57" s="2349">
        <f t="shared" si="88"/>
        <v>5242.7162483325546</v>
      </c>
      <c r="AT57" s="2349">
        <f t="shared" si="89"/>
        <v>4209.33</v>
      </c>
      <c r="AU57" s="3001">
        <f>SUM(AU55:AU56)</f>
        <v>549.97815198306591</v>
      </c>
      <c r="AV57" s="3001">
        <f>SUM(AV55:AV56)</f>
        <v>278.714</v>
      </c>
      <c r="AW57" s="2349">
        <f t="shared" si="90"/>
        <v>5792.6944003156204</v>
      </c>
      <c r="AX57" s="2349">
        <f t="shared" si="91"/>
        <v>4488.0439999999999</v>
      </c>
      <c r="AY57" s="3001">
        <f>SUM(AY55:AY56)</f>
        <v>615.47959075603853</v>
      </c>
      <c r="AZ57" s="3001">
        <f>SUM(AZ55:AZ56)</f>
        <v>543</v>
      </c>
      <c r="BA57" s="3000">
        <f t="shared" si="73"/>
        <v>1780.9373334951431</v>
      </c>
      <c r="BB57" s="3000">
        <f t="shared" si="74"/>
        <v>1177.5139999999999</v>
      </c>
      <c r="BC57" s="3035">
        <f t="shared" ref="BC57:BD57" si="93">SUM(BC55:BC56)</f>
        <v>3580.589363782562</v>
      </c>
      <c r="BD57" s="3035">
        <f t="shared" si="93"/>
        <v>2396.0439999999999</v>
      </c>
      <c r="BE57" s="2349">
        <f t="shared" si="76"/>
        <v>6408.1739910716587</v>
      </c>
      <c r="BF57" s="35">
        <f t="shared" si="77"/>
        <v>5031.0439999999999</v>
      </c>
      <c r="BG57" s="2263"/>
      <c r="BH57" s="2263"/>
      <c r="BI57" s="3238"/>
      <c r="BJ57" s="2263"/>
      <c r="BK57" s="3238"/>
      <c r="BL57" s="3238"/>
    </row>
    <row r="58" spans="1:64" ht="13.8" x14ac:dyDescent="0.25">
      <c r="B58" s="681" t="s">
        <v>84</v>
      </c>
      <c r="C58" s="2589" t="s">
        <v>50</v>
      </c>
      <c r="D58" s="143">
        <f>+D75*D$5/1000</f>
        <v>39108.92926621464</v>
      </c>
      <c r="E58" s="2399">
        <f>+E75*E$5/1000</f>
        <v>2688.5591705301626</v>
      </c>
      <c r="F58" s="2399">
        <v>2872</v>
      </c>
      <c r="G58" s="2399">
        <f>+G75*G$5/1000</f>
        <v>2372.2580916442607</v>
      </c>
      <c r="H58" s="2399">
        <v>1223</v>
      </c>
      <c r="I58" s="2349">
        <f t="shared" si="63"/>
        <v>5060.8172621744234</v>
      </c>
      <c r="J58" s="35">
        <f t="shared" si="64"/>
        <v>4095</v>
      </c>
      <c r="K58" s="2399">
        <f>+K75*K$5/1000</f>
        <v>4119.3128102289647</v>
      </c>
      <c r="L58" s="2399">
        <v>3768</v>
      </c>
      <c r="M58" s="2350">
        <f t="shared" si="65"/>
        <v>9180.1300724033881</v>
      </c>
      <c r="N58" s="2350">
        <f t="shared" si="66"/>
        <v>7863</v>
      </c>
      <c r="O58" s="2399">
        <f>+O75*O$5/1000</f>
        <v>4168.5280170417409</v>
      </c>
      <c r="P58" s="2399">
        <v>4098</v>
      </c>
      <c r="Q58" s="2349">
        <f t="shared" si="78"/>
        <v>13348.658089445129</v>
      </c>
      <c r="R58" s="2349">
        <f t="shared" si="79"/>
        <v>11961</v>
      </c>
      <c r="S58" s="2399">
        <f>+S75*S$5/1000</f>
        <v>4168.5280170417409</v>
      </c>
      <c r="T58" s="2399">
        <v>3587.02</v>
      </c>
      <c r="U58" s="2349">
        <f t="shared" si="80"/>
        <v>17517.186106486872</v>
      </c>
      <c r="V58" s="2349">
        <f t="shared" si="81"/>
        <v>15548.02</v>
      </c>
      <c r="W58" s="2399">
        <f>+W75*W$5/1000</f>
        <v>2187.6159428276978</v>
      </c>
      <c r="X58" s="2399">
        <v>3011.1099999999997</v>
      </c>
      <c r="Y58" s="2350">
        <f t="shared" si="67"/>
        <v>10524.671976911181</v>
      </c>
      <c r="Z58" s="2350">
        <f t="shared" si="68"/>
        <v>10696.13</v>
      </c>
      <c r="AA58" s="2379">
        <f t="shared" ref="AA58:AB70" si="94">+Y58+M58</f>
        <v>19704.802049314567</v>
      </c>
      <c r="AB58" s="2379">
        <f t="shared" si="94"/>
        <v>18559.129999999997</v>
      </c>
      <c r="AC58" s="2399">
        <f>+AC75*AC$5/1000</f>
        <v>4250.5533617296896</v>
      </c>
      <c r="AD58" s="2399">
        <v>2470</v>
      </c>
      <c r="AE58" s="2349">
        <f t="shared" si="82"/>
        <v>23955.355411044256</v>
      </c>
      <c r="AF58" s="2349">
        <f t="shared" si="83"/>
        <v>21029.129999999997</v>
      </c>
      <c r="AG58" s="2399">
        <f>+AG75*AG$5/1000</f>
        <v>4119.3128102289647</v>
      </c>
      <c r="AH58" s="2399">
        <v>2814</v>
      </c>
      <c r="AI58" s="2349">
        <f t="shared" si="84"/>
        <v>28074.668221273219</v>
      </c>
      <c r="AJ58" s="2349">
        <f t="shared" si="85"/>
        <v>23843.129999999997</v>
      </c>
      <c r="AK58" s="2399">
        <f>+AK75*AK$5/1000</f>
        <v>4250.5533617296896</v>
      </c>
      <c r="AL58" s="2399">
        <v>3092</v>
      </c>
      <c r="AM58" s="2350">
        <f t="shared" si="69"/>
        <v>12620.419533688344</v>
      </c>
      <c r="AN58" s="2350">
        <f t="shared" si="70"/>
        <v>8376</v>
      </c>
      <c r="AO58" s="2349">
        <f t="shared" si="86"/>
        <v>32325.221583002909</v>
      </c>
      <c r="AP58" s="2349">
        <f t="shared" si="87"/>
        <v>26935.129999999997</v>
      </c>
      <c r="AQ58" s="2399">
        <f>+AQ75*AQ$5/1000</f>
        <v>4316.1736374800548</v>
      </c>
      <c r="AR58" s="2399">
        <v>3008</v>
      </c>
      <c r="AS58" s="2349">
        <f t="shared" si="88"/>
        <v>36641.395220482962</v>
      </c>
      <c r="AT58" s="2349">
        <f t="shared" si="89"/>
        <v>29943.129999999997</v>
      </c>
      <c r="AU58" s="2399">
        <f>+AU75*AU$5/1000</f>
        <v>3856.8317072275213</v>
      </c>
      <c r="AV58" s="2399">
        <v>2409</v>
      </c>
      <c r="AW58" s="2349">
        <f t="shared" si="90"/>
        <v>40498.226927710486</v>
      </c>
      <c r="AX58" s="2349">
        <f t="shared" si="91"/>
        <v>32352.129999999997</v>
      </c>
      <c r="AY58" s="2399">
        <f>+AY75*AY$5/1000</f>
        <v>4316.1736374800548</v>
      </c>
      <c r="AZ58" s="2399">
        <v>3289</v>
      </c>
      <c r="BA58" s="2350">
        <f t="shared" si="73"/>
        <v>12489.17898218763</v>
      </c>
      <c r="BB58" s="2350">
        <f t="shared" si="74"/>
        <v>8706</v>
      </c>
      <c r="BC58" s="2379">
        <f t="shared" ref="BC58:BD59" si="95">+BA58+AM58</f>
        <v>25109.598515875972</v>
      </c>
      <c r="BD58" s="2379">
        <f t="shared" si="95"/>
        <v>17082</v>
      </c>
      <c r="BE58" s="2349">
        <f t="shared" si="76"/>
        <v>44814.400565190539</v>
      </c>
      <c r="BF58" s="35">
        <f t="shared" si="77"/>
        <v>35641.129999999997</v>
      </c>
      <c r="BG58" s="2263"/>
      <c r="BH58" s="2263"/>
      <c r="BI58" s="3238"/>
      <c r="BJ58" s="2263"/>
      <c r="BK58" s="3238"/>
      <c r="BL58" s="3238"/>
    </row>
    <row r="59" spans="1:64" ht="13.8" x14ac:dyDescent="0.25">
      <c r="B59" s="681" t="s">
        <v>1481</v>
      </c>
      <c r="C59" s="2589" t="s">
        <v>50</v>
      </c>
      <c r="D59" s="143">
        <f>+D76*D$5/1000</f>
        <v>0</v>
      </c>
      <c r="E59" s="2399">
        <f>+E76*E$5/1000</f>
        <v>0</v>
      </c>
      <c r="F59" s="2399"/>
      <c r="G59" s="2399">
        <f>+G76*G$5/1000</f>
        <v>0</v>
      </c>
      <c r="H59" s="2399"/>
      <c r="I59" s="2349">
        <f t="shared" si="63"/>
        <v>0</v>
      </c>
      <c r="J59" s="35">
        <f t="shared" si="64"/>
        <v>0</v>
      </c>
      <c r="K59" s="2399">
        <f>+K76*K$5/1000</f>
        <v>0</v>
      </c>
      <c r="L59" s="2399">
        <v>0</v>
      </c>
      <c r="M59" s="2350">
        <f t="shared" si="65"/>
        <v>0</v>
      </c>
      <c r="N59" s="2350">
        <f t="shared" si="66"/>
        <v>0</v>
      </c>
      <c r="O59" s="2399">
        <f>+O76*O$5/1000</f>
        <v>0</v>
      </c>
      <c r="P59" s="2399">
        <v>0</v>
      </c>
      <c r="Q59" s="2349">
        <f t="shared" si="78"/>
        <v>0</v>
      </c>
      <c r="R59" s="2349">
        <f t="shared" si="79"/>
        <v>0</v>
      </c>
      <c r="S59" s="2399">
        <f>+S76*S$5/1000</f>
        <v>0</v>
      </c>
      <c r="T59" s="2399">
        <v>0</v>
      </c>
      <c r="U59" s="2349">
        <f t="shared" si="80"/>
        <v>0</v>
      </c>
      <c r="V59" s="2349">
        <f t="shared" si="81"/>
        <v>0</v>
      </c>
      <c r="W59" s="2399">
        <f>+W76*W$5/1000</f>
        <v>0</v>
      </c>
      <c r="X59" s="2399">
        <v>0</v>
      </c>
      <c r="Y59" s="2350">
        <f t="shared" si="67"/>
        <v>0</v>
      </c>
      <c r="Z59" s="2350">
        <f t="shared" si="68"/>
        <v>0</v>
      </c>
      <c r="AA59" s="2379">
        <f t="shared" si="94"/>
        <v>0</v>
      </c>
      <c r="AB59" s="2379">
        <f t="shared" si="94"/>
        <v>0</v>
      </c>
      <c r="AC59" s="2399">
        <f>+AC76*AC$5/1000</f>
        <v>0</v>
      </c>
      <c r="AD59" s="2399">
        <v>0</v>
      </c>
      <c r="AE59" s="2349">
        <f t="shared" si="82"/>
        <v>0</v>
      </c>
      <c r="AF59" s="2349">
        <f t="shared" si="83"/>
        <v>0</v>
      </c>
      <c r="AG59" s="2399">
        <f>+AG76*AG$5/1000</f>
        <v>0</v>
      </c>
      <c r="AH59" s="2399">
        <v>0</v>
      </c>
      <c r="AI59" s="2349">
        <f t="shared" si="84"/>
        <v>0</v>
      </c>
      <c r="AJ59" s="2349">
        <f t="shared" si="85"/>
        <v>0</v>
      </c>
      <c r="AK59" s="2399">
        <f>+AK76*AK$5/1000</f>
        <v>0</v>
      </c>
      <c r="AL59" s="2399">
        <v>0</v>
      </c>
      <c r="AM59" s="2350">
        <f t="shared" si="69"/>
        <v>0</v>
      </c>
      <c r="AN59" s="2350">
        <f t="shared" si="70"/>
        <v>0</v>
      </c>
      <c r="AO59" s="2349">
        <f t="shared" si="86"/>
        <v>0</v>
      </c>
      <c r="AP59" s="2349">
        <f t="shared" si="87"/>
        <v>0</v>
      </c>
      <c r="AQ59" s="2399">
        <f>+AQ76*AQ$5/1000</f>
        <v>0</v>
      </c>
      <c r="AR59" s="2399">
        <v>0</v>
      </c>
      <c r="AS59" s="2349">
        <f t="shared" si="88"/>
        <v>0</v>
      </c>
      <c r="AT59" s="2349">
        <f t="shared" si="89"/>
        <v>0</v>
      </c>
      <c r="AU59" s="2399">
        <f>+AU76*AU$5/1000</f>
        <v>0</v>
      </c>
      <c r="AV59" s="2399">
        <v>0</v>
      </c>
      <c r="AW59" s="2349">
        <f t="shared" si="90"/>
        <v>0</v>
      </c>
      <c r="AX59" s="2349">
        <f t="shared" si="91"/>
        <v>0</v>
      </c>
      <c r="AY59" s="2399">
        <f>+AY76*AY$5/1000</f>
        <v>0</v>
      </c>
      <c r="AZ59" s="2399">
        <v>0</v>
      </c>
      <c r="BA59" s="2350">
        <f t="shared" si="73"/>
        <v>0</v>
      </c>
      <c r="BB59" s="2350">
        <f t="shared" si="74"/>
        <v>0</v>
      </c>
      <c r="BC59" s="2379">
        <f t="shared" si="95"/>
        <v>0</v>
      </c>
      <c r="BD59" s="2379">
        <f t="shared" si="95"/>
        <v>0</v>
      </c>
      <c r="BE59" s="2349">
        <f t="shared" si="76"/>
        <v>0</v>
      </c>
      <c r="BF59" s="35">
        <f t="shared" si="77"/>
        <v>0</v>
      </c>
      <c r="BG59" s="2263"/>
      <c r="BH59" s="2263"/>
      <c r="BI59" s="3238"/>
      <c r="BJ59" s="2263"/>
      <c r="BK59" s="3238"/>
      <c r="BL59" s="3238"/>
    </row>
    <row r="60" spans="1:64" ht="13.8" x14ac:dyDescent="0.25">
      <c r="A60" s="2960"/>
      <c r="B60" s="682" t="s">
        <v>1482</v>
      </c>
      <c r="C60" s="3036" t="s">
        <v>50</v>
      </c>
      <c r="D60" s="1225">
        <f>SUM(D58:D59)</f>
        <v>39108.92926621464</v>
      </c>
      <c r="E60" s="3001">
        <f>SUM(E58:E59)</f>
        <v>2688.5591705301626</v>
      </c>
      <c r="F60" s="3001">
        <f>+F58+F59</f>
        <v>2872</v>
      </c>
      <c r="G60" s="3001">
        <f>SUM(G58:G59)</f>
        <v>2372.2580916442607</v>
      </c>
      <c r="H60" s="3001">
        <f>+H58+H59</f>
        <v>1223</v>
      </c>
      <c r="I60" s="2349">
        <f t="shared" si="63"/>
        <v>5060.8172621744234</v>
      </c>
      <c r="J60" s="35">
        <f t="shared" si="64"/>
        <v>4095</v>
      </c>
      <c r="K60" s="3001">
        <f>SUM(K58:K59)</f>
        <v>4119.3128102289647</v>
      </c>
      <c r="L60" s="3001">
        <f>+L58+L59</f>
        <v>3768</v>
      </c>
      <c r="M60" s="3000">
        <f t="shared" si="65"/>
        <v>9180.1300724033881</v>
      </c>
      <c r="N60" s="3000">
        <f t="shared" si="66"/>
        <v>7863</v>
      </c>
      <c r="O60" s="3001">
        <f>SUM(O58:O59)</f>
        <v>4168.5280170417409</v>
      </c>
      <c r="P60" s="3001">
        <f>+P58+P59</f>
        <v>4098</v>
      </c>
      <c r="Q60" s="2349">
        <f t="shared" si="78"/>
        <v>13348.658089445129</v>
      </c>
      <c r="R60" s="2349">
        <f t="shared" si="79"/>
        <v>11961</v>
      </c>
      <c r="S60" s="3001">
        <f>SUM(S58:S59)</f>
        <v>4168.5280170417409</v>
      </c>
      <c r="T60" s="3001">
        <f>+T58+T59</f>
        <v>3587.02</v>
      </c>
      <c r="U60" s="2349">
        <f t="shared" si="80"/>
        <v>17517.186106486872</v>
      </c>
      <c r="V60" s="2349">
        <f t="shared" si="81"/>
        <v>15548.02</v>
      </c>
      <c r="W60" s="3001">
        <f>SUM(W58:W59)</f>
        <v>2187.6159428276978</v>
      </c>
      <c r="X60" s="3001">
        <f>+X58+X59</f>
        <v>3011.1099999999997</v>
      </c>
      <c r="Y60" s="3000">
        <f t="shared" si="67"/>
        <v>10524.671976911181</v>
      </c>
      <c r="Z60" s="3000">
        <f t="shared" si="68"/>
        <v>10696.13</v>
      </c>
      <c r="AA60" s="2367">
        <f t="shared" si="94"/>
        <v>19704.802049314567</v>
      </c>
      <c r="AB60" s="2367">
        <f t="shared" si="94"/>
        <v>18559.129999999997</v>
      </c>
      <c r="AC60" s="3001">
        <f>SUM(AC58:AC59)</f>
        <v>4250.5533617296896</v>
      </c>
      <c r="AD60" s="3001">
        <f>+AD58+AD59</f>
        <v>2470</v>
      </c>
      <c r="AE60" s="2349">
        <f t="shared" si="82"/>
        <v>23955.355411044256</v>
      </c>
      <c r="AF60" s="2349">
        <f t="shared" si="83"/>
        <v>21029.129999999997</v>
      </c>
      <c r="AG60" s="3001">
        <f>SUM(AG58:AG59)</f>
        <v>4119.3128102289647</v>
      </c>
      <c r="AH60" s="3001">
        <f>+AH58+AH59</f>
        <v>2814</v>
      </c>
      <c r="AI60" s="2349">
        <f t="shared" si="84"/>
        <v>28074.668221273219</v>
      </c>
      <c r="AJ60" s="2349">
        <f t="shared" si="85"/>
        <v>23843.129999999997</v>
      </c>
      <c r="AK60" s="3001">
        <f>SUM(AK58:AK59)</f>
        <v>4250.5533617296896</v>
      </c>
      <c r="AL60" s="3001">
        <f>+AL58+AL59</f>
        <v>3092</v>
      </c>
      <c r="AM60" s="3000">
        <f t="shared" si="69"/>
        <v>12620.419533688344</v>
      </c>
      <c r="AN60" s="3000">
        <f t="shared" si="70"/>
        <v>8376</v>
      </c>
      <c r="AO60" s="2349">
        <f t="shared" si="86"/>
        <v>32325.221583002909</v>
      </c>
      <c r="AP60" s="2349">
        <f t="shared" si="87"/>
        <v>26935.129999999997</v>
      </c>
      <c r="AQ60" s="3001">
        <f>SUM(AQ58:AQ59)</f>
        <v>4316.1736374800548</v>
      </c>
      <c r="AR60" s="3001">
        <f t="shared" ref="AR60" si="96">+AR58+AR59</f>
        <v>3008</v>
      </c>
      <c r="AS60" s="2349">
        <f t="shared" si="88"/>
        <v>36641.395220482962</v>
      </c>
      <c r="AT60" s="2349">
        <f t="shared" si="89"/>
        <v>29943.129999999997</v>
      </c>
      <c r="AU60" s="3001">
        <f>SUM(AU58:AU59)</f>
        <v>3856.8317072275213</v>
      </c>
      <c r="AV60" s="3001">
        <f t="shared" ref="AV60" si="97">+AV58+AV59</f>
        <v>2409</v>
      </c>
      <c r="AW60" s="2349">
        <f t="shared" si="90"/>
        <v>40498.226927710486</v>
      </c>
      <c r="AX60" s="2349">
        <f t="shared" si="91"/>
        <v>32352.129999999997</v>
      </c>
      <c r="AY60" s="3001">
        <f>SUM(AY58:AY59)</f>
        <v>4316.1736374800548</v>
      </c>
      <c r="AZ60" s="3001">
        <f t="shared" ref="AZ60" si="98">+AZ58+AZ59</f>
        <v>3289</v>
      </c>
      <c r="BA60" s="3000">
        <f t="shared" si="73"/>
        <v>12489.17898218763</v>
      </c>
      <c r="BB60" s="3000">
        <f t="shared" si="74"/>
        <v>8706</v>
      </c>
      <c r="BC60" s="2367">
        <f>+BA60+AM60</f>
        <v>25109.598515875972</v>
      </c>
      <c r="BD60" s="2367">
        <f>+BB60+AN60</f>
        <v>17082</v>
      </c>
      <c r="BE60" s="2349">
        <f t="shared" si="76"/>
        <v>44814.400565190539</v>
      </c>
      <c r="BF60" s="35">
        <f t="shared" si="77"/>
        <v>35641.129999999997</v>
      </c>
      <c r="BG60" s="2263"/>
      <c r="BH60" s="2263"/>
      <c r="BI60" s="3238"/>
      <c r="BJ60" s="2263"/>
      <c r="BK60" s="3238"/>
      <c r="BL60" s="3238"/>
    </row>
    <row r="61" spans="1:64" ht="13.8" x14ac:dyDescent="0.25">
      <c r="A61" s="2960"/>
      <c r="B61" s="682" t="s">
        <v>85</v>
      </c>
      <c r="C61" s="3036" t="s">
        <v>50</v>
      </c>
      <c r="D61" s="1225">
        <f>+D78*D$5/1000</f>
        <v>6016.890625934102</v>
      </c>
      <c r="E61" s="3001">
        <f>+E78*E$5/1000</f>
        <v>413.63358122941139</v>
      </c>
      <c r="F61" s="3001">
        <v>482</v>
      </c>
      <c r="G61" s="3001">
        <f>+G78*G$5/1000</f>
        <v>364.97080696712766</v>
      </c>
      <c r="H61" s="3001">
        <v>243</v>
      </c>
      <c r="I61" s="2349">
        <f t="shared" si="63"/>
        <v>778.60438819653905</v>
      </c>
      <c r="J61" s="35">
        <f t="shared" si="64"/>
        <v>725</v>
      </c>
      <c r="K61" s="3001">
        <f>+K78*K$5/1000</f>
        <v>513.81027630056133</v>
      </c>
      <c r="L61" s="3001">
        <v>526.21</v>
      </c>
      <c r="M61" s="3000">
        <f t="shared" si="65"/>
        <v>1292.4146644971004</v>
      </c>
      <c r="N61" s="3000">
        <f t="shared" si="66"/>
        <v>1251.21</v>
      </c>
      <c r="O61" s="3001">
        <f>+O78*O$5/1000</f>
        <v>519.94898927906331</v>
      </c>
      <c r="P61" s="3001">
        <v>485.89400000000001</v>
      </c>
      <c r="Q61" s="2349">
        <f t="shared" si="78"/>
        <v>1812.3636537761636</v>
      </c>
      <c r="R61" s="2349">
        <f t="shared" si="79"/>
        <v>1737.104</v>
      </c>
      <c r="S61" s="3001">
        <f>+S78*S$5/1000</f>
        <v>519.94898927906331</v>
      </c>
      <c r="T61" s="3001">
        <v>516</v>
      </c>
      <c r="U61" s="2349">
        <f t="shared" si="80"/>
        <v>2332.312643055227</v>
      </c>
      <c r="V61" s="2349">
        <f t="shared" si="81"/>
        <v>2253.1040000000003</v>
      </c>
      <c r="W61" s="3001">
        <f>+W78*W$5/1000</f>
        <v>272.86579189438544</v>
      </c>
      <c r="X61" s="3001">
        <v>481</v>
      </c>
      <c r="Y61" s="3000">
        <f t="shared" si="67"/>
        <v>1312.7637704525121</v>
      </c>
      <c r="Z61" s="3000">
        <f t="shared" si="68"/>
        <v>1482.894</v>
      </c>
      <c r="AA61" s="2367">
        <f t="shared" si="94"/>
        <v>2605.1784349496124</v>
      </c>
      <c r="AB61" s="2367">
        <f t="shared" si="94"/>
        <v>2734.1040000000003</v>
      </c>
      <c r="AC61" s="3001">
        <f>+AC78*AC$5/1000</f>
        <v>530.18017757656514</v>
      </c>
      <c r="AD61" s="3001">
        <v>387</v>
      </c>
      <c r="AE61" s="2349">
        <f t="shared" si="82"/>
        <v>3135.3586125261777</v>
      </c>
      <c r="AF61" s="2349">
        <f t="shared" si="83"/>
        <v>3121.1040000000003</v>
      </c>
      <c r="AG61" s="3001">
        <f>+AG78*AG$5/1000</f>
        <v>513.81027630056133</v>
      </c>
      <c r="AH61" s="3001">
        <v>503</v>
      </c>
      <c r="AI61" s="2349">
        <f t="shared" si="84"/>
        <v>3649.168888826739</v>
      </c>
      <c r="AJ61" s="2349">
        <f t="shared" si="85"/>
        <v>3624.1040000000003</v>
      </c>
      <c r="AK61" s="3001">
        <f>+AK78*AK$5/1000</f>
        <v>530.18017757656514</v>
      </c>
      <c r="AL61" s="3001">
        <v>537</v>
      </c>
      <c r="AM61" s="3000">
        <f t="shared" si="69"/>
        <v>1574.1706314536918</v>
      </c>
      <c r="AN61" s="3000">
        <f t="shared" si="70"/>
        <v>1427</v>
      </c>
      <c r="AO61" s="2349">
        <f t="shared" si="86"/>
        <v>4179.3490664033043</v>
      </c>
      <c r="AP61" s="2349">
        <f t="shared" si="87"/>
        <v>4161.1040000000003</v>
      </c>
      <c r="AQ61" s="3001">
        <f>+AQ78*AQ$5/1000</f>
        <v>538.36512821456722</v>
      </c>
      <c r="AR61" s="3001">
        <v>559</v>
      </c>
      <c r="AS61" s="2349">
        <f t="shared" si="88"/>
        <v>4717.7141946178717</v>
      </c>
      <c r="AT61" s="2349">
        <f t="shared" si="89"/>
        <v>4720.1040000000003</v>
      </c>
      <c r="AU61" s="3001">
        <f>+AU78*AU$5/1000</f>
        <v>481.07047374855478</v>
      </c>
      <c r="AV61" s="3001">
        <v>418</v>
      </c>
      <c r="AW61" s="2349">
        <f t="shared" si="90"/>
        <v>5198.7846683664266</v>
      </c>
      <c r="AX61" s="2349">
        <f t="shared" si="91"/>
        <v>5138.1040000000003</v>
      </c>
      <c r="AY61" s="3001">
        <f>+AY78*AY$5/1000</f>
        <v>538.36512821456722</v>
      </c>
      <c r="AZ61" s="3001">
        <v>487</v>
      </c>
      <c r="BA61" s="3000">
        <f t="shared" si="73"/>
        <v>1557.8007301776893</v>
      </c>
      <c r="BB61" s="3000">
        <f t="shared" si="74"/>
        <v>1464</v>
      </c>
      <c r="BC61" s="2367">
        <f t="shared" ref="BC61:BC70" si="99">+BA61+AM61</f>
        <v>3131.9713616313811</v>
      </c>
      <c r="BD61" s="2367">
        <f t="shared" ref="BD61:BD70" si="100">+BB61+AN61</f>
        <v>2891</v>
      </c>
      <c r="BE61" s="2349">
        <f t="shared" si="76"/>
        <v>5737.149796580994</v>
      </c>
      <c r="BF61" s="35">
        <f t="shared" si="77"/>
        <v>5625.1040000000003</v>
      </c>
      <c r="BG61" s="2263"/>
      <c r="BH61" s="2263"/>
      <c r="BI61" s="3238"/>
      <c r="BJ61" s="2263"/>
      <c r="BK61" s="3238"/>
      <c r="BL61" s="3238"/>
    </row>
    <row r="62" spans="1:64" ht="13.8" x14ac:dyDescent="0.25">
      <c r="A62" s="2960"/>
      <c r="B62" s="3037" t="str">
        <f>+'Maj Techno Summ'!B19</f>
        <v>Ferro Alloys (FeMn+LCFeMn+SiMn+FeSi)</v>
      </c>
      <c r="C62" s="3036" t="s">
        <v>50</v>
      </c>
      <c r="D62" s="1225">
        <f>+D57+D60+D61</f>
        <v>50839.556900551899</v>
      </c>
      <c r="E62" s="3001">
        <f>+E57+E60+E61</f>
        <v>3494.9859148598111</v>
      </c>
      <c r="F62" s="3001">
        <f>+F57+F60+F61</f>
        <v>3903</v>
      </c>
      <c r="G62" s="3001">
        <f>+G57+G60+G61</f>
        <v>3083.811101346892</v>
      </c>
      <c r="H62" s="3001">
        <f>+H57+H60+H61</f>
        <v>1669</v>
      </c>
      <c r="I62" s="2349">
        <f t="shared" si="63"/>
        <v>6578.7970162067031</v>
      </c>
      <c r="J62" s="35">
        <f t="shared" si="64"/>
        <v>5572</v>
      </c>
      <c r="K62" s="3001">
        <f>+K57+K60+K61</f>
        <v>5220.5306320971467</v>
      </c>
      <c r="L62" s="3001">
        <f>+L57+L60+L61</f>
        <v>4804.21</v>
      </c>
      <c r="M62" s="3000">
        <f t="shared" si="65"/>
        <v>11799.32764830385</v>
      </c>
      <c r="N62" s="3000">
        <f t="shared" si="66"/>
        <v>10376.209999999999</v>
      </c>
      <c r="O62" s="3001">
        <f>+O57+O60+O61</f>
        <v>5282.9025631855302</v>
      </c>
      <c r="P62" s="3001">
        <f>+P57+P60+P61</f>
        <v>5103.8940000000002</v>
      </c>
      <c r="Q62" s="2349">
        <f t="shared" si="78"/>
        <v>17082.230211489379</v>
      </c>
      <c r="R62" s="2349">
        <f t="shared" si="79"/>
        <v>15480.103999999999</v>
      </c>
      <c r="S62" s="3001">
        <f>+S57+S60+S61</f>
        <v>5282.9025631855302</v>
      </c>
      <c r="T62" s="3001">
        <f>+T57+T60+T61</f>
        <v>4534.0200000000004</v>
      </c>
      <c r="U62" s="2349">
        <f t="shared" si="80"/>
        <v>22365.132774674908</v>
      </c>
      <c r="V62" s="2349">
        <f t="shared" si="81"/>
        <v>20014.124</v>
      </c>
      <c r="W62" s="3001">
        <f>+W57+W60+W61</f>
        <v>2772.4323368783662</v>
      </c>
      <c r="X62" s="3001">
        <f>+X57+X60+X61</f>
        <v>3914.1099999999997</v>
      </c>
      <c r="Y62" s="3000">
        <f t="shared" si="67"/>
        <v>13338.237463249427</v>
      </c>
      <c r="Z62" s="3000">
        <f t="shared" si="68"/>
        <v>13552.024000000001</v>
      </c>
      <c r="AA62" s="2367">
        <f t="shared" si="94"/>
        <v>25137.565111553275</v>
      </c>
      <c r="AB62" s="2367">
        <f t="shared" si="94"/>
        <v>23928.234</v>
      </c>
      <c r="AC62" s="3001">
        <f>+AC57+AC60+AC61</f>
        <v>5386.8557816661541</v>
      </c>
      <c r="AD62" s="3001">
        <f>+AD57+AD60+AD61</f>
        <v>3202</v>
      </c>
      <c r="AE62" s="2349">
        <f t="shared" si="82"/>
        <v>30524.420893219431</v>
      </c>
      <c r="AF62" s="2349">
        <f t="shared" si="83"/>
        <v>27130.234</v>
      </c>
      <c r="AG62" s="3001">
        <f>+AG57+AG60+AG61</f>
        <v>5220.5306320971467</v>
      </c>
      <c r="AH62" s="3001">
        <f>+AH57+AH60+AH61</f>
        <v>3719</v>
      </c>
      <c r="AI62" s="2349">
        <f t="shared" si="84"/>
        <v>35744.951525316574</v>
      </c>
      <c r="AJ62" s="2349">
        <f t="shared" si="85"/>
        <v>30849.234</v>
      </c>
      <c r="AK62" s="3001">
        <f>+AK57+AK60+AK61</f>
        <v>5386.8557816661541</v>
      </c>
      <c r="AL62" s="3001">
        <f>+AL57+AL60+AL61</f>
        <v>4100.53</v>
      </c>
      <c r="AM62" s="3000">
        <f t="shared" si="69"/>
        <v>15994.242195429455</v>
      </c>
      <c r="AN62" s="3000">
        <f t="shared" si="70"/>
        <v>11021.529999999999</v>
      </c>
      <c r="AO62" s="2349">
        <f t="shared" si="86"/>
        <v>41131.80730698273</v>
      </c>
      <c r="AP62" s="2349">
        <f t="shared" si="87"/>
        <v>34949.764000000003</v>
      </c>
      <c r="AQ62" s="3001">
        <f>+AQ57+AQ60+AQ61</f>
        <v>5470.0183564506606</v>
      </c>
      <c r="AR62" s="3001">
        <f>+AR57+AR60+AR61</f>
        <v>3922.8</v>
      </c>
      <c r="AS62" s="2349">
        <f t="shared" si="88"/>
        <v>46601.825663433388</v>
      </c>
      <c r="AT62" s="2349">
        <f t="shared" si="89"/>
        <v>38872.564000000006</v>
      </c>
      <c r="AU62" s="3001">
        <f>+AU57+AU60+AU61</f>
        <v>4887.8803329591419</v>
      </c>
      <c r="AV62" s="3001">
        <f>+AV57+AV60+AV61</f>
        <v>3105.7139999999999</v>
      </c>
      <c r="AW62" s="2349">
        <f t="shared" si="90"/>
        <v>51489.705996392528</v>
      </c>
      <c r="AX62" s="2349">
        <f t="shared" si="91"/>
        <v>41978.278000000006</v>
      </c>
      <c r="AY62" s="3001">
        <f>+AY57+AY60+AY61</f>
        <v>5470.0183564506606</v>
      </c>
      <c r="AZ62" s="3001">
        <f>+AZ57+AZ60+AZ61</f>
        <v>4319</v>
      </c>
      <c r="BA62" s="3000">
        <f t="shared" si="73"/>
        <v>15827.917045860462</v>
      </c>
      <c r="BB62" s="3000">
        <f t="shared" si="74"/>
        <v>11347.513999999999</v>
      </c>
      <c r="BC62" s="2367">
        <f t="shared" si="99"/>
        <v>31822.159241289919</v>
      </c>
      <c r="BD62" s="2367">
        <f t="shared" si="100"/>
        <v>22369.043999999998</v>
      </c>
      <c r="BE62" s="2349">
        <f t="shared" si="76"/>
        <v>56959.724352843186</v>
      </c>
      <c r="BF62" s="35">
        <f t="shared" si="77"/>
        <v>46297.278000000006</v>
      </c>
      <c r="BG62" s="2263"/>
      <c r="BH62" s="2263"/>
      <c r="BI62" s="3238"/>
      <c r="BJ62" s="2263"/>
      <c r="BK62" s="3238"/>
      <c r="BL62" s="3238"/>
    </row>
    <row r="63" spans="1:64" ht="13.8" x14ac:dyDescent="0.25">
      <c r="B63" s="681" t="s">
        <v>86</v>
      </c>
      <c r="C63" s="2589" t="s">
        <v>50</v>
      </c>
      <c r="D63" s="143">
        <f t="shared" ref="D63:E70" si="101">+D80*D$5/1000</f>
        <v>3138.4520637042465</v>
      </c>
      <c r="E63" s="2399">
        <f t="shared" si="101"/>
        <v>215.75415731032805</v>
      </c>
      <c r="F63" s="2399">
        <v>261.5</v>
      </c>
      <c r="G63" s="2583">
        <f t="shared" ref="G63" si="102">+G80*G$5/1000</f>
        <v>190.37131527381885</v>
      </c>
      <c r="H63" s="2399">
        <v>133.5</v>
      </c>
      <c r="I63" s="2349">
        <f t="shared" si="63"/>
        <v>406.12547258414691</v>
      </c>
      <c r="J63" s="101">
        <f t="shared" si="64"/>
        <v>395</v>
      </c>
      <c r="K63" s="2399">
        <f t="shared" ref="K63:K70" si="103">+K80*K$5/1000</f>
        <v>473.08283286118927</v>
      </c>
      <c r="L63" s="2399">
        <v>254.5</v>
      </c>
      <c r="M63" s="2350">
        <f t="shared" si="65"/>
        <v>879.20830544533624</v>
      </c>
      <c r="N63" s="2350">
        <f t="shared" si="66"/>
        <v>649.5</v>
      </c>
      <c r="O63" s="2399">
        <f t="shared" ref="O63:O70" si="104">+O80*O$5/1000</f>
        <v>478.73495750708219</v>
      </c>
      <c r="P63" s="2399">
        <v>257</v>
      </c>
      <c r="Q63" s="2349">
        <f t="shared" ref="Q63:Q70" si="105">+M63+O63</f>
        <v>1357.9432629524185</v>
      </c>
      <c r="R63" s="2349">
        <f t="shared" ref="R63:R70" si="106">+N63+P63</f>
        <v>906.5</v>
      </c>
      <c r="S63" s="2399">
        <f t="shared" ref="S63:S70" si="107">+S80*S$5/1000</f>
        <v>478.73495750708219</v>
      </c>
      <c r="T63" s="2399">
        <v>267</v>
      </c>
      <c r="U63" s="2349">
        <f t="shared" si="80"/>
        <v>1836.6782204595006</v>
      </c>
      <c r="V63" s="2349">
        <f t="shared" si="81"/>
        <v>1173.5</v>
      </c>
      <c r="W63" s="2399">
        <f t="shared" ref="W63:W70" si="108">+W80*W$5/1000</f>
        <v>251.23694050991594</v>
      </c>
      <c r="X63" s="2399">
        <v>295.5</v>
      </c>
      <c r="Y63" s="2350">
        <f t="shared" si="67"/>
        <v>1208.7068555240803</v>
      </c>
      <c r="Z63" s="2350">
        <f t="shared" si="68"/>
        <v>819.5</v>
      </c>
      <c r="AA63" s="2379">
        <f t="shared" si="94"/>
        <v>2087.9151609694163</v>
      </c>
      <c r="AB63" s="2379">
        <f t="shared" si="94"/>
        <v>1469</v>
      </c>
      <c r="AC63" s="2399">
        <f t="shared" ref="AC63:AC70" si="109">+AC80*AC$5/1000</f>
        <v>488.15516525023583</v>
      </c>
      <c r="AD63" s="2399">
        <v>209.5</v>
      </c>
      <c r="AE63" s="2349">
        <f t="shared" si="82"/>
        <v>2576.0703262196521</v>
      </c>
      <c r="AF63" s="2349">
        <f t="shared" si="83"/>
        <v>1678.5</v>
      </c>
      <c r="AG63" s="2399">
        <f t="shared" ref="AG63:AG70" si="110">+AG80*AG$5/1000</f>
        <v>473.08283286118927</v>
      </c>
      <c r="AH63" s="2399">
        <v>275</v>
      </c>
      <c r="AI63" s="2349">
        <f t="shared" si="84"/>
        <v>3049.1531590808413</v>
      </c>
      <c r="AJ63" s="2349">
        <f t="shared" si="85"/>
        <v>1953.5</v>
      </c>
      <c r="AK63" s="2399">
        <f t="shared" ref="AK63:AK70" si="111">+AK80*AK$5/1000</f>
        <v>488.15516525023583</v>
      </c>
      <c r="AL63" s="2399">
        <v>257.5</v>
      </c>
      <c r="AM63" s="2350">
        <f t="shared" si="69"/>
        <v>1449.393163361661</v>
      </c>
      <c r="AN63" s="2350">
        <f t="shared" si="70"/>
        <v>742</v>
      </c>
      <c r="AO63" s="2349">
        <f t="shared" si="86"/>
        <v>3537.3083243310771</v>
      </c>
      <c r="AP63" s="2349">
        <f t="shared" si="87"/>
        <v>2211</v>
      </c>
      <c r="AQ63" s="2399">
        <f t="shared" ref="AQ63:AQ70" si="112">+AQ80*AQ$5/1000</f>
        <v>495.69133144475921</v>
      </c>
      <c r="AR63" s="2399">
        <v>286.5</v>
      </c>
      <c r="AS63" s="2349">
        <f t="shared" si="88"/>
        <v>4032.9996557758363</v>
      </c>
      <c r="AT63" s="2349">
        <f t="shared" si="89"/>
        <v>2497.5</v>
      </c>
      <c r="AU63" s="2399">
        <f t="shared" ref="AU63:AU70" si="113">+AU80*AU$5/1000</f>
        <v>442.93816808309725</v>
      </c>
      <c r="AV63" s="2399">
        <v>238</v>
      </c>
      <c r="AW63" s="2349">
        <f t="shared" si="90"/>
        <v>4475.9378238589334</v>
      </c>
      <c r="AX63" s="2349">
        <f t="shared" si="91"/>
        <v>2735.5</v>
      </c>
      <c r="AY63" s="2399">
        <f t="shared" ref="AY63:AY70" si="114">+AY80*AY$5/1000</f>
        <v>495.69133144475921</v>
      </c>
      <c r="AZ63" s="2399">
        <v>280</v>
      </c>
      <c r="BA63" s="2350">
        <f t="shared" si="73"/>
        <v>1434.3208309726158</v>
      </c>
      <c r="BB63" s="2350">
        <f t="shared" si="74"/>
        <v>804.5</v>
      </c>
      <c r="BC63" s="2379">
        <f t="shared" si="99"/>
        <v>2883.7139943342768</v>
      </c>
      <c r="BD63" s="2379">
        <f t="shared" si="100"/>
        <v>1546.5</v>
      </c>
      <c r="BE63" s="2349">
        <f t="shared" si="76"/>
        <v>4971.6291553036926</v>
      </c>
      <c r="BF63" s="35">
        <f t="shared" si="77"/>
        <v>3015.5</v>
      </c>
      <c r="BG63" s="2263"/>
      <c r="BH63" s="2263"/>
      <c r="BI63" s="3238"/>
      <c r="BJ63" s="2263"/>
      <c r="BK63" s="3238"/>
      <c r="BL63" s="3238"/>
    </row>
    <row r="64" spans="1:64" ht="13.8" x14ac:dyDescent="0.25">
      <c r="B64" s="681" t="s">
        <v>806</v>
      </c>
      <c r="C64" s="2589" t="s">
        <v>50</v>
      </c>
      <c r="D64" s="1023">
        <f t="shared" si="101"/>
        <v>1855.1732536949696</v>
      </c>
      <c r="E64" s="2399">
        <f t="shared" si="101"/>
        <v>127.53463614900585</v>
      </c>
      <c r="F64" s="2399">
        <v>121.535</v>
      </c>
      <c r="G64" s="2399">
        <f t="shared" ref="G64" si="115">+G81*G$5/1000</f>
        <v>112.53056130794633</v>
      </c>
      <c r="H64" s="2399">
        <v>51.280999999999999</v>
      </c>
      <c r="I64" s="2349">
        <f t="shared" si="63"/>
        <v>240.06519745695218</v>
      </c>
      <c r="J64" s="35">
        <f t="shared" si="64"/>
        <v>172.816</v>
      </c>
      <c r="K64" s="2399">
        <f t="shared" si="103"/>
        <v>159.41974789828058</v>
      </c>
      <c r="L64" s="2399">
        <v>143.19</v>
      </c>
      <c r="M64" s="2350">
        <f t="shared" si="65"/>
        <v>399.48494535523275</v>
      </c>
      <c r="N64" s="2350">
        <f t="shared" si="66"/>
        <v>316.00599999999997</v>
      </c>
      <c r="O64" s="2399">
        <f t="shared" si="104"/>
        <v>161.3244043845207</v>
      </c>
      <c r="P64" s="2399">
        <v>136.78199999999998</v>
      </c>
      <c r="Q64" s="2349">
        <f t="shared" si="105"/>
        <v>560.80934973975343</v>
      </c>
      <c r="R64" s="2349">
        <f t="shared" si="106"/>
        <v>452.78799999999995</v>
      </c>
      <c r="S64" s="2399">
        <f t="shared" si="107"/>
        <v>161.3244043845207</v>
      </c>
      <c r="T64" s="2399">
        <v>140.16299999999998</v>
      </c>
      <c r="U64" s="2349">
        <f t="shared" si="80"/>
        <v>722.13375412427411</v>
      </c>
      <c r="V64" s="2349">
        <f t="shared" si="81"/>
        <v>592.95099999999991</v>
      </c>
      <c r="W64" s="2399">
        <f t="shared" si="108"/>
        <v>84.661980813364451</v>
      </c>
      <c r="X64" s="2399">
        <v>121.396</v>
      </c>
      <c r="Y64" s="2350">
        <f t="shared" si="67"/>
        <v>407.31078958240585</v>
      </c>
      <c r="Z64" s="2350">
        <f t="shared" si="68"/>
        <v>398.34099999999995</v>
      </c>
      <c r="AA64" s="2379">
        <f t="shared" si="94"/>
        <v>806.7957349376386</v>
      </c>
      <c r="AB64" s="2379">
        <f t="shared" si="94"/>
        <v>714.34699999999998</v>
      </c>
      <c r="AC64" s="2399">
        <f t="shared" si="109"/>
        <v>164.49883186158709</v>
      </c>
      <c r="AD64" s="2399">
        <v>113.938</v>
      </c>
      <c r="AE64" s="2349">
        <f t="shared" si="82"/>
        <v>971.29456679922566</v>
      </c>
      <c r="AF64" s="2349">
        <f t="shared" si="83"/>
        <v>828.28499999999997</v>
      </c>
      <c r="AG64" s="2399">
        <f t="shared" si="110"/>
        <v>159.41974789828058</v>
      </c>
      <c r="AH64" s="2399">
        <v>117.123</v>
      </c>
      <c r="AI64" s="2349">
        <f t="shared" si="84"/>
        <v>1130.7143146975063</v>
      </c>
      <c r="AJ64" s="2349">
        <f t="shared" si="85"/>
        <v>945.40800000000002</v>
      </c>
      <c r="AK64" s="2399">
        <f t="shared" si="111"/>
        <v>164.49883186158709</v>
      </c>
      <c r="AL64" s="2399">
        <v>132.74</v>
      </c>
      <c r="AM64" s="2350">
        <f t="shared" si="69"/>
        <v>488.41741162145479</v>
      </c>
      <c r="AN64" s="2350">
        <f t="shared" si="70"/>
        <v>363.80099999999999</v>
      </c>
      <c r="AO64" s="2349">
        <f t="shared" si="86"/>
        <v>1295.2131465590935</v>
      </c>
      <c r="AP64" s="2349">
        <f t="shared" si="87"/>
        <v>1078.1480000000001</v>
      </c>
      <c r="AQ64" s="2399">
        <f t="shared" si="112"/>
        <v>167.03837384324041</v>
      </c>
      <c r="AR64" s="2399">
        <v>125.49199999999999</v>
      </c>
      <c r="AS64" s="2349">
        <f t="shared" si="88"/>
        <v>1462.2515204023339</v>
      </c>
      <c r="AT64" s="2349">
        <f t="shared" si="89"/>
        <v>1203.6400000000001</v>
      </c>
      <c r="AU64" s="2399">
        <f t="shared" si="113"/>
        <v>149.26157997166789</v>
      </c>
      <c r="AV64" s="2399">
        <v>110.79299999999999</v>
      </c>
      <c r="AW64" s="2349">
        <f t="shared" si="90"/>
        <v>1611.5131003740019</v>
      </c>
      <c r="AX64" s="2349">
        <f t="shared" si="91"/>
        <v>1314.433</v>
      </c>
      <c r="AY64" s="2399">
        <f t="shared" si="114"/>
        <v>167.03837384324041</v>
      </c>
      <c r="AZ64" s="2399">
        <v>150.929</v>
      </c>
      <c r="BA64" s="2350">
        <f t="shared" si="73"/>
        <v>483.33832765814873</v>
      </c>
      <c r="BB64" s="2350">
        <f t="shared" si="74"/>
        <v>387.21399999999994</v>
      </c>
      <c r="BC64" s="2379">
        <f t="shared" si="99"/>
        <v>971.75573927960352</v>
      </c>
      <c r="BD64" s="2379">
        <f t="shared" si="100"/>
        <v>751.01499999999987</v>
      </c>
      <c r="BE64" s="2349">
        <f t="shared" si="76"/>
        <v>1778.5514742172422</v>
      </c>
      <c r="BF64" s="35">
        <f t="shared" si="77"/>
        <v>1465.3620000000001</v>
      </c>
      <c r="BG64" s="2263"/>
      <c r="BH64" s="2263"/>
      <c r="BI64" s="3238"/>
      <c r="BJ64" s="2263"/>
      <c r="BK64" s="3238"/>
      <c r="BL64" s="3238"/>
    </row>
    <row r="65" spans="1:69" ht="13.8" x14ac:dyDescent="0.25">
      <c r="B65" s="681" t="s">
        <v>128</v>
      </c>
      <c r="C65" s="2589" t="s">
        <v>50</v>
      </c>
      <c r="D65" s="1023">
        <f t="shared" si="101"/>
        <v>64802.824858757056</v>
      </c>
      <c r="E65" s="2399">
        <f t="shared" si="101"/>
        <v>4454.8964218455749</v>
      </c>
      <c r="F65" s="2399">
        <v>4912.96</v>
      </c>
      <c r="G65" s="2399">
        <f t="shared" ref="G65" si="116">+G82*G$5/1000</f>
        <v>3930.7909604519768</v>
      </c>
      <c r="H65" s="2399">
        <v>2047.6320000000001</v>
      </c>
      <c r="I65" s="2349">
        <f t="shared" si="63"/>
        <v>8385.6873822975522</v>
      </c>
      <c r="J65" s="2592">
        <f t="shared" si="64"/>
        <v>6960.5920000000006</v>
      </c>
      <c r="K65" s="2399">
        <f t="shared" si="103"/>
        <v>5690.6515580736477</v>
      </c>
      <c r="L65" s="2399">
        <v>5370.6959999999999</v>
      </c>
      <c r="M65" s="2350">
        <f t="shared" si="65"/>
        <v>14076.338940371199</v>
      </c>
      <c r="N65" s="2350">
        <f t="shared" si="66"/>
        <v>12331.288</v>
      </c>
      <c r="O65" s="2399">
        <f t="shared" si="104"/>
        <v>5758.640226628896</v>
      </c>
      <c r="P65" s="2399">
        <v>5399.335</v>
      </c>
      <c r="Q65" s="2349">
        <f t="shared" si="105"/>
        <v>19834.979167000096</v>
      </c>
      <c r="R65" s="2349">
        <f t="shared" si="106"/>
        <v>17730.623</v>
      </c>
      <c r="S65" s="2399">
        <f t="shared" si="107"/>
        <v>5758.640226628896</v>
      </c>
      <c r="T65" s="2399">
        <v>4868.924</v>
      </c>
      <c r="U65" s="2349">
        <f t="shared" si="80"/>
        <v>25593.619393628993</v>
      </c>
      <c r="V65" s="2349">
        <f t="shared" si="81"/>
        <v>22599.546999999999</v>
      </c>
      <c r="W65" s="2399">
        <f t="shared" si="108"/>
        <v>3022.0963172804641</v>
      </c>
      <c r="X65" s="2399">
        <v>4874.7340000000004</v>
      </c>
      <c r="Y65" s="2350">
        <f t="shared" si="67"/>
        <v>14539.376770538256</v>
      </c>
      <c r="Z65" s="2350">
        <f t="shared" si="68"/>
        <v>15142.992999999999</v>
      </c>
      <c r="AA65" s="2379">
        <f t="shared" si="94"/>
        <v>28615.715710909455</v>
      </c>
      <c r="AB65" s="2379">
        <f t="shared" si="94"/>
        <v>27474.280999999999</v>
      </c>
      <c r="AC65" s="2399">
        <f t="shared" si="109"/>
        <v>5871.9546742209595</v>
      </c>
      <c r="AD65" s="2399">
        <v>3683.8</v>
      </c>
      <c r="AE65" s="2349">
        <f t="shared" si="82"/>
        <v>34487.670385130412</v>
      </c>
      <c r="AF65" s="2349">
        <f t="shared" si="83"/>
        <v>31158.080999999998</v>
      </c>
      <c r="AG65" s="2399">
        <f t="shared" si="110"/>
        <v>5690.6515580736477</v>
      </c>
      <c r="AH65" s="2399">
        <v>3829.7159999999999</v>
      </c>
      <c r="AI65" s="2349">
        <f t="shared" si="84"/>
        <v>40178.321943204057</v>
      </c>
      <c r="AJ65" s="2349">
        <f t="shared" si="85"/>
        <v>34987.796999999999</v>
      </c>
      <c r="AK65" s="2399">
        <f t="shared" si="111"/>
        <v>5871.9546742209595</v>
      </c>
      <c r="AL65" s="2399">
        <v>0</v>
      </c>
      <c r="AM65" s="2350">
        <f t="shared" si="69"/>
        <v>17434.560906515566</v>
      </c>
      <c r="AN65" s="2350">
        <f t="shared" si="70"/>
        <v>7513.5159999999996</v>
      </c>
      <c r="AO65" s="2349">
        <f t="shared" si="86"/>
        <v>46050.276617425014</v>
      </c>
      <c r="AP65" s="2349">
        <f t="shared" si="87"/>
        <v>34987.796999999999</v>
      </c>
      <c r="AQ65" s="2399">
        <f t="shared" si="112"/>
        <v>5962.6062322946173</v>
      </c>
      <c r="AR65" s="2399">
        <v>2786.6930000000002</v>
      </c>
      <c r="AS65" s="2349">
        <f t="shared" si="88"/>
        <v>52012.88284971963</v>
      </c>
      <c r="AT65" s="2349">
        <f t="shared" si="89"/>
        <v>37774.49</v>
      </c>
      <c r="AU65" s="2399">
        <f t="shared" si="113"/>
        <v>5328.0453257790368</v>
      </c>
      <c r="AV65" s="2399">
        <v>4252.25</v>
      </c>
      <c r="AW65" s="2349">
        <f t="shared" si="90"/>
        <v>57340.928175498666</v>
      </c>
      <c r="AX65" s="2349">
        <f t="shared" si="91"/>
        <v>42026.74</v>
      </c>
      <c r="AY65" s="2399">
        <f t="shared" si="114"/>
        <v>5962.6062322946173</v>
      </c>
      <c r="AZ65" s="2399">
        <v>4804.491</v>
      </c>
      <c r="BA65" s="2350">
        <f t="shared" si="73"/>
        <v>17253.257790368272</v>
      </c>
      <c r="BB65" s="2350">
        <f t="shared" si="74"/>
        <v>11843.434000000001</v>
      </c>
      <c r="BC65" s="2379">
        <f t="shared" si="99"/>
        <v>34687.818696883842</v>
      </c>
      <c r="BD65" s="2379">
        <f t="shared" si="100"/>
        <v>19356.95</v>
      </c>
      <c r="BE65" s="2349">
        <f t="shared" si="76"/>
        <v>63303.534407793282</v>
      </c>
      <c r="BF65" s="35">
        <f t="shared" si="77"/>
        <v>46831.231</v>
      </c>
      <c r="BG65" s="2263"/>
      <c r="BH65" s="2263"/>
      <c r="BI65" s="3238"/>
      <c r="BJ65" s="2263"/>
      <c r="BK65" s="3238"/>
      <c r="BL65" s="3238"/>
    </row>
    <row r="66" spans="1:69" ht="13.8" x14ac:dyDescent="0.25">
      <c r="B66" s="681" t="s">
        <v>518</v>
      </c>
      <c r="C66" s="2589" t="s">
        <v>50</v>
      </c>
      <c r="D66" s="1023">
        <f t="shared" si="101"/>
        <v>0</v>
      </c>
      <c r="E66" s="2399">
        <f t="shared" si="101"/>
        <v>0</v>
      </c>
      <c r="F66" s="2399">
        <v>0</v>
      </c>
      <c r="G66" s="2399">
        <f t="shared" ref="G66" si="117">+G83*G$5/1000</f>
        <v>0</v>
      </c>
      <c r="H66" s="2399"/>
      <c r="I66" s="2349">
        <f t="shared" si="63"/>
        <v>0</v>
      </c>
      <c r="J66" s="35">
        <f t="shared" si="64"/>
        <v>0</v>
      </c>
      <c r="K66" s="2399">
        <f t="shared" si="103"/>
        <v>0</v>
      </c>
      <c r="L66" s="2399">
        <v>0</v>
      </c>
      <c r="M66" s="2350">
        <f t="shared" si="65"/>
        <v>0</v>
      </c>
      <c r="N66" s="2350">
        <f t="shared" si="66"/>
        <v>0</v>
      </c>
      <c r="O66" s="2399">
        <f t="shared" si="104"/>
        <v>0</v>
      </c>
      <c r="P66" s="2399">
        <v>0</v>
      </c>
      <c r="Q66" s="2349">
        <f t="shared" si="105"/>
        <v>0</v>
      </c>
      <c r="R66" s="2349">
        <f t="shared" si="106"/>
        <v>0</v>
      </c>
      <c r="S66" s="2399">
        <f t="shared" si="107"/>
        <v>0</v>
      </c>
      <c r="T66" s="2399">
        <v>0</v>
      </c>
      <c r="U66" s="2349">
        <f t="shared" si="80"/>
        <v>0</v>
      </c>
      <c r="V66" s="2349">
        <f t="shared" si="81"/>
        <v>0</v>
      </c>
      <c r="W66" s="2399">
        <f t="shared" si="108"/>
        <v>0</v>
      </c>
      <c r="X66" s="2399">
        <v>0</v>
      </c>
      <c r="Y66" s="2350">
        <f t="shared" si="67"/>
        <v>0</v>
      </c>
      <c r="Z66" s="2350">
        <f t="shared" si="68"/>
        <v>0</v>
      </c>
      <c r="AA66" s="2379">
        <f t="shared" si="94"/>
        <v>0</v>
      </c>
      <c r="AB66" s="2379">
        <f t="shared" si="94"/>
        <v>0</v>
      </c>
      <c r="AC66" s="2399">
        <f t="shared" si="109"/>
        <v>0</v>
      </c>
      <c r="AD66" s="2399">
        <v>0</v>
      </c>
      <c r="AE66" s="2349">
        <f t="shared" si="82"/>
        <v>0</v>
      </c>
      <c r="AF66" s="2349">
        <f t="shared" si="83"/>
        <v>0</v>
      </c>
      <c r="AG66" s="2399">
        <f t="shared" si="110"/>
        <v>0</v>
      </c>
      <c r="AH66" s="2399">
        <v>0</v>
      </c>
      <c r="AI66" s="2349">
        <f t="shared" si="84"/>
        <v>0</v>
      </c>
      <c r="AJ66" s="2349">
        <f t="shared" si="85"/>
        <v>0</v>
      </c>
      <c r="AK66" s="2399">
        <f t="shared" si="111"/>
        <v>0</v>
      </c>
      <c r="AL66" s="2399">
        <v>0</v>
      </c>
      <c r="AM66" s="2350">
        <f t="shared" si="69"/>
        <v>0</v>
      </c>
      <c r="AN66" s="2350">
        <f t="shared" si="70"/>
        <v>0</v>
      </c>
      <c r="AO66" s="2349">
        <f t="shared" si="86"/>
        <v>0</v>
      </c>
      <c r="AP66" s="2349">
        <f t="shared" si="87"/>
        <v>0</v>
      </c>
      <c r="AQ66" s="2399">
        <f t="shared" si="112"/>
        <v>0</v>
      </c>
      <c r="AR66" s="2399">
        <v>0</v>
      </c>
      <c r="AS66" s="2349">
        <f t="shared" si="88"/>
        <v>0</v>
      </c>
      <c r="AT66" s="2349">
        <f t="shared" si="89"/>
        <v>0</v>
      </c>
      <c r="AU66" s="2399">
        <f t="shared" si="113"/>
        <v>0</v>
      </c>
      <c r="AV66" s="2399">
        <v>0</v>
      </c>
      <c r="AW66" s="2349">
        <f t="shared" si="90"/>
        <v>0</v>
      </c>
      <c r="AX66" s="2349">
        <f t="shared" si="91"/>
        <v>0</v>
      </c>
      <c r="AY66" s="2399">
        <f t="shared" si="114"/>
        <v>0</v>
      </c>
      <c r="AZ66" s="2399">
        <v>0</v>
      </c>
      <c r="BA66" s="2350">
        <f t="shared" si="73"/>
        <v>0</v>
      </c>
      <c r="BB66" s="2350">
        <f t="shared" si="74"/>
        <v>0</v>
      </c>
      <c r="BC66" s="2379">
        <f t="shared" si="99"/>
        <v>0</v>
      </c>
      <c r="BD66" s="2379">
        <f t="shared" si="100"/>
        <v>0</v>
      </c>
      <c r="BE66" s="2349">
        <f t="shared" si="76"/>
        <v>0</v>
      </c>
      <c r="BF66" s="35">
        <f t="shared" si="77"/>
        <v>0</v>
      </c>
      <c r="BG66" s="2263"/>
      <c r="BH66" s="2263"/>
      <c r="BI66" s="3238"/>
      <c r="BJ66" s="2263"/>
      <c r="BK66" s="3238"/>
      <c r="BL66" s="3238"/>
    </row>
    <row r="67" spans="1:69" ht="13.8" x14ac:dyDescent="0.25">
      <c r="B67" s="681" t="s">
        <v>129</v>
      </c>
      <c r="C67" s="2589" t="s">
        <v>50</v>
      </c>
      <c r="D67" s="1023">
        <f t="shared" si="101"/>
        <v>16905.08474576271</v>
      </c>
      <c r="E67" s="2399">
        <f t="shared" si="101"/>
        <v>1162.1468926553673</v>
      </c>
      <c r="F67" s="2399">
        <v>0</v>
      </c>
      <c r="G67" s="2399">
        <f t="shared" ref="G67" si="118">+G84*G$5/1000</f>
        <v>1025.4237288135591</v>
      </c>
      <c r="H67" s="2399">
        <v>502.3</v>
      </c>
      <c r="I67" s="2349">
        <f t="shared" si="63"/>
        <v>2187.5706214689262</v>
      </c>
      <c r="J67" s="35">
        <f t="shared" si="64"/>
        <v>502.3</v>
      </c>
      <c r="K67" s="2399">
        <f t="shared" si="103"/>
        <v>1422.6628895184119</v>
      </c>
      <c r="L67" s="2399">
        <v>0</v>
      </c>
      <c r="M67" s="2350">
        <f t="shared" si="65"/>
        <v>3610.2335109873384</v>
      </c>
      <c r="N67" s="2350">
        <f t="shared" si="66"/>
        <v>502.3</v>
      </c>
      <c r="O67" s="2399">
        <f t="shared" si="104"/>
        <v>1439.660056657224</v>
      </c>
      <c r="P67" s="2399">
        <v>0</v>
      </c>
      <c r="Q67" s="2349">
        <f t="shared" si="105"/>
        <v>5049.8935676445626</v>
      </c>
      <c r="R67" s="2349">
        <f t="shared" si="106"/>
        <v>502.3</v>
      </c>
      <c r="S67" s="2399">
        <f t="shared" si="107"/>
        <v>1439.660056657224</v>
      </c>
      <c r="T67" s="2399">
        <v>0</v>
      </c>
      <c r="U67" s="2349">
        <f t="shared" si="80"/>
        <v>6489.5536243017868</v>
      </c>
      <c r="V67" s="2349">
        <f t="shared" si="81"/>
        <v>502.3</v>
      </c>
      <c r="W67" s="2399">
        <f t="shared" si="108"/>
        <v>755.52407932011602</v>
      </c>
      <c r="X67" s="2399">
        <v>0</v>
      </c>
      <c r="Y67" s="2350">
        <f t="shared" si="67"/>
        <v>3634.844192634564</v>
      </c>
      <c r="Z67" s="2350">
        <f t="shared" si="68"/>
        <v>0</v>
      </c>
      <c r="AA67" s="2379">
        <f t="shared" si="94"/>
        <v>7245.0777036219024</v>
      </c>
      <c r="AB67" s="2379">
        <f t="shared" si="94"/>
        <v>502.3</v>
      </c>
      <c r="AC67" s="2399">
        <f t="shared" si="109"/>
        <v>1467.9886685552399</v>
      </c>
      <c r="AD67" s="2399">
        <v>0</v>
      </c>
      <c r="AE67" s="2349">
        <f t="shared" si="82"/>
        <v>8713.0663721771416</v>
      </c>
      <c r="AF67" s="2349">
        <f t="shared" si="83"/>
        <v>502.3</v>
      </c>
      <c r="AG67" s="2399">
        <f t="shared" si="110"/>
        <v>1422.6628895184119</v>
      </c>
      <c r="AH67" s="2399">
        <v>861.56200000000001</v>
      </c>
      <c r="AI67" s="2349">
        <f t="shared" si="84"/>
        <v>10135.729261695553</v>
      </c>
      <c r="AJ67" s="2349">
        <f t="shared" si="85"/>
        <v>1363.8620000000001</v>
      </c>
      <c r="AK67" s="2399">
        <f t="shared" si="111"/>
        <v>1467.9886685552399</v>
      </c>
      <c r="AL67" s="2399">
        <v>5175.049</v>
      </c>
      <c r="AM67" s="2350">
        <f t="shared" si="69"/>
        <v>4358.6402266288915</v>
      </c>
      <c r="AN67" s="2350">
        <f t="shared" si="70"/>
        <v>6036.6109999999999</v>
      </c>
      <c r="AO67" s="2349">
        <f t="shared" si="86"/>
        <v>11603.717930250792</v>
      </c>
      <c r="AP67" s="2349">
        <f t="shared" si="87"/>
        <v>6538.9110000000001</v>
      </c>
      <c r="AQ67" s="2399">
        <f t="shared" si="112"/>
        <v>1490.6515580736543</v>
      </c>
      <c r="AR67" s="2399">
        <v>2399.634</v>
      </c>
      <c r="AS67" s="2349">
        <f t="shared" si="88"/>
        <v>13094.369488324446</v>
      </c>
      <c r="AT67" s="2349">
        <f t="shared" si="89"/>
        <v>8938.5450000000001</v>
      </c>
      <c r="AU67" s="2399">
        <f t="shared" si="113"/>
        <v>1332.0113314447592</v>
      </c>
      <c r="AV67" s="2399">
        <v>0</v>
      </c>
      <c r="AW67" s="2349">
        <f t="shared" si="90"/>
        <v>14426.380819769205</v>
      </c>
      <c r="AX67" s="2349">
        <f t="shared" si="91"/>
        <v>8938.5450000000001</v>
      </c>
      <c r="AY67" s="2399">
        <f t="shared" si="114"/>
        <v>1490.6515580736543</v>
      </c>
      <c r="AZ67" s="2399">
        <v>0</v>
      </c>
      <c r="BA67" s="2350">
        <f t="shared" si="73"/>
        <v>4313.3144475920681</v>
      </c>
      <c r="BB67" s="2350">
        <f t="shared" si="74"/>
        <v>2399.634</v>
      </c>
      <c r="BC67" s="2379">
        <f t="shared" si="99"/>
        <v>8671.9546742209604</v>
      </c>
      <c r="BD67" s="2379">
        <f t="shared" si="100"/>
        <v>8436.244999999999</v>
      </c>
      <c r="BE67" s="2349">
        <f t="shared" si="76"/>
        <v>15917.032377842859</v>
      </c>
      <c r="BF67" s="35">
        <f t="shared" si="77"/>
        <v>8938.5450000000001</v>
      </c>
      <c r="BG67" s="2263"/>
      <c r="BH67" s="2263"/>
      <c r="BI67" s="3238"/>
      <c r="BJ67" s="2263"/>
      <c r="BK67" s="3238"/>
      <c r="BL67" s="3238"/>
    </row>
    <row r="68" spans="1:69" ht="13.8" x14ac:dyDescent="0.25">
      <c r="B68" s="681" t="s">
        <v>1148</v>
      </c>
      <c r="C68" s="2589" t="s">
        <v>50</v>
      </c>
      <c r="D68" s="1023">
        <f t="shared" si="101"/>
        <v>0</v>
      </c>
      <c r="E68" s="2399">
        <f t="shared" si="101"/>
        <v>0</v>
      </c>
      <c r="F68" s="2399">
        <v>0</v>
      </c>
      <c r="G68" s="2399">
        <f t="shared" ref="G68" si="119">+G85*G$5/1000</f>
        <v>0</v>
      </c>
      <c r="H68" s="2399"/>
      <c r="I68" s="2349">
        <f t="shared" si="63"/>
        <v>0</v>
      </c>
      <c r="J68" s="35">
        <f t="shared" si="64"/>
        <v>0</v>
      </c>
      <c r="K68" s="2399">
        <f t="shared" si="103"/>
        <v>0</v>
      </c>
      <c r="L68" s="2399">
        <v>0</v>
      </c>
      <c r="M68" s="2350">
        <f t="shared" si="65"/>
        <v>0</v>
      </c>
      <c r="N68" s="2350">
        <f t="shared" si="66"/>
        <v>0</v>
      </c>
      <c r="O68" s="2399">
        <f t="shared" si="104"/>
        <v>0</v>
      </c>
      <c r="P68" s="2399">
        <v>0</v>
      </c>
      <c r="Q68" s="2349">
        <f t="shared" si="105"/>
        <v>0</v>
      </c>
      <c r="R68" s="2349">
        <f t="shared" si="106"/>
        <v>0</v>
      </c>
      <c r="S68" s="2399">
        <f t="shared" si="107"/>
        <v>0</v>
      </c>
      <c r="T68" s="2399">
        <v>0</v>
      </c>
      <c r="U68" s="2349">
        <f t="shared" si="80"/>
        <v>0</v>
      </c>
      <c r="V68" s="2349">
        <f t="shared" si="81"/>
        <v>0</v>
      </c>
      <c r="W68" s="2399">
        <f t="shared" si="108"/>
        <v>0</v>
      </c>
      <c r="X68" s="2399">
        <v>0</v>
      </c>
      <c r="Y68" s="2350">
        <f t="shared" si="67"/>
        <v>0</v>
      </c>
      <c r="Z68" s="2350">
        <f t="shared" si="68"/>
        <v>0</v>
      </c>
      <c r="AA68" s="2379">
        <f t="shared" si="94"/>
        <v>0</v>
      </c>
      <c r="AB68" s="2379">
        <f t="shared" si="94"/>
        <v>0</v>
      </c>
      <c r="AC68" s="2399">
        <f t="shared" si="109"/>
        <v>0</v>
      </c>
      <c r="AD68" s="2399">
        <v>0</v>
      </c>
      <c r="AE68" s="2349">
        <f t="shared" si="82"/>
        <v>0</v>
      </c>
      <c r="AF68" s="2349">
        <f t="shared" si="83"/>
        <v>0</v>
      </c>
      <c r="AG68" s="2399">
        <f t="shared" si="110"/>
        <v>0</v>
      </c>
      <c r="AH68" s="2399">
        <v>0</v>
      </c>
      <c r="AI68" s="2349">
        <f t="shared" si="84"/>
        <v>0</v>
      </c>
      <c r="AJ68" s="2349">
        <f t="shared" si="85"/>
        <v>0</v>
      </c>
      <c r="AK68" s="2399">
        <f t="shared" si="111"/>
        <v>0</v>
      </c>
      <c r="AL68" s="2399">
        <v>0</v>
      </c>
      <c r="AM68" s="2350">
        <f t="shared" si="69"/>
        <v>0</v>
      </c>
      <c r="AN68" s="2350">
        <f t="shared" si="70"/>
        <v>0</v>
      </c>
      <c r="AO68" s="2349">
        <f t="shared" si="86"/>
        <v>0</v>
      </c>
      <c r="AP68" s="2349">
        <f t="shared" si="87"/>
        <v>0</v>
      </c>
      <c r="AQ68" s="2399">
        <f t="shared" si="112"/>
        <v>0</v>
      </c>
      <c r="AR68" s="2399">
        <v>0</v>
      </c>
      <c r="AS68" s="2349">
        <f t="shared" si="88"/>
        <v>0</v>
      </c>
      <c r="AT68" s="2349">
        <f t="shared" si="89"/>
        <v>0</v>
      </c>
      <c r="AU68" s="2399">
        <f t="shared" si="113"/>
        <v>0</v>
      </c>
      <c r="AV68" s="2399">
        <v>0</v>
      </c>
      <c r="AW68" s="2349">
        <f t="shared" si="90"/>
        <v>0</v>
      </c>
      <c r="AX68" s="2349">
        <f t="shared" si="91"/>
        <v>0</v>
      </c>
      <c r="AY68" s="2399">
        <f t="shared" si="114"/>
        <v>0</v>
      </c>
      <c r="AZ68" s="2399">
        <v>0</v>
      </c>
      <c r="BA68" s="2350">
        <f t="shared" si="73"/>
        <v>0</v>
      </c>
      <c r="BB68" s="2350">
        <f t="shared" si="74"/>
        <v>0</v>
      </c>
      <c r="BC68" s="2379">
        <f t="shared" si="99"/>
        <v>0</v>
      </c>
      <c r="BD68" s="2379">
        <f t="shared" si="100"/>
        <v>0</v>
      </c>
      <c r="BE68" s="2349">
        <f t="shared" si="76"/>
        <v>0</v>
      </c>
      <c r="BF68" s="35">
        <f t="shared" si="77"/>
        <v>0</v>
      </c>
      <c r="BG68" s="2263"/>
      <c r="BH68" s="2263"/>
      <c r="BI68" s="3238"/>
      <c r="BJ68" s="2263"/>
      <c r="BK68" s="3238"/>
      <c r="BL68" s="3238"/>
    </row>
    <row r="69" spans="1:69" ht="13.8" x14ac:dyDescent="0.25">
      <c r="B69" s="681" t="s">
        <v>130</v>
      </c>
      <c r="C69" s="2589" t="s">
        <v>50</v>
      </c>
      <c r="D69" s="1023">
        <f t="shared" si="101"/>
        <v>42262.711864406781</v>
      </c>
      <c r="E69" s="2399">
        <f t="shared" si="101"/>
        <v>2905.3672316384182</v>
      </c>
      <c r="F69" s="2399">
        <v>3521.5</v>
      </c>
      <c r="G69" s="2399">
        <f t="shared" ref="G69" si="120">+G86*G$5/1000</f>
        <v>2563.5593220338978</v>
      </c>
      <c r="H69" s="2399">
        <v>1431</v>
      </c>
      <c r="I69" s="2349">
        <f t="shared" si="63"/>
        <v>5468.926553672316</v>
      </c>
      <c r="J69" s="35">
        <f t="shared" si="64"/>
        <v>4952.5</v>
      </c>
      <c r="K69" s="2399">
        <f t="shared" si="103"/>
        <v>3556.6572237960299</v>
      </c>
      <c r="L69" s="2399">
        <v>4275.8</v>
      </c>
      <c r="M69" s="2350">
        <f t="shared" si="65"/>
        <v>9025.5837774683459</v>
      </c>
      <c r="N69" s="2350">
        <f t="shared" si="66"/>
        <v>9228.2999999999993</v>
      </c>
      <c r="O69" s="2399">
        <f t="shared" si="104"/>
        <v>3599.1501416430601</v>
      </c>
      <c r="P69" s="2399">
        <v>3451.2</v>
      </c>
      <c r="Q69" s="2349">
        <f t="shared" si="105"/>
        <v>12624.733919111406</v>
      </c>
      <c r="R69" s="2349">
        <f t="shared" si="106"/>
        <v>12679.5</v>
      </c>
      <c r="S69" s="2399">
        <f t="shared" si="107"/>
        <v>3599.1501416430601</v>
      </c>
      <c r="T69" s="2399">
        <v>1721.75</v>
      </c>
      <c r="U69" s="2349">
        <f t="shared" si="80"/>
        <v>16223.884060754466</v>
      </c>
      <c r="V69" s="2349">
        <f t="shared" si="81"/>
        <v>14401.25</v>
      </c>
      <c r="W69" s="2399">
        <f t="shared" si="108"/>
        <v>1888.8101983002903</v>
      </c>
      <c r="X69" s="2399">
        <v>879.2</v>
      </c>
      <c r="Y69" s="2350">
        <f t="shared" si="67"/>
        <v>9087.110481586411</v>
      </c>
      <c r="Z69" s="2350">
        <f t="shared" si="68"/>
        <v>6052.15</v>
      </c>
      <c r="AA69" s="2379">
        <f t="shared" si="94"/>
        <v>18112.694259054755</v>
      </c>
      <c r="AB69" s="2379">
        <f t="shared" si="94"/>
        <v>15280.449999999999</v>
      </c>
      <c r="AC69" s="2399">
        <f t="shared" si="109"/>
        <v>3669.9716713880998</v>
      </c>
      <c r="AD69" s="2399">
        <v>2267.1</v>
      </c>
      <c r="AE69" s="2349">
        <f t="shared" si="82"/>
        <v>21782.665930442854</v>
      </c>
      <c r="AF69" s="2349">
        <f t="shared" si="83"/>
        <v>17547.55</v>
      </c>
      <c r="AG69" s="2399">
        <f t="shared" si="110"/>
        <v>3556.6572237960299</v>
      </c>
      <c r="AH69" s="2399">
        <v>4063.5</v>
      </c>
      <c r="AI69" s="2349">
        <f t="shared" si="84"/>
        <v>25339.323154238882</v>
      </c>
      <c r="AJ69" s="2349">
        <f t="shared" si="85"/>
        <v>21611.05</v>
      </c>
      <c r="AK69" s="2399">
        <f t="shared" si="111"/>
        <v>3669.9716713880998</v>
      </c>
      <c r="AL69" s="2399">
        <v>3801.4</v>
      </c>
      <c r="AM69" s="2350">
        <f t="shared" si="69"/>
        <v>10896.60056657223</v>
      </c>
      <c r="AN69" s="2350">
        <f t="shared" si="70"/>
        <v>10132</v>
      </c>
      <c r="AO69" s="2349">
        <f t="shared" si="86"/>
        <v>29009.294825626981</v>
      </c>
      <c r="AP69" s="2349">
        <f t="shared" si="87"/>
        <v>25412.45</v>
      </c>
      <c r="AQ69" s="2399">
        <f t="shared" si="112"/>
        <v>3726.6288951841361</v>
      </c>
      <c r="AR69" s="2399">
        <v>2897.4</v>
      </c>
      <c r="AS69" s="2349">
        <f t="shared" si="88"/>
        <v>32735.923720811115</v>
      </c>
      <c r="AT69" s="2349">
        <f t="shared" si="89"/>
        <v>28309.850000000002</v>
      </c>
      <c r="AU69" s="2399">
        <f t="shared" si="113"/>
        <v>3330.0283286118979</v>
      </c>
      <c r="AV69" s="2399">
        <v>2360.04</v>
      </c>
      <c r="AW69" s="2349">
        <f t="shared" si="90"/>
        <v>36065.952049423016</v>
      </c>
      <c r="AX69" s="2349">
        <f t="shared" si="91"/>
        <v>30669.890000000003</v>
      </c>
      <c r="AY69" s="2399">
        <f t="shared" si="114"/>
        <v>3726.6288951841361</v>
      </c>
      <c r="AZ69" s="2399">
        <v>3046.4</v>
      </c>
      <c r="BA69" s="2350">
        <f t="shared" si="73"/>
        <v>10783.28611898017</v>
      </c>
      <c r="BB69" s="2350">
        <f t="shared" si="74"/>
        <v>8303.84</v>
      </c>
      <c r="BC69" s="2379">
        <f t="shared" si="99"/>
        <v>21679.886685552399</v>
      </c>
      <c r="BD69" s="2379">
        <f t="shared" si="100"/>
        <v>18435.84</v>
      </c>
      <c r="BE69" s="2349">
        <f t="shared" si="76"/>
        <v>39792.580944607151</v>
      </c>
      <c r="BF69" s="35">
        <f t="shared" si="77"/>
        <v>33716.29</v>
      </c>
      <c r="BG69" s="2263"/>
      <c r="BH69" s="2263"/>
      <c r="BI69" s="3238"/>
      <c r="BJ69" s="2263"/>
      <c r="BK69" s="3238"/>
      <c r="BL69" s="3238"/>
    </row>
    <row r="70" spans="1:69" ht="13.8" x14ac:dyDescent="0.25">
      <c r="B70" s="681" t="s">
        <v>1726</v>
      </c>
      <c r="C70" s="2589" t="s">
        <v>50</v>
      </c>
      <c r="D70" s="1023">
        <f t="shared" si="101"/>
        <v>188773.4463276836</v>
      </c>
      <c r="E70" s="2399">
        <f t="shared" si="101"/>
        <v>12977.306967984936</v>
      </c>
      <c r="F70" s="2399">
        <v>15243.976000000001</v>
      </c>
      <c r="G70" s="2399">
        <f t="shared" ref="G70" si="121">+G87*G$5/1000</f>
        <v>11450.56497175141</v>
      </c>
      <c r="H70" s="2399">
        <v>7362.3130000000001</v>
      </c>
      <c r="I70" s="2349">
        <f t="shared" si="63"/>
        <v>24427.871939736346</v>
      </c>
      <c r="J70" s="35">
        <f t="shared" si="64"/>
        <v>22606.289000000001</v>
      </c>
      <c r="K70" s="2399">
        <f t="shared" si="103"/>
        <v>15886.402266288935</v>
      </c>
      <c r="L70" s="2399">
        <v>15937.584999999999</v>
      </c>
      <c r="M70" s="2350">
        <f t="shared" si="65"/>
        <v>40314.274206025279</v>
      </c>
      <c r="N70" s="2350">
        <f t="shared" si="66"/>
        <v>38543.874000000003</v>
      </c>
      <c r="O70" s="2399">
        <f t="shared" si="104"/>
        <v>16076.203966005669</v>
      </c>
      <c r="P70" s="2399">
        <v>17069.062000000002</v>
      </c>
      <c r="Q70" s="2349">
        <f t="shared" si="105"/>
        <v>56390.478172030947</v>
      </c>
      <c r="R70" s="2349">
        <f t="shared" si="106"/>
        <v>55612.936000000002</v>
      </c>
      <c r="S70" s="2399">
        <f t="shared" si="107"/>
        <v>16076.203966005669</v>
      </c>
      <c r="T70" s="2399">
        <v>15781.566000000001</v>
      </c>
      <c r="U70" s="2349">
        <f t="shared" si="80"/>
        <v>72466.682138036616</v>
      </c>
      <c r="V70" s="2349">
        <f t="shared" si="81"/>
        <v>71394.502000000008</v>
      </c>
      <c r="W70" s="2399">
        <f t="shared" si="108"/>
        <v>8436.6855524079638</v>
      </c>
      <c r="X70" s="2399">
        <v>15556.172</v>
      </c>
      <c r="Y70" s="2350">
        <f t="shared" si="67"/>
        <v>40589.093484419303</v>
      </c>
      <c r="Z70" s="2350">
        <f t="shared" si="68"/>
        <v>48406.8</v>
      </c>
      <c r="AA70" s="2379">
        <f t="shared" si="94"/>
        <v>80903.367690444575</v>
      </c>
      <c r="AB70" s="2379">
        <f t="shared" si="94"/>
        <v>86950.673999999999</v>
      </c>
      <c r="AC70" s="2399">
        <f t="shared" si="109"/>
        <v>16392.540132200178</v>
      </c>
      <c r="AD70" s="2399">
        <v>12822.339</v>
      </c>
      <c r="AE70" s="2349">
        <f t="shared" si="82"/>
        <v>97295.907822644745</v>
      </c>
      <c r="AF70" s="2349">
        <f t="shared" si="83"/>
        <v>99773.013000000006</v>
      </c>
      <c r="AG70" s="2399">
        <f t="shared" si="110"/>
        <v>15886.402266288935</v>
      </c>
      <c r="AH70" s="2399">
        <v>14313.882</v>
      </c>
      <c r="AI70" s="2349">
        <f t="shared" si="84"/>
        <v>113182.31008893368</v>
      </c>
      <c r="AJ70" s="2349">
        <f t="shared" si="85"/>
        <v>114086.895</v>
      </c>
      <c r="AK70" s="2399">
        <f t="shared" si="111"/>
        <v>16392.540132200178</v>
      </c>
      <c r="AL70" s="2399">
        <v>15349.977000000001</v>
      </c>
      <c r="AM70" s="2350">
        <f t="shared" si="69"/>
        <v>48671.482530689289</v>
      </c>
      <c r="AN70" s="2350">
        <f t="shared" si="70"/>
        <v>42486.198000000004</v>
      </c>
      <c r="AO70" s="2349">
        <f t="shared" si="86"/>
        <v>129574.85022113385</v>
      </c>
      <c r="AP70" s="2349">
        <f t="shared" si="87"/>
        <v>129436.872</v>
      </c>
      <c r="AQ70" s="2399">
        <f t="shared" si="112"/>
        <v>16645.609065155808</v>
      </c>
      <c r="AR70" s="2399">
        <v>16655.484</v>
      </c>
      <c r="AS70" s="2349">
        <f t="shared" si="88"/>
        <v>146220.45928628967</v>
      </c>
      <c r="AT70" s="2349">
        <f t="shared" si="89"/>
        <v>146092.356</v>
      </c>
      <c r="AU70" s="2399">
        <f t="shared" si="113"/>
        <v>14874.126534466477</v>
      </c>
      <c r="AV70" s="2399">
        <v>14758.846</v>
      </c>
      <c r="AW70" s="2349">
        <f t="shared" si="90"/>
        <v>161094.58582075615</v>
      </c>
      <c r="AX70" s="2349">
        <f t="shared" si="91"/>
        <v>160851.20199999999</v>
      </c>
      <c r="AY70" s="2399">
        <f t="shared" si="114"/>
        <v>16645.609065155808</v>
      </c>
      <c r="AZ70" s="2399">
        <v>15525.558999999999</v>
      </c>
      <c r="BA70" s="2350">
        <f t="shared" si="73"/>
        <v>48165.344664778095</v>
      </c>
      <c r="BB70" s="2350">
        <f t="shared" si="74"/>
        <v>46939.888999999996</v>
      </c>
      <c r="BC70" s="2379">
        <f t="shared" si="99"/>
        <v>96836.827195467384</v>
      </c>
      <c r="BD70" s="2379">
        <f t="shared" si="100"/>
        <v>89426.087</v>
      </c>
      <c r="BE70" s="2349">
        <f t="shared" si="76"/>
        <v>177740.19488591197</v>
      </c>
      <c r="BF70" s="35">
        <f t="shared" si="77"/>
        <v>176376.761</v>
      </c>
      <c r="BG70" s="2263"/>
      <c r="BH70" s="2263"/>
      <c r="BI70" s="3238"/>
      <c r="BJ70" s="2263"/>
      <c r="BK70" s="3238"/>
      <c r="BL70" s="3238"/>
    </row>
    <row r="71" spans="1:69" ht="13.8" x14ac:dyDescent="0.25">
      <c r="A71" s="1166"/>
      <c r="B71" s="913" t="s">
        <v>284</v>
      </c>
      <c r="C71" s="381"/>
      <c r="D71" s="3031"/>
      <c r="E71" s="3032"/>
      <c r="F71" s="3032"/>
      <c r="G71" s="3032"/>
      <c r="H71" s="3032"/>
      <c r="I71" s="3032"/>
      <c r="J71" s="3033"/>
      <c r="K71" s="3032"/>
      <c r="L71" s="3032"/>
      <c r="M71" s="3032"/>
      <c r="N71" s="3032"/>
      <c r="O71" s="3032"/>
      <c r="P71" s="3032"/>
      <c r="Q71" s="3032"/>
      <c r="R71" s="3032"/>
      <c r="S71" s="3032"/>
      <c r="T71" s="3032"/>
      <c r="U71" s="3032"/>
      <c r="V71" s="3032"/>
      <c r="W71" s="3032"/>
      <c r="X71" s="3032"/>
      <c r="Y71" s="3032"/>
      <c r="Z71" s="3032"/>
      <c r="AA71" s="3032"/>
      <c r="AB71" s="3032"/>
      <c r="AC71" s="3032"/>
      <c r="AD71" s="3032"/>
      <c r="AE71" s="3032"/>
      <c r="AF71" s="3032"/>
      <c r="AG71" s="3032"/>
      <c r="AH71" s="3032"/>
      <c r="AI71" s="3032"/>
      <c r="AJ71" s="3032"/>
      <c r="AK71" s="3032"/>
      <c r="AL71" s="3032"/>
      <c r="AM71" s="3032"/>
      <c r="AN71" s="3032"/>
      <c r="AO71" s="3032"/>
      <c r="AP71" s="3032"/>
      <c r="AQ71" s="3032"/>
      <c r="AR71" s="3032"/>
      <c r="AS71" s="3032"/>
      <c r="AT71" s="3032"/>
      <c r="AU71" s="3032"/>
      <c r="AV71" s="3032"/>
      <c r="AW71" s="3032"/>
      <c r="AX71" s="3032"/>
      <c r="AY71" s="3032"/>
      <c r="AZ71" s="3032"/>
      <c r="BA71" s="3032"/>
      <c r="BB71" s="3032"/>
      <c r="BC71" s="3032"/>
      <c r="BD71" s="3032"/>
      <c r="BE71" s="3032"/>
      <c r="BF71" s="3033"/>
      <c r="BG71" s="2263"/>
      <c r="BH71" s="2263"/>
      <c r="BI71" s="3238"/>
      <c r="BJ71" s="2263"/>
      <c r="BK71" s="3238"/>
      <c r="BL71" s="3238"/>
    </row>
    <row r="72" spans="1:69" ht="13.8" x14ac:dyDescent="0.25">
      <c r="B72" s="681" t="s">
        <v>83</v>
      </c>
      <c r="C72" s="2589" t="s">
        <v>268</v>
      </c>
      <c r="D72" s="1239">
        <v>1.2464893653348954</v>
      </c>
      <c r="E72" s="2581">
        <f>$D$72</f>
        <v>1.2464893653348954</v>
      </c>
      <c r="F72" s="2581">
        <f>+F55/F$49*1000</f>
        <v>1.8322218749910406</v>
      </c>
      <c r="G72" s="2581">
        <f>$D$72</f>
        <v>1.2464893653348954</v>
      </c>
      <c r="H72" s="2581">
        <f>+H55/H$49*1000</f>
        <v>1.5006010060151644</v>
      </c>
      <c r="I72" s="2659">
        <f t="shared" ref="I72:J72" si="122">+I55/I$5*1000</f>
        <v>1.2464893653348954</v>
      </c>
      <c r="J72" s="2592">
        <f t="shared" si="122"/>
        <v>1.7310787796517293</v>
      </c>
      <c r="K72" s="2581">
        <v>1.6372322252457012</v>
      </c>
      <c r="L72" s="2581">
        <f>+L55/L$49*1000</f>
        <v>1.6635634020980614</v>
      </c>
      <c r="M72" s="3047">
        <f>+M55/M$5*1000</f>
        <v>1.4004670414180602</v>
      </c>
      <c r="N72" s="3047">
        <f>+N55/N$5*1000</f>
        <v>1.7019693964295834</v>
      </c>
      <c r="O72" s="2581">
        <v>1.6372322252457012</v>
      </c>
      <c r="P72" s="2581">
        <f>+P55/P$49*1000</f>
        <v>1.5098844804335725</v>
      </c>
      <c r="Q72" s="2659">
        <f t="shared" ref="Q72:R72" si="123">+Q55/Q$5*1000</f>
        <v>1.4679657665689643</v>
      </c>
      <c r="R72" s="2659">
        <f t="shared" si="123"/>
        <v>1.6424254126227236</v>
      </c>
      <c r="S72" s="2581">
        <v>1.6372322252457012</v>
      </c>
      <c r="T72" s="2581">
        <f>+T55/T$49*1000</f>
        <v>1.2625104793630249</v>
      </c>
      <c r="U72" s="2817">
        <f t="shared" ref="U72:V72" si="124">+U55/U$5*1000</f>
        <v>1.5055162937078688</v>
      </c>
      <c r="V72" s="2817">
        <f t="shared" si="124"/>
        <v>1.5569302336152981</v>
      </c>
      <c r="W72" s="2581">
        <v>1.6372322252457012</v>
      </c>
      <c r="X72" s="2581">
        <f>+X55/X$49*1000</f>
        <v>1.2916217390959353</v>
      </c>
      <c r="Y72" s="3029">
        <f>+Y55/Y$5*1000</f>
        <v>1.6372322252457012</v>
      </c>
      <c r="Z72" s="3029">
        <f>+Z55/Z$5*1000</f>
        <v>1.3590835098331639</v>
      </c>
      <c r="AA72" s="3030">
        <f>+AA55/AA$47*1000</f>
        <v>1.5192517651517652</v>
      </c>
      <c r="AB72" s="3030">
        <f>+AB55/AB$49*1000</f>
        <v>1.5100129331789183</v>
      </c>
      <c r="AC72" s="2581">
        <v>1.6372322252457012</v>
      </c>
      <c r="AD72" s="2581">
        <f>+AD55/AD$49*1000</f>
        <v>1.4006594036617255</v>
      </c>
      <c r="AE72" s="2817">
        <f t="shared" ref="AE72:AF72" si="125">+AE55/AE$5*1000</f>
        <v>1.5391292653486977</v>
      </c>
      <c r="AF72" s="2817">
        <f t="shared" si="125"/>
        <v>1.496608690180113</v>
      </c>
      <c r="AG72" s="2580">
        <v>1.6372322252457012</v>
      </c>
      <c r="AH72" s="2580">
        <f>+AH55/AH$49*1000</f>
        <v>1.2636074729745954</v>
      </c>
      <c r="AI72" s="2817">
        <f t="shared" ref="AI72:AJ72" si="126">+AI55/AI$5*1000</f>
        <v>1.5528991122727689</v>
      </c>
      <c r="AJ72" s="2817">
        <f t="shared" si="126"/>
        <v>1.4649944368048224</v>
      </c>
      <c r="AK72" s="2580">
        <v>1.6372322252457012</v>
      </c>
      <c r="AL72" s="2580">
        <f>+AL55/AL$49*1000</f>
        <v>1.7132649881991955</v>
      </c>
      <c r="AM72" s="3029">
        <f>+AM55/AM$5*1000</f>
        <v>1.6372322252457008</v>
      </c>
      <c r="AN72" s="3029">
        <f>+AN55/AN$5*1000</f>
        <v>1.4656770357100648</v>
      </c>
      <c r="AO72" s="2817">
        <f t="shared" ref="AO72:AP72" si="127">+AO55/AO$5*1000</f>
        <v>1.5635681112067665</v>
      </c>
      <c r="AP72" s="2817">
        <f t="shared" si="127"/>
        <v>1.4952080625639006</v>
      </c>
      <c r="AQ72" s="2580">
        <v>1.6372322252457012</v>
      </c>
      <c r="AR72" s="2580">
        <f>+AR55/AR$49*1000</f>
        <v>1.174317372118022</v>
      </c>
      <c r="AS72" s="2817">
        <f t="shared" ref="AS72:AT72" si="128">+AS55/AS$5*1000</f>
        <v>1.5719539694540201</v>
      </c>
      <c r="AT72" s="2817">
        <f t="shared" si="128"/>
        <v>1.4612333243263571</v>
      </c>
      <c r="AU72" s="2580">
        <v>1.6372322252457012</v>
      </c>
      <c r="AV72" s="2580">
        <f>+AV55/AV$49*1000</f>
        <v>0.72966595298129877</v>
      </c>
      <c r="AW72" s="2817">
        <f t="shared" ref="AW72:AX72" si="129">+AW55/AW$5*1000</f>
        <v>1.5779812175557972</v>
      </c>
      <c r="AX72" s="2817">
        <f t="shared" si="129"/>
        <v>1.4033636296005561</v>
      </c>
      <c r="AY72" s="2580">
        <v>1.6372322252457012</v>
      </c>
      <c r="AZ72" s="2580">
        <f>+AZ55/AZ$49*1000</f>
        <v>1.7451504197376924</v>
      </c>
      <c r="BA72" s="3029">
        <f>+BA55/BA$5*1000</f>
        <v>1.6372322252457014</v>
      </c>
      <c r="BB72" s="3029">
        <f>+BB55/BB$5*1000</f>
        <v>1.2590497063287192</v>
      </c>
      <c r="BC72" s="3030">
        <f>+BC55/BC$47*1000</f>
        <v>1.637232223084973</v>
      </c>
      <c r="BD72" s="3030">
        <f>+BD55/BD$49*1000</f>
        <v>1.3614678117262049</v>
      </c>
      <c r="BE72" s="2817">
        <f t="shared" ref="BE72:BF72" si="130">+BE55/BE$5*1000</f>
        <v>1.5835301543697562</v>
      </c>
      <c r="BF72" s="101">
        <f t="shared" si="130"/>
        <v>1.4353202265611738</v>
      </c>
      <c r="BG72" s="3536"/>
      <c r="BH72" s="3536"/>
      <c r="BI72" s="3536"/>
      <c r="BJ72" s="3536"/>
      <c r="BK72" s="3238"/>
      <c r="BL72" s="3238"/>
      <c r="BM72" s="3238"/>
      <c r="BN72" s="3238"/>
      <c r="BO72" s="3238"/>
      <c r="BP72" s="3238"/>
      <c r="BQ72" s="3238"/>
    </row>
    <row r="73" spans="1:69" ht="13.8" x14ac:dyDescent="0.25">
      <c r="B73" s="681" t="s">
        <v>796</v>
      </c>
      <c r="C73" s="2589" t="s">
        <v>268</v>
      </c>
      <c r="D73" s="1239">
        <v>0.78144616802656308</v>
      </c>
      <c r="E73" s="2581">
        <f>$D$73</f>
        <v>0.78144616802656308</v>
      </c>
      <c r="F73" s="2581">
        <f>+F56/F$49*1000</f>
        <v>0.62716641197737333</v>
      </c>
      <c r="G73" s="2581">
        <f>$D$73</f>
        <v>0.78144616802656308</v>
      </c>
      <c r="H73" s="2581">
        <f>+H56/H$49*1000</f>
        <v>0.57165752610101495</v>
      </c>
      <c r="I73" s="2817">
        <f t="shared" ref="I73:J73" si="131">+I56/I$5*1000</f>
        <v>0.78144616802656297</v>
      </c>
      <c r="J73" s="2592">
        <f t="shared" si="131"/>
        <v>0.61023640433766002</v>
      </c>
      <c r="K73" s="2581">
        <v>0.84012576263208183</v>
      </c>
      <c r="L73" s="2581">
        <f>+L56/L$49*1000</f>
        <v>0.43129421535875667</v>
      </c>
      <c r="M73" s="3029">
        <f t="shared" ref="M73:N79" si="132">+M56/M$5*1000</f>
        <v>0.80456968105229687</v>
      </c>
      <c r="N73" s="3047">
        <f t="shared" si="132"/>
        <v>0.53308302635307447</v>
      </c>
      <c r="O73" s="2581">
        <v>0.84012576263208183</v>
      </c>
      <c r="P73" s="2581">
        <f>+P56/P$49*1000</f>
        <v>0.54008922668250503</v>
      </c>
      <c r="Q73" s="2659">
        <f t="shared" ref="Q73:R73" si="133">+Q56/Q$5*1000</f>
        <v>0.81470626506856914</v>
      </c>
      <c r="R73" s="2659">
        <f t="shared" si="133"/>
        <v>0.53525471036365546</v>
      </c>
      <c r="S73" s="2581">
        <v>0.84012576263208183</v>
      </c>
      <c r="T73" s="2581">
        <f>+T56/T$49*1000</f>
        <v>0.55129624265518751</v>
      </c>
      <c r="U73" s="2817">
        <f t="shared" ref="U73:V73" si="134">+U56/U$5*1000</f>
        <v>0.82034539487950775</v>
      </c>
      <c r="V73" s="2817">
        <f t="shared" si="134"/>
        <v>0.53886453949337265</v>
      </c>
      <c r="W73" s="2581">
        <v>0.84012576263208183</v>
      </c>
      <c r="X73" s="2581">
        <f>+X56/X$49*1000</f>
        <v>0.56866622642790321</v>
      </c>
      <c r="Y73" s="3029">
        <f t="shared" ref="Y73:Z73" si="135">+Y56/Y$5*1000</f>
        <v>0.84012576263208194</v>
      </c>
      <c r="Z73" s="3029">
        <f t="shared" si="135"/>
        <v>0.5528239276677932</v>
      </c>
      <c r="AA73" s="3030">
        <f>+AA56/AA$47*1000</f>
        <v>0.82240811176761031</v>
      </c>
      <c r="AB73" s="3030">
        <f>+AB56/AB$49*1000</f>
        <v>0.54413475857454052</v>
      </c>
      <c r="AC73" s="2581">
        <v>0.84012576263208183</v>
      </c>
      <c r="AD73" s="2581">
        <f>+AD56/AD$49*1000</f>
        <v>0.5245497368294908</v>
      </c>
      <c r="AE73" s="2817">
        <f t="shared" ref="AE73:AF73" si="136">+AE56/AE$5*1000</f>
        <v>0.82539320445386799</v>
      </c>
      <c r="AF73" s="2817">
        <f t="shared" si="136"/>
        <v>0.54173404141802994</v>
      </c>
      <c r="AG73" s="2580">
        <v>0.84012576263208183</v>
      </c>
      <c r="AH73" s="2580">
        <f>+AH56/AH$49*1000</f>
        <v>0.48801392059708509</v>
      </c>
      <c r="AI73" s="2817">
        <f t="shared" ref="AI73:AJ73" si="137">+AI56/AI$5*1000</f>
        <v>0.8274610836608457</v>
      </c>
      <c r="AJ73" s="2817">
        <f t="shared" si="137"/>
        <v>0.53444510527504419</v>
      </c>
      <c r="AK73" s="2580">
        <v>0.84012576263208183</v>
      </c>
      <c r="AL73" s="2580">
        <f>+AL56/AL$49*1000</f>
        <v>0.29867892604274571</v>
      </c>
      <c r="AM73" s="3029">
        <f t="shared" ref="AM73:AP73" si="138">+AM56/AM$5*1000</f>
        <v>0.84012576263208183</v>
      </c>
      <c r="AN73" s="3029">
        <f t="shared" si="138"/>
        <v>0.42919255817425217</v>
      </c>
      <c r="AO73" s="2817">
        <f t="shared" si="138"/>
        <v>0.82906329472219831</v>
      </c>
      <c r="AP73" s="2817">
        <f t="shared" si="138"/>
        <v>0.50575359622481431</v>
      </c>
      <c r="AQ73" s="2580">
        <v>0.84012576263208183</v>
      </c>
      <c r="AR73" s="2580">
        <f>+AR56/AR$49*1000</f>
        <v>0.38588472272735602</v>
      </c>
      <c r="AS73" s="2817">
        <f t="shared" ref="AS73:AT73" si="139">+AS56/AS$5*1000</f>
        <v>0.8303226363835674</v>
      </c>
      <c r="AT73" s="2817">
        <f t="shared" si="139"/>
        <v>0.49306230691875058</v>
      </c>
      <c r="AU73" s="2580">
        <v>0.84012576263208183</v>
      </c>
      <c r="AV73" s="2580">
        <f>+AV56/AV$49*1000</f>
        <v>0.77676453901299536</v>
      </c>
      <c r="AW73" s="2817">
        <f t="shared" ref="AW73:AX73" si="140">+AW56/AW$5*1000</f>
        <v>0.83122777506039403</v>
      </c>
      <c r="AX73" s="2817">
        <f t="shared" si="140"/>
        <v>0.5155042836339444</v>
      </c>
      <c r="AY73" s="2580">
        <v>0.84012576263208183</v>
      </c>
      <c r="AZ73" s="2580">
        <f>+AZ56/AZ$49*1000</f>
        <v>0.50572054918764486</v>
      </c>
      <c r="BA73" s="3029">
        <f t="shared" ref="BA73:BB73" si="141">+BA56/BA$5*1000</f>
        <v>0.84012576263208194</v>
      </c>
      <c r="BB73" s="3029">
        <f t="shared" si="141"/>
        <v>0.54059663489239695</v>
      </c>
      <c r="BC73" s="3030">
        <f>+BC56/BC$47*1000</f>
        <v>0.84012576152333052</v>
      </c>
      <c r="BD73" s="3030">
        <f>+BD56/BD$49*1000</f>
        <v>0.48537665192424706</v>
      </c>
      <c r="BE73" s="2817">
        <f t="shared" ref="BE73:BF73" si="142">+BE56/BE$5*1000</f>
        <v>0.83206108360199893</v>
      </c>
      <c r="BF73" s="101">
        <f t="shared" si="142"/>
        <v>0.51458950708914464</v>
      </c>
      <c r="BG73" s="3536"/>
      <c r="BH73" s="3536"/>
      <c r="BI73" s="3536"/>
      <c r="BJ73" s="3536"/>
      <c r="BK73" s="3238"/>
      <c r="BL73" s="3238"/>
      <c r="BM73" s="3238"/>
      <c r="BN73" s="3238"/>
      <c r="BO73" s="3238"/>
      <c r="BP73" s="3238"/>
      <c r="BQ73" s="3238"/>
    </row>
    <row r="74" spans="1:69" ht="13.8" x14ac:dyDescent="0.25">
      <c r="B74" s="682" t="s">
        <v>838</v>
      </c>
      <c r="C74" s="3036" t="s">
        <v>268</v>
      </c>
      <c r="D74" s="3038">
        <f>SUM(D72:D73)</f>
        <v>2.0279355333614584</v>
      </c>
      <c r="E74" s="3039">
        <f>SUM(E72:E73)</f>
        <v>2.0279355333614584</v>
      </c>
      <c r="F74" s="3039">
        <f>SUM(F72:F73)</f>
        <v>2.4593882869684141</v>
      </c>
      <c r="G74" s="3039">
        <f>SUM(G72:G73)</f>
        <v>2.0279355333614584</v>
      </c>
      <c r="H74" s="3039">
        <f>SUM(H72:H73)</f>
        <v>2.0722585321161793</v>
      </c>
      <c r="I74" s="3040">
        <f t="shared" ref="I74:J74" si="143">+I57/I$5*1000</f>
        <v>2.0279355333614579</v>
      </c>
      <c r="J74" s="3041">
        <f t="shared" si="143"/>
        <v>2.3413151839893893</v>
      </c>
      <c r="K74" s="3039">
        <f>SUM(K72:K73)</f>
        <v>2.4773579878777832</v>
      </c>
      <c r="L74" s="3039">
        <f>SUM(L72:L73)</f>
        <v>2.0948576174568183</v>
      </c>
      <c r="M74" s="3043">
        <f t="shared" si="132"/>
        <v>2.2050367224703571</v>
      </c>
      <c r="N74" s="3053">
        <f t="shared" si="132"/>
        <v>2.2350524227826578</v>
      </c>
      <c r="O74" s="3039">
        <f>SUM(O72:O73)</f>
        <v>2.4773579878777832</v>
      </c>
      <c r="P74" s="3039">
        <f>SUM(P72:P73)</f>
        <v>2.0499737071160773</v>
      </c>
      <c r="Q74" s="3040">
        <f t="shared" ref="Q74:R74" si="144">+Q57/Q$5*1000</f>
        <v>2.2826720316375333</v>
      </c>
      <c r="R74" s="3040">
        <f t="shared" si="144"/>
        <v>2.1776801229863794</v>
      </c>
      <c r="S74" s="3039">
        <f>SUM(S72:S73)</f>
        <v>2.4773579878777832</v>
      </c>
      <c r="T74" s="3039">
        <f>SUM(T72:T73)</f>
        <v>1.8138067220182124</v>
      </c>
      <c r="U74" s="3044">
        <f t="shared" ref="U74:V74" si="145">+U57/U$5*1000</f>
        <v>2.3258616885873766</v>
      </c>
      <c r="V74" s="3044">
        <f t="shared" si="145"/>
        <v>2.0957947731086706</v>
      </c>
      <c r="W74" s="3039">
        <f>SUM(W72:W73)</f>
        <v>2.4773579878777832</v>
      </c>
      <c r="X74" s="3039">
        <f>SUM(X72:X73)</f>
        <v>1.8602879655238385</v>
      </c>
      <c r="Y74" s="3043">
        <f t="shared" ref="Y74:Z74" si="146">+Y57/Y$5*1000</f>
        <v>2.4773579878777832</v>
      </c>
      <c r="Z74" s="3043">
        <f t="shared" si="146"/>
        <v>1.9119074375009573</v>
      </c>
      <c r="AA74" s="3045">
        <f>+AA57/AA$47*1000</f>
        <v>2.3416598769193757</v>
      </c>
      <c r="AB74" s="3045">
        <f>+AB57/AB$49*1000</f>
        <v>2.0541476917534589</v>
      </c>
      <c r="AC74" s="3039">
        <f>SUM(AC72:AC73)</f>
        <v>2.4773579878777832</v>
      </c>
      <c r="AD74" s="3039">
        <f>SUM(AD72:AD73)</f>
        <v>1.9252091404912162</v>
      </c>
      <c r="AE74" s="3044">
        <f t="shared" ref="AE74:AF74" si="147">+AE57/AE$5*1000</f>
        <v>2.3645224698025658</v>
      </c>
      <c r="AF74" s="3044">
        <f t="shared" si="147"/>
        <v>2.0383427315981426</v>
      </c>
      <c r="AG74" s="3042">
        <f>SUM(AG72:AG73)</f>
        <v>2.4773579878777832</v>
      </c>
      <c r="AH74" s="3042">
        <f>SUM(AH72:AH73)</f>
        <v>1.7516213935716805</v>
      </c>
      <c r="AI74" s="3044">
        <f t="shared" ref="AI74:AJ74" si="148">+AI57/AI$5*1000</f>
        <v>2.3803601959336151</v>
      </c>
      <c r="AJ74" s="3044">
        <f t="shared" si="148"/>
        <v>1.9994395420798663</v>
      </c>
      <c r="AK74" s="3042">
        <f>SUM(AK72:AK73)</f>
        <v>2.4773579878777832</v>
      </c>
      <c r="AL74" s="3042">
        <f>SUM(AL72:AL73)</f>
        <v>2.0119439142419413</v>
      </c>
      <c r="AM74" s="3043">
        <f t="shared" ref="AM74:AP74" si="149">+AM57/AM$5*1000</f>
        <v>2.4773579878777827</v>
      </c>
      <c r="AN74" s="3043">
        <f t="shared" si="149"/>
        <v>1.894869593884317</v>
      </c>
      <c r="AO74" s="3044">
        <f t="shared" si="149"/>
        <v>2.3926314059289648</v>
      </c>
      <c r="AP74" s="3044">
        <f t="shared" si="149"/>
        <v>2.0009616587887149</v>
      </c>
      <c r="AQ74" s="3042">
        <f t="shared" ref="AQ74" si="150">SUM(AQ72:AQ73)</f>
        <v>2.4773579878777832</v>
      </c>
      <c r="AR74" s="3042">
        <f>SUM(AR72:AR73)</f>
        <v>1.5602020948453781</v>
      </c>
      <c r="AS74" s="3044">
        <f t="shared" ref="AS74:AT74" si="151">+AS57/AS$5*1000</f>
        <v>2.4022766058375877</v>
      </c>
      <c r="AT74" s="3044">
        <f t="shared" si="151"/>
        <v>1.9542956312451079</v>
      </c>
      <c r="AU74" s="3042">
        <f t="shared" ref="AU74" si="152">SUM(AU72:AU73)</f>
        <v>2.4773579878777832</v>
      </c>
      <c r="AV74" s="3042">
        <f>SUM(AV72:AV73)</f>
        <v>1.5064304919942941</v>
      </c>
      <c r="AW74" s="3044">
        <f t="shared" ref="AW74:AX74" si="153">+AW57/AW$5*1000</f>
        <v>2.4092089926161915</v>
      </c>
      <c r="AX74" s="3044">
        <f t="shared" si="153"/>
        <v>1.9188679132345006</v>
      </c>
      <c r="AY74" s="3042">
        <f t="shared" ref="AY74" si="154">SUM(AY72:AY73)</f>
        <v>2.4773579878777832</v>
      </c>
      <c r="AZ74" s="3042">
        <f>SUM(AZ72:AZ73)</f>
        <v>2.2508709689253372</v>
      </c>
      <c r="BA74" s="3043">
        <f t="shared" ref="BA74:BB74" si="155">+BA57/BA$5*1000</f>
        <v>2.4773579878777836</v>
      </c>
      <c r="BB74" s="3043">
        <f t="shared" si="155"/>
        <v>1.7996463412211161</v>
      </c>
      <c r="BC74" s="3045">
        <f>+BC57/BC$47*1000</f>
        <v>2.4773579846083038</v>
      </c>
      <c r="BD74" s="3045">
        <f>+BD57/BD$49*1000</f>
        <v>1.8468444636504517</v>
      </c>
      <c r="BE74" s="3044">
        <f t="shared" ref="BE74:BF74" si="156">+BE57/BE$5*1000</f>
        <v>2.4155912379717552</v>
      </c>
      <c r="BF74" s="3046">
        <f t="shared" si="156"/>
        <v>1.9499097336503184</v>
      </c>
      <c r="BG74" s="3536"/>
      <c r="BH74" s="3536"/>
      <c r="BI74" s="3536"/>
      <c r="BJ74" s="3536"/>
      <c r="BK74" s="3238"/>
      <c r="BL74" s="3238"/>
      <c r="BM74" s="3238"/>
      <c r="BN74" s="3238"/>
      <c r="BO74" s="3238"/>
      <c r="BP74" s="3238"/>
      <c r="BQ74" s="3238"/>
    </row>
    <row r="75" spans="1:69" ht="13.8" x14ac:dyDescent="0.25">
      <c r="B75" s="681" t="s">
        <v>84</v>
      </c>
      <c r="C75" s="2589" t="s">
        <v>268</v>
      </c>
      <c r="D75" s="1239">
        <f>'Maj Techno Summ'!D69</f>
        <v>13.880650651935015</v>
      </c>
      <c r="E75" s="2581">
        <f>$D$75</f>
        <v>13.880650651935015</v>
      </c>
      <c r="F75" s="2581">
        <f>+F58/F$49*1000</f>
        <v>12.865870965707259</v>
      </c>
      <c r="G75" s="2581">
        <f>$D$75</f>
        <v>13.880650651935015</v>
      </c>
      <c r="H75" s="2581">
        <f>+H58/H$49*1000</f>
        <v>12.484592043241809</v>
      </c>
      <c r="I75" s="2817">
        <f t="shared" ref="I75:J75" si="157">+I58/I$5*1000</f>
        <v>13.880650651935015</v>
      </c>
      <c r="J75" s="2592">
        <f t="shared" si="157"/>
        <v>12.749582019197538</v>
      </c>
      <c r="K75" s="2581">
        <v>17.372968004908316</v>
      </c>
      <c r="L75" s="2581">
        <f>+L58/L$49*1000</f>
        <v>15.47730098544567</v>
      </c>
      <c r="M75" s="3029">
        <f t="shared" si="132"/>
        <v>15.256847034073608</v>
      </c>
      <c r="N75" s="3029">
        <f t="shared" si="132"/>
        <v>13.925687163502408</v>
      </c>
      <c r="O75" s="2581">
        <v>17.372968004908316</v>
      </c>
      <c r="P75" s="2581">
        <f>+P58/P$49*1000</f>
        <v>16.155369714926319</v>
      </c>
      <c r="Q75" s="2659">
        <f t="shared" ref="Q75:R75" si="158">+Q58/Q$5*1000</f>
        <v>15.860126052919629</v>
      </c>
      <c r="R75" s="2659">
        <f t="shared" si="158"/>
        <v>14.616852946711605</v>
      </c>
      <c r="S75" s="2581">
        <v>17.372968004908316</v>
      </c>
      <c r="T75" s="2581">
        <f>+T58/T$49*1000</f>
        <v>15.095501132282525</v>
      </c>
      <c r="U75" s="2817">
        <f t="shared" ref="U75:V75" si="159">+U58/U$5*1000</f>
        <v>16.19573898662858</v>
      </c>
      <c r="V75" s="2817">
        <f t="shared" si="159"/>
        <v>14.724563510252633</v>
      </c>
      <c r="W75" s="2581">
        <v>17.372968004908316</v>
      </c>
      <c r="X75" s="2581">
        <f>+X58/X$49*1000</f>
        <v>13.273771791157548</v>
      </c>
      <c r="Y75" s="3047">
        <f t="shared" ref="Y75:Z75" si="160">+Y58/Y$5*1000</f>
        <v>17.372968004908316</v>
      </c>
      <c r="Z75" s="3029">
        <f t="shared" si="160"/>
        <v>14.89439948978668</v>
      </c>
      <c r="AA75" s="3048">
        <f>+AA58/AA$47*1000</f>
        <v>16.318501627219728</v>
      </c>
      <c r="AB75" s="3030">
        <f>+AB58/AB$49*1000</f>
        <v>14.468005332239986</v>
      </c>
      <c r="AC75" s="2581">
        <v>17.372968004908316</v>
      </c>
      <c r="AD75" s="2581">
        <f>+AD58/AD$49*1000</f>
        <v>13.783381382647258</v>
      </c>
      <c r="AE75" s="2817">
        <f t="shared" ref="AE75:AF75" si="161">+AE58/AE$5*1000</f>
        <v>16.496159483558607</v>
      </c>
      <c r="AF75" s="2817">
        <f t="shared" si="161"/>
        <v>14.384085331319614</v>
      </c>
      <c r="AG75" s="2580">
        <v>17.372968004908316</v>
      </c>
      <c r="AH75" s="2580">
        <f>+AH58/AH$49*1000</f>
        <v>12.261349755001763</v>
      </c>
      <c r="AI75" s="2817">
        <f t="shared" ref="AI75:AJ75" si="162">+AI58/AI$5*1000</f>
        <v>16.619229359670221</v>
      </c>
      <c r="AJ75" s="2817">
        <f t="shared" si="162"/>
        <v>14.096066507673187</v>
      </c>
      <c r="AK75" s="2580">
        <v>17.372968004908316</v>
      </c>
      <c r="AL75" s="2580">
        <f>+AL58/AL$49*1000</f>
        <v>13.193074847488139</v>
      </c>
      <c r="AM75" s="3029">
        <f t="shared" ref="AM75:AP75" si="163">+AM58/AM$5*1000</f>
        <v>17.372968004908312</v>
      </c>
      <c r="AN75" s="3029">
        <f t="shared" si="163"/>
        <v>13.025061113288174</v>
      </c>
      <c r="AO75" s="2817">
        <f t="shared" si="163"/>
        <v>16.714584985936963</v>
      </c>
      <c r="AP75" s="2817">
        <f t="shared" si="163"/>
        <v>13.986179530064557</v>
      </c>
      <c r="AQ75" s="2580">
        <v>17.372968004908316</v>
      </c>
      <c r="AR75" s="2580">
        <f>+AR58/AR$49*1000</f>
        <v>13.190241431407806</v>
      </c>
      <c r="AS75" s="2817">
        <f t="shared" ref="AS75:AT75" si="164">+AS58/AS$5*1000</f>
        <v>16.789534732384389</v>
      </c>
      <c r="AT75" s="2817">
        <f t="shared" si="164"/>
        <v>13.901910314659178</v>
      </c>
      <c r="AU75" s="2580">
        <v>17.372968004908316</v>
      </c>
      <c r="AV75" s="2580">
        <f>+AV58/AV$49*1000</f>
        <v>13.0204835609774</v>
      </c>
      <c r="AW75" s="2817">
        <f t="shared" ref="AW75:AX75" si="165">+AW58/AW$5*1000</f>
        <v>16.843404080480266</v>
      </c>
      <c r="AX75" s="2817">
        <f t="shared" si="165"/>
        <v>13.832187068975099</v>
      </c>
      <c r="AY75" s="2580">
        <v>17.372968004908316</v>
      </c>
      <c r="AZ75" s="2580">
        <f>+AZ58/AZ$49*1000</f>
        <v>13.633728576050522</v>
      </c>
      <c r="BA75" s="3029">
        <f t="shared" ref="BA75:BB75" si="166">+BA58/BA$5*1000</f>
        <v>17.372968004908316</v>
      </c>
      <c r="BB75" s="3029">
        <f t="shared" si="166"/>
        <v>13.305762009344296</v>
      </c>
      <c r="BC75" s="3030">
        <f>+BC58/BC$47*1000</f>
        <v>17.372967981980434</v>
      </c>
      <c r="BD75" s="3030">
        <f>+BD58/BD$49*1000</f>
        <v>13.166618446104085</v>
      </c>
      <c r="BE75" s="2817">
        <f t="shared" ref="BE75:BF75" si="167">+BE58/BE$5*1000</f>
        <v>16.89299845651151</v>
      </c>
      <c r="BF75" s="101">
        <f t="shared" si="167"/>
        <v>13.813631187740828</v>
      </c>
      <c r="BG75" s="3536"/>
      <c r="BH75" s="3536"/>
      <c r="BI75" s="3536"/>
      <c r="BJ75" s="3536"/>
      <c r="BK75" s="3238"/>
      <c r="BL75" s="3238"/>
      <c r="BM75" s="3238"/>
      <c r="BN75" s="3238"/>
      <c r="BO75" s="3238"/>
      <c r="BP75" s="3238"/>
      <c r="BQ75" s="3238"/>
    </row>
    <row r="76" spans="1:69" ht="13.8" x14ac:dyDescent="0.25">
      <c r="B76" s="681" t="s">
        <v>1481</v>
      </c>
      <c r="C76" s="2589" t="s">
        <v>268</v>
      </c>
      <c r="D76" s="1023"/>
      <c r="E76" s="2348">
        <f>$D$76</f>
        <v>0</v>
      </c>
      <c r="F76" s="2348">
        <f>+F59/F$49*1000</f>
        <v>0</v>
      </c>
      <c r="G76" s="2348">
        <f>$D$76</f>
        <v>0</v>
      </c>
      <c r="H76" s="2348">
        <f>+H59/H$49*1000</f>
        <v>0</v>
      </c>
      <c r="I76" s="2349">
        <f t="shared" ref="I76:J76" si="168">+I59/I$5*1000</f>
        <v>0</v>
      </c>
      <c r="J76" s="35">
        <f t="shared" si="168"/>
        <v>0</v>
      </c>
      <c r="K76" s="2348">
        <f>+$D$76</f>
        <v>0</v>
      </c>
      <c r="L76" s="2348">
        <f>+L59/L$49*1000</f>
        <v>0</v>
      </c>
      <c r="M76" s="3029">
        <f t="shared" si="132"/>
        <v>0</v>
      </c>
      <c r="N76" s="3029">
        <f t="shared" si="132"/>
        <v>0</v>
      </c>
      <c r="O76" s="2348">
        <f>+$D$76</f>
        <v>0</v>
      </c>
      <c r="P76" s="2348">
        <f>+P59/P$49*1000</f>
        <v>0</v>
      </c>
      <c r="Q76" s="2659">
        <f t="shared" ref="Q76:R76" si="169">+Q59/Q$5*1000</f>
        <v>0</v>
      </c>
      <c r="R76" s="2659">
        <f t="shared" si="169"/>
        <v>0</v>
      </c>
      <c r="S76" s="2348">
        <f>+$D$76</f>
        <v>0</v>
      </c>
      <c r="T76" s="2348">
        <f>+T59/T$49*1000</f>
        <v>0</v>
      </c>
      <c r="U76" s="2817">
        <f t="shared" ref="U76:V76" si="170">+U59/U$5*1000</f>
        <v>0</v>
      </c>
      <c r="V76" s="2817">
        <f t="shared" si="170"/>
        <v>0</v>
      </c>
      <c r="W76" s="2348">
        <f>+$D$76</f>
        <v>0</v>
      </c>
      <c r="X76" s="2348">
        <f>+X59/X$49*1000</f>
        <v>0</v>
      </c>
      <c r="Y76" s="3029">
        <f t="shared" ref="Y76:Z76" si="171">+Y59/Y$5*1000</f>
        <v>0</v>
      </c>
      <c r="Z76" s="3029">
        <f t="shared" si="171"/>
        <v>0</v>
      </c>
      <c r="AA76" s="3030">
        <f t="shared" ref="AA76" si="172">+AA59/AA$5*1000</f>
        <v>0</v>
      </c>
      <c r="AB76" s="3030">
        <f t="shared" ref="AB76" si="173">+AB59/AB$5*1000</f>
        <v>0</v>
      </c>
      <c r="AC76" s="2348">
        <f>+$D$76</f>
        <v>0</v>
      </c>
      <c r="AD76" s="2348">
        <f>+AD59/AD$49*1000</f>
        <v>0</v>
      </c>
      <c r="AE76" s="2817">
        <f t="shared" ref="AE76:AF76" si="174">+AE59/AE$5*1000</f>
        <v>0</v>
      </c>
      <c r="AF76" s="2817">
        <f t="shared" si="174"/>
        <v>0</v>
      </c>
      <c r="AG76" s="2580">
        <f>+$D$76</f>
        <v>0</v>
      </c>
      <c r="AH76" s="2580">
        <f>+AH59/AH$49*1000</f>
        <v>0</v>
      </c>
      <c r="AI76" s="2817">
        <f t="shared" ref="AI76:AJ76" si="175">+AI59/AI$5*1000</f>
        <v>0</v>
      </c>
      <c r="AJ76" s="2817">
        <f t="shared" si="175"/>
        <v>0</v>
      </c>
      <c r="AK76" s="2580">
        <f>+$D$76</f>
        <v>0</v>
      </c>
      <c r="AL76" s="2580">
        <f>+AL59/AL$49*1000</f>
        <v>0</v>
      </c>
      <c r="AM76" s="3029">
        <f t="shared" ref="AM76:AP76" si="176">+AM59/AM$5*1000</f>
        <v>0</v>
      </c>
      <c r="AN76" s="3029">
        <f t="shared" si="176"/>
        <v>0</v>
      </c>
      <c r="AO76" s="2817">
        <f t="shared" si="176"/>
        <v>0</v>
      </c>
      <c r="AP76" s="2817">
        <f t="shared" si="176"/>
        <v>0</v>
      </c>
      <c r="AQ76" s="2580">
        <f>+$D$76</f>
        <v>0</v>
      </c>
      <c r="AR76" s="2580">
        <f>+AR59/AR$49*1000</f>
        <v>0</v>
      </c>
      <c r="AS76" s="2817">
        <f t="shared" ref="AS76:AT76" si="177">+AS59/AS$5*1000</f>
        <v>0</v>
      </c>
      <c r="AT76" s="2817">
        <f t="shared" si="177"/>
        <v>0</v>
      </c>
      <c r="AU76" s="2580">
        <f>+$D$76</f>
        <v>0</v>
      </c>
      <c r="AV76" s="2580">
        <f>+AV59/AV$49*1000</f>
        <v>0</v>
      </c>
      <c r="AW76" s="2817">
        <f t="shared" ref="AW76:AX76" si="178">+AW59/AW$5*1000</f>
        <v>0</v>
      </c>
      <c r="AX76" s="2817">
        <f t="shared" si="178"/>
        <v>0</v>
      </c>
      <c r="AY76" s="2580">
        <f>+$D$76</f>
        <v>0</v>
      </c>
      <c r="AZ76" s="2580">
        <f>+AZ59/AZ$49*1000</f>
        <v>0</v>
      </c>
      <c r="BA76" s="3029">
        <f t="shared" ref="BA76:BD79" si="179">+BA59/BA$5*1000</f>
        <v>0</v>
      </c>
      <c r="BB76" s="3029">
        <f t="shared" si="179"/>
        <v>0</v>
      </c>
      <c r="BC76" s="3030">
        <f t="shared" si="179"/>
        <v>0</v>
      </c>
      <c r="BD76" s="3030">
        <f t="shared" si="179"/>
        <v>0</v>
      </c>
      <c r="BE76" s="2817">
        <f t="shared" ref="BE76:BF76" si="180">+BE59/BE$5*1000</f>
        <v>0</v>
      </c>
      <c r="BF76" s="101">
        <f t="shared" si="180"/>
        <v>0</v>
      </c>
      <c r="BG76" s="3536"/>
      <c r="BH76" s="3536"/>
      <c r="BI76" s="3536"/>
      <c r="BJ76" s="3536"/>
      <c r="BK76" s="3238"/>
      <c r="BL76" s="3238"/>
      <c r="BM76" s="3238"/>
      <c r="BN76" s="3238"/>
      <c r="BO76" s="3238"/>
      <c r="BP76" s="3238"/>
      <c r="BQ76" s="3238"/>
    </row>
    <row r="77" spans="1:69" ht="13.8" x14ac:dyDescent="0.25">
      <c r="B77" s="682" t="s">
        <v>1482</v>
      </c>
      <c r="C77" s="3036" t="s">
        <v>268</v>
      </c>
      <c r="D77" s="3038">
        <f>SUM(D75:D76)</f>
        <v>13.880650651935015</v>
      </c>
      <c r="E77" s="3039">
        <f>SUM(E75:E76)</f>
        <v>13.880650651935015</v>
      </c>
      <c r="F77" s="3039">
        <f>SUM(F75:F76)</f>
        <v>12.865870965707259</v>
      </c>
      <c r="G77" s="3039">
        <f>SUM(G75:G76)</f>
        <v>13.880650651935015</v>
      </c>
      <c r="H77" s="3039">
        <f>SUM(H75:H76)</f>
        <v>12.484592043241809</v>
      </c>
      <c r="I77" s="3040">
        <f t="shared" ref="I77:J77" si="181">+I60/I$5*1000</f>
        <v>13.880650651935015</v>
      </c>
      <c r="J77" s="3041">
        <f t="shared" si="181"/>
        <v>12.749582019197538</v>
      </c>
      <c r="K77" s="3039">
        <f>SUM(K75:K76)</f>
        <v>17.372968004908316</v>
      </c>
      <c r="L77" s="3039">
        <f>SUM(L75:L76)</f>
        <v>15.47730098544567</v>
      </c>
      <c r="M77" s="3043">
        <f t="shared" si="132"/>
        <v>15.256847034073608</v>
      </c>
      <c r="N77" s="3043">
        <f t="shared" si="132"/>
        <v>13.925687163502408</v>
      </c>
      <c r="O77" s="3039">
        <f>SUM(O75:O76)</f>
        <v>17.372968004908316</v>
      </c>
      <c r="P77" s="3039">
        <f>SUM(P75:P76)</f>
        <v>16.155369714926319</v>
      </c>
      <c r="Q77" s="3044">
        <f t="shared" ref="Q77:R77" si="182">+Q60/Q$5*1000</f>
        <v>15.860126052919629</v>
      </c>
      <c r="R77" s="3044">
        <f t="shared" si="182"/>
        <v>14.616852946711605</v>
      </c>
      <c r="S77" s="3039">
        <f>SUM(S75:S76)</f>
        <v>17.372968004908316</v>
      </c>
      <c r="T77" s="3039">
        <f>SUM(T75:T76)</f>
        <v>15.095501132282525</v>
      </c>
      <c r="U77" s="3044">
        <f t="shared" ref="U77:V77" si="183">+U60/U$5*1000</f>
        <v>16.19573898662858</v>
      </c>
      <c r="V77" s="3044">
        <f t="shared" si="183"/>
        <v>14.724563510252633</v>
      </c>
      <c r="W77" s="3039">
        <f>SUM(W75:W76)</f>
        <v>17.372968004908316</v>
      </c>
      <c r="X77" s="3039">
        <f>SUM(X75:X76)</f>
        <v>13.273771791157548</v>
      </c>
      <c r="Y77" s="3043">
        <f t="shared" ref="Y77:Z77" si="184">+Y60/Y$5*1000</f>
        <v>17.372968004908316</v>
      </c>
      <c r="Z77" s="3043">
        <f t="shared" si="184"/>
        <v>14.89439948978668</v>
      </c>
      <c r="AA77" s="3045">
        <f t="shared" ref="AA77" si="185">+AA60/AA$5*1000</f>
        <v>16.318501627219732</v>
      </c>
      <c r="AB77" s="3045">
        <f t="shared" ref="AB77" si="186">+AB60/AB$5*1000</f>
        <v>14.467999354522357</v>
      </c>
      <c r="AC77" s="3039">
        <f>SUM(AC75:AC76)</f>
        <v>17.372968004908316</v>
      </c>
      <c r="AD77" s="3039">
        <f>SUM(AD75:AD76)</f>
        <v>13.783381382647258</v>
      </c>
      <c r="AE77" s="3044">
        <f t="shared" ref="AE77:AF77" si="187">+AE60/AE$5*1000</f>
        <v>16.496159483558607</v>
      </c>
      <c r="AF77" s="3044">
        <f t="shared" si="187"/>
        <v>14.384085331319614</v>
      </c>
      <c r="AG77" s="3042">
        <f>SUM(AG75:AG76)</f>
        <v>17.372968004908316</v>
      </c>
      <c r="AH77" s="3042">
        <f>SUM(AH75:AH76)</f>
        <v>12.261349755001763</v>
      </c>
      <c r="AI77" s="3044">
        <f t="shared" ref="AI77:AJ77" si="188">+AI60/AI$5*1000</f>
        <v>16.619229359670221</v>
      </c>
      <c r="AJ77" s="3044">
        <f t="shared" si="188"/>
        <v>14.096066507673187</v>
      </c>
      <c r="AK77" s="3042">
        <f>SUM(AK75:AK76)</f>
        <v>17.372968004908316</v>
      </c>
      <c r="AL77" s="3042">
        <f>SUM(AL75:AL76)</f>
        <v>13.193074847488139</v>
      </c>
      <c r="AM77" s="3043">
        <f t="shared" ref="AM77:AP77" si="189">+AM60/AM$5*1000</f>
        <v>17.372968004908312</v>
      </c>
      <c r="AN77" s="3043">
        <f t="shared" si="189"/>
        <v>13.025061113288174</v>
      </c>
      <c r="AO77" s="3044">
        <f t="shared" si="189"/>
        <v>16.714584985936963</v>
      </c>
      <c r="AP77" s="3044">
        <f t="shared" si="189"/>
        <v>13.986179530064557</v>
      </c>
      <c r="AQ77" s="3042">
        <f t="shared" ref="AQ77:AR77" si="190">SUM(AQ75:AQ76)</f>
        <v>17.372968004908316</v>
      </c>
      <c r="AR77" s="3042">
        <f t="shared" si="190"/>
        <v>13.190241431407806</v>
      </c>
      <c r="AS77" s="3044">
        <f t="shared" ref="AS77:AT77" si="191">+AS60/AS$5*1000</f>
        <v>16.789534732384389</v>
      </c>
      <c r="AT77" s="3044">
        <f t="shared" si="191"/>
        <v>13.901910314659178</v>
      </c>
      <c r="AU77" s="3042">
        <f t="shared" ref="AU77:AV77" si="192">SUM(AU75:AU76)</f>
        <v>17.372968004908316</v>
      </c>
      <c r="AV77" s="3042">
        <f t="shared" si="192"/>
        <v>13.0204835609774</v>
      </c>
      <c r="AW77" s="3044">
        <f t="shared" ref="AW77:AX77" si="193">+AW60/AW$5*1000</f>
        <v>16.843404080480266</v>
      </c>
      <c r="AX77" s="3044">
        <f t="shared" si="193"/>
        <v>13.832187068975099</v>
      </c>
      <c r="AY77" s="3042">
        <f t="shared" ref="AY77:AZ77" si="194">SUM(AY75:AY76)</f>
        <v>17.372968004908316</v>
      </c>
      <c r="AZ77" s="3042">
        <f t="shared" si="194"/>
        <v>13.633728576050522</v>
      </c>
      <c r="BA77" s="3043">
        <f t="shared" ref="BA77:BB77" si="195">+BA60/BA$5*1000</f>
        <v>17.372968004908316</v>
      </c>
      <c r="BB77" s="3043">
        <f t="shared" si="195"/>
        <v>13.305762009344296</v>
      </c>
      <c r="BC77" s="3045">
        <f t="shared" si="179"/>
        <v>17.372968004908312</v>
      </c>
      <c r="BD77" s="3045">
        <f t="shared" si="179"/>
        <v>13.16662697100521</v>
      </c>
      <c r="BE77" s="3044">
        <f t="shared" ref="BE77:BF77" si="196">+BE60/BE$5*1000</f>
        <v>16.89299845651151</v>
      </c>
      <c r="BF77" s="3046">
        <f t="shared" si="196"/>
        <v>13.813631187740828</v>
      </c>
      <c r="BG77" s="3536"/>
      <c r="BH77" s="3536"/>
      <c r="BI77" s="3536"/>
      <c r="BJ77" s="3536"/>
      <c r="BK77" s="3238"/>
      <c r="BL77" s="3238"/>
      <c r="BM77" s="3238"/>
      <c r="BN77" s="3238"/>
      <c r="BO77" s="3238"/>
      <c r="BP77" s="3238"/>
      <c r="BQ77" s="3238"/>
    </row>
    <row r="78" spans="1:69" ht="13.8" x14ac:dyDescent="0.25">
      <c r="A78" s="2960"/>
      <c r="B78" s="682" t="s">
        <v>85</v>
      </c>
      <c r="C78" s="3036" t="s">
        <v>268</v>
      </c>
      <c r="D78" s="3038">
        <f>'Maj Techno Summ'!D72</f>
        <v>2.1355316639068298</v>
      </c>
      <c r="E78" s="3039">
        <f>$D$78</f>
        <v>2.1355316639068298</v>
      </c>
      <c r="F78" s="2581">
        <f>+F61/F$49*1000</f>
        <v>2.1592443612363854</v>
      </c>
      <c r="G78" s="3039">
        <f>$D$78</f>
        <v>2.1355316639068298</v>
      </c>
      <c r="H78" s="2581">
        <f>+H61/H$49*1000</f>
        <v>2.4805853364740469</v>
      </c>
      <c r="I78" s="2817">
        <f t="shared" ref="I78:J78" si="197">+I61/I$5*1000</f>
        <v>2.1355316639068298</v>
      </c>
      <c r="J78" s="101">
        <f t="shared" si="197"/>
        <v>2.2572520058408343</v>
      </c>
      <c r="K78" s="3039">
        <v>2.1669656814109719</v>
      </c>
      <c r="L78" s="2581">
        <f>+L61/L$49*1000</f>
        <v>2.1614412291802991</v>
      </c>
      <c r="M78" s="3029">
        <f t="shared" si="132"/>
        <v>2.1479186771112428</v>
      </c>
      <c r="N78" s="3029">
        <f t="shared" si="132"/>
        <v>2.2159429016718617</v>
      </c>
      <c r="O78" s="3039">
        <v>2.1669656814109719</v>
      </c>
      <c r="P78" s="2581">
        <f>+P61/P$49*1000</f>
        <v>1.9155190854720372</v>
      </c>
      <c r="Q78" s="2817">
        <f t="shared" ref="Q78:R78" si="198">+Q61/Q$5*1000</f>
        <v>2.1533487343831408</v>
      </c>
      <c r="R78" s="2817">
        <f t="shared" si="198"/>
        <v>2.1228152931313868</v>
      </c>
      <c r="S78" s="3039">
        <v>2.1669656814109719</v>
      </c>
      <c r="T78" s="2581">
        <f>+T61/T$49*1000</f>
        <v>2.1715180245044028</v>
      </c>
      <c r="U78" s="2817">
        <f t="shared" ref="U78:V78" si="199">+U61/U$5*1000</f>
        <v>2.1563695545912021</v>
      </c>
      <c r="V78" s="2817">
        <f t="shared" si="199"/>
        <v>2.133774779245476</v>
      </c>
      <c r="W78" s="3039">
        <v>2.1669656814109719</v>
      </c>
      <c r="X78" s="2581">
        <f>+X61/X$49*1000</f>
        <v>2.1203756194714845</v>
      </c>
      <c r="Y78" s="3043">
        <f t="shared" ref="Y78:Z78" si="200">+Y61/Y$5*1000</f>
        <v>2.1669656814109719</v>
      </c>
      <c r="Z78" s="3043">
        <f t="shared" si="200"/>
        <v>2.0649352276952255</v>
      </c>
      <c r="AA78" s="3045">
        <f t="shared" ref="AA78" si="201">+AA61/AA$5*1000</f>
        <v>2.1574745294841371</v>
      </c>
      <c r="AB78" s="3045">
        <f t="shared" ref="AB78" si="202">+AB61/AB$5*1000</f>
        <v>2.1314045920900928</v>
      </c>
      <c r="AC78" s="3039">
        <v>2.1669656814109719</v>
      </c>
      <c r="AD78" s="2581">
        <f>+AD61/AD$49*1000</f>
        <v>2.1595824271597124</v>
      </c>
      <c r="AE78" s="2817">
        <f t="shared" ref="AE78:AF78" si="203">+AE61/AE$5*1000</f>
        <v>2.1590736110112356</v>
      </c>
      <c r="AF78" s="2817">
        <f t="shared" si="203"/>
        <v>2.1348589439469432</v>
      </c>
      <c r="AG78" s="3042">
        <v>2.1669656814109719</v>
      </c>
      <c r="AH78" s="2580">
        <f>+AH61/AH$49*1000</f>
        <v>2.1917053755386946</v>
      </c>
      <c r="AI78" s="2817">
        <f t="shared" ref="AI78:AJ78" si="204">+AI61/AI$5*1000</f>
        <v>2.1601813513019712</v>
      </c>
      <c r="AJ78" s="2817">
        <f t="shared" si="204"/>
        <v>2.1425715086368462</v>
      </c>
      <c r="AK78" s="3042">
        <v>2.1669656814109719</v>
      </c>
      <c r="AL78" s="2580">
        <f>+AL61/AL$49*1000</f>
        <v>2.2912940469279208</v>
      </c>
      <c r="AM78" s="3043">
        <f t="shared" ref="AM78:AP78" si="205">+AM61/AM$5*1000</f>
        <v>2.1669656814109723</v>
      </c>
      <c r="AN78" s="3043">
        <f t="shared" si="205"/>
        <v>2.219049929400934</v>
      </c>
      <c r="AO78" s="2817">
        <f t="shared" si="205"/>
        <v>2.1610396382565158</v>
      </c>
      <c r="AP78" s="2817">
        <f t="shared" si="205"/>
        <v>2.1606707518125869</v>
      </c>
      <c r="AQ78" s="3042">
        <v>2.1669656814109719</v>
      </c>
      <c r="AR78" s="2580">
        <f>+AR61/AR$49*1000</f>
        <v>2.4512450000521815</v>
      </c>
      <c r="AS78" s="2817">
        <f t="shared" ref="AS78:AT78" si="206">+AS61/AS$5*1000</f>
        <v>2.161714253820807</v>
      </c>
      <c r="AT78" s="2817">
        <f t="shared" si="206"/>
        <v>2.191436315571019</v>
      </c>
      <c r="AU78" s="3042">
        <v>2.1669656814109719</v>
      </c>
      <c r="AV78" s="2580">
        <f>+AV61/AV$49*1000</f>
        <v>2.259261987749503</v>
      </c>
      <c r="AW78" s="2817">
        <f t="shared" ref="AW78:AX78" si="207">+AW61/AW$5*1000</f>
        <v>2.1621991267174643</v>
      </c>
      <c r="AX78" s="2817">
        <f t="shared" si="207"/>
        <v>2.1968017471446006</v>
      </c>
      <c r="AY78" s="3042">
        <v>2.1669656814109719</v>
      </c>
      <c r="AZ78" s="2580">
        <f>+AZ61/AZ$49*1000</f>
        <v>2.0187369463474019</v>
      </c>
      <c r="BA78" s="3043">
        <f t="shared" ref="BA78:BB78" si="208">+BA61/BA$5*1000</f>
        <v>2.1669656814109719</v>
      </c>
      <c r="BB78" s="3043">
        <f t="shared" si="208"/>
        <v>2.2374954722811906</v>
      </c>
      <c r="BC78" s="3045">
        <f t="shared" si="179"/>
        <v>2.1669656814109723</v>
      </c>
      <c r="BD78" s="3045">
        <f t="shared" si="179"/>
        <v>2.228352568386375</v>
      </c>
      <c r="BE78" s="2817">
        <f t="shared" ref="BE78:BF78" si="209">+BE61/BE$5*1000</f>
        <v>2.1626455209957354</v>
      </c>
      <c r="BF78" s="101">
        <f t="shared" si="209"/>
        <v>2.1801528753068631</v>
      </c>
      <c r="BG78" s="3536"/>
      <c r="BH78" s="3536"/>
      <c r="BI78" s="3536"/>
      <c r="BJ78" s="3536"/>
      <c r="BK78" s="3238"/>
      <c r="BL78" s="3238"/>
      <c r="BM78" s="3238"/>
      <c r="BN78" s="3238"/>
      <c r="BO78" s="3238"/>
      <c r="BP78" s="3238"/>
      <c r="BQ78" s="3238"/>
    </row>
    <row r="79" spans="1:69" ht="13.8" x14ac:dyDescent="0.25">
      <c r="A79" s="2960"/>
      <c r="B79" s="3037" t="str">
        <f>+'Maj Techno Summ'!B19</f>
        <v>Ferro Alloys (FeMn+LCFeMn+SiMn+FeSi)</v>
      </c>
      <c r="C79" s="3036" t="s">
        <v>268</v>
      </c>
      <c r="D79" s="3038">
        <f>+D74+D77+D78</f>
        <v>18.044117849203303</v>
      </c>
      <c r="E79" s="3039">
        <f>+$D$79</f>
        <v>18.044117849203303</v>
      </c>
      <c r="F79" s="3039">
        <f>+F74+F77+F78</f>
        <v>17.484503613912057</v>
      </c>
      <c r="G79" s="3039">
        <f>+$D$79</f>
        <v>18.044117849203303</v>
      </c>
      <c r="H79" s="3039">
        <f>+H74+H77+H78</f>
        <v>17.037435911832034</v>
      </c>
      <c r="I79" s="3040">
        <f t="shared" ref="I79:J79" si="210">+I62/I$5*1000</f>
        <v>18.044117849203303</v>
      </c>
      <c r="J79" s="3041">
        <f t="shared" si="210"/>
        <v>17.348149209027763</v>
      </c>
      <c r="K79" s="3039">
        <f>+$D$79</f>
        <v>18.044117849203303</v>
      </c>
      <c r="L79" s="3039">
        <f>+L74+L77+L78</f>
        <v>19.733599832082785</v>
      </c>
      <c r="M79" s="3043">
        <f t="shared" si="132"/>
        <v>19.609802433655208</v>
      </c>
      <c r="N79" s="3043">
        <f t="shared" si="132"/>
        <v>18.376682487956927</v>
      </c>
      <c r="O79" s="3039">
        <f>+$D$79</f>
        <v>18.044117849203303</v>
      </c>
      <c r="P79" s="3039">
        <f>+P74+P77+P78</f>
        <v>20.120862507514435</v>
      </c>
      <c r="Q79" s="2817">
        <f t="shared" ref="Q79:R79" si="211">+Q62/Q$5*1000</f>
        <v>20.296146818940301</v>
      </c>
      <c r="R79" s="2817">
        <f t="shared" si="211"/>
        <v>18.917348362829372</v>
      </c>
      <c r="S79" s="3039">
        <f>+$D$79</f>
        <v>18.044117849203303</v>
      </c>
      <c r="T79" s="3039">
        <f>+T74+T77+T78</f>
        <v>19.080825878805143</v>
      </c>
      <c r="U79" s="2817">
        <f t="shared" ref="U79:V79" si="212">+U62/U$5*1000</f>
        <v>20.677970229807155</v>
      </c>
      <c r="V79" s="2817">
        <f t="shared" si="212"/>
        <v>18.954133062606779</v>
      </c>
      <c r="W79" s="3039">
        <f>+$D$79</f>
        <v>18.044117849203303</v>
      </c>
      <c r="X79" s="3039">
        <f>+X74+X77+X78</f>
        <v>17.25443537615287</v>
      </c>
      <c r="Y79" s="3043">
        <f t="shared" ref="Y79:Z79" si="213">+Y62/Y$5*1000</f>
        <v>22.017291674197072</v>
      </c>
      <c r="Z79" s="3043">
        <f t="shared" si="213"/>
        <v>18.871242154982866</v>
      </c>
      <c r="AA79" s="3045">
        <f t="shared" ref="AA79" si="214">+AA62/AA$5*1000</f>
        <v>20.817636033623245</v>
      </c>
      <c r="AB79" s="3045">
        <f t="shared" ref="AB79" si="215">+AB62/AB$5*1000</f>
        <v>18.6535507896577</v>
      </c>
      <c r="AC79" s="3039">
        <f>+$D$79</f>
        <v>18.044117849203303</v>
      </c>
      <c r="AD79" s="3039">
        <f>+AD74+AD77+AD78</f>
        <v>17.868172950298188</v>
      </c>
      <c r="AE79" s="2817">
        <f t="shared" ref="AE79:AF79" si="216">+AE62/AE$5*1000</f>
        <v>21.019755564372407</v>
      </c>
      <c r="AF79" s="2817">
        <f t="shared" si="216"/>
        <v>18.557287006864701</v>
      </c>
      <c r="AG79" s="3042">
        <f>+$D$79</f>
        <v>18.044117849203303</v>
      </c>
      <c r="AH79" s="3042">
        <f>+AH74+AH77+AH78</f>
        <v>16.204676524112138</v>
      </c>
      <c r="AI79" s="2817">
        <f t="shared" ref="AI79:AJ79" si="217">+AI62/AI$5*1000</f>
        <v>21.159770906905806</v>
      </c>
      <c r="AJ79" s="2817">
        <f t="shared" si="217"/>
        <v>18.238077558389904</v>
      </c>
      <c r="AK79" s="3042">
        <f>+$D$79</f>
        <v>18.044117849203303</v>
      </c>
      <c r="AL79" s="3042">
        <f>+AL74+AL77+AL78</f>
        <v>17.496312808658001</v>
      </c>
      <c r="AM79" s="3043">
        <f t="shared" ref="AM79:AP79" si="218">+AM62/AM$5*1000</f>
        <v>22.017291674197068</v>
      </c>
      <c r="AN79" s="3043">
        <f t="shared" si="218"/>
        <v>17.138980636573425</v>
      </c>
      <c r="AO79" s="2817">
        <f t="shared" si="218"/>
        <v>21.268256030122441</v>
      </c>
      <c r="AP79" s="2817">
        <f t="shared" si="218"/>
        <v>18.147811940665861</v>
      </c>
      <c r="AQ79" s="3042">
        <f>+$D$79</f>
        <v>18.044117849203303</v>
      </c>
      <c r="AR79" s="3042">
        <f>+AR74+AR77+AR78</f>
        <v>17.201688526305364</v>
      </c>
      <c r="AS79" s="2817">
        <f t="shared" ref="AS79:AT79" si="219">+AS62/AS$5*1000</f>
        <v>21.353525592042786</v>
      </c>
      <c r="AT79" s="2817">
        <f t="shared" si="219"/>
        <v>18.04764226147531</v>
      </c>
      <c r="AU79" s="3042">
        <f>+$D$79</f>
        <v>18.044117849203303</v>
      </c>
      <c r="AV79" s="3042">
        <f>+AV74+AV77+AV78</f>
        <v>16.786176040721198</v>
      </c>
      <c r="AW79" s="2817">
        <f t="shared" ref="AW79:AX79" si="220">+AW62/AW$5*1000</f>
        <v>21.414812199813916</v>
      </c>
      <c r="AX79" s="2817">
        <f t="shared" si="220"/>
        <v>17.947856729354204</v>
      </c>
      <c r="AY79" s="3042">
        <f>+$D$79</f>
        <v>18.044117849203303</v>
      </c>
      <c r="AZ79" s="3042">
        <f>+AZ74+AZ77+AZ78</f>
        <v>17.903336491323262</v>
      </c>
      <c r="BA79" s="3043">
        <f t="shared" ref="BA79:BB79" si="221">+BA62/BA$5*1000</f>
        <v>22.017291674197072</v>
      </c>
      <c r="BB79" s="3043">
        <f t="shared" si="221"/>
        <v>17.342903822846601</v>
      </c>
      <c r="BC79" s="3045">
        <f t="shared" si="179"/>
        <v>22.017291674197072</v>
      </c>
      <c r="BD79" s="3045">
        <f t="shared" si="179"/>
        <v>17.241825198805891</v>
      </c>
      <c r="BE79" s="2817">
        <f t="shared" ref="BE79:BF79" si="222">+BE62/BE$5*1000</f>
        <v>21.471235215478998</v>
      </c>
      <c r="BF79" s="101">
        <f t="shared" si="222"/>
        <v>17.943693796698014</v>
      </c>
      <c r="BG79" s="3536"/>
      <c r="BH79" s="3536"/>
      <c r="BI79" s="3536"/>
      <c r="BJ79" s="3536"/>
      <c r="BK79" s="3238"/>
      <c r="BL79" s="3238"/>
      <c r="BM79" s="3238"/>
      <c r="BN79" s="3238"/>
      <c r="BO79" s="3238"/>
      <c r="BP79" s="3238"/>
      <c r="BQ79" s="3238"/>
    </row>
    <row r="80" spans="1:69" ht="13.8" x14ac:dyDescent="0.25">
      <c r="B80" s="8" t="s">
        <v>86</v>
      </c>
      <c r="C80" s="2589" t="s">
        <v>268</v>
      </c>
      <c r="D80" s="1239">
        <v>1.1139081918501137</v>
      </c>
      <c r="E80" s="2581">
        <f>$D$80</f>
        <v>1.1139081918501137</v>
      </c>
      <c r="F80" s="2581">
        <f t="shared" ref="F80:H87" si="223">+F63/F$49*1000</f>
        <v>1.1714572623720223</v>
      </c>
      <c r="G80" s="2412">
        <f>$D$80</f>
        <v>1.1139081918501137</v>
      </c>
      <c r="H80" s="2412">
        <f t="shared" ref="H80" si="224">+H63/H$49*1000</f>
        <v>1.3627907095443839</v>
      </c>
      <c r="I80" s="2817">
        <f t="shared" ref="I80:I87" si="225">+I63/I$47*1000</f>
        <v>1.1139081918501139</v>
      </c>
      <c r="J80" s="2592">
        <f t="shared" ref="J80:J87" si="226">+J63/J$49*1000</f>
        <v>1.2298132000925692</v>
      </c>
      <c r="K80" s="2581">
        <v>1.9952000000000001</v>
      </c>
      <c r="L80" s="2581">
        <f t="shared" ref="L80" si="227">+L63/L$49*1000</f>
        <v>1.0453750267505104</v>
      </c>
      <c r="M80" s="3029">
        <f t="shared" ref="M80:M87" si="228">+M63/M$47*1000</f>
        <v>1.4611935257421411</v>
      </c>
      <c r="N80" s="3029">
        <f t="shared" ref="N80:N87" si="229">+N63/N$49*1000</f>
        <v>1.1502898597618669</v>
      </c>
      <c r="O80" s="2581">
        <v>1.9952000000000001</v>
      </c>
      <c r="P80" s="2581">
        <f t="shared" ref="P80:P87" si="230">+P63/P$49*1000</f>
        <v>1.0131600821708306</v>
      </c>
      <c r="Q80" s="2817">
        <f t="shared" ref="Q80:Q87" si="231">+Q63/Q$47*1000</f>
        <v>1.6134319404111412</v>
      </c>
      <c r="R80" s="2817">
        <f t="shared" ref="R80:R87" si="232">+R63/R$49*1000</f>
        <v>1.1077816153174143</v>
      </c>
      <c r="S80" s="2581">
        <v>1.9952000000000001</v>
      </c>
      <c r="T80" s="2581">
        <f t="shared" ref="T80:T87" si="233">+T63/T$49*1000</f>
        <v>1.1236343266330922</v>
      </c>
      <c r="U80" s="2817">
        <f t="shared" ref="U80:U87" si="234">+U63/U$47*1000</f>
        <v>1.6981243951031608</v>
      </c>
      <c r="V80" s="2817">
        <f t="shared" ref="V80:V87" si="235">+V63/V$49*1000</f>
        <v>1.1113490596627955</v>
      </c>
      <c r="W80" s="2581">
        <v>1.9952000000000001</v>
      </c>
      <c r="X80" s="2581">
        <f t="shared" ref="X80:X87" si="236">+X63/X$49*1000</f>
        <v>1.3026424023988017</v>
      </c>
      <c r="Y80" s="3029">
        <f t="shared" ref="Y80:Y87" si="237">+Y63/Y$47*1000</f>
        <v>1.9951999999999985</v>
      </c>
      <c r="Z80" s="3029">
        <f t="shared" ref="Z80:Z87" si="238">+Z63/Z$49*1000</f>
        <v>1.1411580000717976</v>
      </c>
      <c r="AA80" s="3030">
        <f t="shared" ref="AA80:AA87" si="239">+AA63/AA$47*1000</f>
        <v>1.7291037416415631</v>
      </c>
      <c r="AB80" s="3030">
        <f t="shared" ref="AB80:AB87" si="240">+AB63/AB$49*1000</f>
        <v>1.1451775936189112</v>
      </c>
      <c r="AC80" s="2581">
        <v>1.9952000000000001</v>
      </c>
      <c r="AD80" s="2581">
        <f t="shared" ref="AD80:AD87" si="241">+AD63/AD$49*1000</f>
        <v>1.1690762751678545</v>
      </c>
      <c r="AE80" s="2817">
        <f t="shared" ref="AE80:AE87" si="242">+AE63/AE$47*1000</f>
        <v>1.7739359803767369</v>
      </c>
      <c r="AF80" s="2817">
        <f t="shared" ref="AF80:AF87" si="243">+AF63/AF$49*1000</f>
        <v>1.1481069764561391</v>
      </c>
      <c r="AG80" s="2580">
        <v>1.9952000000000001</v>
      </c>
      <c r="AH80" s="2580">
        <f t="shared" ref="AH80:AH87" si="244">+AH63/AH$49*1000</f>
        <v>1.1982484657517714</v>
      </c>
      <c r="AI80" s="2817">
        <f t="shared" ref="AI80:AI87" si="245">+AI63/AI$47*1000</f>
        <v>1.8049928585766966</v>
      </c>
      <c r="AJ80" s="2817">
        <f t="shared" ref="AJ80:AJ87" si="246">+AJ63/AJ$49*1000</f>
        <v>1.1549102488710095</v>
      </c>
      <c r="AK80" s="2580">
        <v>1.9952000000000001</v>
      </c>
      <c r="AL80" s="2580">
        <f t="shared" ref="AL80:AL87" si="247">+AL63/AL$49*1000</f>
        <v>1.0987117636572432</v>
      </c>
      <c r="AM80" s="3029">
        <f t="shared" ref="AM80:AM87" si="248">+AM63/AM$47*1000</f>
        <v>1.9951999947610743</v>
      </c>
      <c r="AN80" s="3029">
        <f t="shared" ref="AN80:AN87" si="249">+AN63/AN$49*1000</f>
        <v>1.1538431514137362</v>
      </c>
      <c r="AO80" s="2817">
        <f t="shared" ref="AO80:AO87" si="250">+AO63/AO$47*1000</f>
        <v>1.8290560019321864</v>
      </c>
      <c r="AP80" s="2817">
        <f t="shared" ref="AP80:AP87" si="251">+AP63/AP$49*1000</f>
        <v>1.1480711617811876</v>
      </c>
      <c r="AQ80" s="2580">
        <v>1.9952000000000001</v>
      </c>
      <c r="AR80" s="2580">
        <f t="shared" ref="AR80:AR87" si="252">+AR63/AR$49*1000</f>
        <v>1.256317875697585</v>
      </c>
      <c r="AS80" s="2817">
        <f t="shared" ref="AS80:AS87" si="253">+AS63/AS$47*1000</f>
        <v>1.8479696891920991</v>
      </c>
      <c r="AT80" s="2817">
        <f t="shared" ref="AT80:AT87" si="254">+AT63/AT$49*1000</f>
        <v>1.1595320177989534</v>
      </c>
      <c r="AU80" s="2580">
        <v>1.9952000000000001</v>
      </c>
      <c r="AV80" s="2580">
        <f t="shared" ref="AV80:AV87" si="255">+AV63/AV$49*1000</f>
        <v>1.2863740504411048</v>
      </c>
      <c r="AW80" s="2817">
        <f t="shared" ref="AW80:AW87" si="256">+AW63/AW$47*1000</f>
        <v>1.8615637045326572</v>
      </c>
      <c r="AX80" s="2817">
        <f t="shared" ref="AX80:AX87" si="257">+AX63/AX$49*1000</f>
        <v>1.1695657103018187</v>
      </c>
      <c r="AY80" s="2580">
        <v>1.9952000000000001</v>
      </c>
      <c r="AZ80" s="2580">
        <f t="shared" ref="AZ80:AZ87" si="258">+AZ63/AZ$49*1000</f>
        <v>1.1606701128896768</v>
      </c>
      <c r="BA80" s="3029">
        <f t="shared" ref="BA80:BA87" si="259">+BA63/BA$47*1000</f>
        <v>1.9952000000000003</v>
      </c>
      <c r="BB80" s="3029">
        <f t="shared" ref="BB80:BB87" si="260">+BB63/BB$49*1000</f>
        <v>1.2295517294344289</v>
      </c>
      <c r="BC80" s="3030">
        <f t="shared" ref="BC80:BC87" si="261">+BC63/BC$47*1000</f>
        <v>1.9951999973668462</v>
      </c>
      <c r="BD80" s="3030">
        <f t="shared" ref="BD80:BD87" si="262">+BD63/BD$49*1000</f>
        <v>1.1920252562287772</v>
      </c>
      <c r="BE80" s="2817">
        <f t="shared" ref="BE80:BE87" si="263">+BE63/BE$47*1000</f>
        <v>1.8740789239015425</v>
      </c>
      <c r="BF80" s="101">
        <f t="shared" ref="BF80:BF87" si="264">+BF63/BF$49*1000</f>
        <v>1.1687339835142658</v>
      </c>
      <c r="BG80" s="2263"/>
      <c r="BH80" s="2263"/>
      <c r="BI80" s="3238"/>
      <c r="BJ80" s="2263"/>
      <c r="BK80" s="3238"/>
      <c r="BL80" s="3238"/>
    </row>
    <row r="81" spans="1:64" ht="13.8" x14ac:dyDescent="0.25">
      <c r="B81" s="681" t="s">
        <v>806</v>
      </c>
      <c r="C81" s="2589" t="s">
        <v>268</v>
      </c>
      <c r="D81" s="1239">
        <v>0.65844328434732236</v>
      </c>
      <c r="E81" s="2581">
        <f>$D$81</f>
        <v>0.65844328434732236</v>
      </c>
      <c r="F81" s="2581">
        <f t="shared" si="223"/>
        <v>0.54444764199764328</v>
      </c>
      <c r="G81" s="2581">
        <f>$D$81</f>
        <v>0.65844328434732236</v>
      </c>
      <c r="H81" s="2581">
        <f t="shared" ref="H81" si="265">+H64/H$49*1000</f>
        <v>0.52348517135689543</v>
      </c>
      <c r="I81" s="2659">
        <f t="shared" si="225"/>
        <v>0.65844328434732247</v>
      </c>
      <c r="J81" s="2592">
        <f t="shared" si="226"/>
        <v>0.53805417211948725</v>
      </c>
      <c r="K81" s="2581">
        <v>0.67234373964268945</v>
      </c>
      <c r="L81" s="2581">
        <f t="shared" ref="L81" si="266">+L64/L$49*1000</f>
        <v>0.58816208283067017</v>
      </c>
      <c r="M81" s="3047">
        <f t="shared" si="228"/>
        <v>0.66392095271307883</v>
      </c>
      <c r="N81" s="3047">
        <f t="shared" si="229"/>
        <v>0.55965896447099084</v>
      </c>
      <c r="O81" s="2581">
        <v>0.67234373964268945</v>
      </c>
      <c r="P81" s="2581">
        <f t="shared" si="230"/>
        <v>0.53922981462836794</v>
      </c>
      <c r="Q81" s="2659">
        <f t="shared" si="231"/>
        <v>0.66632218152035227</v>
      </c>
      <c r="R81" s="2659">
        <f t="shared" si="232"/>
        <v>0.55332622397831355</v>
      </c>
      <c r="S81" s="2581">
        <v>0.67234373964268945</v>
      </c>
      <c r="T81" s="2581">
        <f t="shared" si="233"/>
        <v>0.58985752106319866</v>
      </c>
      <c r="U81" s="2659">
        <f t="shared" si="234"/>
        <v>0.66765802019423326</v>
      </c>
      <c r="V81" s="2659">
        <f t="shared" si="235"/>
        <v>0.56154711229323739</v>
      </c>
      <c r="W81" s="2581">
        <v>0.67234373964268945</v>
      </c>
      <c r="X81" s="2581">
        <f t="shared" si="236"/>
        <v>0.53514577692590504</v>
      </c>
      <c r="Y81" s="3047">
        <f t="shared" si="237"/>
        <v>0.67234373964268901</v>
      </c>
      <c r="Z81" s="3047">
        <f t="shared" si="238"/>
        <v>0.55469190836680882</v>
      </c>
      <c r="AA81" s="3048">
        <f t="shared" si="239"/>
        <v>0.66814665178896138</v>
      </c>
      <c r="AB81" s="3048">
        <f t="shared" si="240"/>
        <v>0.55687826989032563</v>
      </c>
      <c r="AC81" s="2581">
        <v>0.67234373964268945</v>
      </c>
      <c r="AD81" s="2581">
        <f t="shared" si="241"/>
        <v>0.6358100842008354</v>
      </c>
      <c r="AE81" s="2659">
        <f t="shared" si="242"/>
        <v>0.66885378168929199</v>
      </c>
      <c r="AF81" s="2659">
        <f t="shared" si="243"/>
        <v>0.56655334345783326</v>
      </c>
      <c r="AG81" s="2580">
        <v>0.67234373964268945</v>
      </c>
      <c r="AH81" s="2580">
        <f t="shared" si="244"/>
        <v>0.51033620019725356</v>
      </c>
      <c r="AI81" s="2659">
        <f t="shared" si="245"/>
        <v>0.66934363629496241</v>
      </c>
      <c r="AJ81" s="2659">
        <f t="shared" si="246"/>
        <v>0.55892571720739348</v>
      </c>
      <c r="AK81" s="2580">
        <v>0.67234373964268945</v>
      </c>
      <c r="AL81" s="2580">
        <f t="shared" si="247"/>
        <v>0.56638058061305818</v>
      </c>
      <c r="AM81" s="3047">
        <f t="shared" si="248"/>
        <v>0.67234373787727297</v>
      </c>
      <c r="AN81" s="3047">
        <f t="shared" si="249"/>
        <v>0.56572680906666939</v>
      </c>
      <c r="AO81" s="2659">
        <f t="shared" si="250"/>
        <v>0.66972317996717923</v>
      </c>
      <c r="AP81" s="2659">
        <f t="shared" si="251"/>
        <v>0.55983293845864501</v>
      </c>
      <c r="AQ81" s="2580">
        <v>0.67234373964268945</v>
      </c>
      <c r="AR81" s="2580">
        <f t="shared" si="252"/>
        <v>0.55028915482387897</v>
      </c>
      <c r="AS81" s="2659">
        <f t="shared" si="253"/>
        <v>0.67002150218600709</v>
      </c>
      <c r="AT81" s="2817">
        <f t="shared" si="254"/>
        <v>0.55882246963104409</v>
      </c>
      <c r="AU81" s="2580">
        <v>0.67234373964268945</v>
      </c>
      <c r="AV81" s="2580">
        <f t="shared" si="255"/>
        <v>0.59882874021227428</v>
      </c>
      <c r="AW81" s="2659">
        <f t="shared" si="256"/>
        <v>0.67023591816758954</v>
      </c>
      <c r="AX81" s="2817">
        <f t="shared" si="257"/>
        <v>0.5619871194623105</v>
      </c>
      <c r="AY81" s="2580">
        <v>0.67234373964268945</v>
      </c>
      <c r="AZ81" s="2580">
        <f t="shared" si="258"/>
        <v>0.62563849810116434</v>
      </c>
      <c r="BA81" s="3047">
        <f t="shared" si="259"/>
        <v>0.67234373964268945</v>
      </c>
      <c r="BB81" s="3047">
        <f t="shared" si="260"/>
        <v>0.59179570337007192</v>
      </c>
      <c r="BC81" s="3048">
        <f t="shared" si="261"/>
        <v>0.67234373875536757</v>
      </c>
      <c r="BD81" s="3048">
        <f t="shared" si="262"/>
        <v>0.57887413372560936</v>
      </c>
      <c r="BE81" s="2659">
        <f t="shared" si="263"/>
        <v>0.67043331849254661</v>
      </c>
      <c r="BF81" s="101">
        <f t="shared" si="264"/>
        <v>0.56793844057384579</v>
      </c>
      <c r="BG81" s="2263"/>
      <c r="BH81" s="2263"/>
      <c r="BI81" s="3238"/>
      <c r="BJ81" s="2263"/>
      <c r="BK81" s="3238"/>
      <c r="BL81" s="3238"/>
    </row>
    <row r="82" spans="1:64" ht="13.8" x14ac:dyDescent="0.25">
      <c r="B82" s="8" t="s">
        <v>128</v>
      </c>
      <c r="C82" s="2589" t="s">
        <v>268</v>
      </c>
      <c r="D82" s="1239">
        <v>23</v>
      </c>
      <c r="E82" s="2581">
        <f>$D$82</f>
        <v>23</v>
      </c>
      <c r="F82" s="2581">
        <f t="shared" si="223"/>
        <v>22.008882109916829</v>
      </c>
      <c r="G82" s="2581">
        <f>$D$82</f>
        <v>23</v>
      </c>
      <c r="H82" s="2581">
        <f t="shared" ref="H82" si="267">+H65/H$49*1000</f>
        <v>20.902575776522742</v>
      </c>
      <c r="I82" s="2817">
        <f t="shared" si="225"/>
        <v>23.000000000000007</v>
      </c>
      <c r="J82" s="101">
        <f t="shared" si="226"/>
        <v>21.671463093819586</v>
      </c>
      <c r="K82" s="2581">
        <v>24</v>
      </c>
      <c r="L82" s="2580">
        <f t="shared" ref="L82" si="268">+L65/L$49*1000</f>
        <v>22.060477307146794</v>
      </c>
      <c r="M82" s="2350">
        <f t="shared" si="228"/>
        <v>23.394063953256406</v>
      </c>
      <c r="N82" s="3029">
        <f t="shared" si="229"/>
        <v>21.839192523792448</v>
      </c>
      <c r="O82" s="2581">
        <v>24</v>
      </c>
      <c r="P82" s="2580">
        <f t="shared" si="230"/>
        <v>21.28556689598382</v>
      </c>
      <c r="Q82" s="2817">
        <f t="shared" si="231"/>
        <v>23.566808568900328</v>
      </c>
      <c r="R82" s="2817">
        <f t="shared" si="232"/>
        <v>21.667576599585324</v>
      </c>
      <c r="S82" s="2581">
        <v>24</v>
      </c>
      <c r="T82" s="2580">
        <f t="shared" si="233"/>
        <v>20.490225244073791</v>
      </c>
      <c r="U82" s="2817">
        <f t="shared" si="234"/>
        <v>23.662908922845308</v>
      </c>
      <c r="V82" s="2817">
        <f t="shared" si="235"/>
        <v>21.402629149770046</v>
      </c>
      <c r="W82" s="2581">
        <v>24</v>
      </c>
      <c r="X82" s="2580">
        <f t="shared" si="236"/>
        <v>21.489120842013946</v>
      </c>
      <c r="Y82" s="3029">
        <f t="shared" si="237"/>
        <v>23.999999999999986</v>
      </c>
      <c r="Z82" s="3029">
        <f t="shared" si="238"/>
        <v>21.086696286737315</v>
      </c>
      <c r="AA82" s="3030">
        <f t="shared" si="239"/>
        <v>23.698061123571474</v>
      </c>
      <c r="AB82" s="3030">
        <f t="shared" si="240"/>
        <v>21.417924439747971</v>
      </c>
      <c r="AC82" s="2581">
        <v>24</v>
      </c>
      <c r="AD82" s="2580">
        <f t="shared" si="241"/>
        <v>20.556769367366794</v>
      </c>
      <c r="AE82" s="2817">
        <f t="shared" si="242"/>
        <v>23.748932143997518</v>
      </c>
      <c r="AF82" s="2817">
        <f t="shared" si="243"/>
        <v>21.312368286616309</v>
      </c>
      <c r="AG82" s="2580">
        <v>24</v>
      </c>
      <c r="AH82" s="2580">
        <f t="shared" si="244"/>
        <v>16.687095713690947</v>
      </c>
      <c r="AI82" s="2817">
        <f t="shared" si="245"/>
        <v>23.784172323747796</v>
      </c>
      <c r="AJ82" s="2817">
        <f t="shared" si="246"/>
        <v>20.684804372008369</v>
      </c>
      <c r="AK82" s="2580">
        <v>24</v>
      </c>
      <c r="AL82" s="2580">
        <f t="shared" si="247"/>
        <v>0</v>
      </c>
      <c r="AM82" s="3029">
        <f t="shared" si="248"/>
        <v>23.999999936981641</v>
      </c>
      <c r="AN82" s="3029">
        <f t="shared" si="249"/>
        <v>11.683853072287775</v>
      </c>
      <c r="AO82" s="2817">
        <f t="shared" si="250"/>
        <v>23.811476726068737</v>
      </c>
      <c r="AP82" s="2817">
        <f t="shared" si="251"/>
        <v>18.167562528247107</v>
      </c>
      <c r="AQ82" s="2580">
        <v>24</v>
      </c>
      <c r="AR82" s="2580">
        <f t="shared" si="252"/>
        <v>12.219798359446182</v>
      </c>
      <c r="AS82" s="2817">
        <f t="shared" si="253"/>
        <v>23.832938050497052</v>
      </c>
      <c r="AT82" s="2817">
        <f t="shared" si="254"/>
        <v>17.53783007448504</v>
      </c>
      <c r="AU82" s="2580">
        <v>24</v>
      </c>
      <c r="AV82" s="2580">
        <f t="shared" si="255"/>
        <v>22.98312628566465</v>
      </c>
      <c r="AW82" s="2817">
        <f t="shared" si="256"/>
        <v>23.848363153466032</v>
      </c>
      <c r="AX82" s="2817">
        <f t="shared" si="257"/>
        <v>17.96857394252234</v>
      </c>
      <c r="AY82" s="2580">
        <v>24</v>
      </c>
      <c r="AZ82" s="2580">
        <f t="shared" si="258"/>
        <v>19.915818254812269</v>
      </c>
      <c r="BA82" s="3029">
        <f t="shared" si="259"/>
        <v>24</v>
      </c>
      <c r="BB82" s="3029">
        <f t="shared" si="260"/>
        <v>18.10082629849909</v>
      </c>
      <c r="BC82" s="3030">
        <f t="shared" si="261"/>
        <v>23.999999968326136</v>
      </c>
      <c r="BD82" s="3030">
        <f t="shared" si="262"/>
        <v>14.920124981285243</v>
      </c>
      <c r="BE82" s="2817">
        <f t="shared" si="263"/>
        <v>23.862564148728147</v>
      </c>
      <c r="BF82" s="101">
        <f t="shared" si="264"/>
        <v>18.150638752945376</v>
      </c>
      <c r="BG82" s="2263"/>
      <c r="BH82" s="2263"/>
      <c r="BI82" s="3238"/>
      <c r="BJ82" s="2263"/>
      <c r="BK82" s="3238"/>
      <c r="BL82" s="3238"/>
    </row>
    <row r="83" spans="1:64" ht="13.8" x14ac:dyDescent="0.25">
      <c r="B83" s="8" t="s">
        <v>518</v>
      </c>
      <c r="C83" s="2589" t="s">
        <v>268</v>
      </c>
      <c r="D83" s="1023">
        <v>0</v>
      </c>
      <c r="E83" s="2348">
        <v>0</v>
      </c>
      <c r="F83" s="2348">
        <f t="shared" si="223"/>
        <v>0</v>
      </c>
      <c r="G83" s="2348">
        <v>0</v>
      </c>
      <c r="H83" s="2348">
        <f t="shared" ref="H83" si="269">+H66/H$49*1000</f>
        <v>0</v>
      </c>
      <c r="I83" s="2349">
        <f t="shared" si="225"/>
        <v>0</v>
      </c>
      <c r="J83" s="35">
        <f t="shared" si="226"/>
        <v>0</v>
      </c>
      <c r="K83" s="2348">
        <v>0</v>
      </c>
      <c r="L83" s="2348">
        <f t="shared" ref="L83" si="270">+L66/L$49*1000</f>
        <v>0</v>
      </c>
      <c r="M83" s="3029">
        <f t="shared" si="228"/>
        <v>0</v>
      </c>
      <c r="N83" s="3029">
        <f t="shared" si="229"/>
        <v>0</v>
      </c>
      <c r="O83" s="2348">
        <v>0</v>
      </c>
      <c r="P83" s="2348">
        <f t="shared" si="230"/>
        <v>0</v>
      </c>
      <c r="Q83" s="2817">
        <f t="shared" si="231"/>
        <v>0</v>
      </c>
      <c r="R83" s="2817">
        <f t="shared" si="232"/>
        <v>0</v>
      </c>
      <c r="S83" s="2348">
        <v>0</v>
      </c>
      <c r="T83" s="2348">
        <f t="shared" si="233"/>
        <v>0</v>
      </c>
      <c r="U83" s="2817">
        <f t="shared" si="234"/>
        <v>0</v>
      </c>
      <c r="V83" s="2817">
        <f t="shared" si="235"/>
        <v>0</v>
      </c>
      <c r="W83" s="2348">
        <v>0</v>
      </c>
      <c r="X83" s="2348">
        <f t="shared" si="236"/>
        <v>0</v>
      </c>
      <c r="Y83" s="3029">
        <f t="shared" si="237"/>
        <v>0</v>
      </c>
      <c r="Z83" s="3029">
        <f t="shared" si="238"/>
        <v>0</v>
      </c>
      <c r="AA83" s="3030">
        <f t="shared" si="239"/>
        <v>0</v>
      </c>
      <c r="AB83" s="3030">
        <f t="shared" si="240"/>
        <v>0</v>
      </c>
      <c r="AC83" s="2348">
        <v>0</v>
      </c>
      <c r="AD83" s="2348">
        <f t="shared" si="241"/>
        <v>0</v>
      </c>
      <c r="AE83" s="2817">
        <f t="shared" si="242"/>
        <v>0</v>
      </c>
      <c r="AF83" s="2817">
        <f t="shared" si="243"/>
        <v>0</v>
      </c>
      <c r="AG83" s="2580">
        <v>0</v>
      </c>
      <c r="AH83" s="2580">
        <f t="shared" si="244"/>
        <v>0</v>
      </c>
      <c r="AI83" s="2817">
        <f t="shared" si="245"/>
        <v>0</v>
      </c>
      <c r="AJ83" s="2817">
        <f t="shared" si="246"/>
        <v>0</v>
      </c>
      <c r="AK83" s="2580">
        <v>0</v>
      </c>
      <c r="AL83" s="2580">
        <f t="shared" si="247"/>
        <v>0</v>
      </c>
      <c r="AM83" s="3029">
        <f t="shared" si="248"/>
        <v>0</v>
      </c>
      <c r="AN83" s="3029">
        <f t="shared" si="249"/>
        <v>0</v>
      </c>
      <c r="AO83" s="2817">
        <f t="shared" si="250"/>
        <v>0</v>
      </c>
      <c r="AP83" s="2817">
        <f t="shared" si="251"/>
        <v>0</v>
      </c>
      <c r="AQ83" s="2580">
        <v>0</v>
      </c>
      <c r="AR83" s="2580">
        <f t="shared" si="252"/>
        <v>0</v>
      </c>
      <c r="AS83" s="2817">
        <f t="shared" si="253"/>
        <v>0</v>
      </c>
      <c r="AT83" s="2817">
        <f t="shared" si="254"/>
        <v>0</v>
      </c>
      <c r="AU83" s="2580">
        <v>0</v>
      </c>
      <c r="AV83" s="2580">
        <f t="shared" si="255"/>
        <v>0</v>
      </c>
      <c r="AW83" s="2817">
        <f t="shared" si="256"/>
        <v>0</v>
      </c>
      <c r="AX83" s="2817">
        <f t="shared" si="257"/>
        <v>0</v>
      </c>
      <c r="AY83" s="2580">
        <v>0</v>
      </c>
      <c r="AZ83" s="2580">
        <f t="shared" si="258"/>
        <v>0</v>
      </c>
      <c r="BA83" s="3029">
        <f t="shared" si="259"/>
        <v>0</v>
      </c>
      <c r="BB83" s="3029">
        <f t="shared" si="260"/>
        <v>0</v>
      </c>
      <c r="BC83" s="3030">
        <f t="shared" si="261"/>
        <v>0</v>
      </c>
      <c r="BD83" s="3030">
        <f t="shared" si="262"/>
        <v>0</v>
      </c>
      <c r="BE83" s="2817">
        <f t="shared" si="263"/>
        <v>0</v>
      </c>
      <c r="BF83" s="101">
        <f t="shared" si="264"/>
        <v>0</v>
      </c>
      <c r="BG83" s="2263"/>
      <c r="BH83" s="2263"/>
      <c r="BI83" s="3238"/>
      <c r="BJ83" s="2263"/>
      <c r="BK83" s="3238"/>
      <c r="BL83" s="3238"/>
    </row>
    <row r="84" spans="1:64" ht="13.8" x14ac:dyDescent="0.25">
      <c r="A84" s="4">
        <f>5021-2500</f>
        <v>2521</v>
      </c>
      <c r="B84" s="8" t="s">
        <v>129</v>
      </c>
      <c r="C84" s="2589" t="s">
        <v>268</v>
      </c>
      <c r="D84" s="1239">
        <v>6</v>
      </c>
      <c r="E84" s="2581">
        <f>$D$84</f>
        <v>6</v>
      </c>
      <c r="F84" s="2348">
        <f t="shared" si="223"/>
        <v>0</v>
      </c>
      <c r="G84" s="2581">
        <f>$D$84</f>
        <v>6</v>
      </c>
      <c r="H84" s="2348">
        <f t="shared" si="223"/>
        <v>5.127563845723925</v>
      </c>
      <c r="I84" s="2817">
        <v>6</v>
      </c>
      <c r="J84" s="101">
        <v>6</v>
      </c>
      <c r="K84" s="2581">
        <v>6</v>
      </c>
      <c r="L84" s="2581">
        <v>6</v>
      </c>
      <c r="M84" s="3029">
        <v>6</v>
      </c>
      <c r="N84" s="3029">
        <v>6</v>
      </c>
      <c r="O84" s="2581">
        <v>6</v>
      </c>
      <c r="P84" s="2581">
        <v>6.0000000000000009</v>
      </c>
      <c r="Q84" s="2817">
        <f t="shared" si="231"/>
        <v>5.9999999999999973</v>
      </c>
      <c r="R84" s="2817">
        <f t="shared" si="232"/>
        <v>0.61383199710307468</v>
      </c>
      <c r="S84" s="2581">
        <v>6</v>
      </c>
      <c r="T84" s="2581">
        <f t="shared" si="233"/>
        <v>0</v>
      </c>
      <c r="U84" s="2817">
        <f t="shared" si="234"/>
        <v>5.9999999999999956</v>
      </c>
      <c r="V84" s="2817">
        <f t="shared" si="235"/>
        <v>0.47569717313048332</v>
      </c>
      <c r="W84" s="2581">
        <v>6</v>
      </c>
      <c r="X84" s="2581">
        <f t="shared" si="236"/>
        <v>0</v>
      </c>
      <c r="Y84" s="3029">
        <f t="shared" si="237"/>
        <v>5.9999999999999964</v>
      </c>
      <c r="Z84" s="3029">
        <f t="shared" si="238"/>
        <v>0</v>
      </c>
      <c r="AA84" s="3030">
        <f t="shared" si="239"/>
        <v>5.9999999999999982</v>
      </c>
      <c r="AB84" s="3030">
        <f t="shared" si="240"/>
        <v>0.3915743398739136</v>
      </c>
      <c r="AC84" s="2581">
        <v>6</v>
      </c>
      <c r="AD84" s="2581">
        <f t="shared" si="241"/>
        <v>0</v>
      </c>
      <c r="AE84" s="2817">
        <f t="shared" si="242"/>
        <v>5.9999999921188971</v>
      </c>
      <c r="AF84" s="2817">
        <f t="shared" si="243"/>
        <v>0.34357708327311209</v>
      </c>
      <c r="AG84" s="2580">
        <v>6</v>
      </c>
      <c r="AH84" s="2580">
        <f t="shared" si="244"/>
        <v>3.7540557987273737</v>
      </c>
      <c r="AI84" s="2817">
        <f t="shared" si="245"/>
        <v>5.9999999932250958</v>
      </c>
      <c r="AJ84" s="2817">
        <f t="shared" si="246"/>
        <v>0.80631594668324169</v>
      </c>
      <c r="AK84" s="2580">
        <v>6</v>
      </c>
      <c r="AL84" s="2580">
        <f t="shared" si="247"/>
        <v>22.081115393408361</v>
      </c>
      <c r="AM84" s="3029">
        <f t="shared" si="248"/>
        <v>5.9999999842454104</v>
      </c>
      <c r="AN84" s="3029">
        <f t="shared" si="249"/>
        <v>9.387199811453943</v>
      </c>
      <c r="AO84" s="2817">
        <f t="shared" si="250"/>
        <v>5.9999999940821898</v>
      </c>
      <c r="AP84" s="2817">
        <f t="shared" si="251"/>
        <v>3.3953573715756615</v>
      </c>
      <c r="AQ84" s="2580">
        <v>6</v>
      </c>
      <c r="AR84" s="2580">
        <f t="shared" si="252"/>
        <v>10.522523872012911</v>
      </c>
      <c r="AS84" s="2817">
        <f t="shared" si="253"/>
        <v>5.9999999947558678</v>
      </c>
      <c r="AT84" s="2817">
        <f t="shared" si="254"/>
        <v>4.1499616096243228</v>
      </c>
      <c r="AU84" s="2580">
        <v>6</v>
      </c>
      <c r="AV84" s="2580">
        <f t="shared" si="255"/>
        <v>0</v>
      </c>
      <c r="AW84" s="2817">
        <f t="shared" si="256"/>
        <v>5.9999999952400662</v>
      </c>
      <c r="AX84" s="2817">
        <f t="shared" si="257"/>
        <v>3.8216836892669606</v>
      </c>
      <c r="AY84" s="2580">
        <v>6</v>
      </c>
      <c r="AZ84" s="2580">
        <f t="shared" si="258"/>
        <v>0</v>
      </c>
      <c r="BA84" s="3029">
        <f t="shared" si="259"/>
        <v>6</v>
      </c>
      <c r="BB84" s="3029">
        <f t="shared" si="260"/>
        <v>3.6674631879548247</v>
      </c>
      <c r="BC84" s="3030">
        <f t="shared" si="261"/>
        <v>5.9999999920815341</v>
      </c>
      <c r="BD84" s="3030">
        <f t="shared" si="262"/>
        <v>6.5025652167693098</v>
      </c>
      <c r="BE84" s="2817">
        <f t="shared" si="263"/>
        <v>5.9999999956858403</v>
      </c>
      <c r="BF84" s="101">
        <f t="shared" si="264"/>
        <v>3.4643612351754349</v>
      </c>
      <c r="BG84" s="2263"/>
      <c r="BH84" s="2263"/>
      <c r="BI84" s="3238"/>
      <c r="BJ84" s="2263"/>
      <c r="BK84" s="3238"/>
      <c r="BL84" s="3238"/>
    </row>
    <row r="85" spans="1:64" ht="13.8" x14ac:dyDescent="0.25">
      <c r="B85" s="8" t="s">
        <v>1148</v>
      </c>
      <c r="C85" s="2589" t="s">
        <v>268</v>
      </c>
      <c r="D85" s="1023">
        <v>0</v>
      </c>
      <c r="E85" s="2348">
        <v>0</v>
      </c>
      <c r="F85" s="2348">
        <f t="shared" si="223"/>
        <v>0</v>
      </c>
      <c r="G85" s="2348">
        <v>0</v>
      </c>
      <c r="H85" s="2348">
        <f t="shared" ref="H85" si="271">+H68/H$49*1000</f>
        <v>0</v>
      </c>
      <c r="I85" s="2349">
        <f t="shared" si="225"/>
        <v>0</v>
      </c>
      <c r="J85" s="35">
        <f t="shared" si="226"/>
        <v>0</v>
      </c>
      <c r="K85" s="2348">
        <v>0</v>
      </c>
      <c r="L85" s="2348">
        <f t="shared" ref="L85" si="272">+L68/L$49*1000</f>
        <v>0</v>
      </c>
      <c r="M85" s="3029">
        <f t="shared" si="228"/>
        <v>0</v>
      </c>
      <c r="N85" s="3029">
        <f t="shared" si="229"/>
        <v>0</v>
      </c>
      <c r="O85" s="2348">
        <v>0</v>
      </c>
      <c r="P85" s="2348">
        <f t="shared" si="230"/>
        <v>0</v>
      </c>
      <c r="Q85" s="2817">
        <f t="shared" si="231"/>
        <v>0</v>
      </c>
      <c r="R85" s="2817">
        <f t="shared" si="232"/>
        <v>0</v>
      </c>
      <c r="S85" s="2348">
        <v>0</v>
      </c>
      <c r="T85" s="2348">
        <f t="shared" si="233"/>
        <v>0</v>
      </c>
      <c r="U85" s="2817">
        <f t="shared" si="234"/>
        <v>0</v>
      </c>
      <c r="V85" s="2817">
        <f t="shared" si="235"/>
        <v>0</v>
      </c>
      <c r="W85" s="2348">
        <v>0</v>
      </c>
      <c r="X85" s="2348">
        <f t="shared" si="236"/>
        <v>0</v>
      </c>
      <c r="Y85" s="3029">
        <f t="shared" si="237"/>
        <v>0</v>
      </c>
      <c r="Z85" s="3029">
        <f t="shared" si="238"/>
        <v>0</v>
      </c>
      <c r="AA85" s="3030">
        <f t="shared" si="239"/>
        <v>0</v>
      </c>
      <c r="AB85" s="3030">
        <f t="shared" si="240"/>
        <v>0</v>
      </c>
      <c r="AC85" s="2348">
        <v>0</v>
      </c>
      <c r="AD85" s="2348">
        <f t="shared" si="241"/>
        <v>0</v>
      </c>
      <c r="AE85" s="2817">
        <f t="shared" si="242"/>
        <v>0</v>
      </c>
      <c r="AF85" s="2817">
        <f t="shared" si="243"/>
        <v>0</v>
      </c>
      <c r="AG85" s="2580">
        <v>0</v>
      </c>
      <c r="AH85" s="2580">
        <f t="shared" si="244"/>
        <v>0</v>
      </c>
      <c r="AI85" s="2817">
        <f t="shared" si="245"/>
        <v>0</v>
      </c>
      <c r="AJ85" s="2817">
        <f t="shared" si="246"/>
        <v>0</v>
      </c>
      <c r="AK85" s="2580">
        <v>0</v>
      </c>
      <c r="AL85" s="2580">
        <f t="shared" si="247"/>
        <v>0</v>
      </c>
      <c r="AM85" s="3029">
        <f t="shared" si="248"/>
        <v>0</v>
      </c>
      <c r="AN85" s="3029">
        <f t="shared" si="249"/>
        <v>0</v>
      </c>
      <c r="AO85" s="2817">
        <f t="shared" si="250"/>
        <v>0</v>
      </c>
      <c r="AP85" s="2817">
        <f t="shared" si="251"/>
        <v>0</v>
      </c>
      <c r="AQ85" s="2580">
        <v>0</v>
      </c>
      <c r="AR85" s="2580">
        <f t="shared" si="252"/>
        <v>0</v>
      </c>
      <c r="AS85" s="2817">
        <f t="shared" si="253"/>
        <v>0</v>
      </c>
      <c r="AT85" s="2659">
        <f t="shared" si="254"/>
        <v>0</v>
      </c>
      <c r="AU85" s="2580">
        <v>0</v>
      </c>
      <c r="AV85" s="2580">
        <f t="shared" si="255"/>
        <v>0</v>
      </c>
      <c r="AW85" s="2817">
        <f t="shared" si="256"/>
        <v>0</v>
      </c>
      <c r="AX85" s="2817">
        <f t="shared" si="257"/>
        <v>0</v>
      </c>
      <c r="AY85" s="2580">
        <v>0</v>
      </c>
      <c r="AZ85" s="2580">
        <f t="shared" si="258"/>
        <v>0</v>
      </c>
      <c r="BA85" s="3029">
        <f t="shared" si="259"/>
        <v>0</v>
      </c>
      <c r="BB85" s="3029">
        <f t="shared" si="260"/>
        <v>0</v>
      </c>
      <c r="BC85" s="3030">
        <f t="shared" si="261"/>
        <v>0</v>
      </c>
      <c r="BD85" s="3030">
        <f t="shared" si="262"/>
        <v>0</v>
      </c>
      <c r="BE85" s="2817">
        <f t="shared" si="263"/>
        <v>0</v>
      </c>
      <c r="BF85" s="101">
        <f t="shared" si="264"/>
        <v>0</v>
      </c>
      <c r="BG85" s="2263"/>
      <c r="BH85" s="2263"/>
      <c r="BI85" s="3238"/>
      <c r="BJ85" s="2263"/>
      <c r="BK85" s="3238"/>
      <c r="BL85" s="3238"/>
    </row>
    <row r="86" spans="1:64" ht="13.8" x14ac:dyDescent="0.25">
      <c r="B86" s="8" t="s">
        <v>130</v>
      </c>
      <c r="C86" s="2589" t="s">
        <v>268</v>
      </c>
      <c r="D86" s="1239">
        <v>15</v>
      </c>
      <c r="E86" s="2581">
        <f>$D$86</f>
        <v>15</v>
      </c>
      <c r="F86" s="2581">
        <f t="shared" si="223"/>
        <v>15.775475141273716</v>
      </c>
      <c r="G86" s="2581">
        <f>$D$86</f>
        <v>15</v>
      </c>
      <c r="H86" s="2581">
        <f t="shared" ref="H86" si="273">+H69/H$49*1000</f>
        <v>14.607891425902721</v>
      </c>
      <c r="I86" s="2817">
        <f t="shared" si="225"/>
        <v>15.000000000000004</v>
      </c>
      <c r="J86" s="101">
        <f t="shared" si="226"/>
        <v>15.419366768249237</v>
      </c>
      <c r="K86" s="2581">
        <v>15</v>
      </c>
      <c r="L86" s="2580">
        <f t="shared" ref="L86" si="274">+L69/L$49*1000</f>
        <v>17.563121962199734</v>
      </c>
      <c r="M86" s="3029">
        <f t="shared" si="228"/>
        <v>15.000000000000004</v>
      </c>
      <c r="N86" s="3029">
        <f t="shared" si="229"/>
        <v>16.343679619461799</v>
      </c>
      <c r="O86" s="2581">
        <v>15</v>
      </c>
      <c r="P86" s="2580">
        <f t="shared" si="230"/>
        <v>13.605517803844243</v>
      </c>
      <c r="Q86" s="2817">
        <f t="shared" si="231"/>
        <v>14.999999999999995</v>
      </c>
      <c r="R86" s="2817">
        <f t="shared" si="232"/>
        <v>15.494889124563876</v>
      </c>
      <c r="S86" s="2581">
        <v>15</v>
      </c>
      <c r="T86" s="2580">
        <f t="shared" si="233"/>
        <v>7.2457580594776267</v>
      </c>
      <c r="U86" s="2817">
        <f t="shared" si="234"/>
        <v>14.999999999999989</v>
      </c>
      <c r="V86" s="2817">
        <f t="shared" si="235"/>
        <v>13.638530588384178</v>
      </c>
      <c r="W86" s="2581">
        <v>15</v>
      </c>
      <c r="X86" s="2580">
        <f t="shared" si="236"/>
        <v>3.8757468703520352</v>
      </c>
      <c r="Y86" s="3029">
        <f t="shared" si="237"/>
        <v>14.999999999999993</v>
      </c>
      <c r="Z86" s="3029">
        <f t="shared" si="238"/>
        <v>8.4276502625192542</v>
      </c>
      <c r="AA86" s="3030">
        <f t="shared" si="239"/>
        <v>14.999999999999996</v>
      </c>
      <c r="AB86" s="3030">
        <f t="shared" si="240"/>
        <v>11.912068727307073</v>
      </c>
      <c r="AC86" s="2581">
        <v>15</v>
      </c>
      <c r="AD86" s="2580">
        <f t="shared" si="241"/>
        <v>12.651135195384452</v>
      </c>
      <c r="AE86" s="2817">
        <f t="shared" si="242"/>
        <v>14.999999980297243</v>
      </c>
      <c r="AF86" s="2817">
        <f t="shared" si="243"/>
        <v>12.002659859823011</v>
      </c>
      <c r="AG86" s="2580">
        <v>15</v>
      </c>
      <c r="AH86" s="2580">
        <f t="shared" si="244"/>
        <v>17.705755056662994</v>
      </c>
      <c r="AI86" s="2817">
        <f t="shared" si="245"/>
        <v>14.99999998306274</v>
      </c>
      <c r="AJ86" s="2817">
        <f t="shared" si="246"/>
        <v>12.776464363380509</v>
      </c>
      <c r="AK86" s="2580">
        <v>15</v>
      </c>
      <c r="AL86" s="2580">
        <f t="shared" si="247"/>
        <v>16.219972420841337</v>
      </c>
      <c r="AM86" s="3029">
        <f t="shared" si="248"/>
        <v>14.999999960613527</v>
      </c>
      <c r="AN86" s="3029">
        <f t="shared" si="249"/>
        <v>15.755712682107784</v>
      </c>
      <c r="AO86" s="2817">
        <f t="shared" si="250"/>
        <v>14.999999985205475</v>
      </c>
      <c r="AP86" s="2817">
        <f t="shared" si="251"/>
        <v>13.195522838175641</v>
      </c>
      <c r="AQ86" s="2580">
        <v>15</v>
      </c>
      <c r="AR86" s="2580">
        <f t="shared" si="252"/>
        <v>12.705254495798197</v>
      </c>
      <c r="AS86" s="2817">
        <f t="shared" si="253"/>
        <v>14.999999986889669</v>
      </c>
      <c r="AT86" s="2817">
        <f t="shared" si="254"/>
        <v>13.143614612246528</v>
      </c>
      <c r="AU86" s="2580">
        <v>15</v>
      </c>
      <c r="AV86" s="2580">
        <f t="shared" si="255"/>
        <v>12.755858042029514</v>
      </c>
      <c r="AW86" s="2817">
        <f t="shared" si="256"/>
        <v>14.999999988100168</v>
      </c>
      <c r="AX86" s="2817">
        <f t="shared" si="257"/>
        <v>13.112941576577828</v>
      </c>
      <c r="AY86" s="2580">
        <v>15</v>
      </c>
      <c r="AZ86" s="2580">
        <f t="shared" si="258"/>
        <v>12.628090828239683</v>
      </c>
      <c r="BA86" s="3029">
        <f t="shared" si="259"/>
        <v>15</v>
      </c>
      <c r="BB86" s="3029">
        <f t="shared" si="260"/>
        <v>12.691113527590787</v>
      </c>
      <c r="BC86" s="3030">
        <f t="shared" si="261"/>
        <v>14.999999980203834</v>
      </c>
      <c r="BD86" s="3030">
        <f t="shared" si="262"/>
        <v>14.210143485155342</v>
      </c>
      <c r="BE86" s="2817">
        <f t="shared" si="263"/>
        <v>14.999999989214603</v>
      </c>
      <c r="BF86" s="101">
        <f t="shared" si="264"/>
        <v>13.067608662252431</v>
      </c>
      <c r="BG86" s="2263"/>
      <c r="BH86" s="2263"/>
      <c r="BI86" s="3238"/>
      <c r="BJ86" s="2263"/>
      <c r="BK86" s="3238"/>
      <c r="BL86" s="3238"/>
    </row>
    <row r="87" spans="1:64" ht="13.8" x14ac:dyDescent="0.25">
      <c r="B87" s="8" t="s">
        <v>118</v>
      </c>
      <c r="C87" s="2589" t="s">
        <v>268</v>
      </c>
      <c r="D87" s="1239">
        <v>67</v>
      </c>
      <c r="E87" s="2581">
        <f>$D$87</f>
        <v>67</v>
      </c>
      <c r="F87" s="2581">
        <f t="shared" si="223"/>
        <v>68.289355229922805</v>
      </c>
      <c r="G87" s="2581">
        <f>$D$87</f>
        <v>67</v>
      </c>
      <c r="H87" s="2581">
        <f t="shared" ref="H87" si="275">+H70/H$49*1000</f>
        <v>75.155743499309679</v>
      </c>
      <c r="I87" s="2817">
        <f t="shared" si="225"/>
        <v>67.000000000000014</v>
      </c>
      <c r="J87" s="101">
        <f t="shared" si="226"/>
        <v>70.383576246347957</v>
      </c>
      <c r="K87" s="2580">
        <v>67</v>
      </c>
      <c r="L87" s="2580">
        <f t="shared" ref="L87" si="276">+L70/L$49*1000</f>
        <v>65.464649688461819</v>
      </c>
      <c r="M87" s="3029">
        <f t="shared" si="228"/>
        <v>67.000000000000014</v>
      </c>
      <c r="N87" s="3029">
        <f t="shared" si="229"/>
        <v>68.262705801599807</v>
      </c>
      <c r="O87" s="2580">
        <v>67</v>
      </c>
      <c r="P87" s="2580">
        <f t="shared" si="230"/>
        <v>67.290631356027248</v>
      </c>
      <c r="Q87" s="2817">
        <f t="shared" si="231"/>
        <v>66.999999999999972</v>
      </c>
      <c r="R87" s="2817">
        <f t="shared" si="232"/>
        <v>67.96137680598342</v>
      </c>
      <c r="S87" s="2580">
        <v>67</v>
      </c>
      <c r="T87" s="2580">
        <f t="shared" si="233"/>
        <v>66.414641519197389</v>
      </c>
      <c r="U87" s="2817">
        <f t="shared" si="234"/>
        <v>66.999999999999943</v>
      </c>
      <c r="V87" s="2817">
        <f t="shared" si="235"/>
        <v>67.613304356875659</v>
      </c>
      <c r="W87" s="2580">
        <v>67</v>
      </c>
      <c r="X87" s="2580">
        <f t="shared" si="236"/>
        <v>68.575733557390777</v>
      </c>
      <c r="Y87" s="3029">
        <f t="shared" si="237"/>
        <v>66.999999999999957</v>
      </c>
      <c r="Z87" s="3029">
        <f t="shared" si="238"/>
        <v>67.406720046217799</v>
      </c>
      <c r="AA87" s="3030">
        <f t="shared" si="239"/>
        <v>66.999999999999986</v>
      </c>
      <c r="AB87" s="3030">
        <f t="shared" si="240"/>
        <v>67.783501439661293</v>
      </c>
      <c r="AC87" s="2580">
        <v>67</v>
      </c>
      <c r="AD87" s="2580">
        <f t="shared" si="241"/>
        <v>71.552707957324643</v>
      </c>
      <c r="AE87" s="2817">
        <f t="shared" si="242"/>
        <v>66.999999911994351</v>
      </c>
      <c r="AF87" s="2817">
        <f t="shared" si="243"/>
        <v>68.24551223553712</v>
      </c>
      <c r="AG87" s="2580">
        <v>67</v>
      </c>
      <c r="AH87" s="2580">
        <f t="shared" si="244"/>
        <v>62.36940780164327</v>
      </c>
      <c r="AI87" s="2817">
        <f t="shared" si="245"/>
        <v>66.999999924346909</v>
      </c>
      <c r="AJ87" s="2817">
        <f t="shared" si="246"/>
        <v>67.448233579406562</v>
      </c>
      <c r="AK87" s="2580">
        <v>67</v>
      </c>
      <c r="AL87" s="2580">
        <f t="shared" si="247"/>
        <v>65.495923502012104</v>
      </c>
      <c r="AM87" s="3029">
        <f t="shared" si="248"/>
        <v>66.999999824073754</v>
      </c>
      <c r="AN87" s="3029">
        <f t="shared" si="249"/>
        <v>66.067936107692702</v>
      </c>
      <c r="AO87" s="2817">
        <f t="shared" si="250"/>
        <v>66.999999933917778</v>
      </c>
      <c r="AP87" s="2817">
        <f t="shared" si="251"/>
        <v>67.210646772665271</v>
      </c>
      <c r="AQ87" s="2580">
        <v>67</v>
      </c>
      <c r="AR87" s="2580">
        <f t="shared" si="252"/>
        <v>73.035191195794482</v>
      </c>
      <c r="AS87" s="2817">
        <f t="shared" si="253"/>
        <v>66.999999941440521</v>
      </c>
      <c r="AT87" s="2817">
        <f t="shared" si="254"/>
        <v>67.827333068141357</v>
      </c>
      <c r="AU87" s="2580">
        <v>67</v>
      </c>
      <c r="AV87" s="2580">
        <f t="shared" si="255"/>
        <v>79.770573566623924</v>
      </c>
      <c r="AW87" s="2817">
        <f t="shared" si="256"/>
        <v>66.999999946847424</v>
      </c>
      <c r="AX87" s="2817">
        <f t="shared" si="257"/>
        <v>68.772089314579162</v>
      </c>
      <c r="AY87" s="2580">
        <v>67</v>
      </c>
      <c r="AZ87" s="2580">
        <f t="shared" si="258"/>
        <v>64.357329704304775</v>
      </c>
      <c r="BA87" s="3029">
        <f t="shared" si="259"/>
        <v>67</v>
      </c>
      <c r="BB87" s="3029">
        <f t="shared" si="260"/>
        <v>71.74023828391563</v>
      </c>
      <c r="BC87" s="3030">
        <f t="shared" si="261"/>
        <v>66.99999991157712</v>
      </c>
      <c r="BD87" s="3030">
        <f t="shared" si="262"/>
        <v>68.928648089047456</v>
      </c>
      <c r="BE87" s="2817">
        <f t="shared" si="263"/>
        <v>66.999999951825231</v>
      </c>
      <c r="BF87" s="101">
        <f t="shared" si="264"/>
        <v>68.359315033285895</v>
      </c>
      <c r="BG87" s="2263"/>
      <c r="BH87" s="2263"/>
      <c r="BI87" s="3238"/>
      <c r="BJ87" s="2263"/>
      <c r="BK87" s="3238"/>
      <c r="BL87" s="3238"/>
    </row>
    <row r="88" spans="1:64" ht="13.8" x14ac:dyDescent="0.25">
      <c r="B88" s="3049" t="s">
        <v>530</v>
      </c>
      <c r="C88" s="2589" t="s">
        <v>174</v>
      </c>
      <c r="D88" s="1023">
        <f>12*D7</f>
        <v>216731.85571490653</v>
      </c>
      <c r="E88" s="2348">
        <f>12*E25</f>
        <v>14899.319136607255</v>
      </c>
      <c r="F88" s="2356">
        <v>11580</v>
      </c>
      <c r="G88" s="2348">
        <f>12*G25</f>
        <v>13146.45806171231</v>
      </c>
      <c r="H88" s="2356">
        <v>5762</v>
      </c>
      <c r="I88" s="2349">
        <f>12*I25</f>
        <v>28045.777198319563</v>
      </c>
      <c r="J88" s="2830">
        <f>+F88+H88</f>
        <v>17342</v>
      </c>
      <c r="K88" s="2348">
        <f>12*K25</f>
        <v>18968.83852691215</v>
      </c>
      <c r="L88" s="2356">
        <v>12140</v>
      </c>
      <c r="M88" s="2350">
        <f>12*M25</f>
        <v>47014.615725231721</v>
      </c>
      <c r="N88" s="2350">
        <f>+L88+H88+F88</f>
        <v>29482</v>
      </c>
      <c r="O88" s="2348">
        <f>12*O25</f>
        <v>19195.467422096353</v>
      </c>
      <c r="P88" s="2356">
        <v>12992</v>
      </c>
      <c r="Q88" s="2349">
        <f>12*Q25</f>
        <v>66210.083147328056</v>
      </c>
      <c r="R88" s="2668">
        <f>+N88+P88</f>
        <v>42474</v>
      </c>
      <c r="S88" s="2348">
        <f>12*S25</f>
        <v>19195.467422096353</v>
      </c>
      <c r="T88" s="2356">
        <v>12999</v>
      </c>
      <c r="U88" s="2349">
        <f>12*U25</f>
        <v>85405.55056942442</v>
      </c>
      <c r="V88" s="2668">
        <f>+R88+T88</f>
        <v>55473</v>
      </c>
      <c r="W88" s="2348">
        <f>12*W25</f>
        <v>10073.654390934847</v>
      </c>
      <c r="X88" s="2356">
        <v>11367</v>
      </c>
      <c r="Y88" s="2350">
        <f>12*Y25</f>
        <v>48464.589235127547</v>
      </c>
      <c r="Z88" s="2350">
        <f>P88+T88+X88</f>
        <v>37358</v>
      </c>
      <c r="AA88" s="2379">
        <f>12*AA25</f>
        <v>95479.20496035926</v>
      </c>
      <c r="AB88" s="2379">
        <f>+Z88+N88</f>
        <v>66840</v>
      </c>
      <c r="AC88" s="2348">
        <f>12*AC25</f>
        <v>19573.182399999998</v>
      </c>
      <c r="AD88" s="2356">
        <v>12678</v>
      </c>
      <c r="AE88" s="2349">
        <f>12*AE25</f>
        <v>115052.38736035928</v>
      </c>
      <c r="AF88" s="2668">
        <f>+AB88+AD88</f>
        <v>79518</v>
      </c>
      <c r="AG88" s="2348">
        <f>12*AG25</f>
        <v>18968.838526912197</v>
      </c>
      <c r="AH88" s="2356">
        <v>12092</v>
      </c>
      <c r="AI88" s="2349">
        <f>12*AI25</f>
        <v>134021.22588727146</v>
      </c>
      <c r="AJ88" s="2668">
        <f>+AF88+AH88</f>
        <v>91610</v>
      </c>
      <c r="AK88" s="2348">
        <f>12*AK25</f>
        <v>19573.182247403209</v>
      </c>
      <c r="AL88" s="2356">
        <v>11240</v>
      </c>
      <c r="AM88" s="2350">
        <f>12*AM25</f>
        <v>58115.203174315408</v>
      </c>
      <c r="AN88" s="2350">
        <f>AD88+AH88+AL88</f>
        <v>36010</v>
      </c>
      <c r="AO88" s="2349">
        <f>12*AO25</f>
        <v>153594.40813467471</v>
      </c>
      <c r="AP88" s="2349">
        <f t="shared" ref="AP88" si="277">+AL88+AJ88</f>
        <v>102850</v>
      </c>
      <c r="AQ88" s="2348">
        <f>12*AQ25</f>
        <v>19875.354107648724</v>
      </c>
      <c r="AR88" s="2356">
        <v>11806</v>
      </c>
      <c r="AS88" s="2349">
        <f>12*AS25</f>
        <v>173469.7622423234</v>
      </c>
      <c r="AT88" s="2668">
        <f>+AP88+AR88</f>
        <v>114656</v>
      </c>
      <c r="AU88" s="2348">
        <f>12*AU25</f>
        <v>17760.15108593012</v>
      </c>
      <c r="AV88" s="2356">
        <v>11266</v>
      </c>
      <c r="AW88" s="2349">
        <f>12*AW25</f>
        <v>191229.91332825355</v>
      </c>
      <c r="AX88" s="2668">
        <f>+AT88+AV88</f>
        <v>125922</v>
      </c>
      <c r="AY88" s="2348">
        <f>12*AY25</f>
        <v>19875.354107648727</v>
      </c>
      <c r="AZ88" s="2356">
        <v>10632</v>
      </c>
      <c r="BA88" s="2350">
        <f>12*BA25</f>
        <v>57510.859301227567</v>
      </c>
      <c r="BB88" s="2350">
        <f>AR88+AV88+AZ88</f>
        <v>33704</v>
      </c>
      <c r="BC88" s="2379">
        <f>12*BC25</f>
        <v>115626.06247554299</v>
      </c>
      <c r="BD88" s="2379">
        <f t="shared" ref="BD88" si="278">+BB88+AN88</f>
        <v>69714</v>
      </c>
      <c r="BE88" s="2349">
        <f>12*BE25</f>
        <v>211105.26743590223</v>
      </c>
      <c r="BF88" s="2830">
        <f>+AX88+AZ88</f>
        <v>136554</v>
      </c>
      <c r="BG88" s="2263"/>
      <c r="BH88" s="2263"/>
      <c r="BI88" s="3238"/>
      <c r="BJ88" s="2263"/>
      <c r="BK88" s="3238"/>
      <c r="BL88" s="3238"/>
    </row>
    <row r="89" spans="1:64" ht="13.8" x14ac:dyDescent="0.25">
      <c r="B89" s="2956" t="s">
        <v>296</v>
      </c>
      <c r="C89" s="3036" t="s">
        <v>268</v>
      </c>
      <c r="D89" s="1199">
        <f>+'Maj Techno Summ'!D16</f>
        <v>1062</v>
      </c>
      <c r="E89" s="2998">
        <f>+'Maj Techno Summ'!E16</f>
        <v>1062</v>
      </c>
      <c r="F89" s="3001">
        <f>+(F15*1000)/F5</f>
        <v>1055.9173214589698</v>
      </c>
      <c r="G89" s="2998">
        <f>+'Maj Techno Summ'!G16</f>
        <v>1062</v>
      </c>
      <c r="H89" s="3001">
        <f>+(H15*1000)/H5</f>
        <v>1046.1685772909627</v>
      </c>
      <c r="I89" s="2999">
        <f>+(I15*1000)/I5</f>
        <v>1062</v>
      </c>
      <c r="J89" s="1847">
        <f>+(J15*1000)/J5</f>
        <v>1052.9439859022939</v>
      </c>
      <c r="K89" s="2998">
        <f>+'Maj Techno Summ'!K16</f>
        <v>1062</v>
      </c>
      <c r="L89" s="3001">
        <f>+(L15*1000)/L5</f>
        <v>1061.9196518424501</v>
      </c>
      <c r="M89" s="3000">
        <f>+(M15*1000)/M5</f>
        <v>1060.8178081402314</v>
      </c>
      <c r="N89" s="3000">
        <f>+(N15*1000)/N5</f>
        <v>1056.8139788183623</v>
      </c>
      <c r="O89" s="2998">
        <f>+'Maj Techno Summ'!O16</f>
        <v>1062</v>
      </c>
      <c r="P89" s="3001">
        <f>+(P15*1000)/P5</f>
        <v>1051.7068973673629</v>
      </c>
      <c r="Q89" s="2999">
        <f>+(Q15*1000)/Q5</f>
        <v>1060.2995742932994</v>
      </c>
      <c r="R89" s="2999">
        <f>+(R15*1000)/R5</f>
        <v>1055.2308560898055</v>
      </c>
      <c r="S89" s="2998">
        <f>+'Maj Techno Summ'!S16</f>
        <v>1062</v>
      </c>
      <c r="T89" s="3001">
        <f>+(T15*1000)/T5</f>
        <v>1060.1658095630876</v>
      </c>
      <c r="U89" s="2999">
        <f>+(U15*1000)/U5</f>
        <v>1060.0112732314644</v>
      </c>
      <c r="V89" s="2999">
        <f>+(V15*1000)/V5</f>
        <v>1056.341403358575</v>
      </c>
      <c r="W89" s="2998">
        <f>+'Maj Techno Summ'!W16</f>
        <v>1062</v>
      </c>
      <c r="X89" s="3001">
        <f>+(X15*1000)/X5</f>
        <v>1063.8152587426769</v>
      </c>
      <c r="Y89" s="3000">
        <f>Y15/Y5*1000</f>
        <v>1058.9999999999991</v>
      </c>
      <c r="Z89" s="3000">
        <f>+(Z15*1000)/Z5</f>
        <v>1058.3307154265726</v>
      </c>
      <c r="AA89" s="2367">
        <f>+(AA15*1000)/AA5</f>
        <v>1059.9058166292853</v>
      </c>
      <c r="AB89" s="2367">
        <f>+(AB15*1000)/AB5</f>
        <v>1057.6630902943705</v>
      </c>
      <c r="AC89" s="2998">
        <f>+'Maj Techno Summ'!AC16</f>
        <v>1062</v>
      </c>
      <c r="AD89" s="3001">
        <f>+(AD15*1000)/AD5</f>
        <v>1064.5745280439282</v>
      </c>
      <c r="AE89" s="2999">
        <f>+(AE15*1000)/AE5</f>
        <v>1059.7532034744236</v>
      </c>
      <c r="AF89" s="2999">
        <f>+(AF15*1000)/AF5</f>
        <v>1058.5102587464055</v>
      </c>
      <c r="AG89" s="2998">
        <f>+'Maj Techno Summ'!AG16</f>
        <v>1062</v>
      </c>
      <c r="AH89" s="3001">
        <f>+(AH15*1000)/AH5</f>
        <v>1059.8754259222142</v>
      </c>
      <c r="AI89" s="2999">
        <f>+(AI15*1000)/AI5</f>
        <v>1059.647482948189</v>
      </c>
      <c r="AJ89" s="3044">
        <f>+(AJ15*1000)/AJ5</f>
        <v>1058.6954868948621</v>
      </c>
      <c r="AK89" s="2998">
        <f>+'Maj Techno Summ'!AK16</f>
        <v>1062</v>
      </c>
      <c r="AL89" s="3001">
        <f>+(AL15*1000)/AL5</f>
        <v>1068.1895334200926</v>
      </c>
      <c r="AM89" s="3000">
        <f>AM15/AM5*1000</f>
        <v>1059.0000000000009</v>
      </c>
      <c r="AN89" s="3000">
        <f>+(AN15*1000)/AN5</f>
        <v>1064.2149663799164</v>
      </c>
      <c r="AO89" s="2999">
        <f>+(AO15*1000)/AO5</f>
        <v>1059.565569751338</v>
      </c>
      <c r="AP89" s="2999">
        <f>+(AP15*1000)/AP5</f>
        <v>1059.8508649996186</v>
      </c>
      <c r="AQ89" s="2998">
        <f>+'Maj Techno Summ'!AQ16</f>
        <v>1062</v>
      </c>
      <c r="AR89" s="3001">
        <f>+(AR15*1000)/AR5</f>
        <v>1062.1673163865344</v>
      </c>
      <c r="AS89" s="2999">
        <f>+(AS15*1000)/AS5</f>
        <v>1059.5011857860175</v>
      </c>
      <c r="AT89" s="2999">
        <f>+(AT15*1000)/AT5</f>
        <v>1060.0961239359929</v>
      </c>
      <c r="AU89" s="2998">
        <f>+'Maj Techno Summ'!AU16</f>
        <v>1062</v>
      </c>
      <c r="AV89" s="4480">
        <f>+(AV15*1000)/AV5</f>
        <v>1052.23913066978</v>
      </c>
      <c r="AW89" s="2999">
        <f>+(AW15*1000)/AW5</f>
        <v>1059.4549104828436</v>
      </c>
      <c r="AX89" s="2999">
        <f>+(AX15*1000)/AX5</f>
        <v>1059.4746060330874</v>
      </c>
      <c r="AY89" s="2998">
        <f>+'Maj Techno Summ'!AY16</f>
        <v>1062</v>
      </c>
      <c r="AZ89" s="4480">
        <f>+(AZ15*1000)/AZ5</f>
        <v>1038.4428162825402</v>
      </c>
      <c r="BA89" s="3000">
        <f>BA15/BA5*1000</f>
        <v>1059</v>
      </c>
      <c r="BB89" s="3000">
        <f>+(BB15*1000)/BB5</f>
        <v>1050.6127742040005</v>
      </c>
      <c r="BC89" s="2367">
        <f>+(BC15*1000)/BC5</f>
        <v>1059.0000000000005</v>
      </c>
      <c r="BD89" s="2367">
        <f>+(BD15*1000)/BD5</f>
        <v>1057.3549740205387</v>
      </c>
      <c r="BE89" s="2999">
        <f>+(BE15*1000)/BE5</f>
        <v>1059.4123075023422</v>
      </c>
      <c r="BF89" s="1847">
        <f>+(BF15*1000)/BF5</f>
        <v>1057.5081604035747</v>
      </c>
      <c r="BG89" s="3536"/>
      <c r="BH89" s="3536"/>
      <c r="BI89" s="3536"/>
      <c r="BJ89" s="3536"/>
      <c r="BK89" s="3238"/>
      <c r="BL89" s="3238"/>
    </row>
    <row r="90" spans="1:64" ht="14.4" thickBot="1" x14ac:dyDescent="0.3">
      <c r="B90" s="3050" t="s">
        <v>780</v>
      </c>
      <c r="C90" s="3036" t="s">
        <v>268</v>
      </c>
      <c r="D90" s="1199">
        <f>+'Maj Techno Summ'!D17</f>
        <v>34</v>
      </c>
      <c r="E90" s="2998">
        <f>+'Maj Techno Summ'!E17</f>
        <v>34</v>
      </c>
      <c r="F90" s="3001">
        <f>+(F19*1000)/F5</f>
        <v>40.079112648168227</v>
      </c>
      <c r="G90" s="2998">
        <f>+'Maj Techno Summ'!G17</f>
        <v>34</v>
      </c>
      <c r="H90" s="3001">
        <f>+(H19*1000)/H5</f>
        <v>49.211420871571342</v>
      </c>
      <c r="I90" s="2999">
        <f>+(I19*1000)/I5</f>
        <v>34</v>
      </c>
      <c r="J90" s="1847">
        <f>+(J19*1000)/J5</f>
        <v>42.864437228156802</v>
      </c>
      <c r="K90" s="2998">
        <f>+'Maj Techno Summ'!K17</f>
        <v>34</v>
      </c>
      <c r="L90" s="3001">
        <f>+(L19*1000)/L5</f>
        <v>34.520831536271885</v>
      </c>
      <c r="M90" s="3000">
        <f>+(M19*1000)/M5</f>
        <v>34</v>
      </c>
      <c r="N90" s="3000">
        <f>+(N19*1000)/N5</f>
        <v>39.266966562765653</v>
      </c>
      <c r="O90" s="2998">
        <f>+'Maj Techno Summ'!O17</f>
        <v>34</v>
      </c>
      <c r="P90" s="3001">
        <f>+(P19*1000)/P5</f>
        <v>44.526180507919989</v>
      </c>
      <c r="Q90" s="2999">
        <f>+(Q19*1000)/Q5</f>
        <v>34</v>
      </c>
      <c r="R90" s="2999">
        <f>+(R19*1000)/R5</f>
        <v>40.897248204208232</v>
      </c>
      <c r="S90" s="2998">
        <f>+'Maj Techno Summ'!S17</f>
        <v>34</v>
      </c>
      <c r="T90" s="3001">
        <f>+(T19*1000)/T5</f>
        <v>36.183939197549037</v>
      </c>
      <c r="U90" s="2999">
        <f>+(U19*1000)/U5</f>
        <v>34.000000000000007</v>
      </c>
      <c r="V90" s="2999">
        <f>+(V19*1000)/V5</f>
        <v>39.836579147741695</v>
      </c>
      <c r="W90" s="2998">
        <f>+'Maj Techno Summ'!W17</f>
        <v>34</v>
      </c>
      <c r="X90" s="3001">
        <f>+(X19*1000)/X5</f>
        <v>34.040564785957052</v>
      </c>
      <c r="Y90" s="3000">
        <f>+(Y19*1000)/Y5</f>
        <v>34</v>
      </c>
      <c r="Z90" s="3000">
        <f>+(Z19*1000)/Z5</f>
        <v>38.453569056342083</v>
      </c>
      <c r="AA90" s="2367">
        <f>+(AA19*1000)/AA5</f>
        <v>34</v>
      </c>
      <c r="AB90" s="2367">
        <f>+(AB19*1000)/AB5</f>
        <v>38.811603941779161</v>
      </c>
      <c r="AC90" s="2998">
        <f>+'Maj Techno Summ'!AC17</f>
        <v>34</v>
      </c>
      <c r="AD90" s="3001">
        <f>+(AD19*1000)/AD5</f>
        <v>30.862550990228851</v>
      </c>
      <c r="AE90" s="2999">
        <f>+(AE19*1000)/AE5</f>
        <v>34.000000000000007</v>
      </c>
      <c r="AF90" s="2999">
        <f>+(AF19*1000)/AF5</f>
        <v>37.837249961011558</v>
      </c>
      <c r="AG90" s="2998">
        <f>+'Maj Techno Summ'!AG17</f>
        <v>34</v>
      </c>
      <c r="AH90" s="3001">
        <f>+(AH19*1000)/AH5</f>
        <v>36.486828001498893</v>
      </c>
      <c r="AI90" s="2999">
        <f>+(AI19*1000)/AI5</f>
        <v>34</v>
      </c>
      <c r="AJ90" s="3044">
        <f>+(AJ19*1000)/AJ5</f>
        <v>37.654022467977626</v>
      </c>
      <c r="AK90" s="2998">
        <f>+'Maj Techno Summ'!AK17</f>
        <v>34</v>
      </c>
      <c r="AL90" s="3001">
        <f>+(AL19*1000)/AL5</f>
        <v>27.934205192754888</v>
      </c>
      <c r="AM90" s="3000">
        <f>+(AM19*1000)/AM5</f>
        <v>33.999999999999993</v>
      </c>
      <c r="AN90" s="3000">
        <f>+(AN19*1000)/AN5</f>
        <v>31.802546542511827</v>
      </c>
      <c r="AO90" s="2999">
        <f>+(AO19*1000)/AO5</f>
        <v>34</v>
      </c>
      <c r="AP90" s="2999">
        <f>+(AP19*1000)/AP5</f>
        <v>36.471169189117049</v>
      </c>
      <c r="AQ90" s="2998">
        <f>+'Maj Techno Summ'!AQ17</f>
        <v>34</v>
      </c>
      <c r="AR90" s="3001">
        <f>+(AR19*1000)/AR5</f>
        <v>33.23306160572163</v>
      </c>
      <c r="AS90" s="2999">
        <f>+(AS19*1000)/AS5</f>
        <v>34</v>
      </c>
      <c r="AT90" s="2999">
        <f>+(AT19*1000)/AT5</f>
        <v>36.128328054502411</v>
      </c>
      <c r="AU90" s="2998">
        <f>+'Maj Techno Summ'!AU17</f>
        <v>34</v>
      </c>
      <c r="AV90" s="4480">
        <f>+(AV19*1000)/AV5</f>
        <v>43.482725818307607</v>
      </c>
      <c r="AW90" s="2999">
        <f>+(AW19*1000)/AW5</f>
        <v>34</v>
      </c>
      <c r="AX90" s="2999">
        <f>+(AX19*1000)/AX5</f>
        <v>36.710088751046428</v>
      </c>
      <c r="AY90" s="2998">
        <f>+'Maj Techno Summ'!AY17</f>
        <v>34</v>
      </c>
      <c r="AZ90" s="4480">
        <f>+(AZ19*1000)/AZ5</f>
        <v>54.990465926048749</v>
      </c>
      <c r="BA90" s="3000">
        <f t="shared" ref="BA90:BF90" si="279">+(BA19*1000)/BA5</f>
        <v>34</v>
      </c>
      <c r="BB90" s="3000">
        <f t="shared" si="279"/>
        <v>44.153243986348841</v>
      </c>
      <c r="BC90" s="2367">
        <f t="shared" si="279"/>
        <v>34</v>
      </c>
      <c r="BD90" s="2367">
        <f t="shared" si="279"/>
        <v>38.031372675973181</v>
      </c>
      <c r="BE90" s="2999">
        <f t="shared" si="279"/>
        <v>34.000000000000007</v>
      </c>
      <c r="BF90" s="1847">
        <f t="shared" si="279"/>
        <v>38.419280799273835</v>
      </c>
      <c r="BG90" s="3536"/>
      <c r="BH90" s="3536"/>
      <c r="BI90" s="3536"/>
      <c r="BJ90" s="3536"/>
      <c r="BK90" s="3238"/>
      <c r="BL90" s="3238"/>
    </row>
    <row r="91" spans="1:64" ht="13.8" x14ac:dyDescent="0.25">
      <c r="B91" s="2955" t="s">
        <v>285</v>
      </c>
      <c r="C91" s="3019" t="s">
        <v>268</v>
      </c>
      <c r="D91" s="1199">
        <f t="shared" ref="D91:J91" si="280">SUM(D89:D90)</f>
        <v>1096</v>
      </c>
      <c r="E91" s="2998">
        <f t="shared" si="280"/>
        <v>1096</v>
      </c>
      <c r="F91" s="3001">
        <f t="shared" si="280"/>
        <v>1095.9964341071379</v>
      </c>
      <c r="G91" s="2998">
        <f t="shared" ref="G91:H91" si="281">SUM(G89:G90)</f>
        <v>1096</v>
      </c>
      <c r="H91" s="3001">
        <f t="shared" si="281"/>
        <v>1095.3799981625341</v>
      </c>
      <c r="I91" s="2999">
        <f t="shared" si="280"/>
        <v>1096</v>
      </c>
      <c r="J91" s="1847">
        <f t="shared" si="280"/>
        <v>1095.8084231304506</v>
      </c>
      <c r="K91" s="2998">
        <f t="shared" ref="K91:L91" si="282">SUM(K89:K90)</f>
        <v>1096</v>
      </c>
      <c r="L91" s="3001">
        <f t="shared" si="282"/>
        <v>1096.4404833787221</v>
      </c>
      <c r="M91" s="3000">
        <f t="shared" ref="M91:AF91" si="283">SUM(M89:M90)</f>
        <v>1094.8178081402314</v>
      </c>
      <c r="N91" s="3000">
        <f t="shared" si="283"/>
        <v>1096.080945381128</v>
      </c>
      <c r="O91" s="2998">
        <f t="shared" si="283"/>
        <v>1096</v>
      </c>
      <c r="P91" s="3001">
        <f t="shared" si="283"/>
        <v>1096.2330778752828</v>
      </c>
      <c r="Q91" s="2999">
        <f t="shared" si="283"/>
        <v>1094.2995742932994</v>
      </c>
      <c r="R91" s="2999">
        <f t="shared" si="283"/>
        <v>1096.1281042940136</v>
      </c>
      <c r="S91" s="2998">
        <f t="shared" ref="S91:T91" si="284">SUM(S89:S90)</f>
        <v>1096</v>
      </c>
      <c r="T91" s="3001">
        <f t="shared" si="284"/>
        <v>1096.3497487606367</v>
      </c>
      <c r="U91" s="2999">
        <f t="shared" ref="U91:X91" si="285">SUM(U89:U90)</f>
        <v>1094.0112732314644</v>
      </c>
      <c r="V91" s="2999">
        <f t="shared" si="285"/>
        <v>1096.1779825063168</v>
      </c>
      <c r="W91" s="2998">
        <f t="shared" si="285"/>
        <v>1096</v>
      </c>
      <c r="X91" s="3001">
        <f t="shared" si="285"/>
        <v>1097.8558235286339</v>
      </c>
      <c r="Y91" s="3000">
        <f t="shared" si="283"/>
        <v>1092.9999999999991</v>
      </c>
      <c r="Z91" s="3000">
        <f t="shared" si="283"/>
        <v>1096.7842844829147</v>
      </c>
      <c r="AA91" s="2367">
        <f t="shared" si="283"/>
        <v>1093.9058166292853</v>
      </c>
      <c r="AB91" s="2367">
        <f t="shared" si="283"/>
        <v>1096.4746942361496</v>
      </c>
      <c r="AC91" s="2998">
        <f t="shared" si="283"/>
        <v>1096</v>
      </c>
      <c r="AD91" s="3001">
        <f t="shared" si="283"/>
        <v>1095.437079034157</v>
      </c>
      <c r="AE91" s="2999">
        <f t="shared" si="283"/>
        <v>1093.7532034744236</v>
      </c>
      <c r="AF91" s="2999">
        <f t="shared" si="283"/>
        <v>1096.3475087074171</v>
      </c>
      <c r="AG91" s="2998">
        <f t="shared" ref="AG91:AH91" si="286">SUM(AG89:AG90)</f>
        <v>1096</v>
      </c>
      <c r="AH91" s="3001">
        <f t="shared" si="286"/>
        <v>1096.3622539237131</v>
      </c>
      <c r="AI91" s="2999">
        <f t="shared" ref="AI91:AL91" si="287">SUM(AI89:AI90)</f>
        <v>1093.647482948189</v>
      </c>
      <c r="AJ91" s="2999">
        <f t="shared" si="287"/>
        <v>1096.3495093628399</v>
      </c>
      <c r="AK91" s="2998">
        <f t="shared" si="287"/>
        <v>1096</v>
      </c>
      <c r="AL91" s="3001">
        <f t="shared" si="287"/>
        <v>1096.1237386128475</v>
      </c>
      <c r="AM91" s="3000">
        <f t="shared" ref="AM91:AT91" si="288">SUM(AM89:AM90)</f>
        <v>1093.0000000000009</v>
      </c>
      <c r="AN91" s="3000">
        <f t="shared" si="288"/>
        <v>1096.0175129224283</v>
      </c>
      <c r="AO91" s="2999">
        <f t="shared" si="288"/>
        <v>1093.565569751338</v>
      </c>
      <c r="AP91" s="2999">
        <f t="shared" si="288"/>
        <v>1096.3220341887356</v>
      </c>
      <c r="AQ91" s="2998">
        <f t="shared" si="288"/>
        <v>1096</v>
      </c>
      <c r="AR91" s="3001">
        <f t="shared" si="288"/>
        <v>1095.4003779922559</v>
      </c>
      <c r="AS91" s="2999">
        <f t="shared" si="288"/>
        <v>1093.5011857860175</v>
      </c>
      <c r="AT91" s="3044">
        <f t="shared" si="288"/>
        <v>1096.2244519904953</v>
      </c>
      <c r="AU91" s="2998">
        <f t="shared" ref="AU91:AV91" si="289">SUM(AU89:AU90)</f>
        <v>1096</v>
      </c>
      <c r="AV91" s="3001">
        <f t="shared" si="289"/>
        <v>1095.7218564880877</v>
      </c>
      <c r="AW91" s="2999">
        <f t="shared" ref="AW91:AZ91" si="290">SUM(AW89:AW90)</f>
        <v>1093.4549104828436</v>
      </c>
      <c r="AX91" s="2999">
        <f t="shared" si="290"/>
        <v>1096.1846947841339</v>
      </c>
      <c r="AY91" s="2998">
        <f t="shared" si="290"/>
        <v>1096</v>
      </c>
      <c r="AZ91" s="4480">
        <f t="shared" si="290"/>
        <v>1093.4332822085889</v>
      </c>
      <c r="BA91" s="3000">
        <f t="shared" ref="BA91:BD91" si="291">SUM(BA89:BA90)</f>
        <v>1093</v>
      </c>
      <c r="BB91" s="3000">
        <f t="shared" si="291"/>
        <v>1094.7660181903493</v>
      </c>
      <c r="BC91" s="2367">
        <f t="shared" si="291"/>
        <v>1093.0000000000005</v>
      </c>
      <c r="BD91" s="2367">
        <f t="shared" si="291"/>
        <v>1095.386346696512</v>
      </c>
      <c r="BE91" s="2999">
        <f t="shared" ref="BE91:BF91" si="292">SUM(BE89:BE90)</f>
        <v>1093.4123075023422</v>
      </c>
      <c r="BF91" s="1847">
        <f t="shared" si="292"/>
        <v>1095.9274412028485</v>
      </c>
      <c r="BG91" s="3536"/>
      <c r="BH91" s="3536"/>
      <c r="BI91" s="3536"/>
      <c r="BJ91" s="3536"/>
      <c r="BK91" s="3238"/>
      <c r="BL91" s="3238"/>
    </row>
    <row r="92" spans="1:64" ht="13.8" x14ac:dyDescent="0.25">
      <c r="B92" s="3049" t="s">
        <v>432</v>
      </c>
      <c r="C92" s="2589" t="s">
        <v>50</v>
      </c>
      <c r="D92" s="1023">
        <f>+D94*D5/1000</f>
        <v>355006.77966101695</v>
      </c>
      <c r="E92" s="2348">
        <f>+E94*E5/1000</f>
        <v>24405.084745762713</v>
      </c>
      <c r="F92" s="2348">
        <v>35958.271479999996</v>
      </c>
      <c r="G92" s="2348">
        <f>+G94*G5/1000</f>
        <v>21533.898305084742</v>
      </c>
      <c r="H92" s="2348">
        <v>17186.789550000001</v>
      </c>
      <c r="I92" s="2349">
        <f>+E92+G92</f>
        <v>45938.983050847455</v>
      </c>
      <c r="J92" s="35">
        <f>+F92+H92</f>
        <v>53145.061029999997</v>
      </c>
      <c r="K92" s="2348">
        <f>+K94*K5/1000</f>
        <v>29875.920679886651</v>
      </c>
      <c r="L92" s="2348">
        <v>30254.303680000001</v>
      </c>
      <c r="M92" s="2350">
        <f>+K92+G92+E92</f>
        <v>75814.903730734106</v>
      </c>
      <c r="N92" s="2350">
        <f>+L92+H92+F92</f>
        <v>83399.364709999994</v>
      </c>
      <c r="O92" s="2348">
        <f>+O94*O5/1000</f>
        <v>30232.861189801704</v>
      </c>
      <c r="P92" s="2348">
        <v>31564.151819999999</v>
      </c>
      <c r="Q92" s="2349">
        <f>+M92+O92</f>
        <v>106047.76492053582</v>
      </c>
      <c r="R92" s="2349">
        <f>+N92+P92</f>
        <v>114963.51652999999</v>
      </c>
      <c r="S92" s="2348">
        <f>+S94*S5/1000</f>
        <v>30232.861189801704</v>
      </c>
      <c r="T92" s="2348">
        <v>29126.430780000002</v>
      </c>
      <c r="U92" s="2349">
        <f>+Q92+S92</f>
        <v>136280.62611033753</v>
      </c>
      <c r="V92" s="2349">
        <f>+R92+T92</f>
        <v>144089.94730999999</v>
      </c>
      <c r="W92" s="2348">
        <f>+W94*W5/1000</f>
        <v>15866.005665722438</v>
      </c>
      <c r="X92" s="2348">
        <v>28595.071339999999</v>
      </c>
      <c r="Y92" s="2350">
        <f>+W92+S92+O92</f>
        <v>76331.728045325843</v>
      </c>
      <c r="Z92" s="2350">
        <f>+X92+T92+P92</f>
        <v>89285.653940000004</v>
      </c>
      <c r="AA92" s="2379">
        <f>+Y92+M92</f>
        <v>152146.63177605995</v>
      </c>
      <c r="AB92" s="2379">
        <f>+Z92+N92</f>
        <v>172685.01864999998</v>
      </c>
      <c r="AC92" s="2348">
        <f>+AC94*AC5/1000</f>
        <v>30827.762039660036</v>
      </c>
      <c r="AD92" s="2348">
        <v>22986.981849999996</v>
      </c>
      <c r="AE92" s="2349">
        <f>+AA92+AC92</f>
        <v>182974.39381571999</v>
      </c>
      <c r="AF92" s="2349">
        <f>+AB92+AD92</f>
        <v>195672.00049999997</v>
      </c>
      <c r="AG92" s="2348">
        <f>+AG94*AG5/1000</f>
        <v>29875.920679886651</v>
      </c>
      <c r="AH92" s="2348">
        <v>26984.9643</v>
      </c>
      <c r="AI92" s="2349">
        <f>+AE92+AG92</f>
        <v>212850.31449560664</v>
      </c>
      <c r="AJ92" s="2349">
        <f>+AF92+AH92</f>
        <v>222656.96479999996</v>
      </c>
      <c r="AK92" s="2348">
        <f>+AK94*AK5/1000</f>
        <v>30827.762039660036</v>
      </c>
      <c r="AL92" s="2348">
        <v>29237.462070000001</v>
      </c>
      <c r="AM92" s="2350">
        <f>+AK92+AG92+AC92</f>
        <v>91531.44475920673</v>
      </c>
      <c r="AN92" s="2350">
        <f>+AL92+AH92+AD92</f>
        <v>79209.408219999998</v>
      </c>
      <c r="AO92" s="2349">
        <f t="shared" ref="AO92:AP92" si="293">+AK92+AI92</f>
        <v>243678.07653526668</v>
      </c>
      <c r="AP92" s="2349">
        <f t="shared" si="293"/>
        <v>251894.42686999997</v>
      </c>
      <c r="AQ92" s="2348">
        <f>+AQ94*AQ5/1000</f>
        <v>31303.682719546741</v>
      </c>
      <c r="AR92" s="2348">
        <v>38588</v>
      </c>
      <c r="AS92" s="2349">
        <f>+AO92+AQ92</f>
        <v>274981.75925481343</v>
      </c>
      <c r="AT92" s="2349">
        <f>+AP92+AR92</f>
        <v>290482.42686999997</v>
      </c>
      <c r="AU92" s="2348">
        <f>+AU94*AU5/1000</f>
        <v>27972.237960339942</v>
      </c>
      <c r="AV92" s="2348">
        <v>34268.306349999999</v>
      </c>
      <c r="AW92" s="2349">
        <f>+AS92+AU92</f>
        <v>302953.99721515336</v>
      </c>
      <c r="AX92" s="2349">
        <f>+AT92+AV92</f>
        <v>324750.73321999994</v>
      </c>
      <c r="AY92" s="2348">
        <f>+AY94*AY5/1000</f>
        <v>31303.682719546741</v>
      </c>
      <c r="AZ92" s="2348">
        <v>36592.682540000002</v>
      </c>
      <c r="BA92" s="2350">
        <f>+AY92+AU92+AQ92</f>
        <v>90579.603399433428</v>
      </c>
      <c r="BB92" s="2350">
        <f>+AZ92+AV92+AR92</f>
        <v>109448.98889000001</v>
      </c>
      <c r="BC92" s="2379">
        <f t="shared" ref="BC92" si="294">+BA92+AM92</f>
        <v>182111.04815864016</v>
      </c>
      <c r="BD92" s="2379">
        <f t="shared" ref="BD92" si="295">+BB92+AN92</f>
        <v>188658.39711000002</v>
      </c>
      <c r="BE92" s="2349">
        <f>+AW92+AY92</f>
        <v>334257.67993470008</v>
      </c>
      <c r="BF92" s="35">
        <f>+AX92+AZ92</f>
        <v>361343.41575999995</v>
      </c>
      <c r="BG92" s="2263"/>
      <c r="BH92" s="2263"/>
      <c r="BI92" s="3238"/>
      <c r="BJ92" s="2263"/>
      <c r="BK92" s="3238"/>
      <c r="BL92" s="3238"/>
    </row>
    <row r="93" spans="1:64" ht="13.8" x14ac:dyDescent="0.25">
      <c r="B93" s="3049" t="s">
        <v>286</v>
      </c>
      <c r="C93" s="2589" t="s">
        <v>269</v>
      </c>
      <c r="D93" s="1023">
        <f t="shared" ref="D93:J93" si="296">+D92/D20*1000</f>
        <v>124.11</v>
      </c>
      <c r="E93" s="2348">
        <f t="shared" si="296"/>
        <v>124.11000000000001</v>
      </c>
      <c r="F93" s="2348">
        <f t="shared" si="296"/>
        <v>158.77999999999997</v>
      </c>
      <c r="G93" s="2348">
        <f t="shared" ref="G93:H93" si="297">+G92/G20*1000</f>
        <v>124.10999999999999</v>
      </c>
      <c r="H93" s="2348">
        <f t="shared" si="297"/>
        <v>172.65000000000003</v>
      </c>
      <c r="I93" s="2349">
        <f t="shared" si="296"/>
        <v>124.11</v>
      </c>
      <c r="J93" s="35">
        <f t="shared" si="296"/>
        <v>163.01515899672711</v>
      </c>
      <c r="K93" s="2348">
        <v>122.85</v>
      </c>
      <c r="L93" s="2348">
        <f>+L92/L20*1000</f>
        <v>122.56</v>
      </c>
      <c r="M93" s="2350">
        <f>+M92/M20*1000</f>
        <v>123.61040609957711</v>
      </c>
      <c r="N93" s="2350">
        <f>+N92/N20*1000</f>
        <v>145.58267502347843</v>
      </c>
      <c r="O93" s="2348">
        <v>122.85</v>
      </c>
      <c r="P93" s="2348">
        <f>+P92/P20*1000</f>
        <v>122.78999999999999</v>
      </c>
      <c r="Q93" s="2349">
        <f>+Q92/Q20*1000</f>
        <v>123.39266645450384</v>
      </c>
      <c r="R93" s="2349">
        <f>+R92/R20*1000</f>
        <v>138.52294490820847</v>
      </c>
      <c r="S93" s="2348">
        <v>122.85</v>
      </c>
      <c r="T93" s="2348">
        <f>+T92/T20*1000</f>
        <v>120.97000000000001</v>
      </c>
      <c r="U93" s="2349">
        <f>+U92/U20*1000</f>
        <v>123.27186645936705</v>
      </c>
      <c r="V93" s="2349">
        <f>+V92/V20*1000</f>
        <v>134.57571351585602</v>
      </c>
      <c r="W93" s="2348">
        <v>122.84999999999998</v>
      </c>
      <c r="X93" s="2348">
        <f>+X92/X20*1000</f>
        <v>124.22</v>
      </c>
      <c r="Y93" s="3029">
        <f>+Y92/Y20*1000</f>
        <v>122.85000000000009</v>
      </c>
      <c r="Z93" s="2350">
        <f>+Z92/Z20*1000</f>
        <v>122.64024364414055</v>
      </c>
      <c r="AA93" s="2379">
        <f>+AA92/AA20*1000</f>
        <v>123.22773852706287</v>
      </c>
      <c r="AB93" s="2379">
        <f>+AB92/AB20*1000</f>
        <v>132.743241114771</v>
      </c>
      <c r="AC93" s="2348">
        <v>122.84999999999998</v>
      </c>
      <c r="AD93" s="2348">
        <f>+AD92/AD20*1000</f>
        <v>126.35</v>
      </c>
      <c r="AE93" s="2349">
        <f>+AE92/AE20*1000</f>
        <v>123.1639340203988</v>
      </c>
      <c r="AF93" s="2349">
        <f>+AF92/AF20*1000</f>
        <v>131.9588410912676</v>
      </c>
      <c r="AG93" s="2348">
        <v>122.85</v>
      </c>
      <c r="AH93" s="2348">
        <f>+AH92/AH20*1000</f>
        <v>115.87</v>
      </c>
      <c r="AI93" s="2349">
        <f>+AI92/AI20*1000</f>
        <v>123.11977310887606</v>
      </c>
      <c r="AJ93" s="2349">
        <f>+AJ92/AJ20*1000</f>
        <v>129.77495389679873</v>
      </c>
      <c r="AK93" s="2348">
        <v>122.84999999999998</v>
      </c>
      <c r="AL93" s="2348">
        <f>+AL92/AL20*1000</f>
        <v>122.91000000000001</v>
      </c>
      <c r="AM93" s="2350">
        <f>+AM92/AM20*1000</f>
        <v>122.84999999999991</v>
      </c>
      <c r="AN93" s="2350">
        <f>+AN92/AN20*1000</f>
        <v>121.3569035296569</v>
      </c>
      <c r="AO93" s="2349">
        <f>+AO92/AO20*1000</f>
        <v>123.08557861282344</v>
      </c>
      <c r="AP93" s="2349">
        <f>+AP92/AP20*1000</f>
        <v>128.93905069786797</v>
      </c>
      <c r="AQ93" s="2348">
        <v>122</v>
      </c>
      <c r="AR93" s="2580">
        <f>+AR92/AR20*1000</f>
        <v>166.81076220777425</v>
      </c>
      <c r="AS93" s="2349">
        <f>+AS92/AS20*1000</f>
        <v>123.0587149874696</v>
      </c>
      <c r="AT93" s="2349">
        <f>+AT92/AT20*1000</f>
        <v>132.94870929887165</v>
      </c>
      <c r="AU93" s="2348">
        <v>122</v>
      </c>
      <c r="AV93" s="2580">
        <f>+AV92/AV20*1000</f>
        <v>182.45</v>
      </c>
      <c r="AW93" s="2349">
        <f>+AW92/AW20*1000</f>
        <v>123.03941427870834</v>
      </c>
      <c r="AX93" s="2349">
        <f>+AX92/AX20*1000</f>
        <v>136.86716022461752</v>
      </c>
      <c r="AY93" s="2348">
        <v>122</v>
      </c>
      <c r="AZ93" s="2580">
        <f>+AZ92/AZ20*1000</f>
        <v>149.53</v>
      </c>
      <c r="BA93" s="2350">
        <f t="shared" ref="BA93:BF93" si="298">+BA92/BA20*1000</f>
        <v>122.85000000000001</v>
      </c>
      <c r="BB93" s="2350">
        <f t="shared" si="298"/>
        <v>164.86534073740452</v>
      </c>
      <c r="BC93" s="2379">
        <f t="shared" si="298"/>
        <v>122.84999999999997</v>
      </c>
      <c r="BD93" s="2379">
        <f t="shared" si="298"/>
        <v>143.29570550530283</v>
      </c>
      <c r="BE93" s="2349">
        <f t="shared" si="298"/>
        <v>123.02165059048717</v>
      </c>
      <c r="BF93" s="35">
        <f t="shared" si="298"/>
        <v>138.05106464200813</v>
      </c>
      <c r="BG93" s="2263"/>
      <c r="BH93" s="2263"/>
      <c r="BI93" s="3238"/>
      <c r="BJ93" s="2263"/>
      <c r="BK93" s="3238"/>
      <c r="BL93" s="3238"/>
    </row>
    <row r="94" spans="1:64" ht="13.8" x14ac:dyDescent="0.25">
      <c r="B94" s="3049" t="s">
        <v>286</v>
      </c>
      <c r="C94" s="2589" t="s">
        <v>268</v>
      </c>
      <c r="D94" s="1826">
        <v>126</v>
      </c>
      <c r="E94" s="2356">
        <f>$D$94</f>
        <v>126</v>
      </c>
      <c r="F94" s="2348">
        <f>+F92/F5*1000</f>
        <v>161.08460251046023</v>
      </c>
      <c r="G94" s="2356">
        <f>$D$94</f>
        <v>126</v>
      </c>
      <c r="H94" s="2348">
        <f>+H92/H5*1000</f>
        <v>175.44522360939561</v>
      </c>
      <c r="I94" s="2349">
        <f>+I92/I5*1000</f>
        <v>126</v>
      </c>
      <c r="J94" s="35">
        <f>+J92/J5*1000</f>
        <v>165.46454566965659</v>
      </c>
      <c r="K94" s="2356">
        <v>126</v>
      </c>
      <c r="L94" s="2348">
        <f>+L92/L5*1000</f>
        <v>124.27164043983849</v>
      </c>
      <c r="M94" s="2350">
        <f>+M92/M5*1000</f>
        <v>126</v>
      </c>
      <c r="N94" s="2350">
        <f>+N92/N5*1000</f>
        <v>147.70360709478607</v>
      </c>
      <c r="O94" s="2356">
        <v>126</v>
      </c>
      <c r="P94" s="2348">
        <f>+P92/P5*1000</f>
        <v>124.43389951983349</v>
      </c>
      <c r="Q94" s="2349">
        <f>+Q92/Q5*1000</f>
        <v>126</v>
      </c>
      <c r="R94" s="2349">
        <f>+R92/R5*1000</f>
        <v>140.49032817957183</v>
      </c>
      <c r="S94" s="2356">
        <v>126</v>
      </c>
      <c r="T94" s="2348">
        <f>+T92/T5*1000</f>
        <v>122.5746386277365</v>
      </c>
      <c r="U94" s="2349">
        <f>+U92/U5*1000</f>
        <v>126.00000000000003</v>
      </c>
      <c r="V94" s="2349">
        <f>+V92/V5*1000</f>
        <v>136.4586346271133</v>
      </c>
      <c r="W94" s="2356">
        <v>126</v>
      </c>
      <c r="X94" s="2348">
        <f>+X92/X5*1000</f>
        <v>126.05443907126829</v>
      </c>
      <c r="Y94" s="2350">
        <f>+Y92/Y5*1000</f>
        <v>126</v>
      </c>
      <c r="Z94" s="2350">
        <f>+Z92/Z5*1000</f>
        <v>124.33059419520951</v>
      </c>
      <c r="AA94" s="2379">
        <f>+AA92/AA5*1000</f>
        <v>126</v>
      </c>
      <c r="AB94" s="2379">
        <f>+AB92/AB5*1000</f>
        <v>134.61874227746026</v>
      </c>
      <c r="AC94" s="2356">
        <v>126</v>
      </c>
      <c r="AD94" s="2348">
        <f>+AD92/AD5*1000</f>
        <v>128.27485253988536</v>
      </c>
      <c r="AE94" s="2349">
        <f>+AE92/AE5*1000</f>
        <v>126</v>
      </c>
      <c r="AF94" s="2349">
        <f>+AF92/AF5*1000</f>
        <v>133.84114093840373</v>
      </c>
      <c r="AG94" s="2356">
        <v>126</v>
      </c>
      <c r="AH94" s="2348">
        <f>+AH92/AH5*1000</f>
        <v>117.58051912401635</v>
      </c>
      <c r="AI94" s="2349">
        <f>+AI92/AI5*1000</f>
        <v>126</v>
      </c>
      <c r="AJ94" s="2349">
        <f>+AJ92/AJ5*1000</f>
        <v>131.63487277959931</v>
      </c>
      <c r="AK94" s="2356">
        <v>126</v>
      </c>
      <c r="AL94" s="2348">
        <f>+AL92/AL5*1000</f>
        <v>124.75182757664327</v>
      </c>
      <c r="AM94" s="2350">
        <f>+AM92/AM5*1000</f>
        <v>126</v>
      </c>
      <c r="AN94" s="2350">
        <f>+AN92/AN5*1000</f>
        <v>123.17423386018274</v>
      </c>
      <c r="AO94" s="2349">
        <f>+AO92/AO5*1000</f>
        <v>126</v>
      </c>
      <c r="AP94" s="2349">
        <f>+AP92/AP5*1000</f>
        <v>130.7972405117977</v>
      </c>
      <c r="AQ94" s="2356">
        <v>126</v>
      </c>
      <c r="AR94" s="2580">
        <f>+AR92/AR5*1000</f>
        <v>169.21073287524064</v>
      </c>
      <c r="AS94" s="2349">
        <f>+AS92/AS5*1000</f>
        <v>126</v>
      </c>
      <c r="AT94" s="2349">
        <f>+AT92/AT5*1000</f>
        <v>134.86434605638365</v>
      </c>
      <c r="AU94" s="2356">
        <v>126</v>
      </c>
      <c r="AV94" s="2580">
        <f>+AV92/AV5*1000</f>
        <v>185.21806951831192</v>
      </c>
      <c r="AW94" s="2349">
        <f>+AW92/AW5*1000</f>
        <v>125.99999999999997</v>
      </c>
      <c r="AX94" s="2349">
        <f>+AX92/AX5*1000</f>
        <v>138.84751615074077</v>
      </c>
      <c r="AY94" s="2356">
        <v>126</v>
      </c>
      <c r="AZ94" s="2580">
        <f>+AZ92/AZ5*1000</f>
        <v>151.68580061349692</v>
      </c>
      <c r="BA94" s="2350">
        <f t="shared" ref="BA94:BF94" si="299">+BA92/BA5*1000</f>
        <v>126</v>
      </c>
      <c r="BB94" s="2350">
        <f t="shared" si="299"/>
        <v>167.27569473164576</v>
      </c>
      <c r="BC94" s="2379">
        <f t="shared" si="299"/>
        <v>126</v>
      </c>
      <c r="BD94" s="2379">
        <f t="shared" si="299"/>
        <v>145.4159196636891</v>
      </c>
      <c r="BE94" s="2349">
        <f t="shared" si="299"/>
        <v>125.99999999999997</v>
      </c>
      <c r="BF94" s="35">
        <f t="shared" si="299"/>
        <v>140.04787944229423</v>
      </c>
      <c r="BG94" s="2263"/>
      <c r="BH94" s="2263"/>
      <c r="BI94" s="3238"/>
      <c r="BJ94" s="2263"/>
      <c r="BK94" s="3238"/>
      <c r="BL94" s="3238"/>
    </row>
    <row r="95" spans="1:64" ht="13.8" x14ac:dyDescent="0.25">
      <c r="B95" s="3049" t="s">
        <v>287</v>
      </c>
      <c r="C95" s="2589" t="s">
        <v>431</v>
      </c>
      <c r="D95" s="1023">
        <f>+D96*D5/1000</f>
        <v>143693.22033898305</v>
      </c>
      <c r="E95" s="2399">
        <f>+E96*E5/1000</f>
        <v>9878.2485875706225</v>
      </c>
      <c r="F95" s="2399">
        <v>11342.026</v>
      </c>
      <c r="G95" s="2399">
        <f>+G96*G5/1000</f>
        <v>8716.1016949152545</v>
      </c>
      <c r="H95" s="2399">
        <v>4930.076</v>
      </c>
      <c r="I95" s="2349">
        <f>+E95+G95</f>
        <v>18594.350282485877</v>
      </c>
      <c r="J95" s="35">
        <f>+F95+H95</f>
        <v>16272.101999999999</v>
      </c>
      <c r="K95" s="2399">
        <f>+K96*K5/1000</f>
        <v>12092.634560906501</v>
      </c>
      <c r="L95" s="2399">
        <v>12438.977000000001</v>
      </c>
      <c r="M95" s="2350">
        <f>+K95+G95+E95</f>
        <v>30686.98484339238</v>
      </c>
      <c r="N95" s="2350">
        <f>+L95+H95+F95</f>
        <v>28711.078999999998</v>
      </c>
      <c r="O95" s="2399">
        <f>+O96*O5/1000</f>
        <v>12237.110481586404</v>
      </c>
      <c r="P95" s="2399">
        <v>13341.602000000001</v>
      </c>
      <c r="Q95" s="2349">
        <f>+M95+O95</f>
        <v>42924.095324978785</v>
      </c>
      <c r="R95" s="2349">
        <f>+N95+P95</f>
        <v>42052.680999999997</v>
      </c>
      <c r="S95" s="2399">
        <f>+S96*S5/1000</f>
        <v>12237.110481586404</v>
      </c>
      <c r="T95" s="2399">
        <v>12537.81</v>
      </c>
      <c r="U95" s="2349">
        <f>+Q95+S95</f>
        <v>55161.205806565187</v>
      </c>
      <c r="V95" s="2349">
        <f>+R95+T95</f>
        <v>54590.490999999995</v>
      </c>
      <c r="W95" s="2399">
        <f>+W96*W5/1000</f>
        <v>6421.9546742209868</v>
      </c>
      <c r="X95" s="2399">
        <f>11751865/1000</f>
        <v>11751.865</v>
      </c>
      <c r="Y95" s="2350">
        <f>+W95+S95+O95</f>
        <v>30896.175637393797</v>
      </c>
      <c r="Z95" s="2350">
        <f>+X95+T95+P95</f>
        <v>37631.277000000002</v>
      </c>
      <c r="AA95" s="2379">
        <f>+Y95+M95</f>
        <v>61583.160480786173</v>
      </c>
      <c r="AB95" s="2379">
        <f>+Z95+N95</f>
        <v>66342.356</v>
      </c>
      <c r="AC95" s="2399">
        <f>+AC96*AC5/1000</f>
        <v>12477.90368271954</v>
      </c>
      <c r="AD95" s="2399">
        <f>9163436/1000</f>
        <v>9163.4359999999997</v>
      </c>
      <c r="AE95" s="2349">
        <f>+AA95+AC95</f>
        <v>74061.064163505711</v>
      </c>
      <c r="AF95" s="2349">
        <f>+AB95+AD95</f>
        <v>75505.792000000001</v>
      </c>
      <c r="AG95" s="2399">
        <f>+AG96*AG5/1000</f>
        <v>12092.634560906501</v>
      </c>
      <c r="AH95" s="2399">
        <f>11687079/1000</f>
        <v>11687.079</v>
      </c>
      <c r="AI95" s="2349">
        <f>+AE95+AG95</f>
        <v>86153.698724412214</v>
      </c>
      <c r="AJ95" s="2349">
        <f>+AF95+AH95</f>
        <v>87192.870999999999</v>
      </c>
      <c r="AK95" s="2399">
        <f>+AK96*AK5/1000</f>
        <v>12477.90368271954</v>
      </c>
      <c r="AL95" s="2399">
        <f>11907592/1000</f>
        <v>11907.592000000001</v>
      </c>
      <c r="AM95" s="2350">
        <f>+AK95+AG95+AC95</f>
        <v>37048.441926345578</v>
      </c>
      <c r="AN95" s="2350">
        <f>+AL95+AH95+AD95</f>
        <v>32758.107000000004</v>
      </c>
      <c r="AO95" s="2349">
        <f t="shared" ref="AO95:AP95" si="300">+AK95+AI95</f>
        <v>98631.602407131752</v>
      </c>
      <c r="AP95" s="2349">
        <f t="shared" si="300"/>
        <v>99100.463000000003</v>
      </c>
      <c r="AQ95" s="2399">
        <f>+AQ96*AQ5/1000</f>
        <v>12670.538243626062</v>
      </c>
      <c r="AR95" s="2399">
        <f>11594640/1000</f>
        <v>11594.64</v>
      </c>
      <c r="AS95" s="2349">
        <f>+AO95+AQ95</f>
        <v>111302.14065075782</v>
      </c>
      <c r="AT95" s="2349">
        <f>+AP95+AR95</f>
        <v>110695.103</v>
      </c>
      <c r="AU95" s="2399">
        <f>+AU96*AU5/1000</f>
        <v>11322.096317280453</v>
      </c>
      <c r="AV95" s="2399">
        <v>9493.2739999999994</v>
      </c>
      <c r="AW95" s="2349">
        <f>+AS95+AU95</f>
        <v>122624.23696803827</v>
      </c>
      <c r="AX95" s="2349">
        <f>+AT95+AV95</f>
        <v>120188.37700000001</v>
      </c>
      <c r="AY95" s="2399">
        <f>+AY96*AY5/1000</f>
        <v>12670.538243626062</v>
      </c>
      <c r="AZ95" s="2399">
        <v>12118.648999999999</v>
      </c>
      <c r="BA95" s="2350">
        <f>+AY95+AU95+AQ95</f>
        <v>36663.17280453258</v>
      </c>
      <c r="BB95" s="2350">
        <f>+AZ95+AV95+AR95</f>
        <v>33206.562999999995</v>
      </c>
      <c r="BC95" s="2379">
        <f t="shared" ref="BC95" si="301">+BA95+AM95</f>
        <v>73711.614730878151</v>
      </c>
      <c r="BD95" s="2379">
        <f t="shared" ref="BD95" si="302">+BB95+AN95</f>
        <v>65964.67</v>
      </c>
      <c r="BE95" s="2349">
        <f>+AW95+AY95</f>
        <v>135294.77521166432</v>
      </c>
      <c r="BF95" s="35">
        <f>+AX95+AZ95</f>
        <v>132307.02600000001</v>
      </c>
      <c r="BG95" s="2263"/>
      <c r="BH95" s="2263"/>
      <c r="BI95" s="3238"/>
      <c r="BJ95" s="2263"/>
      <c r="BK95" s="3238"/>
      <c r="BL95" s="3238"/>
    </row>
    <row r="96" spans="1:64" ht="13.8" x14ac:dyDescent="0.25">
      <c r="B96" s="3049" t="s">
        <v>288</v>
      </c>
      <c r="C96" s="2589" t="s">
        <v>270</v>
      </c>
      <c r="D96" s="1826">
        <v>51.000000000000007</v>
      </c>
      <c r="E96" s="2356">
        <f>$D$96</f>
        <v>51.000000000000007</v>
      </c>
      <c r="F96" s="2348">
        <f>+(F95*1000)/F5</f>
        <v>50.809609991667635</v>
      </c>
      <c r="G96" s="2356">
        <f>$D$96</f>
        <v>51.000000000000007</v>
      </c>
      <c r="H96" s="2348">
        <f>+(H95*1000)/H5</f>
        <v>50.326926021580014</v>
      </c>
      <c r="I96" s="2817">
        <f>+(I95*1000)/I5</f>
        <v>51.000000000000007</v>
      </c>
      <c r="J96" s="101">
        <f>+(J95*1000)/J5</f>
        <v>50.662392936202266</v>
      </c>
      <c r="K96" s="2580">
        <v>51</v>
      </c>
      <c r="L96" s="2580">
        <f>+(L95*1000)/L5</f>
        <v>51.093956533704656</v>
      </c>
      <c r="M96" s="3029">
        <f>+(M95*1000)/M5</f>
        <v>51.000000000000007</v>
      </c>
      <c r="N96" s="3029">
        <f>+(N95*1000)/N5</f>
        <v>50.848468050439209</v>
      </c>
      <c r="O96" s="2580">
        <v>51</v>
      </c>
      <c r="P96" s="2580">
        <f>+(P95*1000)/P5</f>
        <v>52.595982054860407</v>
      </c>
      <c r="Q96" s="2659">
        <f>+(Q95*1000)/Q5</f>
        <v>51.000000000000007</v>
      </c>
      <c r="R96" s="2659">
        <f>+(R95*1000)/R5</f>
        <v>51.390172576872594</v>
      </c>
      <c r="S96" s="2580">
        <v>51</v>
      </c>
      <c r="T96" s="2580">
        <f>+(T95*1000)/T5</f>
        <v>52.763675080590183</v>
      </c>
      <c r="U96" s="2659">
        <f>+(U95*1000)/U5</f>
        <v>51.000000000000007</v>
      </c>
      <c r="V96" s="2659">
        <f>+(V95*1000)/V5</f>
        <v>51.699261499880663</v>
      </c>
      <c r="W96" s="2580">
        <v>51</v>
      </c>
      <c r="X96" s="2580">
        <f>+(X95*1000)/X5</f>
        <v>51.805247589785182</v>
      </c>
      <c r="Y96" s="2350">
        <f>+(Y95*1000)/Y5</f>
        <v>51.000000000000007</v>
      </c>
      <c r="Z96" s="3047">
        <f>+(Z95*1000)/Z5</f>
        <v>52.40168854986068</v>
      </c>
      <c r="AA96" s="2379">
        <f>+(AA95*1000)/AA5</f>
        <v>51</v>
      </c>
      <c r="AB96" s="3048">
        <f>+(AB95*1000)/AB5</f>
        <v>51.718004226787166</v>
      </c>
      <c r="AC96" s="2580">
        <v>51</v>
      </c>
      <c r="AD96" s="2580">
        <f>+(AD95*1000)/AD5</f>
        <v>51.134960184373973</v>
      </c>
      <c r="AE96" s="2659">
        <f>+(AE95*1000)/AE5</f>
        <v>51.000000000000007</v>
      </c>
      <c r="AF96" s="2659">
        <f>+(AF95*1000)/AF5</f>
        <v>51.646537690188318</v>
      </c>
      <c r="AG96" s="2580">
        <v>51</v>
      </c>
      <c r="AH96" s="2580">
        <f>+(AH95*1000)/AH5</f>
        <v>50.923647724202837</v>
      </c>
      <c r="AI96" s="2659">
        <f>+(AI95*1000)/AI5</f>
        <v>51.000000000000007</v>
      </c>
      <c r="AJ96" s="2659">
        <f>+(AJ95*1000)/AJ5</f>
        <v>51.548454779677371</v>
      </c>
      <c r="AK96" s="2580">
        <v>51</v>
      </c>
      <c r="AL96" s="2580">
        <f>+(AL95*1000)/AL5</f>
        <v>50.807893670129928</v>
      </c>
      <c r="AM96" s="2350">
        <f>+(AM95*1000)/AM5</f>
        <v>50.999999999999993</v>
      </c>
      <c r="AN96" s="3047">
        <f>+(AN95*1000)/AN5</f>
        <v>50.940346899550285</v>
      </c>
      <c r="AO96" s="2659">
        <f>+(AO95*1000)/AO5</f>
        <v>50.999999999999993</v>
      </c>
      <c r="AP96" s="2659">
        <f>+(AP95*1000)/AP5</f>
        <v>51.458332186646963</v>
      </c>
      <c r="AQ96" s="2356">
        <v>51</v>
      </c>
      <c r="AR96" s="2348">
        <f>+(AR95*1000)/AR5</f>
        <v>50.843203374742927</v>
      </c>
      <c r="AS96" s="2817">
        <f>+(AS95*1000)/AS5</f>
        <v>51</v>
      </c>
      <c r="AT96" s="2817">
        <f>+(AT95*1000)/AT5</f>
        <v>51.393204190008198</v>
      </c>
      <c r="AU96" s="2356">
        <v>51</v>
      </c>
      <c r="AV96" s="2348">
        <f>+(AV95*1000)/AV5</f>
        <v>51.310556924806505</v>
      </c>
      <c r="AW96" s="2817">
        <f>+(AW95*1000)/AW5</f>
        <v>51</v>
      </c>
      <c r="AX96" s="2817">
        <f>+(AX95*1000)/AX5</f>
        <v>51.386666478544214</v>
      </c>
      <c r="AY96" s="2356">
        <v>51</v>
      </c>
      <c r="AZ96" s="2348">
        <f>+(AZ95*1000)/AZ5</f>
        <v>50.234824241419332</v>
      </c>
      <c r="BA96" s="2350">
        <f t="shared" ref="BA96:BF96" si="303">+(BA95*1000)/BA5</f>
        <v>51</v>
      </c>
      <c r="BB96" s="3047">
        <f t="shared" si="303"/>
        <v>50.751048061830673</v>
      </c>
      <c r="BC96" s="2379">
        <f t="shared" si="303"/>
        <v>50.999999999999986</v>
      </c>
      <c r="BD96" s="3048">
        <f t="shared" si="303"/>
        <v>50.844877833711408</v>
      </c>
      <c r="BE96" s="2659">
        <f t="shared" si="303"/>
        <v>50.999999999999993</v>
      </c>
      <c r="BF96" s="2592">
        <f t="shared" si="303"/>
        <v>51.278970692310736</v>
      </c>
      <c r="BG96" s="2263"/>
      <c r="BH96" s="2263"/>
      <c r="BI96" s="3238"/>
      <c r="BJ96" s="2263"/>
      <c r="BK96" s="3238"/>
      <c r="BL96" s="3238"/>
    </row>
    <row r="97" spans="2:64" ht="13.8" x14ac:dyDescent="0.25">
      <c r="B97" s="9" t="s">
        <v>289</v>
      </c>
      <c r="C97" s="2589" t="s">
        <v>298</v>
      </c>
      <c r="D97" s="374">
        <v>4.9721737510725994</v>
      </c>
      <c r="E97" s="2412">
        <f>+(EMD!D29+EMD!D31)/24/E$2</f>
        <v>3.9712678865342164</v>
      </c>
      <c r="F97" s="2412">
        <f>+(EMD!E29+EMD!E31)/24/F$2</f>
        <v>4.9997222222222222</v>
      </c>
      <c r="G97" s="2412">
        <f>+(EMD!F29+EMD!F31)/24/G$2</f>
        <v>3.2250308519915918</v>
      </c>
      <c r="H97" s="2412">
        <f>+(EMD!G29+EMD!G31)/24/H$2</f>
        <v>2.8568548387096775</v>
      </c>
      <c r="I97" s="2659">
        <f>+((E97*E2)+(G97*G2))/I2</f>
        <v>3.5920326722584561</v>
      </c>
      <c r="J97" s="2592">
        <f>+((F97*F2)+(H97*H2))/J2</f>
        <v>3.910724043715847</v>
      </c>
      <c r="K97" s="2581">
        <f>+(EMD!J29+EMD!J31)/24/K$2</f>
        <v>5.1580767490048887</v>
      </c>
      <c r="L97" s="2581">
        <f>+(EMD!K29+EMD!K31)/24/L$2</f>
        <v>4.9874999999999998</v>
      </c>
      <c r="M97" s="3047">
        <f>+((E97*E2)+(G97*G2)+(K97*K2))/M2</f>
        <v>4.1083109393177191</v>
      </c>
      <c r="N97" s="3047">
        <f>+((F97*F2)+(H97*H2)+(L97*L2))/N2</f>
        <v>4.2657051282051279</v>
      </c>
      <c r="O97" s="2581">
        <f>+(EMD!N29+EMD!N31)/24/O$2</f>
        <v>5.0207095808374529</v>
      </c>
      <c r="P97" s="2581">
        <f>+(EMD!O29+EMD!O31)/24/P$2</f>
        <v>5.000013440860215</v>
      </c>
      <c r="Q97" s="2659">
        <f>+((M97*M2)+(O97*O2))/Q2</f>
        <v>4.3401499383924058</v>
      </c>
      <c r="R97" s="2659">
        <f>+((N97*N2)+(P97*P2))/R2</f>
        <v>4.4522916666666665</v>
      </c>
      <c r="S97" s="2581">
        <f>+(EMD!R29+EMD!R31)/24/S$2</f>
        <v>5.0207095808374529</v>
      </c>
      <c r="T97" s="2581">
        <f>+(EMD!S29+EMD!S31)/24/T$2</f>
        <v>4.8797580645161291</v>
      </c>
      <c r="U97" s="2659">
        <f>+((Q97*Q2)+(S97*S2))/U2</f>
        <v>4.4780411077766962</v>
      </c>
      <c r="V97" s="2659">
        <f>+((R97*R2)+(T97*T2))/V2</f>
        <v>4.5389025054466234</v>
      </c>
      <c r="W97" s="2581">
        <f>+(EMD!V29+EMD!V31)/24/W$2</f>
        <v>2.4242702835826866</v>
      </c>
      <c r="X97" s="2581">
        <f>+(EMD!W29+EMD!W31)/24/X$2</f>
        <v>4.9930972222222225</v>
      </c>
      <c r="Y97" s="3047">
        <f>+((O97*O2)+(S97*S2)+(W97*W2))/Y2</f>
        <v>4.1740445926022032</v>
      </c>
      <c r="Z97" s="3047">
        <f>+((P97*P2)+(T97*T2)+(X97*X2))/Z2</f>
        <v>4.9572373188405798</v>
      </c>
      <c r="AA97" s="3048">
        <f>+((Y97*Y2)+(M97*M2))/AA2</f>
        <v>4.1413573661055469</v>
      </c>
      <c r="AB97" s="3048">
        <f>+((Z97*Z2)+(N97*N2))/AB2</f>
        <v>4.6133606557377043</v>
      </c>
      <c r="AC97" s="2581">
        <f>+(EMD!AB29+EMD!AB31)/24/AC$2</f>
        <v>5.1486119720548036</v>
      </c>
      <c r="AD97" s="2581">
        <f>+(EMD!AC29+EMD!AC31)/24/AD$2</f>
        <v>4.5689516129032262</v>
      </c>
      <c r="AE97" s="2659">
        <f>+((AA97*AA2)+(AC97*AC2))/AE2</f>
        <v>4.2872680800514678</v>
      </c>
      <c r="AF97" s="2659">
        <f>+((AB97*AB2)+(AD97*AD2))/AF2</f>
        <v>4.6069275700934575</v>
      </c>
      <c r="AG97" s="2581">
        <f>+(EMD!AF29+EMD!AF31)/24/AG$2</f>
        <v>5.1580767490048887</v>
      </c>
      <c r="AH97" s="2581">
        <f>+(EMD!AG29+EMD!AG31)/24/AH$2</f>
        <v>5.0001388888888885</v>
      </c>
      <c r="AI97" s="2659">
        <f>+((AE97*AE2)+(AG97*AG2))/AI2</f>
        <v>4.3943347196768876</v>
      </c>
      <c r="AJ97" s="2659">
        <f>+((AF97*AF2)+(AH97*AH2))/AJ2</f>
        <v>4.6552732240437154</v>
      </c>
      <c r="AK97" s="2581">
        <f>+(EMD!AJ29+EMD!AJ31)/24/AK$2</f>
        <v>5.1486119720548036</v>
      </c>
      <c r="AL97" s="2581">
        <f>+(EMD!AK29+EMD!AK31)/24/AL$2</f>
        <v>5.002016129032258</v>
      </c>
      <c r="AM97" s="3047">
        <f>+((AC97*AC2)+(AG97*AG2)+(AK97*AK2))/AM2</f>
        <v>5.1516983123646138</v>
      </c>
      <c r="AN97" s="3047">
        <f>+((AD97*AD2)+(AH97*AH2)+(AL97*AL2))/AN2</f>
        <v>4.8554800724637683</v>
      </c>
      <c r="AO97" s="2659">
        <f>+((AK97*AK2)+(AI97*AI2))/AO2</f>
        <v>4.4793623372176707</v>
      </c>
      <c r="AP97" s="2659">
        <f>+((AL97*AL2)+(AJ97*AJ2))/AP2</f>
        <v>4.6943606060606058</v>
      </c>
      <c r="AQ97" s="2581">
        <f>+(EMD!AP29+EMD!AP31)/24/AQ$2</f>
        <v>5.2509338850286849</v>
      </c>
      <c r="AR97" s="2412">
        <f>+(EMD!AQ29+EMD!AQ31)/24/AR$2</f>
        <v>4.946236559139785</v>
      </c>
      <c r="AS97" s="2659">
        <f>+((AO97*AO2)+(AQ97*AQ2))/AS2</f>
        <v>4.557528082257349</v>
      </c>
      <c r="AT97" s="2659">
        <f>+((AP97*AP2)+(AR97*AR2))/AT2</f>
        <v>4.7198774509803911</v>
      </c>
      <c r="AU97" s="2581">
        <f>+(EMD!AT29+EMD!AT31)/24/AU$2</f>
        <v>5.1790344693943595</v>
      </c>
      <c r="AV97" s="2412">
        <f>+(EMD!AU29+EMD!AU31)/24/AV$2</f>
        <v>4.8488095238095239</v>
      </c>
      <c r="AW97" s="2659">
        <f>+((AS97*AS2)+(AU97*AU2))/AW2</f>
        <v>4.6096304141131466</v>
      </c>
      <c r="AX97" s="2659">
        <f>+((AT97*AT2)+(AV97*AV2))/AX2</f>
        <v>4.7306861277445105</v>
      </c>
      <c r="AY97" s="2581">
        <f>+(EMD!AX29+EMD!AX31)/24/AY$2</f>
        <v>5.2509338850286849</v>
      </c>
      <c r="AZ97" s="2412">
        <f>+(EMD!AY29+EMD!AY31)/24/AZ$2</f>
        <v>4.8844489247311831</v>
      </c>
      <c r="BA97" s="3047">
        <f>+((AQ97*AQ2)+(AU97*AU2)+(AY97*AY2))/BA2</f>
        <v>5.2285651779424507</v>
      </c>
      <c r="BB97" s="3047">
        <f>+((AR97*AR2)+(AV97*AV2)+(AZ97*AZ2))/BB2</f>
        <v>4.8946435185185191</v>
      </c>
      <c r="BC97" s="3048">
        <f>+((BA97*BA2)+(AM97*AM2))/BC2</f>
        <v>5.1897093997382697</v>
      </c>
      <c r="BD97" s="3048">
        <f>+((BB97*BB2)+(AN97*AN2))/BD2</f>
        <v>4.8748466117216127</v>
      </c>
      <c r="BE97" s="2659">
        <f>+((AW97*AW2)+(AY97*AY2))/BE2</f>
        <v>4.6640972842456989</v>
      </c>
      <c r="BF97" s="2592">
        <f>+((AX97*AX2)+(AZ97*AZ2))/BF2</f>
        <v>4.7437454337899538</v>
      </c>
      <c r="BG97" s="2263"/>
      <c r="BH97" s="2263"/>
      <c r="BI97" s="3238"/>
      <c r="BJ97" s="2263"/>
      <c r="BK97" s="3238"/>
      <c r="BL97" s="3238"/>
    </row>
    <row r="98" spans="2:64" ht="13.8" x14ac:dyDescent="0.25">
      <c r="B98" s="9" t="s">
        <v>492</v>
      </c>
      <c r="C98" s="2589" t="s">
        <v>593</v>
      </c>
      <c r="D98" s="374">
        <v>0.59999999999999987</v>
      </c>
      <c r="E98" s="2412">
        <f>+(EMD!D100)/24/E$2</f>
        <v>0.6</v>
      </c>
      <c r="F98" s="2412">
        <f>+(EMD!E100)/24/F$2</f>
        <v>1.2519972222222222</v>
      </c>
      <c r="G98" s="2412">
        <f>+(EMD!F100)/24/G$2</f>
        <v>0.6</v>
      </c>
      <c r="H98" s="2412">
        <f>+(EMD!G100)/24/H$2</f>
        <v>0.48179704301075266</v>
      </c>
      <c r="I98" s="2659">
        <f>+((E98*E2)+(G98*G2))/I2</f>
        <v>0.59999999999999987</v>
      </c>
      <c r="J98" s="2592">
        <f>+((F98*F2)+(H98*H2))/J2</f>
        <v>0.86058401639344262</v>
      </c>
      <c r="K98" s="2581">
        <f>+(EMD!J100)/24/K$2</f>
        <v>0.6</v>
      </c>
      <c r="L98" s="2581">
        <f>+(EMD!K100)/24/L$2</f>
        <v>0.62682424242424217</v>
      </c>
      <c r="M98" s="3047">
        <f>+((E98*E2)+(G98*G2)+(K98*K2))/M2</f>
        <v>0.6</v>
      </c>
      <c r="N98" s="3047">
        <f>+((F98*F2)+(H98*H2)+(L98*L2))/N2</f>
        <v>0.78352035464535463</v>
      </c>
      <c r="O98" s="2581">
        <f>+(EMD!N100)/24/O$2</f>
        <v>0.6</v>
      </c>
      <c r="P98" s="2581">
        <f>+(EMD!O100)/24/P$2</f>
        <v>0.63333504682988906</v>
      </c>
      <c r="Q98" s="2817">
        <f>+((M98*M2)+(O98*O2))/Q2</f>
        <v>0.6</v>
      </c>
      <c r="R98" s="2817">
        <f>+((N98*N2)+(P98*P2))/R2</f>
        <v>0.74535851413486742</v>
      </c>
      <c r="S98" s="2581">
        <f>+(EMD!R100)/24/S$2</f>
        <v>0.6</v>
      </c>
      <c r="T98" s="2581">
        <f>+(EMD!S100)/24/T$2</f>
        <v>0.62669780513310136</v>
      </c>
      <c r="U98" s="2659">
        <f>+((Q98*Q2)+(S98*S2))/U2</f>
        <v>0.6</v>
      </c>
      <c r="V98" s="2659">
        <f>+((R98*R2)+(T98*T2))/V2</f>
        <v>0.72131614825869261</v>
      </c>
      <c r="W98" s="2581">
        <f>+(EMD!V100)/24/W$2</f>
        <v>0.4</v>
      </c>
      <c r="X98" s="2581">
        <f>+(EMD!W100)/24/X$2</f>
        <v>0.63647638888888891</v>
      </c>
      <c r="Y98" s="3047">
        <f>+((O98*O2)+(S98*S2)+(W98*W2))/Y2</f>
        <v>0.53478260869565208</v>
      </c>
      <c r="Z98" s="3047">
        <f>+((P98*P2)+(T98*T2)+(X98*X2))/Z2</f>
        <v>0.6321229356252106</v>
      </c>
      <c r="AA98" s="3048">
        <f>+((Y98*Y2)+(M98*M2))/AA2</f>
        <v>0.5672131147540983</v>
      </c>
      <c r="AB98" s="3048">
        <f>+((Z98*Z2)+(N98*N2))/AB2</f>
        <v>0.70740799098495444</v>
      </c>
      <c r="AC98" s="2581">
        <f>+(EMD!AB100)/24/AC$2</f>
        <v>0.6</v>
      </c>
      <c r="AD98" s="2581">
        <f>+(EMD!AC100)/24/AD$2</f>
        <v>0.53958064516129034</v>
      </c>
      <c r="AE98" s="2659">
        <f>+((AA98*AA2)+(AC98*AC2))/AE2</f>
        <v>0.57196261682242977</v>
      </c>
      <c r="AF98" s="2659">
        <f>+((AB98*AB2)+(AD98*AD2))/AF2</f>
        <v>0.68309655303853578</v>
      </c>
      <c r="AG98" s="2581">
        <f>+(EMD!AF100)/24/AG$2</f>
        <v>0.52147928467005666</v>
      </c>
      <c r="AH98" s="2581">
        <f>+(EMD!AG100)/24/AH$2</f>
        <v>0.63059305555555556</v>
      </c>
      <c r="AI98" s="2659">
        <f>+((AE98*AE2)+(AG98*AG2))/AI2</f>
        <v>0.56575564975451509</v>
      </c>
      <c r="AJ98" s="2659">
        <f>+((AF98*AF2)+(AH98*AH2))/AJ2</f>
        <v>0.6766412049873497</v>
      </c>
      <c r="AK98" s="2581">
        <f>+(EMD!AJ100)/24/AK$2</f>
        <v>0.50547852932303983</v>
      </c>
      <c r="AL98" s="2581">
        <f>+(EMD!AK100)/24/AL$2</f>
        <v>0.6163472686353404</v>
      </c>
      <c r="AM98" s="3047">
        <f>+((AC98*AC2)+(AG98*AG2)+(AK98*AK2))/AM2</f>
        <v>0.54254579292517324</v>
      </c>
      <c r="AN98" s="3047">
        <f>+((AD98*AD2)+(AH98*AH2)+(AL98*AL2))/AN2</f>
        <v>0.59512561950393716</v>
      </c>
      <c r="AO98" s="2817">
        <f>+((AK98*AK2)+(AI98*AI2))/AO2</f>
        <v>0.55896077436042158</v>
      </c>
      <c r="AP98" s="2817">
        <f>+((AL98*AL2)+(AJ98*AJ2))/AP2</f>
        <v>0.66984443398039584</v>
      </c>
      <c r="AQ98" s="2581">
        <f>+(EMD!AP100)/24/AQ$2</f>
        <v>0.50547852932303983</v>
      </c>
      <c r="AR98" s="2412">
        <f>+(EMD!AQ100)/24/AR$2</f>
        <v>0.61671102150537638</v>
      </c>
      <c r="AS98" s="2817">
        <f>+((AO98*AO2)+(AQ98*AQ2))/AS2</f>
        <v>0.55354263842526197</v>
      </c>
      <c r="AT98" s="2817">
        <f>+((AP98*AP2)+(AR98*AR2))/AT2</f>
        <v>0.66446163729175012</v>
      </c>
      <c r="AU98" s="2581">
        <f>+(EMD!AT100)/24/AU$2</f>
        <v>0.33967741141855878</v>
      </c>
      <c r="AV98" s="2412">
        <f>+(EMD!AU100)/24/AV$2</f>
        <v>0.59550892857142856</v>
      </c>
      <c r="AW98" s="2817">
        <f>+((AS98*AS2)+(AU98*AU2))/AW2</f>
        <v>0.53561381699955035</v>
      </c>
      <c r="AX98" s="2817">
        <f>+((AT98*AT2)+(AV98*AV2))/AX2</f>
        <v>0.6586811706924417</v>
      </c>
      <c r="AY98" s="2581">
        <f>+(EMD!AX100)/24/AY$2</f>
        <v>0.6</v>
      </c>
      <c r="AZ98" s="2412">
        <f>+(EMD!AY100)/24/AZ$2</f>
        <v>1.0068575268817204</v>
      </c>
      <c r="BA98" s="3047">
        <f>+((AQ98*AQ2)+(AU98*AU2)+(AY98*AY2))/BA2</f>
        <v>0.48645335476370977</v>
      </c>
      <c r="BB98" s="3047">
        <f>+((AR98*AR2)+(AV98*AV2)+(AZ98*AZ2))/BB2</f>
        <v>0.74449861111111104</v>
      </c>
      <c r="BC98" s="3048">
        <f>+((BA98*BA2)+(AM98*AM2))/BC2</f>
        <v>0.51480777405411982</v>
      </c>
      <c r="BD98" s="3048">
        <f>+((BB98*BB2)+(AN98*AN2))/BD2</f>
        <v>0.66899138458440777</v>
      </c>
      <c r="BE98" s="2817">
        <f>+((AW98*AW2)+(AY98*AY2))/BE2</f>
        <v>0.54108223254205423</v>
      </c>
      <c r="BF98" s="101">
        <f>+((AX98*AX2)+(AZ98*AZ2))/BF2</f>
        <v>0.68825231327290093</v>
      </c>
      <c r="BG98" s="2263"/>
      <c r="BH98" s="2263"/>
      <c r="BI98" s="3238"/>
      <c r="BJ98" s="2263"/>
      <c r="BK98" s="3238"/>
      <c r="BL98" s="3238"/>
    </row>
    <row r="99" spans="2:64" ht="13.8" x14ac:dyDescent="0.25">
      <c r="B99" s="9" t="s">
        <v>290</v>
      </c>
      <c r="C99" s="2589" t="s">
        <v>212</v>
      </c>
      <c r="D99" s="143">
        <f>27.2960222478721*365*24*1000</f>
        <v>239113154.89135963</v>
      </c>
      <c r="E99" s="2399">
        <f>+'POWER DISTRIBUTION'!I23</f>
        <v>16432757.062146895</v>
      </c>
      <c r="F99" s="2399">
        <f>+'POWER DISTRIBUTION'!J23</f>
        <v>20585170.000000004</v>
      </c>
      <c r="G99" s="2399">
        <f>+'POWER DISTRIBUTION'!K23</f>
        <v>14499491.525423728</v>
      </c>
      <c r="H99" s="2399">
        <f>+'POWER DISTRIBUTION'!L23</f>
        <v>11294260.000000011</v>
      </c>
      <c r="I99" s="2349">
        <f>+E99+G99</f>
        <v>30932248.587570623</v>
      </c>
      <c r="J99" s="35">
        <f>+F99+H99</f>
        <v>31879430.000000015</v>
      </c>
      <c r="K99" s="2399">
        <f>+'POWER DISTRIBUTION'!O23</f>
        <v>21577053.824362602</v>
      </c>
      <c r="L99" s="2399">
        <f>+'POWER DISTRIBUTION'!P23</f>
        <v>19860070</v>
      </c>
      <c r="M99" s="2350">
        <f>+K99+G99+E99</f>
        <v>52509302.411933221</v>
      </c>
      <c r="N99" s="2350">
        <f>+L99+H99+F99</f>
        <v>51739500.000000015</v>
      </c>
      <c r="O99" s="2399">
        <f>+'POWER DISTRIBUTION'!S23</f>
        <v>21834844.192634564</v>
      </c>
      <c r="P99" s="2399">
        <f>+'POWER DISTRIBUTION'!T23</f>
        <v>20412479.999999993</v>
      </c>
      <c r="Q99" s="2349">
        <f>+M99+O99</f>
        <v>74344146.604567781</v>
      </c>
      <c r="R99" s="2349">
        <f>+N99+P99</f>
        <v>72151980</v>
      </c>
      <c r="S99" s="2399">
        <f>+'POWER DISTRIBUTION'!W23</f>
        <v>21834844.192634564</v>
      </c>
      <c r="T99" s="2399">
        <f>+'POWER DISTRIBUTION'!X23</f>
        <v>19977985.000000007</v>
      </c>
      <c r="U99" s="2349">
        <f>+Q99+S99</f>
        <v>96178990.797202349</v>
      </c>
      <c r="V99" s="2349">
        <f>+R99+T99</f>
        <v>92129965</v>
      </c>
      <c r="W99" s="2399">
        <f>+'POWER DISTRIBUTION'!AA23</f>
        <v>12214781.869688384</v>
      </c>
      <c r="X99" s="2399">
        <f>+'POWER DISTRIBUTION'!AB23</f>
        <v>19075500</v>
      </c>
      <c r="Y99" s="2350">
        <f>+W99+S99+O99</f>
        <v>55884470.254957512</v>
      </c>
      <c r="Z99" s="2350">
        <f>+X99+T99+P99</f>
        <v>59465965</v>
      </c>
      <c r="AA99" s="2379">
        <f>+Y99+M99</f>
        <v>108393772.66689074</v>
      </c>
      <c r="AB99" s="2379">
        <f>+Z99+N99</f>
        <v>111205465.00000001</v>
      </c>
      <c r="AC99" s="2399">
        <f>+'POWER DISTRIBUTION'!AG23</f>
        <v>22264494.80642115</v>
      </c>
      <c r="AD99" s="2399">
        <f>+'POWER DISTRIBUTION'!AH23</f>
        <v>17140469.999999993</v>
      </c>
      <c r="AE99" s="2349">
        <f>+AA99+AC99</f>
        <v>130658267.47331189</v>
      </c>
      <c r="AF99" s="2349">
        <f>+AB99+AD99</f>
        <v>128345935</v>
      </c>
      <c r="AG99" s="2399">
        <f>+'POWER DISTRIBUTION'!AK23</f>
        <v>21577053.824362602</v>
      </c>
      <c r="AH99" s="2399">
        <f>+'POWER DISTRIBUTION'!AL23</f>
        <v>20069990</v>
      </c>
      <c r="AI99" s="2349">
        <f>+AE99+AG99</f>
        <v>152235321.29767448</v>
      </c>
      <c r="AJ99" s="2349">
        <f>+AF99+AH99</f>
        <v>148415925</v>
      </c>
      <c r="AK99" s="2399">
        <f>+'POWER DISTRIBUTION'!AO23</f>
        <v>22264494.80642115</v>
      </c>
      <c r="AL99" s="2399">
        <f>+'POWER DISTRIBUTION'!AP23</f>
        <v>20294950.000000011</v>
      </c>
      <c r="AM99" s="2350">
        <f>+AK99+AG99+AC99</f>
        <v>66106043.437204897</v>
      </c>
      <c r="AN99" s="2350">
        <f>+AL99+AH99+AD99</f>
        <v>57505410.000000007</v>
      </c>
      <c r="AO99" s="2349">
        <f t="shared" ref="AO99:AP99" si="304">+AK99+AI99</f>
        <v>174499816.10409564</v>
      </c>
      <c r="AP99" s="2349">
        <f t="shared" si="304"/>
        <v>168710875</v>
      </c>
      <c r="AQ99" s="2399">
        <f>+'POWER DISTRIBUTION'!AU23</f>
        <v>22608215.297450427</v>
      </c>
      <c r="AR99" s="2399">
        <f>+'POWER DISTRIBUTION'!AV23</f>
        <v>20309500.000000004</v>
      </c>
      <c r="AS99" s="2349">
        <f>+AO99+AQ99</f>
        <v>197108031.40154606</v>
      </c>
      <c r="AT99" s="2349">
        <f>+AP99+AR99</f>
        <v>189020375</v>
      </c>
      <c r="AU99" s="2399">
        <f>+'POWER DISTRIBUTION'!AY23</f>
        <v>20202171.860245515</v>
      </c>
      <c r="AV99" s="2399">
        <f>+'POWER DISTRIBUTION'!AZ23</f>
        <v>17159379.999999993</v>
      </c>
      <c r="AW99" s="2349">
        <f>+AS99+AU99</f>
        <v>217310203.26179159</v>
      </c>
      <c r="AX99" s="2349">
        <f>+AT99+AV99</f>
        <v>206179755</v>
      </c>
      <c r="AY99" s="2399">
        <f>+'POWER DISTRIBUTION'!BC23</f>
        <v>22608215.297450427</v>
      </c>
      <c r="AZ99" s="2399">
        <f>+'POWER DISTRIBUTION'!BD23</f>
        <v>21041790</v>
      </c>
      <c r="BA99" s="2350">
        <f>+'POWER DISTRIBUTION'!BE23</f>
        <v>65418602.455146372</v>
      </c>
      <c r="BB99" s="2350">
        <f>+'POWER DISTRIBUTION'!BF23</f>
        <v>58510670</v>
      </c>
      <c r="BC99" s="2379">
        <f>+'POWER DISTRIBUTION'!BG23</f>
        <v>131524645.89235127</v>
      </c>
      <c r="BD99" s="2379">
        <f>+'POWER DISTRIBUTION'!BH23</f>
        <v>116016080</v>
      </c>
      <c r="BE99" s="2349">
        <f>+'POWER DISTRIBUTION'!BI23</f>
        <v>239918418.55924201</v>
      </c>
      <c r="BF99" s="35">
        <f>+'POWER DISTRIBUTION'!BJ23</f>
        <v>227221545</v>
      </c>
      <c r="BG99" s="2263"/>
      <c r="BH99" s="2263"/>
      <c r="BI99" s="3238"/>
      <c r="BJ99" s="2263"/>
      <c r="BK99" s="3238"/>
      <c r="BL99" s="3238"/>
    </row>
    <row r="100" spans="2:64" ht="13.8" x14ac:dyDescent="0.25">
      <c r="B100" s="9" t="s">
        <v>291</v>
      </c>
      <c r="C100" s="2589" t="s">
        <v>271</v>
      </c>
      <c r="D100" s="710">
        <f t="shared" ref="D100:N100" si="305">+D99/D5</f>
        <v>84.866710278264804</v>
      </c>
      <c r="E100" s="2412">
        <f t="shared" si="305"/>
        <v>84.84</v>
      </c>
      <c r="F100" s="2583">
        <f t="shared" si="305"/>
        <v>92.216722066425973</v>
      </c>
      <c r="G100" s="2412">
        <f t="shared" ref="G100:H100" si="306">+G99/G5</f>
        <v>84.84</v>
      </c>
      <c r="H100" s="2583">
        <f t="shared" si="306"/>
        <v>115.29343310092804</v>
      </c>
      <c r="I100" s="2817">
        <f t="shared" si="305"/>
        <v>84.84</v>
      </c>
      <c r="J100" s="101">
        <f t="shared" si="305"/>
        <v>99.255044569051719</v>
      </c>
      <c r="K100" s="2412">
        <f t="shared" si="305"/>
        <v>91.000000000000085</v>
      </c>
      <c r="L100" s="2580">
        <f t="shared" si="305"/>
        <v>81.576608215959553</v>
      </c>
      <c r="M100" s="3029">
        <f t="shared" si="305"/>
        <v>87.267433952059477</v>
      </c>
      <c r="N100" s="3029">
        <f t="shared" si="305"/>
        <v>91.632721734202349</v>
      </c>
      <c r="O100" s="2412">
        <f t="shared" ref="O100:P100" si="307">+O99/O5</f>
        <v>91</v>
      </c>
      <c r="P100" s="2580">
        <f t="shared" si="307"/>
        <v>80.471178181990183</v>
      </c>
      <c r="Q100" s="2817">
        <f>+Q99/Q5</f>
        <v>88.331540784426096</v>
      </c>
      <c r="R100" s="2817">
        <f>+R99/R5</f>
        <v>88.172801728457216</v>
      </c>
      <c r="S100" s="2412">
        <f t="shared" ref="S100:T100" si="308">+S99/S5</f>
        <v>91</v>
      </c>
      <c r="T100" s="2580">
        <f t="shared" si="308"/>
        <v>84.07464376194126</v>
      </c>
      <c r="U100" s="2817">
        <f t="shared" ref="U100:X100" si="309">+U99/U5</f>
        <v>88.923518964727222</v>
      </c>
      <c r="V100" s="2817">
        <f t="shared" si="309"/>
        <v>87.250564434561582</v>
      </c>
      <c r="W100" s="2412">
        <f t="shared" si="309"/>
        <v>97.003779527558692</v>
      </c>
      <c r="X100" s="2580">
        <f t="shared" si="309"/>
        <v>84.089716857617688</v>
      </c>
      <c r="Y100" s="3047">
        <f t="shared" ref="Y100:AF100" si="310">+Y99/Y5</f>
        <v>92.247921440261791</v>
      </c>
      <c r="Z100" s="3047">
        <f t="shared" si="310"/>
        <v>82.806570110467305</v>
      </c>
      <c r="AA100" s="3048">
        <f t="shared" si="310"/>
        <v>89.766136762925299</v>
      </c>
      <c r="AB100" s="3048">
        <f t="shared" si="310"/>
        <v>86.691595771965552</v>
      </c>
      <c r="AC100" s="2412">
        <f t="shared" si="310"/>
        <v>91.000000000000043</v>
      </c>
      <c r="AD100" s="2580">
        <f t="shared" si="310"/>
        <v>95.64941043855778</v>
      </c>
      <c r="AE100" s="2817">
        <f t="shared" si="310"/>
        <v>89.974019633685529</v>
      </c>
      <c r="AF100" s="2817">
        <f t="shared" si="310"/>
        <v>87.789598569603243</v>
      </c>
      <c r="AG100" s="2412">
        <f t="shared" ref="AG100:AH100" si="311">+AG99/AG5</f>
        <v>91.000000000000085</v>
      </c>
      <c r="AH100" s="2580">
        <f t="shared" si="311"/>
        <v>87.450174726146173</v>
      </c>
      <c r="AI100" s="2817">
        <f t="shared" ref="AI100:AL100" si="312">+AI99/AI5</f>
        <v>90.118027445540406</v>
      </c>
      <c r="AJ100" s="2817">
        <f t="shared" si="312"/>
        <v>87.743544979112897</v>
      </c>
      <c r="AK100" s="2412">
        <f t="shared" si="312"/>
        <v>91.000000000000043</v>
      </c>
      <c r="AL100" s="2580">
        <f t="shared" si="312"/>
        <v>86.595481407206762</v>
      </c>
      <c r="AM100" s="3047">
        <f t="shared" ref="AM100:BF100" si="313">+AM99/AM5</f>
        <v>91.000000000000043</v>
      </c>
      <c r="AN100" s="3047">
        <f t="shared" si="313"/>
        <v>89.423529082460959</v>
      </c>
      <c r="AO100" s="2817">
        <f t="shared" si="313"/>
        <v>90.229605969226171</v>
      </c>
      <c r="AP100" s="2817">
        <f t="shared" si="313"/>
        <v>87.60383136908122</v>
      </c>
      <c r="AQ100" s="2412">
        <f t="shared" si="313"/>
        <v>91</v>
      </c>
      <c r="AR100" s="2583">
        <f t="shared" si="313"/>
        <v>89.058395856994409</v>
      </c>
      <c r="AS100" s="2817">
        <f t="shared" si="313"/>
        <v>90.317306951188499</v>
      </c>
      <c r="AT100" s="2817">
        <f t="shared" si="313"/>
        <v>87.75783630145699</v>
      </c>
      <c r="AU100" s="2412">
        <f t="shared" ref="AU100:AV100" si="314">+AU99/AU5</f>
        <v>91</v>
      </c>
      <c r="AV100" s="2583">
        <f t="shared" si="314"/>
        <v>92.74538418298954</v>
      </c>
      <c r="AW100" s="2817">
        <f t="shared" ref="AW100:AZ100" si="315">+AW99/AW5</f>
        <v>90.380341116740908</v>
      </c>
      <c r="AX100" s="2817">
        <f t="shared" si="315"/>
        <v>88.152370214741794</v>
      </c>
      <c r="AY100" s="2412">
        <f t="shared" si="315"/>
        <v>91</v>
      </c>
      <c r="AZ100" s="2583">
        <f t="shared" si="315"/>
        <v>87.223470402918252</v>
      </c>
      <c r="BA100" s="3047">
        <f t="shared" si="313"/>
        <v>91.000000000000014</v>
      </c>
      <c r="BB100" s="3047">
        <f t="shared" si="313"/>
        <v>89.424425686570288</v>
      </c>
      <c r="BC100" s="3048">
        <f t="shared" si="313"/>
        <v>91.000000000000028</v>
      </c>
      <c r="BD100" s="3048">
        <f t="shared" si="313"/>
        <v>89.423981266730948</v>
      </c>
      <c r="BE100" s="2817">
        <f t="shared" si="313"/>
        <v>90.43837300722636</v>
      </c>
      <c r="BF100" s="101">
        <f t="shared" si="313"/>
        <v>88.06551926211813</v>
      </c>
      <c r="BG100" s="2263"/>
      <c r="BH100" s="2263"/>
      <c r="BI100" s="3238"/>
      <c r="BJ100" s="2263"/>
      <c r="BK100" s="3238"/>
      <c r="BL100" s="3238"/>
    </row>
    <row r="101" spans="2:64" ht="13.8" x14ac:dyDescent="0.25">
      <c r="B101" s="9" t="s">
        <v>292</v>
      </c>
      <c r="C101" s="2589" t="s">
        <v>1730</v>
      </c>
      <c r="D101" s="1223">
        <v>4.4999999999999998E-2</v>
      </c>
      <c r="E101" s="2416">
        <f>+$D$101</f>
        <v>4.4999999999999998E-2</v>
      </c>
      <c r="F101" s="2416">
        <v>4.7E-2</v>
      </c>
      <c r="G101" s="2416">
        <f>+$D$101</f>
        <v>4.4999999999999998E-2</v>
      </c>
      <c r="H101" s="2416">
        <v>6.54E-2</v>
      </c>
      <c r="I101" s="2829">
        <f>+((E101*E20)+(G101*G20))/I20</f>
        <v>4.4999999999999991E-2</v>
      </c>
      <c r="J101" s="2591">
        <f>+((F101*F20)+(H101*H20))/J20</f>
        <v>5.2618379635167918E-2</v>
      </c>
      <c r="K101" s="2416">
        <f>+$D$101</f>
        <v>4.4999999999999998E-2</v>
      </c>
      <c r="L101" s="2416">
        <v>4.3400000000000001E-2</v>
      </c>
      <c r="M101" s="3051">
        <f>+((E101*E20)+(G101*G20)+(K101*K20))/M20</f>
        <v>4.5000000000000005E-2</v>
      </c>
      <c r="N101" s="3051">
        <f>+((F101*F20)+(H101*H20)+(L101*L20))/N20</f>
        <v>4.8646098738622995E-2</v>
      </c>
      <c r="O101" s="2416">
        <f>+$D$101</f>
        <v>4.4999999999999998E-2</v>
      </c>
      <c r="P101" s="2416">
        <v>4.2999999999999997E-2</v>
      </c>
      <c r="Q101" s="2829">
        <f>+((M101*M20)+(O101*O20))/Q20</f>
        <v>4.5000000000000005E-2</v>
      </c>
      <c r="R101" s="2829">
        <f>+((N101*N20)+(P101*P20))/R20</f>
        <v>4.689729421007225E-2</v>
      </c>
      <c r="S101" s="2416">
        <f>+$D$101</f>
        <v>4.4999999999999998E-2</v>
      </c>
      <c r="T101" s="2416">
        <v>4.4999999999999998E-2</v>
      </c>
      <c r="U101" s="2829">
        <f>+((Q101*Q20)+(S101*S20))/U20</f>
        <v>4.5000000000000005E-2</v>
      </c>
      <c r="V101" s="2829">
        <f>+((R101*R20)+(T101*T20))/V20</f>
        <v>4.6470638779562493E-2</v>
      </c>
      <c r="W101" s="2416">
        <f>+$D$101</f>
        <v>4.4999999999999998E-2</v>
      </c>
      <c r="X101" s="2416">
        <v>4.5999999999999999E-2</v>
      </c>
      <c r="Y101" s="3051">
        <f>+((O101*O20)+(S101*S20)+(W101*W20))/Y20</f>
        <v>4.4999999999999998E-2</v>
      </c>
      <c r="Z101" s="3051">
        <f>+((P101*P20)+(T101*T20)+(X101*X20))/Z20</f>
        <v>4.4610016908667095E-2</v>
      </c>
      <c r="AA101" s="3052">
        <f>+((Y101*Y20)+(M101*M20))/AA20</f>
        <v>4.5000000000000005E-2</v>
      </c>
      <c r="AB101" s="3052">
        <f>+((Z101*Z20)+(N101*N20))/AB20</f>
        <v>4.6387357934345196E-2</v>
      </c>
      <c r="AC101" s="2416">
        <f>+$D$101</f>
        <v>4.4999999999999998E-2</v>
      </c>
      <c r="AD101" s="2416">
        <v>5.6000000000000001E-2</v>
      </c>
      <c r="AE101" s="2829">
        <f>+((AA101*AA20)+(AC101*AC20))/AE20</f>
        <v>4.5000000000000005E-2</v>
      </c>
      <c r="AF101" s="2829">
        <f>+((AB101*AB20)+(AD101*AD20))/AF20</f>
        <v>4.7566752943366243E-2</v>
      </c>
      <c r="AG101" s="2416">
        <f>+$D$101</f>
        <v>4.4999999999999998E-2</v>
      </c>
      <c r="AH101" s="2416">
        <v>4.5999999999999999E-2</v>
      </c>
      <c r="AI101" s="2829">
        <f>+((AE101*AE20)+(AG101*AG20))/AI20</f>
        <v>4.5000000000000005E-2</v>
      </c>
      <c r="AJ101" s="2829">
        <f>+((AF101*AF20)+(AH101*AH20))/AJ20</f>
        <v>4.735408307668635E-2</v>
      </c>
      <c r="AK101" s="2416">
        <f>+$D$101</f>
        <v>4.4999999999999998E-2</v>
      </c>
      <c r="AL101" s="2416">
        <v>4.7E-2</v>
      </c>
      <c r="AM101" s="3051">
        <f>+((AC101*AC20)+(AG101*AG20)+(AK101*AK20))/AM20</f>
        <v>4.4999999999999998E-2</v>
      </c>
      <c r="AN101" s="3051">
        <f>+((AD101*AD20)+(AH101*AH20)+(AL101*AL20))/AN20</f>
        <v>4.9151820596968272E-2</v>
      </c>
      <c r="AO101" s="2829">
        <f>+((AK101*AK20)+(AI101*AI20))/AO20</f>
        <v>4.5000000000000005E-2</v>
      </c>
      <c r="AP101" s="2829">
        <f>+((AL101*AL20)+(AJ101*AJ20))/AP20</f>
        <v>4.7310968558957771E-2</v>
      </c>
      <c r="AQ101" s="2416">
        <f>+$D$101</f>
        <v>4.4999999999999998E-2</v>
      </c>
      <c r="AR101" s="2416">
        <v>4.7E-2</v>
      </c>
      <c r="AS101" s="2829">
        <f>+((AO101*AO20)+(AQ101*AQ20))/AS20</f>
        <v>4.5000000000000005E-2</v>
      </c>
      <c r="AT101" s="2829">
        <f>+((AP101*AP20)+(AR101*AR20))/AT20</f>
        <v>4.727804483548833E-2</v>
      </c>
      <c r="AU101" s="2416">
        <f>+$D$101</f>
        <v>4.4999999999999998E-2</v>
      </c>
      <c r="AV101" s="2416">
        <v>5.1999999999999998E-2</v>
      </c>
      <c r="AW101" s="2829">
        <f>+((AS101*AS20)+(AU101*AU20))/AW20</f>
        <v>4.5000000000000005E-2</v>
      </c>
      <c r="AX101" s="2829">
        <f>+((AT101*AT20)+(AV101*AV20))/AX20</f>
        <v>4.7651828010101378E-2</v>
      </c>
      <c r="AY101" s="2416">
        <f>+$D$101</f>
        <v>4.4999999999999998E-2</v>
      </c>
      <c r="AZ101" s="2416">
        <v>4.3999999999999997E-2</v>
      </c>
      <c r="BA101" s="3051">
        <f>+((AQ101*AQ20)+(AU101*AU20)+(AY101*AY20))/BA20</f>
        <v>4.4999999999999998E-2</v>
      </c>
      <c r="BB101" s="3051">
        <f>+((AR101*AR20)+(AV101*AV20)+(AZ101*AZ20))/BB20</f>
        <v>4.7308737115304367E-2</v>
      </c>
      <c r="BC101" s="3052">
        <f>+((BA101*BA20)+(AM101*AM20))/BC20</f>
        <v>4.4999999999999998E-2</v>
      </c>
      <c r="BD101" s="3052">
        <f>+((BB101*BB20)+(AN101*AN20))/BD20</f>
        <v>4.8222459624158887E-2</v>
      </c>
      <c r="BE101" s="2829">
        <f>+((AW101*AW20)+(AY101*AY20))/BE20</f>
        <v>4.5000000000000005E-2</v>
      </c>
      <c r="BF101" s="2591">
        <f>+((AX101*AX20)+(AZ101*AZ20))/BF20</f>
        <v>4.7310402596102627E-2</v>
      </c>
      <c r="BG101" s="2263"/>
      <c r="BH101" s="2263"/>
      <c r="BI101" s="3238"/>
      <c r="BJ101" s="2263"/>
      <c r="BK101" s="3238"/>
      <c r="BL101" s="3238"/>
    </row>
    <row r="102" spans="2:64" ht="13.8" x14ac:dyDescent="0.25">
      <c r="B102" s="9" t="s">
        <v>293</v>
      </c>
      <c r="C102" s="2589" t="s">
        <v>1731</v>
      </c>
      <c r="D102" s="912">
        <v>3.9E-2</v>
      </c>
      <c r="E102" s="2416">
        <f>+$D$102</f>
        <v>3.9E-2</v>
      </c>
      <c r="F102" s="2416">
        <v>5.3999999999999999E-2</v>
      </c>
      <c r="G102" s="2416">
        <f>+$D$102</f>
        <v>3.9E-2</v>
      </c>
      <c r="H102" s="2416">
        <v>5.6000000000000001E-2</v>
      </c>
      <c r="I102" s="2829">
        <f>+((E102*E5)+(G102*G5))/I5</f>
        <v>3.9E-2</v>
      </c>
      <c r="J102" s="2591">
        <f>+((F102*F5)+(H102*H5))/J5</f>
        <v>5.460999355515634E-2</v>
      </c>
      <c r="K102" s="2416">
        <v>3.8999999999999993E-2</v>
      </c>
      <c r="L102" s="2416">
        <v>3.7999999999999999E-2</v>
      </c>
      <c r="M102" s="3051">
        <f>+((E102*E5)+(G102*G5)+(K102*K5))/M5</f>
        <v>3.9E-2</v>
      </c>
      <c r="N102" s="3051">
        <f>+((F102*F5)+(H102*H5)+(L102*L5))/N5</f>
        <v>4.744834584868235E-2</v>
      </c>
      <c r="O102" s="2416">
        <v>3.9E-2</v>
      </c>
      <c r="P102" s="2416">
        <v>3.6999999999999998E-2</v>
      </c>
      <c r="Q102" s="2829">
        <f>+((M102*M5)+(O102*O5))/Q5</f>
        <v>3.9E-2</v>
      </c>
      <c r="R102" s="2829">
        <f>+((N102*N5)+(P102*P5))/R5</f>
        <v>4.420950700352682E-2</v>
      </c>
      <c r="S102" s="2416">
        <v>3.9E-2</v>
      </c>
      <c r="T102" s="2416">
        <v>3.9E-2</v>
      </c>
      <c r="U102" s="2829">
        <f>+((Q102*Q5)+(S102*S5))/U5</f>
        <v>3.9E-2</v>
      </c>
      <c r="V102" s="2829">
        <f>+((R102*R5)+(T102*T5))/V5</f>
        <v>4.303717502396006E-2</v>
      </c>
      <c r="W102" s="2416">
        <v>3.9E-2</v>
      </c>
      <c r="X102" s="2416">
        <v>0.04</v>
      </c>
      <c r="Y102" s="3051">
        <f>+((O102*O5)+(S102*S5)+(W102*W5))/Y5</f>
        <v>3.9E-2</v>
      </c>
      <c r="Z102" s="3051">
        <f>+((P102*P5)+(T102*T5)+(X102*X5))/Z5</f>
        <v>3.8609434768865296E-2</v>
      </c>
      <c r="AA102" s="3052">
        <f>+((Y102*Y5)+(M102*M5))/AA5</f>
        <v>3.9E-2</v>
      </c>
      <c r="AB102" s="3052">
        <f>+((Z102*Z5)+(N102*N5))/AB5</f>
        <v>4.2500076786893382E-2</v>
      </c>
      <c r="AC102" s="2416">
        <v>3.9000000000000007E-2</v>
      </c>
      <c r="AD102" s="2416">
        <v>4.5999999999999999E-2</v>
      </c>
      <c r="AE102" s="2829">
        <f>+((AA102*AA5)+(AC102*AC5))/AE5</f>
        <v>3.9000000000000007E-2</v>
      </c>
      <c r="AF102" s="2829">
        <f>+((AB102*AB5)+(AD102*AD5))/AF5</f>
        <v>4.2929079353092953E-2</v>
      </c>
      <c r="AG102" s="2416">
        <v>3.7092537633619263E-2</v>
      </c>
      <c r="AH102" s="2416">
        <v>0.04</v>
      </c>
      <c r="AI102" s="2829">
        <f>+((AE102*AE5)+(AG102*AG5))/AI5</f>
        <v>3.8732266337059909E-2</v>
      </c>
      <c r="AJ102" s="2829">
        <f>+((AF102*AF5)+(AH102*AH5))/AJ5</f>
        <v>4.2531657004482484E-2</v>
      </c>
      <c r="AK102" s="2416">
        <v>3.6700560751509244E-2</v>
      </c>
      <c r="AL102" s="2416">
        <v>0.04</v>
      </c>
      <c r="AM102" s="3051">
        <f>+((AC102*AC5)+(AG102*AG5)+(AK102*AK5))/AM5</f>
        <v>3.7602952671932727E-2</v>
      </c>
      <c r="AN102" s="3051">
        <f>+((AD102*AD5)+(AH102*AH5)+(AL102*AL5))/AN5</f>
        <v>4.1671994252551831E-2</v>
      </c>
      <c r="AO102" s="2829">
        <f>+((AK102*AK5)+(AI102*AI5))/AO5</f>
        <v>3.8475234858411728E-2</v>
      </c>
      <c r="AP102" s="2829">
        <f>+((AL102*AL5)+(AJ102*AJ5))/AP5</f>
        <v>4.2223566975224835E-2</v>
      </c>
      <c r="AQ102" s="2416">
        <f>+$D$102</f>
        <v>3.9E-2</v>
      </c>
      <c r="AR102" s="2416">
        <v>3.9E-2</v>
      </c>
      <c r="AS102" s="2829">
        <f>+((AO102*AO5)+(AQ102*AQ5))/AS5</f>
        <v>3.8534973662683956E-2</v>
      </c>
      <c r="AT102" s="2829">
        <f>+((AP102*AP5)+(AR102*AR5))/AT5</f>
        <v>4.188226535666234E-2</v>
      </c>
      <c r="AU102" s="2416">
        <f>+$D$102</f>
        <v>3.9E-2</v>
      </c>
      <c r="AV102" s="2416">
        <v>4.2999999999999997E-2</v>
      </c>
      <c r="AW102" s="2829">
        <f>+((AS102*AS5)+(AU102*AU5))/AW5</f>
        <v>3.8577910304830293E-2</v>
      </c>
      <c r="AX102" s="2829">
        <f>+((AT102*AT5)+(AV102*AV5))/AX5</f>
        <v>4.1970682397124807E-2</v>
      </c>
      <c r="AY102" s="2416">
        <f>+$D$102</f>
        <v>3.9E-2</v>
      </c>
      <c r="AZ102" s="2416">
        <v>4.5999999999999999E-2</v>
      </c>
      <c r="BA102" s="3051">
        <f>+((AQ102*AQ5)+(AU102*AU5)+(AY102*AY5))/BA5</f>
        <v>3.9E-2</v>
      </c>
      <c r="BB102" s="3051">
        <f>+((AR102*AR5)+(AV102*AV5)+(AZ102*AZ5))/BB5</f>
        <v>4.2711956081509642E-2</v>
      </c>
      <c r="BC102" s="3052">
        <f>+((BA102*BA5)+(AM102*AM5))/BC5</f>
        <v>3.8297825356407841E-2</v>
      </c>
      <c r="BD102" s="3052">
        <f>+((BB102*BB5)+(AN102*AN5))/BD5</f>
        <v>4.2196478108420803E-2</v>
      </c>
      <c r="BE102" s="2829">
        <f>+((AW102*AW5)+(AY102*AY5))/BE5</f>
        <v>3.861743957428302E-2</v>
      </c>
      <c r="BF102" s="2591">
        <f>+((AX102*AX5)+(AZ102*AZ5))/BF5</f>
        <v>4.2347418475417245E-2</v>
      </c>
      <c r="BG102" s="2263"/>
      <c r="BH102" s="2263"/>
      <c r="BI102" s="3238"/>
      <c r="BJ102" s="2263"/>
      <c r="BK102" s="3238"/>
      <c r="BL102" s="3238"/>
    </row>
    <row r="103" spans="2:64" ht="13.8" x14ac:dyDescent="0.25">
      <c r="B103" s="2831" t="s">
        <v>553</v>
      </c>
      <c r="C103" s="2589" t="s">
        <v>594</v>
      </c>
      <c r="D103" s="912">
        <v>5.9950375157009191E-2</v>
      </c>
      <c r="E103" s="2416">
        <v>5.0126857607557432E-2</v>
      </c>
      <c r="F103" s="2416">
        <f>11.9/(F2*24)</f>
        <v>1.6527777777777777E-2</v>
      </c>
      <c r="G103" s="2416">
        <v>6.2628110866029457E-2</v>
      </c>
      <c r="H103" s="2416">
        <f>3/(H2*24)</f>
        <v>4.0322580645161289E-3</v>
      </c>
      <c r="I103" s="2829">
        <f>+((E103*E2)+(G103*G2))/I2</f>
        <v>5.6479953525797322E-2</v>
      </c>
      <c r="J103" s="2591">
        <f>+((F103*F2)+(H103*H2))/J2</f>
        <v>1.01775956284153E-2</v>
      </c>
      <c r="K103" s="2416">
        <v>6.041666666666666E-2</v>
      </c>
      <c r="L103" s="3739">
        <f>38.225/(L2*24)</f>
        <v>5.3090277777777778E-2</v>
      </c>
      <c r="M103" s="3051">
        <f>+((E103*E2)+(G103*G2)+(K103*K2))/M2</f>
        <v>5.7777771044765239E-2</v>
      </c>
      <c r="N103" s="3051">
        <f>+((F103*F2)+(H103*H2)+(L103*L2))/N2</f>
        <v>2.4324633699633703E-2</v>
      </c>
      <c r="O103" s="2416">
        <v>6.041666666666666E-2</v>
      </c>
      <c r="P103" s="2416">
        <f>40.7/(P2*24)</f>
        <v>5.4704301075268823E-2</v>
      </c>
      <c r="Q103" s="2829">
        <f>+((M103*M2)+(O103*O2))/Q2</f>
        <v>5.8448310096231991E-2</v>
      </c>
      <c r="R103" s="2829">
        <f>+((N103*N2)+(P103*P2))/R2</f>
        <v>3.2044057377049184E-2</v>
      </c>
      <c r="S103" s="2416">
        <v>6.041666666666666E-2</v>
      </c>
      <c r="T103" s="2590">
        <f>37.4965/(T2*24)</f>
        <v>5.039852150537634E-2</v>
      </c>
      <c r="U103" s="2829">
        <f>+((Q103*Q2)+(S103*S2))/U2</f>
        <v>5.8847127440568428E-2</v>
      </c>
      <c r="V103" s="2829">
        <f>+((R103*R2)+(T103*T2))/V2</f>
        <v>3.5762935729847498E-2</v>
      </c>
      <c r="W103" s="2416">
        <v>6.0416666666666667E-2</v>
      </c>
      <c r="X103" s="2590">
        <f>35.7/(X2*24)</f>
        <v>4.958333333333334E-2</v>
      </c>
      <c r="Y103" s="3051">
        <f>+((O103*O2)+(S103*S2)+(W103*W2))/Y2</f>
        <v>6.0416666666666667E-2</v>
      </c>
      <c r="Z103" s="3051">
        <f>+((P103*P2)+(T103*T2)+(X103*X2))/Z2</f>
        <v>5.1583559782608701E-2</v>
      </c>
      <c r="AA103" s="3052">
        <f>+((Y103*Y2)+(M103*M2))/AA2</f>
        <v>5.9104428953043554E-2</v>
      </c>
      <c r="AB103" s="3052">
        <f>+((Z103*Z2)+(N103*N2))/AB2</f>
        <v>3.8028574681238624E-2</v>
      </c>
      <c r="AC103" s="2416">
        <v>6.041666666666666E-2</v>
      </c>
      <c r="AD103" s="2416">
        <f>32.6/(AD2*24)</f>
        <v>4.3817204301075267E-2</v>
      </c>
      <c r="AE103" s="2829">
        <f>+((AA103*AA2)+(AC103*AC2))/AE2</f>
        <v>5.9294519462960923E-2</v>
      </c>
      <c r="AF103" s="2829">
        <f>+((AB103*AB2)+(AD103*AD2))/AF2</f>
        <v>3.8867114485981312E-2</v>
      </c>
      <c r="AG103" s="2416">
        <v>6.0416666666666667E-2</v>
      </c>
      <c r="AH103" s="2416">
        <f>35.1/(AH2*24)</f>
        <v>4.8750000000000002E-2</v>
      </c>
      <c r="AI103" s="2829">
        <f>+((AE103*AE2)+(AG103*AG2))/AI2</f>
        <v>5.9432488381449336E-2</v>
      </c>
      <c r="AJ103" s="2829">
        <f>+((AF103*AF2)+(AH103*AH2))/AJ2</f>
        <v>4.0082223360655742E-2</v>
      </c>
      <c r="AK103" s="2416">
        <v>6.041666666666666E-2</v>
      </c>
      <c r="AL103" s="2416">
        <f>40.5/(AL2*24)</f>
        <v>5.4435483870967742E-2</v>
      </c>
      <c r="AM103" s="3051">
        <f>+((AC103*AC2)+(AG103*AG2)+(AK103*AK2))/AM2</f>
        <v>6.0416666666666667E-2</v>
      </c>
      <c r="AN103" s="3051">
        <f>+((AD103*AD2)+(AH103*AH2)+(AL103*AL2))/AN2</f>
        <v>4.9003623188405801E-2</v>
      </c>
      <c r="AO103" s="2829">
        <f>+((AK103*AK2)+(AI103*AI2))/AO2</f>
        <v>5.9543432115419292E-2</v>
      </c>
      <c r="AP103" s="2829">
        <f>+((AL103*AL2)+(AJ103*AJ2))/AP2</f>
        <v>4.1700227272727278E-2</v>
      </c>
      <c r="AQ103" s="2416">
        <v>6.041666666666666E-2</v>
      </c>
      <c r="AR103" s="2416">
        <f>24/(AR2*24)</f>
        <v>3.2258064516129031E-2</v>
      </c>
      <c r="AS103" s="2829">
        <f>+((AO103*AO2)+(AQ103*AQ2))/AS2</f>
        <v>5.9631897053617544E-2</v>
      </c>
      <c r="AT103" s="2829">
        <f>+((AP103*AP2)+(AR103*AR2))/AT2</f>
        <v>4.0743668300653596E-2</v>
      </c>
      <c r="AU103" s="2416">
        <v>6.0416666666666667E-2</v>
      </c>
      <c r="AV103" s="2416">
        <f>26.8/(AV2*24)</f>
        <v>3.9880952380952385E-2</v>
      </c>
      <c r="AW103" s="2829">
        <f>+((AS103*AS2)+(AU103*AU2))/AW2</f>
        <v>5.9697686122974956E-2</v>
      </c>
      <c r="AX103" s="2829">
        <f>+((AT103*AT2)+(AV103*AV2))/AX2</f>
        <v>4.0671344810379241E-2</v>
      </c>
      <c r="AY103" s="2416">
        <v>6.041666666666666E-2</v>
      </c>
      <c r="AZ103" s="2416">
        <f>15.7/(AZ2*24)</f>
        <v>2.1102150537634409E-2</v>
      </c>
      <c r="BA103" s="3051">
        <f>+((AQ103*AQ2)+(AU103*AU2)+(AY103*AY2))/BA2</f>
        <v>6.0416666666666667E-2</v>
      </c>
      <c r="BB103" s="3051">
        <f>+((AR103*AR2)+(AV103*AV2)+(AZ103*AZ2))/BB2</f>
        <v>3.078703703703704E-2</v>
      </c>
      <c r="BC103" s="3052">
        <f>+((BA103*BA2)+(AM103*AM2))/BC2</f>
        <v>6.0416666666666667E-2</v>
      </c>
      <c r="BD103" s="3052">
        <f>+((BB103*BB2)+(AN103*AN2))/BD2</f>
        <v>3.9995421245421249E-2</v>
      </c>
      <c r="BE103" s="2829">
        <f>+((AW103*AW2)+(AY103*AY2))/BE2</f>
        <v>5.9758750223946028E-2</v>
      </c>
      <c r="BF103" s="2591">
        <f>+((AX103*AX2)+(AZ103*AZ2))/BF2</f>
        <v>3.9009303652968036E-2</v>
      </c>
      <c r="BG103" s="2263"/>
      <c r="BH103" s="2263"/>
      <c r="BI103" s="3238"/>
      <c r="BJ103" s="2263"/>
      <c r="BK103" s="3238"/>
      <c r="BL103" s="3238"/>
    </row>
    <row r="104" spans="2:64" ht="13.8" x14ac:dyDescent="0.25">
      <c r="B104" s="2831" t="s">
        <v>519</v>
      </c>
      <c r="C104" s="2589" t="s">
        <v>268</v>
      </c>
      <c r="D104" s="1239">
        <v>7</v>
      </c>
      <c r="E104" s="2412">
        <f>$D$104</f>
        <v>7</v>
      </c>
      <c r="F104" s="2581">
        <v>6.8</v>
      </c>
      <c r="G104" s="2412">
        <f>$D$104</f>
        <v>7</v>
      </c>
      <c r="H104" s="2581">
        <v>6.34</v>
      </c>
      <c r="I104" s="2659">
        <f>+((E5*E104)+(G5*G104))/I5</f>
        <v>7</v>
      </c>
      <c r="J104" s="2592">
        <f>+((F5*F104)+(H5*H104))/J5</f>
        <v>6.6597014823140412</v>
      </c>
      <c r="K104" s="2412">
        <v>9</v>
      </c>
      <c r="L104" s="2581">
        <v>6.4</v>
      </c>
      <c r="M104" s="3047">
        <f>+((E5*E104)+(G5*G104)+(K5*K104))/M5</f>
        <v>7.7881279065128046</v>
      </c>
      <c r="N104" s="3047">
        <f>+((F5*F104)+(H5*H104)+(L5*L104))/N5</f>
        <v>6.5477272952677819</v>
      </c>
      <c r="O104" s="2412">
        <v>9</v>
      </c>
      <c r="P104" s="2581">
        <v>6.46</v>
      </c>
      <c r="Q104" s="2829">
        <f>+((M5*M104)+(O5*O104))/Q5</f>
        <v>8.133617137800675</v>
      </c>
      <c r="R104" s="2829">
        <f>+((N5*N104)+(P5*P104))/R5</f>
        <v>6.5205330794743261</v>
      </c>
      <c r="S104" s="2412">
        <v>9</v>
      </c>
      <c r="T104" s="2581">
        <v>7.3</v>
      </c>
      <c r="U104" s="2829">
        <f>+((Q5*Q104)+(S5*S104))/U5</f>
        <v>8.3258178456906453</v>
      </c>
      <c r="V104" s="2829">
        <f>+((R5*R104)+(T5*T104))/V5</f>
        <v>6.6959419996136083</v>
      </c>
      <c r="W104" s="2412">
        <v>9</v>
      </c>
      <c r="X104" s="2581">
        <v>6.6</v>
      </c>
      <c r="Y104" s="3047">
        <f>+((O5*O104)+(S5*S104)+(W5*W104))/Y5</f>
        <v>9</v>
      </c>
      <c r="Z104" s="3053">
        <f>+((P5*P104)+(T5*T104)+(X5*X104))/Z5</f>
        <v>6.7821711080568869</v>
      </c>
      <c r="AA104" s="3048">
        <f>+((Y104*Y5)+(M104*M5))/AA5</f>
        <v>8.3961222471429569</v>
      </c>
      <c r="AB104" s="3048">
        <f>+((Z104*Z5)+(N104*N5))/AB5</f>
        <v>6.6789754835430486</v>
      </c>
      <c r="AC104" s="2412">
        <v>9</v>
      </c>
      <c r="AD104" s="2581">
        <v>6.4</v>
      </c>
      <c r="AE104" s="2829">
        <f>+((AA5*AA104)+(AC5*AC104))/AE5</f>
        <v>8.4978643503843028</v>
      </c>
      <c r="AF104" s="2659">
        <f>+((AB5*AB104)+(AD5*AD104))/AF5</f>
        <v>6.644780105227734</v>
      </c>
      <c r="AG104" s="2412">
        <v>9</v>
      </c>
      <c r="AH104" s="2581">
        <v>6.85</v>
      </c>
      <c r="AI104" s="2829">
        <f>+((AE5*AE104)+(AG5*AG104))/AI5</f>
        <v>8.5683447012074243</v>
      </c>
      <c r="AJ104" s="2659">
        <f>+((AF5*AF104)+(AH5*AH104))/AJ5</f>
        <v>6.6726246811952183</v>
      </c>
      <c r="AK104" s="2412">
        <v>9</v>
      </c>
      <c r="AL104" s="2581">
        <v>6.3</v>
      </c>
      <c r="AM104" s="3047">
        <f>+((AC5*AC104)+(AG5*AG104)+(AK5*AK104))/AM5</f>
        <v>8.9999999999999982</v>
      </c>
      <c r="AN104" s="3053">
        <f>+((AD5*AD104)+(AH5*AH104)+(AL5*AL104))/AN5</f>
        <v>6.5241538997431059</v>
      </c>
      <c r="AO104" s="2829">
        <f>+((AK5*AK104)+(AI5*AI104))/AO5</f>
        <v>8.6229534991080836</v>
      </c>
      <c r="AP104" s="2829">
        <f>+((AL5*AL104)+(AJ5*AJ104))/AP5</f>
        <v>6.6272781161872825</v>
      </c>
      <c r="AQ104" s="2412">
        <f>+$D$104</f>
        <v>7</v>
      </c>
      <c r="AR104" s="2581">
        <v>6.53</v>
      </c>
      <c r="AS104" s="2829">
        <f>+((AO5*AO104)+(AQ5*AQ104))/AS5</f>
        <v>8.4381978937096189</v>
      </c>
      <c r="AT104" s="2659">
        <f>+((AP5*AP104)+(AR5*AR104))/AT5</f>
        <v>6.6169786005387472</v>
      </c>
      <c r="AU104" s="2412">
        <f>+$D$104</f>
        <v>7</v>
      </c>
      <c r="AV104" s="2412">
        <v>6.75</v>
      </c>
      <c r="AW104" s="2829">
        <f>+((AS5*AS104)+(AU5*AU104))/AW5</f>
        <v>8.3054067304085635</v>
      </c>
      <c r="AX104" s="2829">
        <f>+((AT5*AT104)+(AV5*AV104))/AX5</f>
        <v>6.6275010966684365</v>
      </c>
      <c r="AY104" s="2412">
        <f>+$D$104</f>
        <v>7</v>
      </c>
      <c r="AZ104" s="2412">
        <v>5.3</v>
      </c>
      <c r="BA104" s="3047">
        <f>+((AQ5*AQ104)+(AU5*AU104)+(AY5*AY104))/BA5</f>
        <v>6.9999999999999991</v>
      </c>
      <c r="BB104" s="3053">
        <f>+((AR5*AR104)+(AV5*AV104)+(AZ5*AZ104))/BB5</f>
        <v>6.138710826635366</v>
      </c>
      <c r="BC104" s="3048">
        <f>+((BA104*BA5)+(AM104*AM5))/BC5</f>
        <v>8.0052267084803326</v>
      </c>
      <c r="BD104" s="3048">
        <f>+((BB104*BB5)+(AN104*AN5))/BD5</f>
        <v>6.3297634292735072</v>
      </c>
      <c r="BE104" s="2829">
        <f>+((AW5*AW104)+(AY5*AY104))/BE5</f>
        <v>8.1831536287994879</v>
      </c>
      <c r="BF104" s="2591">
        <f>+((AX5*AX104)+(AZ5*AZ104))/BF5</f>
        <v>6.5033814301693473</v>
      </c>
      <c r="BG104" s="2263"/>
      <c r="BH104" s="2263"/>
      <c r="BI104" s="3238"/>
      <c r="BJ104" s="2263"/>
      <c r="BK104" s="3238"/>
      <c r="BL104" s="3238"/>
    </row>
    <row r="105" spans="2:64" ht="13.8" x14ac:dyDescent="0.25">
      <c r="B105" s="3054" t="s">
        <v>1430</v>
      </c>
      <c r="C105" s="3036" t="s">
        <v>643</v>
      </c>
      <c r="D105" s="3055"/>
      <c r="E105" s="3001"/>
      <c r="F105" s="3001">
        <v>0</v>
      </c>
      <c r="G105" s="3001"/>
      <c r="H105" s="3001">
        <v>11</v>
      </c>
      <c r="I105" s="2999"/>
      <c r="J105" s="1847">
        <f t="shared" ref="J105:J108" si="316">+F105+H105</f>
        <v>11</v>
      </c>
      <c r="K105" s="3001"/>
      <c r="L105" s="3001">
        <v>9</v>
      </c>
      <c r="M105" s="3000"/>
      <c r="N105" s="3000">
        <f t="shared" ref="N105:N108" si="317">+L105+H105+F105</f>
        <v>20</v>
      </c>
      <c r="O105" s="3001"/>
      <c r="P105" s="3001">
        <v>11</v>
      </c>
      <c r="Q105" s="2349"/>
      <c r="R105" s="2999">
        <f>+N105+P105</f>
        <v>31</v>
      </c>
      <c r="S105" s="3001"/>
      <c r="T105" s="3001">
        <v>2</v>
      </c>
      <c r="U105" s="2349"/>
      <c r="V105" s="2999">
        <f>+R105+T105</f>
        <v>33</v>
      </c>
      <c r="W105" s="3001"/>
      <c r="X105" s="3001">
        <v>9</v>
      </c>
      <c r="Y105" s="2350"/>
      <c r="Z105" s="3000">
        <f>+X105+T105+P105</f>
        <v>22</v>
      </c>
      <c r="AA105" s="2379"/>
      <c r="AB105" s="2367">
        <f>Z105+N105</f>
        <v>42</v>
      </c>
      <c r="AC105" s="3001"/>
      <c r="AD105" s="3001">
        <v>8</v>
      </c>
      <c r="AE105" s="2349"/>
      <c r="AF105" s="2999">
        <f>+AB105+AD105</f>
        <v>50</v>
      </c>
      <c r="AG105" s="3001"/>
      <c r="AH105" s="3001">
        <v>9</v>
      </c>
      <c r="AI105" s="2349"/>
      <c r="AJ105" s="2999">
        <f>+AF105+AH105</f>
        <v>59</v>
      </c>
      <c r="AK105" s="3001"/>
      <c r="AL105" s="3001">
        <v>10</v>
      </c>
      <c r="AM105" s="2350"/>
      <c r="AN105" s="3000">
        <f>+AL105+AH105+AD105</f>
        <v>27</v>
      </c>
      <c r="AO105" s="2349"/>
      <c r="AP105" s="2999">
        <f>+AL105+AJ105</f>
        <v>69</v>
      </c>
      <c r="AQ105" s="3001"/>
      <c r="AR105" s="3001">
        <v>14</v>
      </c>
      <c r="AS105" s="2349"/>
      <c r="AT105" s="2999">
        <f>+AP105+AR105</f>
        <v>83</v>
      </c>
      <c r="AU105" s="3001"/>
      <c r="AV105" s="3001">
        <v>0</v>
      </c>
      <c r="AW105" s="2349"/>
      <c r="AX105" s="2999">
        <f>+AT105+AV105</f>
        <v>83</v>
      </c>
      <c r="AY105" s="3001"/>
      <c r="AZ105" s="3001">
        <v>19</v>
      </c>
      <c r="BA105" s="2350"/>
      <c r="BB105" s="3000">
        <f>+AZ105+AV105+AR105</f>
        <v>33</v>
      </c>
      <c r="BC105" s="2379"/>
      <c r="BD105" s="2367">
        <f>BB105+AN105</f>
        <v>60</v>
      </c>
      <c r="BE105" s="2349"/>
      <c r="BF105" s="1847">
        <f>+AX105+AZ105</f>
        <v>102</v>
      </c>
      <c r="BG105" s="3238"/>
      <c r="BH105" s="2263"/>
      <c r="BI105" s="3238"/>
      <c r="BJ105" s="2263"/>
      <c r="BK105" s="3238"/>
      <c r="BL105" s="3238"/>
    </row>
    <row r="106" spans="2:64" ht="13.8" x14ac:dyDescent="0.25">
      <c r="B106" s="3054" t="s">
        <v>1431</v>
      </c>
      <c r="C106" s="3036" t="s">
        <v>643</v>
      </c>
      <c r="D106" s="3055"/>
      <c r="E106" s="3001"/>
      <c r="F106" s="3001">
        <v>416</v>
      </c>
      <c r="G106" s="3001"/>
      <c r="H106" s="3001">
        <v>205</v>
      </c>
      <c r="I106" s="2999"/>
      <c r="J106" s="1847">
        <f t="shared" si="316"/>
        <v>621</v>
      </c>
      <c r="K106" s="3001"/>
      <c r="L106" s="3001">
        <v>541</v>
      </c>
      <c r="M106" s="3000"/>
      <c r="N106" s="3000">
        <f t="shared" si="317"/>
        <v>1162</v>
      </c>
      <c r="O106" s="3001"/>
      <c r="P106" s="3001">
        <v>403</v>
      </c>
      <c r="Q106" s="2349"/>
      <c r="R106" s="2999">
        <f t="shared" ref="R106:R108" si="318">+N106+P106</f>
        <v>1565</v>
      </c>
      <c r="S106" s="3001"/>
      <c r="T106" s="3001">
        <v>481</v>
      </c>
      <c r="U106" s="2349"/>
      <c r="V106" s="2999">
        <f t="shared" ref="V106:V108" si="319">+R106+T106</f>
        <v>2046</v>
      </c>
      <c r="W106" s="3001"/>
      <c r="X106" s="3001">
        <v>476</v>
      </c>
      <c r="Y106" s="2350"/>
      <c r="Z106" s="3000">
        <f t="shared" ref="Z106:Z108" si="320">+X106+T106+P106</f>
        <v>1360</v>
      </c>
      <c r="AA106" s="2379"/>
      <c r="AB106" s="2367">
        <f t="shared" ref="AB106:AB108" si="321">Z106+N106</f>
        <v>2522</v>
      </c>
      <c r="AC106" s="3001"/>
      <c r="AD106" s="3001">
        <v>409</v>
      </c>
      <c r="AE106" s="2349"/>
      <c r="AF106" s="2999">
        <f t="shared" ref="AF106:AF108" si="322">+AB106+AD106</f>
        <v>2931</v>
      </c>
      <c r="AG106" s="3001"/>
      <c r="AH106" s="3001">
        <v>389</v>
      </c>
      <c r="AI106" s="2349"/>
      <c r="AJ106" s="2999">
        <f t="shared" ref="AJ106:AJ108" si="323">+AF106+AH106</f>
        <v>3320</v>
      </c>
      <c r="AK106" s="3001"/>
      <c r="AL106" s="3001">
        <v>439</v>
      </c>
      <c r="AM106" s="2350"/>
      <c r="AN106" s="3000">
        <f t="shared" ref="AN106:AN108" si="324">+AL106+AH106+AD106</f>
        <v>1237</v>
      </c>
      <c r="AO106" s="2349"/>
      <c r="AP106" s="2999">
        <f t="shared" ref="AP106:AP108" si="325">+AL106+AJ106</f>
        <v>3759</v>
      </c>
      <c r="AQ106" s="3001"/>
      <c r="AR106" s="3001">
        <v>423</v>
      </c>
      <c r="AS106" s="2349"/>
      <c r="AT106" s="2999">
        <f t="shared" ref="AT106:AT108" si="326">+AP106+AR106</f>
        <v>4182</v>
      </c>
      <c r="AU106" s="3001"/>
      <c r="AV106" s="3001">
        <v>375</v>
      </c>
      <c r="AW106" s="2349"/>
      <c r="AX106" s="2999">
        <f t="shared" ref="AX106:AX108" si="327">+AT106+AV106</f>
        <v>4557</v>
      </c>
      <c r="AY106" s="3001"/>
      <c r="AZ106" s="3001">
        <v>438</v>
      </c>
      <c r="BA106" s="2350"/>
      <c r="BB106" s="3000">
        <f t="shared" ref="BB106:BB108" si="328">+AZ106+AV106+AR106</f>
        <v>1236</v>
      </c>
      <c r="BC106" s="2379"/>
      <c r="BD106" s="2367">
        <f t="shared" ref="BD106:BD108" si="329">BB106+AN106</f>
        <v>2473</v>
      </c>
      <c r="BE106" s="2349"/>
      <c r="BF106" s="1847">
        <f t="shared" ref="BF106:BF108" si="330">+AX106+AZ106</f>
        <v>4995</v>
      </c>
      <c r="BG106" s="2263"/>
      <c r="BH106" s="2263"/>
      <c r="BI106" s="3238"/>
      <c r="BJ106" s="2263"/>
      <c r="BK106" s="3238"/>
      <c r="BL106" s="3238"/>
    </row>
    <row r="107" spans="2:64" ht="13.8" x14ac:dyDescent="0.25">
      <c r="B107" s="3054" t="s">
        <v>1432</v>
      </c>
      <c r="C107" s="3036" t="s">
        <v>643</v>
      </c>
      <c r="D107" s="3055"/>
      <c r="E107" s="3001"/>
      <c r="F107" s="3001">
        <v>189</v>
      </c>
      <c r="G107" s="3001"/>
      <c r="H107" s="3001">
        <v>91</v>
      </c>
      <c r="I107" s="2999"/>
      <c r="J107" s="1847">
        <f t="shared" si="316"/>
        <v>280</v>
      </c>
      <c r="K107" s="3001"/>
      <c r="L107" s="3001">
        <v>140</v>
      </c>
      <c r="M107" s="3000"/>
      <c r="N107" s="3000">
        <f t="shared" si="317"/>
        <v>420</v>
      </c>
      <c r="O107" s="3001"/>
      <c r="P107" s="3001">
        <v>134</v>
      </c>
      <c r="Q107" s="2349"/>
      <c r="R107" s="2999">
        <f t="shared" si="318"/>
        <v>554</v>
      </c>
      <c r="S107" s="3001"/>
      <c r="T107" s="3001">
        <v>142</v>
      </c>
      <c r="U107" s="2349"/>
      <c r="V107" s="2999">
        <f t="shared" si="319"/>
        <v>696</v>
      </c>
      <c r="W107" s="3001"/>
      <c r="X107" s="3001">
        <v>121</v>
      </c>
      <c r="Y107" s="2350"/>
      <c r="Z107" s="3000">
        <f t="shared" si="320"/>
        <v>397</v>
      </c>
      <c r="AA107" s="2379"/>
      <c r="AB107" s="2367">
        <f t="shared" si="321"/>
        <v>817</v>
      </c>
      <c r="AC107" s="3001"/>
      <c r="AD107" s="3001">
        <v>113</v>
      </c>
      <c r="AE107" s="2349"/>
      <c r="AF107" s="2999">
        <f t="shared" si="322"/>
        <v>930</v>
      </c>
      <c r="AG107" s="3001"/>
      <c r="AH107" s="3001">
        <v>101</v>
      </c>
      <c r="AI107" s="2349"/>
      <c r="AJ107" s="2999">
        <f t="shared" si="323"/>
        <v>1031</v>
      </c>
      <c r="AK107" s="3001"/>
      <c r="AL107" s="3001">
        <v>193</v>
      </c>
      <c r="AM107" s="2350"/>
      <c r="AN107" s="3000">
        <f t="shared" si="324"/>
        <v>407</v>
      </c>
      <c r="AO107" s="2349"/>
      <c r="AP107" s="2999">
        <f t="shared" si="325"/>
        <v>1224</v>
      </c>
      <c r="AQ107" s="3001"/>
      <c r="AR107" s="3001">
        <v>222</v>
      </c>
      <c r="AS107" s="2349"/>
      <c r="AT107" s="2999">
        <f t="shared" si="326"/>
        <v>1446</v>
      </c>
      <c r="AU107" s="3001"/>
      <c r="AV107" s="3001">
        <v>164</v>
      </c>
      <c r="AW107" s="2349"/>
      <c r="AX107" s="2999">
        <f t="shared" si="327"/>
        <v>1610</v>
      </c>
      <c r="AY107" s="3001"/>
      <c r="AZ107" s="3001">
        <v>232</v>
      </c>
      <c r="BA107" s="2350"/>
      <c r="BB107" s="3000">
        <f t="shared" si="328"/>
        <v>618</v>
      </c>
      <c r="BC107" s="2379"/>
      <c r="BD107" s="2367">
        <f t="shared" si="329"/>
        <v>1025</v>
      </c>
      <c r="BE107" s="2349"/>
      <c r="BF107" s="1847">
        <f t="shared" si="330"/>
        <v>1842</v>
      </c>
      <c r="BG107" s="2263"/>
      <c r="BH107" s="2263"/>
      <c r="BI107" s="3238"/>
      <c r="BJ107" s="2263"/>
      <c r="BK107" s="3238"/>
      <c r="BL107" s="3238"/>
    </row>
    <row r="108" spans="2:64" ht="21" customHeight="1" x14ac:dyDescent="0.25">
      <c r="B108" s="3056" t="s">
        <v>1433</v>
      </c>
      <c r="C108" s="3016" t="s">
        <v>50</v>
      </c>
      <c r="D108" s="1803"/>
      <c r="E108" s="3057"/>
      <c r="F108" s="3057">
        <v>29810.769999999997</v>
      </c>
      <c r="G108" s="3057"/>
      <c r="H108" s="3057">
        <v>14165.48</v>
      </c>
      <c r="I108" s="3058"/>
      <c r="J108" s="1847">
        <f t="shared" si="316"/>
        <v>43976.25</v>
      </c>
      <c r="K108" s="3057"/>
      <c r="L108" s="3057">
        <v>22004.6</v>
      </c>
      <c r="M108" s="3000"/>
      <c r="N108" s="3000">
        <f t="shared" si="317"/>
        <v>65980.850000000006</v>
      </c>
      <c r="O108" s="3057"/>
      <c r="P108" s="3057">
        <v>21209.759999999998</v>
      </c>
      <c r="Q108" s="2349"/>
      <c r="R108" s="2999">
        <f t="shared" si="318"/>
        <v>87190.61</v>
      </c>
      <c r="S108" s="3057"/>
      <c r="T108" s="3057">
        <v>22497.17</v>
      </c>
      <c r="U108" s="2349"/>
      <c r="V108" s="2999">
        <f t="shared" si="319"/>
        <v>109687.78</v>
      </c>
      <c r="W108" s="3057"/>
      <c r="X108" s="3057">
        <v>18935.099999999999</v>
      </c>
      <c r="Y108" s="2350"/>
      <c r="Z108" s="3000">
        <f t="shared" si="320"/>
        <v>62642.03</v>
      </c>
      <c r="AA108" s="2379"/>
      <c r="AB108" s="2367">
        <f t="shared" si="321"/>
        <v>128622.88</v>
      </c>
      <c r="AC108" s="3057"/>
      <c r="AD108" s="3057">
        <v>17755.399999999998</v>
      </c>
      <c r="AE108" s="2349"/>
      <c r="AF108" s="2999">
        <f t="shared" si="322"/>
        <v>146378.28</v>
      </c>
      <c r="AG108" s="3057"/>
      <c r="AH108" s="3057">
        <v>16214.990000000002</v>
      </c>
      <c r="AI108" s="2349"/>
      <c r="AJ108" s="2999">
        <f t="shared" si="323"/>
        <v>162593.26999999999</v>
      </c>
      <c r="AK108" s="3057"/>
      <c r="AL108" s="3057">
        <v>30110.519999999997</v>
      </c>
      <c r="AM108" s="2350"/>
      <c r="AN108" s="3000">
        <f t="shared" si="324"/>
        <v>64080.909999999989</v>
      </c>
      <c r="AO108" s="2349"/>
      <c r="AP108" s="2999">
        <f t="shared" si="325"/>
        <v>192703.78999999998</v>
      </c>
      <c r="AQ108" s="3057"/>
      <c r="AR108" s="3057">
        <v>34859.44000000001</v>
      </c>
      <c r="AS108" s="2349"/>
      <c r="AT108" s="2999">
        <f t="shared" si="326"/>
        <v>227563.22999999998</v>
      </c>
      <c r="AU108" s="3057"/>
      <c r="AV108" s="3057">
        <v>25973.510000000002</v>
      </c>
      <c r="AW108" s="2349"/>
      <c r="AX108" s="2999">
        <f t="shared" si="327"/>
        <v>253536.74</v>
      </c>
      <c r="AY108" s="3057"/>
      <c r="AZ108" s="3057">
        <v>36566.22</v>
      </c>
      <c r="BA108" s="2350"/>
      <c r="BB108" s="3000">
        <f t="shared" si="328"/>
        <v>97399.170000000013</v>
      </c>
      <c r="BC108" s="2379"/>
      <c r="BD108" s="2367">
        <f t="shared" si="329"/>
        <v>161480.08000000002</v>
      </c>
      <c r="BE108" s="2349"/>
      <c r="BF108" s="1847">
        <f t="shared" si="330"/>
        <v>290102.95999999996</v>
      </c>
      <c r="BG108" s="2263"/>
      <c r="BH108" s="2263"/>
      <c r="BI108" s="3238"/>
      <c r="BJ108" s="2263"/>
      <c r="BK108" s="3238"/>
      <c r="BL108" s="3238"/>
    </row>
    <row r="109" spans="2:64" ht="21" customHeight="1" thickBot="1" x14ac:dyDescent="0.3">
      <c r="B109" s="3054" t="s">
        <v>1788</v>
      </c>
      <c r="C109" s="3036"/>
      <c r="D109" s="3055">
        <v>89</v>
      </c>
      <c r="E109" s="3001">
        <f>$D$109</f>
        <v>89</v>
      </c>
      <c r="F109" s="4480">
        <v>94.3</v>
      </c>
      <c r="G109" s="3001">
        <f>$D$109</f>
        <v>89</v>
      </c>
      <c r="H109" s="4480">
        <v>93.5</v>
      </c>
      <c r="I109" s="2999"/>
      <c r="J109" s="3046">
        <f>AVERAGE(F109,H109)</f>
        <v>93.9</v>
      </c>
      <c r="K109" s="3001"/>
      <c r="L109" s="4480">
        <v>86</v>
      </c>
      <c r="M109" s="3000"/>
      <c r="N109" s="3000">
        <f>+AVERAGE(F109,H109,L109)</f>
        <v>91.266666666666666</v>
      </c>
      <c r="O109" s="3001"/>
      <c r="P109" s="4480">
        <v>86.2</v>
      </c>
      <c r="Q109" s="2349"/>
      <c r="R109" s="2999">
        <f>AVERAGE(F109,H109,L109,P109)</f>
        <v>90</v>
      </c>
      <c r="S109" s="3001"/>
      <c r="T109" s="4480">
        <v>92.2</v>
      </c>
      <c r="U109" s="2349"/>
      <c r="V109" s="2817">
        <f>+AVERAGE(F109,H109,L109,P109,T109)</f>
        <v>90.44</v>
      </c>
      <c r="W109" s="3001"/>
      <c r="X109" s="4480">
        <v>89.47</v>
      </c>
      <c r="Y109" s="2350"/>
      <c r="Z109" s="3000">
        <f>+AVERAGE(P109,T109,X109)</f>
        <v>89.29</v>
      </c>
      <c r="AA109" s="2379"/>
      <c r="AB109" s="2367">
        <f>+AVERAGE(N109,Z109)</f>
        <v>90.278333333333336</v>
      </c>
      <c r="AC109" s="3001"/>
      <c r="AD109" s="4480">
        <v>89.6</v>
      </c>
      <c r="AE109" s="3619"/>
      <c r="AF109" s="3620">
        <f>AVERAGE(F109,H109,L109,P109,T109,X109,AD109)</f>
        <v>90.181428571428569</v>
      </c>
      <c r="AG109" s="3001"/>
      <c r="AH109" s="4480">
        <v>88.8</v>
      </c>
      <c r="AI109" s="3619"/>
      <c r="AJ109" s="4017">
        <f>AVERAGE(AF109,AH109)</f>
        <v>89.49071428571429</v>
      </c>
      <c r="AK109" s="3001"/>
      <c r="AL109" s="4480">
        <v>90.3</v>
      </c>
      <c r="AM109" s="3621"/>
      <c r="AN109" s="4091">
        <f>+AVERAGE(AD109,AH109,AL109)</f>
        <v>89.566666666666663</v>
      </c>
      <c r="AO109" s="3619"/>
      <c r="AP109" s="4017">
        <f>+AVERAGE(F109,H109,L109,P109,T109,X109,AD109,AH109,AL109)</f>
        <v>90.041111111111093</v>
      </c>
      <c r="AQ109" s="3001"/>
      <c r="AR109" s="4480">
        <v>89.7</v>
      </c>
      <c r="AS109" s="3619"/>
      <c r="AT109" s="4017">
        <f>AVERAGE(F109,H109,L109,P109,T109,X109,AD109,AH109,AR109)</f>
        <v>89.974444444444444</v>
      </c>
      <c r="AU109" s="3001"/>
      <c r="AV109" s="4480">
        <v>92.7</v>
      </c>
      <c r="AW109" s="3619"/>
      <c r="AX109" s="4017">
        <f>AVERAGE(F109,H109,L109,P109,T109,X109,AD109,AH109,AL109,AR109,AV109)</f>
        <v>90.25181818181818</v>
      </c>
      <c r="AY109" s="3001"/>
      <c r="AZ109" s="4480">
        <v>93.4</v>
      </c>
      <c r="BA109" s="3621"/>
      <c r="BB109" s="4091">
        <f>+AVERAGE(AR109,AV109,AZ109)</f>
        <v>91.933333333333337</v>
      </c>
      <c r="BC109" s="3622"/>
      <c r="BD109" s="5003">
        <f>+AVERAGE(BB109,AN109)</f>
        <v>90.75</v>
      </c>
      <c r="BE109" s="3619"/>
      <c r="BF109" s="3046">
        <f>AVERAGE(AZ109,AV109,AR109,AL109,AH109,AD109,X109,T109,P109,L109,H109,F109)</f>
        <v>90.514166666666668</v>
      </c>
      <c r="BG109" s="2263"/>
      <c r="BH109" s="2263"/>
      <c r="BI109" s="3238"/>
      <c r="BJ109" s="2263"/>
      <c r="BK109" s="3238"/>
      <c r="BL109" s="3238"/>
    </row>
    <row r="110" spans="2:64" ht="21" customHeight="1" x14ac:dyDescent="0.25">
      <c r="B110" s="818" t="s">
        <v>1466</v>
      </c>
      <c r="C110" s="695"/>
      <c r="D110" s="1853"/>
      <c r="E110" s="1920"/>
      <c r="F110" s="1331"/>
      <c r="G110" s="1920"/>
      <c r="H110" s="1331"/>
      <c r="I110" s="3059"/>
      <c r="J110" s="3060"/>
      <c r="K110" s="1920"/>
      <c r="L110" s="1331"/>
      <c r="M110" s="3051"/>
      <c r="N110" s="3051"/>
      <c r="O110" s="1920"/>
      <c r="P110" s="1331"/>
      <c r="Q110" s="2829"/>
      <c r="R110" s="2829"/>
      <c r="S110" s="1920"/>
      <c r="T110" s="1331"/>
      <c r="U110" s="2829"/>
      <c r="V110" s="2829"/>
      <c r="W110" s="1920"/>
      <c r="X110" s="1331"/>
      <c r="Y110" s="3051"/>
      <c r="Z110" s="3051"/>
      <c r="AA110" s="3052"/>
      <c r="AB110" s="3052"/>
      <c r="AC110" s="1920"/>
      <c r="AD110" s="1331"/>
      <c r="AE110" s="2829"/>
      <c r="AF110" s="2829"/>
      <c r="AG110" s="1920"/>
      <c r="AH110" s="1331"/>
      <c r="AI110" s="2829"/>
      <c r="AJ110" s="2829"/>
      <c r="AK110" s="1920"/>
      <c r="AL110" s="1331"/>
      <c r="AM110" s="3051"/>
      <c r="AN110" s="3051"/>
      <c r="AO110" s="2829"/>
      <c r="AP110" s="2829"/>
      <c r="AQ110" s="1920"/>
      <c r="AR110" s="1331"/>
      <c r="AS110" s="2829"/>
      <c r="AT110" s="2829"/>
      <c r="AU110" s="1920"/>
      <c r="AV110" s="1331"/>
      <c r="AW110" s="2829"/>
      <c r="AX110" s="2829"/>
      <c r="AY110" s="1920"/>
      <c r="AZ110" s="1331"/>
      <c r="BA110" s="3051"/>
      <c r="BB110" s="3051"/>
      <c r="BC110" s="3052"/>
      <c r="BD110" s="3052"/>
      <c r="BE110" s="2829"/>
      <c r="BF110" s="2591"/>
      <c r="BG110" s="2263"/>
      <c r="BH110" s="2263"/>
      <c r="BI110" s="3238"/>
      <c r="BJ110" s="2263"/>
      <c r="BK110" s="3238"/>
      <c r="BL110" s="3238"/>
    </row>
    <row r="111" spans="2:64" ht="13.8" x14ac:dyDescent="0.25">
      <c r="B111" s="1576" t="s">
        <v>545</v>
      </c>
      <c r="C111" s="2589" t="s">
        <v>50</v>
      </c>
      <c r="D111" s="143">
        <v>203.29823409764467</v>
      </c>
      <c r="E111" s="2412">
        <v>13.975819381687556</v>
      </c>
      <c r="F111" s="2580"/>
      <c r="G111" s="2412">
        <v>12.331605336783136</v>
      </c>
      <c r="H111" s="2580"/>
      <c r="I111" s="101">
        <f>+E111+G111</f>
        <v>26.307424718470692</v>
      </c>
      <c r="J111" s="101">
        <f>+F111+H111</f>
        <v>0</v>
      </c>
      <c r="K111" s="2412"/>
      <c r="L111" s="2580"/>
      <c r="M111" s="3051"/>
      <c r="N111" s="2350">
        <f t="shared" ref="N111:N132" si="331">+L111+H111+F111</f>
        <v>0</v>
      </c>
      <c r="O111" s="2412"/>
      <c r="P111" s="2580">
        <v>0.72499999999999998</v>
      </c>
      <c r="Q111" s="2829"/>
      <c r="R111" s="2817">
        <f>+N111+P111</f>
        <v>0.72499999999999998</v>
      </c>
      <c r="S111" s="2412"/>
      <c r="T111" s="2580"/>
      <c r="U111" s="2829"/>
      <c r="V111" s="2817">
        <f>+R111+T111</f>
        <v>0.72499999999999998</v>
      </c>
      <c r="W111" s="2412"/>
      <c r="X111" s="2580"/>
      <c r="Y111" s="3051"/>
      <c r="Z111" s="2350">
        <f t="shared" ref="Z111:Z132" si="332">+X111+T111+P111</f>
        <v>0.72499999999999998</v>
      </c>
      <c r="AA111" s="3052"/>
      <c r="AB111" s="2379">
        <f t="shared" ref="AB111:AB132" si="333">+Z111+N111</f>
        <v>0.72499999999999998</v>
      </c>
      <c r="AC111" s="2412"/>
      <c r="AD111" s="2580"/>
      <c r="AE111" s="2829"/>
      <c r="AF111" s="2817">
        <f>+AB111+AD111</f>
        <v>0.72499999999999998</v>
      </c>
      <c r="AG111" s="2412"/>
      <c r="AH111" s="2580"/>
      <c r="AI111" s="2829"/>
      <c r="AJ111" s="2817">
        <f>+AF111+AH111</f>
        <v>0.72499999999999998</v>
      </c>
      <c r="AK111" s="2412"/>
      <c r="AL111" s="2580"/>
      <c r="AM111" s="3051"/>
      <c r="AN111" s="2350">
        <f t="shared" ref="AN111:AN132" si="334">+AL111+AH111+AD111</f>
        <v>0</v>
      </c>
      <c r="AO111" s="2829"/>
      <c r="AP111" s="2349">
        <f t="shared" ref="AP111:AP132" si="335">+AL111+AJ111</f>
        <v>0.72499999999999998</v>
      </c>
      <c r="AQ111" s="2583"/>
      <c r="AR111" s="2348"/>
      <c r="AS111" s="2829"/>
      <c r="AT111" s="2349">
        <f>+AP111+AR111</f>
        <v>0.72499999999999998</v>
      </c>
      <c r="AU111" s="2583"/>
      <c r="AV111" s="2348"/>
      <c r="AW111" s="2829"/>
      <c r="AX111" s="2349">
        <f>+AT111+AV111</f>
        <v>0.72499999999999998</v>
      </c>
      <c r="AY111" s="2583"/>
      <c r="AZ111" s="2348"/>
      <c r="BA111" s="3051"/>
      <c r="BB111" s="2350">
        <f t="shared" ref="BB111:BB132" si="336">+AZ111+AV111+AR111</f>
        <v>0</v>
      </c>
      <c r="BC111" s="3052"/>
      <c r="BD111" s="2379">
        <f t="shared" ref="BD111:BD132" si="337">+BB111+AN111</f>
        <v>0</v>
      </c>
      <c r="BE111" s="2829"/>
      <c r="BF111" s="35">
        <f>+AX111+AZ111</f>
        <v>0.72499999999999998</v>
      </c>
      <c r="BG111" s="2263"/>
      <c r="BH111" s="2263"/>
      <c r="BI111" s="3238"/>
      <c r="BJ111" s="2263"/>
      <c r="BK111" s="3238"/>
      <c r="BL111" s="3238"/>
    </row>
    <row r="112" spans="2:64" ht="13.8" x14ac:dyDescent="0.25">
      <c r="B112" s="1576" t="s">
        <v>760</v>
      </c>
      <c r="C112" s="2589" t="s">
        <v>50</v>
      </c>
      <c r="D112" s="143"/>
      <c r="E112" s="2412"/>
      <c r="F112" s="2580">
        <v>8.875</v>
      </c>
      <c r="G112" s="2412"/>
      <c r="H112" s="2580">
        <v>5.4219999999999997</v>
      </c>
      <c r="I112" s="101">
        <f t="shared" ref="I112:I132" si="338">+E112+G112</f>
        <v>0</v>
      </c>
      <c r="J112" s="101">
        <f t="shared" ref="J112:J131" si="339">+F112+H112</f>
        <v>14.297000000000001</v>
      </c>
      <c r="K112" s="2412"/>
      <c r="L112" s="2580">
        <v>7.0609999999999999</v>
      </c>
      <c r="M112" s="3051"/>
      <c r="N112" s="2350">
        <f t="shared" si="331"/>
        <v>21.358000000000001</v>
      </c>
      <c r="O112" s="2412"/>
      <c r="P112" s="2580">
        <v>4.2640000000000002</v>
      </c>
      <c r="Q112" s="2829"/>
      <c r="R112" s="2817">
        <f t="shared" ref="R112:R132" si="340">+N112+P112</f>
        <v>25.622</v>
      </c>
      <c r="S112" s="2412"/>
      <c r="T112" s="2580">
        <v>12.468999999999999</v>
      </c>
      <c r="U112" s="2829"/>
      <c r="V112" s="2817">
        <f t="shared" ref="V112:V132" si="341">+R112+T112</f>
        <v>38.091000000000001</v>
      </c>
      <c r="W112" s="2412"/>
      <c r="X112" s="2580">
        <v>5.367</v>
      </c>
      <c r="Y112" s="3051"/>
      <c r="Z112" s="2350">
        <f t="shared" si="332"/>
        <v>22.099999999999998</v>
      </c>
      <c r="AA112" s="3052"/>
      <c r="AB112" s="2379">
        <f t="shared" si="333"/>
        <v>43.457999999999998</v>
      </c>
      <c r="AC112" s="2412"/>
      <c r="AD112" s="2580"/>
      <c r="AE112" s="2829"/>
      <c r="AF112" s="2817">
        <f t="shared" ref="AF112:AF132" si="342">+AB112+AD112</f>
        <v>43.457999999999998</v>
      </c>
      <c r="AG112" s="2412"/>
      <c r="AH112" s="2580">
        <v>15.382</v>
      </c>
      <c r="AI112" s="2829"/>
      <c r="AJ112" s="2817">
        <f t="shared" ref="AJ112:AJ132" si="343">+AF112+AH112</f>
        <v>58.839999999999996</v>
      </c>
      <c r="AK112" s="2412"/>
      <c r="AL112" s="2580">
        <v>16.719000000000001</v>
      </c>
      <c r="AM112" s="3051"/>
      <c r="AN112" s="2350">
        <f t="shared" si="334"/>
        <v>32.100999999999999</v>
      </c>
      <c r="AO112" s="2829"/>
      <c r="AP112" s="2349">
        <f t="shared" si="335"/>
        <v>75.558999999999997</v>
      </c>
      <c r="AQ112" s="2583"/>
      <c r="AR112" s="2348">
        <v>1.32</v>
      </c>
      <c r="AS112" s="2829"/>
      <c r="AT112" s="2349">
        <f t="shared" ref="AT112:AT132" si="344">+AP112+AR112</f>
        <v>76.878999999999991</v>
      </c>
      <c r="AU112" s="2583"/>
      <c r="AV112" s="2348">
        <v>1.2</v>
      </c>
      <c r="AW112" s="2829"/>
      <c r="AX112" s="2349">
        <f t="shared" ref="AX112:AX132" si="345">+AT112+AV112</f>
        <v>78.078999999999994</v>
      </c>
      <c r="AY112" s="2583"/>
      <c r="AZ112" s="2348">
        <v>0.4</v>
      </c>
      <c r="BA112" s="3051"/>
      <c r="BB112" s="2350">
        <f t="shared" si="336"/>
        <v>2.92</v>
      </c>
      <c r="BC112" s="3052"/>
      <c r="BD112" s="2379">
        <f t="shared" si="337"/>
        <v>35.021000000000001</v>
      </c>
      <c r="BE112" s="2829"/>
      <c r="BF112" s="35">
        <f t="shared" ref="BF112:BF132" si="346">+AX112+AZ112</f>
        <v>78.478999999999999</v>
      </c>
      <c r="BG112" s="2263"/>
      <c r="BH112" s="2263"/>
      <c r="BI112" s="3238"/>
      <c r="BJ112" s="2263"/>
      <c r="BK112" s="3238"/>
      <c r="BL112" s="3238"/>
    </row>
    <row r="113" spans="2:64" ht="13.8" x14ac:dyDescent="0.25">
      <c r="B113" s="1576" t="s">
        <v>544</v>
      </c>
      <c r="C113" s="2589" t="s">
        <v>50</v>
      </c>
      <c r="D113" s="143">
        <v>1533.2036805024604</v>
      </c>
      <c r="E113" s="2412">
        <v>105.40070753270373</v>
      </c>
      <c r="F113" s="2580">
        <v>99</v>
      </c>
      <c r="G113" s="2412">
        <v>93.000624293562097</v>
      </c>
      <c r="H113" s="2580">
        <v>25</v>
      </c>
      <c r="I113" s="101">
        <f t="shared" si="338"/>
        <v>198.40133182626585</v>
      </c>
      <c r="J113" s="101">
        <f t="shared" si="339"/>
        <v>124</v>
      </c>
      <c r="K113" s="2412"/>
      <c r="L113" s="2580">
        <v>42</v>
      </c>
      <c r="M113" s="3051"/>
      <c r="N113" s="2350">
        <f t="shared" si="331"/>
        <v>166</v>
      </c>
      <c r="O113" s="2412"/>
      <c r="P113" s="2580">
        <v>30</v>
      </c>
      <c r="Q113" s="2829"/>
      <c r="R113" s="2817">
        <f t="shared" si="340"/>
        <v>196</v>
      </c>
      <c r="S113" s="2412"/>
      <c r="T113" s="2580">
        <v>76</v>
      </c>
      <c r="U113" s="2829"/>
      <c r="V113" s="2817">
        <f t="shared" si="341"/>
        <v>272</v>
      </c>
      <c r="W113" s="2412"/>
      <c r="X113" s="2580">
        <v>109</v>
      </c>
      <c r="Y113" s="3051"/>
      <c r="Z113" s="2350">
        <f t="shared" si="332"/>
        <v>215</v>
      </c>
      <c r="AA113" s="3052"/>
      <c r="AB113" s="2379">
        <f t="shared" si="333"/>
        <v>381</v>
      </c>
      <c r="AC113" s="2412"/>
      <c r="AD113" s="2580">
        <v>26</v>
      </c>
      <c r="AE113" s="2829"/>
      <c r="AF113" s="2817">
        <f t="shared" si="342"/>
        <v>407</v>
      </c>
      <c r="AG113" s="2412"/>
      <c r="AH113" s="2580">
        <v>76</v>
      </c>
      <c r="AI113" s="2829"/>
      <c r="AJ113" s="2817">
        <f t="shared" si="343"/>
        <v>483</v>
      </c>
      <c r="AK113" s="2412"/>
      <c r="AL113" s="2580">
        <v>99</v>
      </c>
      <c r="AM113" s="3051"/>
      <c r="AN113" s="2350">
        <f t="shared" si="334"/>
        <v>201</v>
      </c>
      <c r="AO113" s="2829"/>
      <c r="AP113" s="2349">
        <f t="shared" si="335"/>
        <v>582</v>
      </c>
      <c r="AQ113" s="2583"/>
      <c r="AR113" s="2348">
        <v>40</v>
      </c>
      <c r="AS113" s="2829"/>
      <c r="AT113" s="2349">
        <f t="shared" si="344"/>
        <v>622</v>
      </c>
      <c r="AU113" s="2583"/>
      <c r="AV113" s="2348">
        <v>30</v>
      </c>
      <c r="AW113" s="2829"/>
      <c r="AX113" s="2349">
        <f t="shared" si="345"/>
        <v>652</v>
      </c>
      <c r="AY113" s="2583"/>
      <c r="AZ113" s="2348">
        <v>21</v>
      </c>
      <c r="BA113" s="3051"/>
      <c r="BB113" s="2350">
        <f t="shared" si="336"/>
        <v>91</v>
      </c>
      <c r="BC113" s="3052"/>
      <c r="BD113" s="2379">
        <f t="shared" si="337"/>
        <v>292</v>
      </c>
      <c r="BE113" s="2829"/>
      <c r="BF113" s="35">
        <f t="shared" si="346"/>
        <v>673</v>
      </c>
      <c r="BG113" s="2263"/>
      <c r="BH113" s="2263"/>
      <c r="BI113" s="3238"/>
      <c r="BJ113" s="2263"/>
      <c r="BK113" s="3238"/>
      <c r="BL113" s="3238"/>
    </row>
    <row r="114" spans="2:64" ht="13.8" x14ac:dyDescent="0.25">
      <c r="B114" s="1576" t="s">
        <v>667</v>
      </c>
      <c r="C114" s="2589" t="s">
        <v>50</v>
      </c>
      <c r="D114" s="143">
        <v>106.73583241540733</v>
      </c>
      <c r="E114" s="2399">
        <v>7.337597997409695</v>
      </c>
      <c r="F114" s="2580">
        <v>5.5750000000000002</v>
      </c>
      <c r="G114" s="2399">
        <v>6.4743511741850241</v>
      </c>
      <c r="H114" s="2580"/>
      <c r="I114" s="101">
        <f t="shared" si="338"/>
        <v>13.811949171594719</v>
      </c>
      <c r="J114" s="101">
        <f t="shared" si="339"/>
        <v>5.5750000000000002</v>
      </c>
      <c r="K114" s="2412"/>
      <c r="L114" s="2580">
        <v>11.63</v>
      </c>
      <c r="M114" s="3051"/>
      <c r="N114" s="2350">
        <f t="shared" si="331"/>
        <v>17.205000000000002</v>
      </c>
      <c r="O114" s="2412"/>
      <c r="P114" s="2580">
        <v>7.3</v>
      </c>
      <c r="Q114" s="2829"/>
      <c r="R114" s="2817">
        <f t="shared" si="340"/>
        <v>24.505000000000003</v>
      </c>
      <c r="S114" s="2412"/>
      <c r="T114" s="2580">
        <v>2.02</v>
      </c>
      <c r="U114" s="2829"/>
      <c r="V114" s="2817">
        <f t="shared" si="341"/>
        <v>26.525000000000002</v>
      </c>
      <c r="W114" s="2412"/>
      <c r="X114" s="2580">
        <v>2.6949999999999998</v>
      </c>
      <c r="Y114" s="3051"/>
      <c r="Z114" s="2350">
        <f t="shared" si="332"/>
        <v>12.015000000000001</v>
      </c>
      <c r="AA114" s="3052"/>
      <c r="AB114" s="2379">
        <f t="shared" si="333"/>
        <v>29.220000000000002</v>
      </c>
      <c r="AC114" s="2412"/>
      <c r="AD114" s="2580">
        <v>8.6150000000000002</v>
      </c>
      <c r="AE114" s="2829"/>
      <c r="AF114" s="2817">
        <f t="shared" si="342"/>
        <v>37.835000000000001</v>
      </c>
      <c r="AG114" s="2412"/>
      <c r="AH114" s="2580">
        <v>11.5</v>
      </c>
      <c r="AI114" s="2829"/>
      <c r="AJ114" s="2817">
        <f t="shared" si="343"/>
        <v>49.335000000000001</v>
      </c>
      <c r="AK114" s="2412"/>
      <c r="AL114" s="2580">
        <v>21.78</v>
      </c>
      <c r="AM114" s="3051"/>
      <c r="AN114" s="2350">
        <f t="shared" si="334"/>
        <v>41.895000000000003</v>
      </c>
      <c r="AO114" s="2829"/>
      <c r="AP114" s="2349">
        <f t="shared" si="335"/>
        <v>71.115000000000009</v>
      </c>
      <c r="AQ114" s="2583"/>
      <c r="AR114" s="2348">
        <v>11.9</v>
      </c>
      <c r="AS114" s="2829"/>
      <c r="AT114" s="2349">
        <f t="shared" si="344"/>
        <v>83.015000000000015</v>
      </c>
      <c r="AU114" s="2583"/>
      <c r="AV114" s="2348">
        <v>3.605</v>
      </c>
      <c r="AW114" s="2829"/>
      <c r="AX114" s="2349">
        <f t="shared" si="345"/>
        <v>86.620000000000019</v>
      </c>
      <c r="AY114" s="2583"/>
      <c r="AZ114" s="2348">
        <v>16.263000000000002</v>
      </c>
      <c r="BA114" s="3051"/>
      <c r="BB114" s="2350">
        <f t="shared" si="336"/>
        <v>31.768000000000001</v>
      </c>
      <c r="BC114" s="3052"/>
      <c r="BD114" s="2379">
        <f t="shared" si="337"/>
        <v>73.663000000000011</v>
      </c>
      <c r="BE114" s="2829"/>
      <c r="BF114" s="35">
        <f t="shared" si="346"/>
        <v>102.88300000000002</v>
      </c>
      <c r="BG114" s="2263"/>
      <c r="BH114" s="2263"/>
      <c r="BI114" s="3238"/>
      <c r="BJ114" s="2263"/>
      <c r="BK114" s="3238"/>
      <c r="BL114" s="3238"/>
    </row>
    <row r="115" spans="2:64" ht="13.8" x14ac:dyDescent="0.25">
      <c r="B115" s="1576" t="s">
        <v>1620</v>
      </c>
      <c r="C115" s="2589" t="s">
        <v>50</v>
      </c>
      <c r="D115" s="143"/>
      <c r="E115" s="2412"/>
      <c r="F115" s="2580"/>
      <c r="G115" s="2412"/>
      <c r="H115" s="2580"/>
      <c r="I115" s="101">
        <f t="shared" si="338"/>
        <v>0</v>
      </c>
      <c r="J115" s="101">
        <f t="shared" si="339"/>
        <v>0</v>
      </c>
      <c r="K115" s="2412"/>
      <c r="L115" s="2580"/>
      <c r="M115" s="3051"/>
      <c r="N115" s="2350">
        <f t="shared" si="331"/>
        <v>0</v>
      </c>
      <c r="O115" s="2412"/>
      <c r="P115" s="2580"/>
      <c r="Q115" s="2829"/>
      <c r="R115" s="2817">
        <f t="shared" si="340"/>
        <v>0</v>
      </c>
      <c r="S115" s="2412"/>
      <c r="T115" s="2580"/>
      <c r="U115" s="2829"/>
      <c r="V115" s="2817">
        <f t="shared" si="341"/>
        <v>0</v>
      </c>
      <c r="W115" s="2412"/>
      <c r="X115" s="2580"/>
      <c r="Y115" s="3051"/>
      <c r="Z115" s="2350">
        <f t="shared" si="332"/>
        <v>0</v>
      </c>
      <c r="AA115" s="3052"/>
      <c r="AB115" s="2379">
        <f t="shared" si="333"/>
        <v>0</v>
      </c>
      <c r="AC115" s="2412"/>
      <c r="AD115" s="2580"/>
      <c r="AE115" s="2829"/>
      <c r="AF115" s="2817">
        <f t="shared" si="342"/>
        <v>0</v>
      </c>
      <c r="AG115" s="2412"/>
      <c r="AH115" s="2580"/>
      <c r="AI115" s="2829"/>
      <c r="AJ115" s="2817">
        <f t="shared" si="343"/>
        <v>0</v>
      </c>
      <c r="AK115" s="2412"/>
      <c r="AL115" s="2580"/>
      <c r="AM115" s="3051"/>
      <c r="AN115" s="2350">
        <f t="shared" si="334"/>
        <v>0</v>
      </c>
      <c r="AO115" s="2829"/>
      <c r="AP115" s="2349">
        <f t="shared" si="335"/>
        <v>0</v>
      </c>
      <c r="AQ115" s="2583"/>
      <c r="AR115" s="2348"/>
      <c r="AS115" s="2829"/>
      <c r="AT115" s="2349">
        <f t="shared" si="344"/>
        <v>0</v>
      </c>
      <c r="AU115" s="2583"/>
      <c r="AV115" s="2348"/>
      <c r="AW115" s="2829"/>
      <c r="AX115" s="2349">
        <f t="shared" si="345"/>
        <v>0</v>
      </c>
      <c r="AY115" s="2583"/>
      <c r="AZ115" s="2348"/>
      <c r="BA115" s="3051"/>
      <c r="BB115" s="2350">
        <f t="shared" si="336"/>
        <v>0</v>
      </c>
      <c r="BC115" s="3052"/>
      <c r="BD115" s="2379">
        <f t="shared" si="337"/>
        <v>0</v>
      </c>
      <c r="BE115" s="2829"/>
      <c r="BF115" s="35">
        <f t="shared" si="346"/>
        <v>0</v>
      </c>
      <c r="BG115" s="2263"/>
      <c r="BH115" s="2263"/>
      <c r="BI115" s="3238"/>
      <c r="BJ115" s="2263"/>
      <c r="BK115" s="3238"/>
      <c r="BL115" s="3238"/>
    </row>
    <row r="116" spans="2:64" ht="13.8" x14ac:dyDescent="0.25">
      <c r="B116" s="1576" t="s">
        <v>19</v>
      </c>
      <c r="C116" s="2589" t="s">
        <v>50</v>
      </c>
      <c r="D116" s="143"/>
      <c r="E116" s="2412"/>
      <c r="F116" s="2580"/>
      <c r="G116" s="2412"/>
      <c r="H116" s="2580">
        <v>116</v>
      </c>
      <c r="I116" s="101">
        <f t="shared" si="338"/>
        <v>0</v>
      </c>
      <c r="J116" s="101">
        <f t="shared" si="339"/>
        <v>116</v>
      </c>
      <c r="K116" s="2412"/>
      <c r="L116" s="2580"/>
      <c r="M116" s="3051"/>
      <c r="N116" s="2350">
        <f t="shared" si="331"/>
        <v>116</v>
      </c>
      <c r="O116" s="2412"/>
      <c r="P116" s="2580">
        <v>899.6</v>
      </c>
      <c r="Q116" s="2829"/>
      <c r="R116" s="2817">
        <f t="shared" si="340"/>
        <v>1015.6</v>
      </c>
      <c r="S116" s="2412"/>
      <c r="T116" s="2580">
        <v>1809.45</v>
      </c>
      <c r="U116" s="2829"/>
      <c r="V116" s="2817">
        <f t="shared" si="341"/>
        <v>2825.05</v>
      </c>
      <c r="W116" s="2412"/>
      <c r="X116" s="2580">
        <v>2628.8</v>
      </c>
      <c r="Y116" s="3051"/>
      <c r="Z116" s="2350">
        <f t="shared" si="332"/>
        <v>5337.85</v>
      </c>
      <c r="AA116" s="3052"/>
      <c r="AB116" s="2379">
        <f t="shared" si="333"/>
        <v>5453.85</v>
      </c>
      <c r="AC116" s="2412"/>
      <c r="AD116" s="2580">
        <v>1139.2</v>
      </c>
      <c r="AE116" s="2829"/>
      <c r="AF116" s="2817">
        <f t="shared" si="342"/>
        <v>6593.05</v>
      </c>
      <c r="AG116" s="2412"/>
      <c r="AH116" s="2580"/>
      <c r="AI116" s="2829"/>
      <c r="AJ116" s="2817">
        <f t="shared" si="343"/>
        <v>6593.05</v>
      </c>
      <c r="AK116" s="2412"/>
      <c r="AL116" s="2580">
        <v>33.5</v>
      </c>
      <c r="AM116" s="3051"/>
      <c r="AN116" s="2350">
        <f t="shared" si="334"/>
        <v>1172.7</v>
      </c>
      <c r="AO116" s="2829"/>
      <c r="AP116" s="2349">
        <f t="shared" si="335"/>
        <v>6626.55</v>
      </c>
      <c r="AQ116" s="2583"/>
      <c r="AR116" s="2348"/>
      <c r="AS116" s="2829"/>
      <c r="AT116" s="2349">
        <f t="shared" si="344"/>
        <v>6626.55</v>
      </c>
      <c r="AU116" s="2583"/>
      <c r="AV116" s="2348"/>
      <c r="AW116" s="2829"/>
      <c r="AX116" s="2349">
        <f t="shared" si="345"/>
        <v>6626.55</v>
      </c>
      <c r="AY116" s="2583"/>
      <c r="AZ116" s="2348">
        <v>0</v>
      </c>
      <c r="BA116" s="3051"/>
      <c r="BB116" s="2350">
        <f t="shared" si="336"/>
        <v>0</v>
      </c>
      <c r="BC116" s="3052"/>
      <c r="BD116" s="2379">
        <f t="shared" si="337"/>
        <v>1172.7</v>
      </c>
      <c r="BE116" s="2829"/>
      <c r="BF116" s="35">
        <f t="shared" si="346"/>
        <v>6626.55</v>
      </c>
      <c r="BG116" s="2263"/>
      <c r="BH116" s="2263"/>
      <c r="BI116" s="3238"/>
      <c r="BJ116" s="2263"/>
      <c r="BK116" s="3238"/>
      <c r="BL116" s="3238"/>
    </row>
    <row r="117" spans="2:64" ht="13.8" x14ac:dyDescent="0.25">
      <c r="B117" s="1576" t="s">
        <v>583</v>
      </c>
      <c r="C117" s="2589" t="s">
        <v>50</v>
      </c>
      <c r="D117" s="143"/>
      <c r="E117" s="2412"/>
      <c r="F117" s="2580">
        <v>79.131</v>
      </c>
      <c r="G117" s="2412"/>
      <c r="H117" s="2580">
        <v>34.512</v>
      </c>
      <c r="I117" s="101">
        <f t="shared" si="338"/>
        <v>0</v>
      </c>
      <c r="J117" s="101">
        <f t="shared" si="339"/>
        <v>113.643</v>
      </c>
      <c r="K117" s="2412"/>
      <c r="L117" s="2580">
        <v>76.239000000000004</v>
      </c>
      <c r="M117" s="3051"/>
      <c r="N117" s="2350">
        <f t="shared" si="331"/>
        <v>189.88200000000001</v>
      </c>
      <c r="O117" s="2412"/>
      <c r="P117" s="2580">
        <v>76.820999999999998</v>
      </c>
      <c r="Q117" s="2829"/>
      <c r="R117" s="2817">
        <f t="shared" si="340"/>
        <v>266.70299999999997</v>
      </c>
      <c r="S117" s="2412"/>
      <c r="T117" s="2580">
        <v>78.066999999999993</v>
      </c>
      <c r="U117" s="2829"/>
      <c r="V117" s="2817">
        <f t="shared" si="341"/>
        <v>344.77</v>
      </c>
      <c r="W117" s="2412"/>
      <c r="X117" s="2580">
        <v>73.569000000000003</v>
      </c>
      <c r="Y117" s="3051"/>
      <c r="Z117" s="2350">
        <f t="shared" si="332"/>
        <v>228.45699999999999</v>
      </c>
      <c r="AA117" s="3052"/>
      <c r="AB117" s="2367">
        <f t="shared" si="333"/>
        <v>418.339</v>
      </c>
      <c r="AC117" s="2412"/>
      <c r="AD117" s="2580">
        <v>59.860999999999997</v>
      </c>
      <c r="AE117" s="2829"/>
      <c r="AF117" s="2817">
        <f t="shared" si="342"/>
        <v>478.2</v>
      </c>
      <c r="AG117" s="2412"/>
      <c r="AH117" s="2580">
        <v>75.644999999999996</v>
      </c>
      <c r="AI117" s="2829"/>
      <c r="AJ117" s="2817">
        <f t="shared" si="343"/>
        <v>553.84500000000003</v>
      </c>
      <c r="AK117" s="2412"/>
      <c r="AL117" s="2580">
        <v>81.941999999999993</v>
      </c>
      <c r="AM117" s="3051"/>
      <c r="AN117" s="2350">
        <f t="shared" si="334"/>
        <v>217.44799999999998</v>
      </c>
      <c r="AO117" s="2829"/>
      <c r="AP117" s="2349">
        <f t="shared" si="335"/>
        <v>635.78700000000003</v>
      </c>
      <c r="AQ117" s="2583"/>
      <c r="AR117" s="2348">
        <v>75.203999999999994</v>
      </c>
      <c r="AS117" s="2829"/>
      <c r="AT117" s="2349">
        <f t="shared" si="344"/>
        <v>710.99099999999999</v>
      </c>
      <c r="AU117" s="2583"/>
      <c r="AV117" s="2348">
        <v>51.429000000000002</v>
      </c>
      <c r="AW117" s="2829"/>
      <c r="AX117" s="2349">
        <f t="shared" si="345"/>
        <v>762.42</v>
      </c>
      <c r="AY117" s="2583"/>
      <c r="AZ117" s="2348">
        <v>87.227000000000004</v>
      </c>
      <c r="BA117" s="3051"/>
      <c r="BB117" s="2350">
        <f t="shared" si="336"/>
        <v>213.86</v>
      </c>
      <c r="BC117" s="3052"/>
      <c r="BD117" s="2379">
        <f t="shared" si="337"/>
        <v>431.30799999999999</v>
      </c>
      <c r="BE117" s="2829"/>
      <c r="BF117" s="35">
        <f t="shared" si="346"/>
        <v>849.64699999999993</v>
      </c>
      <c r="BG117" s="2263"/>
      <c r="BH117" s="2263"/>
      <c r="BI117" s="3238"/>
      <c r="BJ117" s="2263"/>
      <c r="BK117" s="3238"/>
      <c r="BL117" s="3238"/>
    </row>
    <row r="118" spans="2:64" ht="13.8" x14ac:dyDescent="0.25">
      <c r="B118" s="1576" t="s">
        <v>1778</v>
      </c>
      <c r="C118" s="2589" t="s">
        <v>50</v>
      </c>
      <c r="D118" s="143">
        <v>1265.5847253200805</v>
      </c>
      <c r="E118" s="2412">
        <v>87.003134148232263</v>
      </c>
      <c r="F118" s="2580">
        <v>143</v>
      </c>
      <c r="G118" s="2412">
        <v>76.767471307263747</v>
      </c>
      <c r="H118" s="2580">
        <v>80</v>
      </c>
      <c r="I118" s="101">
        <f t="shared" si="338"/>
        <v>163.77060545549602</v>
      </c>
      <c r="J118" s="101">
        <f t="shared" si="339"/>
        <v>223</v>
      </c>
      <c r="K118" s="2412"/>
      <c r="L118" s="2580">
        <v>77.239999999999995</v>
      </c>
      <c r="M118" s="3051"/>
      <c r="N118" s="2350">
        <f t="shared" si="331"/>
        <v>300.24</v>
      </c>
      <c r="O118" s="2412"/>
      <c r="P118" s="2580">
        <v>80.7</v>
      </c>
      <c r="Q118" s="2829"/>
      <c r="R118" s="2817">
        <f t="shared" si="340"/>
        <v>380.94</v>
      </c>
      <c r="S118" s="2412"/>
      <c r="T118" s="2580">
        <v>95.5</v>
      </c>
      <c r="U118" s="2829"/>
      <c r="V118" s="2817">
        <f t="shared" si="341"/>
        <v>476.44</v>
      </c>
      <c r="W118" s="2412"/>
      <c r="X118" s="2580">
        <v>119.7</v>
      </c>
      <c r="Y118" s="3051"/>
      <c r="Z118" s="2350">
        <f t="shared" si="332"/>
        <v>295.89999999999998</v>
      </c>
      <c r="AA118" s="3052"/>
      <c r="AB118" s="2379">
        <f t="shared" si="333"/>
        <v>596.14</v>
      </c>
      <c r="AC118" s="2412"/>
      <c r="AD118" s="2580">
        <v>55</v>
      </c>
      <c r="AE118" s="2829"/>
      <c r="AF118" s="2817">
        <f t="shared" si="342"/>
        <v>651.14</v>
      </c>
      <c r="AG118" s="2412"/>
      <c r="AH118" s="2580">
        <v>87</v>
      </c>
      <c r="AI118" s="2829"/>
      <c r="AJ118" s="2817">
        <f t="shared" si="343"/>
        <v>738.14</v>
      </c>
      <c r="AK118" s="2412"/>
      <c r="AL118" s="2580">
        <v>94</v>
      </c>
      <c r="AM118" s="3051"/>
      <c r="AN118" s="2350">
        <f t="shared" si="334"/>
        <v>236</v>
      </c>
      <c r="AO118" s="2829"/>
      <c r="AP118" s="2349">
        <f t="shared" si="335"/>
        <v>832.14</v>
      </c>
      <c r="AQ118" s="2583"/>
      <c r="AR118" s="2348">
        <v>142</v>
      </c>
      <c r="AS118" s="2829"/>
      <c r="AT118" s="2349">
        <f t="shared" si="344"/>
        <v>974.14</v>
      </c>
      <c r="AU118" s="2583"/>
      <c r="AV118" s="2348">
        <v>102</v>
      </c>
      <c r="AW118" s="2829"/>
      <c r="AX118" s="2349">
        <f t="shared" si="345"/>
        <v>1076.1399999999999</v>
      </c>
      <c r="AY118" s="2583"/>
      <c r="AZ118" s="2348">
        <v>112</v>
      </c>
      <c r="BA118" s="3051"/>
      <c r="BB118" s="2350">
        <f t="shared" si="336"/>
        <v>356</v>
      </c>
      <c r="BC118" s="3052"/>
      <c r="BD118" s="2379">
        <f t="shared" si="337"/>
        <v>592</v>
      </c>
      <c r="BE118" s="2829"/>
      <c r="BF118" s="35">
        <f t="shared" si="346"/>
        <v>1188.1399999999999</v>
      </c>
      <c r="BG118" s="2263"/>
      <c r="BH118" s="2263"/>
      <c r="BI118" s="3238"/>
      <c r="BJ118" s="2263"/>
      <c r="BK118" s="3238"/>
      <c r="BL118" s="3238"/>
    </row>
    <row r="119" spans="2:64" ht="13.8" x14ac:dyDescent="0.25">
      <c r="B119" s="1576" t="s">
        <v>668</v>
      </c>
      <c r="C119" s="2589" t="s">
        <v>50</v>
      </c>
      <c r="D119" s="143">
        <v>87.951104551865114</v>
      </c>
      <c r="E119" s="2412">
        <v>6.0462342778954143</v>
      </c>
      <c r="F119" s="2580">
        <v>2.464</v>
      </c>
      <c r="G119" s="2412">
        <v>5.3349125981430117</v>
      </c>
      <c r="H119" s="2580">
        <v>0.24199999999999999</v>
      </c>
      <c r="I119" s="101">
        <f t="shared" si="338"/>
        <v>11.381146876038425</v>
      </c>
      <c r="J119" s="101">
        <f t="shared" si="339"/>
        <v>2.706</v>
      </c>
      <c r="K119" s="2412"/>
      <c r="L119" s="2580">
        <v>6.1219999999999999</v>
      </c>
      <c r="M119" s="3051"/>
      <c r="N119" s="2350">
        <f t="shared" si="331"/>
        <v>8.8279999999999994</v>
      </c>
      <c r="O119" s="2412"/>
      <c r="P119" s="2580">
        <v>6.16</v>
      </c>
      <c r="Q119" s="2829"/>
      <c r="R119" s="2817">
        <f t="shared" si="340"/>
        <v>14.988</v>
      </c>
      <c r="S119" s="2412"/>
      <c r="T119" s="2580">
        <v>7.95</v>
      </c>
      <c r="U119" s="2829"/>
      <c r="V119" s="2817">
        <f t="shared" si="341"/>
        <v>22.937999999999999</v>
      </c>
      <c r="W119" s="2412"/>
      <c r="X119" s="2580">
        <v>6.1420000000000003</v>
      </c>
      <c r="Y119" s="3051"/>
      <c r="Z119" s="2350">
        <f t="shared" si="332"/>
        <v>20.252000000000002</v>
      </c>
      <c r="AA119" s="3052"/>
      <c r="AB119" s="2379">
        <f t="shared" si="333"/>
        <v>29.080000000000002</v>
      </c>
      <c r="AC119" s="2412"/>
      <c r="AD119" s="2580">
        <v>9.032</v>
      </c>
      <c r="AE119" s="2829"/>
      <c r="AF119" s="2817">
        <f t="shared" si="342"/>
        <v>38.112000000000002</v>
      </c>
      <c r="AG119" s="2412"/>
      <c r="AH119" s="2580">
        <v>3.5139999999999998</v>
      </c>
      <c r="AI119" s="2829"/>
      <c r="AJ119" s="2817">
        <f t="shared" si="343"/>
        <v>41.626000000000005</v>
      </c>
      <c r="AK119" s="2412"/>
      <c r="AL119" s="2580">
        <v>3.19</v>
      </c>
      <c r="AM119" s="3051"/>
      <c r="AN119" s="2350">
        <f t="shared" si="334"/>
        <v>15.736000000000001</v>
      </c>
      <c r="AO119" s="2829"/>
      <c r="AP119" s="2349">
        <f t="shared" si="335"/>
        <v>44.816000000000003</v>
      </c>
      <c r="AQ119" s="2583"/>
      <c r="AR119" s="2348">
        <v>1.056</v>
      </c>
      <c r="AS119" s="2829"/>
      <c r="AT119" s="2349">
        <f t="shared" si="344"/>
        <v>45.872</v>
      </c>
      <c r="AU119" s="2583"/>
      <c r="AV119" s="2348">
        <v>1.0780000000000001</v>
      </c>
      <c r="AW119" s="2829"/>
      <c r="AX119" s="2349">
        <f t="shared" si="345"/>
        <v>46.95</v>
      </c>
      <c r="AY119" s="2583"/>
      <c r="AZ119" s="2348">
        <v>1.716</v>
      </c>
      <c r="BA119" s="3051"/>
      <c r="BB119" s="2350">
        <f t="shared" si="336"/>
        <v>3.85</v>
      </c>
      <c r="BC119" s="3052"/>
      <c r="BD119" s="2379">
        <f t="shared" si="337"/>
        <v>19.586000000000002</v>
      </c>
      <c r="BE119" s="2829"/>
      <c r="BF119" s="35">
        <f t="shared" si="346"/>
        <v>48.666000000000004</v>
      </c>
      <c r="BG119" s="2263"/>
      <c r="BH119" s="2263"/>
      <c r="BI119" s="3238"/>
      <c r="BJ119" s="2263"/>
      <c r="BK119" s="3238"/>
      <c r="BL119" s="3238"/>
    </row>
    <row r="120" spans="2:64" ht="13.8" x14ac:dyDescent="0.25">
      <c r="B120" s="1576" t="s">
        <v>543</v>
      </c>
      <c r="C120" s="2589" t="s">
        <v>50</v>
      </c>
      <c r="D120" s="143">
        <v>0.95960398580274953</v>
      </c>
      <c r="E120" s="2412">
        <v>13.958809170243009</v>
      </c>
      <c r="F120" s="2580"/>
      <c r="G120" s="2412">
        <v>0.84670939923771993</v>
      </c>
      <c r="H120" s="2580"/>
      <c r="I120" s="101">
        <f t="shared" si="338"/>
        <v>14.805518569480729</v>
      </c>
      <c r="J120" s="101">
        <f t="shared" si="339"/>
        <v>0</v>
      </c>
      <c r="K120" s="2412"/>
      <c r="L120" s="2580">
        <v>4.4999999999999998E-2</v>
      </c>
      <c r="M120" s="3051"/>
      <c r="N120" s="2350">
        <f t="shared" si="331"/>
        <v>4.4999999999999998E-2</v>
      </c>
      <c r="O120" s="2412"/>
      <c r="P120" s="2580">
        <v>0.06</v>
      </c>
      <c r="Q120" s="2829"/>
      <c r="R120" s="2817">
        <f t="shared" si="340"/>
        <v>0.105</v>
      </c>
      <c r="S120" s="2412"/>
      <c r="T120" s="2580">
        <v>1.4999999999999999E-2</v>
      </c>
      <c r="U120" s="2829"/>
      <c r="V120" s="2817">
        <f t="shared" si="341"/>
        <v>0.12</v>
      </c>
      <c r="W120" s="2412"/>
      <c r="X120" s="2580">
        <v>0.105</v>
      </c>
      <c r="Y120" s="3051"/>
      <c r="Z120" s="2350">
        <f t="shared" si="332"/>
        <v>0.18</v>
      </c>
      <c r="AA120" s="3052"/>
      <c r="AB120" s="2379">
        <f t="shared" si="333"/>
        <v>0.22499999999999998</v>
      </c>
      <c r="AC120" s="2412"/>
      <c r="AD120" s="2580">
        <v>7.4999999999999997E-2</v>
      </c>
      <c r="AE120" s="2829"/>
      <c r="AF120" s="2817">
        <f t="shared" si="342"/>
        <v>0.3</v>
      </c>
      <c r="AG120" s="2412"/>
      <c r="AH120" s="2580">
        <v>0.09</v>
      </c>
      <c r="AI120" s="2829"/>
      <c r="AJ120" s="2817">
        <f t="shared" si="343"/>
        <v>0.39</v>
      </c>
      <c r="AK120" s="2412"/>
      <c r="AL120" s="2580">
        <v>4.4999999999999998E-2</v>
      </c>
      <c r="AM120" s="3051"/>
      <c r="AN120" s="2350">
        <f t="shared" si="334"/>
        <v>0.21000000000000002</v>
      </c>
      <c r="AO120" s="2829"/>
      <c r="AP120" s="2349">
        <f t="shared" si="335"/>
        <v>0.435</v>
      </c>
      <c r="AQ120" s="2583"/>
      <c r="AR120" s="2348"/>
      <c r="AS120" s="2829"/>
      <c r="AT120" s="2349">
        <f t="shared" si="344"/>
        <v>0.435</v>
      </c>
      <c r="AU120" s="2583"/>
      <c r="AV120" s="2348"/>
      <c r="AW120" s="2829"/>
      <c r="AX120" s="2349">
        <f t="shared" si="345"/>
        <v>0.435</v>
      </c>
      <c r="AY120" s="2583"/>
      <c r="AZ120" s="254">
        <v>0.03</v>
      </c>
      <c r="BA120" s="3051"/>
      <c r="BB120" s="2350">
        <f>+AZ126+AV120+AR120</f>
        <v>186</v>
      </c>
      <c r="BC120" s="3052"/>
      <c r="BD120" s="2379">
        <f t="shared" si="337"/>
        <v>186.21</v>
      </c>
      <c r="BE120" s="2829"/>
      <c r="BF120" s="35">
        <f>+AX120+AZ126</f>
        <v>186.435</v>
      </c>
      <c r="BG120" s="2263"/>
      <c r="BH120" s="2263"/>
      <c r="BI120" s="3238"/>
      <c r="BJ120" s="2263"/>
      <c r="BK120" s="3238"/>
      <c r="BL120" s="3238"/>
    </row>
    <row r="121" spans="2:64" ht="13.8" x14ac:dyDescent="0.25">
      <c r="B121" s="1576" t="s">
        <v>1305</v>
      </c>
      <c r="C121" s="2589" t="s">
        <v>50</v>
      </c>
      <c r="D121" s="143"/>
      <c r="E121" s="2412"/>
      <c r="F121" s="2580"/>
      <c r="G121" s="2412"/>
      <c r="H121" s="2580"/>
      <c r="I121" s="101">
        <f t="shared" si="338"/>
        <v>0</v>
      </c>
      <c r="J121" s="101">
        <f t="shared" si="339"/>
        <v>0</v>
      </c>
      <c r="K121" s="2412"/>
      <c r="L121" s="2580"/>
      <c r="M121" s="3051"/>
      <c r="N121" s="2350">
        <f t="shared" si="331"/>
        <v>0</v>
      </c>
      <c r="O121" s="2412"/>
      <c r="P121" s="2580"/>
      <c r="Q121" s="2829"/>
      <c r="R121" s="2817">
        <f t="shared" si="340"/>
        <v>0</v>
      </c>
      <c r="S121" s="2412"/>
      <c r="T121" s="2580"/>
      <c r="U121" s="2829"/>
      <c r="V121" s="2817">
        <f t="shared" si="341"/>
        <v>0</v>
      </c>
      <c r="W121" s="2412"/>
      <c r="X121" s="2580"/>
      <c r="Y121" s="3051"/>
      <c r="Z121" s="2350">
        <f t="shared" si="332"/>
        <v>0</v>
      </c>
      <c r="AA121" s="3052"/>
      <c r="AB121" s="2379">
        <f t="shared" si="333"/>
        <v>0</v>
      </c>
      <c r="AC121" s="2412"/>
      <c r="AD121" s="2580"/>
      <c r="AE121" s="2829"/>
      <c r="AF121" s="2817">
        <f t="shared" si="342"/>
        <v>0</v>
      </c>
      <c r="AG121" s="2412"/>
      <c r="AH121" s="2580"/>
      <c r="AI121" s="2829"/>
      <c r="AJ121" s="2817">
        <f t="shared" si="343"/>
        <v>0</v>
      </c>
      <c r="AK121" s="2412"/>
      <c r="AL121" s="2580"/>
      <c r="AM121" s="3051"/>
      <c r="AN121" s="2350">
        <f t="shared" si="334"/>
        <v>0</v>
      </c>
      <c r="AO121" s="2829"/>
      <c r="AP121" s="2349">
        <f t="shared" si="335"/>
        <v>0</v>
      </c>
      <c r="AQ121" s="2583"/>
      <c r="AR121" s="2348"/>
      <c r="AS121" s="2829"/>
      <c r="AT121" s="2349">
        <f t="shared" si="344"/>
        <v>0</v>
      </c>
      <c r="AU121" s="2583"/>
      <c r="AV121" s="2348"/>
      <c r="AW121" s="2829"/>
      <c r="AX121" s="2349">
        <f t="shared" si="345"/>
        <v>0</v>
      </c>
      <c r="AY121" s="2583"/>
      <c r="AZ121" s="2348"/>
      <c r="BA121" s="3051"/>
      <c r="BB121" s="2350">
        <f t="shared" si="336"/>
        <v>0</v>
      </c>
      <c r="BC121" s="3052"/>
      <c r="BD121" s="2379">
        <f t="shared" si="337"/>
        <v>0</v>
      </c>
      <c r="BE121" s="2829"/>
      <c r="BF121" s="35">
        <f t="shared" si="346"/>
        <v>0</v>
      </c>
      <c r="BG121" s="2263"/>
      <c r="BH121" s="2263"/>
      <c r="BI121" s="3238"/>
      <c r="BJ121" s="2263"/>
      <c r="BK121" s="3238"/>
      <c r="BL121" s="3238"/>
    </row>
    <row r="122" spans="2:64" ht="13.8" x14ac:dyDescent="0.25">
      <c r="B122" s="1576" t="s">
        <v>880</v>
      </c>
      <c r="C122" s="2589" t="s">
        <v>50</v>
      </c>
      <c r="D122" s="143"/>
      <c r="E122" s="2412"/>
      <c r="F122" s="2580"/>
      <c r="G122" s="2412"/>
      <c r="H122" s="2580"/>
      <c r="I122" s="101">
        <f t="shared" si="338"/>
        <v>0</v>
      </c>
      <c r="J122" s="101">
        <f t="shared" si="339"/>
        <v>0</v>
      </c>
      <c r="K122" s="2412"/>
      <c r="L122" s="2580"/>
      <c r="M122" s="3051"/>
      <c r="N122" s="2350">
        <f t="shared" si="331"/>
        <v>0</v>
      </c>
      <c r="O122" s="2412"/>
      <c r="P122" s="2580"/>
      <c r="Q122" s="2829"/>
      <c r="R122" s="2817">
        <f t="shared" si="340"/>
        <v>0</v>
      </c>
      <c r="S122" s="2412"/>
      <c r="T122" s="2580"/>
      <c r="U122" s="2829"/>
      <c r="V122" s="2817">
        <f t="shared" si="341"/>
        <v>0</v>
      </c>
      <c r="W122" s="2412"/>
      <c r="X122" s="2580"/>
      <c r="Y122" s="3051"/>
      <c r="Z122" s="2350">
        <f t="shared" si="332"/>
        <v>0</v>
      </c>
      <c r="AA122" s="3052"/>
      <c r="AB122" s="2379">
        <f t="shared" si="333"/>
        <v>0</v>
      </c>
      <c r="AC122" s="2412"/>
      <c r="AD122" s="2580"/>
      <c r="AE122" s="2829"/>
      <c r="AF122" s="2817">
        <f t="shared" si="342"/>
        <v>0</v>
      </c>
      <c r="AG122" s="2412"/>
      <c r="AH122" s="2580"/>
      <c r="AI122" s="2829"/>
      <c r="AJ122" s="2817">
        <f t="shared" si="343"/>
        <v>0</v>
      </c>
      <c r="AK122" s="2412"/>
      <c r="AL122" s="2580"/>
      <c r="AM122" s="3051"/>
      <c r="AN122" s="2350">
        <f t="shared" si="334"/>
        <v>0</v>
      </c>
      <c r="AO122" s="2829"/>
      <c r="AP122" s="2349">
        <f t="shared" si="335"/>
        <v>0</v>
      </c>
      <c r="AQ122" s="2583"/>
      <c r="AR122" s="2348"/>
      <c r="AS122" s="2829"/>
      <c r="AT122" s="2349">
        <f t="shared" si="344"/>
        <v>0</v>
      </c>
      <c r="AU122" s="2583"/>
      <c r="AV122" s="2348"/>
      <c r="AW122" s="2829"/>
      <c r="AX122" s="2349">
        <f t="shared" si="345"/>
        <v>0</v>
      </c>
      <c r="AY122" s="2583"/>
      <c r="AZ122" s="2348"/>
      <c r="BA122" s="3051"/>
      <c r="BB122" s="2350">
        <f t="shared" si="336"/>
        <v>0</v>
      </c>
      <c r="BC122" s="3052"/>
      <c r="BD122" s="2379">
        <f t="shared" si="337"/>
        <v>0</v>
      </c>
      <c r="BE122" s="2829"/>
      <c r="BF122" s="35">
        <f t="shared" si="346"/>
        <v>0</v>
      </c>
      <c r="BG122" s="2263"/>
      <c r="BH122" s="2263"/>
      <c r="BI122" s="3238"/>
      <c r="BJ122" s="2263"/>
      <c r="BK122" s="3238"/>
      <c r="BL122" s="3238"/>
    </row>
    <row r="123" spans="2:64" ht="13.8" x14ac:dyDescent="0.25">
      <c r="B123" s="1576" t="s">
        <v>979</v>
      </c>
      <c r="C123" s="2589" t="s">
        <v>50</v>
      </c>
      <c r="D123" s="1023"/>
      <c r="E123" s="2412"/>
      <c r="F123" s="2580">
        <v>11.083</v>
      </c>
      <c r="G123" s="2412"/>
      <c r="H123" s="2580">
        <v>3.8450000000000002</v>
      </c>
      <c r="I123" s="101">
        <f t="shared" si="338"/>
        <v>0</v>
      </c>
      <c r="J123" s="101">
        <f t="shared" si="339"/>
        <v>14.928000000000001</v>
      </c>
      <c r="K123" s="2412"/>
      <c r="L123" s="2580">
        <v>8.7230000000000008</v>
      </c>
      <c r="M123" s="3051"/>
      <c r="N123" s="2350">
        <f t="shared" si="331"/>
        <v>23.651000000000003</v>
      </c>
      <c r="O123" s="2412"/>
      <c r="P123" s="2580">
        <v>8.1560000000000006</v>
      </c>
      <c r="Q123" s="2829"/>
      <c r="R123" s="2817">
        <f t="shared" si="340"/>
        <v>31.807000000000002</v>
      </c>
      <c r="S123" s="2412"/>
      <c r="T123" s="2580">
        <v>7.8070000000000004</v>
      </c>
      <c r="U123" s="2829"/>
      <c r="V123" s="2817">
        <f t="shared" si="341"/>
        <v>39.614000000000004</v>
      </c>
      <c r="W123" s="2412"/>
      <c r="X123" s="2580">
        <v>7.6319999999999997</v>
      </c>
      <c r="Y123" s="3051"/>
      <c r="Z123" s="2350">
        <f t="shared" si="332"/>
        <v>23.594999999999999</v>
      </c>
      <c r="AA123" s="3052"/>
      <c r="AB123" s="2379">
        <f t="shared" si="333"/>
        <v>47.246000000000002</v>
      </c>
      <c r="AC123" s="2412"/>
      <c r="AD123" s="2580">
        <v>7.3780000000000001</v>
      </c>
      <c r="AE123" s="2829"/>
      <c r="AF123" s="2817">
        <f t="shared" si="342"/>
        <v>54.624000000000002</v>
      </c>
      <c r="AG123" s="2412"/>
      <c r="AH123" s="2580">
        <v>8.4149999999999991</v>
      </c>
      <c r="AI123" s="2829"/>
      <c r="AJ123" s="2817">
        <f t="shared" si="343"/>
        <v>63.039000000000001</v>
      </c>
      <c r="AK123" s="2412"/>
      <c r="AL123" s="2580">
        <v>9.4049999999999994</v>
      </c>
      <c r="AM123" s="3051"/>
      <c r="AN123" s="2350">
        <f t="shared" si="334"/>
        <v>25.198</v>
      </c>
      <c r="AO123" s="2829"/>
      <c r="AP123" s="2349">
        <f t="shared" si="335"/>
        <v>72.444000000000003</v>
      </c>
      <c r="AQ123" s="2583"/>
      <c r="AR123" s="2348">
        <v>8.3409999999999993</v>
      </c>
      <c r="AS123" s="2829"/>
      <c r="AT123" s="2349">
        <f t="shared" si="344"/>
        <v>80.784999999999997</v>
      </c>
      <c r="AU123" s="2583"/>
      <c r="AV123" s="2348">
        <v>7.5460000000000003</v>
      </c>
      <c r="AW123" s="2829"/>
      <c r="AX123" s="2349">
        <f t="shared" si="345"/>
        <v>88.331000000000003</v>
      </c>
      <c r="AY123" s="2583"/>
      <c r="AZ123" s="2348">
        <v>12.712</v>
      </c>
      <c r="BA123" s="3051"/>
      <c r="BB123" s="2350">
        <f t="shared" si="336"/>
        <v>28.598999999999997</v>
      </c>
      <c r="BC123" s="3052"/>
      <c r="BD123" s="2379">
        <f t="shared" si="337"/>
        <v>53.796999999999997</v>
      </c>
      <c r="BE123" s="2829"/>
      <c r="BF123" s="35">
        <f t="shared" si="346"/>
        <v>101.04300000000001</v>
      </c>
      <c r="BG123" s="2263"/>
      <c r="BH123" s="2263"/>
      <c r="BI123" s="3238"/>
      <c r="BJ123" s="2263"/>
      <c r="BK123" s="3238"/>
      <c r="BL123" s="3238"/>
    </row>
    <row r="124" spans="2:64" ht="13.8" x14ac:dyDescent="0.25">
      <c r="B124" s="1576" t="s">
        <v>1307</v>
      </c>
      <c r="C124" s="2589" t="s">
        <v>50</v>
      </c>
      <c r="D124" s="1023"/>
      <c r="E124" s="2412"/>
      <c r="F124" s="2580"/>
      <c r="G124" s="2412"/>
      <c r="H124" s="2580"/>
      <c r="I124" s="101">
        <f t="shared" si="338"/>
        <v>0</v>
      </c>
      <c r="J124" s="101">
        <f t="shared" si="339"/>
        <v>0</v>
      </c>
      <c r="K124" s="2412"/>
      <c r="L124" s="2580"/>
      <c r="M124" s="3051"/>
      <c r="N124" s="2350">
        <f t="shared" si="331"/>
        <v>0</v>
      </c>
      <c r="O124" s="2412"/>
      <c r="P124" s="2580"/>
      <c r="Q124" s="2829"/>
      <c r="R124" s="2817">
        <f t="shared" si="340"/>
        <v>0</v>
      </c>
      <c r="S124" s="2412"/>
      <c r="T124" s="2580"/>
      <c r="U124" s="2829"/>
      <c r="V124" s="2817">
        <f t="shared" si="341"/>
        <v>0</v>
      </c>
      <c r="W124" s="2412"/>
      <c r="X124" s="2580"/>
      <c r="Y124" s="3051"/>
      <c r="Z124" s="2350">
        <f t="shared" si="332"/>
        <v>0</v>
      </c>
      <c r="AA124" s="3052"/>
      <c r="AB124" s="2379">
        <f t="shared" si="333"/>
        <v>0</v>
      </c>
      <c r="AC124" s="2412"/>
      <c r="AD124" s="2580"/>
      <c r="AE124" s="2829"/>
      <c r="AF124" s="2817">
        <f t="shared" si="342"/>
        <v>0</v>
      </c>
      <c r="AG124" s="2412"/>
      <c r="AH124" s="2580"/>
      <c r="AI124" s="2829"/>
      <c r="AJ124" s="2817">
        <f t="shared" si="343"/>
        <v>0</v>
      </c>
      <c r="AK124" s="2412"/>
      <c r="AL124" s="2580"/>
      <c r="AM124" s="3051"/>
      <c r="AN124" s="2350">
        <f t="shared" si="334"/>
        <v>0</v>
      </c>
      <c r="AO124" s="2829"/>
      <c r="AP124" s="2349">
        <f t="shared" si="335"/>
        <v>0</v>
      </c>
      <c r="AQ124" s="2583"/>
      <c r="AR124" s="2348"/>
      <c r="AS124" s="2829"/>
      <c r="AT124" s="2349">
        <f t="shared" si="344"/>
        <v>0</v>
      </c>
      <c r="AU124" s="2583"/>
      <c r="AV124" s="2348"/>
      <c r="AW124" s="2829"/>
      <c r="AX124" s="2349">
        <f t="shared" si="345"/>
        <v>0</v>
      </c>
      <c r="AY124" s="2583"/>
      <c r="AZ124" s="2348"/>
      <c r="BA124" s="3051"/>
      <c r="BB124" s="2350">
        <f t="shared" si="336"/>
        <v>0</v>
      </c>
      <c r="BC124" s="3052"/>
      <c r="BD124" s="2379">
        <f t="shared" si="337"/>
        <v>0</v>
      </c>
      <c r="BE124" s="2829"/>
      <c r="BF124" s="35">
        <f t="shared" si="346"/>
        <v>0</v>
      </c>
      <c r="BG124" s="2263"/>
      <c r="BH124" s="2263"/>
      <c r="BI124" s="3238"/>
      <c r="BJ124" s="2263"/>
      <c r="BK124" s="3238"/>
      <c r="BL124" s="3238"/>
    </row>
    <row r="125" spans="2:64" ht="13.8" x14ac:dyDescent="0.25">
      <c r="B125" s="1576" t="s">
        <v>1094</v>
      </c>
      <c r="C125" s="2589" t="s">
        <v>50</v>
      </c>
      <c r="D125" s="1023"/>
      <c r="E125" s="2412"/>
      <c r="F125" s="2580">
        <v>417.25599999999997</v>
      </c>
      <c r="G125" s="2412"/>
      <c r="H125" s="2580">
        <v>128</v>
      </c>
      <c r="I125" s="101">
        <f t="shared" si="338"/>
        <v>0</v>
      </c>
      <c r="J125" s="101">
        <f t="shared" si="339"/>
        <v>545.25599999999997</v>
      </c>
      <c r="K125" s="2412"/>
      <c r="L125" s="2580">
        <v>418.88499999999999</v>
      </c>
      <c r="M125" s="3051"/>
      <c r="N125" s="2350">
        <f t="shared" si="331"/>
        <v>964.14099999999996</v>
      </c>
      <c r="O125" s="2412"/>
      <c r="P125" s="2580">
        <v>401.20400000000001</v>
      </c>
      <c r="Q125" s="2829"/>
      <c r="R125" s="2817">
        <f t="shared" si="340"/>
        <v>1365.345</v>
      </c>
      <c r="S125" s="2412"/>
      <c r="T125" s="2580">
        <v>386.86900000000003</v>
      </c>
      <c r="U125" s="2829"/>
      <c r="V125" s="2817">
        <f t="shared" si="341"/>
        <v>1752.2139999999999</v>
      </c>
      <c r="W125" s="2412"/>
      <c r="X125" s="2580">
        <v>386.40699999999998</v>
      </c>
      <c r="Y125" s="3051"/>
      <c r="Z125" s="2350">
        <f t="shared" si="332"/>
        <v>1174.48</v>
      </c>
      <c r="AA125" s="3052"/>
      <c r="AB125" s="2379">
        <f t="shared" si="333"/>
        <v>2138.6210000000001</v>
      </c>
      <c r="AC125" s="2412"/>
      <c r="AD125" s="2580">
        <v>335.20800000000003</v>
      </c>
      <c r="AE125" s="2829"/>
      <c r="AF125" s="2817">
        <f t="shared" si="342"/>
        <v>2473.8290000000002</v>
      </c>
      <c r="AG125" s="2412"/>
      <c r="AH125" s="2580">
        <v>354.10599999999999</v>
      </c>
      <c r="AI125" s="2829"/>
      <c r="AJ125" s="2817">
        <f t="shared" si="343"/>
        <v>2827.9350000000004</v>
      </c>
      <c r="AK125" s="2412"/>
      <c r="AL125" s="2580">
        <v>423.79599999999999</v>
      </c>
      <c r="AM125" s="3051"/>
      <c r="AN125" s="2350">
        <f t="shared" si="334"/>
        <v>1113.1100000000001</v>
      </c>
      <c r="AO125" s="2829"/>
      <c r="AP125" s="2349">
        <f t="shared" si="335"/>
        <v>3251.7310000000002</v>
      </c>
      <c r="AQ125" s="2583"/>
      <c r="AR125" s="2348">
        <v>438.52699999999999</v>
      </c>
      <c r="AS125" s="2829"/>
      <c r="AT125" s="2349">
        <f t="shared" si="344"/>
        <v>3690.2580000000003</v>
      </c>
      <c r="AU125" s="2583"/>
      <c r="AV125" s="2348">
        <v>315.98599999999999</v>
      </c>
      <c r="AW125" s="2829"/>
      <c r="AX125" s="2349">
        <f t="shared" si="345"/>
        <v>4006.2440000000001</v>
      </c>
      <c r="AY125" s="2583"/>
      <c r="AZ125" s="2348">
        <v>339.85</v>
      </c>
      <c r="BA125" s="3051"/>
      <c r="BB125" s="2350">
        <f t="shared" si="336"/>
        <v>1094.3630000000001</v>
      </c>
      <c r="BC125" s="3052"/>
      <c r="BD125" s="2379">
        <f t="shared" si="337"/>
        <v>2207.473</v>
      </c>
      <c r="BE125" s="2829"/>
      <c r="BF125" s="35">
        <f t="shared" si="346"/>
        <v>4346.0940000000001</v>
      </c>
      <c r="BG125" s="2263"/>
      <c r="BH125" s="2263"/>
      <c r="BI125" s="3238"/>
      <c r="BJ125" s="2263"/>
      <c r="BK125" s="3238"/>
      <c r="BL125" s="3238"/>
    </row>
    <row r="126" spans="2:64" ht="13.8" x14ac:dyDescent="0.25">
      <c r="B126" s="1576" t="s">
        <v>1</v>
      </c>
      <c r="C126" s="2589" t="s">
        <v>50</v>
      </c>
      <c r="D126" s="1023"/>
      <c r="E126" s="2412"/>
      <c r="F126" s="2580">
        <v>175</v>
      </c>
      <c r="G126" s="2412"/>
      <c r="H126" s="2580">
        <v>16</v>
      </c>
      <c r="I126" s="101">
        <f t="shared" si="338"/>
        <v>0</v>
      </c>
      <c r="J126" s="101">
        <f t="shared" si="339"/>
        <v>191</v>
      </c>
      <c r="K126" s="2412"/>
      <c r="L126" s="2580">
        <v>106</v>
      </c>
      <c r="M126" s="3051"/>
      <c r="N126" s="2350">
        <f t="shared" si="331"/>
        <v>297</v>
      </c>
      <c r="O126" s="2412"/>
      <c r="P126" s="2580">
        <v>109</v>
      </c>
      <c r="Q126" s="2829"/>
      <c r="R126" s="2817">
        <f t="shared" si="340"/>
        <v>406</v>
      </c>
      <c r="S126" s="2412"/>
      <c r="T126" s="2580">
        <v>114.65</v>
      </c>
      <c r="U126" s="2829"/>
      <c r="V126" s="2817">
        <f t="shared" si="341"/>
        <v>520.65</v>
      </c>
      <c r="W126" s="2412"/>
      <c r="X126" s="2580">
        <v>95</v>
      </c>
      <c r="Y126" s="3051"/>
      <c r="Z126" s="2350">
        <f t="shared" si="332"/>
        <v>318.64999999999998</v>
      </c>
      <c r="AA126" s="3052"/>
      <c r="AB126" s="2379">
        <f t="shared" si="333"/>
        <v>615.65</v>
      </c>
      <c r="AC126" s="2412"/>
      <c r="AD126" s="2580">
        <v>95</v>
      </c>
      <c r="AE126" s="2829"/>
      <c r="AF126" s="2817">
        <f t="shared" si="342"/>
        <v>710.65</v>
      </c>
      <c r="AG126" s="2412"/>
      <c r="AH126" s="2580">
        <v>169</v>
      </c>
      <c r="AI126" s="2829"/>
      <c r="AJ126" s="2817">
        <f t="shared" si="343"/>
        <v>879.65</v>
      </c>
      <c r="AK126" s="2412"/>
      <c r="AL126" s="2580">
        <v>250</v>
      </c>
      <c r="AM126" s="3051"/>
      <c r="AN126" s="2350">
        <f t="shared" si="334"/>
        <v>514</v>
      </c>
      <c r="AO126" s="2829"/>
      <c r="AP126" s="2349">
        <f t="shared" si="335"/>
        <v>1129.6500000000001</v>
      </c>
      <c r="AQ126" s="2583"/>
      <c r="AR126" s="2348">
        <v>225</v>
      </c>
      <c r="AS126" s="2829"/>
      <c r="AT126" s="2349">
        <f t="shared" si="344"/>
        <v>1354.65</v>
      </c>
      <c r="AU126" s="2583"/>
      <c r="AV126" s="2348">
        <v>210</v>
      </c>
      <c r="AW126" s="2829"/>
      <c r="AX126" s="2349">
        <f t="shared" si="345"/>
        <v>1564.65</v>
      </c>
      <c r="AY126" s="2583"/>
      <c r="AZ126" s="2348">
        <v>186</v>
      </c>
      <c r="BA126" s="3051"/>
      <c r="BB126" s="2350">
        <f t="shared" si="336"/>
        <v>621</v>
      </c>
      <c r="BC126" s="3052"/>
      <c r="BD126" s="2379">
        <f t="shared" si="337"/>
        <v>1135</v>
      </c>
      <c r="BE126" s="2829"/>
      <c r="BF126" s="35">
        <f t="shared" si="346"/>
        <v>1750.65</v>
      </c>
      <c r="BG126" s="2263"/>
      <c r="BH126" s="4501"/>
      <c r="BI126" s="3238"/>
      <c r="BJ126" s="2263"/>
      <c r="BK126" s="3238"/>
      <c r="BL126" s="3238"/>
    </row>
    <row r="127" spans="2:64" ht="13.8" x14ac:dyDescent="0.25">
      <c r="B127" s="1576" t="s">
        <v>1725</v>
      </c>
      <c r="C127" s="2589" t="s">
        <v>50</v>
      </c>
      <c r="D127" s="1023"/>
      <c r="E127" s="2399"/>
      <c r="F127" s="2348">
        <v>637</v>
      </c>
      <c r="G127" s="2399"/>
      <c r="H127" s="2348">
        <v>325.5</v>
      </c>
      <c r="I127" s="101">
        <f t="shared" si="338"/>
        <v>0</v>
      </c>
      <c r="J127" s="35">
        <f t="shared" si="339"/>
        <v>962.5</v>
      </c>
      <c r="K127" s="2399"/>
      <c r="L127" s="2348">
        <v>777</v>
      </c>
      <c r="M127" s="2350"/>
      <c r="N127" s="2350">
        <f t="shared" si="331"/>
        <v>1739.5</v>
      </c>
      <c r="O127" s="2399"/>
      <c r="P127" s="2348">
        <v>707</v>
      </c>
      <c r="Q127" s="2349"/>
      <c r="R127" s="2349">
        <f t="shared" si="340"/>
        <v>2446.5</v>
      </c>
      <c r="S127" s="2399"/>
      <c r="T127" s="2348">
        <v>710.5</v>
      </c>
      <c r="U127" s="2349"/>
      <c r="V127" s="2349">
        <f t="shared" si="341"/>
        <v>3157</v>
      </c>
      <c r="W127" s="2399"/>
      <c r="X127" s="2348">
        <v>717.5</v>
      </c>
      <c r="Y127" s="2350"/>
      <c r="Z127" s="2350">
        <f t="shared" si="332"/>
        <v>2135</v>
      </c>
      <c r="AA127" s="2379"/>
      <c r="AB127" s="2379">
        <f t="shared" si="333"/>
        <v>3874.5</v>
      </c>
      <c r="AC127" s="2399"/>
      <c r="AD127" s="2348">
        <v>574</v>
      </c>
      <c r="AE127" s="2349"/>
      <c r="AF127" s="2349">
        <f t="shared" si="342"/>
        <v>4448.5</v>
      </c>
      <c r="AG127" s="2399"/>
      <c r="AH127" s="2348">
        <v>598.5</v>
      </c>
      <c r="AI127" s="2349"/>
      <c r="AJ127" s="2349">
        <f t="shared" si="343"/>
        <v>5047</v>
      </c>
      <c r="AK127" s="2399"/>
      <c r="AL127" s="2348">
        <v>640.5</v>
      </c>
      <c r="AM127" s="2350"/>
      <c r="AN127" s="2350">
        <f t="shared" si="334"/>
        <v>1813</v>
      </c>
      <c r="AO127" s="2349"/>
      <c r="AP127" s="2349">
        <f t="shared" si="335"/>
        <v>5687.5</v>
      </c>
      <c r="AQ127" s="2399"/>
      <c r="AR127" s="2348">
        <v>507.5</v>
      </c>
      <c r="AS127" s="2349"/>
      <c r="AT127" s="2349">
        <f t="shared" si="344"/>
        <v>6195</v>
      </c>
      <c r="AU127" s="2399"/>
      <c r="AV127" s="2348">
        <v>427</v>
      </c>
      <c r="AW127" s="2349"/>
      <c r="AX127" s="2349">
        <f t="shared" si="345"/>
        <v>6622</v>
      </c>
      <c r="AY127" s="2399"/>
      <c r="AZ127" s="2348">
        <v>731.5</v>
      </c>
      <c r="BA127" s="2350"/>
      <c r="BB127" s="2350">
        <f t="shared" si="336"/>
        <v>1666</v>
      </c>
      <c r="BC127" s="2379"/>
      <c r="BD127" s="2379">
        <f t="shared" si="337"/>
        <v>3479</v>
      </c>
      <c r="BE127" s="2349"/>
      <c r="BF127" s="35">
        <f t="shared" si="346"/>
        <v>7353.5</v>
      </c>
      <c r="BG127" s="2263"/>
      <c r="BH127" s="2263"/>
      <c r="BI127" s="3238"/>
      <c r="BJ127" s="2263"/>
      <c r="BK127" s="3238"/>
      <c r="BL127" s="3238"/>
    </row>
    <row r="128" spans="2:64" ht="13.8" x14ac:dyDescent="0.25">
      <c r="B128" s="1576" t="s">
        <v>669</v>
      </c>
      <c r="C128" s="2589" t="s">
        <v>50</v>
      </c>
      <c r="D128" s="1023"/>
      <c r="E128" s="2412"/>
      <c r="F128" s="2580"/>
      <c r="G128" s="2412"/>
      <c r="H128" s="2580"/>
      <c r="I128" s="101">
        <f t="shared" si="338"/>
        <v>0</v>
      </c>
      <c r="J128" s="101">
        <f t="shared" si="339"/>
        <v>0</v>
      </c>
      <c r="K128" s="2412"/>
      <c r="L128" s="2580"/>
      <c r="M128" s="3051"/>
      <c r="N128" s="2350">
        <f t="shared" si="331"/>
        <v>0</v>
      </c>
      <c r="O128" s="2412"/>
      <c r="P128" s="2580"/>
      <c r="Q128" s="2829"/>
      <c r="R128" s="2817">
        <f t="shared" si="340"/>
        <v>0</v>
      </c>
      <c r="S128" s="2412"/>
      <c r="T128" s="2580"/>
      <c r="U128" s="2829"/>
      <c r="V128" s="2817">
        <f t="shared" si="341"/>
        <v>0</v>
      </c>
      <c r="W128" s="2412"/>
      <c r="X128" s="2580"/>
      <c r="Y128" s="3051"/>
      <c r="Z128" s="2350">
        <f t="shared" si="332"/>
        <v>0</v>
      </c>
      <c r="AA128" s="3052"/>
      <c r="AB128" s="2379">
        <f t="shared" si="333"/>
        <v>0</v>
      </c>
      <c r="AC128" s="2412"/>
      <c r="AD128" s="2580"/>
      <c r="AE128" s="2829"/>
      <c r="AF128" s="2817">
        <f t="shared" si="342"/>
        <v>0</v>
      </c>
      <c r="AG128" s="2412"/>
      <c r="AH128" s="2580"/>
      <c r="AI128" s="2829"/>
      <c r="AJ128" s="2817">
        <f t="shared" si="343"/>
        <v>0</v>
      </c>
      <c r="AK128" s="2412"/>
      <c r="AL128" s="2580"/>
      <c r="AM128" s="3051"/>
      <c r="AN128" s="2350">
        <f t="shared" si="334"/>
        <v>0</v>
      </c>
      <c r="AO128" s="2829"/>
      <c r="AP128" s="2349">
        <f t="shared" si="335"/>
        <v>0</v>
      </c>
      <c r="AQ128" s="2583"/>
      <c r="AR128" s="2348"/>
      <c r="AS128" s="2829"/>
      <c r="AT128" s="2349">
        <f t="shared" si="344"/>
        <v>0</v>
      </c>
      <c r="AU128" s="2583"/>
      <c r="AV128" s="2348"/>
      <c r="AW128" s="2829"/>
      <c r="AX128" s="2349">
        <f t="shared" si="345"/>
        <v>0</v>
      </c>
      <c r="AY128" s="2583"/>
      <c r="AZ128" s="2348"/>
      <c r="BA128" s="3051"/>
      <c r="BB128" s="2350">
        <f t="shared" si="336"/>
        <v>0</v>
      </c>
      <c r="BC128" s="3052"/>
      <c r="BD128" s="2379">
        <f t="shared" si="337"/>
        <v>0</v>
      </c>
      <c r="BE128" s="2829"/>
      <c r="BF128" s="35">
        <f t="shared" si="346"/>
        <v>0</v>
      </c>
      <c r="BG128" s="2263"/>
      <c r="BH128" s="2263"/>
      <c r="BI128" s="3238"/>
      <c r="BJ128" s="2263"/>
      <c r="BK128" s="3238"/>
      <c r="BL128" s="3238"/>
    </row>
    <row r="129" spans="2:64" ht="13.8" x14ac:dyDescent="0.25">
      <c r="B129" s="1576" t="s">
        <v>586</v>
      </c>
      <c r="C129" s="2589" t="s">
        <v>50</v>
      </c>
      <c r="D129" s="1023">
        <v>59.733642845634499</v>
      </c>
      <c r="E129" s="2412">
        <v>4.1064134527595133</v>
      </c>
      <c r="F129" s="2580"/>
      <c r="G129" s="2412">
        <v>3.6233059877289824</v>
      </c>
      <c r="H129" s="2580"/>
      <c r="I129" s="101">
        <f t="shared" si="338"/>
        <v>7.7297194404884957</v>
      </c>
      <c r="J129" s="101">
        <f t="shared" si="339"/>
        <v>0</v>
      </c>
      <c r="K129" s="2412"/>
      <c r="L129" s="2580"/>
      <c r="M129" s="3051"/>
      <c r="N129" s="2350">
        <f t="shared" si="331"/>
        <v>0</v>
      </c>
      <c r="O129" s="2412"/>
      <c r="P129" s="2580"/>
      <c r="Q129" s="2829"/>
      <c r="R129" s="2817">
        <f t="shared" si="340"/>
        <v>0</v>
      </c>
      <c r="S129" s="2412"/>
      <c r="T129" s="2580"/>
      <c r="U129" s="2829"/>
      <c r="V129" s="2817">
        <f t="shared" si="341"/>
        <v>0</v>
      </c>
      <c r="W129" s="2412"/>
      <c r="X129" s="2580"/>
      <c r="Y129" s="3051"/>
      <c r="Z129" s="2350">
        <f t="shared" si="332"/>
        <v>0</v>
      </c>
      <c r="AA129" s="3052"/>
      <c r="AB129" s="2379">
        <f t="shared" si="333"/>
        <v>0</v>
      </c>
      <c r="AC129" s="2412"/>
      <c r="AD129" s="2580"/>
      <c r="AE129" s="2829"/>
      <c r="AF129" s="2817">
        <f t="shared" si="342"/>
        <v>0</v>
      </c>
      <c r="AG129" s="2412"/>
      <c r="AH129" s="2580"/>
      <c r="AI129" s="2829"/>
      <c r="AJ129" s="2817">
        <f t="shared" si="343"/>
        <v>0</v>
      </c>
      <c r="AK129" s="2412"/>
      <c r="AL129" s="2580"/>
      <c r="AM129" s="3051"/>
      <c r="AN129" s="2350">
        <f t="shared" si="334"/>
        <v>0</v>
      </c>
      <c r="AO129" s="2829"/>
      <c r="AP129" s="2349">
        <f t="shared" si="335"/>
        <v>0</v>
      </c>
      <c r="AQ129" s="2583"/>
      <c r="AR129" s="2348"/>
      <c r="AS129" s="2829"/>
      <c r="AT129" s="2349">
        <f t="shared" si="344"/>
        <v>0</v>
      </c>
      <c r="AU129" s="2583"/>
      <c r="AV129" s="2348"/>
      <c r="AW129" s="2829"/>
      <c r="AX129" s="2349">
        <f t="shared" si="345"/>
        <v>0</v>
      </c>
      <c r="AY129" s="2583"/>
      <c r="AZ129" s="2580">
        <v>0.12</v>
      </c>
      <c r="BA129" s="3051"/>
      <c r="BB129" s="2350">
        <f t="shared" si="336"/>
        <v>0.12</v>
      </c>
      <c r="BC129" s="3052"/>
      <c r="BD129" s="2379">
        <f t="shared" si="337"/>
        <v>0.12</v>
      </c>
      <c r="BE129" s="2829"/>
      <c r="BF129" s="35">
        <f t="shared" si="346"/>
        <v>0.12</v>
      </c>
      <c r="BG129" s="2263"/>
      <c r="BH129" s="2263"/>
      <c r="BI129" s="3238"/>
      <c r="BJ129" s="2263"/>
      <c r="BK129" s="3238"/>
      <c r="BL129" s="3238"/>
    </row>
    <row r="130" spans="2:64" ht="13.8" x14ac:dyDescent="0.25">
      <c r="B130" s="1576" t="s">
        <v>1290</v>
      </c>
      <c r="C130" s="2589" t="s">
        <v>50</v>
      </c>
      <c r="D130" s="1023"/>
      <c r="E130" s="2412"/>
      <c r="F130" s="2580"/>
      <c r="G130" s="2412"/>
      <c r="H130" s="2580"/>
      <c r="I130" s="101">
        <f t="shared" si="338"/>
        <v>0</v>
      </c>
      <c r="J130" s="101">
        <f t="shared" si="339"/>
        <v>0</v>
      </c>
      <c r="K130" s="2412"/>
      <c r="L130" s="2580"/>
      <c r="M130" s="3051"/>
      <c r="N130" s="2350">
        <f t="shared" si="331"/>
        <v>0</v>
      </c>
      <c r="O130" s="2412"/>
      <c r="P130" s="2580"/>
      <c r="Q130" s="2829"/>
      <c r="R130" s="2817">
        <f t="shared" si="340"/>
        <v>0</v>
      </c>
      <c r="S130" s="2412"/>
      <c r="T130" s="2580"/>
      <c r="U130" s="2829"/>
      <c r="V130" s="2817">
        <f t="shared" si="341"/>
        <v>0</v>
      </c>
      <c r="W130" s="2412"/>
      <c r="X130" s="2580"/>
      <c r="Y130" s="3051"/>
      <c r="Z130" s="2350">
        <f t="shared" si="332"/>
        <v>0</v>
      </c>
      <c r="AA130" s="3052"/>
      <c r="AB130" s="2379">
        <f t="shared" si="333"/>
        <v>0</v>
      </c>
      <c r="AC130" s="2412"/>
      <c r="AD130" s="2580"/>
      <c r="AE130" s="2829"/>
      <c r="AF130" s="2817">
        <f t="shared" si="342"/>
        <v>0</v>
      </c>
      <c r="AG130" s="2412"/>
      <c r="AH130" s="2580"/>
      <c r="AI130" s="2829"/>
      <c r="AJ130" s="2817">
        <f t="shared" si="343"/>
        <v>0</v>
      </c>
      <c r="AK130" s="2412"/>
      <c r="AL130" s="2580"/>
      <c r="AM130" s="3051"/>
      <c r="AN130" s="2350">
        <f t="shared" si="334"/>
        <v>0</v>
      </c>
      <c r="AO130" s="2829"/>
      <c r="AP130" s="2349">
        <f t="shared" si="335"/>
        <v>0</v>
      </c>
      <c r="AQ130" s="2583"/>
      <c r="AR130" s="2348"/>
      <c r="AS130" s="2829"/>
      <c r="AT130" s="2349">
        <f t="shared" si="344"/>
        <v>0</v>
      </c>
      <c r="AU130" s="2583"/>
      <c r="AV130" s="2348"/>
      <c r="AW130" s="2829"/>
      <c r="AX130" s="2349">
        <f t="shared" si="345"/>
        <v>0</v>
      </c>
      <c r="AY130" s="2583"/>
      <c r="AZ130" s="2348"/>
      <c r="BA130" s="3051"/>
      <c r="BB130" s="2350">
        <f t="shared" si="336"/>
        <v>0</v>
      </c>
      <c r="BC130" s="3052"/>
      <c r="BD130" s="2379">
        <f t="shared" si="337"/>
        <v>0</v>
      </c>
      <c r="BE130" s="2829"/>
      <c r="BF130" s="35">
        <f t="shared" si="346"/>
        <v>0</v>
      </c>
      <c r="BG130" s="2263"/>
      <c r="BH130" s="2263"/>
      <c r="BI130" s="3238"/>
      <c r="BJ130" s="2263"/>
      <c r="BK130" s="3238"/>
      <c r="BL130" s="3238"/>
    </row>
    <row r="131" spans="2:64" ht="13.8" x14ac:dyDescent="0.25">
      <c r="B131" s="1576" t="s">
        <v>670</v>
      </c>
      <c r="C131" s="2589" t="s">
        <v>50</v>
      </c>
      <c r="D131" s="1826"/>
      <c r="E131" s="2412"/>
      <c r="F131" s="2580">
        <v>55.295999999999999</v>
      </c>
      <c r="G131" s="2412"/>
      <c r="H131" s="2580">
        <v>25.2</v>
      </c>
      <c r="I131" s="101">
        <f t="shared" si="338"/>
        <v>0</v>
      </c>
      <c r="J131" s="101">
        <f t="shared" si="339"/>
        <v>80.495999999999995</v>
      </c>
      <c r="K131" s="2412"/>
      <c r="L131" s="2580">
        <v>64.3</v>
      </c>
      <c r="M131" s="3051"/>
      <c r="N131" s="2350">
        <f t="shared" si="331"/>
        <v>144.79599999999999</v>
      </c>
      <c r="O131" s="2412"/>
      <c r="P131" s="2580">
        <v>60.26</v>
      </c>
      <c r="Q131" s="2829"/>
      <c r="R131" s="2817">
        <f t="shared" si="340"/>
        <v>205.05599999999998</v>
      </c>
      <c r="S131" s="2412"/>
      <c r="T131" s="2580">
        <v>64.337000000000003</v>
      </c>
      <c r="U131" s="2829"/>
      <c r="V131" s="2817">
        <f t="shared" si="341"/>
        <v>269.39299999999997</v>
      </c>
      <c r="W131" s="2412"/>
      <c r="X131" s="2580">
        <v>58.1</v>
      </c>
      <c r="Y131" s="3051"/>
      <c r="Z131" s="2350">
        <f t="shared" si="332"/>
        <v>182.697</v>
      </c>
      <c r="AA131" s="3052"/>
      <c r="AB131" s="2379">
        <f t="shared" si="333"/>
        <v>327.49299999999999</v>
      </c>
      <c r="AC131" s="2412"/>
      <c r="AD131" s="2580">
        <v>45.04</v>
      </c>
      <c r="AE131" s="2829"/>
      <c r="AF131" s="2817">
        <f t="shared" si="342"/>
        <v>372.53300000000002</v>
      </c>
      <c r="AG131" s="2412"/>
      <c r="AH131" s="2580">
        <v>58.677999999999997</v>
      </c>
      <c r="AI131" s="2829"/>
      <c r="AJ131" s="2817">
        <f t="shared" si="343"/>
        <v>431.21100000000001</v>
      </c>
      <c r="AK131" s="2412"/>
      <c r="AL131" s="2580">
        <v>61.98</v>
      </c>
      <c r="AM131" s="3051"/>
      <c r="AN131" s="2350">
        <f t="shared" si="334"/>
        <v>165.69799999999998</v>
      </c>
      <c r="AO131" s="2829"/>
      <c r="AP131" s="2349">
        <f t="shared" si="335"/>
        <v>493.19100000000003</v>
      </c>
      <c r="AQ131" s="2583"/>
      <c r="AR131" s="2348">
        <v>60.7</v>
      </c>
      <c r="AS131" s="2829"/>
      <c r="AT131" s="2349">
        <f t="shared" si="344"/>
        <v>553.89100000000008</v>
      </c>
      <c r="AU131" s="2583"/>
      <c r="AV131" s="2348">
        <v>41.45</v>
      </c>
      <c r="AW131" s="2829"/>
      <c r="AX131" s="2349">
        <f t="shared" si="345"/>
        <v>595.34100000000012</v>
      </c>
      <c r="AY131" s="2583"/>
      <c r="AZ131" s="2348">
        <v>58</v>
      </c>
      <c r="BA131" s="3051"/>
      <c r="BB131" s="2350">
        <f t="shared" si="336"/>
        <v>160.15</v>
      </c>
      <c r="BC131" s="3052"/>
      <c r="BD131" s="2379">
        <f t="shared" si="337"/>
        <v>325.84799999999996</v>
      </c>
      <c r="BE131" s="2829"/>
      <c r="BF131" s="35">
        <f t="shared" si="346"/>
        <v>653.34100000000012</v>
      </c>
      <c r="BG131" s="2263"/>
      <c r="BH131" s="2263"/>
      <c r="BI131" s="3238"/>
      <c r="BJ131" s="2263"/>
      <c r="BK131" s="3238"/>
      <c r="BL131" s="3238"/>
    </row>
    <row r="132" spans="2:64" ht="14.4" thickBot="1" x14ac:dyDescent="0.3">
      <c r="B132" s="1570" t="s">
        <v>1306</v>
      </c>
      <c r="C132" s="687" t="s">
        <v>50</v>
      </c>
      <c r="D132" s="2991"/>
      <c r="E132" s="820"/>
      <c r="F132" s="1333"/>
      <c r="G132" s="820"/>
      <c r="H132" s="1333"/>
      <c r="I132" s="101">
        <f t="shared" si="338"/>
        <v>0</v>
      </c>
      <c r="J132" s="120">
        <f t="shared" ref="J132" si="347">+F132+H132</f>
        <v>0</v>
      </c>
      <c r="K132" s="820"/>
      <c r="L132" s="1333"/>
      <c r="M132" s="3061"/>
      <c r="N132" s="2350">
        <f t="shared" si="331"/>
        <v>0</v>
      </c>
      <c r="O132" s="820"/>
      <c r="P132" s="1333"/>
      <c r="Q132" s="3062"/>
      <c r="R132" s="2817">
        <f t="shared" si="340"/>
        <v>0</v>
      </c>
      <c r="S132" s="820"/>
      <c r="T132" s="1333"/>
      <c r="U132" s="3062"/>
      <c r="V132" s="2817">
        <f t="shared" si="341"/>
        <v>0</v>
      </c>
      <c r="W132" s="820"/>
      <c r="X132" s="1333"/>
      <c r="Y132" s="3061"/>
      <c r="Z132" s="2350">
        <f t="shared" si="332"/>
        <v>0</v>
      </c>
      <c r="AA132" s="3063"/>
      <c r="AB132" s="2379">
        <f t="shared" si="333"/>
        <v>0</v>
      </c>
      <c r="AC132" s="820"/>
      <c r="AD132" s="1333"/>
      <c r="AE132" s="3062"/>
      <c r="AF132" s="2817">
        <f t="shared" si="342"/>
        <v>0</v>
      </c>
      <c r="AG132" s="820"/>
      <c r="AH132" s="1333"/>
      <c r="AI132" s="3062"/>
      <c r="AJ132" s="2817">
        <f t="shared" si="343"/>
        <v>0</v>
      </c>
      <c r="AK132" s="820"/>
      <c r="AL132" s="1333"/>
      <c r="AM132" s="3061"/>
      <c r="AN132" s="2350">
        <f t="shared" si="334"/>
        <v>0</v>
      </c>
      <c r="AO132" s="3062"/>
      <c r="AP132" s="2349">
        <f t="shared" si="335"/>
        <v>0</v>
      </c>
      <c r="AQ132" s="820"/>
      <c r="AR132" s="3527"/>
      <c r="AS132" s="3062"/>
      <c r="AT132" s="2349">
        <f t="shared" si="344"/>
        <v>0</v>
      </c>
      <c r="AU132" s="820"/>
      <c r="AV132" s="3527"/>
      <c r="AW132" s="3062"/>
      <c r="AX132" s="2349">
        <f t="shared" si="345"/>
        <v>0</v>
      </c>
      <c r="AY132" s="820"/>
      <c r="AZ132" s="3527"/>
      <c r="BA132" s="3061"/>
      <c r="BB132" s="2350">
        <f t="shared" si="336"/>
        <v>0</v>
      </c>
      <c r="BC132" s="3063"/>
      <c r="BD132" s="2379">
        <f t="shared" si="337"/>
        <v>0</v>
      </c>
      <c r="BE132" s="3062"/>
      <c r="BF132" s="35">
        <f t="shared" si="346"/>
        <v>0</v>
      </c>
      <c r="BG132" s="2263"/>
      <c r="BH132" s="2263"/>
      <c r="BI132" s="3238"/>
      <c r="BJ132" s="2263"/>
      <c r="BK132" s="3238"/>
      <c r="BL132" s="3238"/>
    </row>
    <row r="133" spans="2:64" ht="14.4" thickBot="1" x14ac:dyDescent="0.3">
      <c r="B133" s="3064"/>
      <c r="C133" s="556"/>
      <c r="D133" s="3065"/>
      <c r="E133" s="3066"/>
      <c r="F133" s="3066"/>
      <c r="G133" s="3066"/>
      <c r="H133" s="3066"/>
      <c r="I133" s="3066"/>
      <c r="J133" s="3067"/>
      <c r="K133" s="3066"/>
      <c r="L133" s="3066"/>
      <c r="M133" s="3011"/>
      <c r="N133" s="3011"/>
      <c r="O133" s="3066"/>
      <c r="P133" s="3066"/>
      <c r="Q133" s="3011"/>
      <c r="R133" s="3011"/>
      <c r="S133" s="3066"/>
      <c r="T133" s="3066"/>
      <c r="U133" s="3011"/>
      <c r="V133" s="3011"/>
      <c r="W133" s="3066"/>
      <c r="X133" s="3066"/>
      <c r="Y133" s="3011"/>
      <c r="Z133" s="3011"/>
      <c r="AA133" s="3011"/>
      <c r="AB133" s="3011"/>
      <c r="AC133" s="3066"/>
      <c r="AD133" s="3066"/>
      <c r="AE133" s="3011"/>
      <c r="AF133" s="3011"/>
      <c r="AG133" s="3066"/>
      <c r="AH133" s="3066"/>
      <c r="AI133" s="3011"/>
      <c r="AJ133" s="3011"/>
      <c r="AK133" s="3066"/>
      <c r="AL133" s="3066"/>
      <c r="AM133" s="3011"/>
      <c r="AN133" s="3011"/>
      <c r="AO133" s="3011"/>
      <c r="AP133" s="3011"/>
      <c r="AQ133" s="3066"/>
      <c r="AR133" s="3066"/>
      <c r="AS133" s="3011"/>
      <c r="AT133" s="3011"/>
      <c r="AU133" s="3066"/>
      <c r="AV133" s="3066"/>
      <c r="AW133" s="3011"/>
      <c r="AX133" s="3011"/>
      <c r="AY133" s="3066"/>
      <c r="AZ133" s="3066"/>
      <c r="BA133" s="3011"/>
      <c r="BB133" s="3011"/>
      <c r="BC133" s="3011"/>
      <c r="BD133" s="3011"/>
      <c r="BE133" s="3011"/>
      <c r="BF133" s="3068"/>
      <c r="BG133" s="2263"/>
      <c r="BH133" s="2263"/>
      <c r="BI133" s="2263"/>
      <c r="BJ133" s="2263"/>
      <c r="BK133" s="3238"/>
      <c r="BL133" s="3238"/>
    </row>
    <row r="134" spans="2:64" ht="13.8" x14ac:dyDescent="0.25">
      <c r="B134" s="3069" t="s">
        <v>538</v>
      </c>
      <c r="C134" s="1907" t="s">
        <v>49</v>
      </c>
      <c r="D134" s="1199"/>
      <c r="E134" s="6182"/>
      <c r="F134" s="4480">
        <v>93.06</v>
      </c>
      <c r="G134" s="6182"/>
      <c r="H134" s="4480">
        <v>97.92</v>
      </c>
      <c r="I134" s="6183"/>
      <c r="J134" s="3041">
        <f>+((F134*F7)+(H134*H7))/J7</f>
        <v>95.117099494097815</v>
      </c>
      <c r="K134" s="6182"/>
      <c r="L134" s="3070">
        <v>95.59</v>
      </c>
      <c r="M134" s="6188"/>
      <c r="N134" s="3053">
        <f>+((F134*F7)+(H134*H7)+(L134*L7))/N7</f>
        <v>95.32138888888889</v>
      </c>
      <c r="O134" s="6182"/>
      <c r="P134" s="3070">
        <v>96.82</v>
      </c>
      <c r="Q134" s="6183"/>
      <c r="R134" s="3040">
        <f>+((N134*N7)+(P134*P7))/R7</f>
        <v>95.82537190082644</v>
      </c>
      <c r="S134" s="6182"/>
      <c r="T134" s="3070">
        <v>92.98</v>
      </c>
      <c r="U134" s="6183"/>
      <c r="V134" s="3040">
        <f>+((R134*R7)+(T134*T7))/V7</f>
        <v>95.153759106362315</v>
      </c>
      <c r="W134" s="6182"/>
      <c r="X134" s="3070">
        <v>95.77</v>
      </c>
      <c r="Y134" s="6188"/>
      <c r="Z134" s="3053">
        <f>+((P134*P7)+(T134*T7)+(X134*X7))/Z7</f>
        <v>95.234913101604278</v>
      </c>
      <c r="AA134" s="6164"/>
      <c r="AB134" s="3071">
        <f>+((Z134*Z7)+(N134*N7))/AB7</f>
        <v>95.270456692913385</v>
      </c>
      <c r="AC134" s="6182"/>
      <c r="AD134" s="3070">
        <v>97.87</v>
      </c>
      <c r="AE134" s="6183"/>
      <c r="AF134" s="3040">
        <f>+((AB134*AB7)+(AD134*AD7))/AF7</f>
        <v>95.588438147892191</v>
      </c>
      <c r="AG134" s="6182"/>
      <c r="AH134" s="3070">
        <v>96.14</v>
      </c>
      <c r="AI134" s="6183"/>
      <c r="AJ134" s="3040">
        <f>+((AF134*AF7)+(AH134*AH7))/AJ7</f>
        <v>95.673950364963517</v>
      </c>
      <c r="AK134" s="6182"/>
      <c r="AL134" s="3070">
        <v>94.02</v>
      </c>
      <c r="AM134" s="6188"/>
      <c r="AN134" s="3053">
        <f>+((AD134*AD7)+(AH134*AH7)+(AL134*AL7))/AN7</f>
        <v>95.776259703599166</v>
      </c>
      <c r="AO134" s="6183"/>
      <c r="AP134" s="3040">
        <f>+((AL134*AL7)+(AJ134*AJ7))/AP7</f>
        <v>95.451584533737687</v>
      </c>
      <c r="AQ134" s="6182"/>
      <c r="AR134" s="3070">
        <v>94.75</v>
      </c>
      <c r="AS134" s="6183"/>
      <c r="AT134" s="3040">
        <f>+((AP134*AP7)+(AR134*AR7))/AT7</f>
        <v>95.367887825506358</v>
      </c>
      <c r="AU134" s="6182"/>
      <c r="AV134" s="3070">
        <v>95.58</v>
      </c>
      <c r="AW134" s="6183"/>
      <c r="AX134" s="3040">
        <f>+((AT134*AT7)+(AV134*AV7))/AX7</f>
        <v>95.386768045417682</v>
      </c>
      <c r="AY134" s="6182"/>
      <c r="AZ134" s="3070">
        <v>94.61</v>
      </c>
      <c r="BA134" s="6188"/>
      <c r="BB134" s="3053">
        <f>+((AR134*AR7)+(AV134*AV7)+(AZ134*AZ7))/BB7</f>
        <v>94.941044282881691</v>
      </c>
      <c r="BC134" s="6164"/>
      <c r="BD134" s="3071">
        <f>+((BB134*BB7)+(AN134*AN7))/BD7</f>
        <v>95.344969283276455</v>
      </c>
      <c r="BE134" s="6183"/>
      <c r="BF134" s="3041">
        <f>+((AX134*AX7)+(AZ134*AZ7))/BF7</f>
        <v>95.310369287020109</v>
      </c>
      <c r="BG134" s="2263"/>
      <c r="BH134" s="2263"/>
      <c r="BI134" s="2263"/>
      <c r="BJ134" s="2263"/>
      <c r="BK134" s="3238"/>
      <c r="BL134" s="3238"/>
    </row>
    <row r="135" spans="2:64" ht="13.8" x14ac:dyDescent="0.25">
      <c r="B135" s="3072" t="s">
        <v>537</v>
      </c>
      <c r="C135" s="3036" t="s">
        <v>49</v>
      </c>
      <c r="D135" s="1199"/>
      <c r="E135" s="6182"/>
      <c r="F135" s="4480">
        <v>91.67</v>
      </c>
      <c r="G135" s="6182"/>
      <c r="H135" s="4480">
        <v>98.21</v>
      </c>
      <c r="I135" s="6183"/>
      <c r="J135" s="3041">
        <f>+((F135*F8)+(H135*H8))/J8</f>
        <v>93.039052333804804</v>
      </c>
      <c r="K135" s="6182"/>
      <c r="L135" s="3070">
        <v>95.79</v>
      </c>
      <c r="M135" s="6188"/>
      <c r="N135" s="3053">
        <f>+((F135*F8)+(H135*H8)+(L135*L8))/N8</f>
        <v>94.281140418929411</v>
      </c>
      <c r="O135" s="6182"/>
      <c r="P135" s="3070">
        <v>98.07</v>
      </c>
      <c r="Q135" s="6183"/>
      <c r="R135" s="3040">
        <f>+((N135*N8)+(P135*P8))/R8</f>
        <v>95.431512695840098</v>
      </c>
      <c r="S135" s="6182"/>
      <c r="T135" s="3070">
        <v>94.4</v>
      </c>
      <c r="U135" s="6183"/>
      <c r="V135" s="3040">
        <f>+((R135*R8)+(T135*T8))/V8</f>
        <v>95.200893456375852</v>
      </c>
      <c r="W135" s="6182"/>
      <c r="X135" s="3070">
        <v>95.79</v>
      </c>
      <c r="Y135" s="6188"/>
      <c r="Z135" s="3053">
        <f>+((P135*P8)+(T135*T8)+(X135*X8))/Z8</f>
        <v>96.125291563275439</v>
      </c>
      <c r="AA135" s="6164"/>
      <c r="AB135" s="3071">
        <f>+((Z135*Z8)+(N135*N8))/AB8</f>
        <v>95.305880730782491</v>
      </c>
      <c r="AC135" s="6182"/>
      <c r="AD135" s="3070">
        <v>68.41</v>
      </c>
      <c r="AE135" s="6183"/>
      <c r="AF135" s="3040">
        <f>+((AB135*AB8)+(AD135*AD8))/AF8</f>
        <v>92.096991499696415</v>
      </c>
      <c r="AG135" s="6182"/>
      <c r="AH135" s="3070">
        <v>94.65</v>
      </c>
      <c r="AI135" s="6183"/>
      <c r="AJ135" s="3040">
        <f>+((AF135*AF8)+(AH135*AH8))/AJ8</f>
        <v>92.426999735659521</v>
      </c>
      <c r="AK135" s="6182"/>
      <c r="AL135" s="3070">
        <v>98.28</v>
      </c>
      <c r="AM135" s="6188"/>
      <c r="AN135" s="3053">
        <f>+((AD135*AD8)+(AH135*AH8)+(AL135*AL8))/AN8</f>
        <v>88.430160349854233</v>
      </c>
      <c r="AO135" s="6183"/>
      <c r="AP135" s="3040">
        <f>+((AL135*AL8)+(AJ135*AJ8))/AP8</f>
        <v>93.098183945705586</v>
      </c>
      <c r="AQ135" s="6182"/>
      <c r="AR135" s="3070">
        <v>89.04</v>
      </c>
      <c r="AS135" s="6183"/>
      <c r="AT135" s="3040">
        <f>+((AP135*AP8)+(AR135*AR8))/AT8</f>
        <v>92.722442132087494</v>
      </c>
      <c r="AU135" s="6182"/>
      <c r="AV135" s="3070">
        <v>92.02</v>
      </c>
      <c r="AW135" s="6183"/>
      <c r="AX135" s="3040">
        <f>+((AT135*AT8)+(AV135*AV8))/AX8</f>
        <v>92.669352179034163</v>
      </c>
      <c r="AY135" s="6182"/>
      <c r="AZ135" s="3070">
        <v>89.51</v>
      </c>
      <c r="BA135" s="6188"/>
      <c r="BB135" s="3053">
        <f>+((AR135*AR8)+(AV135*AV8)+(AZ135*AZ8))/BB8</f>
        <v>90.097523148148142</v>
      </c>
      <c r="BC135" s="6164"/>
      <c r="BD135" s="3071">
        <f>+((BB135*BB8)+(AN135*AN8))/BD8</f>
        <v>89.240093703148432</v>
      </c>
      <c r="BE135" s="6183"/>
      <c r="BF135" s="3041">
        <f>+((AX135*AX8)+(AZ135*AZ8))/BF8</f>
        <v>92.399879691147433</v>
      </c>
      <c r="BG135" s="2263"/>
      <c r="BH135" s="2263"/>
      <c r="BI135" s="2263"/>
      <c r="BJ135" s="2263"/>
      <c r="BK135" s="3238"/>
      <c r="BL135" s="3238"/>
    </row>
    <row r="136" spans="2:64" ht="14.4" thickBot="1" x14ac:dyDescent="0.3">
      <c r="B136" s="3073" t="s">
        <v>539</v>
      </c>
      <c r="C136" s="3021" t="s">
        <v>49</v>
      </c>
      <c r="D136" s="1199"/>
      <c r="E136" s="6182"/>
      <c r="F136" s="4480">
        <v>92.94</v>
      </c>
      <c r="G136" s="6182"/>
      <c r="H136" s="4480">
        <v>96.87</v>
      </c>
      <c r="I136" s="6183"/>
      <c r="J136" s="3041">
        <f>+((F136*F9)+(H136*H9))/J9</f>
        <v>94.139960000000002</v>
      </c>
      <c r="K136" s="6182"/>
      <c r="L136" s="3070">
        <v>96.13</v>
      </c>
      <c r="M136" s="6188"/>
      <c r="N136" s="3053">
        <f>+((F136*F9)+(H136*H9)+(L136*L9))/N9</f>
        <v>94.959388235294114</v>
      </c>
      <c r="O136" s="6182"/>
      <c r="P136" s="3070">
        <v>97.68</v>
      </c>
      <c r="Q136" s="6183"/>
      <c r="R136" s="3040">
        <f>+((N136*N9)+(P136*P9))/R9</f>
        <v>95.751828793774322</v>
      </c>
      <c r="S136" s="6182"/>
      <c r="T136" s="3070">
        <v>92.39</v>
      </c>
      <c r="U136" s="6183"/>
      <c r="V136" s="3040">
        <f>+((R136*R9)+(T136*T9))/V9</f>
        <v>95.020678555893866</v>
      </c>
      <c r="W136" s="6182"/>
      <c r="X136" s="3070">
        <v>92.04</v>
      </c>
      <c r="Y136" s="6188"/>
      <c r="Z136" s="3053">
        <f>+((P136*P9)+(T136*T9)+(X136*X9))/Z9</f>
        <v>94.155108108108109</v>
      </c>
      <c r="AA136" s="6164"/>
      <c r="AB136" s="3071">
        <f>+((Z136*Z9)+(N136*N9))/AB9</f>
        <v>94.527324863883848</v>
      </c>
      <c r="AC136" s="6182"/>
      <c r="AD136" s="3070">
        <v>70.400000000000006</v>
      </c>
      <c r="AE136" s="6183"/>
      <c r="AF136" s="3040">
        <f>+((AB136*AB9)+(AD136*AD9))/AF9</f>
        <v>91.435056962025328</v>
      </c>
      <c r="AG136" s="6182"/>
      <c r="AH136" s="3070">
        <v>96.38</v>
      </c>
      <c r="AI136" s="6183"/>
      <c r="AJ136" s="3040">
        <f>+((AF136*AF9)+(AH136*AH9))/AJ9</f>
        <v>92.03581873783709</v>
      </c>
      <c r="AK136" s="6182"/>
      <c r="AL136" s="3070">
        <v>96.7</v>
      </c>
      <c r="AM136" s="6188"/>
      <c r="AN136" s="3053">
        <f>+((AD136*AD9)+(AH136*AH9)+(AL136*AL9))/AN9</f>
        <v>88.549441087613289</v>
      </c>
      <c r="AO136" s="6183"/>
      <c r="AP136" s="3040">
        <f>+((AL136*AL9)+(AJ136*AJ9))/AP9</f>
        <v>92.586967393969118</v>
      </c>
      <c r="AQ136" s="6182"/>
      <c r="AR136" s="3070">
        <v>93.69</v>
      </c>
      <c r="AS136" s="6183"/>
      <c r="AT136" s="3040">
        <f>+((AP136*AP9)+(AR136*AR9))/AT9</f>
        <v>92.705477024070035</v>
      </c>
      <c r="AU136" s="6182"/>
      <c r="AV136" s="3070">
        <v>94.79</v>
      </c>
      <c r="AW136" s="6183"/>
      <c r="AX136" s="3040">
        <f>+((AT136*AT9)+(AV136*AV9))/AX9</f>
        <v>92.859260235103378</v>
      </c>
      <c r="AY136" s="6182"/>
      <c r="AZ136" s="3070">
        <v>94.21</v>
      </c>
      <c r="BA136" s="6188"/>
      <c r="BB136" s="3053">
        <f>+((AR136*AR9)+(AV136*AV9)+(AZ136*AZ9))/BB9</f>
        <v>94.177737226277372</v>
      </c>
      <c r="BC136" s="6164"/>
      <c r="BD136" s="3071">
        <f>+((BB136*BB9)+(AN136*AN9))/BD9</f>
        <v>91.411640682999248</v>
      </c>
      <c r="BE136" s="6183"/>
      <c r="BF136" s="3041">
        <f>+((AX136*AX9)+(AZ136*AZ9))/BF9</f>
        <v>92.986922371077284</v>
      </c>
      <c r="BG136" s="2263"/>
      <c r="BH136" s="2263"/>
      <c r="BI136" s="2263"/>
      <c r="BJ136" s="2263"/>
      <c r="BK136" s="3238"/>
      <c r="BL136" s="3238"/>
    </row>
    <row r="137" spans="2:64" ht="13.8" x14ac:dyDescent="0.25">
      <c r="B137" s="3069" t="s">
        <v>550</v>
      </c>
      <c r="C137" s="1907" t="s">
        <v>49</v>
      </c>
      <c r="D137" s="1199"/>
      <c r="E137" s="2862"/>
      <c r="F137" s="4480">
        <v>71.805555555555557</v>
      </c>
      <c r="G137" s="2862"/>
      <c r="H137" s="4480">
        <v>71.56018518518519</v>
      </c>
      <c r="I137" s="2863"/>
      <c r="J137" s="3041">
        <f>+((F137*F22)+(H137*H22))/J22</f>
        <v>71.725210094605487</v>
      </c>
      <c r="K137" s="2862"/>
      <c r="L137" s="3070">
        <v>74.010000000000005</v>
      </c>
      <c r="M137" s="2966"/>
      <c r="N137" s="3053">
        <f>+((F137*F22)+(H137*H22)+(L137*L22))/N22</f>
        <v>72.693159459381079</v>
      </c>
      <c r="O137" s="2862"/>
      <c r="P137" s="3070">
        <v>78.78</v>
      </c>
      <c r="Q137" s="2863"/>
      <c r="R137" s="3040">
        <f>+((N137*N22)+(P137*P22))/R22</f>
        <v>74.609991754093144</v>
      </c>
      <c r="S137" s="2862"/>
      <c r="T137" s="3070">
        <v>70.53</v>
      </c>
      <c r="U137" s="2863"/>
      <c r="V137" s="3040">
        <f>+((R137*R22)+(T137*T22))/V22</f>
        <v>73.730801611796977</v>
      </c>
      <c r="W137" s="2862"/>
      <c r="X137" s="3070">
        <v>71.599999999999994</v>
      </c>
      <c r="Y137" s="2966"/>
      <c r="Z137" s="3053">
        <f>+((P137*P22)+(T137*T22)+(X137*X22))/Z22</f>
        <v>73.90762743864066</v>
      </c>
      <c r="AA137" s="2967"/>
      <c r="AB137" s="3071">
        <f>+((Z137*Z22)+(N137*N22))/AB22</f>
        <v>73.366498475097572</v>
      </c>
      <c r="AC137" s="2862"/>
      <c r="AD137" s="3070">
        <v>60.47</v>
      </c>
      <c r="AE137" s="2863"/>
      <c r="AF137" s="3040">
        <f>+((AB137*AB22)+(AD137*AD22))/AF22</f>
        <v>71.650086094866793</v>
      </c>
      <c r="AG137" s="2862"/>
      <c r="AH137" s="3070">
        <v>77.145833333333314</v>
      </c>
      <c r="AI137" s="2863"/>
      <c r="AJ137" s="3040">
        <f>+((AF137*AF22)+(AH137*AH22))/AJ22</f>
        <v>72.424175232925236</v>
      </c>
      <c r="AK137" s="2862"/>
      <c r="AL137" s="3070">
        <v>63.967293906810035</v>
      </c>
      <c r="AM137" s="2966"/>
      <c r="AN137" s="3053">
        <f>+((AD137*AD22)+(AH137*AH22)+(AL137*AL22))/AN22</f>
        <v>67.867056641799039</v>
      </c>
      <c r="AO137" s="2863"/>
      <c r="AP137" s="3040">
        <f>+((AL137*AL22)+(AJ137*AJ22))/AP22</f>
        <v>71.52994306853239</v>
      </c>
      <c r="AQ137" s="2862"/>
      <c r="AR137" s="3070">
        <v>63.328853046594979</v>
      </c>
      <c r="AS137" s="2863"/>
      <c r="AT137" s="3040">
        <f>+((AP137*AP22)+(AR137*AR22))/AT22</f>
        <v>70.739455811062982</v>
      </c>
      <c r="AU137" s="2862"/>
      <c r="AV137" s="3070">
        <v>55.30257936507936</v>
      </c>
      <c r="AW137" s="2863"/>
      <c r="AX137" s="3040">
        <f>+((AT137*AT22)+(AV137*AV22))/AX22</f>
        <v>69.637681868155411</v>
      </c>
      <c r="AY137" s="2862"/>
      <c r="AZ137" s="3070">
        <v>64.63933691756273</v>
      </c>
      <c r="BA137" s="2966"/>
      <c r="BB137" s="3053">
        <f>+((AR137*AR22)+(AV137*AV22)+(AZ137*AZ22))/BB22</f>
        <v>61.54082854363589</v>
      </c>
      <c r="BC137" s="2967"/>
      <c r="BD137" s="3071">
        <f>+((BB137*BB22)+(AN137*AN22))/BD22</f>
        <v>64.865916245559973</v>
      </c>
      <c r="BE137" s="2863"/>
      <c r="BF137" s="3041">
        <f>+((AX137*AX22)+(AZ137*AZ22))/BF22</f>
        <v>69.216392793748312</v>
      </c>
      <c r="BG137" s="2263"/>
      <c r="BH137" s="2263"/>
      <c r="BI137" s="2263"/>
      <c r="BJ137" s="2263"/>
      <c r="BK137" s="3238"/>
      <c r="BL137" s="3238"/>
    </row>
    <row r="138" spans="2:64" ht="13.8" x14ac:dyDescent="0.25">
      <c r="B138" s="3072" t="s">
        <v>551</v>
      </c>
      <c r="C138" s="3036" t="s">
        <v>49</v>
      </c>
      <c r="D138" s="1199"/>
      <c r="E138" s="2862"/>
      <c r="F138" s="4480">
        <v>80.28017241379311</v>
      </c>
      <c r="G138" s="2862"/>
      <c r="H138" s="4480">
        <v>71.56018518518519</v>
      </c>
      <c r="I138" s="2863"/>
      <c r="J138" s="3041">
        <f>+((F138*F23)+(H138*H23))/J23</f>
        <v>77.602043658078145</v>
      </c>
      <c r="K138" s="2862"/>
      <c r="L138" s="3070">
        <v>82.63</v>
      </c>
      <c r="M138" s="2966"/>
      <c r="N138" s="3053">
        <f>+((F138*F23)+(H138*H23)+(L138*L23))/N23</f>
        <v>79.787808012274724</v>
      </c>
      <c r="O138" s="2862"/>
      <c r="P138" s="3070">
        <v>80.459999999999994</v>
      </c>
      <c r="Q138" s="2863"/>
      <c r="R138" s="3040">
        <f>+((N138*N23)+(P138*P23))/R23</f>
        <v>79.988056332362561</v>
      </c>
      <c r="S138" s="2862"/>
      <c r="T138" s="3070">
        <v>83.15</v>
      </c>
      <c r="U138" s="2863"/>
      <c r="V138" s="3040">
        <f>+((R138*R23)+(T138*T23))/V23</f>
        <v>80.733775535646657</v>
      </c>
      <c r="W138" s="2862"/>
      <c r="X138" s="3070">
        <v>84.14</v>
      </c>
      <c r="Y138" s="2966"/>
      <c r="Z138" s="3053">
        <f>+((P138*P23)+(T138*T23)+(X138*X23))/Z23</f>
        <v>82.590889008620692</v>
      </c>
      <c r="AA138" s="2967"/>
      <c r="AB138" s="3071">
        <f>+((Z138*Z23)+(N138*N23))/AB23</f>
        <v>81.366241971382166</v>
      </c>
      <c r="AC138" s="2862"/>
      <c r="AD138" s="3070">
        <v>59.88</v>
      </c>
      <c r="AE138" s="2863"/>
      <c r="AF138" s="3040">
        <f>+((AB138*AB23)+(AD138*AD23))/AF23</f>
        <v>78.90704286342708</v>
      </c>
      <c r="AG138" s="2862"/>
      <c r="AH138" s="3070">
        <v>81.145833333333314</v>
      </c>
      <c r="AI138" s="2863"/>
      <c r="AJ138" s="3040">
        <f>+((AF138*AF23)+(AH138*AH23))/AJ23</f>
        <v>79.212922609837378</v>
      </c>
      <c r="AK138" s="2862"/>
      <c r="AL138" s="3070">
        <v>84.536290322580641</v>
      </c>
      <c r="AM138" s="2966"/>
      <c r="AN138" s="3053">
        <f>+((AD138*AD23)+(AH138*AH23)+(AL138*AL23))/AN23</f>
        <v>76.937166405203115</v>
      </c>
      <c r="AO138" s="2863"/>
      <c r="AP138" s="3040">
        <f>+((AL138*AL23)+(AJ138*AJ23))/AP23</f>
        <v>79.891676234413026</v>
      </c>
      <c r="AQ138" s="2862"/>
      <c r="AR138" s="3070">
        <v>82.329749103942646</v>
      </c>
      <c r="AS138" s="2863"/>
      <c r="AT138" s="3040">
        <f>+((AP138*AP23)+(AR138*AR23))/AT23</f>
        <v>80.154502074627757</v>
      </c>
      <c r="AU138" s="2862"/>
      <c r="AV138" s="3070">
        <v>78.325892857142861</v>
      </c>
      <c r="AW138" s="2863"/>
      <c r="AX138" s="3040">
        <f>+((AT138*AT23)+(AV138*AV23))/AX23</f>
        <v>80.002521639664607</v>
      </c>
      <c r="AY138" s="2862"/>
      <c r="AZ138" s="3070">
        <v>84.534050179211448</v>
      </c>
      <c r="BA138" s="2966"/>
      <c r="BB138" s="3053">
        <f>+((AR138*AR23)+(AV138*AV23)+(AZ138*AZ23))/BB23</f>
        <v>81.99250045580898</v>
      </c>
      <c r="BC138" s="2967"/>
      <c r="BD138" s="3071">
        <f>+((BB138*BB23)+(AN138*AN23))/BD23</f>
        <v>79.53867203643847</v>
      </c>
      <c r="BE138" s="2863"/>
      <c r="BF138" s="3041">
        <f>+((AX138*AX23)+(AZ138*AZ23))/BF23</f>
        <v>80.439744662552826</v>
      </c>
      <c r="BG138" s="2263"/>
      <c r="BH138" s="2263"/>
      <c r="BI138" s="2263"/>
      <c r="BJ138" s="2263"/>
      <c r="BK138" s="3238"/>
      <c r="BL138" s="3238"/>
    </row>
    <row r="139" spans="2:64" ht="14.4" thickBot="1" x14ac:dyDescent="0.3">
      <c r="B139" s="3073" t="s">
        <v>552</v>
      </c>
      <c r="C139" s="3021" t="s">
        <v>49</v>
      </c>
      <c r="D139" s="1043"/>
      <c r="E139" s="2049"/>
      <c r="F139" s="5180">
        <v>54.907135874877817</v>
      </c>
      <c r="G139" s="2049"/>
      <c r="H139" s="5180">
        <v>71.56018518518519</v>
      </c>
      <c r="I139" s="2980"/>
      <c r="J139" s="3074">
        <f>+((F139*F24)+(H139*H24))/J24</f>
        <v>59.506869252926428</v>
      </c>
      <c r="K139" s="2049"/>
      <c r="L139" s="1553">
        <v>63.2</v>
      </c>
      <c r="M139" s="2981"/>
      <c r="N139" s="3075">
        <f>+((F139*F24)+(H139*H24)+(L139*L24))/N24</f>
        <v>61.130177570001706</v>
      </c>
      <c r="O139" s="2049"/>
      <c r="P139" s="1553">
        <v>65.62</v>
      </c>
      <c r="Q139" s="2980"/>
      <c r="R139" s="570">
        <f>+((N139*N24)+(P139*P24))/R24</f>
        <v>62.55639718539053</v>
      </c>
      <c r="S139" s="2049"/>
      <c r="T139" s="1553">
        <v>63.56</v>
      </c>
      <c r="U139" s="2980"/>
      <c r="V139" s="570">
        <f>+((R139*R24)+(T139*T24))/V24</f>
        <v>62.779152459179073</v>
      </c>
      <c r="W139" s="2049"/>
      <c r="X139" s="1553">
        <v>57.24</v>
      </c>
      <c r="Y139" s="2981"/>
      <c r="Z139" s="3075">
        <f>+((P139*P24)+(T139*T24)+(X139*X24))/Z24</f>
        <v>62.373829787234037</v>
      </c>
      <c r="AA139" s="2982"/>
      <c r="AB139" s="3076">
        <f>+((Z139*Z24)+(N139*N24))/AB24</f>
        <v>61.82706763509762</v>
      </c>
      <c r="AC139" s="2049"/>
      <c r="AD139" s="1553">
        <v>48.54</v>
      </c>
      <c r="AE139" s="2980"/>
      <c r="AF139" s="570">
        <f>+((AB139*AB24)+(AD139*AD24))/AF24</f>
        <v>60.209662805170815</v>
      </c>
      <c r="AG139" s="2049"/>
      <c r="AH139" s="1553">
        <v>55.688824662813118</v>
      </c>
      <c r="AI139" s="2980"/>
      <c r="AJ139" s="570">
        <f>+((AF139*AF24)+(AH139*AH24))/AJ24</f>
        <v>59.646716573540331</v>
      </c>
      <c r="AK139" s="2049"/>
      <c r="AL139" s="1553">
        <v>63.028846153846146</v>
      </c>
      <c r="AM139" s="2981"/>
      <c r="AN139" s="3075">
        <f>+((AD139*AD24)+(AH139*AH24)+(AL139*AL24))/AN24</f>
        <v>56.744436893104108</v>
      </c>
      <c r="AO139" s="2980"/>
      <c r="AP139" s="570">
        <f>+((AL139*AL24)+(AJ139*AJ24))/AP24</f>
        <v>60.113332409611495</v>
      </c>
      <c r="AQ139" s="2049"/>
      <c r="AR139" s="1553">
        <v>64.779693486590062</v>
      </c>
      <c r="AS139" s="2980"/>
      <c r="AT139" s="570">
        <f>+((AP139*AP24)+(AR139*AR24))/AT24</f>
        <v>60.662395813497703</v>
      </c>
      <c r="AU139" s="2049"/>
      <c r="AV139" s="1553">
        <v>59.128035320088294</v>
      </c>
      <c r="AW139" s="2980"/>
      <c r="AX139" s="570">
        <f>+((AT139*AT24)+(AV139*AV24))/AX24</f>
        <v>60.53300175220194</v>
      </c>
      <c r="AY139" s="2049"/>
      <c r="AZ139" s="1553">
        <v>65.368521160247298</v>
      </c>
      <c r="BA139" s="2981"/>
      <c r="BB139" s="3075">
        <f>+((AR139*AR24)+(AV139*AV24)+(AZ139*AZ24))/BB24</f>
        <v>63.408566059308676</v>
      </c>
      <c r="BC139" s="2982"/>
      <c r="BD139" s="3076">
        <f>+((BB139*BB24)+(AN139*AN24))/BD24</f>
        <v>60.241945054114488</v>
      </c>
      <c r="BE139" s="2980"/>
      <c r="BF139" s="3074">
        <f>+((AX139*AX24)+(AZ139*AZ24))/BF24</f>
        <v>61.007504496417525</v>
      </c>
      <c r="BG139" s="2263"/>
      <c r="BH139" s="2263"/>
      <c r="BI139" s="2263"/>
      <c r="BJ139" s="2263"/>
      <c r="BK139" s="3238"/>
      <c r="BL139" s="3238"/>
    </row>
    <row r="140" spans="2:64" ht="21" customHeight="1" x14ac:dyDescent="0.25">
      <c r="E140" s="4"/>
      <c r="F140" s="4"/>
      <c r="G140" s="4"/>
      <c r="H140" s="4"/>
      <c r="I140" s="4"/>
      <c r="J140" s="4"/>
      <c r="K140" s="4"/>
      <c r="M140" s="4"/>
      <c r="O140" s="4"/>
      <c r="Q140" s="3536"/>
      <c r="R140" s="3536"/>
      <c r="W140" s="4"/>
      <c r="AH140" s="2263"/>
      <c r="AJ140" s="2263"/>
      <c r="AL140" s="2263"/>
      <c r="AQ140" s="3536"/>
      <c r="AR140" s="3536"/>
      <c r="AU140" s="3536"/>
      <c r="AV140" s="3536"/>
      <c r="AY140" s="3536"/>
      <c r="AZ140" s="3536"/>
    </row>
    <row r="141" spans="2:64" ht="21" hidden="1" customHeight="1" x14ac:dyDescent="0.25">
      <c r="B141" s="3077" t="s">
        <v>1454</v>
      </c>
      <c r="C141" s="3078"/>
      <c r="D141" s="3078"/>
      <c r="E141" s="3078"/>
      <c r="F141" s="3078"/>
      <c r="G141" s="3078"/>
      <c r="H141" s="3078"/>
      <c r="I141" s="3078"/>
      <c r="J141" s="3078"/>
      <c r="K141" s="3078"/>
      <c r="L141" s="3078"/>
      <c r="M141" s="3078"/>
      <c r="N141" s="3078"/>
      <c r="O141" s="3078"/>
      <c r="P141" s="3078"/>
      <c r="Q141" s="3078"/>
      <c r="R141" s="3078"/>
      <c r="S141" s="3078"/>
      <c r="T141" s="3078"/>
      <c r="U141" s="3078"/>
      <c r="V141" s="3078"/>
      <c r="W141" s="3078"/>
      <c r="X141" s="3078"/>
      <c r="AC141" s="3078"/>
      <c r="AD141" s="3078"/>
      <c r="AG141" s="3078"/>
      <c r="AH141" s="3078"/>
      <c r="AJ141" s="3078"/>
      <c r="AK141" s="3078"/>
      <c r="AL141" s="3078"/>
      <c r="AQ141" s="3078"/>
      <c r="AR141" s="3078"/>
      <c r="AU141" s="3078"/>
      <c r="AV141" s="3078"/>
      <c r="AY141" s="3078"/>
      <c r="AZ141" s="3078"/>
    </row>
    <row r="142" spans="2:64" ht="21" hidden="1" customHeight="1" x14ac:dyDescent="0.25">
      <c r="B142" s="3079" t="s">
        <v>1456</v>
      </c>
      <c r="C142" s="3078"/>
      <c r="D142" s="3078"/>
      <c r="E142" s="3078"/>
      <c r="F142" s="3078"/>
      <c r="G142" s="3078"/>
      <c r="H142" s="3078"/>
      <c r="I142" s="3078"/>
      <c r="J142" s="3078"/>
      <c r="K142" s="3078"/>
      <c r="L142" s="3078">
        <v>835</v>
      </c>
      <c r="M142" s="3078"/>
      <c r="N142" s="3078">
        <f t="shared" ref="N142:N146" si="348">+L142+H142+F142</f>
        <v>835</v>
      </c>
      <c r="O142" s="3078"/>
      <c r="P142" s="3078">
        <v>835</v>
      </c>
      <c r="Q142" s="3078"/>
      <c r="R142" s="3078">
        <f>+N142+P142</f>
        <v>1670</v>
      </c>
      <c r="S142" s="3078"/>
      <c r="T142" s="3078">
        <v>835</v>
      </c>
      <c r="U142" s="3078"/>
      <c r="V142" s="3078">
        <f>+R142+T142</f>
        <v>2505</v>
      </c>
      <c r="W142" s="3078"/>
      <c r="X142" s="3078"/>
      <c r="AC142" s="3078"/>
      <c r="AD142" s="3078"/>
      <c r="AG142" s="3078"/>
      <c r="AH142" s="3078"/>
      <c r="AJ142" s="3078"/>
      <c r="AK142" s="3078"/>
      <c r="AL142" s="3078"/>
      <c r="AQ142" s="3078"/>
      <c r="AR142" s="3078"/>
      <c r="AU142" s="3078"/>
      <c r="AV142" s="3078"/>
      <c r="AY142" s="3078"/>
      <c r="AZ142" s="3078"/>
    </row>
    <row r="143" spans="2:64" ht="21" hidden="1" customHeight="1" x14ac:dyDescent="0.25">
      <c r="B143" s="3079" t="s">
        <v>1457</v>
      </c>
      <c r="C143" s="3078"/>
      <c r="D143" s="3078"/>
      <c r="E143" s="3078"/>
      <c r="F143" s="3078"/>
      <c r="G143" s="3078"/>
      <c r="H143" s="3078"/>
      <c r="I143" s="3078"/>
      <c r="J143" s="3078"/>
      <c r="K143" s="3078"/>
      <c r="L143" s="3078">
        <v>865</v>
      </c>
      <c r="M143" s="3078"/>
      <c r="N143" s="3078">
        <f t="shared" si="348"/>
        <v>865</v>
      </c>
      <c r="O143" s="3078"/>
      <c r="P143" s="3078">
        <v>865</v>
      </c>
      <c r="Q143" s="3078"/>
      <c r="R143" s="3078">
        <f t="shared" ref="R143:R146" si="349">+N143+P143</f>
        <v>1730</v>
      </c>
      <c r="S143" s="3078"/>
      <c r="T143" s="3078">
        <v>865</v>
      </c>
      <c r="U143" s="3078"/>
      <c r="V143" s="3078">
        <f t="shared" ref="V143:V146" si="350">+R143+T143</f>
        <v>2595</v>
      </c>
      <c r="W143" s="3078"/>
      <c r="X143" s="3078"/>
      <c r="AC143" s="3078"/>
      <c r="AD143" s="3078"/>
      <c r="AG143" s="3078"/>
      <c r="AH143" s="3078"/>
      <c r="AJ143" s="3078"/>
      <c r="AK143" s="3078"/>
      <c r="AL143" s="3078"/>
      <c r="AQ143" s="3078"/>
      <c r="AR143" s="3078"/>
      <c r="AU143" s="3078"/>
      <c r="AV143" s="3078"/>
      <c r="AY143" s="3078"/>
      <c r="AZ143" s="3078"/>
    </row>
    <row r="144" spans="2:64" ht="21" hidden="1" customHeight="1" x14ac:dyDescent="0.25">
      <c r="B144" s="3079" t="s">
        <v>1458</v>
      </c>
      <c r="C144" s="3078"/>
      <c r="D144" s="3078"/>
      <c r="E144" s="3078"/>
      <c r="F144" s="3078"/>
      <c r="G144" s="3078"/>
      <c r="H144" s="3078"/>
      <c r="I144" s="3078"/>
      <c r="J144" s="3078"/>
      <c r="K144" s="3078"/>
      <c r="L144" s="3078">
        <v>288</v>
      </c>
      <c r="M144" s="3078"/>
      <c r="N144" s="3078">
        <f t="shared" si="348"/>
        <v>288</v>
      </c>
      <c r="O144" s="3078"/>
      <c r="P144" s="3078">
        <v>288</v>
      </c>
      <c r="Q144" s="3078"/>
      <c r="R144" s="3078">
        <f t="shared" si="349"/>
        <v>576</v>
      </c>
      <c r="S144" s="3078"/>
      <c r="T144" s="3078">
        <v>288</v>
      </c>
      <c r="U144" s="3078"/>
      <c r="V144" s="3078">
        <f t="shared" si="350"/>
        <v>864</v>
      </c>
      <c r="W144" s="3078"/>
      <c r="X144" s="3078"/>
      <c r="AC144" s="3078"/>
      <c r="AD144" s="3078"/>
      <c r="AG144" s="3078"/>
      <c r="AH144" s="3078"/>
      <c r="AJ144" s="3078"/>
      <c r="AK144" s="3078"/>
      <c r="AL144" s="3078"/>
      <c r="AQ144" s="3078"/>
      <c r="AR144" s="3078"/>
      <c r="AU144" s="3078"/>
      <c r="AV144" s="3078"/>
      <c r="AY144" s="3078"/>
      <c r="AZ144" s="3078"/>
    </row>
    <row r="145" spans="2:58" ht="21" hidden="1" customHeight="1" x14ac:dyDescent="0.25">
      <c r="B145" s="3079" t="s">
        <v>1459</v>
      </c>
      <c r="C145" s="3078"/>
      <c r="D145" s="3078"/>
      <c r="E145" s="3078"/>
      <c r="F145" s="3078"/>
      <c r="G145" s="3078"/>
      <c r="H145" s="3078"/>
      <c r="I145" s="3078"/>
      <c r="J145" s="3078"/>
      <c r="K145" s="3078"/>
      <c r="L145" s="3078">
        <v>374</v>
      </c>
      <c r="M145" s="3078"/>
      <c r="N145" s="3078">
        <f t="shared" si="348"/>
        <v>374</v>
      </c>
      <c r="O145" s="3078"/>
      <c r="P145" s="3078">
        <v>374</v>
      </c>
      <c r="Q145" s="3078"/>
      <c r="R145" s="3078">
        <f t="shared" si="349"/>
        <v>748</v>
      </c>
      <c r="S145" s="3078"/>
      <c r="T145" s="3078">
        <v>374</v>
      </c>
      <c r="U145" s="3078"/>
      <c r="V145" s="3078">
        <f t="shared" si="350"/>
        <v>1122</v>
      </c>
      <c r="W145" s="3078"/>
      <c r="X145" s="3078"/>
      <c r="AC145" s="3078"/>
      <c r="AD145" s="3078"/>
      <c r="AG145" s="3078"/>
      <c r="AH145" s="3078"/>
      <c r="AJ145" s="3078"/>
      <c r="AK145" s="3078"/>
      <c r="AL145" s="3078"/>
      <c r="AQ145" s="3078"/>
      <c r="AR145" s="3078"/>
      <c r="AU145" s="3078"/>
      <c r="AV145" s="3078"/>
      <c r="AY145" s="3078"/>
      <c r="AZ145" s="3078"/>
    </row>
    <row r="146" spans="2:58" ht="21" hidden="1" customHeight="1" x14ac:dyDescent="0.25">
      <c r="B146" s="3079" t="s">
        <v>1460</v>
      </c>
      <c r="C146" s="3078"/>
      <c r="D146" s="3078"/>
      <c r="E146" s="3078"/>
      <c r="F146" s="3078"/>
      <c r="G146" s="3078"/>
      <c r="H146" s="3078"/>
      <c r="I146" s="3078"/>
      <c r="J146" s="3078"/>
      <c r="K146" s="3078"/>
      <c r="L146" s="3078">
        <v>913</v>
      </c>
      <c r="M146" s="3078"/>
      <c r="N146" s="3078">
        <f t="shared" si="348"/>
        <v>913</v>
      </c>
      <c r="O146" s="3078"/>
      <c r="P146" s="3078">
        <v>913</v>
      </c>
      <c r="Q146" s="3078"/>
      <c r="R146" s="3078">
        <f t="shared" si="349"/>
        <v>1826</v>
      </c>
      <c r="S146" s="3078"/>
      <c r="T146" s="3078">
        <v>913</v>
      </c>
      <c r="U146" s="3078"/>
      <c r="V146" s="3078">
        <f t="shared" si="350"/>
        <v>2739</v>
      </c>
      <c r="W146" s="3078"/>
      <c r="X146" s="3078"/>
      <c r="AC146" s="3078"/>
      <c r="AD146" s="3078"/>
      <c r="AG146" s="3078"/>
      <c r="AH146" s="3078"/>
      <c r="AJ146" s="3078"/>
      <c r="AK146" s="3078"/>
      <c r="AL146" s="3078"/>
      <c r="AQ146" s="3078"/>
      <c r="AR146" s="3078"/>
      <c r="AU146" s="3078"/>
      <c r="AV146" s="3078"/>
      <c r="AY146" s="3078"/>
      <c r="AZ146" s="3078"/>
    </row>
    <row r="147" spans="2:58" ht="21" hidden="1" customHeight="1" x14ac:dyDescent="0.25">
      <c r="B147" s="3079" t="s">
        <v>21</v>
      </c>
      <c r="C147" s="3078"/>
      <c r="D147" s="3078"/>
      <c r="E147" s="3078"/>
      <c r="F147" s="3078"/>
      <c r="G147" s="3078"/>
      <c r="H147" s="3078"/>
      <c r="I147" s="3078"/>
      <c r="J147" s="3078"/>
      <c r="K147" s="3078"/>
      <c r="L147" s="3078">
        <f>SUM(L142:L146)</f>
        <v>3275</v>
      </c>
      <c r="M147" s="3078"/>
      <c r="N147" s="3078">
        <f>SUM(N142:N146)</f>
        <v>3275</v>
      </c>
      <c r="O147" s="3078"/>
      <c r="P147" s="3078">
        <f>SUM(P142:P146)</f>
        <v>3275</v>
      </c>
      <c r="Q147" s="3078"/>
      <c r="R147" s="3078">
        <f>SUM(R142:R146)</f>
        <v>6550</v>
      </c>
      <c r="S147" s="3078"/>
      <c r="T147" s="3078">
        <f>SUM(T142:T146)</f>
        <v>3275</v>
      </c>
      <c r="U147" s="3078"/>
      <c r="V147" s="3078">
        <f>SUM(V142:V146)</f>
        <v>9825</v>
      </c>
      <c r="W147" s="3078"/>
      <c r="X147" s="3078"/>
      <c r="AC147" s="3078"/>
      <c r="AD147" s="3078"/>
      <c r="AG147" s="3078"/>
      <c r="AH147" s="3078"/>
      <c r="AJ147" s="3078"/>
      <c r="AK147" s="3078"/>
      <c r="AL147" s="3078"/>
      <c r="AQ147" s="3078"/>
      <c r="AR147" s="3078"/>
      <c r="AU147" s="3078"/>
      <c r="AV147" s="3078"/>
      <c r="AY147" s="3078"/>
      <c r="AZ147" s="3078"/>
    </row>
    <row r="148" spans="2:58" ht="21" hidden="1" customHeight="1" x14ac:dyDescent="0.25">
      <c r="B148" s="3079" t="s">
        <v>1465</v>
      </c>
      <c r="C148" s="3078"/>
      <c r="D148" s="3078"/>
      <c r="E148" s="3078"/>
      <c r="F148" s="3080"/>
      <c r="G148" s="3078"/>
      <c r="H148" s="3080"/>
      <c r="I148" s="3078"/>
      <c r="J148" s="3078"/>
      <c r="K148" s="3078"/>
      <c r="L148" s="3080">
        <f>+L147-L27</f>
        <v>-125</v>
      </c>
      <c r="M148" s="3078"/>
      <c r="N148" s="3080">
        <f>+N147-N27</f>
        <v>-4951</v>
      </c>
      <c r="O148" s="3078"/>
      <c r="P148" s="3080">
        <f>+P147-P27</f>
        <v>-121</v>
      </c>
      <c r="Q148" s="3078"/>
      <c r="R148" s="3080">
        <f>+R147-R27</f>
        <v>-5072</v>
      </c>
      <c r="S148" s="3078"/>
      <c r="T148" s="3080">
        <f>+T147-T27</f>
        <v>123</v>
      </c>
      <c r="U148" s="3078"/>
      <c r="V148" s="3080">
        <f>+V147-V27</f>
        <v>-4949</v>
      </c>
      <c r="W148" s="3078"/>
      <c r="X148" s="3080"/>
      <c r="AC148" s="3078"/>
      <c r="AD148" s="3080"/>
      <c r="AG148" s="3078"/>
      <c r="AH148" s="3080"/>
      <c r="AJ148" s="3080"/>
      <c r="AK148" s="3078"/>
      <c r="AL148" s="3080"/>
      <c r="AQ148" s="3078"/>
      <c r="AR148" s="3080"/>
      <c r="AU148" s="3078"/>
      <c r="AV148" s="3080"/>
      <c r="AY148" s="3078"/>
      <c r="AZ148" s="3080"/>
    </row>
    <row r="149" spans="2:58" ht="21" hidden="1" customHeight="1" x14ac:dyDescent="0.25">
      <c r="B149" s="3079"/>
      <c r="C149" s="3078"/>
      <c r="D149" s="3078"/>
      <c r="E149" s="3078"/>
      <c r="F149" s="3080"/>
      <c r="G149" s="3078"/>
      <c r="H149" s="3080"/>
      <c r="I149" s="3078"/>
      <c r="J149" s="3078"/>
      <c r="K149" s="3078"/>
      <c r="L149" s="3080"/>
      <c r="M149" s="3078"/>
      <c r="N149" s="3080"/>
      <c r="O149" s="3078"/>
      <c r="P149" s="3080"/>
      <c r="Q149" s="3078"/>
      <c r="R149" s="3080"/>
      <c r="S149" s="3078"/>
      <c r="T149" s="3080"/>
      <c r="U149" s="3078"/>
      <c r="V149" s="3080"/>
      <c r="W149" s="3078"/>
      <c r="X149" s="3080"/>
      <c r="AC149" s="3078"/>
      <c r="AD149" s="3080"/>
      <c r="AG149" s="3078"/>
      <c r="AH149" s="3080"/>
      <c r="AJ149" s="3080"/>
      <c r="AK149" s="3078"/>
      <c r="AL149" s="3080"/>
      <c r="AQ149" s="3078"/>
      <c r="AR149" s="3080"/>
      <c r="AU149" s="3078"/>
      <c r="AV149" s="3080"/>
      <c r="AY149" s="3078"/>
      <c r="AZ149" s="3080"/>
    </row>
    <row r="150" spans="2:58" ht="21" hidden="1" customHeight="1" x14ac:dyDescent="0.25">
      <c r="B150" s="3079" t="s">
        <v>1455</v>
      </c>
      <c r="C150" s="3078"/>
      <c r="D150" s="3078"/>
      <c r="E150" s="3078"/>
      <c r="F150" s="3078"/>
      <c r="G150" s="3078"/>
      <c r="H150" s="3078"/>
      <c r="I150" s="3078"/>
      <c r="J150" s="3078"/>
      <c r="K150" s="3078"/>
      <c r="L150" s="3078"/>
      <c r="M150" s="3078"/>
      <c r="N150" s="3078"/>
      <c r="O150" s="3078"/>
      <c r="P150" s="3078"/>
      <c r="Q150" s="3078"/>
      <c r="R150" s="3078"/>
      <c r="S150" s="3078"/>
      <c r="T150" s="3078"/>
      <c r="U150" s="3078"/>
      <c r="V150" s="3078"/>
      <c r="W150" s="3078"/>
      <c r="X150" s="3078"/>
      <c r="AC150" s="3078"/>
      <c r="AD150" s="3078"/>
      <c r="AG150" s="3078"/>
      <c r="AH150" s="3078"/>
      <c r="AJ150" s="3078"/>
      <c r="AK150" s="3078"/>
      <c r="AL150" s="3078"/>
      <c r="AQ150" s="3078"/>
      <c r="AR150" s="3078"/>
      <c r="AU150" s="3078"/>
      <c r="AV150" s="3078"/>
      <c r="AY150" s="3078"/>
      <c r="AZ150" s="3078"/>
    </row>
    <row r="151" spans="2:58" ht="21" hidden="1" customHeight="1" x14ac:dyDescent="0.25">
      <c r="B151" s="3081"/>
      <c r="C151" s="60" t="s">
        <v>197</v>
      </c>
      <c r="D151" s="3078"/>
      <c r="E151" s="3078"/>
      <c r="F151" s="3078"/>
      <c r="G151" s="3078"/>
      <c r="H151" s="3078"/>
      <c r="I151" s="3078"/>
      <c r="J151" s="3078"/>
      <c r="K151" s="3078"/>
      <c r="L151" s="3078">
        <v>2449</v>
      </c>
      <c r="M151" s="3078"/>
      <c r="N151" s="3078">
        <f t="shared" ref="N151:N153" si="351">+L151+H151+F151</f>
        <v>2449</v>
      </c>
      <c r="O151" s="3078"/>
      <c r="P151" s="3078">
        <v>2449</v>
      </c>
      <c r="Q151" s="3078"/>
      <c r="R151" s="3078">
        <f t="shared" ref="R151:R153" si="352">+N151+P151</f>
        <v>4898</v>
      </c>
      <c r="S151" s="3078"/>
      <c r="T151" s="3078">
        <v>2449</v>
      </c>
      <c r="U151" s="3078"/>
      <c r="V151" s="3078">
        <f t="shared" ref="V151:V153" si="353">+R151+T151</f>
        <v>7347</v>
      </c>
      <c r="W151" s="3078"/>
      <c r="X151" s="3078"/>
      <c r="AC151" s="3078"/>
      <c r="AD151" s="3078"/>
      <c r="AG151" s="3078"/>
      <c r="AH151" s="3078"/>
      <c r="AJ151" s="3078"/>
      <c r="AK151" s="3078"/>
      <c r="AL151" s="3078"/>
      <c r="AQ151" s="3078"/>
      <c r="AR151" s="3078"/>
      <c r="AU151" s="3078"/>
      <c r="AV151" s="3078"/>
      <c r="AY151" s="3078"/>
      <c r="AZ151" s="3078"/>
    </row>
    <row r="152" spans="2:58" ht="21" hidden="1" customHeight="1" x14ac:dyDescent="0.25">
      <c r="B152" s="6200" t="s">
        <v>1463</v>
      </c>
      <c r="C152" s="60" t="s">
        <v>1461</v>
      </c>
      <c r="D152" s="3078"/>
      <c r="E152" s="3078"/>
      <c r="F152" s="3078"/>
      <c r="G152" s="3078"/>
      <c r="H152" s="3078"/>
      <c r="I152" s="3078"/>
      <c r="J152" s="3078"/>
      <c r="K152" s="3078"/>
      <c r="L152" s="3078">
        <v>4866</v>
      </c>
      <c r="M152" s="3078"/>
      <c r="N152" s="3078">
        <f t="shared" si="351"/>
        <v>4866</v>
      </c>
      <c r="O152" s="3078"/>
      <c r="P152" s="3078">
        <v>4866</v>
      </c>
      <c r="Q152" s="3078"/>
      <c r="R152" s="3078">
        <f t="shared" si="352"/>
        <v>9732</v>
      </c>
      <c r="S152" s="3078"/>
      <c r="T152" s="3078">
        <v>4866</v>
      </c>
      <c r="U152" s="3078"/>
      <c r="V152" s="3078">
        <f t="shared" si="353"/>
        <v>14598</v>
      </c>
      <c r="W152" s="3078"/>
      <c r="X152" s="3078"/>
      <c r="AC152" s="3078"/>
      <c r="AD152" s="3078"/>
      <c r="AG152" s="3078"/>
      <c r="AH152" s="3078"/>
      <c r="AJ152" s="3078"/>
      <c r="AK152" s="3078"/>
      <c r="AL152" s="3078"/>
      <c r="AQ152" s="3078"/>
      <c r="AR152" s="3078"/>
      <c r="AU152" s="3078"/>
      <c r="AV152" s="3078"/>
      <c r="AY152" s="3078"/>
      <c r="AZ152" s="3078"/>
    </row>
    <row r="153" spans="2:58" ht="21" hidden="1" customHeight="1" x14ac:dyDescent="0.25">
      <c r="B153" s="6200"/>
      <c r="C153" s="60" t="s">
        <v>1462</v>
      </c>
      <c r="D153" s="3078"/>
      <c r="E153" s="3078"/>
      <c r="F153" s="3078"/>
      <c r="G153" s="3078"/>
      <c r="H153" s="3078"/>
      <c r="I153" s="3078"/>
      <c r="J153" s="3078"/>
      <c r="K153" s="3078"/>
      <c r="L153" s="3078">
        <v>1022</v>
      </c>
      <c r="M153" s="3078"/>
      <c r="N153" s="3078">
        <f t="shared" si="351"/>
        <v>1022</v>
      </c>
      <c r="O153" s="3078"/>
      <c r="P153" s="3078">
        <v>1022</v>
      </c>
      <c r="Q153" s="3078"/>
      <c r="R153" s="3078">
        <f t="shared" si="352"/>
        <v>2044</v>
      </c>
      <c r="S153" s="3078"/>
      <c r="T153" s="3078">
        <v>1022</v>
      </c>
      <c r="U153" s="3078"/>
      <c r="V153" s="3078">
        <f t="shared" si="353"/>
        <v>3066</v>
      </c>
      <c r="W153" s="3078"/>
      <c r="X153" s="3078"/>
      <c r="AC153" s="3078"/>
      <c r="AD153" s="3078"/>
      <c r="AG153" s="3078"/>
      <c r="AH153" s="3078"/>
      <c r="AJ153" s="3078"/>
      <c r="AK153" s="3078"/>
      <c r="AL153" s="3078"/>
      <c r="AQ153" s="3078"/>
      <c r="AR153" s="3078"/>
      <c r="AU153" s="3078"/>
      <c r="AV153" s="3078"/>
      <c r="AY153" s="3078"/>
      <c r="AZ153" s="3078"/>
    </row>
    <row r="154" spans="2:58" ht="21" hidden="1" customHeight="1" x14ac:dyDescent="0.25">
      <c r="D154" s="4"/>
      <c r="E154" s="4"/>
      <c r="F154" s="4"/>
      <c r="G154" s="4"/>
      <c r="H154" s="4"/>
      <c r="I154" s="4"/>
      <c r="J154" s="4"/>
      <c r="K154" s="4"/>
      <c r="M154" s="4"/>
      <c r="O154" s="4"/>
      <c r="Q154" s="4"/>
      <c r="W154" s="4"/>
    </row>
    <row r="155" spans="2:58" ht="21" customHeight="1" x14ac:dyDescent="0.25">
      <c r="D155" s="4"/>
      <c r="E155" s="4"/>
      <c r="F155" s="4"/>
      <c r="G155" s="4"/>
      <c r="H155" s="4"/>
      <c r="I155" s="4"/>
      <c r="J155" s="4"/>
      <c r="K155" s="4"/>
      <c r="M155" s="4"/>
      <c r="O155" s="4"/>
      <c r="Q155" s="4"/>
      <c r="W155" s="4"/>
    </row>
    <row r="156" spans="2:58" ht="21" customHeight="1" thickBot="1" x14ac:dyDescent="0.3">
      <c r="D156" s="4"/>
      <c r="E156" s="4"/>
      <c r="F156" s="4"/>
      <c r="G156" s="4"/>
      <c r="H156" s="4"/>
      <c r="I156" s="4"/>
      <c r="J156" s="4"/>
      <c r="K156" s="4"/>
      <c r="M156" s="4"/>
      <c r="O156" s="4"/>
      <c r="Q156" s="4"/>
      <c r="W156" s="4"/>
    </row>
    <row r="157" spans="2:58" ht="239.25" customHeight="1" thickBot="1" x14ac:dyDescent="0.3">
      <c r="B157" s="3082" t="s">
        <v>275</v>
      </c>
      <c r="C157" s="695" t="s">
        <v>174</v>
      </c>
      <c r="D157" s="1216"/>
      <c r="E157" s="3083"/>
      <c r="F157" s="3084" t="s">
        <v>2226</v>
      </c>
      <c r="G157" s="3083"/>
      <c r="H157" s="3084" t="s">
        <v>2265</v>
      </c>
      <c r="I157" s="3085"/>
      <c r="J157" s="3086" t="s">
        <v>2265</v>
      </c>
      <c r="K157" s="3083"/>
      <c r="L157" s="3084" t="s">
        <v>1979</v>
      </c>
      <c r="M157" s="3087"/>
      <c r="N157" s="3088" t="str">
        <f>L157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10424 Heats till 30.06.25</v>
      </c>
      <c r="O157" s="3083"/>
      <c r="P157" s="3084" t="s">
        <v>1998</v>
      </c>
      <c r="Q157" s="3089"/>
      <c r="R157" s="3086" t="str">
        <f>P157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10953Heats till 31.07.25</v>
      </c>
      <c r="S157" s="3083"/>
      <c r="T157" s="3084" t="s">
        <v>2003</v>
      </c>
      <c r="U157" s="3089"/>
      <c r="V157" s="3086" t="str">
        <f>T157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11439 Heats till 31.08.25</v>
      </c>
      <c r="W157" s="3083"/>
      <c r="X157" s="3084" t="s">
        <v>2020</v>
      </c>
      <c r="Y157" s="3090"/>
      <c r="Z157" s="3091" t="str">
        <f>X157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11920 Heats till 30.09.25</v>
      </c>
      <c r="AA157" s="3092"/>
      <c r="AB157" s="3093" t="str">
        <f>X157</f>
        <v>6th relining life (carried on 13.01.21-23.01.21): 3875 Heats (lasted from 24.01.21-21.10.21);
7th carried on 22.10.21-29.10.21 which has resulted in 5705 Heats (lasted from 30.10.21-18.11.22) ,8th carried on 19.11.22-01.12.22 which has resulted in  4830 Heats, 9th carried out from 05.10.2023-18.10.2023, started from 19.10.2023 resulted in 11920 Heats till 30.09.25</v>
      </c>
      <c r="AC157" s="3083"/>
      <c r="AD157" s="3084" t="s">
        <v>2049</v>
      </c>
      <c r="AE157" s="3089"/>
      <c r="AF157" s="3086" t="str">
        <f>AD157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259 Heats till 31.10.2025.</v>
      </c>
      <c r="AG157" s="3083"/>
      <c r="AH157" s="3084" t="s">
        <v>2065</v>
      </c>
      <c r="AI157" s="3089"/>
      <c r="AJ157" s="3086" t="str">
        <f>AH157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790 Heats till 30.11.2025.</v>
      </c>
      <c r="AK157" s="3083"/>
      <c r="AL157" s="3084" t="s">
        <v>2096</v>
      </c>
      <c r="AM157" s="3090"/>
      <c r="AN157" s="3091" t="str">
        <f>AL157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1322 Heats till 31.12.2025.</v>
      </c>
      <c r="AO157" s="3089"/>
      <c r="AP157" s="3086" t="str">
        <f>AL157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1322 Heats till 31.12.2025.</v>
      </c>
      <c r="AQ157" s="3083"/>
      <c r="AR157" s="3084" t="s">
        <v>2101</v>
      </c>
      <c r="AS157" s="3089"/>
      <c r="AT157" s="3086" t="str">
        <f>AR157</f>
        <v>6th relining life (carried on 13.01.21-23.01.21): 3875 Heats (lasted from 24.01.21-21.10.21);
7th carried on 22.10.21-29.10.21 which had resulted in 5705 Heats (lasted from 30.10.21-18.11.22) ,8th carried on 19.11.22-01.12.22 which had resulted in  4830 Heats, 9th carried on 05.10.2023-18.10.2023, which had resulted in 12015 Heats , 10th relining carried on from 07.10.2025 to 17.10.2025, which has resulted 1858 Heats till 31.01.2026.</v>
      </c>
      <c r="AU157" s="3083"/>
      <c r="AV157" s="3084" t="s">
        <v>2137</v>
      </c>
      <c r="AW157" s="3089"/>
      <c r="AX157" s="3086" t="s">
        <v>2137</v>
      </c>
      <c r="AY157" s="3083"/>
      <c r="AZ157" s="3084" t="s">
        <v>2223</v>
      </c>
      <c r="BA157" s="3090"/>
      <c r="BB157" s="3091" t="s">
        <v>2223</v>
      </c>
      <c r="BC157" s="3092"/>
      <c r="BD157" s="3093" t="s">
        <v>2223</v>
      </c>
      <c r="BE157" s="3089"/>
      <c r="BF157" s="3086" t="s">
        <v>2223</v>
      </c>
    </row>
    <row r="158" spans="2:58" ht="409.6" thickBot="1" x14ac:dyDescent="0.3">
      <c r="B158" s="3094" t="s">
        <v>276</v>
      </c>
      <c r="C158" s="2693" t="s">
        <v>174</v>
      </c>
      <c r="D158" s="1288"/>
      <c r="E158" s="3095"/>
      <c r="F158" s="3096" t="s">
        <v>2227</v>
      </c>
      <c r="G158" s="3095"/>
      <c r="H158" s="3096" t="s">
        <v>2266</v>
      </c>
      <c r="I158" s="3097"/>
      <c r="J158" s="3098" t="s">
        <v>2266</v>
      </c>
      <c r="K158" s="3095"/>
      <c r="L158" s="3096" t="s">
        <v>1980</v>
      </c>
      <c r="M158" s="3099"/>
      <c r="N158" s="3100" t="str">
        <f>L158</f>
        <v xml:space="preserve">
10th Relining carried on 28.07.22-02.08.22 which has resulted in 3510 Heats till 21.03.23.11th relining carried on from 22.03.2023-27.03.2023 which has resulted 10700 Heats till 28.04.2025.12th relining carried on from 29.04.2025 to-08.05.2025 which has resulted 995 Heats till 30.06.2025.</v>
      </c>
      <c r="O158" s="3095"/>
      <c r="P158" s="3096" t="s">
        <v>1999</v>
      </c>
      <c r="Q158" s="3101"/>
      <c r="R158" s="3098" t="str">
        <f>P158</f>
        <v xml:space="preserve">
10th Relining carried on 28.07.22-02.08.22 which has resulted in 3510 Heats till 21.03.23.11th relining carried on from 22.03.2023-27.03.2023 which has resulted 10700 Heats till 28.04.2025.12th relining carried on from 29.04.2025 to-08.05.2025 which has resulted 1557 Heats till 31.07.2025.</v>
      </c>
      <c r="S158" s="3095"/>
      <c r="T158" s="3096" t="s">
        <v>2004</v>
      </c>
      <c r="U158" s="3101"/>
      <c r="V158" s="3098" t="str">
        <f>T158</f>
        <v xml:space="preserve">
10th Relining carried on 28.07.22-02.08.22 which has resulted in 3510 Heats till 21.03.23.11th relining carried on from 22.03.2023-27.03.2023 which has resulted 10700 Heats till 28.04.2025.12th relining carried on from 29.04.2025 to-08.05.2025 which has resulted 2090 Heats till 31.08.2025.</v>
      </c>
      <c r="W158" s="3095"/>
      <c r="X158" s="3096" t="s">
        <v>2021</v>
      </c>
      <c r="Y158" s="3099"/>
      <c r="Z158" s="3102" t="str">
        <f>X158</f>
        <v xml:space="preserve">
10th Relining carried on 28.07.22-02.08.22 which has resulted in 3510 Heats till 21.03.23.11th relining carried on from 22.03.2023-27.03.2023 which has resulted 10700 Heats till 28.04.2025.12th relining carried on from 29.04.2025 to-08.05.2025 which has resulted 2607 Heats till 30.09.2025.</v>
      </c>
      <c r="AA158" s="3103"/>
      <c r="AB158" s="3104" t="str">
        <f>X158</f>
        <v xml:space="preserve">
10th Relining carried on 28.07.22-02.08.22 which has resulted in 3510 Heats till 21.03.23.11th relining carried on from 22.03.2023-27.03.2023 which has resulted 10700 Heats till 28.04.2025.12th relining carried on from 29.04.2025 to-08.05.2025 which has resulted 2607 Heats till 30.09.2025.</v>
      </c>
      <c r="AC158" s="3095"/>
      <c r="AD158" s="3096" t="s">
        <v>2050</v>
      </c>
      <c r="AE158" s="3101"/>
      <c r="AF158" s="3098" t="str">
        <f>AD158</f>
        <v xml:space="preserve">
10th Relining carried on 28.07.22-02.08.22 which has resulted in 3510 Heats till 21.03.23.11th relining carried on from 22.03.2023-27.03.2023 which has resulted 10700 Heats till 28.04.2025.12th relining carried on from 29.04.2025 to-08.05.2025 which has resulted 3000 Heats till 31.10.2025.</v>
      </c>
      <c r="AG158" s="3095"/>
      <c r="AH158" s="3096" t="s">
        <v>2066</v>
      </c>
      <c r="AI158" s="3101"/>
      <c r="AJ158" s="3098" t="str">
        <f>AH158</f>
        <v xml:space="preserve">
10th Relining carried on 28.07.22-02.08.22 which has resulted in 3510 Heats till 21.03.23.11th relining carried on from 22.03.2023-27.03.2023 which has resulted 10700 Heats till 28.04.2025.12th relining carried on from 29.04.2025 to-08.05.2025 which has resulted 3489 Heats till 30.11.2025.</v>
      </c>
      <c r="AK158" s="3095"/>
      <c r="AL158" s="3096" t="s">
        <v>2098</v>
      </c>
      <c r="AM158" s="3099"/>
      <c r="AN158" s="3102" t="str">
        <f>AL158</f>
        <v xml:space="preserve">
10th Relining carried on 28.07.22-02.08.22 which has resulted in 3510 Heats till 21.03.23.11th relining carried on from 22.03.2023-27.03.2023 which has resulted 10700 Heats till 28.04.2025.12th relining carried on from 29.04.2025 to-08.05.2025 which has resulted 3979 Heats till 31.12.2025.</v>
      </c>
      <c r="AO158" s="3101"/>
      <c r="AP158" s="3098" t="str">
        <f>AL158</f>
        <v xml:space="preserve">
10th Relining carried on 28.07.22-02.08.22 which has resulted in 3510 Heats till 21.03.23.11th relining carried on from 22.03.2023-27.03.2023 which has resulted 10700 Heats till 28.04.2025.12th relining carried on from 29.04.2025 to-08.05.2025 which has resulted 3979 Heats till 31.12.2025.</v>
      </c>
      <c r="AQ158" s="3095"/>
      <c r="AR158" s="3096" t="s">
        <v>2102</v>
      </c>
      <c r="AS158" s="3101"/>
      <c r="AT158" s="3098" t="str">
        <f>AR158</f>
        <v xml:space="preserve">
10th Relining carried on 28.07.22-02.08.22 which has resulted in 3510 Heats till 21.03.23.11th relining carried on from 22.03.2023-27.03.2023 which has resulted 10700 Heats till 28.04.2025.12th relining carried on from 29.04.2025 to-08.05.2025 which has resulted 4415 Heats till 31.01.2026.</v>
      </c>
      <c r="AU158" s="3095"/>
      <c r="AV158" s="3096" t="s">
        <v>2138</v>
      </c>
      <c r="AW158" s="3101"/>
      <c r="AX158" s="3098" t="s">
        <v>2138</v>
      </c>
      <c r="AY158" s="3095"/>
      <c r="AZ158" s="3096" t="s">
        <v>2224</v>
      </c>
      <c r="BA158" s="3099"/>
      <c r="BB158" s="3102" t="s">
        <v>2224</v>
      </c>
      <c r="BC158" s="3103"/>
      <c r="BD158" s="3104" t="s">
        <v>2224</v>
      </c>
      <c r="BE158" s="3101"/>
      <c r="BF158" s="3098" t="s">
        <v>2224</v>
      </c>
    </row>
    <row r="159" spans="2:58" ht="405.75" customHeight="1" thickBot="1" x14ac:dyDescent="0.3">
      <c r="B159" s="3105" t="s">
        <v>277</v>
      </c>
      <c r="C159" s="2696" t="s">
        <v>174</v>
      </c>
      <c r="D159" s="2749"/>
      <c r="E159" s="3106"/>
      <c r="F159" s="3107" t="s">
        <v>2228</v>
      </c>
      <c r="G159" s="3106"/>
      <c r="H159" s="3107" t="s">
        <v>2267</v>
      </c>
      <c r="I159" s="3108"/>
      <c r="J159" s="3109" t="s">
        <v>2267</v>
      </c>
      <c r="K159" s="3106"/>
      <c r="L159" s="3107" t="s">
        <v>1981</v>
      </c>
      <c r="M159" s="3110"/>
      <c r="N159" s="3111" t="str">
        <f>L159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12539 Heats till 30.06.25.</v>
      </c>
      <c r="O159" s="3106"/>
      <c r="P159" s="3107" t="s">
        <v>2000</v>
      </c>
      <c r="Q159" s="3112"/>
      <c r="R159" s="3113" t="str">
        <f>P159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13063 Heats till 31.07.25.</v>
      </c>
      <c r="S159" s="3106"/>
      <c r="T159" s="3107" t="s">
        <v>2005</v>
      </c>
      <c r="U159" s="3112"/>
      <c r="V159" s="3113" t="str">
        <f>T159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13563 Heats till 31.08.25.</v>
      </c>
      <c r="W159" s="3106"/>
      <c r="X159" s="3107" t="s">
        <v>2022</v>
      </c>
      <c r="Y159" s="3115"/>
      <c r="Z159" s="3116" t="str">
        <f>X159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14019 Heats till 30.09.25.</v>
      </c>
      <c r="AA159" s="3117"/>
      <c r="AB159" s="3118" t="str">
        <f>X159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14019 Heats till 30.09.25.</v>
      </c>
      <c r="AC159" s="3106"/>
      <c r="AD159" s="3107" t="s">
        <v>2054</v>
      </c>
      <c r="AE159" s="3112"/>
      <c r="AF159" s="3113" t="str">
        <f>AD159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14424 Heats till 31.10.25.</v>
      </c>
      <c r="AG159" s="3106"/>
      <c r="AH159" s="3107" t="s">
        <v>2067</v>
      </c>
      <c r="AI159" s="3112"/>
      <c r="AJ159" s="3113" t="str">
        <f>AH159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14861 Heats till 30.11.25.</v>
      </c>
      <c r="AK159" s="3106"/>
      <c r="AL159" s="3107" t="s">
        <v>2097</v>
      </c>
      <c r="AM159" s="3115"/>
      <c r="AN159" s="3116" t="str">
        <f>AL159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15343 Heats till 31.12.25.</v>
      </c>
      <c r="AO159" s="3112"/>
      <c r="AP159" s="3113" t="str">
        <f>AL159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15343 Heats till 31.12.25.</v>
      </c>
      <c r="AQ159" s="3106"/>
      <c r="AR159" s="3107" t="s">
        <v>2103</v>
      </c>
      <c r="AS159" s="3112"/>
      <c r="AT159" s="3113" t="str">
        <f>AR159</f>
        <v>9th Relining carried out from 04.02.22 to 11.02.22 , started from 12.02.22 resulted in 3990 Heats till 31.10.22.
10th Relining carried out from 10.11.22 to 15.11.22 , started from 16.11.22 resulted in 2598 Heats till 09.04.23.
11th Relining carried out from 10.04.23 to 19.04.23 , started from 20.04.23 resulted in 15834 Heats till 31.01.26.</v>
      </c>
      <c r="AU159" s="3095"/>
      <c r="AV159" s="3114" t="s">
        <v>2139</v>
      </c>
      <c r="AW159" s="3112"/>
      <c r="AX159" s="3113" t="s">
        <v>2139</v>
      </c>
      <c r="AY159" s="3095"/>
      <c r="AZ159" s="3114" t="s">
        <v>2225</v>
      </c>
      <c r="BA159" s="3115"/>
      <c r="BB159" s="3116" t="s">
        <v>2225</v>
      </c>
      <c r="BC159" s="3117"/>
      <c r="BD159" s="3118" t="s">
        <v>2225</v>
      </c>
      <c r="BE159" s="3112"/>
      <c r="BF159" s="3113" t="s">
        <v>2225</v>
      </c>
    </row>
    <row r="160" spans="2:58" ht="21" customHeight="1" x14ac:dyDescent="0.25">
      <c r="D160" s="4"/>
      <c r="E160" s="4"/>
      <c r="F160" s="4"/>
      <c r="G160" s="4"/>
      <c r="H160" s="4"/>
      <c r="I160" s="4"/>
      <c r="J160" s="4"/>
      <c r="K160" s="4"/>
      <c r="M160" s="4"/>
      <c r="O160" s="4"/>
      <c r="Q160" s="4"/>
    </row>
    <row r="161" spans="4:17" ht="21" customHeight="1" x14ac:dyDescent="0.25">
      <c r="D161" s="4"/>
      <c r="E161" s="4"/>
      <c r="F161" s="4"/>
      <c r="G161" s="4"/>
      <c r="H161" s="4"/>
      <c r="I161" s="4"/>
      <c r="J161" s="4"/>
      <c r="K161" s="4"/>
      <c r="M161" s="4"/>
      <c r="O161" s="4"/>
      <c r="Q161" s="4"/>
    </row>
    <row r="162" spans="4:17" ht="21" customHeight="1" x14ac:dyDescent="0.25">
      <c r="D162" s="4"/>
      <c r="E162" s="4"/>
      <c r="F162" s="4"/>
      <c r="G162" s="4"/>
      <c r="H162" s="4"/>
      <c r="I162" s="4"/>
      <c r="J162" s="4"/>
      <c r="K162" s="4"/>
      <c r="M162" s="4"/>
      <c r="O162" s="4"/>
      <c r="Q162" s="4"/>
    </row>
    <row r="163" spans="4:17" ht="21" customHeight="1" x14ac:dyDescent="0.25">
      <c r="D163" s="4"/>
      <c r="E163" s="4"/>
      <c r="F163" s="4"/>
      <c r="G163" s="4"/>
      <c r="H163" s="4"/>
      <c r="I163" s="4"/>
      <c r="J163" s="4"/>
      <c r="K163" s="4"/>
      <c r="M163" s="4"/>
      <c r="O163" s="4"/>
      <c r="Q163" s="4"/>
    </row>
    <row r="164" spans="4:17" ht="21" customHeight="1" x14ac:dyDescent="0.25">
      <c r="D164" s="4"/>
      <c r="E164" s="4"/>
      <c r="F164" s="4"/>
      <c r="G164" s="4"/>
      <c r="H164" s="4"/>
      <c r="I164" s="4"/>
      <c r="J164" s="4"/>
      <c r="K164" s="4"/>
      <c r="M164" s="4"/>
      <c r="O164" s="4"/>
      <c r="Q164" s="4"/>
    </row>
    <row r="165" spans="4:17" ht="21" customHeight="1" x14ac:dyDescent="0.25">
      <c r="D165" s="4"/>
      <c r="E165" s="4"/>
      <c r="F165" s="4"/>
      <c r="G165" s="4"/>
      <c r="H165" s="4"/>
      <c r="I165" s="4"/>
      <c r="J165" s="4"/>
      <c r="K165" s="4"/>
      <c r="M165" s="4"/>
      <c r="O165" s="4"/>
      <c r="Q165" s="4"/>
    </row>
    <row r="166" spans="4:17" ht="21" customHeight="1" x14ac:dyDescent="0.25">
      <c r="D166" s="4"/>
      <c r="E166" s="4"/>
      <c r="F166" s="4"/>
      <c r="G166" s="4"/>
      <c r="H166" s="4"/>
      <c r="I166" s="4"/>
      <c r="J166" s="4"/>
      <c r="K166" s="4"/>
      <c r="M166" s="4"/>
      <c r="O166" s="4"/>
      <c r="Q166" s="4"/>
    </row>
    <row r="167" spans="4:17" ht="21" customHeight="1" x14ac:dyDescent="0.25">
      <c r="D167" s="4"/>
      <c r="E167" s="4"/>
      <c r="F167" s="4"/>
      <c r="G167" s="4"/>
      <c r="H167" s="4"/>
      <c r="I167" s="4"/>
      <c r="J167" s="4"/>
      <c r="K167" s="4"/>
      <c r="M167" s="4"/>
      <c r="O167" s="4"/>
      <c r="Q167" s="4"/>
    </row>
    <row r="168" spans="4:17" ht="21" customHeight="1" x14ac:dyDescent="0.25">
      <c r="D168" s="4"/>
      <c r="E168" s="4"/>
      <c r="F168" s="4"/>
      <c r="G168" s="4"/>
      <c r="H168" s="4"/>
      <c r="I168" s="4"/>
      <c r="J168" s="4"/>
      <c r="K168" s="4"/>
      <c r="M168" s="4"/>
      <c r="O168" s="4"/>
      <c r="Q168" s="4"/>
    </row>
    <row r="169" spans="4:17" ht="21" customHeight="1" x14ac:dyDescent="0.25">
      <c r="D169" s="4"/>
      <c r="E169" s="4"/>
      <c r="F169" s="4"/>
      <c r="G169" s="4"/>
      <c r="H169" s="4"/>
      <c r="I169" s="4"/>
      <c r="J169" s="4"/>
      <c r="K169" s="4"/>
      <c r="M169" s="4"/>
      <c r="O169" s="4"/>
      <c r="Q169" s="4"/>
    </row>
    <row r="170" spans="4:17" ht="21" customHeight="1" x14ac:dyDescent="0.25">
      <c r="D170" s="4"/>
      <c r="E170" s="4"/>
      <c r="F170" s="4"/>
      <c r="G170" s="4"/>
      <c r="H170" s="4"/>
      <c r="I170" s="4"/>
      <c r="J170" s="4"/>
      <c r="K170" s="4"/>
      <c r="M170" s="4"/>
      <c r="O170" s="4"/>
      <c r="Q170" s="4"/>
    </row>
    <row r="171" spans="4:17" ht="21" customHeight="1" x14ac:dyDescent="0.25">
      <c r="D171" s="4"/>
      <c r="E171" s="4"/>
      <c r="F171" s="4"/>
      <c r="G171" s="4"/>
      <c r="H171" s="4"/>
      <c r="I171" s="4"/>
      <c r="J171" s="4"/>
      <c r="K171" s="4"/>
      <c r="M171" s="4"/>
      <c r="O171" s="4"/>
      <c r="Q171" s="4"/>
    </row>
    <row r="172" spans="4:17" ht="21" customHeight="1" x14ac:dyDescent="0.25">
      <c r="D172" s="4"/>
      <c r="E172" s="4"/>
      <c r="F172" s="4"/>
      <c r="G172" s="4"/>
      <c r="H172" s="4"/>
      <c r="I172" s="4"/>
      <c r="J172" s="4"/>
      <c r="K172" s="4"/>
      <c r="M172" s="4"/>
      <c r="O172" s="4"/>
      <c r="Q172" s="4"/>
    </row>
    <row r="173" spans="4:17" ht="21" customHeight="1" x14ac:dyDescent="0.25">
      <c r="D173" s="4"/>
      <c r="E173" s="4"/>
      <c r="F173" s="4"/>
      <c r="G173" s="4"/>
      <c r="H173" s="4"/>
      <c r="I173" s="4"/>
      <c r="J173" s="4"/>
      <c r="K173" s="4"/>
      <c r="M173" s="4"/>
      <c r="O173" s="4"/>
      <c r="Q173" s="4"/>
    </row>
    <row r="174" spans="4:17" ht="21" customHeight="1" x14ac:dyDescent="0.25">
      <c r="D174" s="4"/>
      <c r="E174" s="4"/>
      <c r="F174" s="4"/>
      <c r="G174" s="4"/>
      <c r="H174" s="4"/>
      <c r="I174" s="4"/>
      <c r="J174" s="4"/>
      <c r="K174" s="4"/>
      <c r="M174" s="4"/>
      <c r="O174" s="4"/>
      <c r="Q174" s="4"/>
    </row>
    <row r="175" spans="4:17" ht="21" customHeight="1" x14ac:dyDescent="0.25">
      <c r="D175" s="4"/>
      <c r="E175" s="4"/>
      <c r="F175" s="4"/>
      <c r="G175" s="4"/>
      <c r="H175" s="4"/>
      <c r="I175" s="4"/>
      <c r="J175" s="4"/>
      <c r="K175" s="4"/>
      <c r="M175" s="4"/>
      <c r="O175" s="4"/>
      <c r="Q175" s="4"/>
    </row>
    <row r="176" spans="4:17" ht="21" customHeight="1" x14ac:dyDescent="0.25">
      <c r="D176" s="4"/>
      <c r="E176" s="4"/>
      <c r="F176" s="4"/>
      <c r="G176" s="4"/>
      <c r="H176" s="4"/>
      <c r="I176" s="4"/>
      <c r="J176" s="4"/>
      <c r="K176" s="4"/>
      <c r="M176" s="4"/>
      <c r="O176" s="4"/>
      <c r="Q176" s="4"/>
    </row>
    <row r="177" spans="4:38" ht="21" customHeight="1" x14ac:dyDescent="0.25">
      <c r="D177" s="4"/>
      <c r="E177" s="4"/>
      <c r="F177" s="4"/>
      <c r="G177" s="4"/>
      <c r="H177" s="4"/>
      <c r="I177" s="4"/>
      <c r="J177" s="4"/>
      <c r="K177" s="4"/>
      <c r="M177" s="4"/>
      <c r="O177" s="4"/>
      <c r="Q177" s="4"/>
    </row>
    <row r="178" spans="4:38" ht="21" customHeight="1" x14ac:dyDescent="0.25">
      <c r="D178" s="4"/>
      <c r="E178" s="4"/>
      <c r="F178" s="4"/>
      <c r="G178" s="4"/>
      <c r="H178" s="4"/>
      <c r="I178" s="4"/>
      <c r="J178" s="4"/>
      <c r="K178" s="4"/>
      <c r="M178" s="4"/>
      <c r="O178" s="4"/>
      <c r="Q178" s="4"/>
    </row>
    <row r="179" spans="4:38" ht="21" customHeight="1" x14ac:dyDescent="0.25">
      <c r="D179" s="4"/>
      <c r="E179" s="4"/>
      <c r="F179" s="4"/>
      <c r="G179" s="4"/>
      <c r="H179" s="4"/>
      <c r="I179" s="4"/>
      <c r="J179" s="4"/>
      <c r="K179" s="4"/>
      <c r="M179" s="4"/>
      <c r="O179" s="4"/>
      <c r="Q179" s="4"/>
    </row>
    <row r="180" spans="4:38" ht="21" customHeight="1" x14ac:dyDescent="0.25">
      <c r="D180" s="4"/>
      <c r="E180" s="4"/>
      <c r="F180" s="4"/>
      <c r="G180" s="4"/>
      <c r="H180" s="4"/>
      <c r="I180" s="4"/>
      <c r="J180" s="4"/>
      <c r="K180" s="4"/>
      <c r="M180" s="4"/>
      <c r="O180" s="4"/>
      <c r="Q180" s="4"/>
    </row>
    <row r="181" spans="4:38" ht="21" customHeight="1" x14ac:dyDescent="0.25">
      <c r="E181" s="4"/>
      <c r="F181" s="4"/>
      <c r="L181" s="41"/>
      <c r="P181" s="41"/>
      <c r="S181" s="105"/>
      <c r="U181" s="105"/>
    </row>
    <row r="182" spans="4:38" ht="21" customHeight="1" x14ac:dyDescent="0.25">
      <c r="E182" s="4"/>
      <c r="F182" s="4"/>
      <c r="L182" s="41"/>
      <c r="P182" s="41"/>
      <c r="S182" s="105"/>
      <c r="U182" s="105"/>
      <c r="AL182" s="4">
        <f>AL127/AL5*1000</f>
        <v>2.7329166044417894</v>
      </c>
    </row>
    <row r="183" spans="4:38" ht="21" customHeight="1" x14ac:dyDescent="0.25">
      <c r="E183" s="4"/>
      <c r="F183" s="4"/>
      <c r="L183" s="41"/>
      <c r="P183" s="41"/>
      <c r="S183" s="105"/>
      <c r="U183" s="105"/>
    </row>
    <row r="184" spans="4:38" ht="21" customHeight="1" x14ac:dyDescent="0.25">
      <c r="E184" s="4"/>
      <c r="F184" s="4"/>
      <c r="L184" s="41"/>
      <c r="P184" s="41"/>
      <c r="S184" s="105"/>
      <c r="U184" s="105"/>
    </row>
    <row r="185" spans="4:38" ht="21" customHeight="1" x14ac:dyDescent="0.25">
      <c r="E185" s="4"/>
      <c r="F185" s="4"/>
      <c r="L185" s="41"/>
      <c r="P185" s="41"/>
      <c r="S185" s="105"/>
      <c r="U185" s="105"/>
    </row>
    <row r="186" spans="4:38" ht="21" customHeight="1" x14ac:dyDescent="0.25">
      <c r="E186" s="4"/>
      <c r="F186" s="4"/>
      <c r="L186" s="41"/>
      <c r="P186" s="41"/>
      <c r="S186" s="105"/>
      <c r="U186" s="105"/>
    </row>
    <row r="187" spans="4:38" ht="21" customHeight="1" x14ac:dyDescent="0.25">
      <c r="E187" s="4"/>
      <c r="F187" s="4"/>
      <c r="L187" s="41"/>
      <c r="P187" s="41"/>
      <c r="S187" s="105"/>
      <c r="U187" s="105"/>
    </row>
    <row r="188" spans="4:38" ht="21" customHeight="1" x14ac:dyDescent="0.25">
      <c r="E188" s="4"/>
      <c r="F188" s="4"/>
      <c r="L188" s="41"/>
      <c r="P188" s="41"/>
      <c r="S188" s="105"/>
      <c r="U188" s="105"/>
    </row>
    <row r="189" spans="4:38" ht="21" customHeight="1" x14ac:dyDescent="0.25">
      <c r="E189" s="4"/>
      <c r="F189" s="4"/>
      <c r="L189" s="41"/>
      <c r="P189" s="41"/>
      <c r="S189" s="105"/>
      <c r="U189" s="105"/>
    </row>
    <row r="190" spans="4:38" ht="21" customHeight="1" x14ac:dyDescent="0.25">
      <c r="E190" s="4"/>
      <c r="F190" s="4"/>
      <c r="L190" s="41"/>
      <c r="P190" s="41"/>
      <c r="S190" s="105"/>
      <c r="U190" s="105"/>
    </row>
    <row r="191" spans="4:38" ht="21" customHeight="1" x14ac:dyDescent="0.25">
      <c r="E191" s="4"/>
      <c r="F191" s="4"/>
      <c r="L191" s="41"/>
      <c r="P191" s="41"/>
      <c r="S191" s="105"/>
      <c r="U191" s="105"/>
    </row>
    <row r="192" spans="4:38" ht="21" customHeight="1" x14ac:dyDescent="0.25">
      <c r="E192" s="4"/>
      <c r="F192" s="4"/>
      <c r="L192" s="41"/>
      <c r="P192" s="41"/>
      <c r="S192" s="105"/>
      <c r="U192" s="105"/>
    </row>
    <row r="193" spans="5:21" ht="21" customHeight="1" x14ac:dyDescent="0.25">
      <c r="E193" s="4"/>
      <c r="F193" s="4"/>
      <c r="L193" s="41"/>
      <c r="P193" s="41"/>
      <c r="S193" s="105"/>
      <c r="U193" s="105"/>
    </row>
    <row r="194" spans="5:21" ht="21" customHeight="1" x14ac:dyDescent="0.25">
      <c r="E194" s="4"/>
      <c r="F194" s="4"/>
      <c r="L194" s="41"/>
      <c r="P194" s="41"/>
      <c r="S194" s="105"/>
      <c r="U194" s="105"/>
    </row>
    <row r="195" spans="5:21" ht="21" customHeight="1" x14ac:dyDescent="0.25">
      <c r="E195" s="4"/>
      <c r="F195" s="4"/>
      <c r="L195" s="41"/>
      <c r="P195" s="41"/>
      <c r="S195" s="105"/>
      <c r="U195" s="105"/>
    </row>
    <row r="196" spans="5:21" ht="21" customHeight="1" x14ac:dyDescent="0.25">
      <c r="E196" s="4"/>
      <c r="F196" s="4"/>
      <c r="L196" s="41"/>
      <c r="P196" s="41"/>
      <c r="S196" s="105"/>
      <c r="U196" s="105"/>
    </row>
    <row r="197" spans="5:21" ht="21" customHeight="1" x14ac:dyDescent="0.25">
      <c r="E197" s="4"/>
      <c r="F197" s="4"/>
      <c r="L197" s="41"/>
      <c r="P197" s="41"/>
      <c r="S197" s="105"/>
      <c r="U197" s="105"/>
    </row>
    <row r="198" spans="5:21" ht="21" customHeight="1" x14ac:dyDescent="0.25">
      <c r="E198" s="4"/>
      <c r="F198" s="4"/>
      <c r="L198" s="41"/>
      <c r="P198" s="41"/>
      <c r="S198" s="105"/>
      <c r="U198" s="105"/>
    </row>
    <row r="199" spans="5:21" ht="21" customHeight="1" x14ac:dyDescent="0.25">
      <c r="E199" s="4"/>
      <c r="F199" s="4"/>
      <c r="L199" s="41"/>
      <c r="P199" s="41"/>
      <c r="S199" s="105"/>
      <c r="U199" s="105"/>
    </row>
    <row r="200" spans="5:21" ht="21" customHeight="1" x14ac:dyDescent="0.25">
      <c r="E200" s="4"/>
      <c r="F200" s="4"/>
      <c r="L200" s="41"/>
      <c r="P200" s="41"/>
      <c r="S200" s="105"/>
      <c r="U200" s="105"/>
    </row>
    <row r="201" spans="5:21" ht="21" customHeight="1" x14ac:dyDescent="0.25">
      <c r="E201" s="4"/>
      <c r="F201" s="4"/>
      <c r="L201" s="41"/>
      <c r="P201" s="41"/>
      <c r="S201" s="105"/>
      <c r="U201" s="105"/>
    </row>
    <row r="202" spans="5:21" ht="21" customHeight="1" x14ac:dyDescent="0.25">
      <c r="E202" s="4"/>
      <c r="F202" s="4"/>
      <c r="L202" s="41"/>
      <c r="P202" s="41"/>
      <c r="S202" s="105"/>
      <c r="U202" s="105"/>
    </row>
    <row r="203" spans="5:21" ht="21" customHeight="1" x14ac:dyDescent="0.25">
      <c r="E203" s="4"/>
      <c r="F203" s="4"/>
      <c r="L203" s="41"/>
      <c r="P203" s="41"/>
      <c r="S203" s="105"/>
      <c r="U203" s="105"/>
    </row>
    <row r="204" spans="5:21" ht="21" customHeight="1" x14ac:dyDescent="0.25">
      <c r="E204" s="4"/>
      <c r="F204" s="4"/>
      <c r="S204" s="105"/>
      <c r="U204" s="105"/>
    </row>
    <row r="205" spans="5:21" ht="21" customHeight="1" x14ac:dyDescent="0.25">
      <c r="E205" s="4"/>
      <c r="F205" s="4"/>
      <c r="S205" s="105"/>
      <c r="U205" s="105"/>
    </row>
    <row r="206" spans="5:21" ht="21" customHeight="1" x14ac:dyDescent="0.25">
      <c r="E206" s="4"/>
      <c r="F206" s="4"/>
      <c r="S206" s="105"/>
      <c r="U206" s="105"/>
    </row>
    <row r="207" spans="5:21" ht="21" customHeight="1" x14ac:dyDescent="0.25">
      <c r="E207" s="4"/>
      <c r="F207" s="4"/>
      <c r="S207" s="105"/>
      <c r="U207" s="105"/>
    </row>
    <row r="208" spans="5:21" ht="21" customHeight="1" x14ac:dyDescent="0.25">
      <c r="E208" s="4"/>
      <c r="F208" s="4"/>
      <c r="S208" s="105"/>
      <c r="U208" s="105"/>
    </row>
    <row r="209" spans="5:21" ht="21" customHeight="1" x14ac:dyDescent="0.25">
      <c r="E209" s="4"/>
      <c r="F209" s="4"/>
      <c r="S209" s="105"/>
      <c r="U209" s="105"/>
    </row>
    <row r="210" spans="5:21" ht="21" customHeight="1" x14ac:dyDescent="0.25">
      <c r="E210" s="4"/>
      <c r="F210" s="4"/>
      <c r="S210" s="105"/>
      <c r="U210" s="105"/>
    </row>
    <row r="211" spans="5:21" ht="21" customHeight="1" x14ac:dyDescent="0.25">
      <c r="E211" s="4"/>
      <c r="F211" s="4"/>
      <c r="S211" s="105"/>
      <c r="U211" s="105"/>
    </row>
    <row r="212" spans="5:21" ht="21" customHeight="1" x14ac:dyDescent="0.25">
      <c r="E212" s="4"/>
      <c r="F212" s="4"/>
      <c r="S212" s="105"/>
      <c r="U212" s="105"/>
    </row>
    <row r="213" spans="5:21" ht="21" customHeight="1" x14ac:dyDescent="0.25">
      <c r="E213" s="4"/>
      <c r="F213" s="4"/>
      <c r="S213" s="105"/>
      <c r="U213" s="105"/>
    </row>
    <row r="214" spans="5:21" ht="21" customHeight="1" x14ac:dyDescent="0.25">
      <c r="E214" s="4"/>
      <c r="F214" s="4"/>
      <c r="S214" s="105"/>
      <c r="U214" s="105"/>
    </row>
    <row r="215" spans="5:21" ht="21" customHeight="1" x14ac:dyDescent="0.25">
      <c r="E215" s="4"/>
      <c r="F215" s="4"/>
      <c r="S215" s="105"/>
      <c r="U215" s="105"/>
    </row>
    <row r="216" spans="5:21" ht="21" customHeight="1" x14ac:dyDescent="0.25">
      <c r="E216" s="4"/>
      <c r="F216" s="4"/>
      <c r="S216" s="105"/>
      <c r="U216" s="105"/>
    </row>
    <row r="217" spans="5:21" ht="21" customHeight="1" x14ac:dyDescent="0.25">
      <c r="E217" s="4"/>
      <c r="F217" s="4"/>
      <c r="S217" s="105"/>
      <c r="U217" s="105"/>
    </row>
    <row r="218" spans="5:21" ht="21" customHeight="1" x14ac:dyDescent="0.25">
      <c r="E218" s="4"/>
      <c r="F218" s="4"/>
      <c r="S218" s="105"/>
      <c r="U218" s="105"/>
    </row>
    <row r="219" spans="5:21" ht="21" customHeight="1" x14ac:dyDescent="0.25">
      <c r="E219" s="4"/>
      <c r="F219" s="4"/>
      <c r="S219" s="105"/>
      <c r="U219" s="105"/>
    </row>
    <row r="220" spans="5:21" ht="21" customHeight="1" x14ac:dyDescent="0.25">
      <c r="E220" s="4"/>
      <c r="F220" s="4"/>
      <c r="S220" s="105"/>
      <c r="U220" s="105"/>
    </row>
    <row r="221" spans="5:21" ht="21" customHeight="1" x14ac:dyDescent="0.25">
      <c r="E221" s="4"/>
      <c r="F221" s="4"/>
      <c r="S221" s="105"/>
      <c r="U221" s="105"/>
    </row>
    <row r="222" spans="5:21" ht="21" customHeight="1" x14ac:dyDescent="0.25">
      <c r="E222" s="4"/>
      <c r="F222" s="4"/>
      <c r="S222" s="105"/>
      <c r="U222" s="105"/>
    </row>
    <row r="223" spans="5:21" ht="21" customHeight="1" x14ac:dyDescent="0.25">
      <c r="E223" s="4"/>
      <c r="F223" s="4"/>
      <c r="S223" s="105"/>
      <c r="U223" s="105"/>
    </row>
    <row r="224" spans="5:21" ht="21" customHeight="1" x14ac:dyDescent="0.25">
      <c r="E224" s="4"/>
      <c r="F224" s="4"/>
      <c r="S224" s="105"/>
      <c r="U224" s="105"/>
    </row>
    <row r="225" spans="5:21" ht="21" customHeight="1" x14ac:dyDescent="0.25">
      <c r="E225" s="4"/>
      <c r="F225" s="4"/>
      <c r="S225" s="105"/>
      <c r="U225" s="105"/>
    </row>
    <row r="226" spans="5:21" ht="21" customHeight="1" x14ac:dyDescent="0.25">
      <c r="E226" s="4"/>
      <c r="F226" s="4"/>
      <c r="S226" s="105"/>
      <c r="U226" s="105"/>
    </row>
    <row r="227" spans="5:21" ht="21" customHeight="1" x14ac:dyDescent="0.25">
      <c r="E227" s="4"/>
      <c r="F227" s="4"/>
      <c r="S227" s="105"/>
      <c r="U227" s="105"/>
    </row>
    <row r="228" spans="5:21" ht="21" customHeight="1" x14ac:dyDescent="0.25">
      <c r="E228" s="4"/>
      <c r="F228" s="4"/>
      <c r="S228" s="105"/>
      <c r="U228" s="105"/>
    </row>
    <row r="229" spans="5:21" ht="21" customHeight="1" x14ac:dyDescent="0.25">
      <c r="E229" s="4"/>
      <c r="F229" s="4"/>
      <c r="S229" s="105"/>
      <c r="U229" s="105"/>
    </row>
    <row r="230" spans="5:21" ht="21" customHeight="1" x14ac:dyDescent="0.25">
      <c r="E230" s="4"/>
      <c r="F230" s="4"/>
      <c r="S230" s="105"/>
      <c r="U230" s="105"/>
    </row>
    <row r="231" spans="5:21" ht="21" customHeight="1" x14ac:dyDescent="0.25">
      <c r="E231" s="4"/>
      <c r="F231" s="4"/>
      <c r="S231" s="105"/>
      <c r="U231" s="105"/>
    </row>
    <row r="232" spans="5:21" ht="21" customHeight="1" x14ac:dyDescent="0.25">
      <c r="E232" s="4"/>
      <c r="F232" s="4"/>
      <c r="S232" s="105"/>
      <c r="U232" s="105"/>
    </row>
    <row r="233" spans="5:21" ht="21" customHeight="1" x14ac:dyDescent="0.25">
      <c r="E233" s="4"/>
      <c r="F233" s="4"/>
      <c r="S233" s="105"/>
      <c r="U233" s="105"/>
    </row>
    <row r="234" spans="5:21" ht="21" customHeight="1" x14ac:dyDescent="0.25">
      <c r="E234" s="4"/>
      <c r="F234" s="4"/>
      <c r="S234" s="105"/>
      <c r="U234" s="105"/>
    </row>
    <row r="235" spans="5:21" ht="21" customHeight="1" x14ac:dyDescent="0.25">
      <c r="E235" s="4"/>
      <c r="F235" s="4"/>
      <c r="S235" s="105"/>
      <c r="U235" s="105"/>
    </row>
    <row r="236" spans="5:21" ht="21" customHeight="1" x14ac:dyDescent="0.25">
      <c r="E236" s="4"/>
      <c r="F236" s="4"/>
      <c r="S236" s="105"/>
      <c r="U236" s="105"/>
    </row>
    <row r="237" spans="5:21" ht="21" customHeight="1" x14ac:dyDescent="0.25">
      <c r="E237" s="4"/>
      <c r="F237" s="4"/>
      <c r="S237" s="105"/>
      <c r="U237" s="105"/>
    </row>
    <row r="238" spans="5:21" ht="21" customHeight="1" x14ac:dyDescent="0.25">
      <c r="E238" s="4"/>
      <c r="F238" s="4"/>
      <c r="S238" s="105"/>
      <c r="U238" s="105"/>
    </row>
    <row r="239" spans="5:21" ht="21" customHeight="1" x14ac:dyDescent="0.25">
      <c r="E239" s="4"/>
      <c r="F239" s="4"/>
      <c r="S239" s="105"/>
      <c r="U239" s="105"/>
    </row>
    <row r="240" spans="5:21" ht="21" customHeight="1" x14ac:dyDescent="0.25">
      <c r="E240" s="4"/>
      <c r="F240" s="4"/>
      <c r="S240" s="105"/>
      <c r="U240" s="105"/>
    </row>
    <row r="241" spans="5:21" ht="21" customHeight="1" x14ac:dyDescent="0.25">
      <c r="E241" s="4"/>
      <c r="F241" s="4"/>
      <c r="S241" s="105"/>
      <c r="U241" s="105"/>
    </row>
    <row r="242" spans="5:21" ht="21" customHeight="1" x14ac:dyDescent="0.25">
      <c r="E242" s="4"/>
      <c r="F242" s="4"/>
      <c r="S242" s="105"/>
      <c r="U242" s="105"/>
    </row>
    <row r="243" spans="5:21" ht="21" customHeight="1" x14ac:dyDescent="0.25">
      <c r="E243" s="4"/>
      <c r="F243" s="4"/>
      <c r="S243" s="105"/>
      <c r="U243" s="105"/>
    </row>
    <row r="244" spans="5:21" ht="21" customHeight="1" x14ac:dyDescent="0.25">
      <c r="E244" s="4"/>
      <c r="F244" s="4"/>
      <c r="S244" s="105"/>
      <c r="U244" s="105"/>
    </row>
    <row r="245" spans="5:21" ht="21" customHeight="1" x14ac:dyDescent="0.25">
      <c r="E245" s="4"/>
      <c r="F245" s="4"/>
      <c r="S245" s="105"/>
      <c r="U245" s="105"/>
    </row>
    <row r="246" spans="5:21" ht="21" customHeight="1" x14ac:dyDescent="0.25">
      <c r="E246" s="4"/>
      <c r="F246" s="4"/>
      <c r="S246" s="105"/>
      <c r="U246" s="105"/>
    </row>
    <row r="247" spans="5:21" ht="21" customHeight="1" x14ac:dyDescent="0.25">
      <c r="E247" s="4"/>
      <c r="F247" s="4"/>
      <c r="S247" s="105"/>
      <c r="U247" s="105"/>
    </row>
    <row r="248" spans="5:21" ht="21" customHeight="1" x14ac:dyDescent="0.25">
      <c r="E248" s="4"/>
      <c r="F248" s="4"/>
      <c r="S248" s="105"/>
      <c r="U248" s="105"/>
    </row>
    <row r="249" spans="5:21" ht="21" customHeight="1" x14ac:dyDescent="0.25">
      <c r="E249" s="4"/>
      <c r="F249" s="4"/>
      <c r="S249" s="105"/>
      <c r="U249" s="105"/>
    </row>
    <row r="250" spans="5:21" ht="21" customHeight="1" x14ac:dyDescent="0.25">
      <c r="E250" s="4"/>
      <c r="F250" s="4"/>
      <c r="S250" s="105"/>
      <c r="U250" s="105"/>
    </row>
    <row r="251" spans="5:21" ht="21" customHeight="1" x14ac:dyDescent="0.25">
      <c r="E251" s="4"/>
      <c r="F251" s="4"/>
      <c r="S251" s="105"/>
      <c r="U251" s="105"/>
    </row>
    <row r="252" spans="5:21" ht="21" customHeight="1" x14ac:dyDescent="0.25">
      <c r="E252" s="4"/>
      <c r="F252" s="4"/>
      <c r="S252" s="105"/>
      <c r="U252" s="105"/>
    </row>
    <row r="253" spans="5:21" ht="21" customHeight="1" x14ac:dyDescent="0.25">
      <c r="E253" s="4"/>
      <c r="F253" s="4"/>
      <c r="S253" s="105"/>
      <c r="U253" s="105"/>
    </row>
    <row r="254" spans="5:21" ht="21" customHeight="1" x14ac:dyDescent="0.25">
      <c r="E254" s="4"/>
      <c r="F254" s="4"/>
      <c r="S254" s="105"/>
      <c r="U254" s="105"/>
    </row>
    <row r="255" spans="5:21" ht="21" customHeight="1" x14ac:dyDescent="0.25">
      <c r="E255" s="4"/>
      <c r="F255" s="4"/>
      <c r="S255" s="105"/>
      <c r="U255" s="105"/>
    </row>
    <row r="256" spans="5:21" ht="21" customHeight="1" x14ac:dyDescent="0.25">
      <c r="E256" s="4"/>
      <c r="F256" s="4"/>
      <c r="S256" s="105"/>
      <c r="U256" s="105"/>
    </row>
    <row r="257" spans="5:21" ht="21" customHeight="1" x14ac:dyDescent="0.25">
      <c r="E257" s="4"/>
      <c r="F257" s="4"/>
      <c r="S257" s="105"/>
      <c r="U257" s="105"/>
    </row>
    <row r="258" spans="5:21" ht="21" customHeight="1" x14ac:dyDescent="0.25">
      <c r="E258" s="4"/>
      <c r="F258" s="4"/>
      <c r="S258" s="105"/>
      <c r="U258" s="105"/>
    </row>
    <row r="259" spans="5:21" ht="21" customHeight="1" x14ac:dyDescent="0.25">
      <c r="E259" s="4"/>
      <c r="F259" s="4"/>
      <c r="S259" s="105"/>
      <c r="U259" s="105"/>
    </row>
    <row r="260" spans="5:21" ht="21" customHeight="1" x14ac:dyDescent="0.25">
      <c r="E260" s="4"/>
      <c r="F260" s="4"/>
      <c r="S260" s="105"/>
      <c r="U260" s="105"/>
    </row>
    <row r="261" spans="5:21" ht="21" customHeight="1" x14ac:dyDescent="0.25">
      <c r="E261" s="4"/>
      <c r="F261" s="4"/>
      <c r="S261" s="105"/>
      <c r="U261" s="105"/>
    </row>
    <row r="262" spans="5:21" ht="21" customHeight="1" x14ac:dyDescent="0.25">
      <c r="E262" s="4"/>
      <c r="F262" s="4"/>
      <c r="S262" s="105"/>
      <c r="U262" s="105"/>
    </row>
    <row r="263" spans="5:21" ht="21" customHeight="1" x14ac:dyDescent="0.25">
      <c r="E263" s="4"/>
      <c r="F263" s="4"/>
      <c r="S263" s="105"/>
      <c r="U263" s="105"/>
    </row>
    <row r="264" spans="5:21" ht="21" customHeight="1" x14ac:dyDescent="0.25">
      <c r="E264" s="4"/>
      <c r="F264" s="4"/>
      <c r="S264" s="105"/>
      <c r="U264" s="105"/>
    </row>
    <row r="265" spans="5:21" ht="21" customHeight="1" x14ac:dyDescent="0.25">
      <c r="E265" s="4"/>
      <c r="F265" s="4"/>
      <c r="S265" s="105"/>
      <c r="U265" s="105"/>
    </row>
    <row r="266" spans="5:21" ht="21" customHeight="1" x14ac:dyDescent="0.25">
      <c r="E266" s="4"/>
      <c r="F266" s="4"/>
      <c r="S266" s="105"/>
      <c r="U266" s="105"/>
    </row>
    <row r="267" spans="5:21" ht="21" customHeight="1" x14ac:dyDescent="0.25">
      <c r="E267" s="4"/>
      <c r="F267" s="4"/>
      <c r="S267" s="105"/>
      <c r="U267" s="105"/>
    </row>
    <row r="268" spans="5:21" ht="21" customHeight="1" x14ac:dyDescent="0.25">
      <c r="E268" s="4"/>
      <c r="F268" s="4"/>
      <c r="S268" s="105"/>
      <c r="U268" s="105"/>
    </row>
    <row r="269" spans="5:21" ht="21" customHeight="1" x14ac:dyDescent="0.25">
      <c r="E269" s="4"/>
      <c r="F269" s="4"/>
      <c r="S269" s="105"/>
      <c r="U269" s="105"/>
    </row>
    <row r="270" spans="5:21" ht="21" customHeight="1" x14ac:dyDescent="0.25">
      <c r="E270" s="4"/>
      <c r="F270" s="4"/>
      <c r="S270" s="105"/>
      <c r="U270" s="105"/>
    </row>
    <row r="271" spans="5:21" ht="21" customHeight="1" x14ac:dyDescent="0.25">
      <c r="E271" s="4"/>
      <c r="F271" s="4"/>
      <c r="S271" s="105"/>
      <c r="U271" s="105"/>
    </row>
    <row r="272" spans="5:21" ht="21" customHeight="1" x14ac:dyDescent="0.25">
      <c r="E272" s="4"/>
      <c r="F272" s="4"/>
      <c r="S272" s="105"/>
      <c r="U272" s="105"/>
    </row>
    <row r="273" spans="5:21" ht="21" customHeight="1" x14ac:dyDescent="0.25">
      <c r="E273" s="4"/>
      <c r="F273" s="4"/>
      <c r="S273" s="105"/>
      <c r="U273" s="105"/>
    </row>
    <row r="274" spans="5:21" ht="21" customHeight="1" x14ac:dyDescent="0.25">
      <c r="E274" s="4"/>
      <c r="F274" s="4"/>
      <c r="S274" s="105"/>
      <c r="U274" s="105"/>
    </row>
    <row r="275" spans="5:21" ht="21" customHeight="1" x14ac:dyDescent="0.25">
      <c r="E275" s="4"/>
      <c r="F275" s="4"/>
      <c r="S275" s="105"/>
      <c r="U275" s="105"/>
    </row>
    <row r="276" spans="5:21" ht="21" customHeight="1" x14ac:dyDescent="0.25">
      <c r="E276" s="4"/>
      <c r="F276" s="4"/>
      <c r="S276" s="105"/>
      <c r="U276" s="105"/>
    </row>
    <row r="277" spans="5:21" ht="21" customHeight="1" x14ac:dyDescent="0.25">
      <c r="E277" s="4"/>
      <c r="F277" s="4"/>
      <c r="S277" s="105"/>
      <c r="U277" s="105"/>
    </row>
    <row r="278" spans="5:21" ht="21" customHeight="1" x14ac:dyDescent="0.25">
      <c r="E278" s="4"/>
      <c r="F278" s="4"/>
      <c r="S278" s="105"/>
      <c r="U278" s="105"/>
    </row>
    <row r="279" spans="5:21" ht="21" customHeight="1" x14ac:dyDescent="0.25">
      <c r="E279" s="4"/>
      <c r="F279" s="4"/>
      <c r="S279" s="105"/>
      <c r="U279" s="105"/>
    </row>
    <row r="280" spans="5:21" ht="21" customHeight="1" x14ac:dyDescent="0.25">
      <c r="E280" s="4"/>
      <c r="F280" s="4"/>
      <c r="S280" s="105"/>
      <c r="U280" s="105"/>
    </row>
    <row r="281" spans="5:21" ht="21" customHeight="1" x14ac:dyDescent="0.25">
      <c r="E281" s="4"/>
      <c r="F281" s="4"/>
      <c r="S281" s="105"/>
      <c r="U281" s="105"/>
    </row>
    <row r="282" spans="5:21" ht="21" customHeight="1" x14ac:dyDescent="0.25">
      <c r="E282" s="4"/>
      <c r="F282" s="4"/>
      <c r="S282" s="105"/>
      <c r="U282" s="105"/>
    </row>
    <row r="283" spans="5:21" ht="21" customHeight="1" x14ac:dyDescent="0.25">
      <c r="E283" s="4"/>
      <c r="F283" s="4"/>
      <c r="S283" s="105"/>
      <c r="U283" s="105"/>
    </row>
    <row r="284" spans="5:21" ht="21" customHeight="1" x14ac:dyDescent="0.25">
      <c r="E284" s="4"/>
      <c r="F284" s="4"/>
      <c r="S284" s="105"/>
      <c r="U284" s="105"/>
    </row>
    <row r="285" spans="5:21" ht="21" customHeight="1" x14ac:dyDescent="0.25">
      <c r="E285" s="4"/>
      <c r="F285" s="4"/>
      <c r="S285" s="105"/>
      <c r="U285" s="105"/>
    </row>
    <row r="286" spans="5:21" ht="21" customHeight="1" x14ac:dyDescent="0.25">
      <c r="E286" s="4"/>
      <c r="F286" s="4"/>
      <c r="S286" s="105"/>
      <c r="U286" s="105"/>
    </row>
    <row r="287" spans="5:21" ht="21" customHeight="1" x14ac:dyDescent="0.25">
      <c r="E287" s="4"/>
      <c r="F287" s="4"/>
      <c r="S287" s="105"/>
      <c r="U287" s="105"/>
    </row>
    <row r="288" spans="5:21" ht="21" customHeight="1" x14ac:dyDescent="0.25">
      <c r="E288" s="4"/>
      <c r="F288" s="4"/>
      <c r="S288" s="105"/>
      <c r="U288" s="105"/>
    </row>
    <row r="289" spans="5:21" ht="21" customHeight="1" x14ac:dyDescent="0.25">
      <c r="E289" s="4"/>
      <c r="F289" s="4"/>
      <c r="S289" s="105"/>
      <c r="U289" s="105"/>
    </row>
    <row r="290" spans="5:21" ht="21" customHeight="1" x14ac:dyDescent="0.25">
      <c r="E290" s="4"/>
      <c r="F290" s="4"/>
      <c r="S290" s="105"/>
      <c r="U290" s="105"/>
    </row>
    <row r="291" spans="5:21" ht="21" customHeight="1" x14ac:dyDescent="0.25">
      <c r="S291" s="105"/>
      <c r="U291" s="105"/>
    </row>
    <row r="292" spans="5:21" ht="21" customHeight="1" x14ac:dyDescent="0.25">
      <c r="S292" s="105"/>
      <c r="U292" s="105"/>
    </row>
    <row r="293" spans="5:21" ht="21" customHeight="1" x14ac:dyDescent="0.25">
      <c r="S293" s="105"/>
      <c r="U293" s="105"/>
    </row>
    <row r="294" spans="5:21" ht="21" customHeight="1" x14ac:dyDescent="0.25">
      <c r="S294" s="105"/>
      <c r="U294" s="105"/>
    </row>
    <row r="295" spans="5:21" ht="21" customHeight="1" x14ac:dyDescent="0.25">
      <c r="S295" s="105"/>
      <c r="U295" s="105"/>
    </row>
    <row r="296" spans="5:21" ht="21" customHeight="1" x14ac:dyDescent="0.25">
      <c r="S296" s="105"/>
      <c r="U296" s="105"/>
    </row>
    <row r="297" spans="5:21" ht="21" customHeight="1" x14ac:dyDescent="0.25">
      <c r="S297" s="105"/>
      <c r="U297" s="105"/>
    </row>
    <row r="298" spans="5:21" ht="21" customHeight="1" x14ac:dyDescent="0.25">
      <c r="S298" s="105"/>
      <c r="U298" s="105"/>
    </row>
    <row r="299" spans="5:21" ht="21" customHeight="1" x14ac:dyDescent="0.25">
      <c r="S299" s="105"/>
      <c r="U299" s="105"/>
    </row>
    <row r="300" spans="5:21" ht="21" customHeight="1" x14ac:dyDescent="0.25">
      <c r="S300" s="105"/>
      <c r="U300" s="105"/>
    </row>
    <row r="301" spans="5:21" ht="21" customHeight="1" x14ac:dyDescent="0.25">
      <c r="S301" s="105"/>
      <c r="U301" s="105"/>
    </row>
    <row r="302" spans="5:21" ht="21" customHeight="1" x14ac:dyDescent="0.25">
      <c r="S302" s="105"/>
      <c r="U302" s="105"/>
    </row>
    <row r="303" spans="5:21" ht="21" customHeight="1" x14ac:dyDescent="0.25">
      <c r="S303" s="105"/>
      <c r="U303" s="105"/>
    </row>
    <row r="304" spans="5:21" ht="21" customHeight="1" x14ac:dyDescent="0.25">
      <c r="S304" s="105"/>
      <c r="U304" s="105"/>
    </row>
    <row r="305" spans="19:21" ht="21" customHeight="1" x14ac:dyDescent="0.25">
      <c r="S305" s="105"/>
      <c r="U305" s="105"/>
    </row>
    <row r="306" spans="19:21" ht="21" customHeight="1" x14ac:dyDescent="0.25">
      <c r="S306" s="105"/>
      <c r="U306" s="105"/>
    </row>
    <row r="307" spans="19:21" ht="21" customHeight="1" x14ac:dyDescent="0.25">
      <c r="S307" s="105"/>
      <c r="U307" s="105"/>
    </row>
    <row r="308" spans="19:21" ht="21" customHeight="1" x14ac:dyDescent="0.25">
      <c r="S308" s="105"/>
      <c r="U308" s="105"/>
    </row>
    <row r="309" spans="19:21" ht="21" customHeight="1" x14ac:dyDescent="0.25">
      <c r="S309" s="105"/>
      <c r="U309" s="105"/>
    </row>
    <row r="310" spans="19:21" ht="21" customHeight="1" x14ac:dyDescent="0.25">
      <c r="S310" s="105"/>
      <c r="U310" s="105"/>
    </row>
    <row r="311" spans="19:21" ht="21" customHeight="1" x14ac:dyDescent="0.25">
      <c r="S311" s="105"/>
      <c r="U311" s="105"/>
    </row>
    <row r="312" spans="19:21" ht="21" customHeight="1" x14ac:dyDescent="0.25">
      <c r="S312" s="105"/>
      <c r="U312" s="105"/>
    </row>
    <row r="313" spans="19:21" ht="21" customHeight="1" x14ac:dyDescent="0.25">
      <c r="S313" s="105"/>
      <c r="U313" s="105"/>
    </row>
    <row r="314" spans="19:21" ht="21" customHeight="1" x14ac:dyDescent="0.25">
      <c r="S314" s="105"/>
      <c r="U314" s="105"/>
    </row>
    <row r="315" spans="19:21" ht="21" customHeight="1" x14ac:dyDescent="0.25">
      <c r="S315" s="105"/>
      <c r="U315" s="105"/>
    </row>
    <row r="316" spans="19:21" ht="21" customHeight="1" x14ac:dyDescent="0.25">
      <c r="S316" s="105"/>
      <c r="U316" s="105"/>
    </row>
    <row r="317" spans="19:21" ht="21" customHeight="1" x14ac:dyDescent="0.25">
      <c r="S317" s="105"/>
      <c r="U317" s="105"/>
    </row>
    <row r="318" spans="19:21" ht="21" customHeight="1" x14ac:dyDescent="0.25">
      <c r="S318" s="105"/>
      <c r="U318" s="105"/>
    </row>
    <row r="319" spans="19:21" ht="21" customHeight="1" x14ac:dyDescent="0.25">
      <c r="S319" s="105"/>
      <c r="U319" s="105"/>
    </row>
    <row r="320" spans="19:21" ht="21" customHeight="1" x14ac:dyDescent="0.25">
      <c r="S320" s="105"/>
      <c r="U320" s="105"/>
    </row>
    <row r="321" spans="19:21" ht="21" customHeight="1" x14ac:dyDescent="0.25">
      <c r="S321" s="105"/>
      <c r="U321" s="105"/>
    </row>
    <row r="322" spans="19:21" ht="21" customHeight="1" x14ac:dyDescent="0.25">
      <c r="S322" s="105"/>
      <c r="U322" s="105"/>
    </row>
    <row r="323" spans="19:21" ht="21" customHeight="1" x14ac:dyDescent="0.25">
      <c r="S323" s="105"/>
      <c r="U323" s="105"/>
    </row>
    <row r="324" spans="19:21" ht="21" customHeight="1" x14ac:dyDescent="0.25">
      <c r="S324" s="105"/>
      <c r="U324" s="105"/>
    </row>
    <row r="325" spans="19:21" ht="21" customHeight="1" x14ac:dyDescent="0.25">
      <c r="S325" s="105"/>
      <c r="U325" s="105"/>
    </row>
    <row r="326" spans="19:21" ht="21" customHeight="1" x14ac:dyDescent="0.25">
      <c r="S326" s="105"/>
      <c r="U326" s="105"/>
    </row>
    <row r="327" spans="19:21" ht="21" customHeight="1" x14ac:dyDescent="0.25">
      <c r="S327" s="105"/>
      <c r="U327" s="105"/>
    </row>
    <row r="328" spans="19:21" ht="21" customHeight="1" x14ac:dyDescent="0.25">
      <c r="S328" s="105"/>
      <c r="U328" s="105"/>
    </row>
    <row r="329" spans="19:21" ht="21" customHeight="1" x14ac:dyDescent="0.25">
      <c r="S329" s="105"/>
      <c r="U329" s="105"/>
    </row>
    <row r="330" spans="19:21" ht="21" customHeight="1" x14ac:dyDescent="0.25">
      <c r="S330" s="105"/>
      <c r="U330" s="105"/>
    </row>
    <row r="331" spans="19:21" ht="21" customHeight="1" x14ac:dyDescent="0.25">
      <c r="S331" s="105"/>
      <c r="U331" s="105"/>
    </row>
    <row r="332" spans="19:21" ht="21" customHeight="1" x14ac:dyDescent="0.25">
      <c r="S332" s="105"/>
      <c r="U332" s="105"/>
    </row>
    <row r="333" spans="19:21" ht="21" customHeight="1" x14ac:dyDescent="0.25">
      <c r="S333" s="105"/>
      <c r="U333" s="105"/>
    </row>
    <row r="334" spans="19:21" ht="21" customHeight="1" x14ac:dyDescent="0.25">
      <c r="S334" s="105"/>
      <c r="U334" s="105"/>
    </row>
    <row r="335" spans="19:21" ht="21" customHeight="1" x14ac:dyDescent="0.25">
      <c r="S335" s="105"/>
      <c r="U335" s="105"/>
    </row>
    <row r="336" spans="19:21" ht="21" customHeight="1" x14ac:dyDescent="0.25">
      <c r="S336" s="105"/>
      <c r="U336" s="105"/>
    </row>
    <row r="337" spans="19:21" ht="21" customHeight="1" x14ac:dyDescent="0.25">
      <c r="S337" s="105"/>
      <c r="U337" s="105"/>
    </row>
    <row r="338" spans="19:21" ht="21" customHeight="1" x14ac:dyDescent="0.25">
      <c r="S338" s="105"/>
      <c r="U338" s="105"/>
    </row>
    <row r="339" spans="19:21" ht="21" customHeight="1" x14ac:dyDescent="0.25">
      <c r="S339" s="105"/>
      <c r="U339" s="105"/>
    </row>
    <row r="340" spans="19:21" ht="21" customHeight="1" x14ac:dyDescent="0.25">
      <c r="S340" s="105"/>
      <c r="U340" s="105"/>
    </row>
    <row r="341" spans="19:21" ht="21" customHeight="1" x14ac:dyDescent="0.25">
      <c r="S341" s="105"/>
      <c r="U341" s="105"/>
    </row>
    <row r="342" spans="19:21" ht="21" customHeight="1" x14ac:dyDescent="0.25">
      <c r="S342" s="105"/>
      <c r="U342" s="105"/>
    </row>
    <row r="343" spans="19:21" ht="21" customHeight="1" x14ac:dyDescent="0.25">
      <c r="S343" s="105"/>
      <c r="U343" s="105"/>
    </row>
    <row r="344" spans="19:21" ht="21" customHeight="1" x14ac:dyDescent="0.25">
      <c r="S344" s="105"/>
      <c r="U344" s="105"/>
    </row>
    <row r="345" spans="19:21" ht="21" customHeight="1" x14ac:dyDescent="0.25">
      <c r="S345" s="105"/>
      <c r="U345" s="105"/>
    </row>
    <row r="346" spans="19:21" ht="21" customHeight="1" x14ac:dyDescent="0.25">
      <c r="S346" s="105"/>
      <c r="U346" s="105"/>
    </row>
    <row r="347" spans="19:21" ht="21" customHeight="1" x14ac:dyDescent="0.25">
      <c r="S347" s="105"/>
      <c r="U347" s="105"/>
    </row>
    <row r="348" spans="19:21" ht="21" customHeight="1" x14ac:dyDescent="0.25">
      <c r="S348" s="105"/>
      <c r="U348" s="105"/>
    </row>
    <row r="349" spans="19:21" ht="21" customHeight="1" x14ac:dyDescent="0.25">
      <c r="S349" s="105"/>
      <c r="U349" s="105"/>
    </row>
    <row r="350" spans="19:21" ht="21" customHeight="1" x14ac:dyDescent="0.25">
      <c r="S350" s="105"/>
      <c r="U350" s="105"/>
    </row>
    <row r="351" spans="19:21" ht="21" customHeight="1" x14ac:dyDescent="0.25">
      <c r="S351" s="105"/>
      <c r="U351" s="105"/>
    </row>
    <row r="352" spans="19:21" ht="21" customHeight="1" x14ac:dyDescent="0.25">
      <c r="S352" s="105"/>
      <c r="U352" s="105"/>
    </row>
    <row r="353" spans="19:21" ht="21" customHeight="1" x14ac:dyDescent="0.25">
      <c r="S353" s="105"/>
      <c r="U353" s="105"/>
    </row>
    <row r="354" spans="19:21" ht="21" customHeight="1" x14ac:dyDescent="0.25">
      <c r="S354" s="105"/>
      <c r="U354" s="105"/>
    </row>
    <row r="355" spans="19:21" ht="21" customHeight="1" x14ac:dyDescent="0.25">
      <c r="S355" s="105"/>
      <c r="U355" s="105"/>
    </row>
    <row r="356" spans="19:21" ht="21" customHeight="1" x14ac:dyDescent="0.25">
      <c r="S356" s="105"/>
      <c r="U356" s="105"/>
    </row>
    <row r="357" spans="19:21" ht="21" customHeight="1" x14ac:dyDescent="0.25">
      <c r="S357" s="105"/>
      <c r="U357" s="105"/>
    </row>
    <row r="358" spans="19:21" ht="21" customHeight="1" x14ac:dyDescent="0.25">
      <c r="S358" s="105"/>
      <c r="U358" s="105"/>
    </row>
    <row r="359" spans="19:21" ht="21" customHeight="1" x14ac:dyDescent="0.25">
      <c r="S359" s="105"/>
      <c r="U359" s="105"/>
    </row>
    <row r="360" spans="19:21" ht="21" customHeight="1" x14ac:dyDescent="0.25">
      <c r="S360" s="105"/>
      <c r="U360" s="105"/>
    </row>
    <row r="361" spans="19:21" ht="21" customHeight="1" x14ac:dyDescent="0.25">
      <c r="S361" s="105"/>
      <c r="U361" s="105"/>
    </row>
    <row r="362" spans="19:21" ht="21" customHeight="1" x14ac:dyDescent="0.25">
      <c r="S362" s="105"/>
      <c r="U362" s="105"/>
    </row>
    <row r="363" spans="19:21" ht="21" customHeight="1" x14ac:dyDescent="0.25">
      <c r="S363" s="105"/>
      <c r="U363" s="105"/>
    </row>
    <row r="364" spans="19:21" ht="21" customHeight="1" x14ac:dyDescent="0.25">
      <c r="S364" s="105"/>
      <c r="U364" s="105"/>
    </row>
    <row r="365" spans="19:21" ht="21" customHeight="1" x14ac:dyDescent="0.25">
      <c r="S365" s="105"/>
      <c r="U365" s="105"/>
    </row>
    <row r="366" spans="19:21" ht="21" customHeight="1" x14ac:dyDescent="0.25">
      <c r="S366" s="105"/>
      <c r="U366" s="105"/>
    </row>
    <row r="367" spans="19:21" ht="21" customHeight="1" x14ac:dyDescent="0.25">
      <c r="S367" s="105"/>
      <c r="U367" s="105"/>
    </row>
    <row r="368" spans="19:21" ht="21" customHeight="1" x14ac:dyDescent="0.25">
      <c r="S368" s="105"/>
      <c r="U368" s="105"/>
    </row>
    <row r="369" spans="19:21" ht="21" customHeight="1" x14ac:dyDescent="0.25">
      <c r="S369" s="105"/>
      <c r="U369" s="105"/>
    </row>
    <row r="370" spans="19:21" ht="21" customHeight="1" x14ac:dyDescent="0.25">
      <c r="S370" s="105"/>
      <c r="U370" s="105"/>
    </row>
    <row r="371" spans="19:21" ht="21" customHeight="1" x14ac:dyDescent="0.25">
      <c r="S371" s="105"/>
      <c r="U371" s="105"/>
    </row>
    <row r="372" spans="19:21" ht="21" customHeight="1" x14ac:dyDescent="0.25">
      <c r="S372" s="105"/>
      <c r="U372" s="105"/>
    </row>
    <row r="373" spans="19:21" ht="21" customHeight="1" x14ac:dyDescent="0.25">
      <c r="S373" s="105"/>
      <c r="U373" s="105"/>
    </row>
    <row r="374" spans="19:21" ht="21" customHeight="1" x14ac:dyDescent="0.25">
      <c r="S374" s="105"/>
      <c r="U374" s="105"/>
    </row>
    <row r="375" spans="19:21" ht="21" customHeight="1" x14ac:dyDescent="0.25">
      <c r="S375" s="105"/>
      <c r="U375" s="105"/>
    </row>
    <row r="376" spans="19:21" ht="21" customHeight="1" x14ac:dyDescent="0.25">
      <c r="S376" s="105"/>
      <c r="U376" s="105"/>
    </row>
    <row r="377" spans="19:21" ht="21" customHeight="1" x14ac:dyDescent="0.25">
      <c r="S377" s="105"/>
      <c r="U377" s="105"/>
    </row>
    <row r="378" spans="19:21" ht="21" customHeight="1" x14ac:dyDescent="0.25">
      <c r="S378" s="105"/>
      <c r="U378" s="105"/>
    </row>
    <row r="379" spans="19:21" ht="21" customHeight="1" x14ac:dyDescent="0.25">
      <c r="S379" s="105"/>
      <c r="U379" s="105"/>
    </row>
    <row r="380" spans="19:21" ht="21" customHeight="1" x14ac:dyDescent="0.25">
      <c r="S380" s="105"/>
      <c r="U380" s="105"/>
    </row>
    <row r="381" spans="19:21" ht="21" customHeight="1" x14ac:dyDescent="0.25">
      <c r="S381" s="105"/>
      <c r="U381" s="105"/>
    </row>
    <row r="382" spans="19:21" ht="21" customHeight="1" x14ac:dyDescent="0.25">
      <c r="S382" s="105"/>
      <c r="U382" s="105"/>
    </row>
    <row r="383" spans="19:21" ht="21" customHeight="1" x14ac:dyDescent="0.25">
      <c r="S383" s="105"/>
      <c r="U383" s="105"/>
    </row>
    <row r="384" spans="19:21" ht="21" customHeight="1" x14ac:dyDescent="0.25">
      <c r="S384" s="105"/>
      <c r="U384" s="105"/>
    </row>
    <row r="385" spans="19:21" ht="21" customHeight="1" x14ac:dyDescent="0.25">
      <c r="S385" s="105"/>
      <c r="U385" s="105"/>
    </row>
    <row r="386" spans="19:21" ht="21" customHeight="1" x14ac:dyDescent="0.25">
      <c r="S386" s="105"/>
      <c r="U386" s="105"/>
    </row>
    <row r="387" spans="19:21" ht="21" customHeight="1" x14ac:dyDescent="0.25">
      <c r="S387" s="105"/>
      <c r="U387" s="105"/>
    </row>
    <row r="388" spans="19:21" ht="21" customHeight="1" x14ac:dyDescent="0.25">
      <c r="S388" s="105"/>
      <c r="U388" s="105"/>
    </row>
    <row r="389" spans="19:21" ht="21" customHeight="1" x14ac:dyDescent="0.25">
      <c r="S389" s="105"/>
      <c r="U389" s="105"/>
    </row>
    <row r="390" spans="19:21" ht="21" customHeight="1" x14ac:dyDescent="0.25">
      <c r="S390" s="105"/>
      <c r="U390" s="105"/>
    </row>
    <row r="391" spans="19:21" ht="21" customHeight="1" x14ac:dyDescent="0.25">
      <c r="S391" s="105"/>
      <c r="U391" s="105"/>
    </row>
    <row r="392" spans="19:21" ht="21" customHeight="1" x14ac:dyDescent="0.25">
      <c r="S392" s="105"/>
      <c r="U392" s="105"/>
    </row>
    <row r="393" spans="19:21" ht="21" customHeight="1" x14ac:dyDescent="0.25">
      <c r="S393" s="105"/>
      <c r="U393" s="105"/>
    </row>
    <row r="394" spans="19:21" ht="21" customHeight="1" x14ac:dyDescent="0.25">
      <c r="S394" s="105"/>
      <c r="U394" s="105"/>
    </row>
    <row r="395" spans="19:21" ht="21" customHeight="1" x14ac:dyDescent="0.25">
      <c r="S395" s="105"/>
      <c r="U395" s="105"/>
    </row>
    <row r="396" spans="19:21" ht="21" customHeight="1" x14ac:dyDescent="0.25">
      <c r="S396" s="105"/>
      <c r="U396" s="105"/>
    </row>
    <row r="397" spans="19:21" ht="21" customHeight="1" x14ac:dyDescent="0.25">
      <c r="S397" s="105"/>
      <c r="U397" s="105"/>
    </row>
    <row r="398" spans="19:21" ht="21" customHeight="1" x14ac:dyDescent="0.25">
      <c r="S398" s="105"/>
      <c r="U398" s="105"/>
    </row>
    <row r="399" spans="19:21" ht="21" customHeight="1" x14ac:dyDescent="0.25">
      <c r="S399" s="105"/>
      <c r="U399" s="105"/>
    </row>
    <row r="400" spans="19:21" ht="21" customHeight="1" x14ac:dyDescent="0.25">
      <c r="S400" s="105"/>
      <c r="U400" s="105"/>
    </row>
    <row r="401" spans="19:21" ht="21" customHeight="1" x14ac:dyDescent="0.25">
      <c r="S401" s="105"/>
      <c r="U401" s="105"/>
    </row>
    <row r="402" spans="19:21" ht="21" customHeight="1" x14ac:dyDescent="0.25">
      <c r="S402" s="105"/>
      <c r="U402" s="105"/>
    </row>
    <row r="403" spans="19:21" ht="21" customHeight="1" x14ac:dyDescent="0.25">
      <c r="S403" s="105"/>
      <c r="U403" s="105"/>
    </row>
    <row r="404" spans="19:21" ht="21" customHeight="1" x14ac:dyDescent="0.25">
      <c r="S404" s="105"/>
      <c r="U404" s="105"/>
    </row>
    <row r="405" spans="19:21" ht="21" customHeight="1" x14ac:dyDescent="0.25">
      <c r="S405" s="105"/>
      <c r="U405" s="105"/>
    </row>
    <row r="406" spans="19:21" ht="21" customHeight="1" x14ac:dyDescent="0.25">
      <c r="S406" s="105"/>
      <c r="U406" s="105"/>
    </row>
    <row r="407" spans="19:21" ht="21" customHeight="1" x14ac:dyDescent="0.25">
      <c r="S407" s="105"/>
      <c r="U407" s="105"/>
    </row>
    <row r="408" spans="19:21" ht="21" customHeight="1" x14ac:dyDescent="0.25">
      <c r="S408" s="105"/>
      <c r="U408" s="105"/>
    </row>
    <row r="409" spans="19:21" ht="21" customHeight="1" x14ac:dyDescent="0.25">
      <c r="S409" s="105"/>
      <c r="U409" s="105"/>
    </row>
    <row r="410" spans="19:21" ht="21" customHeight="1" x14ac:dyDescent="0.25">
      <c r="S410" s="105"/>
      <c r="U410" s="105"/>
    </row>
    <row r="411" spans="19:21" ht="21" customHeight="1" x14ac:dyDescent="0.25">
      <c r="S411" s="105"/>
      <c r="U411" s="105"/>
    </row>
    <row r="412" spans="19:21" ht="21" customHeight="1" x14ac:dyDescent="0.25">
      <c r="S412" s="105"/>
      <c r="U412" s="105"/>
    </row>
    <row r="413" spans="19:21" ht="21" customHeight="1" x14ac:dyDescent="0.25">
      <c r="S413" s="105"/>
      <c r="U413" s="105"/>
    </row>
    <row r="414" spans="19:21" ht="21" customHeight="1" x14ac:dyDescent="0.25">
      <c r="S414" s="105"/>
      <c r="U414" s="105"/>
    </row>
    <row r="415" spans="19:21" ht="21" customHeight="1" x14ac:dyDescent="0.25">
      <c r="S415" s="105"/>
      <c r="U415" s="105"/>
    </row>
    <row r="416" spans="19:21" ht="21" customHeight="1" x14ac:dyDescent="0.25">
      <c r="S416" s="105"/>
      <c r="U416" s="105"/>
    </row>
    <row r="417" spans="19:21" ht="21" customHeight="1" x14ac:dyDescent="0.25">
      <c r="S417" s="105"/>
      <c r="U417" s="105"/>
    </row>
    <row r="418" spans="19:21" ht="21" customHeight="1" x14ac:dyDescent="0.25">
      <c r="S418" s="105"/>
      <c r="U418" s="105"/>
    </row>
    <row r="419" spans="19:21" ht="21" customHeight="1" x14ac:dyDescent="0.25">
      <c r="S419" s="105"/>
      <c r="U419" s="105"/>
    </row>
    <row r="420" spans="19:21" ht="21" customHeight="1" x14ac:dyDescent="0.25">
      <c r="S420" s="105"/>
      <c r="U420" s="105"/>
    </row>
    <row r="421" spans="19:21" ht="21" customHeight="1" x14ac:dyDescent="0.25">
      <c r="S421" s="105"/>
      <c r="U421" s="105"/>
    </row>
    <row r="422" spans="19:21" ht="21" customHeight="1" x14ac:dyDescent="0.25">
      <c r="S422" s="105"/>
      <c r="U422" s="105"/>
    </row>
    <row r="423" spans="19:21" ht="21" customHeight="1" x14ac:dyDescent="0.25">
      <c r="S423" s="105"/>
      <c r="U423" s="105"/>
    </row>
    <row r="424" spans="19:21" ht="21" customHeight="1" x14ac:dyDescent="0.25">
      <c r="S424" s="105"/>
      <c r="U424" s="105"/>
    </row>
    <row r="425" spans="19:21" ht="21" customHeight="1" x14ac:dyDescent="0.25">
      <c r="S425" s="105"/>
      <c r="U425" s="105"/>
    </row>
    <row r="426" spans="19:21" ht="21" customHeight="1" x14ac:dyDescent="0.25">
      <c r="S426" s="105"/>
      <c r="U426" s="105"/>
    </row>
    <row r="427" spans="19:21" ht="21" customHeight="1" x14ac:dyDescent="0.25">
      <c r="S427" s="105"/>
      <c r="U427" s="105"/>
    </row>
    <row r="428" spans="19:21" ht="21" customHeight="1" x14ac:dyDescent="0.25">
      <c r="S428" s="105"/>
      <c r="U428" s="105"/>
    </row>
    <row r="429" spans="19:21" ht="21" customHeight="1" x14ac:dyDescent="0.25">
      <c r="S429" s="105"/>
      <c r="U429" s="105"/>
    </row>
    <row r="430" spans="19:21" ht="21" customHeight="1" x14ac:dyDescent="0.25">
      <c r="S430" s="105"/>
      <c r="U430" s="105"/>
    </row>
    <row r="431" spans="19:21" ht="21" customHeight="1" x14ac:dyDescent="0.25">
      <c r="S431" s="105"/>
      <c r="U431" s="105"/>
    </row>
    <row r="432" spans="19:21" ht="21" customHeight="1" x14ac:dyDescent="0.25">
      <c r="S432" s="105"/>
      <c r="U432" s="105"/>
    </row>
    <row r="433" spans="19:21" ht="21" customHeight="1" x14ac:dyDescent="0.25">
      <c r="S433" s="105"/>
      <c r="U433" s="105"/>
    </row>
    <row r="434" spans="19:21" ht="21" customHeight="1" x14ac:dyDescent="0.25">
      <c r="S434" s="105"/>
      <c r="U434" s="105"/>
    </row>
    <row r="435" spans="19:21" ht="21" customHeight="1" x14ac:dyDescent="0.25">
      <c r="S435" s="105"/>
      <c r="U435" s="105"/>
    </row>
    <row r="436" spans="19:21" ht="21" customHeight="1" x14ac:dyDescent="0.25">
      <c r="S436" s="105"/>
      <c r="U436" s="105"/>
    </row>
    <row r="437" spans="19:21" ht="21" customHeight="1" x14ac:dyDescent="0.25">
      <c r="S437" s="105"/>
      <c r="U437" s="105"/>
    </row>
    <row r="438" spans="19:21" ht="21" customHeight="1" x14ac:dyDescent="0.25">
      <c r="S438" s="105"/>
      <c r="U438" s="105"/>
    </row>
    <row r="439" spans="19:21" ht="21" customHeight="1" x14ac:dyDescent="0.25">
      <c r="S439" s="105"/>
      <c r="U439" s="105"/>
    </row>
    <row r="440" spans="19:21" ht="21" customHeight="1" x14ac:dyDescent="0.25">
      <c r="S440" s="105"/>
      <c r="U440" s="105"/>
    </row>
    <row r="441" spans="19:21" ht="21" customHeight="1" x14ac:dyDescent="0.25">
      <c r="S441" s="105"/>
      <c r="U441" s="105"/>
    </row>
    <row r="442" spans="19:21" ht="21" customHeight="1" x14ac:dyDescent="0.25">
      <c r="S442" s="105"/>
      <c r="U442" s="105"/>
    </row>
    <row r="443" spans="19:21" ht="21" customHeight="1" x14ac:dyDescent="0.25">
      <c r="S443" s="105"/>
      <c r="U443" s="105"/>
    </row>
    <row r="444" spans="19:21" ht="21" customHeight="1" x14ac:dyDescent="0.25">
      <c r="S444" s="105"/>
      <c r="U444" s="105"/>
    </row>
    <row r="445" spans="19:21" ht="21" customHeight="1" x14ac:dyDescent="0.25">
      <c r="S445" s="105"/>
      <c r="U445" s="105"/>
    </row>
    <row r="446" spans="19:21" ht="21" customHeight="1" x14ac:dyDescent="0.25">
      <c r="S446" s="105"/>
      <c r="U446" s="105"/>
    </row>
    <row r="447" spans="19:21" ht="21" customHeight="1" x14ac:dyDescent="0.25">
      <c r="S447" s="105"/>
      <c r="U447" s="105"/>
    </row>
    <row r="448" spans="19:21" ht="21" customHeight="1" x14ac:dyDescent="0.25">
      <c r="S448" s="105"/>
      <c r="U448" s="105"/>
    </row>
    <row r="449" spans="19:21" ht="21" customHeight="1" x14ac:dyDescent="0.25">
      <c r="S449" s="105"/>
      <c r="U449" s="105"/>
    </row>
    <row r="450" spans="19:21" ht="21" customHeight="1" x14ac:dyDescent="0.25">
      <c r="S450" s="105"/>
      <c r="U450" s="105"/>
    </row>
    <row r="451" spans="19:21" ht="21" customHeight="1" x14ac:dyDescent="0.25">
      <c r="S451" s="105"/>
      <c r="U451" s="105"/>
    </row>
    <row r="452" spans="19:21" ht="21" customHeight="1" x14ac:dyDescent="0.25">
      <c r="S452" s="105"/>
      <c r="U452" s="105"/>
    </row>
    <row r="453" spans="19:21" ht="21" customHeight="1" x14ac:dyDescent="0.25">
      <c r="S453" s="105"/>
      <c r="U453" s="105"/>
    </row>
    <row r="454" spans="19:21" ht="21" customHeight="1" x14ac:dyDescent="0.25">
      <c r="S454" s="105"/>
      <c r="U454" s="105"/>
    </row>
    <row r="455" spans="19:21" ht="21" customHeight="1" x14ac:dyDescent="0.25">
      <c r="S455" s="105"/>
      <c r="U455" s="105"/>
    </row>
    <row r="456" spans="19:21" ht="21" customHeight="1" x14ac:dyDescent="0.25">
      <c r="S456" s="105"/>
      <c r="U456" s="105"/>
    </row>
    <row r="457" spans="19:21" ht="21" customHeight="1" x14ac:dyDescent="0.25">
      <c r="S457" s="105"/>
      <c r="U457" s="105"/>
    </row>
    <row r="458" spans="19:21" ht="21" customHeight="1" x14ac:dyDescent="0.25">
      <c r="S458" s="105"/>
      <c r="U458" s="105"/>
    </row>
    <row r="459" spans="19:21" ht="21" customHeight="1" x14ac:dyDescent="0.25">
      <c r="S459" s="105"/>
      <c r="U459" s="105"/>
    </row>
    <row r="460" spans="19:21" ht="21" customHeight="1" x14ac:dyDescent="0.25">
      <c r="S460" s="105"/>
      <c r="U460" s="105"/>
    </row>
    <row r="461" spans="19:21" ht="21" customHeight="1" x14ac:dyDescent="0.25">
      <c r="S461" s="105"/>
      <c r="U461" s="105"/>
    </row>
    <row r="462" spans="19:21" ht="21" customHeight="1" x14ac:dyDescent="0.25">
      <c r="S462" s="105"/>
      <c r="U462" s="105"/>
    </row>
    <row r="463" spans="19:21" ht="21" customHeight="1" x14ac:dyDescent="0.25">
      <c r="S463" s="105"/>
      <c r="U463" s="105"/>
    </row>
    <row r="464" spans="19:21" ht="21" customHeight="1" x14ac:dyDescent="0.25">
      <c r="S464" s="105"/>
      <c r="U464" s="105"/>
    </row>
    <row r="465" spans="19:21" ht="21" customHeight="1" x14ac:dyDescent="0.25">
      <c r="S465" s="105"/>
      <c r="U465" s="105"/>
    </row>
    <row r="466" spans="19:21" ht="21" customHeight="1" x14ac:dyDescent="0.25">
      <c r="S466" s="105"/>
      <c r="U466" s="105"/>
    </row>
    <row r="467" spans="19:21" ht="21" customHeight="1" x14ac:dyDescent="0.25">
      <c r="S467" s="105"/>
      <c r="U467" s="105"/>
    </row>
    <row r="468" spans="19:21" ht="21" customHeight="1" x14ac:dyDescent="0.25">
      <c r="S468" s="105"/>
      <c r="U468" s="105"/>
    </row>
    <row r="469" spans="19:21" ht="21" customHeight="1" x14ac:dyDescent="0.25">
      <c r="S469" s="105"/>
      <c r="U469" s="105"/>
    </row>
    <row r="470" spans="19:21" ht="21" customHeight="1" x14ac:dyDescent="0.25">
      <c r="S470" s="105"/>
      <c r="U470" s="105"/>
    </row>
    <row r="471" spans="19:21" ht="21" customHeight="1" x14ac:dyDescent="0.25">
      <c r="S471" s="105"/>
      <c r="U471" s="105"/>
    </row>
    <row r="472" spans="19:21" ht="21" customHeight="1" x14ac:dyDescent="0.25">
      <c r="S472" s="105"/>
      <c r="U472" s="105"/>
    </row>
    <row r="473" spans="19:21" ht="21" customHeight="1" x14ac:dyDescent="0.25">
      <c r="S473" s="105"/>
      <c r="U473" s="105"/>
    </row>
    <row r="474" spans="19:21" ht="21" customHeight="1" x14ac:dyDescent="0.25">
      <c r="S474" s="105"/>
      <c r="U474" s="105"/>
    </row>
    <row r="475" spans="19:21" ht="21" customHeight="1" x14ac:dyDescent="0.25">
      <c r="S475" s="105"/>
      <c r="U475" s="105"/>
    </row>
    <row r="476" spans="19:21" ht="21" customHeight="1" x14ac:dyDescent="0.25">
      <c r="S476" s="105"/>
      <c r="U476" s="105"/>
    </row>
    <row r="477" spans="19:21" ht="21" customHeight="1" x14ac:dyDescent="0.25">
      <c r="S477" s="105"/>
      <c r="U477" s="105"/>
    </row>
    <row r="478" spans="19:21" ht="21" customHeight="1" x14ac:dyDescent="0.25">
      <c r="S478" s="105"/>
      <c r="U478" s="105"/>
    </row>
    <row r="479" spans="19:21" ht="21" customHeight="1" x14ac:dyDescent="0.25">
      <c r="S479" s="105"/>
      <c r="U479" s="105"/>
    </row>
    <row r="480" spans="19:21" ht="21" customHeight="1" x14ac:dyDescent="0.25">
      <c r="S480" s="105"/>
      <c r="U480" s="105"/>
    </row>
    <row r="481" spans="19:21" ht="21" customHeight="1" x14ac:dyDescent="0.25">
      <c r="S481" s="105"/>
      <c r="U481" s="105"/>
    </row>
    <row r="482" spans="19:21" ht="21" customHeight="1" x14ac:dyDescent="0.25">
      <c r="S482" s="105"/>
      <c r="U482" s="105"/>
    </row>
    <row r="483" spans="19:21" ht="21" customHeight="1" x14ac:dyDescent="0.25">
      <c r="S483" s="105"/>
      <c r="U483" s="105"/>
    </row>
    <row r="484" spans="19:21" ht="21" customHeight="1" x14ac:dyDescent="0.25">
      <c r="S484" s="105"/>
      <c r="U484" s="105"/>
    </row>
    <row r="485" spans="19:21" ht="21" customHeight="1" x14ac:dyDescent="0.25">
      <c r="S485" s="105"/>
      <c r="U485" s="105"/>
    </row>
    <row r="486" spans="19:21" ht="21" customHeight="1" x14ac:dyDescent="0.25">
      <c r="S486" s="105"/>
      <c r="U486" s="105"/>
    </row>
    <row r="487" spans="19:21" ht="21" customHeight="1" x14ac:dyDescent="0.25">
      <c r="S487" s="105"/>
      <c r="U487" s="105"/>
    </row>
    <row r="488" spans="19:21" ht="21" customHeight="1" x14ac:dyDescent="0.25">
      <c r="S488" s="105"/>
      <c r="U488" s="105"/>
    </row>
    <row r="489" spans="19:21" ht="21" customHeight="1" x14ac:dyDescent="0.25">
      <c r="S489" s="105"/>
      <c r="U489" s="105"/>
    </row>
    <row r="490" spans="19:21" ht="21" customHeight="1" x14ac:dyDescent="0.25">
      <c r="S490" s="105"/>
      <c r="U490" s="105"/>
    </row>
    <row r="491" spans="19:21" ht="21" customHeight="1" x14ac:dyDescent="0.25">
      <c r="S491" s="105"/>
      <c r="U491" s="105"/>
    </row>
    <row r="492" spans="19:21" ht="21" customHeight="1" x14ac:dyDescent="0.25">
      <c r="S492" s="105"/>
      <c r="U492" s="105"/>
    </row>
    <row r="493" spans="19:21" ht="21" customHeight="1" x14ac:dyDescent="0.25">
      <c r="S493" s="105"/>
      <c r="U493" s="105"/>
    </row>
    <row r="494" spans="19:21" ht="21" customHeight="1" x14ac:dyDescent="0.25">
      <c r="S494" s="105"/>
      <c r="U494" s="105"/>
    </row>
    <row r="495" spans="19:21" ht="21" customHeight="1" x14ac:dyDescent="0.25">
      <c r="S495" s="105"/>
      <c r="U495" s="105"/>
    </row>
    <row r="496" spans="19:21" ht="21" customHeight="1" x14ac:dyDescent="0.25">
      <c r="S496" s="105"/>
      <c r="U496" s="105"/>
    </row>
    <row r="497" spans="19:21" ht="21" customHeight="1" x14ac:dyDescent="0.25">
      <c r="S497" s="105"/>
      <c r="U497" s="105"/>
    </row>
    <row r="498" spans="19:21" ht="21" customHeight="1" x14ac:dyDescent="0.25">
      <c r="S498" s="105"/>
      <c r="U498" s="105"/>
    </row>
    <row r="499" spans="19:21" ht="21" customHeight="1" x14ac:dyDescent="0.25">
      <c r="S499" s="105"/>
      <c r="U499" s="105"/>
    </row>
    <row r="500" spans="19:21" ht="21" customHeight="1" x14ac:dyDescent="0.25">
      <c r="S500" s="105"/>
      <c r="U500" s="105"/>
    </row>
    <row r="501" spans="19:21" ht="21" customHeight="1" x14ac:dyDescent="0.25">
      <c r="S501" s="105"/>
      <c r="U501" s="105"/>
    </row>
    <row r="502" spans="19:21" ht="21" customHeight="1" x14ac:dyDescent="0.25">
      <c r="S502" s="105"/>
      <c r="U502" s="105"/>
    </row>
    <row r="503" spans="19:21" ht="21" customHeight="1" x14ac:dyDescent="0.25">
      <c r="S503" s="105"/>
      <c r="U503" s="105"/>
    </row>
    <row r="504" spans="19:21" ht="21" customHeight="1" x14ac:dyDescent="0.25">
      <c r="S504" s="105"/>
      <c r="U504" s="105"/>
    </row>
    <row r="505" spans="19:21" ht="21" customHeight="1" x14ac:dyDescent="0.25">
      <c r="S505" s="105"/>
      <c r="U505" s="105"/>
    </row>
  </sheetData>
  <mergeCells count="200">
    <mergeCell ref="AI3:AJ3"/>
    <mergeCell ref="W3:X3"/>
    <mergeCell ref="AU38:AU46"/>
    <mergeCell ref="AE3:AF3"/>
    <mergeCell ref="AE7:AE10"/>
    <mergeCell ref="AE22:AE23"/>
    <mergeCell ref="AE29:AE37"/>
    <mergeCell ref="AE38:AE46"/>
    <mergeCell ref="Y3:Z3"/>
    <mergeCell ref="AG3:AH3"/>
    <mergeCell ref="AU7:AU10"/>
    <mergeCell ref="AO3:AP3"/>
    <mergeCell ref="AO22:AO23"/>
    <mergeCell ref="AO29:AO37"/>
    <mergeCell ref="AO38:AO46"/>
    <mergeCell ref="AC3:AD3"/>
    <mergeCell ref="AC7:AC10"/>
    <mergeCell ref="AC22:AC23"/>
    <mergeCell ref="AG7:AG10"/>
    <mergeCell ref="AI7:AI10"/>
    <mergeCell ref="AG22:AG23"/>
    <mergeCell ref="AI22:AI23"/>
    <mergeCell ref="AI29:AI37"/>
    <mergeCell ref="AI38:AI46"/>
    <mergeCell ref="AA3:AB3"/>
    <mergeCell ref="AA7:AA10"/>
    <mergeCell ref="AA22:AA23"/>
    <mergeCell ref="Y7:Y10"/>
    <mergeCell ref="Y22:Y23"/>
    <mergeCell ref="AC29:AC37"/>
    <mergeCell ref="AC38:AC46"/>
    <mergeCell ref="Q134:Q136"/>
    <mergeCell ref="Q38:Q46"/>
    <mergeCell ref="W7:W10"/>
    <mergeCell ref="W134:W136"/>
    <mergeCell ref="S134:S136"/>
    <mergeCell ref="U134:U136"/>
    <mergeCell ref="Y134:Y136"/>
    <mergeCell ref="Y47:Y49"/>
    <mergeCell ref="Y29:Y37"/>
    <mergeCell ref="Y38:Y46"/>
    <mergeCell ref="AC47:AC49"/>
    <mergeCell ref="D47:D49"/>
    <mergeCell ref="AW7:AW10"/>
    <mergeCell ref="AU22:AU23"/>
    <mergeCell ref="AW22:AW23"/>
    <mergeCell ref="AW29:AW37"/>
    <mergeCell ref="AW38:AW46"/>
    <mergeCell ref="AU47:AU49"/>
    <mergeCell ref="AW47:AW49"/>
    <mergeCell ref="AA134:AA136"/>
    <mergeCell ref="AC134:AC136"/>
    <mergeCell ref="AA38:AA46"/>
    <mergeCell ref="AA47:AA49"/>
    <mergeCell ref="AE47:AE49"/>
    <mergeCell ref="AE134:AE136"/>
    <mergeCell ref="AA29:AA37"/>
    <mergeCell ref="AG134:AG136"/>
    <mergeCell ref="AI134:AI136"/>
    <mergeCell ref="AG29:AG37"/>
    <mergeCell ref="AG38:AG46"/>
    <mergeCell ref="AK29:AK37"/>
    <mergeCell ref="AK38:AK46"/>
    <mergeCell ref="AQ29:AQ37"/>
    <mergeCell ref="O47:O49"/>
    <mergeCell ref="W22:W23"/>
    <mergeCell ref="E47:E49"/>
    <mergeCell ref="O7:O10"/>
    <mergeCell ref="O3:P3"/>
    <mergeCell ref="O134:O136"/>
    <mergeCell ref="B152:B153"/>
    <mergeCell ref="M3:N3"/>
    <mergeCell ref="K7:K10"/>
    <mergeCell ref="M7:M10"/>
    <mergeCell ref="M29:M37"/>
    <mergeCell ref="I134:I136"/>
    <mergeCell ref="K134:K136"/>
    <mergeCell ref="B3:B4"/>
    <mergeCell ref="C3:C4"/>
    <mergeCell ref="E3:F3"/>
    <mergeCell ref="G3:H3"/>
    <mergeCell ref="I3:J3"/>
    <mergeCell ref="G47:G49"/>
    <mergeCell ref="K3:L3"/>
    <mergeCell ref="E38:E46"/>
    <mergeCell ref="D3:D4"/>
    <mergeCell ref="M38:M46"/>
    <mergeCell ref="D7:D10"/>
    <mergeCell ref="M134:M136"/>
    <mergeCell ref="K22:K23"/>
    <mergeCell ref="A7:A10"/>
    <mergeCell ref="A47:A49"/>
    <mergeCell ref="U3:V3"/>
    <mergeCell ref="S7:S10"/>
    <mergeCell ref="U7:U10"/>
    <mergeCell ref="S22:S23"/>
    <mergeCell ref="U22:U23"/>
    <mergeCell ref="S3:T3"/>
    <mergeCell ref="E7:E10"/>
    <mergeCell ref="G7:G10"/>
    <mergeCell ref="I38:I46"/>
    <mergeCell ref="Q3:R3"/>
    <mergeCell ref="G22:G23"/>
    <mergeCell ref="G38:G46"/>
    <mergeCell ref="I7:I10"/>
    <mergeCell ref="I29:I37"/>
    <mergeCell ref="D22:D23"/>
    <mergeCell ref="D29:D37"/>
    <mergeCell ref="D38:D46"/>
    <mergeCell ref="O29:O37"/>
    <mergeCell ref="Q29:Q37"/>
    <mergeCell ref="M22:M23"/>
    <mergeCell ref="K47:K49"/>
    <mergeCell ref="M47:M49"/>
    <mergeCell ref="E29:E37"/>
    <mergeCell ref="E22:E23"/>
    <mergeCell ref="I47:I49"/>
    <mergeCell ref="O38:O46"/>
    <mergeCell ref="AU134:AU136"/>
    <mergeCell ref="AW134:AW136"/>
    <mergeCell ref="AU3:AV3"/>
    <mergeCell ref="AK3:AL3"/>
    <mergeCell ref="AK7:AK10"/>
    <mergeCell ref="AK22:AK23"/>
    <mergeCell ref="AK47:AK49"/>
    <mergeCell ref="AK134:AK136"/>
    <mergeCell ref="AM3:AN3"/>
    <mergeCell ref="AM7:AM10"/>
    <mergeCell ref="AM22:AM23"/>
    <mergeCell ref="AM29:AM37"/>
    <mergeCell ref="AM38:AM46"/>
    <mergeCell ref="AM47:AM49"/>
    <mergeCell ref="AM134:AM136"/>
    <mergeCell ref="AW3:AX3"/>
    <mergeCell ref="G29:G37"/>
    <mergeCell ref="E134:E136"/>
    <mergeCell ref="G134:G136"/>
    <mergeCell ref="I22:I23"/>
    <mergeCell ref="BA7:BA10"/>
    <mergeCell ref="AQ38:AQ46"/>
    <mergeCell ref="AU29:AU37"/>
    <mergeCell ref="AO7:AO10"/>
    <mergeCell ref="AY29:AY37"/>
    <mergeCell ref="AY38:AY46"/>
    <mergeCell ref="BA134:BA136"/>
    <mergeCell ref="K29:K37"/>
    <mergeCell ref="K38:K46"/>
    <mergeCell ref="Q22:Q23"/>
    <mergeCell ref="O22:O23"/>
    <mergeCell ref="S29:S37"/>
    <mergeCell ref="S38:S46"/>
    <mergeCell ref="U29:U37"/>
    <mergeCell ref="Q47:Q49"/>
    <mergeCell ref="S47:S49"/>
    <mergeCell ref="U47:U49"/>
    <mergeCell ref="W29:W37"/>
    <mergeCell ref="W38:W46"/>
    <mergeCell ref="U38:U46"/>
    <mergeCell ref="AG47:AG49"/>
    <mergeCell ref="AI47:AI49"/>
    <mergeCell ref="Q7:Q10"/>
    <mergeCell ref="W47:W49"/>
    <mergeCell ref="AO47:AO49"/>
    <mergeCell ref="AS134:AS136"/>
    <mergeCell ref="AQ3:AR3"/>
    <mergeCell ref="AS3:AT3"/>
    <mergeCell ref="AQ7:AQ10"/>
    <mergeCell ref="AS7:AS10"/>
    <mergeCell ref="AQ22:AQ23"/>
    <mergeCell ref="AS22:AS23"/>
    <mergeCell ref="AS29:AS37"/>
    <mergeCell ref="AS38:AS46"/>
    <mergeCell ref="AQ47:AQ49"/>
    <mergeCell ref="AS47:AS49"/>
    <mergeCell ref="AO134:AO136"/>
    <mergeCell ref="AQ134:AQ136"/>
    <mergeCell ref="BC134:BC136"/>
    <mergeCell ref="AY3:AZ3"/>
    <mergeCell ref="BE3:BF3"/>
    <mergeCell ref="AY7:AY10"/>
    <mergeCell ref="BE7:BE10"/>
    <mergeCell ref="AY22:AY23"/>
    <mergeCell ref="BE22:BE23"/>
    <mergeCell ref="BE29:BE37"/>
    <mergeCell ref="BE38:BE46"/>
    <mergeCell ref="BC7:BC10"/>
    <mergeCell ref="BA22:BA23"/>
    <mergeCell ref="BC22:BC23"/>
    <mergeCell ref="BA29:BA37"/>
    <mergeCell ref="BC29:BC37"/>
    <mergeCell ref="BA38:BA46"/>
    <mergeCell ref="BC38:BC46"/>
    <mergeCell ref="BA47:BA49"/>
    <mergeCell ref="BC47:BC49"/>
    <mergeCell ref="AY47:AY49"/>
    <mergeCell ref="BE47:BE49"/>
    <mergeCell ref="AY134:AY136"/>
    <mergeCell ref="BE134:BE136"/>
    <mergeCell ref="BA3:BB3"/>
    <mergeCell ref="BC3:BD3"/>
  </mergeCells>
  <printOptions horizontalCentered="1" verticalCentered="1"/>
  <pageMargins left="0" right="0" top="0" bottom="0" header="0" footer="0"/>
  <pageSetup scale="27" orientation="landscape"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tabColor rgb="FFD517AC"/>
    <pageSetUpPr fitToPage="1"/>
  </sheetPr>
  <dimension ref="A1:BO213"/>
  <sheetViews>
    <sheetView topLeftCell="A163" zoomScaleNormal="100" workbookViewId="0">
      <pane xSplit="4" topLeftCell="E1" activePane="topRight" state="frozen"/>
      <selection pane="topRight" activeCell="B178" sqref="B178"/>
    </sheetView>
  </sheetViews>
  <sheetFormatPr defaultColWidth="8.88671875" defaultRowHeight="14.4" x14ac:dyDescent="0.3"/>
  <cols>
    <col min="2" max="2" width="33.44140625" bestFit="1" customWidth="1"/>
    <col min="3" max="3" width="32.109375" bestFit="1" customWidth="1"/>
    <col min="4" max="4" width="24.33203125" bestFit="1" customWidth="1"/>
    <col min="5" max="5" width="15.88671875" style="82" bestFit="1" customWidth="1"/>
    <col min="6" max="6" width="15.88671875" style="88" bestFit="1" customWidth="1"/>
    <col min="7" max="7" width="16.33203125" style="82" bestFit="1" customWidth="1"/>
    <col min="8" max="8" width="8.6640625" style="88" customWidth="1"/>
    <col min="9" max="9" width="11.33203125" style="82" customWidth="1"/>
    <col min="10" max="10" width="11.109375" style="88" customWidth="1"/>
    <col min="11" max="11" width="8.6640625" style="190" hidden="1" customWidth="1"/>
    <col min="12" max="12" width="8.6640625" style="88" hidden="1" customWidth="1"/>
    <col min="13" max="13" width="9" style="82" hidden="1" customWidth="1"/>
    <col min="14" max="14" width="9" style="88" hidden="1" customWidth="1"/>
    <col min="15" max="15" width="8.6640625" style="190" hidden="1" customWidth="1"/>
    <col min="16" max="16" width="8.6640625" style="142" hidden="1" customWidth="1"/>
    <col min="17" max="17" width="10.109375" style="82" hidden="1" customWidth="1"/>
    <col min="18" max="18" width="10.109375" style="88" hidden="1" customWidth="1"/>
    <col min="19" max="20" width="8.6640625" hidden="1" customWidth="1"/>
    <col min="21" max="22" width="9" hidden="1" customWidth="1"/>
    <col min="23" max="23" width="8.6640625" hidden="1" customWidth="1"/>
    <col min="24" max="24" width="9.44140625" hidden="1" customWidth="1"/>
    <col min="25" max="25" width="9" hidden="1" customWidth="1"/>
    <col min="26" max="26" width="13.109375" hidden="1" customWidth="1"/>
    <col min="27" max="28" width="9" hidden="1" customWidth="1"/>
    <col min="29" max="29" width="8.88671875" hidden="1" customWidth="1"/>
    <col min="30" max="30" width="9.88671875" hidden="1" customWidth="1"/>
    <col min="31" max="31" width="8.88671875" hidden="1" customWidth="1"/>
    <col min="32" max="32" width="9.5546875" hidden="1" customWidth="1"/>
    <col min="33" max="35" width="8.88671875" hidden="1" customWidth="1"/>
    <col min="36" max="36" width="9" hidden="1" customWidth="1"/>
    <col min="37" max="37" width="8.88671875" hidden="1" customWidth="1"/>
    <col min="38" max="38" width="10.109375" hidden="1" customWidth="1"/>
    <col min="39" max="42" width="9" hidden="1" customWidth="1"/>
    <col min="43" max="43" width="8.88671875" hidden="1" customWidth="1"/>
    <col min="44" max="44" width="9.5546875" hidden="1" customWidth="1"/>
    <col min="45" max="47" width="8.88671875" hidden="1" customWidth="1"/>
    <col min="48" max="48" width="9.5546875" hidden="1" customWidth="1"/>
    <col min="49" max="50" width="9" hidden="1" customWidth="1"/>
    <col min="51" max="51" width="8.88671875" hidden="1" customWidth="1"/>
    <col min="52" max="52" width="9.5546875" hidden="1" customWidth="1"/>
    <col min="53" max="58" width="8.88671875" hidden="1" customWidth="1"/>
    <col min="59" max="59" width="4.5546875" bestFit="1" customWidth="1"/>
    <col min="60" max="60" width="11.5546875" customWidth="1"/>
    <col min="61" max="65" width="8.88671875" customWidth="1"/>
    <col min="66" max="66" width="30.88671875" bestFit="1" customWidth="1"/>
  </cols>
  <sheetData>
    <row r="1" spans="1:64" ht="22.8" x14ac:dyDescent="0.4">
      <c r="B1" s="357" t="s">
        <v>51</v>
      </c>
      <c r="C1" s="357"/>
      <c r="D1" s="41"/>
      <c r="E1" s="41"/>
      <c r="F1" s="41"/>
      <c r="G1" s="41"/>
      <c r="H1" s="41"/>
      <c r="I1" s="41"/>
      <c r="J1" s="41"/>
      <c r="K1" s="142"/>
      <c r="M1" s="88"/>
      <c r="O1" s="142"/>
      <c r="Q1" s="88"/>
      <c r="S1" s="88"/>
      <c r="T1" s="88"/>
      <c r="U1" s="88"/>
      <c r="V1" s="88"/>
      <c r="W1" s="6210"/>
      <c r="X1" s="6210"/>
      <c r="Y1" s="88"/>
      <c r="Z1" s="88"/>
      <c r="AA1" s="88"/>
      <c r="AB1" s="88"/>
    </row>
    <row r="2" spans="1:64" ht="15" thickBot="1" x14ac:dyDescent="0.35">
      <c r="B2" s="41"/>
      <c r="C2" s="41"/>
      <c r="D2" s="41"/>
      <c r="E2" s="91">
        <v>30</v>
      </c>
      <c r="F2" s="91">
        <v>30</v>
      </c>
      <c r="G2" s="91">
        <v>31</v>
      </c>
      <c r="H2" s="91">
        <v>31</v>
      </c>
      <c r="I2" s="91">
        <f>+E2+G2</f>
        <v>61</v>
      </c>
      <c r="J2" s="91">
        <f>+F2+H2</f>
        <v>61</v>
      </c>
      <c r="K2" s="367">
        <v>30</v>
      </c>
      <c r="L2" s="91">
        <v>30</v>
      </c>
      <c r="M2" s="91">
        <f>+I2+K2</f>
        <v>91</v>
      </c>
      <c r="N2" s="91">
        <f>+J2+L2</f>
        <v>91</v>
      </c>
      <c r="O2" s="367">
        <v>31</v>
      </c>
      <c r="P2" s="367">
        <v>31</v>
      </c>
      <c r="Q2" s="91">
        <f>+M2+O2</f>
        <v>122</v>
      </c>
      <c r="R2" s="91">
        <f>+N2+P2</f>
        <v>122</v>
      </c>
      <c r="S2" s="91">
        <v>31</v>
      </c>
      <c r="T2" s="91">
        <v>31</v>
      </c>
      <c r="U2" s="91">
        <f>+Q2+S2</f>
        <v>153</v>
      </c>
      <c r="V2" s="91">
        <f>+R2+T2</f>
        <v>153</v>
      </c>
      <c r="W2" s="91">
        <v>30</v>
      </c>
      <c r="X2" s="91">
        <v>30</v>
      </c>
      <c r="Y2" s="91">
        <f>+O2+S2+W2</f>
        <v>92</v>
      </c>
      <c r="Z2" s="91">
        <f>+P2+T2+X2</f>
        <v>92</v>
      </c>
      <c r="AA2" s="91">
        <f>M2+Y2</f>
        <v>183</v>
      </c>
      <c r="AB2" s="91">
        <f>N2+Z2</f>
        <v>183</v>
      </c>
      <c r="AC2" s="91">
        <v>31</v>
      </c>
      <c r="AD2" s="91">
        <v>31</v>
      </c>
      <c r="AE2" s="91">
        <f>+AA2+AC2</f>
        <v>214</v>
      </c>
      <c r="AF2" s="91">
        <f>+AB2+AD2</f>
        <v>214</v>
      </c>
      <c r="AG2" s="91">
        <v>30</v>
      </c>
      <c r="AH2" s="91">
        <v>30</v>
      </c>
      <c r="AI2" s="91">
        <f>+AE2+AG2</f>
        <v>244</v>
      </c>
      <c r="AJ2" s="91">
        <f>+AF2+AH2</f>
        <v>244</v>
      </c>
      <c r="AK2" s="91">
        <v>31</v>
      </c>
      <c r="AL2" s="91">
        <v>31</v>
      </c>
      <c r="AM2" s="91">
        <f>+AC2+AG2+AK2</f>
        <v>92</v>
      </c>
      <c r="AN2" s="91">
        <f>+AD2+AH2+AL2</f>
        <v>92</v>
      </c>
      <c r="AO2" s="91">
        <f>AI2+AK2</f>
        <v>275</v>
      </c>
      <c r="AP2" s="91">
        <f>AJ2+AL2</f>
        <v>275</v>
      </c>
      <c r="AQ2" s="91">
        <v>31</v>
      </c>
      <c r="AR2" s="91">
        <v>31</v>
      </c>
      <c r="AS2" s="91">
        <f>+AO2+AQ2</f>
        <v>306</v>
      </c>
      <c r="AT2" s="91">
        <f>+AP2+AR2</f>
        <v>306</v>
      </c>
      <c r="AU2" s="91">
        <v>28</v>
      </c>
      <c r="AV2" s="91">
        <v>28</v>
      </c>
      <c r="AW2" s="91">
        <f>+AS2+AU2</f>
        <v>334</v>
      </c>
      <c r="AX2" s="91">
        <f>+AT2+AV2</f>
        <v>334</v>
      </c>
      <c r="AY2" s="91">
        <v>31</v>
      </c>
      <c r="AZ2" s="91">
        <v>31</v>
      </c>
      <c r="BA2" s="91">
        <f>+AQ2+AU2+AY2</f>
        <v>90</v>
      </c>
      <c r="BB2" s="91">
        <f>+AR2+AV2+AZ2</f>
        <v>90</v>
      </c>
      <c r="BC2" s="91">
        <f>AO2+BA2</f>
        <v>365</v>
      </c>
      <c r="BD2" s="91">
        <f>AP2+BB2</f>
        <v>365</v>
      </c>
      <c r="BE2" s="91">
        <f>+AW2+AY2</f>
        <v>365</v>
      </c>
      <c r="BF2" s="91">
        <f>+AX2+AZ2</f>
        <v>365</v>
      </c>
    </row>
    <row r="3" spans="1:64" ht="16.5" customHeight="1" thickBot="1" x14ac:dyDescent="0.35">
      <c r="B3" s="5955" t="s">
        <v>170</v>
      </c>
      <c r="C3" s="6211" t="s">
        <v>808</v>
      </c>
      <c r="D3" s="6204" t="s">
        <v>171</v>
      </c>
      <c r="E3" s="5818" t="s">
        <v>2211</v>
      </c>
      <c r="F3" s="5819"/>
      <c r="G3" s="5818" t="s">
        <v>2260</v>
      </c>
      <c r="H3" s="5819"/>
      <c r="I3" s="5933" t="s">
        <v>14</v>
      </c>
      <c r="J3" s="6159"/>
      <c r="K3" s="5880" t="s">
        <v>1963</v>
      </c>
      <c r="L3" s="5880"/>
      <c r="M3" s="5846" t="s">
        <v>604</v>
      </c>
      <c r="N3" s="5846"/>
      <c r="O3" s="5880" t="s">
        <v>1985</v>
      </c>
      <c r="P3" s="5880"/>
      <c r="Q3" s="5878" t="s">
        <v>17</v>
      </c>
      <c r="R3" s="5879"/>
      <c r="S3" s="5880" t="s">
        <v>1988</v>
      </c>
      <c r="T3" s="5880"/>
      <c r="U3" s="5878" t="s">
        <v>18</v>
      </c>
      <c r="V3" s="5879"/>
      <c r="W3" s="5880" t="s">
        <v>2019</v>
      </c>
      <c r="X3" s="5880"/>
      <c r="Y3" s="5881" t="s">
        <v>625</v>
      </c>
      <c r="Z3" s="5882"/>
      <c r="AA3" s="5883" t="s">
        <v>623</v>
      </c>
      <c r="AB3" s="5884"/>
      <c r="AC3" s="5880" t="s">
        <v>2043</v>
      </c>
      <c r="AD3" s="5880"/>
      <c r="AE3" s="5878" t="s">
        <v>24</v>
      </c>
      <c r="AF3" s="5879"/>
      <c r="AG3" s="5880" t="s">
        <v>2064</v>
      </c>
      <c r="AH3" s="5880"/>
      <c r="AI3" s="5878" t="s">
        <v>27</v>
      </c>
      <c r="AJ3" s="5879"/>
      <c r="AK3" s="5880" t="s">
        <v>2088</v>
      </c>
      <c r="AL3" s="5880"/>
      <c r="AM3" s="5881" t="s">
        <v>627</v>
      </c>
      <c r="AN3" s="5882"/>
      <c r="AO3" s="5878" t="s">
        <v>1565</v>
      </c>
      <c r="AP3" s="5879"/>
      <c r="AQ3" s="5880" t="s">
        <v>2099</v>
      </c>
      <c r="AR3" s="5880"/>
      <c r="AS3" s="5878" t="s">
        <v>28</v>
      </c>
      <c r="AT3" s="5879"/>
      <c r="AU3" s="5880" t="s">
        <v>2136</v>
      </c>
      <c r="AV3" s="5880"/>
      <c r="AW3" s="5878" t="s">
        <v>30</v>
      </c>
      <c r="AX3" s="5879"/>
      <c r="AY3" s="5880" t="s">
        <v>2154</v>
      </c>
      <c r="AZ3" s="5880"/>
      <c r="BA3" s="5881" t="s">
        <v>628</v>
      </c>
      <c r="BB3" s="5882"/>
      <c r="BC3" s="5883" t="s">
        <v>634</v>
      </c>
      <c r="BD3" s="5884"/>
      <c r="BE3" s="5878" t="s">
        <v>1961</v>
      </c>
      <c r="BF3" s="5879"/>
    </row>
    <row r="4" spans="1:64" ht="15.75" customHeight="1" thickBot="1" x14ac:dyDescent="0.35">
      <c r="B4" s="6201"/>
      <c r="C4" s="6212"/>
      <c r="D4" s="6062"/>
      <c r="E4" s="1199" t="s">
        <v>172</v>
      </c>
      <c r="F4" s="720" t="s">
        <v>173</v>
      </c>
      <c r="G4" s="1199" t="s">
        <v>172</v>
      </c>
      <c r="H4" s="720" t="s">
        <v>173</v>
      </c>
      <c r="I4" s="1354" t="s">
        <v>172</v>
      </c>
      <c r="J4" s="652" t="s">
        <v>173</v>
      </c>
      <c r="K4" s="208" t="s">
        <v>172</v>
      </c>
      <c r="L4" s="148" t="s">
        <v>173</v>
      </c>
      <c r="M4" s="653" t="s">
        <v>172</v>
      </c>
      <c r="N4" s="653" t="s">
        <v>173</v>
      </c>
      <c r="O4" s="208" t="s">
        <v>172</v>
      </c>
      <c r="P4" s="368" t="s">
        <v>173</v>
      </c>
      <c r="Q4" s="134" t="s">
        <v>172</v>
      </c>
      <c r="R4" s="150" t="s">
        <v>173</v>
      </c>
      <c r="S4" s="208" t="s">
        <v>172</v>
      </c>
      <c r="T4" s="165" t="s">
        <v>173</v>
      </c>
      <c r="U4" s="134" t="s">
        <v>172</v>
      </c>
      <c r="V4" s="150" t="s">
        <v>173</v>
      </c>
      <c r="W4" s="208" t="s">
        <v>172</v>
      </c>
      <c r="X4" s="368" t="s">
        <v>173</v>
      </c>
      <c r="Y4" s="648" t="s">
        <v>172</v>
      </c>
      <c r="Z4" s="157" t="s">
        <v>173</v>
      </c>
      <c r="AA4" s="2047" t="s">
        <v>172</v>
      </c>
      <c r="AB4" s="431" t="s">
        <v>173</v>
      </c>
      <c r="AC4" s="208" t="s">
        <v>172</v>
      </c>
      <c r="AD4" s="165" t="s">
        <v>173</v>
      </c>
      <c r="AE4" s="134" t="s">
        <v>172</v>
      </c>
      <c r="AF4" s="150" t="s">
        <v>173</v>
      </c>
      <c r="AG4" s="208" t="s">
        <v>172</v>
      </c>
      <c r="AH4" s="165" t="s">
        <v>173</v>
      </c>
      <c r="AI4" s="134" t="s">
        <v>172</v>
      </c>
      <c r="AJ4" s="150" t="s">
        <v>173</v>
      </c>
      <c r="AK4" s="208" t="s">
        <v>172</v>
      </c>
      <c r="AL4" s="165" t="s">
        <v>173</v>
      </c>
      <c r="AM4" s="648" t="s">
        <v>172</v>
      </c>
      <c r="AN4" s="157" t="s">
        <v>173</v>
      </c>
      <c r="AO4" s="134" t="s">
        <v>172</v>
      </c>
      <c r="AP4" s="150" t="s">
        <v>173</v>
      </c>
      <c r="AQ4" s="208" t="s">
        <v>172</v>
      </c>
      <c r="AR4" s="165" t="s">
        <v>173</v>
      </c>
      <c r="AS4" s="134" t="s">
        <v>172</v>
      </c>
      <c r="AT4" s="150" t="s">
        <v>173</v>
      </c>
      <c r="AU4" s="208" t="s">
        <v>172</v>
      </c>
      <c r="AV4" s="165" t="s">
        <v>173</v>
      </c>
      <c r="AW4" s="134" t="s">
        <v>172</v>
      </c>
      <c r="AX4" s="150" t="s">
        <v>173</v>
      </c>
      <c r="AY4" s="208" t="s">
        <v>172</v>
      </c>
      <c r="AZ4" s="165" t="s">
        <v>173</v>
      </c>
      <c r="BA4" s="648" t="s">
        <v>172</v>
      </c>
      <c r="BB4" s="157" t="s">
        <v>173</v>
      </c>
      <c r="BC4" s="2047" t="s">
        <v>172</v>
      </c>
      <c r="BD4" s="431" t="s">
        <v>173</v>
      </c>
      <c r="BE4" s="134" t="s">
        <v>172</v>
      </c>
      <c r="BF4" s="150" t="s">
        <v>173</v>
      </c>
    </row>
    <row r="5" spans="1:64" ht="16.2" thickBot="1" x14ac:dyDescent="0.35">
      <c r="B5" s="714" t="s">
        <v>805</v>
      </c>
      <c r="C5" s="6213"/>
      <c r="D5" s="6214"/>
      <c r="E5" s="1422">
        <v>38020.833333333336</v>
      </c>
      <c r="F5" s="571">
        <v>43425.637000000039</v>
      </c>
      <c r="G5" s="1422">
        <v>39062.5</v>
      </c>
      <c r="H5" s="571">
        <v>22618.852000000006</v>
      </c>
      <c r="I5" s="871">
        <f>+E5+G5</f>
        <v>77083.333333333343</v>
      </c>
      <c r="J5" s="342">
        <f>+F5+H5</f>
        <v>66044.489000000045</v>
      </c>
      <c r="K5" s="1017">
        <v>44270.833333333336</v>
      </c>
      <c r="L5" s="633">
        <v>40197.709999999992</v>
      </c>
      <c r="M5" s="2065">
        <f>+E5+G5+K5</f>
        <v>121354.16666666669</v>
      </c>
      <c r="N5" s="2065">
        <f>+F5+H5+L5</f>
        <v>106242.19900000004</v>
      </c>
      <c r="O5" s="1017">
        <v>45833.333333333336</v>
      </c>
      <c r="P5" s="633">
        <v>49152.613999999987</v>
      </c>
      <c r="Q5" s="342">
        <f>+M5+O5</f>
        <v>167187.50000000003</v>
      </c>
      <c r="R5" s="342">
        <f>+N5+P5</f>
        <v>155394.81300000002</v>
      </c>
      <c r="S5" s="1017">
        <v>45833.333333333336</v>
      </c>
      <c r="T5" s="633">
        <v>40383.741999999998</v>
      </c>
      <c r="U5" s="342">
        <f>+Q5+S5</f>
        <v>213020.83333333337</v>
      </c>
      <c r="V5" s="342">
        <f>+R5+T5</f>
        <v>195778.55500000002</v>
      </c>
      <c r="W5" s="1017">
        <v>26041.666666666668</v>
      </c>
      <c r="X5" s="633">
        <v>42888.832000000002</v>
      </c>
      <c r="Y5" s="778">
        <f>O5++S5+W5</f>
        <v>117708.33333333334</v>
      </c>
      <c r="Z5" s="230">
        <f>P5++T5+X5</f>
        <v>132425.18799999999</v>
      </c>
      <c r="AA5" s="779">
        <f>M5+Y5</f>
        <v>239062.50000000003</v>
      </c>
      <c r="AB5" s="616">
        <f>N5+Z5</f>
        <v>238667.38700000005</v>
      </c>
      <c r="AC5" s="1017">
        <v>44270.833333333336</v>
      </c>
      <c r="AD5" s="633">
        <v>31300.876999999993</v>
      </c>
      <c r="AE5" s="342">
        <f>+AA5+AC5</f>
        <v>283333.33333333337</v>
      </c>
      <c r="AF5" s="342">
        <f>+AB5+AD5</f>
        <v>269968.26400000002</v>
      </c>
      <c r="AG5" s="1017">
        <v>44270.833333333336</v>
      </c>
      <c r="AH5" s="633">
        <v>36144.469000000005</v>
      </c>
      <c r="AI5" s="342">
        <f>+AE5+AG5</f>
        <v>327604.16666666669</v>
      </c>
      <c r="AJ5" s="342">
        <f>+AF5+AH5</f>
        <v>306112.73300000001</v>
      </c>
      <c r="AK5" s="1017">
        <v>45833.333333333336</v>
      </c>
      <c r="AL5" s="633">
        <v>46160.167000000023</v>
      </c>
      <c r="AM5" s="778">
        <f>AC5++AG5+AK5</f>
        <v>134375</v>
      </c>
      <c r="AN5" s="230">
        <f>AD5++AH5+AL5</f>
        <v>113605.51300000001</v>
      </c>
      <c r="AO5" s="342">
        <f>AI5+AK5</f>
        <v>373437.5</v>
      </c>
      <c r="AP5" s="342">
        <f>AJ5+AL5</f>
        <v>352272.9</v>
      </c>
      <c r="AQ5" s="1422">
        <v>46354.166666666672</v>
      </c>
      <c r="AR5" s="571">
        <v>46542.352999999988</v>
      </c>
      <c r="AS5" s="342">
        <f>+AO5+AQ5</f>
        <v>419791.66666666669</v>
      </c>
      <c r="AT5" s="342">
        <f>+AP5+AR5</f>
        <v>398815.25300000003</v>
      </c>
      <c r="AU5" s="1422">
        <v>41666.666666666672</v>
      </c>
      <c r="AV5" s="571">
        <v>39136.924000000014</v>
      </c>
      <c r="AW5" s="342">
        <f>+AS5+AU5</f>
        <v>461458.33333333337</v>
      </c>
      <c r="AX5" s="342">
        <f>+AT5+AV5</f>
        <v>437952.17700000003</v>
      </c>
      <c r="AY5" s="1422">
        <v>46354.166666666672</v>
      </c>
      <c r="AZ5" s="571">
        <v>48905.930000000029</v>
      </c>
      <c r="BA5" s="778">
        <f>AQ5++AU5+AY5</f>
        <v>134375</v>
      </c>
      <c r="BB5" s="230">
        <f>AR5++AV5+AZ5</f>
        <v>134585.20700000002</v>
      </c>
      <c r="BC5" s="779">
        <f>AM5+BA5</f>
        <v>268750</v>
      </c>
      <c r="BD5" s="616">
        <f>AN5+BB5</f>
        <v>248190.72000000003</v>
      </c>
      <c r="BE5" s="342">
        <f>+AW5+AY5</f>
        <v>507812.50000000006</v>
      </c>
      <c r="BF5" s="342">
        <f>+AX5+AZ5</f>
        <v>486858.10700000008</v>
      </c>
      <c r="BG5" s="1111"/>
      <c r="BH5" s="3464"/>
      <c r="BI5" s="23"/>
      <c r="BJ5" s="23"/>
      <c r="BK5" s="23"/>
      <c r="BL5" s="23"/>
    </row>
    <row r="6" spans="1:64" ht="16.2" thickBot="1" x14ac:dyDescent="0.35">
      <c r="A6" s="137"/>
      <c r="B6" s="1568" t="s">
        <v>310</v>
      </c>
      <c r="C6" s="2560"/>
      <c r="D6" s="1577"/>
      <c r="E6" s="662"/>
      <c r="F6" s="1236"/>
      <c r="G6" s="662"/>
      <c r="H6" s="1236"/>
      <c r="I6" s="2561"/>
      <c r="J6" s="2561"/>
      <c r="K6" s="662"/>
      <c r="L6" s="662"/>
      <c r="M6" s="662"/>
      <c r="N6" s="662"/>
      <c r="O6" s="662"/>
      <c r="P6" s="662"/>
      <c r="Q6" s="662"/>
      <c r="R6" s="662"/>
      <c r="S6" s="662"/>
      <c r="T6" s="662"/>
      <c r="U6" s="662"/>
      <c r="V6" s="662"/>
      <c r="W6" s="662"/>
      <c r="X6" s="662"/>
      <c r="Y6" s="1577"/>
      <c r="Z6" s="1577"/>
      <c r="AA6" s="1577"/>
      <c r="AB6" s="1577"/>
      <c r="AC6" s="662"/>
      <c r="AD6" s="662"/>
      <c r="AE6" s="662"/>
      <c r="AF6" s="662"/>
      <c r="AG6" s="662"/>
      <c r="AH6" s="662"/>
      <c r="AI6" s="662"/>
      <c r="AJ6" s="662"/>
      <c r="AK6" s="662"/>
      <c r="AL6" s="662"/>
      <c r="AM6" s="1577"/>
      <c r="AN6" s="1577"/>
      <c r="AO6" s="662"/>
      <c r="AP6" s="662"/>
      <c r="AQ6" s="662"/>
      <c r="AR6" s="1236"/>
      <c r="AS6" s="662"/>
      <c r="AT6" s="662"/>
      <c r="AU6" s="662"/>
      <c r="AV6" s="1236"/>
      <c r="AW6" s="662"/>
      <c r="AX6" s="662"/>
      <c r="AY6" s="662"/>
      <c r="AZ6" s="1236"/>
      <c r="BA6" s="1577"/>
      <c r="BB6" s="1577"/>
      <c r="BC6" s="1577"/>
      <c r="BD6" s="1577"/>
      <c r="BE6" s="662"/>
      <c r="BF6" s="662"/>
      <c r="BG6" s="23"/>
      <c r="BH6" s="3464"/>
      <c r="BI6" s="23"/>
      <c r="BJ6" s="23"/>
      <c r="BK6" s="23"/>
      <c r="BL6" s="23"/>
    </row>
    <row r="7" spans="1:64" ht="16.2" thickBot="1" x14ac:dyDescent="0.35">
      <c r="A7" s="137"/>
      <c r="B7" s="2562" t="s">
        <v>72</v>
      </c>
      <c r="C7" s="2563" t="s">
        <v>1308</v>
      </c>
      <c r="D7" s="2564" t="s">
        <v>50</v>
      </c>
      <c r="E7" s="2565"/>
      <c r="F7" s="145"/>
      <c r="G7" s="2565"/>
      <c r="H7" s="145">
        <v>30.75</v>
      </c>
      <c r="I7" s="341"/>
      <c r="J7" s="39">
        <f>+F7+H7</f>
        <v>30.75</v>
      </c>
      <c r="K7" s="2565"/>
      <c r="L7" s="145"/>
      <c r="M7" s="574"/>
      <c r="N7" s="574">
        <f>+F7+H7+L7</f>
        <v>30.75</v>
      </c>
      <c r="O7" s="2565"/>
      <c r="P7" s="145"/>
      <c r="Q7" s="341"/>
      <c r="R7" s="341">
        <f>+N7+P7</f>
        <v>30.75</v>
      </c>
      <c r="S7" s="2565"/>
      <c r="T7" s="145"/>
      <c r="U7" s="341"/>
      <c r="V7" s="341">
        <f>+R7+T7</f>
        <v>30.75</v>
      </c>
      <c r="W7" s="2565"/>
      <c r="X7" s="145"/>
      <c r="Y7" s="3696"/>
      <c r="Z7" s="3696">
        <f t="shared" ref="Z7:Z79" si="0">P7+T7+X7</f>
        <v>0</v>
      </c>
      <c r="AA7" s="3697"/>
      <c r="AB7" s="3697">
        <f t="shared" ref="AB7:AB79" si="1">N7+Z7</f>
        <v>30.75</v>
      </c>
      <c r="AC7" s="2565"/>
      <c r="AD7" s="145"/>
      <c r="AE7" s="341"/>
      <c r="AF7" s="341">
        <f>+AB7+AD7</f>
        <v>30.75</v>
      </c>
      <c r="AG7" s="2565"/>
      <c r="AH7" s="145"/>
      <c r="AI7" s="341"/>
      <c r="AJ7" s="341">
        <f>+AF7+AH7</f>
        <v>30.75</v>
      </c>
      <c r="AK7" s="2565"/>
      <c r="AL7" s="145"/>
      <c r="AM7" s="3696"/>
      <c r="AN7" s="3696">
        <f t="shared" ref="AN7:AN75" si="2">AD7+AH7+AL7</f>
        <v>0</v>
      </c>
      <c r="AO7" s="341"/>
      <c r="AP7" s="341">
        <f>AJ7+AL7</f>
        <v>30.75</v>
      </c>
      <c r="AQ7" s="2565"/>
      <c r="AR7" s="145"/>
      <c r="AS7" s="341"/>
      <c r="AT7" s="341">
        <f>+AP7+AR7</f>
        <v>30.75</v>
      </c>
      <c r="AU7" s="2565"/>
      <c r="AV7" s="145"/>
      <c r="AW7" s="341"/>
      <c r="AX7" s="341">
        <f>+AT7+AV7</f>
        <v>30.75</v>
      </c>
      <c r="AY7" s="2565"/>
      <c r="AZ7" s="145"/>
      <c r="BA7" s="3696"/>
      <c r="BB7" s="3696">
        <f t="shared" ref="BB7:BB74" si="3">AR7+AV7+AZ7</f>
        <v>0</v>
      </c>
      <c r="BC7" s="3697"/>
      <c r="BD7" s="3697">
        <f>AN7+BB7</f>
        <v>0</v>
      </c>
      <c r="BE7" s="341"/>
      <c r="BF7" s="39">
        <f>+AX7+AZ7</f>
        <v>30.75</v>
      </c>
      <c r="BG7" s="1111"/>
      <c r="BH7" s="3464"/>
      <c r="BI7" s="23"/>
      <c r="BJ7" s="23"/>
      <c r="BK7" s="23"/>
      <c r="BL7" s="23"/>
    </row>
    <row r="8" spans="1:64" ht="16.2" thickBot="1" x14ac:dyDescent="0.35">
      <c r="A8" s="507"/>
      <c r="B8" s="4121" t="s">
        <v>72</v>
      </c>
      <c r="C8" s="4122" t="s">
        <v>924</v>
      </c>
      <c r="D8" s="4123" t="s">
        <v>50</v>
      </c>
      <c r="E8" s="4124"/>
      <c r="F8" s="4125"/>
      <c r="G8" s="4124"/>
      <c r="H8" s="4125"/>
      <c r="I8" s="4119"/>
      <c r="J8" s="39">
        <f t="shared" ref="J8:J74" si="4">+F8+H8</f>
        <v>0</v>
      </c>
      <c r="K8" s="4124"/>
      <c r="L8" s="4125"/>
      <c r="M8" s="4126"/>
      <c r="N8" s="574">
        <f t="shared" ref="N8:N74" si="5">+F8+H8+L8</f>
        <v>0</v>
      </c>
      <c r="O8" s="4124"/>
      <c r="P8" s="4125"/>
      <c r="Q8" s="4119"/>
      <c r="R8" s="341">
        <f t="shared" ref="R8:R74" si="6">+N8+P8</f>
        <v>0</v>
      </c>
      <c r="S8" s="4124"/>
      <c r="T8" s="4125"/>
      <c r="U8" s="4119"/>
      <c r="V8" s="341">
        <f t="shared" ref="V8:V74" si="7">+R8+T8</f>
        <v>0</v>
      </c>
      <c r="W8" s="4124"/>
      <c r="X8" s="4125"/>
      <c r="Y8" s="4126"/>
      <c r="Z8" s="3696">
        <f t="shared" si="0"/>
        <v>0</v>
      </c>
      <c r="AA8" s="4127"/>
      <c r="AB8" s="3697">
        <f t="shared" si="1"/>
        <v>0</v>
      </c>
      <c r="AC8" s="4124"/>
      <c r="AD8" s="4125"/>
      <c r="AE8" s="4119"/>
      <c r="AF8" s="341">
        <f t="shared" ref="AF8:AF74" si="8">+AB8+AD8</f>
        <v>0</v>
      </c>
      <c r="AG8" s="4124"/>
      <c r="AH8" s="4125"/>
      <c r="AI8" s="4119"/>
      <c r="AJ8" s="341">
        <f t="shared" ref="AJ8:AJ10" si="9">+AF8+AH8</f>
        <v>0</v>
      </c>
      <c r="AK8" s="4124"/>
      <c r="AL8" s="4125"/>
      <c r="AM8" s="4126"/>
      <c r="AN8" s="3696">
        <f t="shared" si="2"/>
        <v>0</v>
      </c>
      <c r="AO8" s="4119"/>
      <c r="AP8" s="341">
        <f t="shared" ref="AP8:AP74" si="10">AJ8+AL8</f>
        <v>0</v>
      </c>
      <c r="AQ8" s="4124"/>
      <c r="AR8" s="4125"/>
      <c r="AS8" s="4119"/>
      <c r="AT8" s="4119">
        <f t="shared" ref="AT8:AT74" si="11">+AP8+AR8</f>
        <v>0</v>
      </c>
      <c r="AU8" s="4124"/>
      <c r="AV8" s="4125"/>
      <c r="AW8" s="4119"/>
      <c r="AX8" s="341">
        <f t="shared" ref="AX8:AX74" si="12">+AT8+AV8</f>
        <v>0</v>
      </c>
      <c r="AY8" s="4124"/>
      <c r="AZ8" s="4125"/>
      <c r="BA8" s="4126"/>
      <c r="BB8" s="4070">
        <f t="shared" si="3"/>
        <v>0</v>
      </c>
      <c r="BC8" s="4127"/>
      <c r="BD8" s="4127">
        <f t="shared" ref="BD8:BD75" si="13">AN8+BB8</f>
        <v>0</v>
      </c>
      <c r="BE8" s="4119"/>
      <c r="BF8" s="4063">
        <f t="shared" ref="BF8:BF75" si="14">+AX8+AZ8</f>
        <v>0</v>
      </c>
      <c r="BG8" s="1111"/>
      <c r="BH8" s="3464"/>
      <c r="BI8" s="23"/>
      <c r="BJ8" s="23"/>
      <c r="BK8" s="23"/>
      <c r="BL8" s="23"/>
    </row>
    <row r="9" spans="1:64" ht="16.2" thickBot="1" x14ac:dyDescent="0.35">
      <c r="A9" s="137"/>
      <c r="B9" s="4121" t="s">
        <v>72</v>
      </c>
      <c r="C9" s="4122" t="s">
        <v>926</v>
      </c>
      <c r="D9" s="4123" t="s">
        <v>50</v>
      </c>
      <c r="E9" s="4128"/>
      <c r="F9" s="4125"/>
      <c r="G9" s="4128"/>
      <c r="H9" s="4125"/>
      <c r="I9" s="4119"/>
      <c r="J9" s="39">
        <f t="shared" si="4"/>
        <v>0</v>
      </c>
      <c r="K9" s="4128"/>
      <c r="L9" s="4125"/>
      <c r="M9" s="4126"/>
      <c r="N9" s="574">
        <f t="shared" si="5"/>
        <v>0</v>
      </c>
      <c r="O9" s="4128"/>
      <c r="P9" s="4125"/>
      <c r="Q9" s="4119"/>
      <c r="R9" s="341">
        <f t="shared" si="6"/>
        <v>0</v>
      </c>
      <c r="S9" s="4128"/>
      <c r="T9" s="4125"/>
      <c r="U9" s="4119"/>
      <c r="V9" s="341">
        <f t="shared" si="7"/>
        <v>0</v>
      </c>
      <c r="W9" s="4128"/>
      <c r="X9" s="4125"/>
      <c r="Y9" s="4070"/>
      <c r="Z9" s="3696">
        <f t="shared" si="0"/>
        <v>0</v>
      </c>
      <c r="AA9" s="4127"/>
      <c r="AB9" s="3697">
        <f t="shared" si="1"/>
        <v>0</v>
      </c>
      <c r="AC9" s="4128"/>
      <c r="AD9" s="4125"/>
      <c r="AE9" s="4119"/>
      <c r="AF9" s="341">
        <f t="shared" si="8"/>
        <v>0</v>
      </c>
      <c r="AG9" s="4128"/>
      <c r="AH9" s="4125"/>
      <c r="AI9" s="4119"/>
      <c r="AJ9" s="341">
        <f t="shared" si="9"/>
        <v>0</v>
      </c>
      <c r="AK9" s="4128"/>
      <c r="AL9" s="4125"/>
      <c r="AM9" s="4070"/>
      <c r="AN9" s="3696">
        <f t="shared" si="2"/>
        <v>0</v>
      </c>
      <c r="AO9" s="4119"/>
      <c r="AP9" s="341">
        <f t="shared" si="10"/>
        <v>0</v>
      </c>
      <c r="AQ9" s="4128"/>
      <c r="AR9" s="4125"/>
      <c r="AS9" s="4119"/>
      <c r="AT9" s="4119">
        <f t="shared" si="11"/>
        <v>0</v>
      </c>
      <c r="AU9" s="4128"/>
      <c r="AV9" s="4125">
        <f>65.6-2.05</f>
        <v>63.55</v>
      </c>
      <c r="AW9" s="4119"/>
      <c r="AX9" s="341">
        <f t="shared" si="12"/>
        <v>63.55</v>
      </c>
      <c r="AY9" s="4128"/>
      <c r="AZ9" s="4125"/>
      <c r="BA9" s="4070"/>
      <c r="BB9" s="4070">
        <f t="shared" si="3"/>
        <v>63.55</v>
      </c>
      <c r="BC9" s="4127"/>
      <c r="BD9" s="4127">
        <f t="shared" si="13"/>
        <v>63.55</v>
      </c>
      <c r="BE9" s="4119"/>
      <c r="BF9" s="4063">
        <f t="shared" si="14"/>
        <v>63.55</v>
      </c>
      <c r="BG9" s="1111"/>
      <c r="BH9" s="3464"/>
      <c r="BI9" s="23"/>
      <c r="BJ9" s="23"/>
      <c r="BK9" s="23"/>
      <c r="BL9" s="23"/>
    </row>
    <row r="10" spans="1:64" ht="16.2" thickBot="1" x14ac:dyDescent="0.35">
      <c r="A10" s="137"/>
      <c r="B10" s="4121" t="s">
        <v>72</v>
      </c>
      <c r="C10" s="4122" t="s">
        <v>1072</v>
      </c>
      <c r="D10" s="4123" t="s">
        <v>50</v>
      </c>
      <c r="E10" s="4128"/>
      <c r="F10" s="4125"/>
      <c r="G10" s="4128"/>
      <c r="H10" s="4125"/>
      <c r="I10" s="4119"/>
      <c r="J10" s="39">
        <f t="shared" si="4"/>
        <v>0</v>
      </c>
      <c r="K10" s="4128"/>
      <c r="L10" s="4125"/>
      <c r="M10" s="4126"/>
      <c r="N10" s="574">
        <f t="shared" si="5"/>
        <v>0</v>
      </c>
      <c r="O10" s="4128"/>
      <c r="P10" s="4125"/>
      <c r="Q10" s="4119"/>
      <c r="R10" s="341">
        <f t="shared" si="6"/>
        <v>0</v>
      </c>
      <c r="S10" s="4128"/>
      <c r="T10" s="4125"/>
      <c r="U10" s="4119"/>
      <c r="V10" s="341">
        <f t="shared" si="7"/>
        <v>0</v>
      </c>
      <c r="W10" s="4128"/>
      <c r="X10" s="4125"/>
      <c r="Y10" s="4070"/>
      <c r="Z10" s="3696">
        <f t="shared" si="0"/>
        <v>0</v>
      </c>
      <c r="AA10" s="4127"/>
      <c r="AB10" s="3697">
        <f t="shared" si="1"/>
        <v>0</v>
      </c>
      <c r="AC10" s="4128"/>
      <c r="AD10" s="4125"/>
      <c r="AE10" s="4119"/>
      <c r="AF10" s="341">
        <f t="shared" si="8"/>
        <v>0</v>
      </c>
      <c r="AG10" s="4128"/>
      <c r="AH10" s="4125"/>
      <c r="AI10" s="4119"/>
      <c r="AJ10" s="341">
        <f t="shared" si="9"/>
        <v>0</v>
      </c>
      <c r="AK10" s="4128"/>
      <c r="AL10" s="4125"/>
      <c r="AM10" s="4070"/>
      <c r="AN10" s="3696">
        <f t="shared" si="2"/>
        <v>0</v>
      </c>
      <c r="AO10" s="4119"/>
      <c r="AP10" s="341">
        <f t="shared" si="10"/>
        <v>0</v>
      </c>
      <c r="AQ10" s="4128"/>
      <c r="AR10" s="4125"/>
      <c r="AS10" s="4119"/>
      <c r="AT10" s="4119">
        <f t="shared" si="11"/>
        <v>0</v>
      </c>
      <c r="AU10" s="4128"/>
      <c r="AV10" s="4125"/>
      <c r="AW10" s="4119"/>
      <c r="AX10" s="341">
        <f t="shared" si="12"/>
        <v>0</v>
      </c>
      <c r="AY10" s="4128"/>
      <c r="AZ10" s="4125"/>
      <c r="BA10" s="4070"/>
      <c r="BB10" s="4070">
        <f t="shared" si="3"/>
        <v>0</v>
      </c>
      <c r="BC10" s="4127"/>
      <c r="BD10" s="4127">
        <f t="shared" si="13"/>
        <v>0</v>
      </c>
      <c r="BE10" s="4119"/>
      <c r="BF10" s="4063">
        <f t="shared" si="14"/>
        <v>0</v>
      </c>
      <c r="BG10" s="1111"/>
      <c r="BH10" s="3464"/>
      <c r="BI10" s="23"/>
      <c r="BJ10" s="23"/>
      <c r="BK10" s="23"/>
      <c r="BL10" s="23"/>
    </row>
    <row r="11" spans="1:64" ht="16.2" thickBot="1" x14ac:dyDescent="0.35">
      <c r="A11" s="137"/>
      <c r="B11" s="4121" t="s">
        <v>72</v>
      </c>
      <c r="C11" s="4122" t="s">
        <v>1086</v>
      </c>
      <c r="D11" s="4123" t="s">
        <v>50</v>
      </c>
      <c r="E11" s="4128"/>
      <c r="F11" s="4125"/>
      <c r="G11" s="4128"/>
      <c r="H11" s="4125"/>
      <c r="I11" s="4119"/>
      <c r="J11" s="39">
        <f t="shared" si="4"/>
        <v>0</v>
      </c>
      <c r="K11" s="4128"/>
      <c r="L11" s="4125"/>
      <c r="M11" s="4126"/>
      <c r="N11" s="574">
        <f t="shared" si="5"/>
        <v>0</v>
      </c>
      <c r="O11" s="4128"/>
      <c r="P11" s="4125"/>
      <c r="Q11" s="4119"/>
      <c r="R11" s="341">
        <f t="shared" si="6"/>
        <v>0</v>
      </c>
      <c r="S11" s="4128"/>
      <c r="T11" s="4125"/>
      <c r="U11" s="4119"/>
      <c r="V11" s="341">
        <f t="shared" si="7"/>
        <v>0</v>
      </c>
      <c r="W11" s="4128"/>
      <c r="X11" s="4125"/>
      <c r="Y11" s="4070"/>
      <c r="Z11" s="3696">
        <f t="shared" si="0"/>
        <v>0</v>
      </c>
      <c r="AA11" s="4127"/>
      <c r="AB11" s="3697">
        <f t="shared" si="1"/>
        <v>0</v>
      </c>
      <c r="AC11" s="4128"/>
      <c r="AD11" s="4125"/>
      <c r="AE11" s="4119"/>
      <c r="AF11" s="341">
        <f t="shared" si="8"/>
        <v>0</v>
      </c>
      <c r="AG11" s="4128"/>
      <c r="AH11" s="4125"/>
      <c r="AI11" s="4119"/>
      <c r="AJ11" s="4119">
        <f t="shared" ref="AJ11:AJ76" si="15">+AF11+AH11</f>
        <v>0</v>
      </c>
      <c r="AK11" s="4128"/>
      <c r="AL11" s="4125"/>
      <c r="AM11" s="4070"/>
      <c r="AN11" s="3696">
        <f t="shared" si="2"/>
        <v>0</v>
      </c>
      <c r="AO11" s="4119"/>
      <c r="AP11" s="341">
        <f t="shared" si="10"/>
        <v>0</v>
      </c>
      <c r="AQ11" s="4128"/>
      <c r="AR11" s="4125"/>
      <c r="AS11" s="4119"/>
      <c r="AT11" s="4119">
        <f t="shared" si="11"/>
        <v>0</v>
      </c>
      <c r="AU11" s="4128"/>
      <c r="AV11" s="4125"/>
      <c r="AW11" s="4119"/>
      <c r="AX11" s="341">
        <f t="shared" si="12"/>
        <v>0</v>
      </c>
      <c r="AY11" s="4128"/>
      <c r="AZ11" s="4125"/>
      <c r="BA11" s="4070"/>
      <c r="BB11" s="4070">
        <f t="shared" si="3"/>
        <v>0</v>
      </c>
      <c r="BC11" s="4127"/>
      <c r="BD11" s="4127">
        <f t="shared" si="13"/>
        <v>0</v>
      </c>
      <c r="BE11" s="4119"/>
      <c r="BF11" s="4063">
        <f t="shared" si="14"/>
        <v>0</v>
      </c>
      <c r="BG11" s="1111"/>
      <c r="BH11" s="3464"/>
      <c r="BI11" s="23"/>
      <c r="BJ11" s="23"/>
      <c r="BK11" s="23"/>
      <c r="BL11" s="23"/>
    </row>
    <row r="12" spans="1:64" ht="16.2" thickBot="1" x14ac:dyDescent="0.35">
      <c r="A12" s="137"/>
      <c r="B12" s="4121" t="s">
        <v>72</v>
      </c>
      <c r="C12" s="4122" t="s">
        <v>832</v>
      </c>
      <c r="D12" s="4123" t="s">
        <v>50</v>
      </c>
      <c r="E12" s="4124"/>
      <c r="F12" s="4125"/>
      <c r="G12" s="4124"/>
      <c r="H12" s="4125"/>
      <c r="I12" s="4119"/>
      <c r="J12" s="39">
        <f t="shared" si="4"/>
        <v>0</v>
      </c>
      <c r="K12" s="4124"/>
      <c r="L12" s="4125">
        <v>590.4</v>
      </c>
      <c r="M12" s="4126"/>
      <c r="N12" s="574">
        <f t="shared" si="5"/>
        <v>590.4</v>
      </c>
      <c r="O12" s="4124"/>
      <c r="P12" s="4125">
        <v>250.1</v>
      </c>
      <c r="Q12" s="4119"/>
      <c r="R12" s="341">
        <f t="shared" si="6"/>
        <v>840.5</v>
      </c>
      <c r="S12" s="4124"/>
      <c r="T12" s="4125">
        <f>787.2-6.15</f>
        <v>781.05000000000007</v>
      </c>
      <c r="U12" s="4119"/>
      <c r="V12" s="341">
        <f t="shared" si="7"/>
        <v>1621.5500000000002</v>
      </c>
      <c r="W12" s="4124"/>
      <c r="X12" s="4125">
        <f>1293.55-4.1</f>
        <v>1289.45</v>
      </c>
      <c r="Y12" s="4070"/>
      <c r="Z12" s="3696">
        <f t="shared" si="0"/>
        <v>2320.6000000000004</v>
      </c>
      <c r="AA12" s="4127"/>
      <c r="AB12" s="3697">
        <f t="shared" si="1"/>
        <v>2911.0000000000005</v>
      </c>
      <c r="AC12" s="4124"/>
      <c r="AD12" s="4125"/>
      <c r="AE12" s="4119"/>
      <c r="AF12" s="341">
        <f t="shared" si="8"/>
        <v>2911.0000000000005</v>
      </c>
      <c r="AG12" s="4124"/>
      <c r="AH12" s="4125">
        <f>2033.6-4.1</f>
        <v>2029.5</v>
      </c>
      <c r="AI12" s="4119"/>
      <c r="AJ12" s="341">
        <f t="shared" si="15"/>
        <v>4940.5</v>
      </c>
      <c r="AK12" s="4124"/>
      <c r="AL12" s="4125">
        <f>641.65-8.2</f>
        <v>633.44999999999993</v>
      </c>
      <c r="AM12" s="4070"/>
      <c r="AN12" s="3696">
        <f t="shared" si="2"/>
        <v>2662.95</v>
      </c>
      <c r="AO12" s="4119"/>
      <c r="AP12" s="341">
        <f t="shared" si="10"/>
        <v>5573.95</v>
      </c>
      <c r="AQ12" s="4124"/>
      <c r="AR12" s="4125">
        <v>334.15000000000003</v>
      </c>
      <c r="AS12" s="4119"/>
      <c r="AT12" s="4119">
        <f t="shared" si="11"/>
        <v>5908.0999999999995</v>
      </c>
      <c r="AU12" s="4124"/>
      <c r="AV12" s="4125">
        <f>426.4-12.3</f>
        <v>414.09999999999997</v>
      </c>
      <c r="AW12" s="4119"/>
      <c r="AX12" s="341">
        <f t="shared" si="12"/>
        <v>6322.2</v>
      </c>
      <c r="AY12" s="4124"/>
      <c r="AZ12" s="4125">
        <v>274.7</v>
      </c>
      <c r="BA12" s="4070"/>
      <c r="BB12" s="4070">
        <f t="shared" si="3"/>
        <v>1022.95</v>
      </c>
      <c r="BC12" s="4127"/>
      <c r="BD12" s="4127">
        <f t="shared" si="13"/>
        <v>3685.8999999999996</v>
      </c>
      <c r="BE12" s="4119"/>
      <c r="BF12" s="4063">
        <f t="shared" si="14"/>
        <v>6596.9</v>
      </c>
      <c r="BG12" s="1111"/>
      <c r="BH12" s="3464"/>
      <c r="BI12" s="23"/>
      <c r="BJ12" s="23"/>
      <c r="BK12" s="23"/>
      <c r="BL12" s="23"/>
    </row>
    <row r="13" spans="1:64" ht="16.2" thickBot="1" x14ac:dyDescent="0.35">
      <c r="A13" s="137"/>
      <c r="B13" s="4121" t="s">
        <v>72</v>
      </c>
      <c r="C13" s="4122" t="s">
        <v>833</v>
      </c>
      <c r="D13" s="4123" t="s">
        <v>50</v>
      </c>
      <c r="E13" s="4124"/>
      <c r="F13" s="4125"/>
      <c r="G13" s="4124"/>
      <c r="H13" s="4125">
        <v>1145.95</v>
      </c>
      <c r="I13" s="4119"/>
      <c r="J13" s="39">
        <f t="shared" si="4"/>
        <v>1145.95</v>
      </c>
      <c r="K13" s="4124"/>
      <c r="L13" s="4125">
        <v>508.40000000000003</v>
      </c>
      <c r="M13" s="4126"/>
      <c r="N13" s="574">
        <f t="shared" si="5"/>
        <v>1654.3500000000001</v>
      </c>
      <c r="O13" s="4124"/>
      <c r="P13" s="4125"/>
      <c r="Q13" s="4119"/>
      <c r="R13" s="341">
        <f t="shared" si="6"/>
        <v>1654.3500000000001</v>
      </c>
      <c r="S13" s="4124"/>
      <c r="T13" s="4125"/>
      <c r="U13" s="4119"/>
      <c r="V13" s="341">
        <f t="shared" si="7"/>
        <v>1654.3500000000001</v>
      </c>
      <c r="W13" s="4124"/>
      <c r="X13" s="4125"/>
      <c r="Y13" s="4070"/>
      <c r="Z13" s="3696">
        <f t="shared" si="0"/>
        <v>0</v>
      </c>
      <c r="AA13" s="4127"/>
      <c r="AB13" s="3697">
        <f t="shared" si="1"/>
        <v>1654.3500000000001</v>
      </c>
      <c r="AC13" s="4124"/>
      <c r="AD13" s="4125"/>
      <c r="AE13" s="4119"/>
      <c r="AF13" s="341">
        <f t="shared" si="8"/>
        <v>1654.3500000000001</v>
      </c>
      <c r="AG13" s="4124"/>
      <c r="AH13" s="4125">
        <f>168.1-2.05</f>
        <v>166.04999999999998</v>
      </c>
      <c r="AI13" s="4119"/>
      <c r="AJ13" s="341">
        <f t="shared" si="15"/>
        <v>1820.4</v>
      </c>
      <c r="AK13" s="4124"/>
      <c r="AL13" s="4125"/>
      <c r="AM13" s="4070"/>
      <c r="AN13" s="3696">
        <f t="shared" si="2"/>
        <v>166.04999999999998</v>
      </c>
      <c r="AO13" s="4119"/>
      <c r="AP13" s="341">
        <f t="shared" si="10"/>
        <v>1820.4</v>
      </c>
      <c r="AQ13" s="4124"/>
      <c r="AR13" s="4125"/>
      <c r="AS13" s="4119"/>
      <c r="AT13" s="4119">
        <f t="shared" si="11"/>
        <v>1820.4</v>
      </c>
      <c r="AU13" s="4124"/>
      <c r="AV13" s="4125">
        <v>379.25000000000006</v>
      </c>
      <c r="AW13" s="4119"/>
      <c r="AX13" s="341">
        <f t="shared" si="12"/>
        <v>2199.65</v>
      </c>
      <c r="AY13" s="4124"/>
      <c r="AZ13" s="4125">
        <v>373.1</v>
      </c>
      <c r="BA13" s="4070"/>
      <c r="BB13" s="4070">
        <f t="shared" si="3"/>
        <v>752.35000000000014</v>
      </c>
      <c r="BC13" s="4127"/>
      <c r="BD13" s="4127">
        <f t="shared" si="13"/>
        <v>918.40000000000009</v>
      </c>
      <c r="BE13" s="4119"/>
      <c r="BF13" s="4063">
        <f t="shared" si="14"/>
        <v>2572.75</v>
      </c>
      <c r="BG13" s="1111"/>
      <c r="BH13" s="3464"/>
      <c r="BI13" s="23"/>
      <c r="BJ13" s="23"/>
      <c r="BK13" s="23"/>
      <c r="BL13" s="23"/>
    </row>
    <row r="14" spans="1:64" ht="16.5" customHeight="1" thickBot="1" x14ac:dyDescent="0.35">
      <c r="A14" s="137"/>
      <c r="B14" s="4121" t="s">
        <v>72</v>
      </c>
      <c r="C14" s="4122" t="s">
        <v>1266</v>
      </c>
      <c r="D14" s="4123" t="s">
        <v>50</v>
      </c>
      <c r="E14" s="4124"/>
      <c r="F14" s="4125"/>
      <c r="G14" s="4124"/>
      <c r="H14" s="4125"/>
      <c r="I14" s="4119"/>
      <c r="J14" s="39">
        <f t="shared" si="4"/>
        <v>0</v>
      </c>
      <c r="K14" s="4124"/>
      <c r="L14" s="4125">
        <v>161.95000000000002</v>
      </c>
      <c r="M14" s="4126"/>
      <c r="N14" s="574">
        <f t="shared" si="5"/>
        <v>161.95000000000002</v>
      </c>
      <c r="O14" s="4124"/>
      <c r="P14" s="4125">
        <v>676.5</v>
      </c>
      <c r="Q14" s="4119"/>
      <c r="R14" s="341">
        <f t="shared" si="6"/>
        <v>838.45</v>
      </c>
      <c r="S14" s="4124"/>
      <c r="T14" s="4125">
        <v>211.14999999999998</v>
      </c>
      <c r="U14" s="4119"/>
      <c r="V14" s="341">
        <f t="shared" si="7"/>
        <v>1049.5999999999999</v>
      </c>
      <c r="W14" s="4124"/>
      <c r="X14" s="4125">
        <f>1328.4-2.05</f>
        <v>1326.3500000000001</v>
      </c>
      <c r="Y14" s="4070"/>
      <c r="Z14" s="3696">
        <f t="shared" si="0"/>
        <v>2214</v>
      </c>
      <c r="AA14" s="4127"/>
      <c r="AB14" s="3697">
        <f t="shared" si="1"/>
        <v>2375.9499999999998</v>
      </c>
      <c r="AC14" s="4124"/>
      <c r="AD14" s="4125"/>
      <c r="AE14" s="4119"/>
      <c r="AF14" s="341">
        <f t="shared" si="8"/>
        <v>2375.9499999999998</v>
      </c>
      <c r="AG14" s="4124"/>
      <c r="AH14" s="4125"/>
      <c r="AI14" s="4119"/>
      <c r="AJ14" s="341">
        <f t="shared" si="15"/>
        <v>2375.9499999999998</v>
      </c>
      <c r="AK14" s="4124"/>
      <c r="AL14" s="4125"/>
      <c r="AM14" s="4070"/>
      <c r="AN14" s="3696">
        <f t="shared" si="2"/>
        <v>0</v>
      </c>
      <c r="AO14" s="4119"/>
      <c r="AP14" s="341">
        <f t="shared" si="10"/>
        <v>2375.9499999999998</v>
      </c>
      <c r="AQ14" s="4124"/>
      <c r="AR14" s="4125">
        <v>670.35</v>
      </c>
      <c r="AS14" s="4119"/>
      <c r="AT14" s="4119">
        <f t="shared" si="11"/>
        <v>3046.2999999999997</v>
      </c>
      <c r="AU14" s="4124"/>
      <c r="AV14" s="4125"/>
      <c r="AW14" s="4119"/>
      <c r="AX14" s="341">
        <f t="shared" si="12"/>
        <v>3046.2999999999997</v>
      </c>
      <c r="AY14" s="4124"/>
      <c r="AZ14" s="4125"/>
      <c r="BA14" s="4070"/>
      <c r="BB14" s="4070">
        <f t="shared" si="3"/>
        <v>670.35</v>
      </c>
      <c r="BC14" s="4127"/>
      <c r="BD14" s="4127">
        <f t="shared" si="13"/>
        <v>670.35</v>
      </c>
      <c r="BE14" s="4119"/>
      <c r="BF14" s="4063">
        <f t="shared" si="14"/>
        <v>3046.2999999999997</v>
      </c>
      <c r="BG14" s="1111"/>
      <c r="BH14" s="3464"/>
      <c r="BI14" s="23"/>
      <c r="BJ14" s="23"/>
      <c r="BK14" s="23"/>
      <c r="BL14" s="23"/>
    </row>
    <row r="15" spans="1:64" ht="16.2" thickBot="1" x14ac:dyDescent="0.35">
      <c r="A15" s="137"/>
      <c r="B15" s="4121" t="s">
        <v>72</v>
      </c>
      <c r="C15" s="4122" t="s">
        <v>925</v>
      </c>
      <c r="D15" s="4123" t="s">
        <v>50</v>
      </c>
      <c r="E15" s="4124"/>
      <c r="F15" s="4125"/>
      <c r="G15" s="4124"/>
      <c r="H15" s="4125">
        <v>688.8</v>
      </c>
      <c r="I15" s="4119"/>
      <c r="J15" s="39">
        <f t="shared" si="4"/>
        <v>688.8</v>
      </c>
      <c r="K15" s="4124"/>
      <c r="L15" s="4125">
        <f>539.15-2.05</f>
        <v>537.1</v>
      </c>
      <c r="M15" s="4126"/>
      <c r="N15" s="574">
        <f t="shared" si="5"/>
        <v>1225.9000000000001</v>
      </c>
      <c r="O15" s="4124"/>
      <c r="P15" s="4125">
        <v>325.95</v>
      </c>
      <c r="Q15" s="4119"/>
      <c r="R15" s="341">
        <f t="shared" si="6"/>
        <v>1551.8500000000001</v>
      </c>
      <c r="S15" s="4124"/>
      <c r="T15" s="4125">
        <v>1055.75</v>
      </c>
      <c r="U15" s="4119"/>
      <c r="V15" s="341">
        <f t="shared" si="7"/>
        <v>2607.6000000000004</v>
      </c>
      <c r="W15" s="4124"/>
      <c r="X15" s="4125">
        <v>742.1</v>
      </c>
      <c r="Y15" s="4070"/>
      <c r="Z15" s="3696">
        <f t="shared" si="0"/>
        <v>2123.8000000000002</v>
      </c>
      <c r="AA15" s="4127"/>
      <c r="AB15" s="3697">
        <f t="shared" si="1"/>
        <v>3349.7000000000003</v>
      </c>
      <c r="AC15" s="4124"/>
      <c r="AD15" s="4125"/>
      <c r="AE15" s="4119"/>
      <c r="AF15" s="341">
        <f t="shared" si="8"/>
        <v>3349.7000000000003</v>
      </c>
      <c r="AG15" s="4124"/>
      <c r="AH15" s="4125">
        <v>321.85000000000002</v>
      </c>
      <c r="AI15" s="4119"/>
      <c r="AJ15" s="341">
        <f t="shared" si="15"/>
        <v>3671.55</v>
      </c>
      <c r="AK15" s="4124"/>
      <c r="AL15" s="4125">
        <v>399.75</v>
      </c>
      <c r="AM15" s="4070"/>
      <c r="AN15" s="3696">
        <f t="shared" si="2"/>
        <v>721.6</v>
      </c>
      <c r="AO15" s="4119"/>
      <c r="AP15" s="341">
        <f t="shared" si="10"/>
        <v>4071.3</v>
      </c>
      <c r="AQ15" s="4124"/>
      <c r="AR15" s="4125">
        <v>227.54999999999998</v>
      </c>
      <c r="AS15" s="4119"/>
      <c r="AT15" s="4119">
        <f t="shared" si="11"/>
        <v>4298.8500000000004</v>
      </c>
      <c r="AU15" s="4124"/>
      <c r="AV15" s="4125">
        <v>979.90000000000009</v>
      </c>
      <c r="AW15" s="4119"/>
      <c r="AX15" s="341">
        <f t="shared" si="12"/>
        <v>5278.75</v>
      </c>
      <c r="AY15" s="4124"/>
      <c r="AZ15" s="4125">
        <v>186.55</v>
      </c>
      <c r="BA15" s="4070"/>
      <c r="BB15" s="4070">
        <f t="shared" si="3"/>
        <v>1394</v>
      </c>
      <c r="BC15" s="4127"/>
      <c r="BD15" s="4127">
        <f t="shared" si="13"/>
        <v>2115.6</v>
      </c>
      <c r="BE15" s="4119"/>
      <c r="BF15" s="4063">
        <f t="shared" si="14"/>
        <v>5465.3</v>
      </c>
      <c r="BG15" s="1111"/>
      <c r="BH15" s="3464"/>
      <c r="BI15" s="23"/>
      <c r="BJ15" s="23"/>
      <c r="BK15" s="23"/>
      <c r="BL15" s="23"/>
    </row>
    <row r="16" spans="1:64" ht="16.2" thickBot="1" x14ac:dyDescent="0.35">
      <c r="A16" s="137"/>
      <c r="B16" s="4121" t="s">
        <v>72</v>
      </c>
      <c r="C16" s="4122" t="s">
        <v>1535</v>
      </c>
      <c r="D16" s="4123" t="s">
        <v>50</v>
      </c>
      <c r="E16" s="4124"/>
      <c r="F16" s="4125"/>
      <c r="G16" s="4124"/>
      <c r="H16" s="4125"/>
      <c r="I16" s="4119"/>
      <c r="J16" s="39">
        <f t="shared" si="4"/>
        <v>0</v>
      </c>
      <c r="K16" s="4124"/>
      <c r="L16" s="4125"/>
      <c r="M16" s="4126"/>
      <c r="N16" s="574">
        <f t="shared" si="5"/>
        <v>0</v>
      </c>
      <c r="O16" s="4124"/>
      <c r="P16" s="4125"/>
      <c r="Q16" s="4119"/>
      <c r="R16" s="341">
        <f t="shared" si="6"/>
        <v>0</v>
      </c>
      <c r="S16" s="4124"/>
      <c r="T16" s="4125"/>
      <c r="U16" s="4119"/>
      <c r="V16" s="341">
        <f t="shared" si="7"/>
        <v>0</v>
      </c>
      <c r="W16" s="4124"/>
      <c r="X16" s="4125"/>
      <c r="Y16" s="4070"/>
      <c r="Z16" s="3696">
        <f t="shared" si="0"/>
        <v>0</v>
      </c>
      <c r="AA16" s="4127"/>
      <c r="AB16" s="3697">
        <f t="shared" si="1"/>
        <v>0</v>
      </c>
      <c r="AC16" s="4124"/>
      <c r="AD16" s="4125"/>
      <c r="AE16" s="4119"/>
      <c r="AF16" s="341">
        <f t="shared" si="8"/>
        <v>0</v>
      </c>
      <c r="AG16" s="4124"/>
      <c r="AH16" s="4125"/>
      <c r="AI16" s="4119"/>
      <c r="AJ16" s="341">
        <f t="shared" si="15"/>
        <v>0</v>
      </c>
      <c r="AK16" s="4124"/>
      <c r="AL16" s="4125"/>
      <c r="AM16" s="4070"/>
      <c r="AN16" s="3696">
        <f t="shared" si="2"/>
        <v>0</v>
      </c>
      <c r="AO16" s="4119"/>
      <c r="AP16" s="341">
        <f t="shared" si="10"/>
        <v>0</v>
      </c>
      <c r="AQ16" s="4124"/>
      <c r="AR16" s="4125"/>
      <c r="AS16" s="4119"/>
      <c r="AT16" s="4119">
        <f t="shared" si="11"/>
        <v>0</v>
      </c>
      <c r="AU16" s="4124"/>
      <c r="AV16" s="4125"/>
      <c r="AW16" s="4119"/>
      <c r="AX16" s="341">
        <f t="shared" si="12"/>
        <v>0</v>
      </c>
      <c r="AY16" s="4124"/>
      <c r="AZ16" s="4125"/>
      <c r="BA16" s="4070"/>
      <c r="BB16" s="4070">
        <f t="shared" si="3"/>
        <v>0</v>
      </c>
      <c r="BC16" s="4127"/>
      <c r="BD16" s="4127">
        <f t="shared" si="13"/>
        <v>0</v>
      </c>
      <c r="BE16" s="4119"/>
      <c r="BF16" s="4063">
        <f t="shared" si="14"/>
        <v>0</v>
      </c>
      <c r="BG16" s="1111"/>
      <c r="BH16" s="3464"/>
      <c r="BI16" s="23"/>
      <c r="BJ16" s="23"/>
      <c r="BK16" s="23"/>
      <c r="BL16" s="23"/>
    </row>
    <row r="17" spans="1:64" ht="16.2" thickBot="1" x14ac:dyDescent="0.35">
      <c r="A17" s="137"/>
      <c r="B17" s="4121" t="s">
        <v>72</v>
      </c>
      <c r="C17" s="4122" t="s">
        <v>928</v>
      </c>
      <c r="D17" s="4123" t="s">
        <v>50</v>
      </c>
      <c r="E17" s="4124"/>
      <c r="F17" s="4125"/>
      <c r="G17" s="4124"/>
      <c r="H17" s="4125"/>
      <c r="I17" s="4119"/>
      <c r="J17" s="39">
        <f t="shared" si="4"/>
        <v>0</v>
      </c>
      <c r="K17" s="4124"/>
      <c r="L17" s="4125">
        <v>491.99999999999994</v>
      </c>
      <c r="M17" s="4126"/>
      <c r="N17" s="574">
        <f t="shared" si="5"/>
        <v>491.99999999999994</v>
      </c>
      <c r="O17" s="4124"/>
      <c r="P17" s="4125">
        <v>270.60000000000002</v>
      </c>
      <c r="Q17" s="4119"/>
      <c r="R17" s="341">
        <f t="shared" si="6"/>
        <v>762.59999999999991</v>
      </c>
      <c r="S17" s="4124"/>
      <c r="T17" s="4125">
        <f>340.3-2.05</f>
        <v>338.25</v>
      </c>
      <c r="U17" s="4119"/>
      <c r="V17" s="341">
        <f t="shared" si="7"/>
        <v>1100.8499999999999</v>
      </c>
      <c r="W17" s="4124"/>
      <c r="X17" s="4125"/>
      <c r="Y17" s="4070"/>
      <c r="Z17" s="3696">
        <f t="shared" si="0"/>
        <v>608.85</v>
      </c>
      <c r="AA17" s="4127"/>
      <c r="AB17" s="3697">
        <f t="shared" si="1"/>
        <v>1100.8499999999999</v>
      </c>
      <c r="AC17" s="4124"/>
      <c r="AD17" s="4125"/>
      <c r="AE17" s="4119"/>
      <c r="AF17" s="341">
        <f t="shared" si="8"/>
        <v>1100.8499999999999</v>
      </c>
      <c r="AG17" s="4124"/>
      <c r="AH17" s="4125"/>
      <c r="AI17" s="4119"/>
      <c r="AJ17" s="341">
        <f t="shared" si="15"/>
        <v>1100.8499999999999</v>
      </c>
      <c r="AK17" s="4124"/>
      <c r="AL17" s="4125">
        <v>709.30000000000007</v>
      </c>
      <c r="AM17" s="4070"/>
      <c r="AN17" s="3696">
        <f t="shared" si="2"/>
        <v>709.30000000000007</v>
      </c>
      <c r="AO17" s="4119"/>
      <c r="AP17" s="341">
        <f t="shared" si="10"/>
        <v>1810.15</v>
      </c>
      <c r="AQ17" s="4124"/>
      <c r="AR17" s="4125">
        <v>631.4</v>
      </c>
      <c r="AS17" s="4119"/>
      <c r="AT17" s="4119">
        <f t="shared" si="11"/>
        <v>2441.5500000000002</v>
      </c>
      <c r="AU17" s="4124"/>
      <c r="AV17" s="4125"/>
      <c r="AW17" s="4119"/>
      <c r="AX17" s="341">
        <f t="shared" si="12"/>
        <v>2441.5500000000002</v>
      </c>
      <c r="AY17" s="4124"/>
      <c r="AZ17" s="4125">
        <v>120.95</v>
      </c>
      <c r="BA17" s="4070"/>
      <c r="BB17" s="4070">
        <f t="shared" si="3"/>
        <v>752.35</v>
      </c>
      <c r="BC17" s="4127"/>
      <c r="BD17" s="4127">
        <f t="shared" si="13"/>
        <v>1461.65</v>
      </c>
      <c r="BE17" s="4119"/>
      <c r="BF17" s="4063">
        <f t="shared" si="14"/>
        <v>2562.5</v>
      </c>
      <c r="BG17" s="1111"/>
      <c r="BH17" s="3464"/>
      <c r="BI17" s="23"/>
      <c r="BJ17" s="23"/>
      <c r="BK17" s="23"/>
      <c r="BL17" s="23"/>
    </row>
    <row r="18" spans="1:64" ht="16.2" thickBot="1" x14ac:dyDescent="0.35">
      <c r="A18" s="137"/>
      <c r="B18" s="4121" t="s">
        <v>72</v>
      </c>
      <c r="C18" s="4122" t="s">
        <v>927</v>
      </c>
      <c r="D18" s="4123" t="s">
        <v>50</v>
      </c>
      <c r="E18" s="4124"/>
      <c r="F18" s="4125"/>
      <c r="G18" s="4124"/>
      <c r="H18" s="4125">
        <v>571.95000000000005</v>
      </c>
      <c r="I18" s="4119"/>
      <c r="J18" s="39">
        <f t="shared" si="4"/>
        <v>571.95000000000005</v>
      </c>
      <c r="K18" s="4124"/>
      <c r="L18" s="4125">
        <v>477.65</v>
      </c>
      <c r="M18" s="4126"/>
      <c r="N18" s="574">
        <f t="shared" si="5"/>
        <v>1049.5999999999999</v>
      </c>
      <c r="O18" s="4124"/>
      <c r="P18" s="4125">
        <v>455.10000000000014</v>
      </c>
      <c r="Q18" s="4119"/>
      <c r="R18" s="341">
        <f t="shared" si="6"/>
        <v>1504.7</v>
      </c>
      <c r="S18" s="4124"/>
      <c r="T18" s="4125">
        <v>1152.1000000000001</v>
      </c>
      <c r="U18" s="4119"/>
      <c r="V18" s="341">
        <f t="shared" si="7"/>
        <v>2656.8</v>
      </c>
      <c r="W18" s="4124"/>
      <c r="X18" s="4125">
        <v>512.5</v>
      </c>
      <c r="Y18" s="4070"/>
      <c r="Z18" s="3696">
        <f t="shared" si="0"/>
        <v>2119.7000000000003</v>
      </c>
      <c r="AA18" s="4127"/>
      <c r="AB18" s="3697">
        <f t="shared" si="1"/>
        <v>3169.3</v>
      </c>
      <c r="AC18" s="4124"/>
      <c r="AD18" s="4125"/>
      <c r="AE18" s="4119"/>
      <c r="AF18" s="341">
        <f t="shared" si="8"/>
        <v>3169.3</v>
      </c>
      <c r="AG18" s="4124"/>
      <c r="AH18" s="4125">
        <v>668.30000000000007</v>
      </c>
      <c r="AI18" s="4119"/>
      <c r="AJ18" s="341">
        <f t="shared" si="15"/>
        <v>3837.6000000000004</v>
      </c>
      <c r="AK18" s="4124"/>
      <c r="AL18" s="4125">
        <v>627.30000000000018</v>
      </c>
      <c r="AM18" s="4070"/>
      <c r="AN18" s="3696">
        <f t="shared" si="2"/>
        <v>1295.6000000000004</v>
      </c>
      <c r="AO18" s="4119"/>
      <c r="AP18" s="341">
        <f t="shared" si="10"/>
        <v>4464.9000000000005</v>
      </c>
      <c r="AQ18" s="4124"/>
      <c r="AR18" s="4125">
        <v>973.75</v>
      </c>
      <c r="AS18" s="4119"/>
      <c r="AT18" s="4119">
        <f t="shared" si="11"/>
        <v>5438.6500000000005</v>
      </c>
      <c r="AU18" s="4124"/>
      <c r="AV18" s="4125">
        <v>182.45000000000002</v>
      </c>
      <c r="AW18" s="4119"/>
      <c r="AX18" s="341">
        <f t="shared" si="12"/>
        <v>5621.1</v>
      </c>
      <c r="AY18" s="4124"/>
      <c r="AZ18" s="4125">
        <v>619.09999999999991</v>
      </c>
      <c r="BA18" s="4070"/>
      <c r="BB18" s="4070">
        <f t="shared" si="3"/>
        <v>1775.3</v>
      </c>
      <c r="BC18" s="4127"/>
      <c r="BD18" s="4127">
        <f t="shared" si="13"/>
        <v>3070.9000000000005</v>
      </c>
      <c r="BE18" s="4119"/>
      <c r="BF18" s="4063">
        <f t="shared" si="14"/>
        <v>6240.2000000000007</v>
      </c>
      <c r="BG18" s="1111"/>
      <c r="BH18" s="3464"/>
      <c r="BI18" s="23"/>
      <c r="BJ18" s="23"/>
      <c r="BK18" s="23"/>
      <c r="BL18" s="23"/>
    </row>
    <row r="19" spans="1:64" ht="16.2" thickBot="1" x14ac:dyDescent="0.35">
      <c r="A19" s="137"/>
      <c r="B19" s="4121" t="s">
        <v>72</v>
      </c>
      <c r="C19" s="4122" t="s">
        <v>1085</v>
      </c>
      <c r="D19" s="4123" t="s">
        <v>50</v>
      </c>
      <c r="E19" s="4124"/>
      <c r="F19" s="4125"/>
      <c r="G19" s="4124"/>
      <c r="H19" s="4125">
        <v>323.90000000000009</v>
      </c>
      <c r="I19" s="4119"/>
      <c r="J19" s="39">
        <f t="shared" si="4"/>
        <v>323.90000000000009</v>
      </c>
      <c r="K19" s="4124"/>
      <c r="L19" s="4125"/>
      <c r="M19" s="4126"/>
      <c r="N19" s="574">
        <f t="shared" si="5"/>
        <v>323.90000000000009</v>
      </c>
      <c r="O19" s="4124"/>
      <c r="P19" s="4125">
        <v>202.95</v>
      </c>
      <c r="Q19" s="4119"/>
      <c r="R19" s="341">
        <f t="shared" si="6"/>
        <v>526.85000000000014</v>
      </c>
      <c r="S19" s="4124"/>
      <c r="T19" s="4125">
        <v>399.74999999999994</v>
      </c>
      <c r="U19" s="4119"/>
      <c r="V19" s="341">
        <f t="shared" si="7"/>
        <v>926.60000000000014</v>
      </c>
      <c r="W19" s="4124"/>
      <c r="X19" s="4125"/>
      <c r="Y19" s="4070"/>
      <c r="Z19" s="3696">
        <f t="shared" si="0"/>
        <v>602.69999999999993</v>
      </c>
      <c r="AA19" s="4127"/>
      <c r="AB19" s="3697">
        <f t="shared" si="1"/>
        <v>926.6</v>
      </c>
      <c r="AC19" s="4124"/>
      <c r="AD19" s="4125"/>
      <c r="AE19" s="4119"/>
      <c r="AF19" s="341">
        <f t="shared" si="8"/>
        <v>926.6</v>
      </c>
      <c r="AG19" s="4124"/>
      <c r="AH19" s="4125"/>
      <c r="AI19" s="4119"/>
      <c r="AJ19" s="341">
        <f t="shared" si="15"/>
        <v>926.6</v>
      </c>
      <c r="AK19" s="4124"/>
      <c r="AL19" s="4125">
        <v>340.3</v>
      </c>
      <c r="AM19" s="4070"/>
      <c r="AN19" s="3696">
        <f t="shared" si="2"/>
        <v>340.3</v>
      </c>
      <c r="AO19" s="4119"/>
      <c r="AP19" s="341">
        <f t="shared" si="10"/>
        <v>1266.9000000000001</v>
      </c>
      <c r="AQ19" s="4124"/>
      <c r="AR19" s="4125">
        <v>407.95</v>
      </c>
      <c r="AS19" s="4119"/>
      <c r="AT19" s="4119">
        <f t="shared" si="11"/>
        <v>1674.8500000000001</v>
      </c>
      <c r="AU19" s="4124"/>
      <c r="AV19" s="4125">
        <v>291.10000000000002</v>
      </c>
      <c r="AW19" s="4119"/>
      <c r="AX19" s="341">
        <f t="shared" si="12"/>
        <v>1965.9500000000003</v>
      </c>
      <c r="AY19" s="4124"/>
      <c r="AZ19" s="4125"/>
      <c r="BA19" s="4070"/>
      <c r="BB19" s="4070">
        <f t="shared" si="3"/>
        <v>699.05</v>
      </c>
      <c r="BC19" s="4127"/>
      <c r="BD19" s="4127">
        <f t="shared" si="13"/>
        <v>1039.3499999999999</v>
      </c>
      <c r="BE19" s="4119"/>
      <c r="BF19" s="4063">
        <f t="shared" si="14"/>
        <v>1965.9500000000003</v>
      </c>
      <c r="BG19" s="1111"/>
      <c r="BH19" s="3464"/>
      <c r="BI19" s="23"/>
      <c r="BJ19" s="23"/>
      <c r="BK19" s="23"/>
      <c r="BL19" s="23"/>
    </row>
    <row r="20" spans="1:64" ht="16.2" thickBot="1" x14ac:dyDescent="0.35">
      <c r="A20" s="137"/>
      <c r="B20" s="3503" t="s">
        <v>72</v>
      </c>
      <c r="C20" s="3504" t="s">
        <v>929</v>
      </c>
      <c r="D20" s="2819" t="s">
        <v>50</v>
      </c>
      <c r="E20" s="4877"/>
      <c r="F20" s="4795"/>
      <c r="G20" s="4877"/>
      <c r="H20" s="4795">
        <v>1283.3</v>
      </c>
      <c r="I20" s="4045"/>
      <c r="J20" s="4882">
        <f t="shared" si="4"/>
        <v>1283.3</v>
      </c>
      <c r="K20" s="4877"/>
      <c r="L20" s="4795">
        <v>1564.1499999999994</v>
      </c>
      <c r="M20" s="4808"/>
      <c r="N20" s="4883">
        <f t="shared" si="5"/>
        <v>2847.4499999999994</v>
      </c>
      <c r="O20" s="4877"/>
      <c r="P20" s="4795">
        <v>1008.5999999999999</v>
      </c>
      <c r="Q20" s="4045"/>
      <c r="R20" s="4884">
        <f t="shared" si="6"/>
        <v>3856.0499999999993</v>
      </c>
      <c r="S20" s="4877"/>
      <c r="T20" s="4795">
        <f>2134.05-4.1</f>
        <v>2129.9500000000003</v>
      </c>
      <c r="U20" s="4045"/>
      <c r="V20" s="4884">
        <f t="shared" si="7"/>
        <v>5986</v>
      </c>
      <c r="W20" s="4877"/>
      <c r="X20" s="4795">
        <v>514.54999999999995</v>
      </c>
      <c r="Y20" s="4878"/>
      <c r="Z20" s="4885">
        <f t="shared" si="0"/>
        <v>3653.1000000000004</v>
      </c>
      <c r="AA20" s="4879"/>
      <c r="AB20" s="4886">
        <f t="shared" si="1"/>
        <v>6500.5499999999993</v>
      </c>
      <c r="AC20" s="4877"/>
      <c r="AD20" s="4795"/>
      <c r="AE20" s="4045"/>
      <c r="AF20" s="4884">
        <f t="shared" si="8"/>
        <v>6500.5499999999993</v>
      </c>
      <c r="AG20" s="4877"/>
      <c r="AH20" s="4795">
        <v>967.60000000000014</v>
      </c>
      <c r="AI20" s="4045"/>
      <c r="AJ20" s="4884">
        <f t="shared" si="15"/>
        <v>7468.15</v>
      </c>
      <c r="AK20" s="4877"/>
      <c r="AL20" s="4795">
        <v>596.54999999999995</v>
      </c>
      <c r="AM20" s="4878"/>
      <c r="AN20" s="4885">
        <f t="shared" si="2"/>
        <v>1564.15</v>
      </c>
      <c r="AO20" s="4045"/>
      <c r="AP20" s="4884">
        <f t="shared" si="10"/>
        <v>8064.7</v>
      </c>
      <c r="AQ20" s="4877"/>
      <c r="AR20" s="4795">
        <v>1287.4000000000001</v>
      </c>
      <c r="AS20" s="4045"/>
      <c r="AT20" s="4045">
        <f t="shared" si="11"/>
        <v>9352.1</v>
      </c>
      <c r="AU20" s="4877"/>
      <c r="AV20" s="4795">
        <v>403.84999999999991</v>
      </c>
      <c r="AW20" s="4045"/>
      <c r="AX20" s="4884">
        <f t="shared" si="12"/>
        <v>9755.9500000000007</v>
      </c>
      <c r="AY20" s="4877"/>
      <c r="AZ20" s="4795">
        <v>1582.5999999999997</v>
      </c>
      <c r="BA20" s="4136"/>
      <c r="BB20" s="4136">
        <f t="shared" si="3"/>
        <v>3273.8499999999995</v>
      </c>
      <c r="BC20" s="4137"/>
      <c r="BD20" s="4137">
        <f t="shared" si="13"/>
        <v>4838</v>
      </c>
      <c r="BE20" s="4133"/>
      <c r="BF20" s="4134">
        <f t="shared" si="14"/>
        <v>11338.550000000001</v>
      </c>
      <c r="BG20" s="1111"/>
      <c r="BH20" s="3464"/>
      <c r="BI20" s="23"/>
      <c r="BJ20" s="23"/>
      <c r="BK20" s="23"/>
      <c r="BL20" s="23"/>
    </row>
    <row r="21" spans="1:64" ht="16.2" thickBot="1" x14ac:dyDescent="0.35">
      <c r="A21" s="137"/>
      <c r="B21" s="3503" t="s">
        <v>72</v>
      </c>
      <c r="C21" s="2345" t="s">
        <v>1089</v>
      </c>
      <c r="D21" s="2819" t="s">
        <v>50</v>
      </c>
      <c r="E21" s="4887"/>
      <c r="F21" s="4657"/>
      <c r="G21" s="4887"/>
      <c r="H21" s="4657"/>
      <c r="I21" s="4658"/>
      <c r="J21" s="4882">
        <f t="shared" si="4"/>
        <v>0</v>
      </c>
      <c r="K21" s="4887"/>
      <c r="L21" s="4657"/>
      <c r="M21" s="4659"/>
      <c r="N21" s="4659"/>
      <c r="O21" s="4887"/>
      <c r="P21" s="4657"/>
      <c r="Q21" s="4658"/>
      <c r="R21" s="4658"/>
      <c r="S21" s="4887"/>
      <c r="T21" s="4657"/>
      <c r="U21" s="4658"/>
      <c r="V21" s="4658"/>
      <c r="W21" s="4887"/>
      <c r="X21" s="4657"/>
      <c r="Y21" s="4850"/>
      <c r="Z21" s="4850"/>
      <c r="AA21" s="4851"/>
      <c r="AB21" s="4851"/>
      <c r="AC21" s="4887"/>
      <c r="AD21" s="4657"/>
      <c r="AE21" s="4658"/>
      <c r="AF21" s="4658"/>
      <c r="AG21" s="4887"/>
      <c r="AH21" s="4657"/>
      <c r="AI21" s="4658"/>
      <c r="AJ21" s="4658"/>
      <c r="AK21" s="4887"/>
      <c r="AL21" s="4657"/>
      <c r="AM21" s="4850"/>
      <c r="AN21" s="4850"/>
      <c r="AO21" s="4658"/>
      <c r="AP21" s="4658"/>
      <c r="AQ21" s="4887"/>
      <c r="AR21" s="4657"/>
      <c r="AS21" s="4658"/>
      <c r="AT21" s="4658"/>
      <c r="AU21" s="4887"/>
      <c r="AV21" s="4657">
        <v>131.19999999999999</v>
      </c>
      <c r="AW21" s="4658"/>
      <c r="AX21" s="4884">
        <f t="shared" si="12"/>
        <v>131.19999999999999</v>
      </c>
      <c r="AY21" s="4887"/>
      <c r="AZ21" s="4657"/>
      <c r="BA21" s="4880"/>
      <c r="BB21" s="4136">
        <f t="shared" si="3"/>
        <v>131.19999999999999</v>
      </c>
      <c r="BC21" s="4881"/>
      <c r="BD21" s="4137">
        <f t="shared" si="13"/>
        <v>131.19999999999999</v>
      </c>
      <c r="BE21" s="3155"/>
      <c r="BF21" s="4134">
        <f t="shared" si="14"/>
        <v>131.19999999999999</v>
      </c>
      <c r="BG21" s="1111"/>
      <c r="BH21" s="3464"/>
      <c r="BI21" s="23"/>
      <c r="BJ21" s="23"/>
      <c r="BK21" s="23"/>
      <c r="BL21" s="23"/>
    </row>
    <row r="22" spans="1:64" ht="16.2" thickBot="1" x14ac:dyDescent="0.35">
      <c r="A22" s="137"/>
      <c r="B22" s="4129" t="s">
        <v>72</v>
      </c>
      <c r="C22" s="4130" t="s">
        <v>930</v>
      </c>
      <c r="D22" s="2819" t="s">
        <v>50</v>
      </c>
      <c r="E22" s="4131"/>
      <c r="F22" s="4132"/>
      <c r="G22" s="4131"/>
      <c r="H22" s="4132"/>
      <c r="I22" s="4133"/>
      <c r="J22" s="4882">
        <f t="shared" si="4"/>
        <v>0</v>
      </c>
      <c r="K22" s="4131"/>
      <c r="L22" s="4132"/>
      <c r="M22" s="4135"/>
      <c r="N22" s="4135"/>
      <c r="O22" s="4131"/>
      <c r="P22" s="4132"/>
      <c r="Q22" s="4133"/>
      <c r="R22" s="4133"/>
      <c r="S22" s="4131"/>
      <c r="T22" s="4132"/>
      <c r="U22" s="4133"/>
      <c r="V22" s="4133"/>
      <c r="W22" s="4131"/>
      <c r="X22" s="4132"/>
      <c r="Y22" s="4136"/>
      <c r="Z22" s="4136"/>
      <c r="AA22" s="4137"/>
      <c r="AB22" s="4137"/>
      <c r="AC22" s="4131"/>
      <c r="AD22" s="4132"/>
      <c r="AE22" s="4133"/>
      <c r="AF22" s="4133"/>
      <c r="AG22" s="4131"/>
      <c r="AH22" s="4132"/>
      <c r="AI22" s="4133"/>
      <c r="AJ22" s="4133"/>
      <c r="AK22" s="4131"/>
      <c r="AL22" s="4132"/>
      <c r="AM22" s="4136"/>
      <c r="AN22" s="4136"/>
      <c r="AO22" s="4133"/>
      <c r="AP22" s="4133"/>
      <c r="AQ22" s="4131"/>
      <c r="AR22" s="4132"/>
      <c r="AS22" s="4133"/>
      <c r="AT22" s="4133"/>
      <c r="AU22" s="4131"/>
      <c r="AV22" s="4132">
        <v>375.15</v>
      </c>
      <c r="AW22" s="4133"/>
      <c r="AX22" s="2699">
        <f t="shared" si="12"/>
        <v>375.15</v>
      </c>
      <c r="AY22" s="4131"/>
      <c r="AZ22" s="4132"/>
      <c r="BA22" s="4880"/>
      <c r="BB22" s="4136">
        <f t="shared" si="3"/>
        <v>375.15</v>
      </c>
      <c r="BC22" s="4881"/>
      <c r="BD22" s="4137">
        <f t="shared" si="13"/>
        <v>375.15</v>
      </c>
      <c r="BE22" s="3155"/>
      <c r="BF22" s="4134">
        <f t="shared" si="14"/>
        <v>375.15</v>
      </c>
      <c r="BG22" s="1111"/>
      <c r="BH22" s="3464"/>
      <c r="BI22" s="23"/>
      <c r="BJ22" s="23"/>
      <c r="BK22" s="23"/>
      <c r="BL22" s="23"/>
    </row>
    <row r="23" spans="1:64" ht="16.2" thickBot="1" x14ac:dyDescent="0.35">
      <c r="A23" s="137"/>
      <c r="B23" s="3689" t="s">
        <v>74</v>
      </c>
      <c r="C23" s="3690" t="s">
        <v>1308</v>
      </c>
      <c r="D23" s="45" t="s">
        <v>50</v>
      </c>
      <c r="E23" s="4120"/>
      <c r="F23" s="1095">
        <f>7949.9-6.15</f>
        <v>7943.75</v>
      </c>
      <c r="G23" s="4120"/>
      <c r="H23" s="1095">
        <v>5071.7000000000007</v>
      </c>
      <c r="I23" s="2045"/>
      <c r="J23" s="4882">
        <f t="shared" si="4"/>
        <v>13015.45</v>
      </c>
      <c r="K23" s="4120"/>
      <c r="L23" s="1095">
        <v>301.34999999999997</v>
      </c>
      <c r="M23" s="451"/>
      <c r="N23" s="451">
        <f t="shared" si="5"/>
        <v>13316.800000000001</v>
      </c>
      <c r="O23" s="4120"/>
      <c r="P23" s="1095">
        <v>990.15000000000009</v>
      </c>
      <c r="Q23" s="2045"/>
      <c r="R23" s="2045">
        <f t="shared" si="6"/>
        <v>14306.95</v>
      </c>
      <c r="S23" s="4120"/>
      <c r="T23" s="1095">
        <v>303.39999999999998</v>
      </c>
      <c r="U23" s="2045"/>
      <c r="V23" s="2045">
        <f t="shared" si="7"/>
        <v>14610.35</v>
      </c>
      <c r="W23" s="4120"/>
      <c r="X23" s="1095">
        <f>1197.2-2.05</f>
        <v>1195.1500000000001</v>
      </c>
      <c r="Y23" s="3692"/>
      <c r="Z23" s="3692">
        <f t="shared" si="0"/>
        <v>2488.7000000000003</v>
      </c>
      <c r="AA23" s="3693"/>
      <c r="AB23" s="3693">
        <f t="shared" si="1"/>
        <v>15805.500000000002</v>
      </c>
      <c r="AC23" s="4120"/>
      <c r="AD23" s="1095">
        <v>442.79999999999995</v>
      </c>
      <c r="AE23" s="2045"/>
      <c r="AF23" s="2045">
        <f t="shared" si="8"/>
        <v>16248.300000000001</v>
      </c>
      <c r="AG23" s="4120"/>
      <c r="AH23" s="1095">
        <v>1070.1000000000001</v>
      </c>
      <c r="AI23" s="2045"/>
      <c r="AJ23" s="2045">
        <f t="shared" si="15"/>
        <v>17318.400000000001</v>
      </c>
      <c r="AK23" s="4120"/>
      <c r="AL23" s="1095">
        <v>918.4</v>
      </c>
      <c r="AM23" s="3692"/>
      <c r="AN23" s="3692">
        <f t="shared" si="2"/>
        <v>2431.3000000000002</v>
      </c>
      <c r="AO23" s="2045"/>
      <c r="AP23" s="2045">
        <f t="shared" si="10"/>
        <v>18236.800000000003</v>
      </c>
      <c r="AQ23" s="4120"/>
      <c r="AR23" s="1095"/>
      <c r="AS23" s="2045"/>
      <c r="AT23" s="2045">
        <f t="shared" si="11"/>
        <v>18236.800000000003</v>
      </c>
      <c r="AU23" s="4120"/>
      <c r="AV23" s="1095">
        <v>1353</v>
      </c>
      <c r="AW23" s="2045"/>
      <c r="AX23" s="2045">
        <f t="shared" si="12"/>
        <v>19589.800000000003</v>
      </c>
      <c r="AY23" s="4120"/>
      <c r="AZ23" s="1095">
        <v>5303.3500000000031</v>
      </c>
      <c r="BA23" s="3692"/>
      <c r="BB23" s="3692">
        <f t="shared" si="3"/>
        <v>6656.3500000000031</v>
      </c>
      <c r="BC23" s="3693"/>
      <c r="BD23" s="3693">
        <f t="shared" si="13"/>
        <v>9087.6500000000033</v>
      </c>
      <c r="BE23" s="2045"/>
      <c r="BF23" s="2045">
        <f t="shared" si="14"/>
        <v>24893.150000000005</v>
      </c>
      <c r="BG23" s="1111"/>
      <c r="BH23" s="3464"/>
      <c r="BI23" s="23"/>
      <c r="BJ23" s="23"/>
      <c r="BK23" s="23"/>
      <c r="BL23" s="23"/>
    </row>
    <row r="24" spans="1:64" ht="16.2" thickBot="1" x14ac:dyDescent="0.35">
      <c r="A24" s="137"/>
      <c r="B24" s="780" t="s">
        <v>74</v>
      </c>
      <c r="C24" s="2345" t="s">
        <v>924</v>
      </c>
      <c r="D24" s="2346" t="s">
        <v>50</v>
      </c>
      <c r="E24" s="2380"/>
      <c r="F24" s="2348"/>
      <c r="G24" s="2380"/>
      <c r="H24" s="2348">
        <v>207.04999999999998</v>
      </c>
      <c r="I24" s="2349"/>
      <c r="J24" s="4882">
        <f t="shared" si="4"/>
        <v>207.04999999999998</v>
      </c>
      <c r="K24" s="2380"/>
      <c r="L24" s="2348">
        <f>4975.35-22.55-2.05</f>
        <v>4950.75</v>
      </c>
      <c r="M24" s="717"/>
      <c r="N24" s="574">
        <f t="shared" si="5"/>
        <v>5157.8</v>
      </c>
      <c r="O24" s="2380"/>
      <c r="P24" s="2348">
        <f>9288.55-22.55</f>
        <v>9266</v>
      </c>
      <c r="Q24" s="718"/>
      <c r="R24" s="341">
        <f t="shared" si="6"/>
        <v>14423.8</v>
      </c>
      <c r="S24" s="2380"/>
      <c r="T24" s="2348">
        <f>10489.85-65.6</f>
        <v>10424.25</v>
      </c>
      <c r="U24" s="718"/>
      <c r="V24" s="341">
        <f t="shared" si="7"/>
        <v>24848.05</v>
      </c>
      <c r="W24" s="2380"/>
      <c r="X24" s="2348">
        <f>10875.25-2.05</f>
        <v>10873.2</v>
      </c>
      <c r="Y24" s="532"/>
      <c r="Z24" s="3696">
        <f t="shared" si="0"/>
        <v>30563.45</v>
      </c>
      <c r="AA24" s="617"/>
      <c r="AB24" s="3697">
        <f t="shared" si="1"/>
        <v>35721.25</v>
      </c>
      <c r="AC24" s="2380"/>
      <c r="AD24" s="2348">
        <f>6900.3-16.4</f>
        <v>6883.9000000000005</v>
      </c>
      <c r="AE24" s="718"/>
      <c r="AF24" s="341">
        <f t="shared" si="8"/>
        <v>42605.15</v>
      </c>
      <c r="AG24" s="2380"/>
      <c r="AH24" s="2348">
        <f>7757.2-16.4</f>
        <v>7740.8</v>
      </c>
      <c r="AI24" s="718"/>
      <c r="AJ24" s="341">
        <f t="shared" si="15"/>
        <v>50345.950000000004</v>
      </c>
      <c r="AK24" s="2380"/>
      <c r="AL24" s="2348">
        <f>8161.05-10.25-4.1</f>
        <v>8146.7</v>
      </c>
      <c r="AM24" s="532"/>
      <c r="AN24" s="3696">
        <f t="shared" si="2"/>
        <v>22771.4</v>
      </c>
      <c r="AO24" s="718"/>
      <c r="AP24" s="341">
        <f t="shared" si="10"/>
        <v>58492.65</v>
      </c>
      <c r="AQ24" s="2380"/>
      <c r="AR24" s="2348">
        <f>7166.80000000001-14.35-2.05</f>
        <v>7150.4000000000096</v>
      </c>
      <c r="AS24" s="718"/>
      <c r="AT24" s="718">
        <f t="shared" si="11"/>
        <v>65643.050000000017</v>
      </c>
      <c r="AU24" s="2380"/>
      <c r="AV24" s="2348">
        <v>8312.7500000000036</v>
      </c>
      <c r="AW24" s="718"/>
      <c r="AX24" s="341">
        <f t="shared" si="12"/>
        <v>73955.800000000017</v>
      </c>
      <c r="AY24" s="2380"/>
      <c r="AZ24" s="2348"/>
      <c r="BA24" s="532"/>
      <c r="BB24" s="532">
        <f t="shared" si="3"/>
        <v>15463.150000000012</v>
      </c>
      <c r="BC24" s="617"/>
      <c r="BD24" s="617">
        <f t="shared" si="13"/>
        <v>38234.550000000017</v>
      </c>
      <c r="BE24" s="718"/>
      <c r="BF24" s="718">
        <f t="shared" si="14"/>
        <v>73955.800000000017</v>
      </c>
      <c r="BG24" s="1111"/>
      <c r="BH24" s="3464"/>
      <c r="BI24" s="23"/>
      <c r="BJ24" s="23"/>
      <c r="BK24" s="23"/>
      <c r="BL24" s="23"/>
    </row>
    <row r="25" spans="1:64" ht="16.2" thickBot="1" x14ac:dyDescent="0.35">
      <c r="A25" s="137"/>
      <c r="B25" s="780" t="s">
        <v>74</v>
      </c>
      <c r="C25" s="2345" t="s">
        <v>926</v>
      </c>
      <c r="D25" s="2346" t="s">
        <v>50</v>
      </c>
      <c r="E25" s="2380"/>
      <c r="F25" s="2348"/>
      <c r="G25" s="2380"/>
      <c r="H25" s="2348">
        <v>3368.1499999999992</v>
      </c>
      <c r="I25" s="2349"/>
      <c r="J25" s="4882">
        <f t="shared" si="4"/>
        <v>3368.1499999999992</v>
      </c>
      <c r="K25" s="2380"/>
      <c r="L25" s="2348">
        <v>1754.8000000000002</v>
      </c>
      <c r="M25" s="717"/>
      <c r="N25" s="574">
        <f t="shared" si="5"/>
        <v>5122.9499999999989</v>
      </c>
      <c r="O25" s="2380"/>
      <c r="P25" s="2348">
        <v>2121.7499999999986</v>
      </c>
      <c r="Q25" s="718"/>
      <c r="R25" s="341">
        <f t="shared" si="6"/>
        <v>7244.6999999999971</v>
      </c>
      <c r="S25" s="2380"/>
      <c r="T25" s="2348">
        <f>1432.95-2.05</f>
        <v>1430.9</v>
      </c>
      <c r="U25" s="718"/>
      <c r="V25" s="341">
        <f t="shared" si="7"/>
        <v>8675.5999999999967</v>
      </c>
      <c r="W25" s="2380"/>
      <c r="X25" s="2348">
        <f>1391.95-2.05</f>
        <v>1389.9</v>
      </c>
      <c r="Y25" s="532"/>
      <c r="Z25" s="3696">
        <f t="shared" si="0"/>
        <v>4942.5499999999993</v>
      </c>
      <c r="AA25" s="617"/>
      <c r="AB25" s="3697">
        <f t="shared" si="1"/>
        <v>10065.499999999998</v>
      </c>
      <c r="AC25" s="2380"/>
      <c r="AD25" s="2348">
        <v>401.79999999999995</v>
      </c>
      <c r="AE25" s="718"/>
      <c r="AF25" s="341">
        <f t="shared" si="8"/>
        <v>10467.299999999997</v>
      </c>
      <c r="AG25" s="2380"/>
      <c r="AH25" s="2348">
        <f>930.7-2.05</f>
        <v>928.65000000000009</v>
      </c>
      <c r="AI25" s="718"/>
      <c r="AJ25" s="341">
        <f t="shared" si="15"/>
        <v>11395.949999999997</v>
      </c>
      <c r="AK25" s="2380"/>
      <c r="AL25" s="2348">
        <v>1307.9000000000001</v>
      </c>
      <c r="AM25" s="532"/>
      <c r="AN25" s="3696">
        <f t="shared" si="2"/>
        <v>2638.3500000000004</v>
      </c>
      <c r="AO25" s="718"/>
      <c r="AP25" s="341">
        <f t="shared" si="10"/>
        <v>12703.849999999997</v>
      </c>
      <c r="AQ25" s="2380"/>
      <c r="AR25" s="2348">
        <f>926.6-4.1</f>
        <v>922.5</v>
      </c>
      <c r="AS25" s="718"/>
      <c r="AT25" s="718">
        <f t="shared" si="11"/>
        <v>13626.349999999997</v>
      </c>
      <c r="AU25" s="2380"/>
      <c r="AV25" s="2348">
        <f>1857.3-12.3</f>
        <v>1845</v>
      </c>
      <c r="AW25" s="718"/>
      <c r="AX25" s="341">
        <f t="shared" si="12"/>
        <v>15471.349999999997</v>
      </c>
      <c r="AY25" s="2380"/>
      <c r="AZ25" s="2348"/>
      <c r="BA25" s="532"/>
      <c r="BB25" s="532">
        <f t="shared" si="3"/>
        <v>2767.5</v>
      </c>
      <c r="BC25" s="617"/>
      <c r="BD25" s="617">
        <f t="shared" si="13"/>
        <v>5405.85</v>
      </c>
      <c r="BE25" s="718"/>
      <c r="BF25" s="718">
        <f t="shared" si="14"/>
        <v>15471.349999999997</v>
      </c>
      <c r="BG25" s="1111"/>
      <c r="BH25" s="3464"/>
      <c r="BI25" s="23"/>
      <c r="BJ25" s="23"/>
      <c r="BK25" s="23"/>
      <c r="BL25" s="23"/>
    </row>
    <row r="26" spans="1:64" ht="16.2" thickBot="1" x14ac:dyDescent="0.35">
      <c r="A26" s="137"/>
      <c r="B26" s="780" t="s">
        <v>74</v>
      </c>
      <c r="C26" s="2345" t="s">
        <v>1072</v>
      </c>
      <c r="D26" s="2346" t="s">
        <v>50</v>
      </c>
      <c r="E26" s="2380"/>
      <c r="F26" s="2348"/>
      <c r="G26" s="2380"/>
      <c r="H26" s="2348"/>
      <c r="I26" s="2349"/>
      <c r="J26" s="4882">
        <f t="shared" si="4"/>
        <v>0</v>
      </c>
      <c r="K26" s="2380"/>
      <c r="L26" s="2348"/>
      <c r="M26" s="717"/>
      <c r="N26" s="574">
        <f t="shared" si="5"/>
        <v>0</v>
      </c>
      <c r="O26" s="2380"/>
      <c r="P26" s="2348"/>
      <c r="Q26" s="718"/>
      <c r="R26" s="341">
        <f t="shared" si="6"/>
        <v>0</v>
      </c>
      <c r="S26" s="2380"/>
      <c r="T26" s="2348"/>
      <c r="U26" s="718"/>
      <c r="V26" s="341">
        <f t="shared" si="7"/>
        <v>0</v>
      </c>
      <c r="W26" s="2380"/>
      <c r="X26" s="2348"/>
      <c r="Y26" s="532"/>
      <c r="Z26" s="3696">
        <f t="shared" si="0"/>
        <v>0</v>
      </c>
      <c r="AA26" s="617"/>
      <c r="AB26" s="3697">
        <f t="shared" si="1"/>
        <v>0</v>
      </c>
      <c r="AC26" s="2380"/>
      <c r="AD26" s="2348"/>
      <c r="AE26" s="718"/>
      <c r="AF26" s="341">
        <f t="shared" si="8"/>
        <v>0</v>
      </c>
      <c r="AG26" s="2380"/>
      <c r="AH26" s="2348"/>
      <c r="AI26" s="718"/>
      <c r="AJ26" s="341">
        <f t="shared" si="15"/>
        <v>0</v>
      </c>
      <c r="AK26" s="2380"/>
      <c r="AL26" s="2348"/>
      <c r="AM26" s="532"/>
      <c r="AN26" s="3696">
        <f t="shared" si="2"/>
        <v>0</v>
      </c>
      <c r="AO26" s="718"/>
      <c r="AP26" s="341">
        <f t="shared" si="10"/>
        <v>0</v>
      </c>
      <c r="AQ26" s="2380"/>
      <c r="AR26" s="2348"/>
      <c r="AS26" s="718"/>
      <c r="AT26" s="718">
        <f t="shared" si="11"/>
        <v>0</v>
      </c>
      <c r="AU26" s="2380"/>
      <c r="AV26" s="2348"/>
      <c r="AW26" s="718"/>
      <c r="AX26" s="341">
        <f t="shared" si="12"/>
        <v>0</v>
      </c>
      <c r="AY26" s="2380"/>
      <c r="AZ26" s="2348"/>
      <c r="BA26" s="532"/>
      <c r="BB26" s="532">
        <f t="shared" si="3"/>
        <v>0</v>
      </c>
      <c r="BC26" s="617"/>
      <c r="BD26" s="617">
        <f t="shared" si="13"/>
        <v>0</v>
      </c>
      <c r="BE26" s="718"/>
      <c r="BF26" s="718">
        <f t="shared" si="14"/>
        <v>0</v>
      </c>
      <c r="BG26" s="1111"/>
      <c r="BH26" s="3464"/>
      <c r="BI26" s="23"/>
      <c r="BJ26" s="23"/>
      <c r="BK26" s="23"/>
      <c r="BL26" s="23"/>
    </row>
    <row r="27" spans="1:64" ht="16.2" thickBot="1" x14ac:dyDescent="0.35">
      <c r="A27" s="137"/>
      <c r="B27" s="780" t="s">
        <v>74</v>
      </c>
      <c r="C27" s="2345" t="s">
        <v>1086</v>
      </c>
      <c r="D27" s="2346" t="s">
        <v>50</v>
      </c>
      <c r="E27" s="2380"/>
      <c r="F27" s="2348"/>
      <c r="G27" s="2380"/>
      <c r="H27" s="2348">
        <v>233.7</v>
      </c>
      <c r="I27" s="2349"/>
      <c r="J27" s="4882">
        <f t="shared" si="4"/>
        <v>233.7</v>
      </c>
      <c r="K27" s="2380"/>
      <c r="L27" s="2348"/>
      <c r="M27" s="717"/>
      <c r="N27" s="574">
        <f t="shared" si="5"/>
        <v>233.7</v>
      </c>
      <c r="O27" s="2380"/>
      <c r="P27" s="2348"/>
      <c r="Q27" s="718"/>
      <c r="R27" s="341">
        <f t="shared" si="6"/>
        <v>233.7</v>
      </c>
      <c r="S27" s="2380"/>
      <c r="T27" s="2348"/>
      <c r="U27" s="718"/>
      <c r="V27" s="341">
        <f t="shared" si="7"/>
        <v>233.7</v>
      </c>
      <c r="W27" s="2380"/>
      <c r="X27" s="2348"/>
      <c r="Y27" s="532"/>
      <c r="Z27" s="3696">
        <f t="shared" si="0"/>
        <v>0</v>
      </c>
      <c r="AA27" s="617"/>
      <c r="AB27" s="3697">
        <f t="shared" si="1"/>
        <v>233.7</v>
      </c>
      <c r="AC27" s="2380"/>
      <c r="AD27" s="2348"/>
      <c r="AE27" s="718"/>
      <c r="AF27" s="341">
        <f t="shared" si="8"/>
        <v>233.7</v>
      </c>
      <c r="AG27" s="2380"/>
      <c r="AH27" s="2348"/>
      <c r="AI27" s="718"/>
      <c r="AJ27" s="718">
        <f t="shared" si="15"/>
        <v>233.7</v>
      </c>
      <c r="AK27" s="2380"/>
      <c r="AL27" s="2348"/>
      <c r="AM27" s="532"/>
      <c r="AN27" s="3696">
        <f t="shared" si="2"/>
        <v>0</v>
      </c>
      <c r="AO27" s="718"/>
      <c r="AP27" s="341">
        <f t="shared" si="10"/>
        <v>233.7</v>
      </c>
      <c r="AQ27" s="2380"/>
      <c r="AR27" s="2348"/>
      <c r="AS27" s="718"/>
      <c r="AT27" s="718">
        <f t="shared" si="11"/>
        <v>233.7</v>
      </c>
      <c r="AU27" s="2380"/>
      <c r="AV27" s="2348"/>
      <c r="AW27" s="718"/>
      <c r="AX27" s="341">
        <f t="shared" si="12"/>
        <v>233.7</v>
      </c>
      <c r="AY27" s="2380"/>
      <c r="AZ27" s="2348"/>
      <c r="BA27" s="532"/>
      <c r="BB27" s="532">
        <f t="shared" si="3"/>
        <v>0</v>
      </c>
      <c r="BC27" s="617"/>
      <c r="BD27" s="617">
        <f t="shared" si="13"/>
        <v>0</v>
      </c>
      <c r="BE27" s="718"/>
      <c r="BF27" s="718">
        <f t="shared" si="14"/>
        <v>233.7</v>
      </c>
      <c r="BG27" s="1111"/>
      <c r="BH27" s="3464"/>
      <c r="BI27" s="23"/>
      <c r="BJ27" s="23"/>
      <c r="BK27" s="23"/>
      <c r="BL27" s="23"/>
    </row>
    <row r="28" spans="1:64" ht="16.2" thickBot="1" x14ac:dyDescent="0.35">
      <c r="A28" s="137"/>
      <c r="B28" s="780" t="s">
        <v>74</v>
      </c>
      <c r="C28" s="4000" t="s">
        <v>1833</v>
      </c>
      <c r="D28" s="4001"/>
      <c r="E28" s="4002"/>
      <c r="F28" s="4003"/>
      <c r="G28" s="4002"/>
      <c r="H28" s="4003"/>
      <c r="I28" s="4004"/>
      <c r="J28" s="4882">
        <f t="shared" si="4"/>
        <v>0</v>
      </c>
      <c r="K28" s="4002"/>
      <c r="L28" s="4003"/>
      <c r="M28" s="4005"/>
      <c r="N28" s="574">
        <f t="shared" si="5"/>
        <v>0</v>
      </c>
      <c r="O28" s="4002"/>
      <c r="P28" s="4003"/>
      <c r="Q28" s="4004"/>
      <c r="R28" s="341">
        <f t="shared" si="6"/>
        <v>0</v>
      </c>
      <c r="S28" s="4002"/>
      <c r="T28" s="4003">
        <v>217.3</v>
      </c>
      <c r="U28" s="4004"/>
      <c r="V28" s="341">
        <f t="shared" si="7"/>
        <v>217.3</v>
      </c>
      <c r="W28" s="4002"/>
      <c r="X28" s="4003">
        <f>610.9-2.05</f>
        <v>608.85</v>
      </c>
      <c r="Y28" s="4006"/>
      <c r="Z28" s="3696">
        <f t="shared" si="0"/>
        <v>826.15000000000009</v>
      </c>
      <c r="AA28" s="4007"/>
      <c r="AB28" s="3697">
        <f t="shared" si="1"/>
        <v>826.15000000000009</v>
      </c>
      <c r="AC28" s="4002"/>
      <c r="AD28" s="4003"/>
      <c r="AE28" s="4004"/>
      <c r="AF28" s="341">
        <f t="shared" si="8"/>
        <v>826.15000000000009</v>
      </c>
      <c r="AG28" s="4002"/>
      <c r="AH28" s="4003"/>
      <c r="AI28" s="4004"/>
      <c r="AJ28" s="341">
        <f t="shared" si="15"/>
        <v>826.15000000000009</v>
      </c>
      <c r="AK28" s="4002"/>
      <c r="AL28" s="4003"/>
      <c r="AM28" s="4006"/>
      <c r="AN28" s="3696">
        <f t="shared" si="2"/>
        <v>0</v>
      </c>
      <c r="AO28" s="4004"/>
      <c r="AP28" s="341">
        <f t="shared" si="10"/>
        <v>826.15000000000009</v>
      </c>
      <c r="AQ28" s="4002"/>
      <c r="AR28" s="4003">
        <v>239.85</v>
      </c>
      <c r="AS28" s="4004"/>
      <c r="AT28" s="718">
        <f t="shared" si="11"/>
        <v>1066</v>
      </c>
      <c r="AU28" s="4002"/>
      <c r="AV28" s="4003"/>
      <c r="AW28" s="4004"/>
      <c r="AX28" s="341">
        <f t="shared" si="12"/>
        <v>1066</v>
      </c>
      <c r="AY28" s="4002"/>
      <c r="AZ28" s="4003"/>
      <c r="BA28" s="4006"/>
      <c r="BB28" s="532">
        <f t="shared" si="3"/>
        <v>239.85</v>
      </c>
      <c r="BC28" s="4007"/>
      <c r="BD28" s="617">
        <f t="shared" si="13"/>
        <v>239.85</v>
      </c>
      <c r="BE28" s="4004"/>
      <c r="BF28" s="718">
        <f t="shared" si="14"/>
        <v>1066</v>
      </c>
      <c r="BG28" s="1111"/>
      <c r="BH28" s="3464"/>
      <c r="BI28" s="23"/>
      <c r="BJ28" s="23"/>
      <c r="BK28" s="23"/>
      <c r="BL28" s="23"/>
    </row>
    <row r="29" spans="1:64" ht="16.2" thickBot="1" x14ac:dyDescent="0.35">
      <c r="A29" s="137"/>
      <c r="B29" s="780" t="s">
        <v>74</v>
      </c>
      <c r="C29" s="2345" t="s">
        <v>990</v>
      </c>
      <c r="D29" s="2346" t="s">
        <v>50</v>
      </c>
      <c r="E29" s="2380"/>
      <c r="F29" s="2348"/>
      <c r="G29" s="2380"/>
      <c r="H29" s="2348"/>
      <c r="I29" s="2349"/>
      <c r="J29" s="4882">
        <f t="shared" si="4"/>
        <v>0</v>
      </c>
      <c r="K29" s="2380"/>
      <c r="L29" s="2348"/>
      <c r="M29" s="717"/>
      <c r="N29" s="574">
        <f t="shared" si="5"/>
        <v>0</v>
      </c>
      <c r="O29" s="2380"/>
      <c r="P29" s="2348"/>
      <c r="Q29" s="718"/>
      <c r="R29" s="341">
        <f t="shared" si="6"/>
        <v>0</v>
      </c>
      <c r="S29" s="2380"/>
      <c r="T29" s="2348"/>
      <c r="U29" s="718"/>
      <c r="V29" s="341">
        <f t="shared" si="7"/>
        <v>0</v>
      </c>
      <c r="W29" s="2380"/>
      <c r="X29" s="2348"/>
      <c r="Y29" s="532"/>
      <c r="Z29" s="3696">
        <f t="shared" si="0"/>
        <v>0</v>
      </c>
      <c r="AA29" s="617"/>
      <c r="AB29" s="3697">
        <f t="shared" si="1"/>
        <v>0</v>
      </c>
      <c r="AC29" s="2380"/>
      <c r="AD29" s="2348"/>
      <c r="AE29" s="718"/>
      <c r="AF29" s="341">
        <f t="shared" si="8"/>
        <v>0</v>
      </c>
      <c r="AG29" s="2380"/>
      <c r="AH29" s="2348"/>
      <c r="AI29" s="718"/>
      <c r="AJ29" s="341">
        <f t="shared" si="15"/>
        <v>0</v>
      </c>
      <c r="AK29" s="2380"/>
      <c r="AL29" s="2348"/>
      <c r="AM29" s="532"/>
      <c r="AN29" s="3696">
        <f t="shared" si="2"/>
        <v>0</v>
      </c>
      <c r="AO29" s="718"/>
      <c r="AP29" s="341">
        <f t="shared" si="10"/>
        <v>0</v>
      </c>
      <c r="AQ29" s="2380"/>
      <c r="AR29" s="2348"/>
      <c r="AS29" s="718"/>
      <c r="AT29" s="718">
        <f t="shared" si="11"/>
        <v>0</v>
      </c>
      <c r="AU29" s="2380"/>
      <c r="AV29" s="2348"/>
      <c r="AW29" s="718"/>
      <c r="AX29" s="341">
        <f t="shared" si="12"/>
        <v>0</v>
      </c>
      <c r="AY29" s="2380"/>
      <c r="AZ29" s="2348"/>
      <c r="BA29" s="532"/>
      <c r="BB29" s="532">
        <f t="shared" si="3"/>
        <v>0</v>
      </c>
      <c r="BC29" s="617"/>
      <c r="BD29" s="617">
        <f t="shared" si="13"/>
        <v>0</v>
      </c>
      <c r="BE29" s="718"/>
      <c r="BF29" s="718">
        <f t="shared" si="14"/>
        <v>0</v>
      </c>
      <c r="BG29" s="1111"/>
      <c r="BH29" s="3464"/>
      <c r="BI29" s="23"/>
      <c r="BJ29" s="23"/>
      <c r="BK29" s="23"/>
      <c r="BL29" s="23"/>
    </row>
    <row r="30" spans="1:64" ht="16.2" thickBot="1" x14ac:dyDescent="0.35">
      <c r="A30" s="137"/>
      <c r="B30" s="780" t="s">
        <v>74</v>
      </c>
      <c r="C30" s="2345" t="s">
        <v>931</v>
      </c>
      <c r="D30" s="2346" t="s">
        <v>50</v>
      </c>
      <c r="E30" s="2380"/>
      <c r="F30" s="2348"/>
      <c r="G30" s="2380"/>
      <c r="H30" s="2348"/>
      <c r="I30" s="2349"/>
      <c r="J30" s="4882">
        <f t="shared" si="4"/>
        <v>0</v>
      </c>
      <c r="K30" s="2380"/>
      <c r="L30" s="2348"/>
      <c r="M30" s="717"/>
      <c r="N30" s="574">
        <f t="shared" si="5"/>
        <v>0</v>
      </c>
      <c r="O30" s="2380"/>
      <c r="P30" s="2348"/>
      <c r="Q30" s="718"/>
      <c r="R30" s="341">
        <f t="shared" si="6"/>
        <v>0</v>
      </c>
      <c r="S30" s="2380"/>
      <c r="T30" s="2348"/>
      <c r="U30" s="718"/>
      <c r="V30" s="341">
        <f t="shared" si="7"/>
        <v>0</v>
      </c>
      <c r="W30" s="2380"/>
      <c r="X30" s="2348">
        <f>133.25-4.1</f>
        <v>129.15</v>
      </c>
      <c r="Y30" s="532"/>
      <c r="Z30" s="3696">
        <f t="shared" si="0"/>
        <v>129.15</v>
      </c>
      <c r="AA30" s="617"/>
      <c r="AB30" s="3697">
        <f t="shared" si="1"/>
        <v>129.15</v>
      </c>
      <c r="AC30" s="2380"/>
      <c r="AD30" s="2348"/>
      <c r="AE30" s="718"/>
      <c r="AF30" s="341">
        <f t="shared" si="8"/>
        <v>129.15</v>
      </c>
      <c r="AG30" s="2380"/>
      <c r="AH30" s="2348"/>
      <c r="AI30" s="718"/>
      <c r="AJ30" s="718">
        <f t="shared" si="15"/>
        <v>129.15</v>
      </c>
      <c r="AK30" s="2380"/>
      <c r="AL30" s="2348"/>
      <c r="AM30" s="532"/>
      <c r="AN30" s="3696">
        <f t="shared" si="2"/>
        <v>0</v>
      </c>
      <c r="AO30" s="718"/>
      <c r="AP30" s="341">
        <f t="shared" si="10"/>
        <v>129.15</v>
      </c>
      <c r="AQ30" s="2380"/>
      <c r="AR30" s="2348"/>
      <c r="AS30" s="718"/>
      <c r="AT30" s="718">
        <f t="shared" si="11"/>
        <v>129.15</v>
      </c>
      <c r="AU30" s="2380"/>
      <c r="AV30" s="2348"/>
      <c r="AW30" s="718"/>
      <c r="AX30" s="341">
        <f t="shared" si="12"/>
        <v>129.15</v>
      </c>
      <c r="AY30" s="2380"/>
      <c r="AZ30" s="2348"/>
      <c r="BA30" s="532"/>
      <c r="BB30" s="532">
        <f t="shared" si="3"/>
        <v>0</v>
      </c>
      <c r="BC30" s="617"/>
      <c r="BD30" s="617">
        <f t="shared" si="13"/>
        <v>0</v>
      </c>
      <c r="BE30" s="718"/>
      <c r="BF30" s="718">
        <f t="shared" si="14"/>
        <v>129.15</v>
      </c>
      <c r="BG30" s="1111"/>
      <c r="BH30" s="3464"/>
      <c r="BI30" s="23"/>
      <c r="BJ30" s="23"/>
      <c r="BK30" s="23"/>
      <c r="BL30" s="23"/>
    </row>
    <row r="31" spans="1:64" ht="16.2" thickBot="1" x14ac:dyDescent="0.35">
      <c r="A31" s="137"/>
      <c r="B31" s="780" t="s">
        <v>74</v>
      </c>
      <c r="C31" s="4000" t="s">
        <v>2264</v>
      </c>
      <c r="D31" s="2346" t="s">
        <v>50</v>
      </c>
      <c r="E31" s="4022"/>
      <c r="F31" s="4023"/>
      <c r="G31" s="4022"/>
      <c r="H31" s="4023">
        <v>264.45</v>
      </c>
      <c r="I31" s="4024"/>
      <c r="J31" s="4882">
        <f t="shared" si="4"/>
        <v>264.45</v>
      </c>
      <c r="K31" s="4022"/>
      <c r="L31" s="4023"/>
      <c r="M31" s="4026"/>
      <c r="N31" s="574"/>
      <c r="O31" s="4022"/>
      <c r="P31" s="4023"/>
      <c r="Q31" s="4024"/>
      <c r="R31" s="341"/>
      <c r="S31" s="4022"/>
      <c r="T31" s="4023"/>
      <c r="U31" s="4024"/>
      <c r="V31" s="341"/>
      <c r="W31" s="4022"/>
      <c r="X31" s="4023"/>
      <c r="Y31" s="4027"/>
      <c r="Z31" s="3696"/>
      <c r="AA31" s="4028"/>
      <c r="AB31" s="3697"/>
      <c r="AC31" s="4022"/>
      <c r="AD31" s="4023"/>
      <c r="AE31" s="4024"/>
      <c r="AF31" s="341"/>
      <c r="AG31" s="4022"/>
      <c r="AH31" s="4023"/>
      <c r="AI31" s="4024"/>
      <c r="AJ31" s="2045"/>
      <c r="AK31" s="4022"/>
      <c r="AL31" s="4023"/>
      <c r="AM31" s="4027"/>
      <c r="AN31" s="3696"/>
      <c r="AO31" s="4024"/>
      <c r="AP31" s="341"/>
      <c r="AQ31" s="4022"/>
      <c r="AR31" s="4023"/>
      <c r="AS31" s="4024"/>
      <c r="AT31" s="4024"/>
      <c r="AU31" s="4022"/>
      <c r="AV31" s="4023"/>
      <c r="AW31" s="4024"/>
      <c r="AX31" s="341"/>
      <c r="AY31" s="4022"/>
      <c r="AZ31" s="4023"/>
      <c r="BA31" s="4027"/>
      <c r="BB31" s="4027"/>
      <c r="BC31" s="4028"/>
      <c r="BD31" s="4028"/>
      <c r="BE31" s="4024"/>
      <c r="BF31" s="4024"/>
      <c r="BG31" s="1111"/>
      <c r="BH31" s="3464"/>
      <c r="BI31" s="23"/>
      <c r="BJ31" s="23"/>
      <c r="BK31" s="23"/>
      <c r="BL31" s="23"/>
    </row>
    <row r="32" spans="1:64" ht="16.2" thickBot="1" x14ac:dyDescent="0.35">
      <c r="A32" s="137"/>
      <c r="B32" s="780" t="s">
        <v>74</v>
      </c>
      <c r="C32" s="2345" t="s">
        <v>1791</v>
      </c>
      <c r="D32" s="2346" t="s">
        <v>50</v>
      </c>
      <c r="E32" s="3681"/>
      <c r="F32" s="3672"/>
      <c r="G32" s="3681"/>
      <c r="H32" s="3672"/>
      <c r="I32" s="3619"/>
      <c r="J32" s="4882">
        <f t="shared" si="4"/>
        <v>0</v>
      </c>
      <c r="K32" s="3681"/>
      <c r="L32" s="3672"/>
      <c r="M32" s="3621"/>
      <c r="N32" s="574">
        <f t="shared" si="5"/>
        <v>0</v>
      </c>
      <c r="O32" s="3681"/>
      <c r="P32" s="3672"/>
      <c r="Q32" s="3619"/>
      <c r="R32" s="341">
        <f t="shared" si="6"/>
        <v>0</v>
      </c>
      <c r="S32" s="3681"/>
      <c r="T32" s="3672"/>
      <c r="U32" s="3619"/>
      <c r="V32" s="341">
        <f t="shared" si="7"/>
        <v>0</v>
      </c>
      <c r="W32" s="3681"/>
      <c r="X32" s="3672"/>
      <c r="Y32" s="3677"/>
      <c r="Z32" s="3696">
        <f t="shared" si="0"/>
        <v>0</v>
      </c>
      <c r="AA32" s="3678"/>
      <c r="AB32" s="3697">
        <f t="shared" si="1"/>
        <v>0</v>
      </c>
      <c r="AC32" s="3681"/>
      <c r="AD32" s="3672"/>
      <c r="AE32" s="3619"/>
      <c r="AF32" s="341">
        <f t="shared" si="8"/>
        <v>0</v>
      </c>
      <c r="AG32" s="3681"/>
      <c r="AH32" s="3672"/>
      <c r="AI32" s="3619"/>
      <c r="AJ32" s="341">
        <f t="shared" si="15"/>
        <v>0</v>
      </c>
      <c r="AK32" s="3681"/>
      <c r="AL32" s="3672"/>
      <c r="AM32" s="3677"/>
      <c r="AN32" s="3696">
        <f t="shared" si="2"/>
        <v>0</v>
      </c>
      <c r="AO32" s="3619"/>
      <c r="AP32" s="341">
        <f t="shared" si="10"/>
        <v>0</v>
      </c>
      <c r="AQ32" s="3681"/>
      <c r="AR32" s="3672"/>
      <c r="AS32" s="3619"/>
      <c r="AT32" s="718">
        <f t="shared" si="11"/>
        <v>0</v>
      </c>
      <c r="AU32" s="3681"/>
      <c r="AV32" s="3672"/>
      <c r="AW32" s="3619"/>
      <c r="AX32" s="341">
        <f t="shared" si="12"/>
        <v>0</v>
      </c>
      <c r="AY32" s="3681"/>
      <c r="AZ32" s="3672"/>
      <c r="BA32" s="3677"/>
      <c r="BB32" s="532">
        <f t="shared" si="3"/>
        <v>0</v>
      </c>
      <c r="BC32" s="3678"/>
      <c r="BD32" s="617">
        <f t="shared" si="13"/>
        <v>0</v>
      </c>
      <c r="BE32" s="3619"/>
      <c r="BF32" s="718">
        <f t="shared" si="14"/>
        <v>0</v>
      </c>
      <c r="BG32" s="1111"/>
      <c r="BH32" s="3464"/>
      <c r="BI32" s="23"/>
      <c r="BJ32" s="23"/>
      <c r="BK32" s="23"/>
      <c r="BL32" s="23"/>
    </row>
    <row r="33" spans="1:64" ht="16.2" thickBot="1" x14ac:dyDescent="0.35">
      <c r="A33" s="137"/>
      <c r="B33" s="780" t="s">
        <v>74</v>
      </c>
      <c r="C33" s="2345" t="s">
        <v>832</v>
      </c>
      <c r="D33" s="2346" t="s">
        <v>50</v>
      </c>
      <c r="E33" s="2380"/>
      <c r="F33" s="2348">
        <f>8210.25-38.95</f>
        <v>8171.3</v>
      </c>
      <c r="G33" s="2380"/>
      <c r="H33" s="2348">
        <v>4419.8000000000029</v>
      </c>
      <c r="I33" s="2349"/>
      <c r="J33" s="4882">
        <f t="shared" si="4"/>
        <v>12591.100000000002</v>
      </c>
      <c r="K33" s="2380"/>
      <c r="L33" s="2348">
        <v>3515.7500000000005</v>
      </c>
      <c r="M33" s="717"/>
      <c r="N33" s="574">
        <f t="shared" si="5"/>
        <v>16106.850000000002</v>
      </c>
      <c r="O33" s="2380"/>
      <c r="P33" s="2348">
        <f>6143.85-10.25</f>
        <v>6133.6</v>
      </c>
      <c r="Q33" s="718"/>
      <c r="R33" s="341">
        <f t="shared" si="6"/>
        <v>22240.450000000004</v>
      </c>
      <c r="S33" s="2380"/>
      <c r="T33" s="2348">
        <f>4635.05-24.6</f>
        <v>4610.45</v>
      </c>
      <c r="U33" s="718"/>
      <c r="V33" s="341">
        <f t="shared" si="7"/>
        <v>26850.900000000005</v>
      </c>
      <c r="W33" s="2380"/>
      <c r="X33" s="2348">
        <f>6687.1-2.05</f>
        <v>6685.05</v>
      </c>
      <c r="Y33" s="532"/>
      <c r="Z33" s="3696">
        <f t="shared" si="0"/>
        <v>17429.099999999999</v>
      </c>
      <c r="AA33" s="617"/>
      <c r="AB33" s="3697">
        <f t="shared" si="1"/>
        <v>33535.949999999997</v>
      </c>
      <c r="AC33" s="2380"/>
      <c r="AD33" s="2348">
        <f>4005.7-2.05</f>
        <v>4003.6499999999996</v>
      </c>
      <c r="AE33" s="718"/>
      <c r="AF33" s="341">
        <f t="shared" si="8"/>
        <v>37539.599999999999</v>
      </c>
      <c r="AG33" s="2380"/>
      <c r="AH33" s="2348">
        <v>6496.4500000000035</v>
      </c>
      <c r="AI33" s="718"/>
      <c r="AJ33" s="341">
        <f t="shared" si="15"/>
        <v>44036.05</v>
      </c>
      <c r="AK33" s="2380"/>
      <c r="AL33" s="2348">
        <v>3983.15</v>
      </c>
      <c r="AM33" s="532"/>
      <c r="AN33" s="3696">
        <f t="shared" si="2"/>
        <v>14483.250000000002</v>
      </c>
      <c r="AO33" s="718"/>
      <c r="AP33" s="341">
        <f t="shared" si="10"/>
        <v>48019.200000000004</v>
      </c>
      <c r="AQ33" s="2380"/>
      <c r="AR33" s="2348">
        <f>4128.7-2.05-6.15</f>
        <v>4120.5</v>
      </c>
      <c r="AS33" s="718"/>
      <c r="AT33" s="718">
        <f t="shared" si="11"/>
        <v>52139.700000000004</v>
      </c>
      <c r="AU33" s="2380"/>
      <c r="AV33" s="2348">
        <f>8593.60000000001-30.75</f>
        <v>8562.8500000000095</v>
      </c>
      <c r="AW33" s="718"/>
      <c r="AX33" s="341">
        <f t="shared" si="12"/>
        <v>60702.550000000017</v>
      </c>
      <c r="AY33" s="2380"/>
      <c r="AZ33" s="2348">
        <f>7047.9-24.6</f>
        <v>7023.2999999999993</v>
      </c>
      <c r="BA33" s="532"/>
      <c r="BB33" s="532">
        <f t="shared" si="3"/>
        <v>19706.650000000009</v>
      </c>
      <c r="BC33" s="617"/>
      <c r="BD33" s="617">
        <f t="shared" si="13"/>
        <v>34189.900000000009</v>
      </c>
      <c r="BE33" s="718"/>
      <c r="BF33" s="718">
        <f t="shared" si="14"/>
        <v>67725.85000000002</v>
      </c>
      <c r="BG33" s="1111"/>
      <c r="BH33" s="3464"/>
      <c r="BI33" s="23"/>
      <c r="BJ33" s="23"/>
      <c r="BK33" s="23"/>
      <c r="BL33" s="23"/>
    </row>
    <row r="34" spans="1:64" ht="16.2" thickBot="1" x14ac:dyDescent="0.35">
      <c r="A34" s="137"/>
      <c r="B34" s="780" t="s">
        <v>74</v>
      </c>
      <c r="C34" s="2345" t="s">
        <v>925</v>
      </c>
      <c r="D34" s="2346" t="s">
        <v>50</v>
      </c>
      <c r="E34" s="2380"/>
      <c r="F34" s="2348"/>
      <c r="G34" s="2380"/>
      <c r="H34" s="2348">
        <v>684.69999999999993</v>
      </c>
      <c r="I34" s="2349"/>
      <c r="J34" s="4882">
        <f t="shared" si="4"/>
        <v>684.69999999999993</v>
      </c>
      <c r="K34" s="2380"/>
      <c r="L34" s="2348"/>
      <c r="M34" s="2350"/>
      <c r="N34" s="574">
        <f t="shared" si="5"/>
        <v>684.69999999999993</v>
      </c>
      <c r="O34" s="2380"/>
      <c r="P34" s="2348"/>
      <c r="Q34" s="2349"/>
      <c r="R34" s="341">
        <f t="shared" si="6"/>
        <v>684.69999999999993</v>
      </c>
      <c r="S34" s="2380"/>
      <c r="T34" s="2348"/>
      <c r="U34" s="2349"/>
      <c r="V34" s="341">
        <f t="shared" si="7"/>
        <v>684.69999999999993</v>
      </c>
      <c r="W34" s="2380"/>
      <c r="X34" s="2348"/>
      <c r="Y34" s="2351"/>
      <c r="Z34" s="3696">
        <f t="shared" si="0"/>
        <v>0</v>
      </c>
      <c r="AA34" s="617"/>
      <c r="AB34" s="3697">
        <f t="shared" si="1"/>
        <v>684.69999999999993</v>
      </c>
      <c r="AC34" s="2380"/>
      <c r="AD34" s="2348"/>
      <c r="AE34" s="2349"/>
      <c r="AF34" s="341">
        <f t="shared" si="8"/>
        <v>684.69999999999993</v>
      </c>
      <c r="AG34" s="2380"/>
      <c r="AH34" s="2348">
        <v>340.29999999999995</v>
      </c>
      <c r="AI34" s="2349"/>
      <c r="AJ34" s="341">
        <f t="shared" si="15"/>
        <v>1025</v>
      </c>
      <c r="AK34" s="2380"/>
      <c r="AL34" s="2348"/>
      <c r="AM34" s="2351"/>
      <c r="AN34" s="3696">
        <f t="shared" si="2"/>
        <v>340.29999999999995</v>
      </c>
      <c r="AO34" s="2349"/>
      <c r="AP34" s="341">
        <f t="shared" si="10"/>
        <v>1025</v>
      </c>
      <c r="AQ34" s="2380"/>
      <c r="AR34" s="2348">
        <v>428.44999999999993</v>
      </c>
      <c r="AS34" s="2349"/>
      <c r="AT34" s="718">
        <f t="shared" si="11"/>
        <v>1453.4499999999998</v>
      </c>
      <c r="AU34" s="2380"/>
      <c r="AV34" s="2348"/>
      <c r="AW34" s="2349"/>
      <c r="AX34" s="341">
        <f t="shared" si="12"/>
        <v>1453.4499999999998</v>
      </c>
      <c r="AY34" s="2380"/>
      <c r="AZ34" s="2348"/>
      <c r="BA34" s="2351"/>
      <c r="BB34" s="532">
        <f t="shared" si="3"/>
        <v>428.44999999999993</v>
      </c>
      <c r="BC34" s="2352"/>
      <c r="BD34" s="617">
        <f t="shared" si="13"/>
        <v>768.74999999999989</v>
      </c>
      <c r="BE34" s="2349"/>
      <c r="BF34" s="718">
        <f t="shared" si="14"/>
        <v>1453.4499999999998</v>
      </c>
      <c r="BG34" s="1111"/>
      <c r="BH34" s="3464"/>
      <c r="BI34" s="23"/>
      <c r="BJ34" s="23"/>
      <c r="BK34" s="23"/>
      <c r="BL34" s="23"/>
    </row>
    <row r="35" spans="1:64" ht="16.2" thickBot="1" x14ac:dyDescent="0.35">
      <c r="A35" s="137"/>
      <c r="B35" s="780" t="s">
        <v>74</v>
      </c>
      <c r="C35" s="2345" t="s">
        <v>928</v>
      </c>
      <c r="D35" s="2346" t="s">
        <v>50</v>
      </c>
      <c r="E35" s="2380"/>
      <c r="F35" s="2348"/>
      <c r="G35" s="2380"/>
      <c r="H35" s="2348">
        <v>528.90000000000009</v>
      </c>
      <c r="I35" s="2349"/>
      <c r="J35" s="4882">
        <f t="shared" si="4"/>
        <v>528.90000000000009</v>
      </c>
      <c r="K35" s="2380"/>
      <c r="L35" s="2348"/>
      <c r="M35" s="717"/>
      <c r="N35" s="574">
        <f t="shared" si="5"/>
        <v>528.90000000000009</v>
      </c>
      <c r="O35" s="2380"/>
      <c r="P35" s="2348">
        <v>67.649999999999991</v>
      </c>
      <c r="Q35" s="718"/>
      <c r="R35" s="341">
        <f t="shared" si="6"/>
        <v>596.55000000000007</v>
      </c>
      <c r="S35" s="2380"/>
      <c r="T35" s="2348"/>
      <c r="U35" s="718"/>
      <c r="V35" s="341">
        <f t="shared" si="7"/>
        <v>596.55000000000007</v>
      </c>
      <c r="W35" s="2380"/>
      <c r="X35" s="2348">
        <v>319.8</v>
      </c>
      <c r="Y35" s="532"/>
      <c r="Z35" s="3696">
        <f t="shared" si="0"/>
        <v>387.45</v>
      </c>
      <c r="AA35" s="617"/>
      <c r="AB35" s="3697">
        <f t="shared" si="1"/>
        <v>916.35000000000014</v>
      </c>
      <c r="AC35" s="2380"/>
      <c r="AD35" s="2348"/>
      <c r="AE35" s="718"/>
      <c r="AF35" s="341">
        <f t="shared" si="8"/>
        <v>916.35000000000014</v>
      </c>
      <c r="AG35" s="2380"/>
      <c r="AH35" s="2348"/>
      <c r="AI35" s="718"/>
      <c r="AJ35" s="341">
        <f t="shared" si="15"/>
        <v>916.35000000000014</v>
      </c>
      <c r="AK35" s="2380"/>
      <c r="AL35" s="2348"/>
      <c r="AM35" s="532"/>
      <c r="AN35" s="3696">
        <f t="shared" si="2"/>
        <v>0</v>
      </c>
      <c r="AO35" s="718"/>
      <c r="AP35" s="341">
        <f t="shared" si="10"/>
        <v>916.35000000000014</v>
      </c>
      <c r="AQ35" s="2380"/>
      <c r="AR35" s="2348">
        <v>67.650000000000006</v>
      </c>
      <c r="AS35" s="718"/>
      <c r="AT35" s="718">
        <f t="shared" si="11"/>
        <v>984.00000000000011</v>
      </c>
      <c r="AU35" s="2380"/>
      <c r="AV35" s="2348"/>
      <c r="AW35" s="718"/>
      <c r="AX35" s="341">
        <f t="shared" si="12"/>
        <v>984.00000000000011</v>
      </c>
      <c r="AY35" s="2380"/>
      <c r="AZ35" s="2348"/>
      <c r="BA35" s="532"/>
      <c r="BB35" s="532">
        <f t="shared" si="3"/>
        <v>67.650000000000006</v>
      </c>
      <c r="BC35" s="617"/>
      <c r="BD35" s="617">
        <f t="shared" si="13"/>
        <v>67.650000000000006</v>
      </c>
      <c r="BE35" s="718"/>
      <c r="BF35" s="718">
        <f t="shared" si="14"/>
        <v>984.00000000000011</v>
      </c>
      <c r="BG35" s="1111"/>
      <c r="BH35" s="3464"/>
      <c r="BI35" s="23"/>
      <c r="BJ35" s="23"/>
      <c r="BK35" s="23"/>
      <c r="BL35" s="23"/>
    </row>
    <row r="36" spans="1:64" ht="16.2" thickBot="1" x14ac:dyDescent="0.35">
      <c r="A36" s="137"/>
      <c r="B36" s="780" t="s">
        <v>74</v>
      </c>
      <c r="C36" s="2345" t="s">
        <v>927</v>
      </c>
      <c r="D36" s="2346" t="s">
        <v>50</v>
      </c>
      <c r="E36" s="2380"/>
      <c r="F36" s="2348">
        <v>420.25000000000006</v>
      </c>
      <c r="G36" s="2380"/>
      <c r="H36" s="2348">
        <v>1008.5999999999999</v>
      </c>
      <c r="I36" s="2349"/>
      <c r="J36" s="4882">
        <f t="shared" si="4"/>
        <v>1428.85</v>
      </c>
      <c r="K36" s="2380"/>
      <c r="L36" s="2348">
        <v>135.30000000000001</v>
      </c>
      <c r="M36" s="717"/>
      <c r="N36" s="574">
        <f t="shared" si="5"/>
        <v>1564.1499999999999</v>
      </c>
      <c r="O36" s="2380"/>
      <c r="P36" s="2348"/>
      <c r="Q36" s="718"/>
      <c r="R36" s="341">
        <f t="shared" si="6"/>
        <v>1564.1499999999999</v>
      </c>
      <c r="S36" s="2380"/>
      <c r="T36" s="2348"/>
      <c r="U36" s="718"/>
      <c r="V36" s="341">
        <f t="shared" si="7"/>
        <v>1564.1499999999999</v>
      </c>
      <c r="W36" s="2380"/>
      <c r="X36" s="2348">
        <v>707.25000000000011</v>
      </c>
      <c r="Y36" s="532"/>
      <c r="Z36" s="3696">
        <f t="shared" si="0"/>
        <v>707.25000000000011</v>
      </c>
      <c r="AA36" s="617"/>
      <c r="AB36" s="3697">
        <f t="shared" si="1"/>
        <v>2271.4</v>
      </c>
      <c r="AC36" s="2380"/>
      <c r="AD36" s="2348">
        <f>383.35</f>
        <v>383.35</v>
      </c>
      <c r="AE36" s="718"/>
      <c r="AF36" s="341">
        <f t="shared" si="8"/>
        <v>2654.75</v>
      </c>
      <c r="AG36" s="2380"/>
      <c r="AH36" s="2348">
        <f>323.9-2.05</f>
        <v>321.84999999999997</v>
      </c>
      <c r="AI36" s="718"/>
      <c r="AJ36" s="341">
        <f t="shared" si="15"/>
        <v>2976.6</v>
      </c>
      <c r="AK36" s="2380"/>
      <c r="AL36" s="2348"/>
      <c r="AM36" s="532"/>
      <c r="AN36" s="3696">
        <f t="shared" si="2"/>
        <v>705.2</v>
      </c>
      <c r="AO36" s="718"/>
      <c r="AP36" s="341">
        <f t="shared" si="10"/>
        <v>2976.6</v>
      </c>
      <c r="AQ36" s="2380"/>
      <c r="AR36" s="2348">
        <v>407.95000000000005</v>
      </c>
      <c r="AS36" s="718"/>
      <c r="AT36" s="718">
        <f t="shared" si="11"/>
        <v>3384.55</v>
      </c>
      <c r="AU36" s="2380"/>
      <c r="AV36" s="2348"/>
      <c r="AW36" s="718"/>
      <c r="AX36" s="341">
        <f t="shared" si="12"/>
        <v>3384.55</v>
      </c>
      <c r="AY36" s="2380"/>
      <c r="AZ36" s="2348">
        <v>200.9</v>
      </c>
      <c r="BA36" s="532"/>
      <c r="BB36" s="532">
        <f t="shared" si="3"/>
        <v>608.85</v>
      </c>
      <c r="BC36" s="617"/>
      <c r="BD36" s="617">
        <f t="shared" si="13"/>
        <v>1314.0500000000002</v>
      </c>
      <c r="BE36" s="718"/>
      <c r="BF36" s="718">
        <f t="shared" si="14"/>
        <v>3585.4500000000003</v>
      </c>
      <c r="BG36" s="1111"/>
      <c r="BH36" s="3464"/>
      <c r="BI36" s="23"/>
      <c r="BJ36" s="23"/>
      <c r="BK36" s="23"/>
      <c r="BL36" s="23"/>
    </row>
    <row r="37" spans="1:64" ht="16.2" thickBot="1" x14ac:dyDescent="0.35">
      <c r="A37" s="137"/>
      <c r="B37" s="780" t="s">
        <v>74</v>
      </c>
      <c r="C37" s="2345" t="s">
        <v>1085</v>
      </c>
      <c r="D37" s="2346" t="s">
        <v>50</v>
      </c>
      <c r="E37" s="2380"/>
      <c r="F37" s="2348">
        <v>123</v>
      </c>
      <c r="G37" s="2380"/>
      <c r="H37" s="2348">
        <v>338.25</v>
      </c>
      <c r="I37" s="2349"/>
      <c r="J37" s="4882">
        <f t="shared" si="4"/>
        <v>461.25</v>
      </c>
      <c r="K37" s="2380"/>
      <c r="L37" s="2348"/>
      <c r="M37" s="2350"/>
      <c r="N37" s="574">
        <f t="shared" si="5"/>
        <v>461.25</v>
      </c>
      <c r="O37" s="2380"/>
      <c r="P37" s="2348"/>
      <c r="Q37" s="2349"/>
      <c r="R37" s="341">
        <f t="shared" si="6"/>
        <v>461.25</v>
      </c>
      <c r="S37" s="2380"/>
      <c r="T37" s="2348"/>
      <c r="U37" s="2349"/>
      <c r="V37" s="341">
        <f t="shared" si="7"/>
        <v>461.25</v>
      </c>
      <c r="W37" s="2380"/>
      <c r="X37" s="2348"/>
      <c r="Y37" s="2351"/>
      <c r="Z37" s="3696">
        <f t="shared" si="0"/>
        <v>0</v>
      </c>
      <c r="AA37" s="2352"/>
      <c r="AB37" s="3697">
        <f t="shared" si="1"/>
        <v>461.25</v>
      </c>
      <c r="AC37" s="2380"/>
      <c r="AD37" s="2348"/>
      <c r="AE37" s="2349"/>
      <c r="AF37" s="341">
        <f t="shared" si="8"/>
        <v>461.25</v>
      </c>
      <c r="AG37" s="2380"/>
      <c r="AH37" s="2348"/>
      <c r="AI37" s="2349"/>
      <c r="AJ37" s="341">
        <f t="shared" si="15"/>
        <v>461.25</v>
      </c>
      <c r="AK37" s="2380"/>
      <c r="AL37" s="2348"/>
      <c r="AM37" s="2351"/>
      <c r="AN37" s="3696">
        <f t="shared" si="2"/>
        <v>0</v>
      </c>
      <c r="AO37" s="2349"/>
      <c r="AP37" s="341">
        <f t="shared" si="10"/>
        <v>461.25</v>
      </c>
      <c r="AQ37" s="2380"/>
      <c r="AR37" s="2348">
        <v>186.55</v>
      </c>
      <c r="AS37" s="2349"/>
      <c r="AT37" s="718">
        <f t="shared" si="11"/>
        <v>647.79999999999995</v>
      </c>
      <c r="AU37" s="2380"/>
      <c r="AV37" s="2348"/>
      <c r="AW37" s="2349"/>
      <c r="AX37" s="341">
        <f t="shared" si="12"/>
        <v>647.79999999999995</v>
      </c>
      <c r="AY37" s="2380"/>
      <c r="AZ37" s="2348"/>
      <c r="BA37" s="2351"/>
      <c r="BB37" s="532">
        <f t="shared" si="3"/>
        <v>186.55</v>
      </c>
      <c r="BC37" s="2352"/>
      <c r="BD37" s="617">
        <f t="shared" si="13"/>
        <v>186.55</v>
      </c>
      <c r="BE37" s="2349"/>
      <c r="BF37" s="718">
        <f t="shared" si="14"/>
        <v>647.79999999999995</v>
      </c>
      <c r="BG37" s="1111"/>
      <c r="BH37" s="3464"/>
      <c r="BI37" s="23"/>
      <c r="BJ37" s="23"/>
      <c r="BK37" s="23"/>
      <c r="BL37" s="23"/>
    </row>
    <row r="38" spans="1:64" ht="16.2" thickBot="1" x14ac:dyDescent="0.35">
      <c r="A38" s="137"/>
      <c r="B38" s="780" t="s">
        <v>74</v>
      </c>
      <c r="C38" s="2345" t="s">
        <v>929</v>
      </c>
      <c r="D38" s="2346" t="s">
        <v>50</v>
      </c>
      <c r="E38" s="2380"/>
      <c r="F38" s="2348">
        <v>1734.2999999999997</v>
      </c>
      <c r="G38" s="2380"/>
      <c r="H38" s="2348">
        <v>711.34999999999991</v>
      </c>
      <c r="I38" s="2349"/>
      <c r="J38" s="4882">
        <f t="shared" si="4"/>
        <v>2445.6499999999996</v>
      </c>
      <c r="K38" s="2380"/>
      <c r="L38" s="2348">
        <v>358.75000000000006</v>
      </c>
      <c r="M38" s="717"/>
      <c r="N38" s="574">
        <f t="shared" si="5"/>
        <v>2804.3999999999996</v>
      </c>
      <c r="O38" s="2380"/>
      <c r="P38" s="2348">
        <v>207.05</v>
      </c>
      <c r="Q38" s="718"/>
      <c r="R38" s="341">
        <f t="shared" si="6"/>
        <v>3011.45</v>
      </c>
      <c r="S38" s="2380"/>
      <c r="T38" s="2348">
        <v>155.79999999999998</v>
      </c>
      <c r="U38" s="718"/>
      <c r="V38" s="341">
        <f t="shared" si="7"/>
        <v>3167.25</v>
      </c>
      <c r="W38" s="2380"/>
      <c r="X38" s="2348">
        <v>305.45</v>
      </c>
      <c r="Y38" s="532"/>
      <c r="Z38" s="3696">
        <f t="shared" si="0"/>
        <v>668.3</v>
      </c>
      <c r="AA38" s="617"/>
      <c r="AB38" s="3697">
        <f t="shared" si="1"/>
        <v>3472.7</v>
      </c>
      <c r="AC38" s="2380"/>
      <c r="AD38" s="2348">
        <v>861.00000000000023</v>
      </c>
      <c r="AE38" s="718"/>
      <c r="AF38" s="341">
        <f t="shared" si="8"/>
        <v>4333.7</v>
      </c>
      <c r="AG38" s="2380"/>
      <c r="AH38" s="2348">
        <v>1443.2</v>
      </c>
      <c r="AI38" s="718"/>
      <c r="AJ38" s="341">
        <f t="shared" si="15"/>
        <v>5776.9</v>
      </c>
      <c r="AK38" s="2380"/>
      <c r="AL38" s="2348"/>
      <c r="AM38" s="532"/>
      <c r="AN38" s="3696">
        <f t="shared" si="2"/>
        <v>2304.2000000000003</v>
      </c>
      <c r="AO38" s="718"/>
      <c r="AP38" s="341">
        <f t="shared" si="10"/>
        <v>5776.9</v>
      </c>
      <c r="AQ38" s="2380"/>
      <c r="AR38" s="2348">
        <v>815.90000000000009</v>
      </c>
      <c r="AS38" s="718"/>
      <c r="AT38" s="718">
        <f t="shared" si="11"/>
        <v>6592.7999999999993</v>
      </c>
      <c r="AU38" s="2380"/>
      <c r="AV38" s="2348">
        <v>418.20000000000005</v>
      </c>
      <c r="AW38" s="718"/>
      <c r="AX38" s="341">
        <f t="shared" si="12"/>
        <v>7010.9999999999991</v>
      </c>
      <c r="AY38" s="2380"/>
      <c r="AZ38" s="2348">
        <v>200.9</v>
      </c>
      <c r="BA38" s="532"/>
      <c r="BB38" s="532">
        <f t="shared" si="3"/>
        <v>1435.0000000000002</v>
      </c>
      <c r="BC38" s="617"/>
      <c r="BD38" s="617">
        <f t="shared" si="13"/>
        <v>3739.2000000000007</v>
      </c>
      <c r="BE38" s="718"/>
      <c r="BF38" s="718">
        <f t="shared" si="14"/>
        <v>7211.8999999999987</v>
      </c>
      <c r="BG38" s="1111"/>
      <c r="BH38" s="3464"/>
      <c r="BI38" s="23"/>
      <c r="BJ38" s="23"/>
      <c r="BK38" s="23"/>
      <c r="BL38" s="23"/>
    </row>
    <row r="39" spans="1:64" ht="16.2" thickBot="1" x14ac:dyDescent="0.35">
      <c r="A39" s="137"/>
      <c r="B39" s="780" t="s">
        <v>74</v>
      </c>
      <c r="C39" s="2345" t="s">
        <v>1089</v>
      </c>
      <c r="D39" s="2346" t="s">
        <v>50</v>
      </c>
      <c r="E39" s="2380"/>
      <c r="F39" s="2348"/>
      <c r="G39" s="2380"/>
      <c r="H39" s="2348"/>
      <c r="I39" s="2349"/>
      <c r="J39" s="4882">
        <f t="shared" si="4"/>
        <v>0</v>
      </c>
      <c r="K39" s="2380"/>
      <c r="L39" s="2348">
        <v>53.3</v>
      </c>
      <c r="M39" s="717"/>
      <c r="N39" s="574">
        <f t="shared" si="5"/>
        <v>53.3</v>
      </c>
      <c r="O39" s="2380"/>
      <c r="P39" s="2348">
        <v>4.0999999999999996</v>
      </c>
      <c r="Q39" s="718"/>
      <c r="R39" s="341">
        <f t="shared" si="6"/>
        <v>57.4</v>
      </c>
      <c r="S39" s="2380"/>
      <c r="T39" s="2348">
        <v>6.15</v>
      </c>
      <c r="U39" s="718"/>
      <c r="V39" s="341">
        <f t="shared" si="7"/>
        <v>63.55</v>
      </c>
      <c r="W39" s="2380"/>
      <c r="X39" s="2348"/>
      <c r="Y39" s="532"/>
      <c r="Z39" s="3696">
        <f t="shared" si="0"/>
        <v>10.25</v>
      </c>
      <c r="AA39" s="617"/>
      <c r="AB39" s="3697">
        <f t="shared" si="1"/>
        <v>63.55</v>
      </c>
      <c r="AC39" s="2380"/>
      <c r="AD39" s="2348">
        <v>43.05</v>
      </c>
      <c r="AE39" s="718"/>
      <c r="AF39" s="341">
        <f t="shared" si="8"/>
        <v>106.6</v>
      </c>
      <c r="AG39" s="2380"/>
      <c r="AH39" s="2348"/>
      <c r="AI39" s="718"/>
      <c r="AJ39" s="341">
        <f t="shared" si="15"/>
        <v>106.6</v>
      </c>
      <c r="AK39" s="2380"/>
      <c r="AL39" s="2348"/>
      <c r="AM39" s="532"/>
      <c r="AN39" s="3696">
        <f t="shared" si="2"/>
        <v>43.05</v>
      </c>
      <c r="AO39" s="718"/>
      <c r="AP39" s="341">
        <f t="shared" si="10"/>
        <v>106.6</v>
      </c>
      <c r="AQ39" s="2380"/>
      <c r="AR39" s="2348"/>
      <c r="AS39" s="718"/>
      <c r="AT39" s="718">
        <f t="shared" si="11"/>
        <v>106.6</v>
      </c>
      <c r="AU39" s="2380"/>
      <c r="AV39" s="2348"/>
      <c r="AW39" s="718"/>
      <c r="AX39" s="341">
        <f t="shared" si="12"/>
        <v>106.6</v>
      </c>
      <c r="AY39" s="2380"/>
      <c r="AZ39" s="2348"/>
      <c r="BA39" s="532"/>
      <c r="BB39" s="532">
        <f t="shared" si="3"/>
        <v>0</v>
      </c>
      <c r="BC39" s="617"/>
      <c r="BD39" s="617">
        <f t="shared" si="13"/>
        <v>43.05</v>
      </c>
      <c r="BE39" s="718"/>
      <c r="BF39" s="718">
        <f t="shared" si="14"/>
        <v>106.6</v>
      </c>
      <c r="BG39" s="1111"/>
      <c r="BH39" s="3464"/>
      <c r="BI39" s="23"/>
      <c r="BJ39" s="23"/>
      <c r="BK39" s="23"/>
      <c r="BL39" s="23"/>
    </row>
    <row r="40" spans="1:64" ht="16.2" thickBot="1" x14ac:dyDescent="0.35">
      <c r="A40" s="137"/>
      <c r="B40" s="780" t="s">
        <v>74</v>
      </c>
      <c r="C40" s="2345" t="s">
        <v>1090</v>
      </c>
      <c r="D40" s="2346" t="s">
        <v>50</v>
      </c>
      <c r="E40" s="2380"/>
      <c r="F40" s="2348">
        <v>524.79999999999995</v>
      </c>
      <c r="G40" s="2380"/>
      <c r="H40" s="2348"/>
      <c r="I40" s="2349"/>
      <c r="J40" s="4882">
        <f t="shared" si="4"/>
        <v>524.79999999999995</v>
      </c>
      <c r="K40" s="2380"/>
      <c r="L40" s="2348">
        <f>932.75-53.3</f>
        <v>879.45</v>
      </c>
      <c r="M40" s="717"/>
      <c r="N40" s="574">
        <f t="shared" si="5"/>
        <v>1404.25</v>
      </c>
      <c r="O40" s="2380"/>
      <c r="P40" s="2348">
        <f>988.1-4.1</f>
        <v>984</v>
      </c>
      <c r="Q40" s="718"/>
      <c r="R40" s="341">
        <f t="shared" si="6"/>
        <v>2388.25</v>
      </c>
      <c r="S40" s="2380"/>
      <c r="T40" s="2348">
        <f>98.4-6.15</f>
        <v>92.25</v>
      </c>
      <c r="U40" s="718"/>
      <c r="V40" s="341">
        <f t="shared" si="7"/>
        <v>2480.5</v>
      </c>
      <c r="W40" s="2380"/>
      <c r="X40" s="2348"/>
      <c r="Y40" s="532"/>
      <c r="Z40" s="3696">
        <f t="shared" si="0"/>
        <v>1076.25</v>
      </c>
      <c r="AA40" s="617"/>
      <c r="AB40" s="3697">
        <f t="shared" si="1"/>
        <v>2480.5</v>
      </c>
      <c r="AC40" s="2380"/>
      <c r="AD40" s="2348">
        <f>1691.25-43.05</f>
        <v>1648.2</v>
      </c>
      <c r="AE40" s="718"/>
      <c r="AF40" s="341">
        <f t="shared" si="8"/>
        <v>4128.7</v>
      </c>
      <c r="AG40" s="2380"/>
      <c r="AH40" s="2348"/>
      <c r="AI40" s="718"/>
      <c r="AJ40" s="341">
        <f t="shared" si="15"/>
        <v>4128.7</v>
      </c>
      <c r="AK40" s="2380"/>
      <c r="AL40" s="2348"/>
      <c r="AM40" s="532"/>
      <c r="AN40" s="3696">
        <f t="shared" si="2"/>
        <v>1648.2</v>
      </c>
      <c r="AO40" s="718"/>
      <c r="AP40" s="341">
        <f t="shared" si="10"/>
        <v>4128.7</v>
      </c>
      <c r="AQ40" s="2380"/>
      <c r="AR40" s="2348">
        <v>330.05000000000007</v>
      </c>
      <c r="AS40" s="718"/>
      <c r="AT40" s="718">
        <f t="shared" si="11"/>
        <v>4458.75</v>
      </c>
      <c r="AU40" s="2380"/>
      <c r="AV40" s="2348">
        <v>863.05000000000007</v>
      </c>
      <c r="AW40" s="718"/>
      <c r="AX40" s="341">
        <f t="shared" si="12"/>
        <v>5321.8</v>
      </c>
      <c r="AY40" s="2380"/>
      <c r="AZ40" s="2348"/>
      <c r="BA40" s="532"/>
      <c r="BB40" s="532">
        <f t="shared" si="3"/>
        <v>1193.1000000000001</v>
      </c>
      <c r="BC40" s="617"/>
      <c r="BD40" s="617">
        <f t="shared" si="13"/>
        <v>2841.3</v>
      </c>
      <c r="BE40" s="718"/>
      <c r="BF40" s="718">
        <f t="shared" si="14"/>
        <v>5321.8</v>
      </c>
      <c r="BG40" s="1111"/>
      <c r="BH40" s="3464"/>
      <c r="BI40" s="23"/>
      <c r="BJ40" s="23"/>
      <c r="BK40" s="23"/>
      <c r="BL40" s="23"/>
    </row>
    <row r="41" spans="1:64" ht="16.2" thickBot="1" x14ac:dyDescent="0.35">
      <c r="A41" s="137"/>
      <c r="B41" s="780" t="s">
        <v>74</v>
      </c>
      <c r="C41" s="2345" t="s">
        <v>1519</v>
      </c>
      <c r="D41" s="2346" t="s">
        <v>50</v>
      </c>
      <c r="E41" s="2380"/>
      <c r="F41" s="2348">
        <v>789.25</v>
      </c>
      <c r="G41" s="2380"/>
      <c r="H41" s="2348">
        <v>459.20000000000005</v>
      </c>
      <c r="I41" s="2349"/>
      <c r="J41" s="4882">
        <f t="shared" si="4"/>
        <v>1248.45</v>
      </c>
      <c r="K41" s="2380"/>
      <c r="L41" s="2348"/>
      <c r="M41" s="717"/>
      <c r="N41" s="574">
        <f t="shared" si="5"/>
        <v>1248.45</v>
      </c>
      <c r="O41" s="2380"/>
      <c r="P41" s="2348"/>
      <c r="Q41" s="718"/>
      <c r="R41" s="341">
        <f t="shared" si="6"/>
        <v>1248.45</v>
      </c>
      <c r="S41" s="2380"/>
      <c r="T41" s="2348"/>
      <c r="U41" s="718"/>
      <c r="V41" s="341">
        <f t="shared" si="7"/>
        <v>1248.45</v>
      </c>
      <c r="W41" s="2380"/>
      <c r="X41" s="2348"/>
      <c r="Y41" s="532"/>
      <c r="Z41" s="3696">
        <f t="shared" si="0"/>
        <v>0</v>
      </c>
      <c r="AA41" s="617"/>
      <c r="AB41" s="3697">
        <f t="shared" si="1"/>
        <v>1248.45</v>
      </c>
      <c r="AC41" s="2380"/>
      <c r="AD41" s="2348"/>
      <c r="AE41" s="718"/>
      <c r="AF41" s="341">
        <f t="shared" si="8"/>
        <v>1248.45</v>
      </c>
      <c r="AG41" s="2380"/>
      <c r="AH41" s="2348">
        <v>149.65</v>
      </c>
      <c r="AI41" s="718"/>
      <c r="AJ41" s="341">
        <f t="shared" si="15"/>
        <v>1398.1000000000001</v>
      </c>
      <c r="AK41" s="2380"/>
      <c r="AL41" s="2348"/>
      <c r="AM41" s="532"/>
      <c r="AN41" s="3696">
        <f t="shared" si="2"/>
        <v>149.65</v>
      </c>
      <c r="AO41" s="718"/>
      <c r="AP41" s="341">
        <f t="shared" si="10"/>
        <v>1398.1000000000001</v>
      </c>
      <c r="AQ41" s="2380"/>
      <c r="AR41" s="2348">
        <v>512.5</v>
      </c>
      <c r="AS41" s="718"/>
      <c r="AT41" s="718">
        <f t="shared" si="11"/>
        <v>1910.6000000000001</v>
      </c>
      <c r="AU41" s="2380"/>
      <c r="AV41" s="2348">
        <v>629.35</v>
      </c>
      <c r="AW41" s="718"/>
      <c r="AX41" s="341">
        <f t="shared" si="12"/>
        <v>2539.9500000000003</v>
      </c>
      <c r="AY41" s="2380"/>
      <c r="AZ41" s="2348"/>
      <c r="BA41" s="532"/>
      <c r="BB41" s="532">
        <f t="shared" si="3"/>
        <v>1141.8499999999999</v>
      </c>
      <c r="BC41" s="617"/>
      <c r="BD41" s="617">
        <f t="shared" si="13"/>
        <v>1291.5</v>
      </c>
      <c r="BE41" s="718"/>
      <c r="BF41" s="718">
        <f t="shared" si="14"/>
        <v>2539.9500000000003</v>
      </c>
      <c r="BG41" s="1111"/>
      <c r="BH41" s="3464"/>
      <c r="BI41" s="23"/>
      <c r="BJ41" s="23"/>
      <c r="BK41" s="23"/>
      <c r="BL41" s="23"/>
    </row>
    <row r="42" spans="1:64" ht="16.2" thickBot="1" x14ac:dyDescent="0.35">
      <c r="A42" s="137"/>
      <c r="B42" s="780" t="s">
        <v>74</v>
      </c>
      <c r="C42" s="2345" t="s">
        <v>2023</v>
      </c>
      <c r="D42" s="2346" t="s">
        <v>50</v>
      </c>
      <c r="E42" s="2380"/>
      <c r="F42" s="2348"/>
      <c r="G42" s="2380"/>
      <c r="H42" s="2348"/>
      <c r="I42" s="2349"/>
      <c r="J42" s="4882">
        <f t="shared" si="4"/>
        <v>0</v>
      </c>
      <c r="K42" s="2380"/>
      <c r="L42" s="2348"/>
      <c r="M42" s="717"/>
      <c r="N42" s="574">
        <f t="shared" si="5"/>
        <v>0</v>
      </c>
      <c r="O42" s="2380"/>
      <c r="P42" s="2348"/>
      <c r="Q42" s="718"/>
      <c r="R42" s="341">
        <f t="shared" si="6"/>
        <v>0</v>
      </c>
      <c r="S42" s="2380"/>
      <c r="T42" s="2348"/>
      <c r="U42" s="718"/>
      <c r="V42" s="341">
        <f t="shared" si="7"/>
        <v>0</v>
      </c>
      <c r="W42" s="2380"/>
      <c r="X42" s="2348">
        <v>94.3</v>
      </c>
      <c r="Y42" s="532"/>
      <c r="Z42" s="3696">
        <f t="shared" si="0"/>
        <v>94.3</v>
      </c>
      <c r="AA42" s="617"/>
      <c r="AB42" s="3697">
        <f t="shared" si="1"/>
        <v>94.3</v>
      </c>
      <c r="AC42" s="2380"/>
      <c r="AD42" s="2348"/>
      <c r="AE42" s="718"/>
      <c r="AF42" s="341">
        <f t="shared" si="8"/>
        <v>94.3</v>
      </c>
      <c r="AG42" s="2380"/>
      <c r="AH42" s="2348"/>
      <c r="AI42" s="718"/>
      <c r="AJ42" s="341">
        <f t="shared" si="15"/>
        <v>94.3</v>
      </c>
      <c r="AK42" s="2380"/>
      <c r="AL42" s="2348"/>
      <c r="AM42" s="532"/>
      <c r="AN42" s="3696">
        <f t="shared" si="2"/>
        <v>0</v>
      </c>
      <c r="AO42" s="718"/>
      <c r="AP42" s="341">
        <f t="shared" si="10"/>
        <v>94.3</v>
      </c>
      <c r="AQ42" s="2380"/>
      <c r="AR42" s="2348"/>
      <c r="AS42" s="718"/>
      <c r="AT42" s="718">
        <f t="shared" si="11"/>
        <v>94.3</v>
      </c>
      <c r="AU42" s="2380"/>
      <c r="AV42" s="2348"/>
      <c r="AW42" s="718"/>
      <c r="AX42" s="341">
        <f t="shared" si="12"/>
        <v>94.3</v>
      </c>
      <c r="AY42" s="2380"/>
      <c r="AZ42" s="2348"/>
      <c r="BA42" s="532"/>
      <c r="BB42" s="532">
        <f t="shared" si="3"/>
        <v>0</v>
      </c>
      <c r="BC42" s="617"/>
      <c r="BD42" s="617">
        <f t="shared" si="13"/>
        <v>0</v>
      </c>
      <c r="BE42" s="718"/>
      <c r="BF42" s="718">
        <f t="shared" si="14"/>
        <v>94.3</v>
      </c>
      <c r="BG42" s="1111"/>
      <c r="BH42" s="3464"/>
      <c r="BI42" s="23"/>
      <c r="BJ42" s="23"/>
      <c r="BK42" s="23"/>
      <c r="BL42" s="23"/>
    </row>
    <row r="43" spans="1:64" ht="16.2" thickBot="1" x14ac:dyDescent="0.35">
      <c r="A43" s="137"/>
      <c r="B43" s="780" t="s">
        <v>74</v>
      </c>
      <c r="C43" s="2345" t="s">
        <v>1443</v>
      </c>
      <c r="D43" s="2346" t="s">
        <v>50</v>
      </c>
      <c r="E43" s="2380"/>
      <c r="F43" s="2348"/>
      <c r="G43" s="2380"/>
      <c r="H43" s="2348"/>
      <c r="I43" s="2349"/>
      <c r="J43" s="4882">
        <f t="shared" si="4"/>
        <v>0</v>
      </c>
      <c r="K43" s="2380"/>
      <c r="L43" s="2348"/>
      <c r="M43" s="717"/>
      <c r="N43" s="574">
        <f t="shared" si="5"/>
        <v>0</v>
      </c>
      <c r="O43" s="2380"/>
      <c r="P43" s="2348"/>
      <c r="Q43" s="718"/>
      <c r="R43" s="341">
        <f t="shared" si="6"/>
        <v>0</v>
      </c>
      <c r="S43" s="2380"/>
      <c r="T43" s="2348"/>
      <c r="U43" s="718"/>
      <c r="V43" s="341">
        <f t="shared" si="7"/>
        <v>0</v>
      </c>
      <c r="W43" s="2380"/>
      <c r="X43" s="2348"/>
      <c r="Y43" s="532"/>
      <c r="Z43" s="3696">
        <f t="shared" si="0"/>
        <v>0</v>
      </c>
      <c r="AA43" s="617"/>
      <c r="AB43" s="3697">
        <f t="shared" si="1"/>
        <v>0</v>
      </c>
      <c r="AC43" s="2380"/>
      <c r="AD43" s="2348"/>
      <c r="AE43" s="718"/>
      <c r="AF43" s="341">
        <f t="shared" si="8"/>
        <v>0</v>
      </c>
      <c r="AG43" s="2380"/>
      <c r="AH43" s="2348"/>
      <c r="AI43" s="718"/>
      <c r="AJ43" s="341">
        <f t="shared" si="15"/>
        <v>0</v>
      </c>
      <c r="AK43" s="2380"/>
      <c r="AL43" s="2348"/>
      <c r="AM43" s="532"/>
      <c r="AN43" s="3696">
        <f t="shared" si="2"/>
        <v>0</v>
      </c>
      <c r="AO43" s="718"/>
      <c r="AP43" s="341">
        <f t="shared" si="10"/>
        <v>0</v>
      </c>
      <c r="AQ43" s="2380"/>
      <c r="AR43" s="2348"/>
      <c r="AS43" s="718"/>
      <c r="AT43" s="718">
        <f t="shared" si="11"/>
        <v>0</v>
      </c>
      <c r="AU43" s="2380"/>
      <c r="AV43" s="2348"/>
      <c r="AW43" s="718"/>
      <c r="AX43" s="341">
        <f t="shared" si="12"/>
        <v>0</v>
      </c>
      <c r="AY43" s="2380"/>
      <c r="AZ43" s="2348"/>
      <c r="BA43" s="532"/>
      <c r="BB43" s="532">
        <f t="shared" si="3"/>
        <v>0</v>
      </c>
      <c r="BC43" s="617"/>
      <c r="BD43" s="617">
        <f t="shared" si="13"/>
        <v>0</v>
      </c>
      <c r="BE43" s="718"/>
      <c r="BF43" s="718">
        <f t="shared" si="14"/>
        <v>0</v>
      </c>
      <c r="BG43" s="1111"/>
      <c r="BH43" s="3464"/>
      <c r="BI43" s="23"/>
      <c r="BJ43" s="23"/>
      <c r="BK43" s="23"/>
      <c r="BL43" s="23"/>
    </row>
    <row r="44" spans="1:64" ht="16.2" thickBot="1" x14ac:dyDescent="0.35">
      <c r="A44" s="137"/>
      <c r="B44" s="780" t="s">
        <v>74</v>
      </c>
      <c r="C44" s="2345" t="s">
        <v>1387</v>
      </c>
      <c r="D44" s="2346" t="s">
        <v>50</v>
      </c>
      <c r="E44" s="2380"/>
      <c r="F44" s="2348"/>
      <c r="G44" s="2380"/>
      <c r="H44" s="2348"/>
      <c r="I44" s="2349"/>
      <c r="J44" s="4882">
        <f t="shared" si="4"/>
        <v>0</v>
      </c>
      <c r="K44" s="2380"/>
      <c r="L44" s="2348"/>
      <c r="M44" s="717"/>
      <c r="N44" s="574">
        <f t="shared" si="5"/>
        <v>0</v>
      </c>
      <c r="O44" s="2380"/>
      <c r="P44" s="2348"/>
      <c r="Q44" s="718"/>
      <c r="R44" s="341">
        <f t="shared" si="6"/>
        <v>0</v>
      </c>
      <c r="S44" s="2380"/>
      <c r="T44" s="2348"/>
      <c r="U44" s="718"/>
      <c r="V44" s="341">
        <f t="shared" si="7"/>
        <v>0</v>
      </c>
      <c r="W44" s="2380"/>
      <c r="X44" s="2348"/>
      <c r="Y44" s="532"/>
      <c r="Z44" s="3696">
        <f t="shared" si="0"/>
        <v>0</v>
      </c>
      <c r="AA44" s="617"/>
      <c r="AB44" s="3697">
        <f t="shared" si="1"/>
        <v>0</v>
      </c>
      <c r="AC44" s="2380"/>
      <c r="AD44" s="2348"/>
      <c r="AE44" s="718"/>
      <c r="AF44" s="341">
        <f t="shared" si="8"/>
        <v>0</v>
      </c>
      <c r="AG44" s="2380"/>
      <c r="AH44" s="2348"/>
      <c r="AI44" s="718"/>
      <c r="AJ44" s="341">
        <f t="shared" si="15"/>
        <v>0</v>
      </c>
      <c r="AK44" s="2380"/>
      <c r="AL44" s="2348"/>
      <c r="AM44" s="532"/>
      <c r="AN44" s="3696">
        <f t="shared" si="2"/>
        <v>0</v>
      </c>
      <c r="AO44" s="718"/>
      <c r="AP44" s="341">
        <f t="shared" si="10"/>
        <v>0</v>
      </c>
      <c r="AQ44" s="2380"/>
      <c r="AR44" s="2348"/>
      <c r="AS44" s="718"/>
      <c r="AT44" s="718">
        <f t="shared" si="11"/>
        <v>0</v>
      </c>
      <c r="AU44" s="2380"/>
      <c r="AV44" s="2348"/>
      <c r="AW44" s="718"/>
      <c r="AX44" s="341">
        <f t="shared" si="12"/>
        <v>0</v>
      </c>
      <c r="AY44" s="2380"/>
      <c r="AZ44" s="2348"/>
      <c r="BA44" s="532"/>
      <c r="BB44" s="532">
        <f t="shared" si="3"/>
        <v>0</v>
      </c>
      <c r="BC44" s="617"/>
      <c r="BD44" s="617">
        <f t="shared" si="13"/>
        <v>0</v>
      </c>
      <c r="BE44" s="718"/>
      <c r="BF44" s="718">
        <f t="shared" si="14"/>
        <v>0</v>
      </c>
      <c r="BG44" s="1111"/>
      <c r="BH44" s="3464"/>
      <c r="BI44" s="23"/>
      <c r="BJ44" s="23"/>
      <c r="BK44" s="23"/>
      <c r="BL44" s="23"/>
    </row>
    <row r="45" spans="1:64" ht="16.2" thickBot="1" x14ac:dyDescent="0.35">
      <c r="A45" s="137"/>
      <c r="B45" s="2566" t="s">
        <v>74</v>
      </c>
      <c r="C45" s="2567" t="s">
        <v>1389</v>
      </c>
      <c r="D45" s="2568" t="s">
        <v>50</v>
      </c>
      <c r="E45" s="2571"/>
      <c r="F45" s="103"/>
      <c r="G45" s="2571"/>
      <c r="H45" s="103"/>
      <c r="I45" s="546"/>
      <c r="J45" s="4882">
        <f t="shared" si="4"/>
        <v>0</v>
      </c>
      <c r="K45" s="2571"/>
      <c r="L45" s="103"/>
      <c r="M45" s="717"/>
      <c r="N45" s="574">
        <f t="shared" si="5"/>
        <v>0</v>
      </c>
      <c r="O45" s="2571"/>
      <c r="P45" s="103"/>
      <c r="Q45" s="718"/>
      <c r="R45" s="341">
        <f t="shared" si="6"/>
        <v>0</v>
      </c>
      <c r="S45" s="2571"/>
      <c r="T45" s="103"/>
      <c r="U45" s="718"/>
      <c r="V45" s="341">
        <f t="shared" si="7"/>
        <v>0</v>
      </c>
      <c r="W45" s="2571"/>
      <c r="X45" s="103"/>
      <c r="Y45" s="532"/>
      <c r="Z45" s="3696">
        <f t="shared" si="0"/>
        <v>0</v>
      </c>
      <c r="AA45" s="617"/>
      <c r="AB45" s="3697">
        <f t="shared" si="1"/>
        <v>0</v>
      </c>
      <c r="AC45" s="2571"/>
      <c r="AD45" s="103"/>
      <c r="AE45" s="718"/>
      <c r="AF45" s="341">
        <f t="shared" si="8"/>
        <v>0</v>
      </c>
      <c r="AG45" s="2571"/>
      <c r="AH45" s="103"/>
      <c r="AI45" s="718"/>
      <c r="AJ45" s="341">
        <f t="shared" si="15"/>
        <v>0</v>
      </c>
      <c r="AK45" s="2571"/>
      <c r="AL45" s="103"/>
      <c r="AM45" s="532"/>
      <c r="AN45" s="3696">
        <f t="shared" si="2"/>
        <v>0</v>
      </c>
      <c r="AO45" s="718"/>
      <c r="AP45" s="341">
        <f t="shared" si="10"/>
        <v>0</v>
      </c>
      <c r="AQ45" s="2571"/>
      <c r="AR45" s="103"/>
      <c r="AS45" s="718"/>
      <c r="AT45" s="718">
        <f t="shared" si="11"/>
        <v>0</v>
      </c>
      <c r="AU45" s="2571"/>
      <c r="AV45" s="103"/>
      <c r="AW45" s="718"/>
      <c r="AX45" s="341">
        <f t="shared" si="12"/>
        <v>0</v>
      </c>
      <c r="AY45" s="2571"/>
      <c r="AZ45" s="103"/>
      <c r="BA45" s="532"/>
      <c r="BB45" s="532">
        <f t="shared" si="3"/>
        <v>0</v>
      </c>
      <c r="BC45" s="617"/>
      <c r="BD45" s="617">
        <f t="shared" si="13"/>
        <v>0</v>
      </c>
      <c r="BE45" s="718"/>
      <c r="BF45" s="718">
        <f t="shared" si="14"/>
        <v>0</v>
      </c>
      <c r="BG45" s="1111"/>
      <c r="BH45" s="3464"/>
      <c r="BI45" s="23"/>
      <c r="BJ45" s="23"/>
      <c r="BK45" s="23"/>
      <c r="BL45" s="23"/>
    </row>
    <row r="46" spans="1:64" ht="16.2" hidden="1" thickBot="1" x14ac:dyDescent="0.35">
      <c r="A46" s="137"/>
      <c r="B46" s="2562" t="s">
        <v>964</v>
      </c>
      <c r="C46" s="2563" t="s">
        <v>1308</v>
      </c>
      <c r="D46" s="2564" t="s">
        <v>50</v>
      </c>
      <c r="E46" s="2565"/>
      <c r="F46" s="145"/>
      <c r="G46" s="2565"/>
      <c r="H46" s="145"/>
      <c r="I46" s="341"/>
      <c r="J46" s="4882">
        <f t="shared" si="4"/>
        <v>0</v>
      </c>
      <c r="K46" s="2565"/>
      <c r="L46" s="145"/>
      <c r="M46" s="717"/>
      <c r="N46" s="574">
        <f t="shared" si="5"/>
        <v>0</v>
      </c>
      <c r="O46" s="2565"/>
      <c r="P46" s="145"/>
      <c r="Q46" s="718"/>
      <c r="R46" s="341">
        <f t="shared" si="6"/>
        <v>0</v>
      </c>
      <c r="S46" s="2565"/>
      <c r="T46" s="145"/>
      <c r="U46" s="718"/>
      <c r="V46" s="341">
        <f t="shared" si="7"/>
        <v>0</v>
      </c>
      <c r="W46" s="2565"/>
      <c r="X46" s="145"/>
      <c r="Y46" s="532"/>
      <c r="Z46" s="3696">
        <f t="shared" si="0"/>
        <v>0</v>
      </c>
      <c r="AA46" s="617"/>
      <c r="AB46" s="3697">
        <f t="shared" si="1"/>
        <v>0</v>
      </c>
      <c r="AC46" s="2565"/>
      <c r="AD46" s="145"/>
      <c r="AE46" s="718"/>
      <c r="AF46" s="341">
        <f t="shared" si="8"/>
        <v>0</v>
      </c>
      <c r="AG46" s="2565"/>
      <c r="AH46" s="145"/>
      <c r="AI46" s="718"/>
      <c r="AJ46" s="341">
        <f t="shared" si="15"/>
        <v>0</v>
      </c>
      <c r="AK46" s="2565"/>
      <c r="AL46" s="145"/>
      <c r="AM46" s="532"/>
      <c r="AN46" s="3696">
        <f t="shared" si="2"/>
        <v>0</v>
      </c>
      <c r="AO46" s="718"/>
      <c r="AP46" s="341">
        <f t="shared" si="10"/>
        <v>0</v>
      </c>
      <c r="AQ46" s="2565"/>
      <c r="AR46" s="145"/>
      <c r="AS46" s="718"/>
      <c r="AT46" s="718">
        <f t="shared" si="11"/>
        <v>0</v>
      </c>
      <c r="AU46" s="2565"/>
      <c r="AV46" s="145"/>
      <c r="AW46" s="718"/>
      <c r="AX46" s="341">
        <f t="shared" si="12"/>
        <v>0</v>
      </c>
      <c r="AY46" s="2565"/>
      <c r="AZ46" s="145"/>
      <c r="BA46" s="532"/>
      <c r="BB46" s="532">
        <f t="shared" si="3"/>
        <v>0</v>
      </c>
      <c r="BC46" s="617"/>
      <c r="BD46" s="617">
        <f t="shared" si="13"/>
        <v>0</v>
      </c>
      <c r="BE46" s="718"/>
      <c r="BF46" s="718">
        <f t="shared" si="14"/>
        <v>0</v>
      </c>
      <c r="BG46" s="1111"/>
      <c r="BH46" s="3464"/>
      <c r="BI46" s="23"/>
      <c r="BJ46" s="23"/>
      <c r="BK46" s="23"/>
      <c r="BL46" s="23"/>
    </row>
    <row r="47" spans="1:64" ht="16.2" hidden="1" thickBot="1" x14ac:dyDescent="0.35">
      <c r="A47" s="137"/>
      <c r="B47" s="780" t="s">
        <v>964</v>
      </c>
      <c r="C47" s="2345" t="s">
        <v>924</v>
      </c>
      <c r="D47" s="2346" t="s">
        <v>50</v>
      </c>
      <c r="E47" s="2347"/>
      <c r="F47" s="2348"/>
      <c r="G47" s="2347"/>
      <c r="H47" s="2348"/>
      <c r="I47" s="2349"/>
      <c r="J47" s="4882">
        <f t="shared" si="4"/>
        <v>0</v>
      </c>
      <c r="K47" s="2347"/>
      <c r="L47" s="2348"/>
      <c r="M47" s="717"/>
      <c r="N47" s="574">
        <f t="shared" si="5"/>
        <v>0</v>
      </c>
      <c r="O47" s="2347"/>
      <c r="P47" s="2348"/>
      <c r="Q47" s="718"/>
      <c r="R47" s="341">
        <f t="shared" si="6"/>
        <v>0</v>
      </c>
      <c r="S47" s="2347"/>
      <c r="T47" s="2348"/>
      <c r="U47" s="718"/>
      <c r="V47" s="341">
        <f t="shared" si="7"/>
        <v>0</v>
      </c>
      <c r="W47" s="2347"/>
      <c r="X47" s="2348">
        <v>73.8</v>
      </c>
      <c r="Y47" s="532"/>
      <c r="Z47" s="3696">
        <f t="shared" si="0"/>
        <v>73.8</v>
      </c>
      <c r="AA47" s="617"/>
      <c r="AB47" s="3697">
        <f t="shared" si="1"/>
        <v>73.8</v>
      </c>
      <c r="AC47" s="2347"/>
      <c r="AD47" s="2348"/>
      <c r="AE47" s="718"/>
      <c r="AF47" s="341">
        <f t="shared" si="8"/>
        <v>73.8</v>
      </c>
      <c r="AG47" s="2347"/>
      <c r="AH47" s="2348"/>
      <c r="AI47" s="718"/>
      <c r="AJ47" s="341">
        <f t="shared" si="15"/>
        <v>73.8</v>
      </c>
      <c r="AK47" s="2347"/>
      <c r="AL47" s="2348"/>
      <c r="AM47" s="532"/>
      <c r="AN47" s="3696">
        <f t="shared" si="2"/>
        <v>0</v>
      </c>
      <c r="AO47" s="718"/>
      <c r="AP47" s="341">
        <f t="shared" si="10"/>
        <v>73.8</v>
      </c>
      <c r="AQ47" s="2347"/>
      <c r="AR47" s="2348"/>
      <c r="AS47" s="718"/>
      <c r="AT47" s="718">
        <f t="shared" si="11"/>
        <v>73.8</v>
      </c>
      <c r="AU47" s="2347"/>
      <c r="AV47" s="2348"/>
      <c r="AW47" s="718"/>
      <c r="AX47" s="341">
        <f t="shared" si="12"/>
        <v>73.8</v>
      </c>
      <c r="AY47" s="2347"/>
      <c r="AZ47" s="2348"/>
      <c r="BA47" s="532"/>
      <c r="BB47" s="532">
        <f t="shared" si="3"/>
        <v>0</v>
      </c>
      <c r="BC47" s="617"/>
      <c r="BD47" s="617">
        <f t="shared" si="13"/>
        <v>0</v>
      </c>
      <c r="BE47" s="718"/>
      <c r="BF47" s="718">
        <f t="shared" si="14"/>
        <v>73.8</v>
      </c>
      <c r="BG47" s="1111"/>
      <c r="BH47" s="3464"/>
      <c r="BI47" s="23"/>
      <c r="BJ47" s="23"/>
      <c r="BK47" s="23"/>
      <c r="BL47" s="23"/>
    </row>
    <row r="48" spans="1:64" ht="16.2" hidden="1" thickBot="1" x14ac:dyDescent="0.35">
      <c r="A48" s="137"/>
      <c r="B48" s="780" t="s">
        <v>964</v>
      </c>
      <c r="C48" s="2345" t="s">
        <v>926</v>
      </c>
      <c r="D48" s="2346" t="s">
        <v>50</v>
      </c>
      <c r="E48" s="2347"/>
      <c r="F48" s="2348"/>
      <c r="G48" s="2347"/>
      <c r="H48" s="2348"/>
      <c r="I48" s="2349"/>
      <c r="J48" s="4882">
        <f t="shared" si="4"/>
        <v>0</v>
      </c>
      <c r="K48" s="2347"/>
      <c r="L48" s="2348"/>
      <c r="M48" s="717"/>
      <c r="N48" s="574">
        <f t="shared" si="5"/>
        <v>0</v>
      </c>
      <c r="O48" s="2347"/>
      <c r="P48" s="2348"/>
      <c r="Q48" s="718"/>
      <c r="R48" s="341">
        <f t="shared" si="6"/>
        <v>0</v>
      </c>
      <c r="S48" s="2347"/>
      <c r="T48" s="2348"/>
      <c r="U48" s="718"/>
      <c r="V48" s="341">
        <f t="shared" si="7"/>
        <v>0</v>
      </c>
      <c r="W48" s="2347"/>
      <c r="X48" s="2348"/>
      <c r="Y48" s="532"/>
      <c r="Z48" s="3696">
        <f t="shared" si="0"/>
        <v>0</v>
      </c>
      <c r="AA48" s="617"/>
      <c r="AB48" s="3697">
        <f t="shared" si="1"/>
        <v>0</v>
      </c>
      <c r="AC48" s="2347"/>
      <c r="AD48" s="2348"/>
      <c r="AE48" s="718"/>
      <c r="AF48" s="341">
        <f t="shared" si="8"/>
        <v>0</v>
      </c>
      <c r="AG48" s="2347"/>
      <c r="AH48" s="2348">
        <f>1133.65-2.05</f>
        <v>1131.6000000000001</v>
      </c>
      <c r="AI48" s="718"/>
      <c r="AJ48" s="341">
        <f t="shared" si="15"/>
        <v>1131.6000000000001</v>
      </c>
      <c r="AK48" s="2347"/>
      <c r="AL48" s="2348">
        <f>1834.75-4.1</f>
        <v>1830.65</v>
      </c>
      <c r="AM48" s="532"/>
      <c r="AN48" s="3696">
        <f t="shared" si="2"/>
        <v>2962.25</v>
      </c>
      <c r="AO48" s="718"/>
      <c r="AP48" s="341">
        <f t="shared" si="10"/>
        <v>2962.25</v>
      </c>
      <c r="AQ48" s="2347"/>
      <c r="AR48" s="2348"/>
      <c r="AS48" s="718"/>
      <c r="AT48" s="718">
        <f t="shared" si="11"/>
        <v>2962.25</v>
      </c>
      <c r="AU48" s="2347"/>
      <c r="AV48" s="2348"/>
      <c r="AW48" s="718"/>
      <c r="AX48" s="341">
        <f t="shared" si="12"/>
        <v>2962.25</v>
      </c>
      <c r="AY48" s="2347"/>
      <c r="AZ48" s="2348"/>
      <c r="BA48" s="532"/>
      <c r="BB48" s="532">
        <f t="shared" si="3"/>
        <v>0</v>
      </c>
      <c r="BC48" s="617"/>
      <c r="BD48" s="617">
        <f t="shared" si="13"/>
        <v>2962.25</v>
      </c>
      <c r="BE48" s="718"/>
      <c r="BF48" s="718">
        <f t="shared" si="14"/>
        <v>2962.25</v>
      </c>
      <c r="BG48" s="1111"/>
      <c r="BH48" s="3464"/>
      <c r="BI48" s="23"/>
      <c r="BJ48" s="23"/>
      <c r="BK48" s="23"/>
      <c r="BL48" s="23"/>
    </row>
    <row r="49" spans="1:64" ht="16.2" hidden="1" thickBot="1" x14ac:dyDescent="0.35">
      <c r="A49" s="137"/>
      <c r="B49" s="780" t="s">
        <v>964</v>
      </c>
      <c r="C49" s="2345" t="s">
        <v>1072</v>
      </c>
      <c r="D49" s="2346" t="s">
        <v>50</v>
      </c>
      <c r="E49" s="2347"/>
      <c r="F49" s="2348"/>
      <c r="G49" s="2347"/>
      <c r="H49" s="2348"/>
      <c r="I49" s="2349"/>
      <c r="J49" s="4882">
        <f t="shared" si="4"/>
        <v>0</v>
      </c>
      <c r="K49" s="2347"/>
      <c r="L49" s="2348"/>
      <c r="M49" s="717"/>
      <c r="N49" s="574">
        <f t="shared" si="5"/>
        <v>0</v>
      </c>
      <c r="O49" s="2347"/>
      <c r="P49" s="2348"/>
      <c r="Q49" s="718"/>
      <c r="R49" s="341">
        <f t="shared" si="6"/>
        <v>0</v>
      </c>
      <c r="S49" s="2347"/>
      <c r="T49" s="2348"/>
      <c r="U49" s="718"/>
      <c r="V49" s="341">
        <f t="shared" si="7"/>
        <v>0</v>
      </c>
      <c r="W49" s="2347"/>
      <c r="X49" s="2348"/>
      <c r="Y49" s="532"/>
      <c r="Z49" s="3696">
        <f t="shared" si="0"/>
        <v>0</v>
      </c>
      <c r="AA49" s="617"/>
      <c r="AB49" s="3697">
        <f t="shared" si="1"/>
        <v>0</v>
      </c>
      <c r="AC49" s="2347"/>
      <c r="AD49" s="2348"/>
      <c r="AE49" s="718"/>
      <c r="AF49" s="341">
        <f t="shared" si="8"/>
        <v>0</v>
      </c>
      <c r="AG49" s="2347"/>
      <c r="AH49" s="2348"/>
      <c r="AI49" s="718"/>
      <c r="AJ49" s="341">
        <f t="shared" si="15"/>
        <v>0</v>
      </c>
      <c r="AK49" s="2347"/>
      <c r="AL49" s="2348"/>
      <c r="AM49" s="532"/>
      <c r="AN49" s="3696">
        <f t="shared" si="2"/>
        <v>0</v>
      </c>
      <c r="AO49" s="718"/>
      <c r="AP49" s="341">
        <f t="shared" si="10"/>
        <v>0</v>
      </c>
      <c r="AQ49" s="2347"/>
      <c r="AR49" s="2348">
        <f>779-2.05</f>
        <v>776.95</v>
      </c>
      <c r="AS49" s="718"/>
      <c r="AT49" s="718">
        <f t="shared" si="11"/>
        <v>776.95</v>
      </c>
      <c r="AU49" s="2347"/>
      <c r="AV49" s="2348"/>
      <c r="AW49" s="718"/>
      <c r="AX49" s="341">
        <f t="shared" si="12"/>
        <v>776.95</v>
      </c>
      <c r="AY49" s="2347"/>
      <c r="AZ49" s="2348"/>
      <c r="BA49" s="532"/>
      <c r="BB49" s="532">
        <f t="shared" si="3"/>
        <v>776.95</v>
      </c>
      <c r="BC49" s="617"/>
      <c r="BD49" s="617">
        <f t="shared" si="13"/>
        <v>776.95</v>
      </c>
      <c r="BE49" s="718"/>
      <c r="BF49" s="718">
        <f t="shared" si="14"/>
        <v>776.95</v>
      </c>
      <c r="BG49" s="1111"/>
      <c r="BH49" s="3464"/>
      <c r="BI49" s="23"/>
      <c r="BJ49" s="23"/>
      <c r="BK49" s="23"/>
      <c r="BL49" s="23"/>
    </row>
    <row r="50" spans="1:64" ht="16.2" hidden="1" thickBot="1" x14ac:dyDescent="0.35">
      <c r="A50" s="137"/>
      <c r="B50" s="780" t="s">
        <v>964</v>
      </c>
      <c r="C50" s="2345" t="s">
        <v>1086</v>
      </c>
      <c r="D50" s="2346" t="s">
        <v>50</v>
      </c>
      <c r="E50" s="2347"/>
      <c r="F50" s="2348"/>
      <c r="G50" s="2347"/>
      <c r="H50" s="2348"/>
      <c r="I50" s="2349"/>
      <c r="J50" s="4882">
        <f t="shared" si="4"/>
        <v>0</v>
      </c>
      <c r="K50" s="2347"/>
      <c r="L50" s="2348"/>
      <c r="M50" s="717"/>
      <c r="N50" s="574">
        <f t="shared" si="5"/>
        <v>0</v>
      </c>
      <c r="O50" s="2347"/>
      <c r="P50" s="2348"/>
      <c r="Q50" s="718"/>
      <c r="R50" s="341">
        <f t="shared" si="6"/>
        <v>0</v>
      </c>
      <c r="S50" s="2347"/>
      <c r="T50" s="2348"/>
      <c r="U50" s="718"/>
      <c r="V50" s="341">
        <f t="shared" si="7"/>
        <v>0</v>
      </c>
      <c r="W50" s="2347"/>
      <c r="X50" s="2348"/>
      <c r="Y50" s="532"/>
      <c r="Z50" s="3696">
        <f t="shared" si="0"/>
        <v>0</v>
      </c>
      <c r="AA50" s="617"/>
      <c r="AB50" s="3697">
        <f t="shared" si="1"/>
        <v>0</v>
      </c>
      <c r="AC50" s="2347"/>
      <c r="AD50" s="2348"/>
      <c r="AE50" s="718"/>
      <c r="AF50" s="341">
        <f t="shared" si="8"/>
        <v>0</v>
      </c>
      <c r="AG50" s="2347"/>
      <c r="AH50" s="2348"/>
      <c r="AI50" s="718"/>
      <c r="AJ50" s="718">
        <f t="shared" si="15"/>
        <v>0</v>
      </c>
      <c r="AK50" s="2347"/>
      <c r="AL50" s="2348"/>
      <c r="AM50" s="532"/>
      <c r="AN50" s="3696">
        <f t="shared" si="2"/>
        <v>0</v>
      </c>
      <c r="AO50" s="718"/>
      <c r="AP50" s="341">
        <f t="shared" si="10"/>
        <v>0</v>
      </c>
      <c r="AQ50" s="2347"/>
      <c r="AR50" s="2348"/>
      <c r="AS50" s="718"/>
      <c r="AT50" s="718">
        <f t="shared" si="11"/>
        <v>0</v>
      </c>
      <c r="AU50" s="2347"/>
      <c r="AV50" s="2348"/>
      <c r="AW50" s="718"/>
      <c r="AX50" s="341">
        <f t="shared" si="12"/>
        <v>0</v>
      </c>
      <c r="AY50" s="2347"/>
      <c r="AZ50" s="2348"/>
      <c r="BA50" s="532"/>
      <c r="BB50" s="532">
        <f t="shared" si="3"/>
        <v>0</v>
      </c>
      <c r="BC50" s="617"/>
      <c r="BD50" s="617">
        <f t="shared" si="13"/>
        <v>0</v>
      </c>
      <c r="BE50" s="718"/>
      <c r="BF50" s="718">
        <f t="shared" si="14"/>
        <v>0</v>
      </c>
      <c r="BG50" s="1111"/>
      <c r="BH50" s="3464"/>
      <c r="BI50" s="23"/>
      <c r="BJ50" s="23"/>
      <c r="BK50" s="23"/>
      <c r="BL50" s="23"/>
    </row>
    <row r="51" spans="1:64" ht="16.2" hidden="1" thickBot="1" x14ac:dyDescent="0.35">
      <c r="A51" s="137"/>
      <c r="B51" s="780" t="s">
        <v>964</v>
      </c>
      <c r="C51" s="2345" t="s">
        <v>832</v>
      </c>
      <c r="D51" s="2346" t="s">
        <v>50</v>
      </c>
      <c r="E51" s="2347"/>
      <c r="F51" s="2348"/>
      <c r="G51" s="2347"/>
      <c r="H51" s="2348"/>
      <c r="I51" s="2349"/>
      <c r="J51" s="4882">
        <f t="shared" si="4"/>
        <v>0</v>
      </c>
      <c r="K51" s="2347"/>
      <c r="L51" s="2348"/>
      <c r="M51" s="717"/>
      <c r="N51" s="574">
        <f t="shared" si="5"/>
        <v>0</v>
      </c>
      <c r="O51" s="2347"/>
      <c r="P51" s="2348"/>
      <c r="Q51" s="718"/>
      <c r="R51" s="341">
        <f t="shared" si="6"/>
        <v>0</v>
      </c>
      <c r="S51" s="2347"/>
      <c r="T51" s="2348"/>
      <c r="U51" s="718"/>
      <c r="V51" s="341">
        <f t="shared" si="7"/>
        <v>0</v>
      </c>
      <c r="W51" s="2347"/>
      <c r="X51" s="2348"/>
      <c r="Y51" s="532"/>
      <c r="Z51" s="3696">
        <f t="shared" si="0"/>
        <v>0</v>
      </c>
      <c r="AA51" s="617"/>
      <c r="AB51" s="3697">
        <f t="shared" si="1"/>
        <v>0</v>
      </c>
      <c r="AC51" s="2347"/>
      <c r="AD51" s="2348"/>
      <c r="AE51" s="718"/>
      <c r="AF51" s="341">
        <f t="shared" si="8"/>
        <v>0</v>
      </c>
      <c r="AG51" s="2347"/>
      <c r="AH51" s="2348"/>
      <c r="AI51" s="718"/>
      <c r="AJ51" s="341">
        <f t="shared" si="15"/>
        <v>0</v>
      </c>
      <c r="AK51" s="2347"/>
      <c r="AL51" s="2348"/>
      <c r="AM51" s="532"/>
      <c r="AN51" s="3696">
        <f t="shared" si="2"/>
        <v>0</v>
      </c>
      <c r="AO51" s="718"/>
      <c r="AP51" s="341">
        <f t="shared" si="10"/>
        <v>0</v>
      </c>
      <c r="AQ51" s="2347"/>
      <c r="AR51" s="2348"/>
      <c r="AS51" s="718"/>
      <c r="AT51" s="718">
        <f t="shared" si="11"/>
        <v>0</v>
      </c>
      <c r="AU51" s="2347"/>
      <c r="AV51" s="2348"/>
      <c r="AW51" s="718"/>
      <c r="AX51" s="341">
        <f t="shared" si="12"/>
        <v>0</v>
      </c>
      <c r="AY51" s="2347"/>
      <c r="AZ51" s="2348"/>
      <c r="BA51" s="532"/>
      <c r="BB51" s="532">
        <f t="shared" si="3"/>
        <v>0</v>
      </c>
      <c r="BC51" s="617"/>
      <c r="BD51" s="617">
        <f t="shared" si="13"/>
        <v>0</v>
      </c>
      <c r="BE51" s="718"/>
      <c r="BF51" s="718">
        <f t="shared" si="14"/>
        <v>0</v>
      </c>
      <c r="BG51" s="1111"/>
      <c r="BH51" s="3464"/>
      <c r="BI51" s="23"/>
      <c r="BJ51" s="23"/>
      <c r="BK51" s="23"/>
      <c r="BL51" s="23"/>
    </row>
    <row r="52" spans="1:64" ht="16.2" hidden="1" thickBot="1" x14ac:dyDescent="0.35">
      <c r="A52" s="137"/>
      <c r="B52" s="780" t="s">
        <v>964</v>
      </c>
      <c r="C52" s="2345" t="s">
        <v>1089</v>
      </c>
      <c r="D52" s="2346" t="s">
        <v>50</v>
      </c>
      <c r="E52" s="2347"/>
      <c r="F52" s="2348"/>
      <c r="G52" s="2347"/>
      <c r="H52" s="2348"/>
      <c r="I52" s="2349"/>
      <c r="J52" s="4882">
        <f t="shared" si="4"/>
        <v>0</v>
      </c>
      <c r="K52" s="2347"/>
      <c r="L52" s="2348"/>
      <c r="M52" s="2350"/>
      <c r="N52" s="574">
        <f t="shared" si="5"/>
        <v>0</v>
      </c>
      <c r="O52" s="2347"/>
      <c r="P52" s="2348"/>
      <c r="Q52" s="2349"/>
      <c r="R52" s="341">
        <f t="shared" si="6"/>
        <v>0</v>
      </c>
      <c r="S52" s="2347"/>
      <c r="T52" s="2348"/>
      <c r="U52" s="2349"/>
      <c r="V52" s="341">
        <f t="shared" si="7"/>
        <v>0</v>
      </c>
      <c r="W52" s="2347"/>
      <c r="X52" s="2348"/>
      <c r="Y52" s="2351"/>
      <c r="Z52" s="3696">
        <f t="shared" si="0"/>
        <v>0</v>
      </c>
      <c r="AA52" s="617"/>
      <c r="AB52" s="3697">
        <f t="shared" si="1"/>
        <v>0</v>
      </c>
      <c r="AC52" s="2347"/>
      <c r="AD52" s="2348"/>
      <c r="AE52" s="2349"/>
      <c r="AF52" s="341">
        <f t="shared" si="8"/>
        <v>0</v>
      </c>
      <c r="AG52" s="2347"/>
      <c r="AH52" s="2348"/>
      <c r="AI52" s="2349"/>
      <c r="AJ52" s="341">
        <f t="shared" si="15"/>
        <v>0</v>
      </c>
      <c r="AK52" s="2347"/>
      <c r="AL52" s="2348"/>
      <c r="AM52" s="2351"/>
      <c r="AN52" s="3696">
        <f t="shared" si="2"/>
        <v>0</v>
      </c>
      <c r="AO52" s="718"/>
      <c r="AP52" s="341">
        <f t="shared" si="10"/>
        <v>0</v>
      </c>
      <c r="AQ52" s="2347"/>
      <c r="AR52" s="2348"/>
      <c r="AS52" s="2349"/>
      <c r="AT52" s="718">
        <f t="shared" si="11"/>
        <v>0</v>
      </c>
      <c r="AU52" s="2347"/>
      <c r="AV52" s="2348"/>
      <c r="AW52" s="2349"/>
      <c r="AX52" s="341">
        <f t="shared" si="12"/>
        <v>0</v>
      </c>
      <c r="AY52" s="2347"/>
      <c r="AZ52" s="2348"/>
      <c r="BA52" s="2351"/>
      <c r="BB52" s="532">
        <f t="shared" si="3"/>
        <v>0</v>
      </c>
      <c r="BC52" s="617"/>
      <c r="BD52" s="617">
        <f t="shared" si="13"/>
        <v>0</v>
      </c>
      <c r="BE52" s="718"/>
      <c r="BF52" s="718">
        <f t="shared" si="14"/>
        <v>0</v>
      </c>
      <c r="BG52" s="1111"/>
      <c r="BH52" s="3464"/>
      <c r="BI52" s="23"/>
      <c r="BJ52" s="23"/>
      <c r="BK52" s="23"/>
      <c r="BL52" s="23"/>
    </row>
    <row r="53" spans="1:64" ht="16.2" hidden="1" thickBot="1" x14ac:dyDescent="0.35">
      <c r="A53" s="137"/>
      <c r="B53" s="2566" t="s">
        <v>964</v>
      </c>
      <c r="C53" s="2567" t="s">
        <v>1090</v>
      </c>
      <c r="D53" s="2568" t="s">
        <v>50</v>
      </c>
      <c r="E53" s="2569"/>
      <c r="F53" s="103"/>
      <c r="G53" s="2569"/>
      <c r="H53" s="103"/>
      <c r="I53" s="546"/>
      <c r="J53" s="4882">
        <f t="shared" si="4"/>
        <v>0</v>
      </c>
      <c r="K53" s="2569"/>
      <c r="L53" s="103"/>
      <c r="M53" s="717"/>
      <c r="N53" s="574">
        <f t="shared" si="5"/>
        <v>0</v>
      </c>
      <c r="O53" s="2569"/>
      <c r="P53" s="103"/>
      <c r="Q53" s="718"/>
      <c r="R53" s="341">
        <f t="shared" si="6"/>
        <v>0</v>
      </c>
      <c r="S53" s="2569"/>
      <c r="T53" s="103"/>
      <c r="U53" s="718"/>
      <c r="V53" s="341">
        <f t="shared" si="7"/>
        <v>0</v>
      </c>
      <c r="W53" s="2569"/>
      <c r="X53" s="103">
        <v>1535.4499999999998</v>
      </c>
      <c r="Y53" s="532"/>
      <c r="Z53" s="3696">
        <f t="shared" si="0"/>
        <v>1535.4499999999998</v>
      </c>
      <c r="AA53" s="617"/>
      <c r="AB53" s="3697">
        <f t="shared" si="1"/>
        <v>1535.4499999999998</v>
      </c>
      <c r="AC53" s="2569"/>
      <c r="AD53" s="103"/>
      <c r="AE53" s="718"/>
      <c r="AF53" s="341">
        <f t="shared" si="8"/>
        <v>1535.4499999999998</v>
      </c>
      <c r="AG53" s="2569"/>
      <c r="AH53" s="103">
        <v>760.55000000000007</v>
      </c>
      <c r="AI53" s="718"/>
      <c r="AJ53" s="341">
        <f t="shared" si="15"/>
        <v>2296</v>
      </c>
      <c r="AK53" s="2569"/>
      <c r="AL53" s="103">
        <f>1113.15-4.1-2.05</f>
        <v>1107.0000000000002</v>
      </c>
      <c r="AM53" s="532"/>
      <c r="AN53" s="3696">
        <f t="shared" si="2"/>
        <v>1867.5500000000002</v>
      </c>
      <c r="AO53" s="718"/>
      <c r="AP53" s="341">
        <f t="shared" si="10"/>
        <v>3403</v>
      </c>
      <c r="AQ53" s="2569"/>
      <c r="AR53" s="103">
        <v>1111.0999999999997</v>
      </c>
      <c r="AS53" s="718"/>
      <c r="AT53" s="718">
        <f t="shared" si="11"/>
        <v>4514.0999999999995</v>
      </c>
      <c r="AU53" s="2569"/>
      <c r="AV53" s="103"/>
      <c r="AW53" s="718"/>
      <c r="AX53" s="341">
        <f t="shared" si="12"/>
        <v>4514.0999999999995</v>
      </c>
      <c r="AY53" s="2569"/>
      <c r="AZ53" s="103"/>
      <c r="BA53" s="532"/>
      <c r="BB53" s="532">
        <f t="shared" si="3"/>
        <v>1111.0999999999997</v>
      </c>
      <c r="BC53" s="617"/>
      <c r="BD53" s="617">
        <f t="shared" si="13"/>
        <v>2978.6499999999996</v>
      </c>
      <c r="BE53" s="718"/>
      <c r="BF53" s="718">
        <f t="shared" si="14"/>
        <v>4514.0999999999995</v>
      </c>
      <c r="BG53" s="1111"/>
      <c r="BH53" s="3464"/>
      <c r="BI53" s="23"/>
      <c r="BJ53" s="23"/>
      <c r="BK53" s="23"/>
      <c r="BL53" s="23"/>
    </row>
    <row r="54" spans="1:64" ht="16.2" thickBot="1" x14ac:dyDescent="0.35">
      <c r="A54" s="137"/>
      <c r="B54" s="2562" t="s">
        <v>828</v>
      </c>
      <c r="C54" s="2563" t="s">
        <v>1308</v>
      </c>
      <c r="D54" s="2564" t="s">
        <v>50</v>
      </c>
      <c r="E54" s="2570"/>
      <c r="F54" s="145"/>
      <c r="G54" s="2570"/>
      <c r="H54" s="145"/>
      <c r="I54" s="341"/>
      <c r="J54" s="4882">
        <f t="shared" si="4"/>
        <v>0</v>
      </c>
      <c r="K54" s="2570"/>
      <c r="L54" s="145"/>
      <c r="M54" s="717"/>
      <c r="N54" s="574">
        <f t="shared" si="5"/>
        <v>0</v>
      </c>
      <c r="O54" s="2570"/>
      <c r="P54" s="145"/>
      <c r="Q54" s="718"/>
      <c r="R54" s="341">
        <f t="shared" si="6"/>
        <v>0</v>
      </c>
      <c r="S54" s="2570"/>
      <c r="T54" s="145"/>
      <c r="U54" s="718"/>
      <c r="V54" s="341">
        <f t="shared" si="7"/>
        <v>0</v>
      </c>
      <c r="W54" s="2570"/>
      <c r="X54" s="145"/>
      <c r="Y54" s="532"/>
      <c r="Z54" s="3696">
        <f t="shared" si="0"/>
        <v>0</v>
      </c>
      <c r="AA54" s="617"/>
      <c r="AB54" s="3697">
        <f t="shared" si="1"/>
        <v>0</v>
      </c>
      <c r="AC54" s="2570"/>
      <c r="AD54" s="145"/>
      <c r="AE54" s="718"/>
      <c r="AF54" s="341">
        <f t="shared" si="8"/>
        <v>0</v>
      </c>
      <c r="AG54" s="2570"/>
      <c r="AH54" s="145"/>
      <c r="AI54" s="718"/>
      <c r="AJ54" s="341">
        <f t="shared" si="15"/>
        <v>0</v>
      </c>
      <c r="AK54" s="2570"/>
      <c r="AL54" s="145"/>
      <c r="AM54" s="532"/>
      <c r="AN54" s="3696">
        <f t="shared" si="2"/>
        <v>0</v>
      </c>
      <c r="AO54" s="718"/>
      <c r="AP54" s="341">
        <f t="shared" si="10"/>
        <v>0</v>
      </c>
      <c r="AQ54" s="2570"/>
      <c r="AR54" s="145"/>
      <c r="AS54" s="718"/>
      <c r="AT54" s="718">
        <f t="shared" si="11"/>
        <v>0</v>
      </c>
      <c r="AU54" s="2570"/>
      <c r="AV54" s="145"/>
      <c r="AW54" s="718"/>
      <c r="AX54" s="341">
        <f t="shared" si="12"/>
        <v>0</v>
      </c>
      <c r="AY54" s="2570"/>
      <c r="AZ54" s="145"/>
      <c r="BA54" s="532"/>
      <c r="BB54" s="532">
        <f t="shared" si="3"/>
        <v>0</v>
      </c>
      <c r="BC54" s="617"/>
      <c r="BD54" s="617">
        <f t="shared" si="13"/>
        <v>0</v>
      </c>
      <c r="BE54" s="718"/>
      <c r="BF54" s="718">
        <f t="shared" si="14"/>
        <v>0</v>
      </c>
      <c r="BG54" s="1111"/>
      <c r="BH54" s="3464"/>
      <c r="BI54" s="23"/>
      <c r="BJ54" s="23"/>
      <c r="BK54" s="23"/>
      <c r="BL54" s="23"/>
    </row>
    <row r="55" spans="1:64" ht="16.2" thickBot="1" x14ac:dyDescent="0.35">
      <c r="A55" s="137"/>
      <c r="B55" s="780" t="s">
        <v>828</v>
      </c>
      <c r="C55" s="2345" t="s">
        <v>924</v>
      </c>
      <c r="D55" s="2346" t="s">
        <v>50</v>
      </c>
      <c r="E55" s="2380"/>
      <c r="F55" s="2348"/>
      <c r="G55" s="2380"/>
      <c r="H55" s="2348"/>
      <c r="I55" s="2349"/>
      <c r="J55" s="4882">
        <f t="shared" si="4"/>
        <v>0</v>
      </c>
      <c r="K55" s="2380"/>
      <c r="L55" s="2348"/>
      <c r="M55" s="2350"/>
      <c r="N55" s="574">
        <f t="shared" si="5"/>
        <v>0</v>
      </c>
      <c r="O55" s="2380"/>
      <c r="P55" s="2348">
        <v>196.8</v>
      </c>
      <c r="Q55" s="2349"/>
      <c r="R55" s="341">
        <f t="shared" si="6"/>
        <v>196.8</v>
      </c>
      <c r="S55" s="2380"/>
      <c r="T55" s="2348">
        <f>127.1-4.1</f>
        <v>123</v>
      </c>
      <c r="U55" s="2349"/>
      <c r="V55" s="341">
        <f t="shared" si="7"/>
        <v>319.8</v>
      </c>
      <c r="W55" s="2380"/>
      <c r="X55" s="2348"/>
      <c r="Y55" s="2351"/>
      <c r="Z55" s="3696">
        <f t="shared" si="0"/>
        <v>319.8</v>
      </c>
      <c r="AA55" s="2352"/>
      <c r="AB55" s="3697">
        <f t="shared" si="1"/>
        <v>319.8</v>
      </c>
      <c r="AC55" s="2380"/>
      <c r="AD55" s="2348">
        <v>422.29999999999995</v>
      </c>
      <c r="AE55" s="2349"/>
      <c r="AF55" s="341">
        <f t="shared" si="8"/>
        <v>742.09999999999991</v>
      </c>
      <c r="AG55" s="2380"/>
      <c r="AH55" s="2348"/>
      <c r="AI55" s="2349"/>
      <c r="AJ55" s="341">
        <f t="shared" si="15"/>
        <v>742.09999999999991</v>
      </c>
      <c r="AK55" s="2380"/>
      <c r="AL55" s="2348"/>
      <c r="AM55" s="2351"/>
      <c r="AN55" s="3696">
        <f t="shared" si="2"/>
        <v>422.29999999999995</v>
      </c>
      <c r="AO55" s="2349"/>
      <c r="AP55" s="341">
        <f t="shared" si="10"/>
        <v>742.09999999999991</v>
      </c>
      <c r="AQ55" s="2380"/>
      <c r="AR55" s="2348"/>
      <c r="AS55" s="2349"/>
      <c r="AT55" s="718">
        <f t="shared" si="11"/>
        <v>742.09999999999991</v>
      </c>
      <c r="AU55" s="2380"/>
      <c r="AV55" s="2348"/>
      <c r="AW55" s="2349"/>
      <c r="AX55" s="341">
        <f t="shared" si="12"/>
        <v>742.09999999999991</v>
      </c>
      <c r="AY55" s="2380"/>
      <c r="AZ55" s="2348"/>
      <c r="BA55" s="2351"/>
      <c r="BB55" s="532">
        <f t="shared" si="3"/>
        <v>0</v>
      </c>
      <c r="BC55" s="2352"/>
      <c r="BD55" s="617">
        <f t="shared" si="13"/>
        <v>422.29999999999995</v>
      </c>
      <c r="BE55" s="2349"/>
      <c r="BF55" s="718">
        <f t="shared" si="14"/>
        <v>742.09999999999991</v>
      </c>
      <c r="BG55" s="1111"/>
      <c r="BH55" s="3464"/>
      <c r="BI55" s="23"/>
      <c r="BJ55" s="23"/>
      <c r="BK55" s="23"/>
      <c r="BL55" s="23"/>
    </row>
    <row r="56" spans="1:64" ht="16.2" thickBot="1" x14ac:dyDescent="0.35">
      <c r="A56" s="137"/>
      <c r="B56" s="780" t="s">
        <v>828</v>
      </c>
      <c r="C56" s="2345" t="s">
        <v>926</v>
      </c>
      <c r="D56" s="2346" t="s">
        <v>50</v>
      </c>
      <c r="E56" s="2380"/>
      <c r="F56" s="2399">
        <f>8.2+8.2</f>
        <v>16.399999999999999</v>
      </c>
      <c r="G56" s="2380"/>
      <c r="H56" s="2399">
        <v>182.45</v>
      </c>
      <c r="I56" s="2349"/>
      <c r="J56" s="4882">
        <f t="shared" si="4"/>
        <v>198.85</v>
      </c>
      <c r="K56" s="2380"/>
      <c r="L56" s="2399">
        <v>166.04999999999998</v>
      </c>
      <c r="M56" s="717"/>
      <c r="N56" s="574">
        <f t="shared" si="5"/>
        <v>364.9</v>
      </c>
      <c r="O56" s="2380"/>
      <c r="P56" s="2399">
        <v>223.45</v>
      </c>
      <c r="Q56" s="718"/>
      <c r="R56" s="341">
        <f t="shared" si="6"/>
        <v>588.34999999999991</v>
      </c>
      <c r="S56" s="2380"/>
      <c r="T56" s="2399"/>
      <c r="U56" s="718"/>
      <c r="V56" s="341">
        <f t="shared" si="7"/>
        <v>588.34999999999991</v>
      </c>
      <c r="W56" s="2380"/>
      <c r="X56" s="2399">
        <v>102.5</v>
      </c>
      <c r="Y56" s="532"/>
      <c r="Z56" s="3696">
        <f t="shared" si="0"/>
        <v>325.95</v>
      </c>
      <c r="AA56" s="617"/>
      <c r="AB56" s="3697">
        <f t="shared" si="1"/>
        <v>690.84999999999991</v>
      </c>
      <c r="AC56" s="2380"/>
      <c r="AD56" s="2399">
        <f>106.6+26.65</f>
        <v>133.25</v>
      </c>
      <c r="AE56" s="718"/>
      <c r="AF56" s="341">
        <f t="shared" si="8"/>
        <v>824.09999999999991</v>
      </c>
      <c r="AG56" s="2380"/>
      <c r="AH56" s="2399"/>
      <c r="AI56" s="718"/>
      <c r="AJ56" s="341">
        <f t="shared" si="15"/>
        <v>824.09999999999991</v>
      </c>
      <c r="AK56" s="2380"/>
      <c r="AL56" s="2399">
        <f>102.5+774.9+18.45</f>
        <v>895.85</v>
      </c>
      <c r="AM56" s="532"/>
      <c r="AN56" s="3696">
        <f t="shared" si="2"/>
        <v>1029.0999999999999</v>
      </c>
      <c r="AO56" s="718"/>
      <c r="AP56" s="341">
        <f t="shared" si="10"/>
        <v>1719.9499999999998</v>
      </c>
      <c r="AQ56" s="2380"/>
      <c r="AR56" s="2399">
        <v>71.75</v>
      </c>
      <c r="AS56" s="718"/>
      <c r="AT56" s="718">
        <f t="shared" si="11"/>
        <v>1791.6999999999998</v>
      </c>
      <c r="AU56" s="2380"/>
      <c r="AV56" s="2399"/>
      <c r="AW56" s="718"/>
      <c r="AX56" s="341">
        <f t="shared" si="12"/>
        <v>1791.6999999999998</v>
      </c>
      <c r="AY56" s="2380"/>
      <c r="AZ56" s="2399">
        <f>233.7+805.65+24.6+12.3</f>
        <v>1076.2499999999998</v>
      </c>
      <c r="BA56" s="532"/>
      <c r="BB56" s="532">
        <f t="shared" si="3"/>
        <v>1147.9999999999998</v>
      </c>
      <c r="BC56" s="617"/>
      <c r="BD56" s="617">
        <f t="shared" si="13"/>
        <v>2177.0999999999995</v>
      </c>
      <c r="BE56" s="718"/>
      <c r="BF56" s="718">
        <f t="shared" si="14"/>
        <v>2867.95</v>
      </c>
      <c r="BG56" s="1111"/>
      <c r="BH56" s="3464"/>
      <c r="BI56" s="23"/>
      <c r="BJ56" s="23"/>
      <c r="BK56" s="23"/>
      <c r="BL56" s="23"/>
    </row>
    <row r="57" spans="1:64" ht="16.2" thickBot="1" x14ac:dyDescent="0.35">
      <c r="A57" s="137"/>
      <c r="B57" s="780" t="s">
        <v>828</v>
      </c>
      <c r="C57" s="2345" t="s">
        <v>1072</v>
      </c>
      <c r="D57" s="2346" t="s">
        <v>50</v>
      </c>
      <c r="E57" s="2380"/>
      <c r="F57" s="2399">
        <f>1869.6-8.2</f>
        <v>1861.3999999999999</v>
      </c>
      <c r="G57" s="2380"/>
      <c r="H57" s="2399"/>
      <c r="I57" s="2349"/>
      <c r="J57" s="4882">
        <f t="shared" si="4"/>
        <v>1861.3999999999999</v>
      </c>
      <c r="K57" s="2380"/>
      <c r="L57" s="2399"/>
      <c r="M57" s="717"/>
      <c r="N57" s="574">
        <f t="shared" si="5"/>
        <v>1861.3999999999999</v>
      </c>
      <c r="O57" s="2380"/>
      <c r="P57" s="2399"/>
      <c r="Q57" s="718"/>
      <c r="R57" s="341">
        <f t="shared" si="6"/>
        <v>1861.3999999999999</v>
      </c>
      <c r="S57" s="2380"/>
      <c r="T57" s="2399">
        <v>940.95000000000016</v>
      </c>
      <c r="U57" s="718"/>
      <c r="V57" s="341">
        <f t="shared" si="7"/>
        <v>2802.35</v>
      </c>
      <c r="W57" s="2380"/>
      <c r="X57" s="2399">
        <v>1281.25</v>
      </c>
      <c r="Y57" s="532"/>
      <c r="Z57" s="3696">
        <f t="shared" si="0"/>
        <v>2222.2000000000003</v>
      </c>
      <c r="AA57" s="617"/>
      <c r="AB57" s="3697">
        <f t="shared" si="1"/>
        <v>4083.6000000000004</v>
      </c>
      <c r="AC57" s="2380"/>
      <c r="AD57" s="2399">
        <f>243.95-24.6</f>
        <v>219.35</v>
      </c>
      <c r="AE57" s="718"/>
      <c r="AF57" s="341">
        <f t="shared" si="8"/>
        <v>4302.9500000000007</v>
      </c>
      <c r="AG57" s="2380"/>
      <c r="AH57" s="2399">
        <f>1055.75-4.1</f>
        <v>1051.6500000000001</v>
      </c>
      <c r="AI57" s="718"/>
      <c r="AJ57" s="341">
        <f t="shared" si="15"/>
        <v>5354.6</v>
      </c>
      <c r="AK57" s="2380"/>
      <c r="AL57" s="2399">
        <f>1391.95-2.05</f>
        <v>1389.9</v>
      </c>
      <c r="AM57" s="532"/>
      <c r="AN57" s="3696">
        <f t="shared" si="2"/>
        <v>2660.9</v>
      </c>
      <c r="AO57" s="718"/>
      <c r="AP57" s="341">
        <f t="shared" si="10"/>
        <v>6744.5</v>
      </c>
      <c r="AQ57" s="2380"/>
      <c r="AR57" s="2399">
        <v>1022.9500000000002</v>
      </c>
      <c r="AS57" s="718"/>
      <c r="AT57" s="718">
        <f t="shared" si="11"/>
        <v>7767.45</v>
      </c>
      <c r="AU57" s="2380"/>
      <c r="AV57" s="2399">
        <f>1605.15</f>
        <v>1605.15</v>
      </c>
      <c r="AW57" s="718"/>
      <c r="AX57" s="341">
        <f t="shared" si="12"/>
        <v>9372.6</v>
      </c>
      <c r="AY57" s="2380"/>
      <c r="AZ57" s="2399">
        <f>2890.5-24.6</f>
        <v>2865.9</v>
      </c>
      <c r="BA57" s="532"/>
      <c r="BB57" s="532">
        <f t="shared" si="3"/>
        <v>5494</v>
      </c>
      <c r="BC57" s="617"/>
      <c r="BD57" s="617">
        <f t="shared" si="13"/>
        <v>8154.9</v>
      </c>
      <c r="BE57" s="718"/>
      <c r="BF57" s="718">
        <f t="shared" si="14"/>
        <v>12238.5</v>
      </c>
      <c r="BG57" s="1111"/>
      <c r="BH57" s="3464"/>
      <c r="BI57" s="23"/>
      <c r="BJ57" s="23"/>
      <c r="BK57" s="23"/>
      <c r="BL57" s="23"/>
    </row>
    <row r="58" spans="1:64" ht="16.2" thickBot="1" x14ac:dyDescent="0.35">
      <c r="A58" s="137"/>
      <c r="B58" s="780" t="s">
        <v>828</v>
      </c>
      <c r="C58" s="2345" t="s">
        <v>1086</v>
      </c>
      <c r="D58" s="2346" t="s">
        <v>50</v>
      </c>
      <c r="E58" s="2380"/>
      <c r="F58" s="2348">
        <v>198.85000000000002</v>
      </c>
      <c r="G58" s="2380"/>
      <c r="H58" s="2348"/>
      <c r="I58" s="2349"/>
      <c r="J58" s="4882">
        <f t="shared" si="4"/>
        <v>198.85000000000002</v>
      </c>
      <c r="K58" s="2380"/>
      <c r="L58" s="2348">
        <v>578.1</v>
      </c>
      <c r="M58" s="717"/>
      <c r="N58" s="574">
        <f t="shared" si="5"/>
        <v>776.95</v>
      </c>
      <c r="O58" s="2380"/>
      <c r="P58" s="2348">
        <v>260.35000000000002</v>
      </c>
      <c r="Q58" s="718"/>
      <c r="R58" s="341">
        <f t="shared" si="6"/>
        <v>1037.3000000000002</v>
      </c>
      <c r="S58" s="2380"/>
      <c r="T58" s="2348">
        <v>744.15</v>
      </c>
      <c r="U58" s="718"/>
      <c r="V58" s="341">
        <f t="shared" si="7"/>
        <v>1781.4500000000003</v>
      </c>
      <c r="W58" s="2380"/>
      <c r="X58" s="2348"/>
      <c r="Y58" s="532"/>
      <c r="Z58" s="3696">
        <f t="shared" si="0"/>
        <v>1004.5</v>
      </c>
      <c r="AA58" s="617"/>
      <c r="AB58" s="3697">
        <f t="shared" si="1"/>
        <v>1781.45</v>
      </c>
      <c r="AC58" s="2380"/>
      <c r="AD58" s="2348"/>
      <c r="AE58" s="718"/>
      <c r="AF58" s="341">
        <f t="shared" si="8"/>
        <v>1781.45</v>
      </c>
      <c r="AG58" s="2380"/>
      <c r="AH58" s="2348"/>
      <c r="AI58" s="718"/>
      <c r="AJ58" s="718">
        <f t="shared" si="15"/>
        <v>1781.45</v>
      </c>
      <c r="AK58" s="2380"/>
      <c r="AL58" s="2348">
        <f>471.5-4.1</f>
        <v>467.4</v>
      </c>
      <c r="AM58" s="532"/>
      <c r="AN58" s="3696">
        <f t="shared" si="2"/>
        <v>467.4</v>
      </c>
      <c r="AO58" s="718"/>
      <c r="AP58" s="341">
        <f t="shared" si="10"/>
        <v>2248.85</v>
      </c>
      <c r="AQ58" s="2380"/>
      <c r="AR58" s="2348">
        <v>362.85</v>
      </c>
      <c r="AS58" s="718"/>
      <c r="AT58" s="718">
        <f t="shared" si="11"/>
        <v>2611.6999999999998</v>
      </c>
      <c r="AU58" s="2380"/>
      <c r="AV58" s="2348"/>
      <c r="AW58" s="718"/>
      <c r="AX58" s="341">
        <f t="shared" si="12"/>
        <v>2611.6999999999998</v>
      </c>
      <c r="AY58" s="2380"/>
      <c r="AZ58" s="2348">
        <v>328</v>
      </c>
      <c r="BA58" s="532"/>
      <c r="BB58" s="532">
        <f t="shared" si="3"/>
        <v>690.85</v>
      </c>
      <c r="BC58" s="617"/>
      <c r="BD58" s="617">
        <f t="shared" si="13"/>
        <v>1158.25</v>
      </c>
      <c r="BE58" s="718"/>
      <c r="BF58" s="718">
        <f t="shared" si="14"/>
        <v>2939.7</v>
      </c>
      <c r="BG58" s="1111"/>
      <c r="BH58" s="3464"/>
      <c r="BI58" s="23"/>
      <c r="BJ58" s="23"/>
      <c r="BK58" s="23"/>
      <c r="BL58" s="23"/>
    </row>
    <row r="59" spans="1:64" ht="16.2" thickBot="1" x14ac:dyDescent="0.35">
      <c r="A59" s="137"/>
      <c r="B59" s="4021" t="s">
        <v>828</v>
      </c>
      <c r="C59" s="4000" t="s">
        <v>1833</v>
      </c>
      <c r="D59" s="2346" t="s">
        <v>50</v>
      </c>
      <c r="E59" s="4022"/>
      <c r="F59" s="4023"/>
      <c r="G59" s="4022"/>
      <c r="H59" s="4023"/>
      <c r="I59" s="4024"/>
      <c r="J59" s="4882">
        <f t="shared" si="4"/>
        <v>0</v>
      </c>
      <c r="K59" s="4022"/>
      <c r="L59" s="4023">
        <v>209.1</v>
      </c>
      <c r="M59" s="4026"/>
      <c r="N59" s="574">
        <f t="shared" si="5"/>
        <v>209.1</v>
      </c>
      <c r="O59" s="4022"/>
      <c r="P59" s="4023"/>
      <c r="Q59" s="4024"/>
      <c r="R59" s="341">
        <f t="shared" si="6"/>
        <v>209.1</v>
      </c>
      <c r="S59" s="4022"/>
      <c r="T59" s="4023"/>
      <c r="U59" s="4024"/>
      <c r="V59" s="341">
        <f t="shared" si="7"/>
        <v>209.1</v>
      </c>
      <c r="W59" s="4022"/>
      <c r="X59" s="4023"/>
      <c r="Y59" s="4027"/>
      <c r="Z59" s="3696">
        <f t="shared" si="0"/>
        <v>0</v>
      </c>
      <c r="AA59" s="4028"/>
      <c r="AB59" s="3697">
        <f t="shared" si="1"/>
        <v>209.1</v>
      </c>
      <c r="AC59" s="4022"/>
      <c r="AD59" s="4023"/>
      <c r="AE59" s="4024"/>
      <c r="AF59" s="341">
        <f t="shared" si="8"/>
        <v>209.1</v>
      </c>
      <c r="AG59" s="4022"/>
      <c r="AH59" s="4023"/>
      <c r="AI59" s="4024"/>
      <c r="AJ59" s="341">
        <f>+AF59+AH59</f>
        <v>209.1</v>
      </c>
      <c r="AK59" s="4022"/>
      <c r="AL59" s="4023"/>
      <c r="AM59" s="4027"/>
      <c r="AN59" s="3696">
        <f t="shared" si="2"/>
        <v>0</v>
      </c>
      <c r="AO59" s="4024"/>
      <c r="AP59" s="341">
        <f t="shared" si="10"/>
        <v>209.1</v>
      </c>
      <c r="AQ59" s="4022"/>
      <c r="AR59" s="4023"/>
      <c r="AS59" s="4024"/>
      <c r="AT59" s="4024">
        <f t="shared" si="11"/>
        <v>209.1</v>
      </c>
      <c r="AU59" s="4022"/>
      <c r="AV59" s="4023"/>
      <c r="AW59" s="4024"/>
      <c r="AX59" s="341">
        <f t="shared" si="12"/>
        <v>209.1</v>
      </c>
      <c r="AY59" s="4022"/>
      <c r="AZ59" s="4023"/>
      <c r="BA59" s="4027"/>
      <c r="BB59" s="532">
        <f t="shared" si="3"/>
        <v>0</v>
      </c>
      <c r="BC59" s="4028"/>
      <c r="BD59" s="617">
        <f t="shared" si="13"/>
        <v>0</v>
      </c>
      <c r="BE59" s="4024"/>
      <c r="BF59" s="718">
        <f t="shared" si="14"/>
        <v>209.1</v>
      </c>
      <c r="BG59" s="1111"/>
      <c r="BH59" s="3464"/>
      <c r="BI59" s="23"/>
      <c r="BJ59" s="23"/>
      <c r="BK59" s="23"/>
      <c r="BL59" s="23"/>
    </row>
    <row r="60" spans="1:64" ht="16.5" customHeight="1" thickBot="1" x14ac:dyDescent="0.35">
      <c r="A60" s="137"/>
      <c r="B60" s="780" t="s">
        <v>828</v>
      </c>
      <c r="C60" s="2345" t="s">
        <v>931</v>
      </c>
      <c r="D60" s="2346" t="s">
        <v>50</v>
      </c>
      <c r="E60" s="2380"/>
      <c r="F60" s="2348"/>
      <c r="G60" s="2380"/>
      <c r="H60" s="2348"/>
      <c r="I60" s="2349"/>
      <c r="J60" s="4882">
        <f t="shared" si="4"/>
        <v>0</v>
      </c>
      <c r="K60" s="2380"/>
      <c r="L60" s="2348"/>
      <c r="M60" s="717"/>
      <c r="N60" s="574">
        <f t="shared" si="5"/>
        <v>0</v>
      </c>
      <c r="O60" s="2380"/>
      <c r="P60" s="2348"/>
      <c r="Q60" s="718"/>
      <c r="R60" s="341">
        <f t="shared" si="6"/>
        <v>0</v>
      </c>
      <c r="S60" s="2380"/>
      <c r="T60" s="2348">
        <v>198.85</v>
      </c>
      <c r="U60" s="718"/>
      <c r="V60" s="341">
        <f t="shared" si="7"/>
        <v>198.85</v>
      </c>
      <c r="W60" s="2380"/>
      <c r="X60" s="2348"/>
      <c r="Y60" s="532"/>
      <c r="Z60" s="3696">
        <f t="shared" si="0"/>
        <v>198.85</v>
      </c>
      <c r="AA60" s="617"/>
      <c r="AB60" s="3697">
        <f t="shared" si="1"/>
        <v>198.85</v>
      </c>
      <c r="AC60" s="2380"/>
      <c r="AD60" s="2348"/>
      <c r="AE60" s="718"/>
      <c r="AF60" s="341">
        <f t="shared" si="8"/>
        <v>198.85</v>
      </c>
      <c r="AG60" s="2380"/>
      <c r="AH60" s="2348"/>
      <c r="AI60" s="718"/>
      <c r="AJ60" s="718">
        <f t="shared" si="15"/>
        <v>198.85</v>
      </c>
      <c r="AK60" s="2380"/>
      <c r="AL60" s="2348"/>
      <c r="AM60" s="532"/>
      <c r="AN60" s="3696">
        <f t="shared" si="2"/>
        <v>0</v>
      </c>
      <c r="AO60" s="718"/>
      <c r="AP60" s="341">
        <f t="shared" si="10"/>
        <v>198.85</v>
      </c>
      <c r="AQ60" s="2380"/>
      <c r="AR60" s="2348"/>
      <c r="AS60" s="718"/>
      <c r="AT60" s="718">
        <f t="shared" si="11"/>
        <v>198.85</v>
      </c>
      <c r="AU60" s="2380"/>
      <c r="AV60" s="2348"/>
      <c r="AW60" s="718"/>
      <c r="AX60" s="341">
        <f t="shared" si="12"/>
        <v>198.85</v>
      </c>
      <c r="AY60" s="2380"/>
      <c r="AZ60" s="2348"/>
      <c r="BA60" s="532"/>
      <c r="BB60" s="532">
        <f t="shared" si="3"/>
        <v>0</v>
      </c>
      <c r="BC60" s="617"/>
      <c r="BD60" s="617">
        <f t="shared" si="13"/>
        <v>0</v>
      </c>
      <c r="BE60" s="718"/>
      <c r="BF60" s="718">
        <f t="shared" si="14"/>
        <v>198.85</v>
      </c>
      <c r="BG60" s="1111"/>
      <c r="BH60" s="3464"/>
      <c r="BI60" s="23"/>
      <c r="BJ60" s="23"/>
      <c r="BK60" s="23"/>
      <c r="BL60" s="23"/>
    </row>
    <row r="61" spans="1:64" ht="16.2" thickBot="1" x14ac:dyDescent="0.35">
      <c r="A61" s="137"/>
      <c r="B61" s="780" t="s">
        <v>828</v>
      </c>
      <c r="C61" s="2345" t="s">
        <v>832</v>
      </c>
      <c r="D61" s="2346" t="s">
        <v>50</v>
      </c>
      <c r="E61" s="2380"/>
      <c r="F61" s="2348">
        <v>762.5999999999998</v>
      </c>
      <c r="G61" s="2380"/>
      <c r="H61" s="2348"/>
      <c r="I61" s="2349"/>
      <c r="J61" s="4882">
        <f t="shared" si="4"/>
        <v>762.5999999999998</v>
      </c>
      <c r="K61" s="2380"/>
      <c r="L61" s="2348">
        <v>848.69999999999993</v>
      </c>
      <c r="M61" s="717"/>
      <c r="N61" s="574">
        <f t="shared" si="5"/>
        <v>1611.2999999999997</v>
      </c>
      <c r="O61" s="2380"/>
      <c r="P61" s="2348">
        <v>1406.3</v>
      </c>
      <c r="Q61" s="718"/>
      <c r="R61" s="341">
        <f t="shared" si="6"/>
        <v>3017.5999999999995</v>
      </c>
      <c r="S61" s="2380"/>
      <c r="T61" s="2348">
        <v>1170.55</v>
      </c>
      <c r="U61" s="718"/>
      <c r="V61" s="341">
        <f t="shared" si="7"/>
        <v>4188.1499999999996</v>
      </c>
      <c r="W61" s="2380"/>
      <c r="X61" s="2348">
        <v>272.64999999999998</v>
      </c>
      <c r="Y61" s="532"/>
      <c r="Z61" s="3696">
        <f t="shared" si="0"/>
        <v>2849.5</v>
      </c>
      <c r="AA61" s="617"/>
      <c r="AB61" s="3697">
        <f t="shared" si="1"/>
        <v>4460.7999999999993</v>
      </c>
      <c r="AC61" s="2380"/>
      <c r="AD61" s="2348">
        <f>1133.65-26.65</f>
        <v>1107</v>
      </c>
      <c r="AE61" s="718"/>
      <c r="AF61" s="341">
        <f t="shared" si="8"/>
        <v>5567.7999999999993</v>
      </c>
      <c r="AG61" s="2380"/>
      <c r="AH61" s="2348">
        <v>735.95</v>
      </c>
      <c r="AI61" s="718"/>
      <c r="AJ61" s="341">
        <f t="shared" si="15"/>
        <v>6303.7499999999991</v>
      </c>
      <c r="AK61" s="2380"/>
      <c r="AL61" s="2348">
        <f>1324.3-18.45</f>
        <v>1305.8499999999999</v>
      </c>
      <c r="AM61" s="532"/>
      <c r="AN61" s="3696">
        <f t="shared" si="2"/>
        <v>3148.8</v>
      </c>
      <c r="AO61" s="718"/>
      <c r="AP61" s="341">
        <f t="shared" si="10"/>
        <v>7609.5999999999985</v>
      </c>
      <c r="AQ61" s="2380"/>
      <c r="AR61" s="2348">
        <f>1355.05-2.05</f>
        <v>1353</v>
      </c>
      <c r="AS61" s="718"/>
      <c r="AT61" s="718">
        <f t="shared" si="11"/>
        <v>8962.5999999999985</v>
      </c>
      <c r="AU61" s="2380"/>
      <c r="AV61" s="2348">
        <v>973.75</v>
      </c>
      <c r="AW61" s="718"/>
      <c r="AX61" s="341">
        <f t="shared" si="12"/>
        <v>9936.3499999999985</v>
      </c>
      <c r="AY61" s="2380"/>
      <c r="AZ61" s="2348">
        <f>2367.75-12.3</f>
        <v>2355.4499999999998</v>
      </c>
      <c r="BA61" s="532"/>
      <c r="BB61" s="532">
        <f t="shared" si="3"/>
        <v>4682.2</v>
      </c>
      <c r="BC61" s="617"/>
      <c r="BD61" s="617">
        <f t="shared" si="13"/>
        <v>7831</v>
      </c>
      <c r="BE61" s="718"/>
      <c r="BF61" s="718">
        <f t="shared" si="14"/>
        <v>12291.8</v>
      </c>
      <c r="BG61" s="1111"/>
      <c r="BH61" s="3464"/>
      <c r="BI61" s="23"/>
      <c r="BJ61" s="23"/>
      <c r="BK61" s="23"/>
      <c r="BL61" s="23"/>
    </row>
    <row r="62" spans="1:64" ht="16.2" thickBot="1" x14ac:dyDescent="0.35">
      <c r="A62" s="137"/>
      <c r="B62" s="780" t="s">
        <v>828</v>
      </c>
      <c r="C62" s="2345" t="s">
        <v>925</v>
      </c>
      <c r="D62" s="2346" t="s">
        <v>50</v>
      </c>
      <c r="E62" s="2380"/>
      <c r="F62" s="2348">
        <v>207.05</v>
      </c>
      <c r="G62" s="2380"/>
      <c r="H62" s="2348"/>
      <c r="I62" s="2349"/>
      <c r="J62" s="4882">
        <f t="shared" si="4"/>
        <v>207.05</v>
      </c>
      <c r="K62" s="2380"/>
      <c r="L62" s="2348">
        <v>161.95000000000002</v>
      </c>
      <c r="M62" s="717"/>
      <c r="N62" s="574">
        <f t="shared" si="5"/>
        <v>369</v>
      </c>
      <c r="O62" s="2380"/>
      <c r="P62" s="2348">
        <v>129.14999999999998</v>
      </c>
      <c r="Q62" s="718"/>
      <c r="R62" s="341">
        <f t="shared" si="6"/>
        <v>498.15</v>
      </c>
      <c r="S62" s="2380"/>
      <c r="T62" s="2348">
        <v>186.55</v>
      </c>
      <c r="U62" s="718"/>
      <c r="V62" s="341">
        <f t="shared" si="7"/>
        <v>684.7</v>
      </c>
      <c r="W62" s="2380"/>
      <c r="X62" s="2348"/>
      <c r="Y62" s="532"/>
      <c r="Z62" s="3696">
        <f t="shared" si="0"/>
        <v>315.7</v>
      </c>
      <c r="AA62" s="617"/>
      <c r="AB62" s="3697">
        <f t="shared" si="1"/>
        <v>684.7</v>
      </c>
      <c r="AC62" s="2380"/>
      <c r="AD62" s="2348"/>
      <c r="AE62" s="718"/>
      <c r="AF62" s="341">
        <f t="shared" si="8"/>
        <v>684.7</v>
      </c>
      <c r="AG62" s="2380"/>
      <c r="AH62" s="2348">
        <v>1207.45</v>
      </c>
      <c r="AI62" s="718"/>
      <c r="AJ62" s="341">
        <f t="shared" si="15"/>
        <v>1892.15</v>
      </c>
      <c r="AK62" s="2380"/>
      <c r="AL62" s="2348"/>
      <c r="AM62" s="532"/>
      <c r="AN62" s="3696">
        <f t="shared" si="2"/>
        <v>1207.45</v>
      </c>
      <c r="AO62" s="718"/>
      <c r="AP62" s="341">
        <f t="shared" si="10"/>
        <v>1892.15</v>
      </c>
      <c r="AQ62" s="2380"/>
      <c r="AR62" s="2348"/>
      <c r="AS62" s="718"/>
      <c r="AT62" s="718">
        <f t="shared" si="11"/>
        <v>1892.15</v>
      </c>
      <c r="AU62" s="2380"/>
      <c r="AV62" s="2348"/>
      <c r="AW62" s="718"/>
      <c r="AX62" s="341">
        <f t="shared" si="12"/>
        <v>1892.15</v>
      </c>
      <c r="AY62" s="2380"/>
      <c r="AZ62" s="2348"/>
      <c r="BA62" s="532"/>
      <c r="BB62" s="532">
        <f t="shared" si="3"/>
        <v>0</v>
      </c>
      <c r="BC62" s="617"/>
      <c r="BD62" s="617">
        <f t="shared" si="13"/>
        <v>1207.45</v>
      </c>
      <c r="BE62" s="718"/>
      <c r="BF62" s="718">
        <f t="shared" si="14"/>
        <v>1892.15</v>
      </c>
      <c r="BG62" s="1111"/>
      <c r="BH62" s="3464"/>
      <c r="BI62" s="23"/>
      <c r="BJ62" s="23"/>
      <c r="BK62" s="23"/>
      <c r="BL62" s="23"/>
    </row>
    <row r="63" spans="1:64" ht="16.2" thickBot="1" x14ac:dyDescent="0.35">
      <c r="A63" s="137"/>
      <c r="B63" s="780" t="s">
        <v>828</v>
      </c>
      <c r="C63" s="2345" t="s">
        <v>927</v>
      </c>
      <c r="D63" s="2346" t="s">
        <v>50</v>
      </c>
      <c r="E63" s="2380"/>
      <c r="F63" s="2348">
        <v>1156.1999999999998</v>
      </c>
      <c r="G63" s="2380"/>
      <c r="H63" s="2348"/>
      <c r="I63" s="2349"/>
      <c r="J63" s="4882">
        <f t="shared" si="4"/>
        <v>1156.1999999999998</v>
      </c>
      <c r="K63" s="2380"/>
      <c r="L63" s="2348">
        <v>399.75</v>
      </c>
      <c r="M63" s="2248"/>
      <c r="N63" s="574">
        <f t="shared" si="5"/>
        <v>1555.9499999999998</v>
      </c>
      <c r="O63" s="2380"/>
      <c r="P63" s="2348">
        <v>791.29999999999973</v>
      </c>
      <c r="Q63" s="2246"/>
      <c r="R63" s="341">
        <f t="shared" si="6"/>
        <v>2347.2499999999995</v>
      </c>
      <c r="S63" s="2380"/>
      <c r="T63" s="2348">
        <v>457.14999999999992</v>
      </c>
      <c r="U63" s="2246"/>
      <c r="V63" s="341">
        <f t="shared" si="7"/>
        <v>2804.3999999999996</v>
      </c>
      <c r="W63" s="2380"/>
      <c r="X63" s="2348">
        <v>563.75</v>
      </c>
      <c r="Y63" s="2249"/>
      <c r="Z63" s="3696">
        <f t="shared" si="0"/>
        <v>1812.1999999999996</v>
      </c>
      <c r="AA63" s="617"/>
      <c r="AB63" s="3697">
        <f t="shared" si="1"/>
        <v>3368.1499999999996</v>
      </c>
      <c r="AC63" s="2380"/>
      <c r="AD63" s="2348">
        <v>430.5</v>
      </c>
      <c r="AE63" s="2246"/>
      <c r="AF63" s="341">
        <f t="shared" si="8"/>
        <v>3798.6499999999996</v>
      </c>
      <c r="AG63" s="2380"/>
      <c r="AH63" s="2348">
        <v>612.95000000000005</v>
      </c>
      <c r="AI63" s="2246"/>
      <c r="AJ63" s="341">
        <f t="shared" si="15"/>
        <v>4411.5999999999995</v>
      </c>
      <c r="AK63" s="2380"/>
      <c r="AL63" s="2348">
        <v>600.65</v>
      </c>
      <c r="AM63" s="2249"/>
      <c r="AN63" s="3696">
        <f t="shared" si="2"/>
        <v>1644.1</v>
      </c>
      <c r="AO63" s="718"/>
      <c r="AP63" s="341">
        <f t="shared" si="10"/>
        <v>5012.2499999999991</v>
      </c>
      <c r="AQ63" s="2380"/>
      <c r="AR63" s="2348">
        <v>1076.2500000000002</v>
      </c>
      <c r="AS63" s="2246"/>
      <c r="AT63" s="718">
        <f t="shared" si="11"/>
        <v>6088.4999999999991</v>
      </c>
      <c r="AU63" s="2380"/>
      <c r="AV63" s="2348">
        <v>1275.1000000000004</v>
      </c>
      <c r="AW63" s="2246"/>
      <c r="AX63" s="341">
        <f t="shared" si="12"/>
        <v>7363.5999999999995</v>
      </c>
      <c r="AY63" s="2380"/>
      <c r="AZ63" s="2348">
        <v>551.44999999999993</v>
      </c>
      <c r="BA63" s="2249"/>
      <c r="BB63" s="532">
        <f t="shared" si="3"/>
        <v>2902.8</v>
      </c>
      <c r="BC63" s="617"/>
      <c r="BD63" s="617">
        <f t="shared" si="13"/>
        <v>4546.8999999999996</v>
      </c>
      <c r="BE63" s="718"/>
      <c r="BF63" s="718">
        <f t="shared" si="14"/>
        <v>7915.0499999999993</v>
      </c>
      <c r="BG63" s="1111"/>
      <c r="BH63" s="3464"/>
      <c r="BI63" s="23"/>
      <c r="BJ63" s="23"/>
      <c r="BK63" s="23"/>
      <c r="BL63" s="23"/>
    </row>
    <row r="64" spans="1:64" ht="16.2" thickBot="1" x14ac:dyDescent="0.35">
      <c r="A64" s="137"/>
      <c r="B64" s="780" t="s">
        <v>828</v>
      </c>
      <c r="C64" s="2345" t="s">
        <v>929</v>
      </c>
      <c r="D64" s="2346" t="s">
        <v>50</v>
      </c>
      <c r="E64" s="2380"/>
      <c r="F64" s="2348">
        <v>235.75000000000003</v>
      </c>
      <c r="G64" s="2380"/>
      <c r="H64" s="2348"/>
      <c r="I64" s="2349"/>
      <c r="J64" s="4882">
        <f t="shared" si="4"/>
        <v>235.75000000000003</v>
      </c>
      <c r="K64" s="2380"/>
      <c r="L64" s="2348"/>
      <c r="M64" s="2350"/>
      <c r="N64" s="574">
        <f t="shared" si="5"/>
        <v>235.75000000000003</v>
      </c>
      <c r="O64" s="2380"/>
      <c r="P64" s="2348"/>
      <c r="Q64" s="2349"/>
      <c r="R64" s="341">
        <f t="shared" si="6"/>
        <v>235.75000000000003</v>
      </c>
      <c r="S64" s="2380"/>
      <c r="T64" s="2348"/>
      <c r="U64" s="2349"/>
      <c r="V64" s="341">
        <f t="shared" si="7"/>
        <v>235.75000000000003</v>
      </c>
      <c r="W64" s="2380"/>
      <c r="X64" s="2348">
        <v>209.10000000000002</v>
      </c>
      <c r="Y64" s="2351"/>
      <c r="Z64" s="3696">
        <f t="shared" si="0"/>
        <v>209.10000000000002</v>
      </c>
      <c r="AA64" s="2352"/>
      <c r="AB64" s="3697">
        <f t="shared" si="1"/>
        <v>444.85</v>
      </c>
      <c r="AC64" s="2380"/>
      <c r="AD64" s="2348"/>
      <c r="AE64" s="2349"/>
      <c r="AF64" s="341">
        <f t="shared" si="8"/>
        <v>444.85</v>
      </c>
      <c r="AG64" s="2380"/>
      <c r="AH64" s="2348"/>
      <c r="AI64" s="2349"/>
      <c r="AJ64" s="341">
        <f t="shared" si="15"/>
        <v>444.85</v>
      </c>
      <c r="AK64" s="2380"/>
      <c r="AL64" s="2348">
        <v>114.8</v>
      </c>
      <c r="AM64" s="2351"/>
      <c r="AN64" s="3696">
        <f t="shared" si="2"/>
        <v>114.8</v>
      </c>
      <c r="AO64" s="2349"/>
      <c r="AP64" s="341">
        <f t="shared" si="10"/>
        <v>559.65</v>
      </c>
      <c r="AQ64" s="2380"/>
      <c r="AR64" s="2348"/>
      <c r="AS64" s="2349"/>
      <c r="AT64" s="718">
        <f t="shared" si="11"/>
        <v>559.65</v>
      </c>
      <c r="AU64" s="2380"/>
      <c r="AV64" s="2348">
        <v>211.14999999999998</v>
      </c>
      <c r="AW64" s="2349"/>
      <c r="AX64" s="341">
        <f t="shared" si="12"/>
        <v>770.8</v>
      </c>
      <c r="AY64" s="2380"/>
      <c r="AZ64" s="2348">
        <v>555.54999999999995</v>
      </c>
      <c r="BA64" s="2351"/>
      <c r="BB64" s="532">
        <f t="shared" si="3"/>
        <v>766.69999999999993</v>
      </c>
      <c r="BC64" s="2352"/>
      <c r="BD64" s="617">
        <f t="shared" si="13"/>
        <v>881.49999999999989</v>
      </c>
      <c r="BE64" s="2349"/>
      <c r="BF64" s="718">
        <f t="shared" si="14"/>
        <v>1326.35</v>
      </c>
      <c r="BG64" s="1111"/>
      <c r="BH64" s="3464"/>
      <c r="BI64" s="23"/>
      <c r="BJ64" s="23"/>
      <c r="BK64" s="23"/>
      <c r="BL64" s="23"/>
    </row>
    <row r="65" spans="1:64" ht="16.2" thickBot="1" x14ac:dyDescent="0.35">
      <c r="A65" s="137"/>
      <c r="B65" s="780" t="s">
        <v>828</v>
      </c>
      <c r="C65" s="2345" t="s">
        <v>1089</v>
      </c>
      <c r="D65" s="2346" t="s">
        <v>50</v>
      </c>
      <c r="E65" s="2380"/>
      <c r="F65" s="2348"/>
      <c r="G65" s="2380"/>
      <c r="H65" s="2348"/>
      <c r="I65" s="2349"/>
      <c r="J65" s="4882">
        <f t="shared" si="4"/>
        <v>0</v>
      </c>
      <c r="K65" s="2380"/>
      <c r="L65" s="2348">
        <v>45.1</v>
      </c>
      <c r="M65" s="717"/>
      <c r="N65" s="574">
        <f t="shared" si="5"/>
        <v>45.1</v>
      </c>
      <c r="O65" s="2380"/>
      <c r="P65" s="2348">
        <v>2.0499999999999998</v>
      </c>
      <c r="Q65" s="718"/>
      <c r="R65" s="341">
        <f t="shared" si="6"/>
        <v>47.15</v>
      </c>
      <c r="S65" s="2380"/>
      <c r="T65" s="2348"/>
      <c r="U65" s="718"/>
      <c r="V65" s="341">
        <f t="shared" si="7"/>
        <v>47.15</v>
      </c>
      <c r="W65" s="2380"/>
      <c r="X65" s="2348"/>
      <c r="Y65" s="532"/>
      <c r="Z65" s="3696">
        <f t="shared" si="0"/>
        <v>2.0499999999999998</v>
      </c>
      <c r="AA65" s="617"/>
      <c r="AB65" s="3697">
        <f t="shared" si="1"/>
        <v>47.15</v>
      </c>
      <c r="AC65" s="2380"/>
      <c r="AD65" s="2348">
        <v>51.25</v>
      </c>
      <c r="AE65" s="718"/>
      <c r="AF65" s="341">
        <f t="shared" si="8"/>
        <v>98.4</v>
      </c>
      <c r="AG65" s="2380"/>
      <c r="AH65" s="2348">
        <v>2.0499999999999998</v>
      </c>
      <c r="AI65" s="718"/>
      <c r="AJ65" s="341">
        <f t="shared" si="15"/>
        <v>100.45</v>
      </c>
      <c r="AK65" s="2380"/>
      <c r="AL65" s="2348">
        <v>92.25</v>
      </c>
      <c r="AM65" s="532"/>
      <c r="AN65" s="3696">
        <f t="shared" si="2"/>
        <v>145.55000000000001</v>
      </c>
      <c r="AO65" s="718"/>
      <c r="AP65" s="341">
        <f t="shared" si="10"/>
        <v>192.7</v>
      </c>
      <c r="AQ65" s="2380"/>
      <c r="AR65" s="2348"/>
      <c r="AS65" s="718"/>
      <c r="AT65" s="718">
        <f t="shared" si="11"/>
        <v>192.7</v>
      </c>
      <c r="AU65" s="2380"/>
      <c r="AV65" s="2348">
        <v>94.3</v>
      </c>
      <c r="AW65" s="718"/>
      <c r="AX65" s="341">
        <f t="shared" si="12"/>
        <v>287</v>
      </c>
      <c r="AY65" s="2380"/>
      <c r="AZ65" s="2348">
        <v>53.3</v>
      </c>
      <c r="BA65" s="532"/>
      <c r="BB65" s="532">
        <f t="shared" si="3"/>
        <v>147.6</v>
      </c>
      <c r="BC65" s="617"/>
      <c r="BD65" s="617">
        <f t="shared" si="13"/>
        <v>293.14999999999998</v>
      </c>
      <c r="BE65" s="718"/>
      <c r="BF65" s="718">
        <f t="shared" si="14"/>
        <v>340.3</v>
      </c>
      <c r="BG65" s="1111"/>
      <c r="BH65" s="3464"/>
      <c r="BI65" s="23"/>
      <c r="BJ65" s="23"/>
      <c r="BK65" s="23"/>
      <c r="BL65" s="23"/>
    </row>
    <row r="66" spans="1:64" ht="16.2" thickBot="1" x14ac:dyDescent="0.35">
      <c r="A66" s="137"/>
      <c r="B66" s="780" t="s">
        <v>828</v>
      </c>
      <c r="C66" s="2345" t="s">
        <v>928</v>
      </c>
      <c r="D66" s="2346" t="s">
        <v>50</v>
      </c>
      <c r="E66" s="2380"/>
      <c r="F66" s="2348"/>
      <c r="G66" s="2380"/>
      <c r="H66" s="2348"/>
      <c r="I66" s="2349"/>
      <c r="J66" s="4882">
        <f t="shared" si="4"/>
        <v>0</v>
      </c>
      <c r="K66" s="2380"/>
      <c r="L66" s="2348">
        <v>10.25</v>
      </c>
      <c r="M66" s="717"/>
      <c r="N66" s="574">
        <f t="shared" si="5"/>
        <v>10.25</v>
      </c>
      <c r="O66" s="2380"/>
      <c r="P66" s="2348"/>
      <c r="Q66" s="718"/>
      <c r="R66" s="341">
        <f t="shared" si="6"/>
        <v>10.25</v>
      </c>
      <c r="S66" s="2380"/>
      <c r="T66" s="2348"/>
      <c r="U66" s="718"/>
      <c r="V66" s="341">
        <f t="shared" si="7"/>
        <v>10.25</v>
      </c>
      <c r="W66" s="2380"/>
      <c r="X66" s="2348"/>
      <c r="Y66" s="532"/>
      <c r="Z66" s="3696">
        <f t="shared" si="0"/>
        <v>0</v>
      </c>
      <c r="AA66" s="617"/>
      <c r="AB66" s="3697">
        <f t="shared" si="1"/>
        <v>10.25</v>
      </c>
      <c r="AC66" s="2380"/>
      <c r="AD66" s="2348"/>
      <c r="AE66" s="718"/>
      <c r="AF66" s="341">
        <f t="shared" si="8"/>
        <v>10.25</v>
      </c>
      <c r="AG66" s="2380"/>
      <c r="AH66" s="2348"/>
      <c r="AI66" s="718"/>
      <c r="AJ66" s="341">
        <f t="shared" si="15"/>
        <v>10.25</v>
      </c>
      <c r="AK66" s="2380"/>
      <c r="AL66" s="2348"/>
      <c r="AM66" s="532"/>
      <c r="AN66" s="3696">
        <f t="shared" si="2"/>
        <v>0</v>
      </c>
      <c r="AO66" s="718"/>
      <c r="AP66" s="341">
        <f t="shared" si="10"/>
        <v>10.25</v>
      </c>
      <c r="AQ66" s="2380"/>
      <c r="AR66" s="2348"/>
      <c r="AS66" s="718"/>
      <c r="AT66" s="718">
        <f t="shared" si="11"/>
        <v>10.25</v>
      </c>
      <c r="AU66" s="2380"/>
      <c r="AV66" s="2348"/>
      <c r="AW66" s="718"/>
      <c r="AX66" s="341">
        <f t="shared" si="12"/>
        <v>10.25</v>
      </c>
      <c r="AY66" s="2380"/>
      <c r="AZ66" s="2348"/>
      <c r="BA66" s="532"/>
      <c r="BB66" s="532">
        <f t="shared" si="3"/>
        <v>0</v>
      </c>
      <c r="BC66" s="617"/>
      <c r="BD66" s="617">
        <f t="shared" si="13"/>
        <v>0</v>
      </c>
      <c r="BE66" s="718"/>
      <c r="BF66" s="718">
        <f t="shared" si="14"/>
        <v>10.25</v>
      </c>
      <c r="BG66" s="1111"/>
      <c r="BH66" s="3464"/>
      <c r="BI66" s="23"/>
      <c r="BJ66" s="23"/>
      <c r="BK66" s="23"/>
      <c r="BL66" s="23"/>
    </row>
    <row r="67" spans="1:64" ht="16.2" thickBot="1" x14ac:dyDescent="0.35">
      <c r="A67" s="137"/>
      <c r="B67" s="780" t="s">
        <v>828</v>
      </c>
      <c r="C67" s="2345" t="s">
        <v>930</v>
      </c>
      <c r="D67" s="2346" t="s">
        <v>50</v>
      </c>
      <c r="E67" s="2380"/>
      <c r="F67" s="2348">
        <v>82</v>
      </c>
      <c r="G67" s="2380"/>
      <c r="H67" s="2348"/>
      <c r="I67" s="2349"/>
      <c r="J67" s="4882">
        <f t="shared" si="4"/>
        <v>82</v>
      </c>
      <c r="K67" s="2380"/>
      <c r="L67" s="2348"/>
      <c r="M67" s="2350"/>
      <c r="N67" s="574">
        <f t="shared" si="5"/>
        <v>82</v>
      </c>
      <c r="O67" s="2380"/>
      <c r="P67" s="2348"/>
      <c r="Q67" s="2349"/>
      <c r="R67" s="341">
        <f t="shared" si="6"/>
        <v>82</v>
      </c>
      <c r="S67" s="2380"/>
      <c r="T67" s="2348"/>
      <c r="U67" s="2349"/>
      <c r="V67" s="341">
        <f t="shared" si="7"/>
        <v>82</v>
      </c>
      <c r="W67" s="2380"/>
      <c r="X67" s="2348"/>
      <c r="Y67" s="2351"/>
      <c r="Z67" s="3696">
        <f t="shared" si="0"/>
        <v>0</v>
      </c>
      <c r="AA67" s="617"/>
      <c r="AB67" s="3697">
        <f t="shared" si="1"/>
        <v>82</v>
      </c>
      <c r="AC67" s="2380"/>
      <c r="AD67" s="2348"/>
      <c r="AE67" s="2349"/>
      <c r="AF67" s="341">
        <f t="shared" si="8"/>
        <v>82</v>
      </c>
      <c r="AG67" s="2380"/>
      <c r="AH67" s="2348"/>
      <c r="AI67" s="2349"/>
      <c r="AJ67" s="341">
        <f t="shared" si="15"/>
        <v>82</v>
      </c>
      <c r="AK67" s="2380"/>
      <c r="AL67" s="2348">
        <v>82</v>
      </c>
      <c r="AM67" s="2351"/>
      <c r="AN67" s="3696">
        <f t="shared" si="2"/>
        <v>82</v>
      </c>
      <c r="AO67" s="2349"/>
      <c r="AP67" s="341">
        <f t="shared" si="10"/>
        <v>164</v>
      </c>
      <c r="AQ67" s="2380"/>
      <c r="AR67" s="2348"/>
      <c r="AS67" s="2349"/>
      <c r="AT67" s="718">
        <f t="shared" si="11"/>
        <v>164</v>
      </c>
      <c r="AU67" s="2380"/>
      <c r="AV67" s="2348"/>
      <c r="AW67" s="2349"/>
      <c r="AX67" s="341">
        <f t="shared" si="12"/>
        <v>164</v>
      </c>
      <c r="AY67" s="2380"/>
      <c r="AZ67" s="2348"/>
      <c r="BA67" s="2351"/>
      <c r="BB67" s="532">
        <f t="shared" si="3"/>
        <v>0</v>
      </c>
      <c r="BC67" s="2352"/>
      <c r="BD67" s="617">
        <f t="shared" si="13"/>
        <v>82</v>
      </c>
      <c r="BE67" s="2349"/>
      <c r="BF67" s="718">
        <f t="shared" si="14"/>
        <v>164</v>
      </c>
      <c r="BG67" s="1111"/>
      <c r="BH67" s="3464"/>
      <c r="BI67" s="23"/>
      <c r="BJ67" s="23"/>
      <c r="BK67" s="23"/>
      <c r="BL67" s="23"/>
    </row>
    <row r="68" spans="1:64" ht="15.75" customHeight="1" thickBot="1" x14ac:dyDescent="0.35">
      <c r="A68" s="137"/>
      <c r="B68" s="780" t="s">
        <v>828</v>
      </c>
      <c r="C68" s="2345" t="s">
        <v>1090</v>
      </c>
      <c r="D68" s="2346" t="s">
        <v>50</v>
      </c>
      <c r="E68" s="2380"/>
      <c r="F68" s="2348">
        <v>15135.149999999994</v>
      </c>
      <c r="G68" s="2380"/>
      <c r="H68" s="2348"/>
      <c r="I68" s="2349"/>
      <c r="J68" s="4882">
        <f t="shared" si="4"/>
        <v>15135.149999999994</v>
      </c>
      <c r="K68" s="2380"/>
      <c r="L68" s="2348">
        <f>6109-45.1</f>
        <v>6063.9</v>
      </c>
      <c r="M68" s="717"/>
      <c r="N68" s="574">
        <f t="shared" si="5"/>
        <v>21199.049999999996</v>
      </c>
      <c r="O68" s="2380"/>
      <c r="P68" s="2348">
        <f>5282.85-2.05</f>
        <v>5280.8</v>
      </c>
      <c r="Q68" s="718"/>
      <c r="R68" s="341">
        <f t="shared" si="6"/>
        <v>26479.849999999995</v>
      </c>
      <c r="S68" s="2380"/>
      <c r="T68" s="2348">
        <v>4751.9000000000005</v>
      </c>
      <c r="U68" s="718"/>
      <c r="V68" s="341">
        <f t="shared" si="7"/>
        <v>31231.749999999996</v>
      </c>
      <c r="W68" s="2380"/>
      <c r="X68" s="2348">
        <v>5106.55</v>
      </c>
      <c r="Y68" s="532"/>
      <c r="Z68" s="3696">
        <f t="shared" si="0"/>
        <v>15139.25</v>
      </c>
      <c r="AA68" s="617"/>
      <c r="AB68" s="3697">
        <f t="shared" si="1"/>
        <v>36338.299999999996</v>
      </c>
      <c r="AC68" s="2380"/>
      <c r="AD68" s="2348">
        <f>8146.7-51.25-2.05-2.05</f>
        <v>8091.3499999999995</v>
      </c>
      <c r="AE68" s="718"/>
      <c r="AF68" s="341">
        <f t="shared" si="8"/>
        <v>44429.649999999994</v>
      </c>
      <c r="AG68" s="2380"/>
      <c r="AH68" s="2348">
        <f>5002-2.05</f>
        <v>4999.95</v>
      </c>
      <c r="AI68" s="718"/>
      <c r="AJ68" s="341">
        <f t="shared" si="15"/>
        <v>49429.599999999991</v>
      </c>
      <c r="AK68" s="2380"/>
      <c r="AL68" s="2348">
        <f>7377.95-92.25-4.1-4.1</f>
        <v>7277.4999999999991</v>
      </c>
      <c r="AM68" s="532"/>
      <c r="AN68" s="3696">
        <f t="shared" si="2"/>
        <v>20368.8</v>
      </c>
      <c r="AO68" s="718"/>
      <c r="AP68" s="341">
        <f t="shared" si="10"/>
        <v>56707.099999999991</v>
      </c>
      <c r="AQ68" s="2380"/>
      <c r="AR68" s="2348">
        <v>9878.9500000000025</v>
      </c>
      <c r="AS68" s="718"/>
      <c r="AT68" s="718">
        <f t="shared" si="11"/>
        <v>66586.049999999988</v>
      </c>
      <c r="AU68" s="2380"/>
      <c r="AV68" s="2348">
        <f>7650.6-94.3</f>
        <v>7556.3</v>
      </c>
      <c r="AW68" s="718"/>
      <c r="AX68" s="341">
        <f t="shared" si="12"/>
        <v>74142.349999999991</v>
      </c>
      <c r="AY68" s="2380"/>
      <c r="AZ68" s="2348">
        <f>9983.49999999999-53.3</f>
        <v>9930.1999999999916</v>
      </c>
      <c r="BA68" s="532"/>
      <c r="BB68" s="532">
        <f t="shared" si="3"/>
        <v>27365.449999999997</v>
      </c>
      <c r="BC68" s="617"/>
      <c r="BD68" s="617">
        <f t="shared" si="13"/>
        <v>47734.25</v>
      </c>
      <c r="BE68" s="718"/>
      <c r="BF68" s="718">
        <f t="shared" si="14"/>
        <v>84072.549999999988</v>
      </c>
      <c r="BG68" s="1111"/>
      <c r="BH68" s="3464"/>
      <c r="BI68" s="23"/>
      <c r="BJ68" s="23"/>
      <c r="BK68" s="23"/>
      <c r="BL68" s="23"/>
    </row>
    <row r="69" spans="1:64" ht="16.2" thickBot="1" x14ac:dyDescent="0.35">
      <c r="A69" s="137"/>
      <c r="B69" s="2566" t="s">
        <v>828</v>
      </c>
      <c r="C69" s="2567" t="s">
        <v>904</v>
      </c>
      <c r="D69" s="2568" t="s">
        <v>50</v>
      </c>
      <c r="E69" s="2571"/>
      <c r="F69" s="103"/>
      <c r="G69" s="2571"/>
      <c r="H69" s="103"/>
      <c r="I69" s="546"/>
      <c r="J69" s="4882">
        <f t="shared" si="4"/>
        <v>0</v>
      </c>
      <c r="K69" s="2571"/>
      <c r="L69" s="103"/>
      <c r="M69" s="717"/>
      <c r="N69" s="574">
        <f t="shared" si="5"/>
        <v>0</v>
      </c>
      <c r="O69" s="2571"/>
      <c r="P69" s="103"/>
      <c r="Q69" s="718"/>
      <c r="R69" s="341">
        <f t="shared" si="6"/>
        <v>0</v>
      </c>
      <c r="S69" s="2571"/>
      <c r="T69" s="103"/>
      <c r="U69" s="718"/>
      <c r="V69" s="341">
        <f t="shared" si="7"/>
        <v>0</v>
      </c>
      <c r="W69" s="2571"/>
      <c r="X69" s="103"/>
      <c r="Y69" s="532"/>
      <c r="Z69" s="3696">
        <f t="shared" si="0"/>
        <v>0</v>
      </c>
      <c r="AA69" s="617"/>
      <c r="AB69" s="3697">
        <f t="shared" si="1"/>
        <v>0</v>
      </c>
      <c r="AC69" s="2571"/>
      <c r="AD69" s="103"/>
      <c r="AE69" s="718"/>
      <c r="AF69" s="341">
        <f t="shared" si="8"/>
        <v>0</v>
      </c>
      <c r="AG69" s="2571"/>
      <c r="AH69" s="103"/>
      <c r="AI69" s="718"/>
      <c r="AJ69" s="341">
        <f t="shared" si="15"/>
        <v>0</v>
      </c>
      <c r="AK69" s="2571"/>
      <c r="AL69" s="103"/>
      <c r="AM69" s="532"/>
      <c r="AN69" s="3696">
        <f t="shared" si="2"/>
        <v>0</v>
      </c>
      <c r="AO69" s="718"/>
      <c r="AP69" s="341">
        <f t="shared" si="10"/>
        <v>0</v>
      </c>
      <c r="AQ69" s="2571"/>
      <c r="AR69" s="103"/>
      <c r="AS69" s="718"/>
      <c r="AT69" s="718">
        <f t="shared" si="11"/>
        <v>0</v>
      </c>
      <c r="AU69" s="2571"/>
      <c r="AV69" s="103"/>
      <c r="AW69" s="718"/>
      <c r="AX69" s="341">
        <f t="shared" si="12"/>
        <v>0</v>
      </c>
      <c r="AY69" s="2571"/>
      <c r="AZ69" s="103"/>
      <c r="BA69" s="532"/>
      <c r="BB69" s="532">
        <f t="shared" si="3"/>
        <v>0</v>
      </c>
      <c r="BC69" s="617"/>
      <c r="BD69" s="617">
        <f t="shared" si="13"/>
        <v>0</v>
      </c>
      <c r="BE69" s="718"/>
      <c r="BF69" s="718">
        <f t="shared" si="14"/>
        <v>0</v>
      </c>
      <c r="BG69" s="1111"/>
      <c r="BH69" s="3464"/>
      <c r="BI69" s="23"/>
      <c r="BJ69" s="23"/>
      <c r="BK69" s="23"/>
      <c r="BL69" s="23"/>
    </row>
    <row r="70" spans="1:64" ht="16.2" thickBot="1" x14ac:dyDescent="0.35">
      <c r="A70" s="137"/>
      <c r="B70" s="780" t="s">
        <v>52</v>
      </c>
      <c r="C70" s="2345" t="s">
        <v>924</v>
      </c>
      <c r="D70" s="2346" t="s">
        <v>50</v>
      </c>
      <c r="E70" s="2347"/>
      <c r="F70" s="2348"/>
      <c r="G70" s="2347"/>
      <c r="H70" s="2348"/>
      <c r="I70" s="2349"/>
      <c r="J70" s="4882">
        <f t="shared" si="4"/>
        <v>0</v>
      </c>
      <c r="K70" s="2347"/>
      <c r="L70" s="2348"/>
      <c r="M70" s="2350"/>
      <c r="N70" s="574">
        <f t="shared" si="5"/>
        <v>0</v>
      </c>
      <c r="O70" s="2347"/>
      <c r="P70" s="2348"/>
      <c r="Q70" s="2349"/>
      <c r="R70" s="341">
        <f t="shared" si="6"/>
        <v>0</v>
      </c>
      <c r="S70" s="2347"/>
      <c r="T70" s="2348"/>
      <c r="U70" s="2349"/>
      <c r="V70" s="341">
        <f t="shared" si="7"/>
        <v>0</v>
      </c>
      <c r="W70" s="2347"/>
      <c r="X70" s="2348"/>
      <c r="Y70" s="2351"/>
      <c r="Z70" s="3696">
        <f t="shared" si="0"/>
        <v>0</v>
      </c>
      <c r="AA70" s="2352"/>
      <c r="AB70" s="3697">
        <f t="shared" si="1"/>
        <v>0</v>
      </c>
      <c r="AC70" s="2347"/>
      <c r="AD70" s="2348"/>
      <c r="AE70" s="2349"/>
      <c r="AF70" s="341">
        <f t="shared" si="8"/>
        <v>0</v>
      </c>
      <c r="AG70" s="2347"/>
      <c r="AH70" s="2348"/>
      <c r="AI70" s="2349"/>
      <c r="AJ70" s="341">
        <f t="shared" si="15"/>
        <v>0</v>
      </c>
      <c r="AK70" s="2347"/>
      <c r="AL70" s="2348"/>
      <c r="AM70" s="2351"/>
      <c r="AN70" s="3696">
        <f t="shared" si="2"/>
        <v>0</v>
      </c>
      <c r="AO70" s="2349"/>
      <c r="AP70" s="341">
        <f t="shared" si="10"/>
        <v>0</v>
      </c>
      <c r="AQ70" s="2347"/>
      <c r="AR70" s="2348"/>
      <c r="AS70" s="2349"/>
      <c r="AT70" s="718">
        <f t="shared" si="11"/>
        <v>0</v>
      </c>
      <c r="AU70" s="2347"/>
      <c r="AV70" s="2348"/>
      <c r="AW70" s="2349"/>
      <c r="AX70" s="341">
        <f t="shared" si="12"/>
        <v>0</v>
      </c>
      <c r="AY70" s="2347"/>
      <c r="AZ70" s="2348"/>
      <c r="BA70" s="2351"/>
      <c r="BB70" s="532">
        <f t="shared" si="3"/>
        <v>0</v>
      </c>
      <c r="BC70" s="2352"/>
      <c r="BD70" s="617">
        <f t="shared" si="13"/>
        <v>0</v>
      </c>
      <c r="BE70" s="2349"/>
      <c r="BF70" s="718">
        <f t="shared" si="14"/>
        <v>0</v>
      </c>
      <c r="BG70" s="1111"/>
      <c r="BH70" s="3464"/>
      <c r="BI70" s="23"/>
      <c r="BJ70" s="23"/>
      <c r="BK70" s="23"/>
      <c r="BL70" s="23"/>
    </row>
    <row r="71" spans="1:64" ht="16.2" thickBot="1" x14ac:dyDescent="0.35">
      <c r="A71" s="137"/>
      <c r="B71" s="780" t="s">
        <v>52</v>
      </c>
      <c r="C71" s="2345" t="s">
        <v>926</v>
      </c>
      <c r="D71" s="2346" t="s">
        <v>50</v>
      </c>
      <c r="E71" s="2347"/>
      <c r="F71" s="2348">
        <v>26.65</v>
      </c>
      <c r="G71" s="2347"/>
      <c r="H71" s="2348"/>
      <c r="I71" s="2349"/>
      <c r="J71" s="4882">
        <f t="shared" si="4"/>
        <v>26.65</v>
      </c>
      <c r="K71" s="2347"/>
      <c r="L71" s="2348"/>
      <c r="M71" s="717"/>
      <c r="N71" s="574">
        <f t="shared" si="5"/>
        <v>26.65</v>
      </c>
      <c r="O71" s="2347"/>
      <c r="P71" s="2348"/>
      <c r="Q71" s="718"/>
      <c r="R71" s="341">
        <f t="shared" si="6"/>
        <v>26.65</v>
      </c>
      <c r="S71" s="2347"/>
      <c r="T71" s="2348"/>
      <c r="U71" s="718"/>
      <c r="V71" s="341">
        <f t="shared" si="7"/>
        <v>26.65</v>
      </c>
      <c r="W71" s="2347"/>
      <c r="X71" s="2348"/>
      <c r="Y71" s="532"/>
      <c r="Z71" s="3696">
        <f t="shared" si="0"/>
        <v>0</v>
      </c>
      <c r="AA71" s="617"/>
      <c r="AB71" s="3697">
        <f t="shared" si="1"/>
        <v>26.65</v>
      </c>
      <c r="AC71" s="2347"/>
      <c r="AD71" s="2348"/>
      <c r="AE71" s="718"/>
      <c r="AF71" s="341">
        <f t="shared" si="8"/>
        <v>26.65</v>
      </c>
      <c r="AG71" s="2347"/>
      <c r="AH71" s="2348"/>
      <c r="AI71" s="718"/>
      <c r="AJ71" s="341">
        <f t="shared" si="15"/>
        <v>26.65</v>
      </c>
      <c r="AK71" s="2347"/>
      <c r="AL71" s="2348"/>
      <c r="AM71" s="532"/>
      <c r="AN71" s="3696">
        <f t="shared" si="2"/>
        <v>0</v>
      </c>
      <c r="AO71" s="718"/>
      <c r="AP71" s="341">
        <f t="shared" si="10"/>
        <v>26.65</v>
      </c>
      <c r="AQ71" s="2347"/>
      <c r="AR71" s="2348"/>
      <c r="AS71" s="718"/>
      <c r="AT71" s="718">
        <f t="shared" si="11"/>
        <v>26.65</v>
      </c>
      <c r="AU71" s="2347"/>
      <c r="AV71" s="2348"/>
      <c r="AW71" s="718"/>
      <c r="AX71" s="341">
        <f t="shared" si="12"/>
        <v>26.65</v>
      </c>
      <c r="AY71" s="2347"/>
      <c r="AZ71" s="2348"/>
      <c r="BA71" s="532"/>
      <c r="BB71" s="532">
        <f t="shared" si="3"/>
        <v>0</v>
      </c>
      <c r="BC71" s="617"/>
      <c r="BD71" s="617">
        <f t="shared" si="13"/>
        <v>0</v>
      </c>
      <c r="BE71" s="718"/>
      <c r="BF71" s="718">
        <f t="shared" si="14"/>
        <v>26.65</v>
      </c>
      <c r="BG71" s="1111"/>
      <c r="BH71" s="3464"/>
      <c r="BI71" s="23"/>
      <c r="BJ71" s="23"/>
      <c r="BK71" s="23"/>
      <c r="BL71" s="23"/>
    </row>
    <row r="72" spans="1:64" ht="16.2" thickBot="1" x14ac:dyDescent="0.35">
      <c r="A72" s="137"/>
      <c r="B72" s="780" t="s">
        <v>52</v>
      </c>
      <c r="C72" s="2345" t="s">
        <v>1086</v>
      </c>
      <c r="D72" s="2346" t="s">
        <v>50</v>
      </c>
      <c r="E72" s="2347"/>
      <c r="F72" s="2348"/>
      <c r="G72" s="2347"/>
      <c r="H72" s="2348"/>
      <c r="I72" s="2349"/>
      <c r="J72" s="4882">
        <f t="shared" si="4"/>
        <v>0</v>
      </c>
      <c r="K72" s="2347"/>
      <c r="L72" s="2348"/>
      <c r="M72" s="717"/>
      <c r="N72" s="574">
        <f t="shared" si="5"/>
        <v>0</v>
      </c>
      <c r="O72" s="2347"/>
      <c r="P72" s="2348"/>
      <c r="Q72" s="718"/>
      <c r="R72" s="341">
        <f t="shared" si="6"/>
        <v>0</v>
      </c>
      <c r="S72" s="2347"/>
      <c r="T72" s="2581">
        <f>1418.6-32.8-4.1</f>
        <v>1381.7</v>
      </c>
      <c r="U72" s="718"/>
      <c r="V72" s="341">
        <f t="shared" si="7"/>
        <v>1381.7</v>
      </c>
      <c r="W72" s="2347"/>
      <c r="X72" s="2348"/>
      <c r="Y72" s="532"/>
      <c r="Z72" s="3696">
        <f t="shared" si="0"/>
        <v>1381.7</v>
      </c>
      <c r="AA72" s="617"/>
      <c r="AB72" s="3697">
        <f t="shared" si="1"/>
        <v>1381.7</v>
      </c>
      <c r="AC72" s="2347"/>
      <c r="AD72" s="2348"/>
      <c r="AE72" s="718"/>
      <c r="AF72" s="341">
        <f t="shared" si="8"/>
        <v>1381.7</v>
      </c>
      <c r="AG72" s="2347"/>
      <c r="AH72" s="2348"/>
      <c r="AI72" s="718"/>
      <c r="AJ72" s="718">
        <f t="shared" si="15"/>
        <v>1381.7</v>
      </c>
      <c r="AK72" s="2347"/>
      <c r="AL72" s="2348"/>
      <c r="AM72" s="532"/>
      <c r="AN72" s="3696">
        <f t="shared" si="2"/>
        <v>0</v>
      </c>
      <c r="AO72" s="718"/>
      <c r="AP72" s="341">
        <f t="shared" si="10"/>
        <v>1381.7</v>
      </c>
      <c r="AQ72" s="2347"/>
      <c r="AR72" s="2348"/>
      <c r="AS72" s="718"/>
      <c r="AT72" s="718">
        <f t="shared" si="11"/>
        <v>1381.7</v>
      </c>
      <c r="AU72" s="2347"/>
      <c r="AV72" s="2348"/>
      <c r="AW72" s="718"/>
      <c r="AX72" s="341">
        <f t="shared" si="12"/>
        <v>1381.7</v>
      </c>
      <c r="AY72" s="2347"/>
      <c r="AZ72" s="2348"/>
      <c r="BA72" s="532"/>
      <c r="BB72" s="532">
        <f t="shared" si="3"/>
        <v>0</v>
      </c>
      <c r="BC72" s="617"/>
      <c r="BD72" s="617">
        <f t="shared" si="13"/>
        <v>0</v>
      </c>
      <c r="BE72" s="718"/>
      <c r="BF72" s="718">
        <f t="shared" si="14"/>
        <v>1381.7</v>
      </c>
      <c r="BG72" s="1111"/>
      <c r="BH72" s="3464"/>
      <c r="BI72" s="23"/>
      <c r="BJ72" s="23"/>
      <c r="BK72" s="23"/>
      <c r="BL72" s="23"/>
    </row>
    <row r="73" spans="1:64" ht="16.2" thickBot="1" x14ac:dyDescent="0.35">
      <c r="A73" s="137"/>
      <c r="B73" s="780" t="s">
        <v>52</v>
      </c>
      <c r="C73" s="2345" t="s">
        <v>931</v>
      </c>
      <c r="D73" s="2346" t="s">
        <v>50</v>
      </c>
      <c r="E73" s="2347"/>
      <c r="F73" s="2348"/>
      <c r="G73" s="2347"/>
      <c r="H73" s="2348"/>
      <c r="I73" s="2349"/>
      <c r="J73" s="4882">
        <f t="shared" si="4"/>
        <v>0</v>
      </c>
      <c r="K73" s="2347"/>
      <c r="L73" s="2348"/>
      <c r="M73" s="717"/>
      <c r="N73" s="574">
        <f t="shared" si="5"/>
        <v>0</v>
      </c>
      <c r="O73" s="2347"/>
      <c r="P73" s="2348"/>
      <c r="Q73" s="718"/>
      <c r="R73" s="341">
        <f t="shared" si="6"/>
        <v>0</v>
      </c>
      <c r="S73" s="2347"/>
      <c r="T73" s="2348"/>
      <c r="U73" s="718"/>
      <c r="V73" s="341">
        <f t="shared" si="7"/>
        <v>0</v>
      </c>
      <c r="W73" s="2347"/>
      <c r="X73" s="2348"/>
      <c r="Y73" s="532"/>
      <c r="Z73" s="3696">
        <f t="shared" si="0"/>
        <v>0</v>
      </c>
      <c r="AA73" s="617"/>
      <c r="AB73" s="3697">
        <f t="shared" si="1"/>
        <v>0</v>
      </c>
      <c r="AC73" s="2347"/>
      <c r="AD73" s="2348"/>
      <c r="AE73" s="718"/>
      <c r="AF73" s="341">
        <f t="shared" si="8"/>
        <v>0</v>
      </c>
      <c r="AG73" s="2347"/>
      <c r="AH73" s="2348"/>
      <c r="AI73" s="718"/>
      <c r="AJ73" s="718">
        <f t="shared" si="15"/>
        <v>0</v>
      </c>
      <c r="AK73" s="2347"/>
      <c r="AL73" s="2348"/>
      <c r="AM73" s="532"/>
      <c r="AN73" s="3696">
        <f t="shared" si="2"/>
        <v>0</v>
      </c>
      <c r="AO73" s="718"/>
      <c r="AP73" s="341">
        <f t="shared" si="10"/>
        <v>0</v>
      </c>
      <c r="AQ73" s="2347"/>
      <c r="AR73" s="2348"/>
      <c r="AS73" s="718"/>
      <c r="AT73" s="718">
        <f t="shared" si="11"/>
        <v>0</v>
      </c>
      <c r="AU73" s="2347"/>
      <c r="AV73" s="2348"/>
      <c r="AW73" s="718"/>
      <c r="AX73" s="341">
        <f t="shared" si="12"/>
        <v>0</v>
      </c>
      <c r="AY73" s="2347"/>
      <c r="AZ73" s="2348"/>
      <c r="BA73" s="532"/>
      <c r="BB73" s="532">
        <f t="shared" si="3"/>
        <v>0</v>
      </c>
      <c r="BC73" s="617"/>
      <c r="BD73" s="617">
        <f t="shared" si="13"/>
        <v>0</v>
      </c>
      <c r="BE73" s="718"/>
      <c r="BF73" s="718">
        <f t="shared" si="14"/>
        <v>0</v>
      </c>
      <c r="BG73" s="1111"/>
      <c r="BH73" s="3464"/>
      <c r="BI73" s="23"/>
      <c r="BJ73" s="23"/>
      <c r="BK73" s="23"/>
      <c r="BL73" s="23"/>
    </row>
    <row r="74" spans="1:64" ht="16.2" thickBot="1" x14ac:dyDescent="0.35">
      <c r="A74" s="137"/>
      <c r="B74" s="780" t="s">
        <v>52</v>
      </c>
      <c r="C74" s="2345" t="s">
        <v>1090</v>
      </c>
      <c r="D74" s="2346" t="s">
        <v>50</v>
      </c>
      <c r="E74" s="2347"/>
      <c r="F74" s="2348">
        <v>2099.1999999999994</v>
      </c>
      <c r="G74" s="2347"/>
      <c r="H74" s="2348"/>
      <c r="I74" s="2349"/>
      <c r="J74" s="4882">
        <f t="shared" si="4"/>
        <v>2099.1999999999994</v>
      </c>
      <c r="K74" s="2347"/>
      <c r="L74" s="2348"/>
      <c r="M74" s="717"/>
      <c r="N74" s="574">
        <f t="shared" si="5"/>
        <v>2099.1999999999994</v>
      </c>
      <c r="O74" s="2347"/>
      <c r="P74" s="2348"/>
      <c r="Q74" s="718"/>
      <c r="R74" s="341">
        <f t="shared" si="6"/>
        <v>2099.1999999999994</v>
      </c>
      <c r="S74" s="2347"/>
      <c r="T74" s="2348"/>
      <c r="U74" s="718"/>
      <c r="V74" s="341">
        <f t="shared" si="7"/>
        <v>2099.1999999999994</v>
      </c>
      <c r="W74" s="2347"/>
      <c r="X74" s="2348"/>
      <c r="Y74" s="532"/>
      <c r="Z74" s="3696">
        <f t="shared" si="0"/>
        <v>0</v>
      </c>
      <c r="AA74" s="617"/>
      <c r="AB74" s="3697">
        <f t="shared" si="1"/>
        <v>2099.1999999999994</v>
      </c>
      <c r="AC74" s="2347"/>
      <c r="AD74" s="2348"/>
      <c r="AE74" s="718"/>
      <c r="AF74" s="341">
        <f t="shared" si="8"/>
        <v>2099.1999999999994</v>
      </c>
      <c r="AG74" s="2347"/>
      <c r="AH74" s="2348"/>
      <c r="AI74" s="718"/>
      <c r="AJ74" s="341">
        <f t="shared" si="15"/>
        <v>2099.1999999999994</v>
      </c>
      <c r="AK74" s="2347"/>
      <c r="AL74" s="2348"/>
      <c r="AM74" s="532"/>
      <c r="AN74" s="3696">
        <f t="shared" si="2"/>
        <v>0</v>
      </c>
      <c r="AO74" s="718"/>
      <c r="AP74" s="341">
        <f t="shared" si="10"/>
        <v>2099.1999999999994</v>
      </c>
      <c r="AQ74" s="2347"/>
      <c r="AR74" s="2348"/>
      <c r="AS74" s="718"/>
      <c r="AT74" s="718">
        <f t="shared" si="11"/>
        <v>2099.1999999999994</v>
      </c>
      <c r="AU74" s="2347"/>
      <c r="AV74" s="2348"/>
      <c r="AW74" s="718"/>
      <c r="AX74" s="341">
        <f t="shared" si="12"/>
        <v>2099.1999999999994</v>
      </c>
      <c r="AY74" s="2347"/>
      <c r="AZ74" s="2348"/>
      <c r="BA74" s="532"/>
      <c r="BB74" s="532">
        <f t="shared" si="3"/>
        <v>0</v>
      </c>
      <c r="BC74" s="617"/>
      <c r="BD74" s="617">
        <f t="shared" si="13"/>
        <v>0</v>
      </c>
      <c r="BE74" s="718"/>
      <c r="BF74" s="718">
        <f t="shared" si="14"/>
        <v>2099.1999999999994</v>
      </c>
      <c r="BG74" s="1111"/>
      <c r="BH74" s="3464"/>
      <c r="BI74" s="23"/>
      <c r="BJ74" s="23"/>
      <c r="BK74" s="23"/>
      <c r="BL74" s="23"/>
    </row>
    <row r="75" spans="1:64" ht="16.2" thickBot="1" x14ac:dyDescent="0.35">
      <c r="A75" s="137"/>
      <c r="B75" s="2566" t="s">
        <v>52</v>
      </c>
      <c r="C75" s="2567" t="s">
        <v>1387</v>
      </c>
      <c r="D75" s="2568" t="s">
        <v>50</v>
      </c>
      <c r="E75" s="2572"/>
      <c r="F75" s="103"/>
      <c r="G75" s="2572"/>
      <c r="H75" s="103"/>
      <c r="I75" s="546"/>
      <c r="J75" s="4882">
        <f t="shared" ref="J75" si="16">+F75+H75</f>
        <v>0</v>
      </c>
      <c r="K75" s="2572"/>
      <c r="L75" s="103"/>
      <c r="M75" s="717"/>
      <c r="N75" s="574">
        <f t="shared" ref="N75:N144" si="17">+F75+H75+L75</f>
        <v>0</v>
      </c>
      <c r="O75" s="2572"/>
      <c r="P75" s="103"/>
      <c r="Q75" s="718"/>
      <c r="R75" s="341">
        <f t="shared" ref="R75:R141" si="18">+N75+P75</f>
        <v>0</v>
      </c>
      <c r="S75" s="2572"/>
      <c r="T75" s="103"/>
      <c r="U75" s="718"/>
      <c r="V75" s="341">
        <f t="shared" ref="V75:V141" si="19">+R75+T75</f>
        <v>0</v>
      </c>
      <c r="W75" s="2572"/>
      <c r="X75" s="103"/>
      <c r="Y75" s="532"/>
      <c r="Z75" s="3696">
        <f t="shared" si="0"/>
        <v>0</v>
      </c>
      <c r="AA75" s="617"/>
      <c r="AB75" s="3697">
        <f t="shared" si="1"/>
        <v>0</v>
      </c>
      <c r="AC75" s="2572"/>
      <c r="AD75" s="103"/>
      <c r="AE75" s="718"/>
      <c r="AF75" s="341">
        <f t="shared" ref="AF75:AF128" si="20">+AB75+AD75</f>
        <v>0</v>
      </c>
      <c r="AG75" s="2572"/>
      <c r="AH75" s="103"/>
      <c r="AI75" s="718"/>
      <c r="AJ75" s="341">
        <f t="shared" si="15"/>
        <v>0</v>
      </c>
      <c r="AK75" s="2572"/>
      <c r="AL75" s="103"/>
      <c r="AM75" s="532"/>
      <c r="AN75" s="3696">
        <f t="shared" si="2"/>
        <v>0</v>
      </c>
      <c r="AO75" s="718"/>
      <c r="AP75" s="341">
        <f t="shared" ref="AP75:AP128" si="21">AJ75+AL75</f>
        <v>0</v>
      </c>
      <c r="AQ75" s="2572"/>
      <c r="AR75" s="103"/>
      <c r="AS75" s="718"/>
      <c r="AT75" s="718">
        <f t="shared" ref="AT75:AT128" si="22">+AP75+AR75</f>
        <v>0</v>
      </c>
      <c r="AU75" s="2572"/>
      <c r="AV75" s="103"/>
      <c r="AW75" s="718"/>
      <c r="AX75" s="341">
        <f t="shared" ref="AX75:AX128" si="23">+AT75+AV75</f>
        <v>0</v>
      </c>
      <c r="AY75" s="2572"/>
      <c r="AZ75" s="103"/>
      <c r="BA75" s="532"/>
      <c r="BB75" s="532">
        <f t="shared" ref="BB75:BB122" si="24">AR75+AV75+AZ75</f>
        <v>0</v>
      </c>
      <c r="BC75" s="617"/>
      <c r="BD75" s="617">
        <f t="shared" si="13"/>
        <v>0</v>
      </c>
      <c r="BE75" s="718"/>
      <c r="BF75" s="718">
        <f t="shared" si="14"/>
        <v>0</v>
      </c>
      <c r="BG75" s="1111"/>
      <c r="BH75" s="3464"/>
      <c r="BI75" s="23"/>
      <c r="BJ75" s="23"/>
      <c r="BK75" s="23"/>
      <c r="BL75" s="23"/>
    </row>
    <row r="76" spans="1:64" ht="16.2" hidden="1" thickBot="1" x14ac:dyDescent="0.35">
      <c r="B76" s="2562" t="s">
        <v>826</v>
      </c>
      <c r="C76" s="2563" t="s">
        <v>1086</v>
      </c>
      <c r="D76" s="2564" t="s">
        <v>50</v>
      </c>
      <c r="E76" s="2573"/>
      <c r="F76" s="145"/>
      <c r="G76" s="2573"/>
      <c r="H76" s="145"/>
      <c r="I76" s="2574"/>
      <c r="J76" s="39">
        <f t="shared" ref="J76:J126" si="25">+F76+H76</f>
        <v>0</v>
      </c>
      <c r="K76" s="2573"/>
      <c r="L76" s="145"/>
      <c r="M76" s="830"/>
      <c r="N76" s="574">
        <f t="shared" si="17"/>
        <v>0</v>
      </c>
      <c r="O76" s="2573"/>
      <c r="P76" s="145"/>
      <c r="Q76" s="782"/>
      <c r="R76" s="341">
        <f t="shared" si="18"/>
        <v>0</v>
      </c>
      <c r="S76" s="2573"/>
      <c r="T76" s="2584">
        <f>1004.5-6.15</f>
        <v>998.35</v>
      </c>
      <c r="U76" s="782"/>
      <c r="V76" s="341">
        <f t="shared" si="19"/>
        <v>998.35</v>
      </c>
      <c r="W76" s="2573"/>
      <c r="X76" s="145">
        <v>1217.6999999999998</v>
      </c>
      <c r="Y76" s="532"/>
      <c r="Z76" s="3696">
        <f t="shared" si="0"/>
        <v>2216.0499999999997</v>
      </c>
      <c r="AA76" s="617"/>
      <c r="AB76" s="3697">
        <f t="shared" si="1"/>
        <v>2216.0499999999997</v>
      </c>
      <c r="AC76" s="2573"/>
      <c r="AD76" s="145"/>
      <c r="AE76" s="782"/>
      <c r="AF76" s="341">
        <f t="shared" si="20"/>
        <v>2216.0499999999997</v>
      </c>
      <c r="AG76" s="2573"/>
      <c r="AH76" s="145"/>
      <c r="AI76" s="782"/>
      <c r="AJ76" s="718">
        <f t="shared" si="15"/>
        <v>2216.0499999999997</v>
      </c>
      <c r="AK76" s="2573"/>
      <c r="AL76" s="145"/>
      <c r="AM76" s="532"/>
      <c r="AN76" s="3696">
        <f t="shared" ref="AN76:AN128" si="26">AD76+AH76+AL76</f>
        <v>0</v>
      </c>
      <c r="AO76" s="718"/>
      <c r="AP76" s="341">
        <f t="shared" si="21"/>
        <v>2216.0499999999997</v>
      </c>
      <c r="AQ76" s="2573"/>
      <c r="AR76" s="145"/>
      <c r="AS76" s="782"/>
      <c r="AT76" s="718">
        <f t="shared" si="22"/>
        <v>2216.0499999999997</v>
      </c>
      <c r="AU76" s="2573"/>
      <c r="AV76" s="145"/>
      <c r="AW76" s="782"/>
      <c r="AX76" s="341">
        <f t="shared" si="23"/>
        <v>2216.0499999999997</v>
      </c>
      <c r="AY76" s="2573"/>
      <c r="AZ76" s="145"/>
      <c r="BA76" s="532"/>
      <c r="BB76" s="532">
        <f t="shared" si="24"/>
        <v>0</v>
      </c>
      <c r="BC76" s="617"/>
      <c r="BD76" s="617">
        <f t="shared" ref="BD76:BD146" si="27">AN76+BB76</f>
        <v>0</v>
      </c>
      <c r="BE76" s="718"/>
      <c r="BF76" s="718">
        <f t="shared" ref="BF76:BF125" si="28">+AX76+AZ76</f>
        <v>2216.0499999999997</v>
      </c>
      <c r="BG76" s="1111"/>
      <c r="BH76" s="3464"/>
      <c r="BI76" s="23"/>
      <c r="BJ76" s="23"/>
      <c r="BK76" s="23"/>
      <c r="BL76" s="23"/>
    </row>
    <row r="77" spans="1:64" ht="16.2" hidden="1" thickBot="1" x14ac:dyDescent="0.35">
      <c r="B77" s="780" t="s">
        <v>826</v>
      </c>
      <c r="C77" s="2345" t="s">
        <v>931</v>
      </c>
      <c r="D77" s="2346" t="s">
        <v>50</v>
      </c>
      <c r="E77" s="783"/>
      <c r="F77" s="2348"/>
      <c r="G77" s="783"/>
      <c r="H77" s="2348"/>
      <c r="I77" s="2575"/>
      <c r="J77" s="39">
        <f t="shared" si="25"/>
        <v>0</v>
      </c>
      <c r="K77" s="783"/>
      <c r="L77" s="2348"/>
      <c r="M77" s="830"/>
      <c r="N77" s="574">
        <f t="shared" si="17"/>
        <v>0</v>
      </c>
      <c r="O77" s="783"/>
      <c r="P77" s="2348"/>
      <c r="Q77" s="782"/>
      <c r="R77" s="341">
        <f t="shared" si="18"/>
        <v>0</v>
      </c>
      <c r="S77" s="783"/>
      <c r="T77" s="2581">
        <v>205</v>
      </c>
      <c r="U77" s="782"/>
      <c r="V77" s="341">
        <f t="shared" si="19"/>
        <v>205</v>
      </c>
      <c r="W77" s="783"/>
      <c r="X77" s="2348">
        <v>205.00000000000003</v>
      </c>
      <c r="Y77" s="532"/>
      <c r="Z77" s="3696">
        <f t="shared" si="0"/>
        <v>410</v>
      </c>
      <c r="AA77" s="617"/>
      <c r="AB77" s="3697">
        <f t="shared" si="1"/>
        <v>410</v>
      </c>
      <c r="AC77" s="783"/>
      <c r="AD77" s="2348"/>
      <c r="AE77" s="782"/>
      <c r="AF77" s="341">
        <f t="shared" si="20"/>
        <v>410</v>
      </c>
      <c r="AG77" s="783"/>
      <c r="AH77" s="2348"/>
      <c r="AI77" s="782"/>
      <c r="AJ77" s="718">
        <f t="shared" ref="AJ77:AJ142" si="29">+AF77+AH77</f>
        <v>410</v>
      </c>
      <c r="AK77" s="783"/>
      <c r="AL77" s="2348"/>
      <c r="AM77" s="532"/>
      <c r="AN77" s="3696">
        <f t="shared" si="26"/>
        <v>0</v>
      </c>
      <c r="AO77" s="718"/>
      <c r="AP77" s="341">
        <f t="shared" si="21"/>
        <v>410</v>
      </c>
      <c r="AQ77" s="783"/>
      <c r="AR77" s="2348"/>
      <c r="AS77" s="782"/>
      <c r="AT77" s="718">
        <f t="shared" si="22"/>
        <v>410</v>
      </c>
      <c r="AU77" s="783"/>
      <c r="AV77" s="2348"/>
      <c r="AW77" s="782"/>
      <c r="AX77" s="341">
        <f t="shared" si="23"/>
        <v>410</v>
      </c>
      <c r="AY77" s="783"/>
      <c r="AZ77" s="2348"/>
      <c r="BA77" s="532"/>
      <c r="BB77" s="532">
        <f t="shared" si="24"/>
        <v>0</v>
      </c>
      <c r="BC77" s="617"/>
      <c r="BD77" s="617">
        <f t="shared" si="27"/>
        <v>0</v>
      </c>
      <c r="BE77" s="718"/>
      <c r="BF77" s="718">
        <f t="shared" si="28"/>
        <v>410</v>
      </c>
      <c r="BG77" s="1111"/>
      <c r="BH77" s="3464"/>
      <c r="BI77" s="23"/>
      <c r="BJ77" s="23"/>
      <c r="BK77" s="23"/>
      <c r="BL77" s="23"/>
    </row>
    <row r="78" spans="1:64" ht="16.2" hidden="1" thickBot="1" x14ac:dyDescent="0.35">
      <c r="B78" s="780" t="s">
        <v>826</v>
      </c>
      <c r="C78" s="2345" t="s">
        <v>991</v>
      </c>
      <c r="D78" s="2346" t="s">
        <v>50</v>
      </c>
      <c r="E78" s="3982"/>
      <c r="F78" s="3969"/>
      <c r="G78" s="3982"/>
      <c r="H78" s="3969"/>
      <c r="I78" s="3983"/>
      <c r="J78" s="39">
        <f t="shared" si="25"/>
        <v>0</v>
      </c>
      <c r="K78" s="3982"/>
      <c r="L78" s="3969"/>
      <c r="M78" s="3984"/>
      <c r="N78" s="574">
        <f t="shared" si="17"/>
        <v>0</v>
      </c>
      <c r="O78" s="3982"/>
      <c r="P78" s="3969"/>
      <c r="Q78" s="3983"/>
      <c r="R78" s="341">
        <f t="shared" si="18"/>
        <v>0</v>
      </c>
      <c r="S78" s="3982"/>
      <c r="T78" s="4910"/>
      <c r="U78" s="3983"/>
      <c r="V78" s="341">
        <f t="shared" si="19"/>
        <v>0</v>
      </c>
      <c r="W78" s="3982"/>
      <c r="X78" s="3969">
        <v>309.54999999999995</v>
      </c>
      <c r="Y78" s="3985"/>
      <c r="Z78" s="3696">
        <f t="shared" si="0"/>
        <v>309.54999999999995</v>
      </c>
      <c r="AA78" s="3986"/>
      <c r="AB78" s="3697">
        <f t="shared" si="1"/>
        <v>309.54999999999995</v>
      </c>
      <c r="AC78" s="3982"/>
      <c r="AD78" s="3969"/>
      <c r="AE78" s="3983"/>
      <c r="AF78" s="341">
        <f t="shared" si="20"/>
        <v>309.54999999999995</v>
      </c>
      <c r="AG78" s="3982"/>
      <c r="AH78" s="3969"/>
      <c r="AI78" s="3983"/>
      <c r="AJ78" s="341">
        <f t="shared" si="29"/>
        <v>309.54999999999995</v>
      </c>
      <c r="AK78" s="3982"/>
      <c r="AL78" s="3969"/>
      <c r="AM78" s="3985"/>
      <c r="AN78" s="3696">
        <f t="shared" si="26"/>
        <v>0</v>
      </c>
      <c r="AO78" s="3970"/>
      <c r="AP78" s="341">
        <f t="shared" si="21"/>
        <v>309.54999999999995</v>
      </c>
      <c r="AQ78" s="3982"/>
      <c r="AR78" s="3969"/>
      <c r="AS78" s="3983"/>
      <c r="AT78" s="718">
        <f t="shared" si="22"/>
        <v>309.54999999999995</v>
      </c>
      <c r="AU78" s="3982"/>
      <c r="AV78" s="3969"/>
      <c r="AW78" s="3983"/>
      <c r="AX78" s="341">
        <f t="shared" si="23"/>
        <v>309.54999999999995</v>
      </c>
      <c r="AY78" s="3982"/>
      <c r="AZ78" s="3969"/>
      <c r="BA78" s="3985"/>
      <c r="BB78" s="532">
        <f t="shared" si="24"/>
        <v>0</v>
      </c>
      <c r="BC78" s="3986"/>
      <c r="BD78" s="617">
        <f t="shared" si="27"/>
        <v>0</v>
      </c>
      <c r="BE78" s="3970"/>
      <c r="BF78" s="718">
        <f t="shared" si="28"/>
        <v>309.54999999999995</v>
      </c>
      <c r="BG78" s="1111"/>
      <c r="BH78" s="3464"/>
      <c r="BI78" s="23"/>
      <c r="BJ78" s="23"/>
      <c r="BK78" s="23"/>
      <c r="BL78" s="23"/>
    </row>
    <row r="79" spans="1:64" ht="16.2" hidden="1" thickBot="1" x14ac:dyDescent="0.35">
      <c r="B79" s="780" t="s">
        <v>826</v>
      </c>
      <c r="C79" s="2345" t="s">
        <v>929</v>
      </c>
      <c r="D79" s="2346" t="s">
        <v>50</v>
      </c>
      <c r="E79" s="783"/>
      <c r="F79" s="2348"/>
      <c r="G79" s="783"/>
      <c r="H79" s="2348"/>
      <c r="I79" s="2575"/>
      <c r="J79" s="39">
        <f t="shared" si="25"/>
        <v>0</v>
      </c>
      <c r="K79" s="783"/>
      <c r="L79" s="2348"/>
      <c r="M79" s="830"/>
      <c r="N79" s="574">
        <f t="shared" si="17"/>
        <v>0</v>
      </c>
      <c r="O79" s="783"/>
      <c r="P79" s="2348"/>
      <c r="Q79" s="782"/>
      <c r="R79" s="341">
        <f t="shared" si="18"/>
        <v>0</v>
      </c>
      <c r="S79" s="783"/>
      <c r="T79" s="2581"/>
      <c r="U79" s="782"/>
      <c r="V79" s="341">
        <f t="shared" si="19"/>
        <v>0</v>
      </c>
      <c r="W79" s="783"/>
      <c r="X79" s="2348"/>
      <c r="Y79" s="532"/>
      <c r="Z79" s="3696">
        <f t="shared" si="0"/>
        <v>0</v>
      </c>
      <c r="AA79" s="617"/>
      <c r="AB79" s="3697">
        <f t="shared" si="1"/>
        <v>0</v>
      </c>
      <c r="AC79" s="783"/>
      <c r="AD79" s="2348"/>
      <c r="AE79" s="782"/>
      <c r="AF79" s="341">
        <f t="shared" si="20"/>
        <v>0</v>
      </c>
      <c r="AG79" s="783"/>
      <c r="AH79" s="2348"/>
      <c r="AI79" s="782"/>
      <c r="AJ79" s="341">
        <f t="shared" si="29"/>
        <v>0</v>
      </c>
      <c r="AK79" s="783"/>
      <c r="AL79" s="2348"/>
      <c r="AM79" s="532"/>
      <c r="AN79" s="3696">
        <f t="shared" si="26"/>
        <v>0</v>
      </c>
      <c r="AO79" s="718"/>
      <c r="AP79" s="341">
        <f t="shared" si="21"/>
        <v>0</v>
      </c>
      <c r="AQ79" s="783"/>
      <c r="AR79" s="2348"/>
      <c r="AS79" s="782"/>
      <c r="AT79" s="718">
        <f t="shared" si="22"/>
        <v>0</v>
      </c>
      <c r="AU79" s="783"/>
      <c r="AV79" s="2348"/>
      <c r="AW79" s="782"/>
      <c r="AX79" s="341">
        <f t="shared" si="23"/>
        <v>0</v>
      </c>
      <c r="AY79" s="783"/>
      <c r="AZ79" s="2348"/>
      <c r="BA79" s="532"/>
      <c r="BB79" s="532">
        <f t="shared" si="24"/>
        <v>0</v>
      </c>
      <c r="BC79" s="617"/>
      <c r="BD79" s="617">
        <f t="shared" si="27"/>
        <v>0</v>
      </c>
      <c r="BE79" s="718"/>
      <c r="BF79" s="718">
        <f t="shared" si="28"/>
        <v>0</v>
      </c>
      <c r="BG79" s="1111"/>
      <c r="BH79" s="3464"/>
      <c r="BI79" s="23"/>
      <c r="BJ79" s="23"/>
      <c r="BK79" s="23"/>
      <c r="BL79" s="23"/>
    </row>
    <row r="80" spans="1:64" ht="16.2" hidden="1" thickBot="1" x14ac:dyDescent="0.35">
      <c r="B80" s="780" t="s">
        <v>826</v>
      </c>
      <c r="C80" s="2345" t="s">
        <v>1089</v>
      </c>
      <c r="D80" s="2346" t="s">
        <v>50</v>
      </c>
      <c r="E80" s="783"/>
      <c r="F80" s="2348"/>
      <c r="G80" s="783"/>
      <c r="H80" s="2348"/>
      <c r="I80" s="2575"/>
      <c r="J80" s="39">
        <f t="shared" si="25"/>
        <v>0</v>
      </c>
      <c r="K80" s="783"/>
      <c r="L80" s="2348"/>
      <c r="M80" s="830"/>
      <c r="N80" s="574">
        <f t="shared" si="17"/>
        <v>0</v>
      </c>
      <c r="O80" s="783"/>
      <c r="P80" s="2348"/>
      <c r="Q80" s="782"/>
      <c r="R80" s="341">
        <f t="shared" si="18"/>
        <v>0</v>
      </c>
      <c r="S80" s="783"/>
      <c r="T80" s="2581"/>
      <c r="U80" s="782"/>
      <c r="V80" s="341">
        <f t="shared" si="19"/>
        <v>0</v>
      </c>
      <c r="W80" s="783"/>
      <c r="X80" s="2348"/>
      <c r="Y80" s="532"/>
      <c r="Z80" s="3696">
        <f t="shared" ref="Z80:Z146" si="30">P80+T80+X80</f>
        <v>0</v>
      </c>
      <c r="AA80" s="617"/>
      <c r="AB80" s="3697">
        <f t="shared" ref="AB80:AB146" si="31">N80+Z80</f>
        <v>0</v>
      </c>
      <c r="AC80" s="783"/>
      <c r="AD80" s="2348"/>
      <c r="AE80" s="782"/>
      <c r="AF80" s="341">
        <f t="shared" si="20"/>
        <v>0</v>
      </c>
      <c r="AG80" s="783"/>
      <c r="AH80" s="2348"/>
      <c r="AI80" s="782"/>
      <c r="AJ80" s="341">
        <f t="shared" si="29"/>
        <v>0</v>
      </c>
      <c r="AK80" s="783"/>
      <c r="AL80" s="2348"/>
      <c r="AM80" s="532"/>
      <c r="AN80" s="3696">
        <f t="shared" si="26"/>
        <v>0</v>
      </c>
      <c r="AO80" s="718"/>
      <c r="AP80" s="341">
        <f t="shared" si="21"/>
        <v>0</v>
      </c>
      <c r="AQ80" s="783"/>
      <c r="AR80" s="2348"/>
      <c r="AS80" s="782"/>
      <c r="AT80" s="718">
        <f t="shared" si="22"/>
        <v>0</v>
      </c>
      <c r="AU80" s="783"/>
      <c r="AV80" s="2348"/>
      <c r="AW80" s="782"/>
      <c r="AX80" s="341">
        <f t="shared" si="23"/>
        <v>0</v>
      </c>
      <c r="AY80" s="783"/>
      <c r="AZ80" s="2348"/>
      <c r="BA80" s="532"/>
      <c r="BB80" s="532">
        <f t="shared" si="24"/>
        <v>0</v>
      </c>
      <c r="BC80" s="617"/>
      <c r="BD80" s="617">
        <f t="shared" si="27"/>
        <v>0</v>
      </c>
      <c r="BE80" s="718"/>
      <c r="BF80" s="718">
        <f t="shared" si="28"/>
        <v>0</v>
      </c>
      <c r="BG80" s="1111"/>
      <c r="BH80" s="3464"/>
      <c r="BI80" s="23"/>
      <c r="BJ80" s="23"/>
      <c r="BK80" s="23"/>
      <c r="BL80" s="23"/>
    </row>
    <row r="81" spans="2:64" ht="16.2" hidden="1" thickBot="1" x14ac:dyDescent="0.35">
      <c r="B81" s="780" t="s">
        <v>826</v>
      </c>
      <c r="C81" s="2345" t="s">
        <v>1387</v>
      </c>
      <c r="D81" s="2346" t="s">
        <v>50</v>
      </c>
      <c r="E81" s="783"/>
      <c r="F81" s="2348"/>
      <c r="G81" s="783"/>
      <c r="H81" s="2348"/>
      <c r="I81" s="2575"/>
      <c r="J81" s="39">
        <f t="shared" si="25"/>
        <v>0</v>
      </c>
      <c r="K81" s="783"/>
      <c r="L81" s="2348"/>
      <c r="M81" s="2548"/>
      <c r="N81" s="574">
        <f t="shared" si="17"/>
        <v>0</v>
      </c>
      <c r="O81" s="783"/>
      <c r="P81" s="2348"/>
      <c r="Q81" s="2575"/>
      <c r="R81" s="341">
        <f t="shared" si="18"/>
        <v>0</v>
      </c>
      <c r="S81" s="783"/>
      <c r="T81" s="2581"/>
      <c r="U81" s="2575"/>
      <c r="V81" s="341">
        <f t="shared" si="19"/>
        <v>0</v>
      </c>
      <c r="W81" s="783"/>
      <c r="X81" s="2348"/>
      <c r="Y81" s="2351"/>
      <c r="Z81" s="3696">
        <f t="shared" si="30"/>
        <v>0</v>
      </c>
      <c r="AA81" s="2352"/>
      <c r="AB81" s="3697">
        <f t="shared" si="31"/>
        <v>0</v>
      </c>
      <c r="AC81" s="783"/>
      <c r="AD81" s="2348"/>
      <c r="AE81" s="2575"/>
      <c r="AF81" s="341">
        <f t="shared" si="20"/>
        <v>0</v>
      </c>
      <c r="AG81" s="783"/>
      <c r="AH81" s="2348"/>
      <c r="AI81" s="2575"/>
      <c r="AJ81" s="341">
        <f t="shared" si="29"/>
        <v>0</v>
      </c>
      <c r="AK81" s="783"/>
      <c r="AL81" s="2348"/>
      <c r="AM81" s="2351"/>
      <c r="AN81" s="3696">
        <f t="shared" si="26"/>
        <v>0</v>
      </c>
      <c r="AO81" s="2349"/>
      <c r="AP81" s="341">
        <f t="shared" si="21"/>
        <v>0</v>
      </c>
      <c r="AQ81" s="783"/>
      <c r="AR81" s="2348"/>
      <c r="AS81" s="2575"/>
      <c r="AT81" s="718">
        <f t="shared" si="22"/>
        <v>0</v>
      </c>
      <c r="AU81" s="783"/>
      <c r="AV81" s="2348"/>
      <c r="AW81" s="2575"/>
      <c r="AX81" s="341">
        <f t="shared" si="23"/>
        <v>0</v>
      </c>
      <c r="AY81" s="783"/>
      <c r="AZ81" s="2348"/>
      <c r="BA81" s="2351"/>
      <c r="BB81" s="532">
        <f t="shared" si="24"/>
        <v>0</v>
      </c>
      <c r="BC81" s="2352"/>
      <c r="BD81" s="617">
        <f t="shared" si="27"/>
        <v>0</v>
      </c>
      <c r="BE81" s="2349"/>
      <c r="BF81" s="718">
        <f t="shared" si="28"/>
        <v>0</v>
      </c>
      <c r="BG81" s="1111"/>
      <c r="BH81" s="3464"/>
      <c r="BI81" s="23"/>
      <c r="BJ81" s="23"/>
      <c r="BK81" s="23"/>
      <c r="BL81" s="23"/>
    </row>
    <row r="82" spans="2:64" ht="16.2" hidden="1" thickBot="1" x14ac:dyDescent="0.35">
      <c r="B82" s="780" t="s">
        <v>826</v>
      </c>
      <c r="C82" s="2345" t="s">
        <v>1779</v>
      </c>
      <c r="D82" s="2346" t="s">
        <v>50</v>
      </c>
      <c r="E82" s="783"/>
      <c r="F82" s="2348"/>
      <c r="G82" s="783"/>
      <c r="H82" s="2348"/>
      <c r="I82" s="2575"/>
      <c r="J82" s="39">
        <f t="shared" si="25"/>
        <v>0</v>
      </c>
      <c r="K82" s="783"/>
      <c r="L82" s="2348"/>
      <c r="M82" s="2548"/>
      <c r="N82" s="574">
        <f t="shared" si="17"/>
        <v>0</v>
      </c>
      <c r="O82" s="783"/>
      <c r="P82" s="2348"/>
      <c r="Q82" s="2575"/>
      <c r="R82" s="341">
        <f t="shared" si="18"/>
        <v>0</v>
      </c>
      <c r="S82" s="783"/>
      <c r="T82" s="2348"/>
      <c r="U82" s="2575"/>
      <c r="V82" s="341">
        <f t="shared" si="19"/>
        <v>0</v>
      </c>
      <c r="W82" s="783"/>
      <c r="X82" s="2348"/>
      <c r="Y82" s="2351"/>
      <c r="Z82" s="3696">
        <f t="shared" si="30"/>
        <v>0</v>
      </c>
      <c r="AA82" s="2352"/>
      <c r="AB82" s="3697">
        <f t="shared" si="31"/>
        <v>0</v>
      </c>
      <c r="AC82" s="783"/>
      <c r="AD82" s="2348"/>
      <c r="AE82" s="2575"/>
      <c r="AF82" s="341">
        <f t="shared" si="20"/>
        <v>0</v>
      </c>
      <c r="AG82" s="783"/>
      <c r="AH82" s="2348"/>
      <c r="AI82" s="2575"/>
      <c r="AJ82" s="341">
        <f t="shared" si="29"/>
        <v>0</v>
      </c>
      <c r="AK82" s="783"/>
      <c r="AL82" s="2348"/>
      <c r="AM82" s="2351"/>
      <c r="AN82" s="3696">
        <f t="shared" si="26"/>
        <v>0</v>
      </c>
      <c r="AO82" s="2349"/>
      <c r="AP82" s="341">
        <f t="shared" si="21"/>
        <v>0</v>
      </c>
      <c r="AQ82" s="783"/>
      <c r="AR82" s="2348"/>
      <c r="AS82" s="2575"/>
      <c r="AT82" s="718">
        <f t="shared" si="22"/>
        <v>0</v>
      </c>
      <c r="AU82" s="783"/>
      <c r="AV82" s="2348"/>
      <c r="AW82" s="2575"/>
      <c r="AX82" s="341">
        <f t="shared" si="23"/>
        <v>0</v>
      </c>
      <c r="AY82" s="783"/>
      <c r="AZ82" s="2348"/>
      <c r="BA82" s="2351"/>
      <c r="BB82" s="532">
        <f t="shared" si="24"/>
        <v>0</v>
      </c>
      <c r="BC82" s="2352"/>
      <c r="BD82" s="617">
        <f t="shared" si="27"/>
        <v>0</v>
      </c>
      <c r="BE82" s="2349"/>
      <c r="BF82" s="718">
        <f t="shared" si="28"/>
        <v>0</v>
      </c>
      <c r="BG82" s="1111"/>
      <c r="BH82" s="3464"/>
      <c r="BI82" s="23"/>
      <c r="BJ82" s="23"/>
      <c r="BK82" s="23"/>
      <c r="BL82" s="23"/>
    </row>
    <row r="83" spans="2:64" ht="16.2" hidden="1" thickBot="1" x14ac:dyDescent="0.35">
      <c r="B83" s="780" t="s">
        <v>826</v>
      </c>
      <c r="C83" s="2345" t="s">
        <v>1443</v>
      </c>
      <c r="D83" s="2346" t="s">
        <v>50</v>
      </c>
      <c r="E83" s="783"/>
      <c r="F83" s="2348"/>
      <c r="G83" s="783"/>
      <c r="H83" s="2348"/>
      <c r="I83" s="2575"/>
      <c r="J83" s="39">
        <f t="shared" si="25"/>
        <v>0</v>
      </c>
      <c r="K83" s="783"/>
      <c r="L83" s="2348"/>
      <c r="M83" s="830"/>
      <c r="N83" s="574">
        <f t="shared" si="17"/>
        <v>0</v>
      </c>
      <c r="O83" s="783"/>
      <c r="P83" s="2348"/>
      <c r="Q83" s="782"/>
      <c r="R83" s="341">
        <f t="shared" si="18"/>
        <v>0</v>
      </c>
      <c r="S83" s="783"/>
      <c r="T83" s="2348"/>
      <c r="U83" s="782"/>
      <c r="V83" s="341">
        <f t="shared" si="19"/>
        <v>0</v>
      </c>
      <c r="W83" s="783"/>
      <c r="X83" s="2348"/>
      <c r="Y83" s="532"/>
      <c r="Z83" s="3696">
        <f t="shared" si="30"/>
        <v>0</v>
      </c>
      <c r="AA83" s="617"/>
      <c r="AB83" s="3697">
        <f t="shared" si="31"/>
        <v>0</v>
      </c>
      <c r="AC83" s="783"/>
      <c r="AD83" s="2348"/>
      <c r="AE83" s="782"/>
      <c r="AF83" s="341">
        <f t="shared" si="20"/>
        <v>0</v>
      </c>
      <c r="AG83" s="783"/>
      <c r="AH83" s="2348"/>
      <c r="AI83" s="782"/>
      <c r="AJ83" s="341">
        <f t="shared" si="29"/>
        <v>0</v>
      </c>
      <c r="AK83" s="783"/>
      <c r="AL83" s="2348"/>
      <c r="AM83" s="532"/>
      <c r="AN83" s="3696">
        <f t="shared" si="26"/>
        <v>0</v>
      </c>
      <c r="AO83" s="718"/>
      <c r="AP83" s="341">
        <f t="shared" si="21"/>
        <v>0</v>
      </c>
      <c r="AQ83" s="783"/>
      <c r="AR83" s="2348"/>
      <c r="AS83" s="782"/>
      <c r="AT83" s="718">
        <f t="shared" si="22"/>
        <v>0</v>
      </c>
      <c r="AU83" s="783"/>
      <c r="AV83" s="2348"/>
      <c r="AW83" s="782"/>
      <c r="AX83" s="341">
        <f t="shared" si="23"/>
        <v>0</v>
      </c>
      <c r="AY83" s="783"/>
      <c r="AZ83" s="2348"/>
      <c r="BA83" s="532"/>
      <c r="BB83" s="532">
        <f t="shared" si="24"/>
        <v>0</v>
      </c>
      <c r="BC83" s="617"/>
      <c r="BD83" s="617">
        <f t="shared" si="27"/>
        <v>0</v>
      </c>
      <c r="BE83" s="718"/>
      <c r="BF83" s="718">
        <f t="shared" si="28"/>
        <v>0</v>
      </c>
      <c r="BG83" s="1111"/>
      <c r="BH83" s="3464"/>
      <c r="BI83" s="23"/>
      <c r="BJ83" s="23"/>
      <c r="BK83" s="23"/>
      <c r="BL83" s="23"/>
    </row>
    <row r="84" spans="2:64" ht="16.2" hidden="1" thickBot="1" x14ac:dyDescent="0.35">
      <c r="B84" s="3503" t="s">
        <v>826</v>
      </c>
      <c r="C84" s="3504" t="s">
        <v>1389</v>
      </c>
      <c r="D84" s="2819" t="s">
        <v>50</v>
      </c>
      <c r="E84" s="3505"/>
      <c r="F84" s="3981"/>
      <c r="G84" s="3505"/>
      <c r="H84" s="3981"/>
      <c r="I84" s="3683"/>
      <c r="J84" s="39">
        <f t="shared" si="25"/>
        <v>0</v>
      </c>
      <c r="K84" s="3505"/>
      <c r="L84" s="3981"/>
      <c r="M84" s="3684"/>
      <c r="N84" s="574">
        <f t="shared" si="17"/>
        <v>0</v>
      </c>
      <c r="O84" s="3505"/>
      <c r="P84" s="3981"/>
      <c r="Q84" s="3683"/>
      <c r="R84" s="341">
        <f t="shared" si="18"/>
        <v>0</v>
      </c>
      <c r="S84" s="3505"/>
      <c r="T84" s="3981"/>
      <c r="U84" s="3683"/>
      <c r="V84" s="341">
        <f t="shared" si="19"/>
        <v>0</v>
      </c>
      <c r="W84" s="3505"/>
      <c r="X84" s="3981"/>
      <c r="Y84" s="3687"/>
      <c r="Z84" s="3696">
        <f t="shared" si="30"/>
        <v>0</v>
      </c>
      <c r="AA84" s="3688"/>
      <c r="AB84" s="3697">
        <f t="shared" si="31"/>
        <v>0</v>
      </c>
      <c r="AC84" s="3505"/>
      <c r="AD84" s="3981"/>
      <c r="AE84" s="3683"/>
      <c r="AF84" s="341">
        <f t="shared" si="20"/>
        <v>0</v>
      </c>
      <c r="AG84" s="3505"/>
      <c r="AH84" s="3981"/>
      <c r="AI84" s="3683"/>
      <c r="AJ84" s="341">
        <f t="shared" si="29"/>
        <v>0</v>
      </c>
      <c r="AK84" s="3505"/>
      <c r="AL84" s="3981"/>
      <c r="AM84" s="532"/>
      <c r="AN84" s="3696">
        <f t="shared" si="26"/>
        <v>0</v>
      </c>
      <c r="AO84" s="718"/>
      <c r="AP84" s="341">
        <f t="shared" si="21"/>
        <v>0</v>
      </c>
      <c r="AQ84" s="3505"/>
      <c r="AR84" s="3981"/>
      <c r="AS84" s="782"/>
      <c r="AT84" s="718">
        <f t="shared" si="22"/>
        <v>0</v>
      </c>
      <c r="AU84" s="3505"/>
      <c r="AV84" s="3981"/>
      <c r="AW84" s="782"/>
      <c r="AX84" s="341">
        <f t="shared" si="23"/>
        <v>0</v>
      </c>
      <c r="AY84" s="3505"/>
      <c r="AZ84" s="3981"/>
      <c r="BA84" s="532"/>
      <c r="BB84" s="532">
        <f t="shared" si="24"/>
        <v>0</v>
      </c>
      <c r="BC84" s="617"/>
      <c r="BD84" s="617">
        <f t="shared" si="27"/>
        <v>0</v>
      </c>
      <c r="BE84" s="718"/>
      <c r="BF84" s="718">
        <f t="shared" si="28"/>
        <v>0</v>
      </c>
      <c r="BG84" s="1111"/>
      <c r="BH84" s="3464"/>
      <c r="BI84" s="23"/>
      <c r="BJ84" s="23"/>
      <c r="BK84" s="23"/>
      <c r="BL84" s="23"/>
    </row>
    <row r="85" spans="2:64" ht="16.2" hidden="1" thickBot="1" x14ac:dyDescent="0.35">
      <c r="B85" s="2562" t="s">
        <v>1792</v>
      </c>
      <c r="C85" s="3156" t="s">
        <v>1086</v>
      </c>
      <c r="D85" s="3700" t="s">
        <v>50</v>
      </c>
      <c r="E85" s="3142"/>
      <c r="F85" s="145"/>
      <c r="G85" s="3142"/>
      <c r="H85" s="145"/>
      <c r="I85" s="2574"/>
      <c r="J85" s="39">
        <f t="shared" si="25"/>
        <v>0</v>
      </c>
      <c r="K85" s="3142"/>
      <c r="L85" s="145"/>
      <c r="M85" s="3143"/>
      <c r="N85" s="574">
        <f t="shared" si="17"/>
        <v>0</v>
      </c>
      <c r="O85" s="3142"/>
      <c r="P85" s="145"/>
      <c r="Q85" s="2574"/>
      <c r="R85" s="341">
        <f t="shared" si="18"/>
        <v>0</v>
      </c>
      <c r="S85" s="3142"/>
      <c r="T85" s="145">
        <f>1125.45-20.5-14.35</f>
        <v>1090.6000000000001</v>
      </c>
      <c r="U85" s="2574"/>
      <c r="V85" s="341">
        <f t="shared" si="19"/>
        <v>1090.6000000000001</v>
      </c>
      <c r="W85" s="3142"/>
      <c r="X85" s="145"/>
      <c r="Y85" s="3696"/>
      <c r="Z85" s="3696">
        <f t="shared" si="30"/>
        <v>1090.6000000000001</v>
      </c>
      <c r="AA85" s="3697"/>
      <c r="AB85" s="3697">
        <f t="shared" si="31"/>
        <v>1090.6000000000001</v>
      </c>
      <c r="AC85" s="3142"/>
      <c r="AD85" s="145"/>
      <c r="AE85" s="2574"/>
      <c r="AF85" s="341">
        <f t="shared" si="20"/>
        <v>1090.6000000000001</v>
      </c>
      <c r="AG85" s="3142"/>
      <c r="AH85" s="145"/>
      <c r="AI85" s="2574"/>
      <c r="AJ85" s="2045">
        <f t="shared" si="29"/>
        <v>1090.6000000000001</v>
      </c>
      <c r="AK85" s="3142"/>
      <c r="AL85" s="145"/>
      <c r="AM85" s="3677"/>
      <c r="AN85" s="3696">
        <f t="shared" si="26"/>
        <v>0</v>
      </c>
      <c r="AO85" s="3619"/>
      <c r="AP85" s="341">
        <f t="shared" si="21"/>
        <v>1090.6000000000001</v>
      </c>
      <c r="AQ85" s="3142"/>
      <c r="AR85" s="145"/>
      <c r="AS85" s="3682"/>
      <c r="AT85" s="718">
        <f t="shared" si="22"/>
        <v>1090.6000000000001</v>
      </c>
      <c r="AU85" s="3142"/>
      <c r="AV85" s="145"/>
      <c r="AW85" s="3682"/>
      <c r="AX85" s="341">
        <f t="shared" si="23"/>
        <v>1090.6000000000001</v>
      </c>
      <c r="AY85" s="3142"/>
      <c r="AZ85" s="145"/>
      <c r="BA85" s="3677"/>
      <c r="BB85" s="532">
        <f t="shared" si="24"/>
        <v>0</v>
      </c>
      <c r="BC85" s="3678"/>
      <c r="BD85" s="617">
        <f t="shared" si="27"/>
        <v>0</v>
      </c>
      <c r="BE85" s="3619"/>
      <c r="BF85" s="718">
        <f t="shared" si="28"/>
        <v>1090.6000000000001</v>
      </c>
      <c r="BG85" s="1111"/>
      <c r="BH85" s="3464"/>
      <c r="BI85" s="23"/>
      <c r="BJ85" s="23"/>
      <c r="BK85" s="23"/>
      <c r="BL85" s="23"/>
    </row>
    <row r="86" spans="2:64" ht="16.2" hidden="1" thickBot="1" x14ac:dyDescent="0.35">
      <c r="B86" s="2562" t="s">
        <v>1792</v>
      </c>
      <c r="C86" s="2345" t="s">
        <v>991</v>
      </c>
      <c r="D86" s="3700" t="s">
        <v>50</v>
      </c>
      <c r="E86" s="3146"/>
      <c r="F86" s="1095"/>
      <c r="G86" s="3146"/>
      <c r="H86" s="1095"/>
      <c r="I86" s="3147"/>
      <c r="J86" s="39">
        <f t="shared" si="25"/>
        <v>0</v>
      </c>
      <c r="K86" s="3146"/>
      <c r="L86" s="1095"/>
      <c r="M86" s="3148"/>
      <c r="N86" s="574">
        <f t="shared" si="17"/>
        <v>0</v>
      </c>
      <c r="O86" s="3146"/>
      <c r="P86" s="1095"/>
      <c r="Q86" s="3147"/>
      <c r="R86" s="341">
        <f t="shared" si="18"/>
        <v>0</v>
      </c>
      <c r="S86" s="3146"/>
      <c r="T86" s="1095"/>
      <c r="U86" s="3147"/>
      <c r="V86" s="341">
        <f t="shared" si="19"/>
        <v>0</v>
      </c>
      <c r="W86" s="3146"/>
      <c r="X86" s="1095"/>
      <c r="Y86" s="3692"/>
      <c r="Z86" s="3696">
        <f t="shared" si="30"/>
        <v>0</v>
      </c>
      <c r="AA86" s="3693"/>
      <c r="AB86" s="3697">
        <f t="shared" si="31"/>
        <v>0</v>
      </c>
      <c r="AC86" s="3146"/>
      <c r="AD86" s="1095"/>
      <c r="AE86" s="3147"/>
      <c r="AF86" s="341">
        <f t="shared" si="20"/>
        <v>0</v>
      </c>
      <c r="AG86" s="3146"/>
      <c r="AH86" s="1095"/>
      <c r="AI86" s="3147"/>
      <c r="AJ86" s="341">
        <f>+AF86+AH86</f>
        <v>0</v>
      </c>
      <c r="AK86" s="3146"/>
      <c r="AL86" s="1095"/>
      <c r="AM86" s="3985"/>
      <c r="AN86" s="3696">
        <f t="shared" si="26"/>
        <v>0</v>
      </c>
      <c r="AO86" s="3970"/>
      <c r="AP86" s="341">
        <f t="shared" si="21"/>
        <v>0</v>
      </c>
      <c r="AQ86" s="3146"/>
      <c r="AR86" s="1095"/>
      <c r="AS86" s="3983"/>
      <c r="AT86" s="718">
        <f t="shared" si="22"/>
        <v>0</v>
      </c>
      <c r="AU86" s="3146"/>
      <c r="AV86" s="1095"/>
      <c r="AW86" s="3983"/>
      <c r="AX86" s="341">
        <f t="shared" si="23"/>
        <v>0</v>
      </c>
      <c r="AY86" s="3146"/>
      <c r="AZ86" s="1095"/>
      <c r="BA86" s="3985"/>
      <c r="BB86" s="532">
        <f t="shared" si="24"/>
        <v>0</v>
      </c>
      <c r="BC86" s="3986"/>
      <c r="BD86" s="617">
        <f t="shared" si="27"/>
        <v>0</v>
      </c>
      <c r="BE86" s="3970"/>
      <c r="BF86" s="718">
        <f t="shared" si="28"/>
        <v>0</v>
      </c>
      <c r="BG86" s="1111"/>
      <c r="BH86" s="3464"/>
      <c r="BI86" s="23"/>
      <c r="BJ86" s="23"/>
      <c r="BK86" s="23"/>
      <c r="BL86" s="23"/>
    </row>
    <row r="87" spans="2:64" ht="16.2" hidden="1" thickBot="1" x14ac:dyDescent="0.35">
      <c r="B87" s="3689" t="s">
        <v>1792</v>
      </c>
      <c r="C87" s="4122" t="s">
        <v>931</v>
      </c>
      <c r="D87" s="4392" t="s">
        <v>50</v>
      </c>
      <c r="E87" s="3146"/>
      <c r="F87" s="1095"/>
      <c r="G87" s="3146"/>
      <c r="H87" s="1095"/>
      <c r="I87" s="3147"/>
      <c r="J87" s="39">
        <f t="shared" si="25"/>
        <v>0</v>
      </c>
      <c r="K87" s="3146"/>
      <c r="L87" s="1095"/>
      <c r="M87" s="3148"/>
      <c r="N87" s="574">
        <f t="shared" si="17"/>
        <v>0</v>
      </c>
      <c r="O87" s="3146"/>
      <c r="P87" s="1095"/>
      <c r="Q87" s="3147"/>
      <c r="R87" s="341">
        <f t="shared" si="18"/>
        <v>0</v>
      </c>
      <c r="S87" s="3146"/>
      <c r="T87" s="1095"/>
      <c r="U87" s="3147"/>
      <c r="V87" s="341">
        <f t="shared" si="19"/>
        <v>0</v>
      </c>
      <c r="W87" s="3146"/>
      <c r="X87" s="1095"/>
      <c r="Y87" s="3692"/>
      <c r="Z87" s="3696">
        <f t="shared" si="30"/>
        <v>0</v>
      </c>
      <c r="AA87" s="3693"/>
      <c r="AB87" s="3697">
        <f t="shared" si="31"/>
        <v>0</v>
      </c>
      <c r="AC87" s="3146"/>
      <c r="AD87" s="1095"/>
      <c r="AE87" s="3147"/>
      <c r="AF87" s="341">
        <f t="shared" si="20"/>
        <v>0</v>
      </c>
      <c r="AG87" s="3146"/>
      <c r="AH87" s="1095"/>
      <c r="AI87" s="3147"/>
      <c r="AJ87" s="341">
        <f t="shared" ref="AJ87:AJ88" si="32">+AF87+AH87</f>
        <v>0</v>
      </c>
      <c r="AK87" s="3146"/>
      <c r="AL87" s="1095"/>
      <c r="AM87" s="4393"/>
      <c r="AN87" s="3696">
        <f t="shared" si="26"/>
        <v>0</v>
      </c>
      <c r="AO87" s="4394"/>
      <c r="AP87" s="341">
        <f t="shared" si="21"/>
        <v>0</v>
      </c>
      <c r="AQ87" s="3146"/>
      <c r="AR87" s="1095"/>
      <c r="AS87" s="4395"/>
      <c r="AT87" s="4394">
        <f t="shared" si="22"/>
        <v>0</v>
      </c>
      <c r="AU87" s="3146"/>
      <c r="AV87" s="1095"/>
      <c r="AW87" s="4395"/>
      <c r="AX87" s="341">
        <f t="shared" si="23"/>
        <v>0</v>
      </c>
      <c r="AY87" s="3146"/>
      <c r="AZ87" s="1095"/>
      <c r="BA87" s="4393"/>
      <c r="BB87" s="532">
        <f t="shared" si="24"/>
        <v>0</v>
      </c>
      <c r="BC87" s="4396"/>
      <c r="BD87" s="4137">
        <f t="shared" si="27"/>
        <v>0</v>
      </c>
      <c r="BE87" s="4394"/>
      <c r="BF87" s="718">
        <f t="shared" si="28"/>
        <v>0</v>
      </c>
      <c r="BG87" s="1111"/>
      <c r="BH87" s="3464"/>
      <c r="BI87" s="23"/>
      <c r="BJ87" s="23"/>
      <c r="BK87" s="23"/>
      <c r="BL87" s="23"/>
    </row>
    <row r="88" spans="2:64" ht="16.2" hidden="1" thickBot="1" x14ac:dyDescent="0.35">
      <c r="B88" s="780" t="s">
        <v>1792</v>
      </c>
      <c r="C88" s="3694" t="s">
        <v>1793</v>
      </c>
      <c r="D88" s="2819" t="s">
        <v>50</v>
      </c>
      <c r="E88" s="3695"/>
      <c r="F88" s="3672"/>
      <c r="G88" s="3695"/>
      <c r="H88" s="3672"/>
      <c r="I88" s="3682"/>
      <c r="J88" s="39">
        <f t="shared" si="25"/>
        <v>0</v>
      </c>
      <c r="K88" s="3695"/>
      <c r="L88" s="3672">
        <v>79.95</v>
      </c>
      <c r="M88" s="3675"/>
      <c r="N88" s="574">
        <f t="shared" si="17"/>
        <v>79.95</v>
      </c>
      <c r="O88" s="3695"/>
      <c r="P88" s="3672"/>
      <c r="Q88" s="3682"/>
      <c r="R88" s="341">
        <f t="shared" si="18"/>
        <v>79.95</v>
      </c>
      <c r="S88" s="3695"/>
      <c r="T88" s="3672"/>
      <c r="U88" s="3682"/>
      <c r="V88" s="341">
        <f t="shared" si="19"/>
        <v>79.95</v>
      </c>
      <c r="W88" s="3695"/>
      <c r="X88" s="3672"/>
      <c r="Y88" s="3677"/>
      <c r="Z88" s="3696">
        <f t="shared" si="30"/>
        <v>0</v>
      </c>
      <c r="AA88" s="3678"/>
      <c r="AB88" s="3697">
        <f t="shared" si="31"/>
        <v>79.95</v>
      </c>
      <c r="AC88" s="3695"/>
      <c r="AD88" s="3672"/>
      <c r="AE88" s="3682"/>
      <c r="AF88" s="341">
        <f t="shared" si="20"/>
        <v>79.95</v>
      </c>
      <c r="AG88" s="3695"/>
      <c r="AH88" s="3672"/>
      <c r="AI88" s="3682"/>
      <c r="AJ88" s="341">
        <f t="shared" si="32"/>
        <v>79.95</v>
      </c>
      <c r="AK88" s="3695"/>
      <c r="AL88" s="3672"/>
      <c r="AM88" s="3677"/>
      <c r="AN88" s="3696">
        <f t="shared" si="26"/>
        <v>0</v>
      </c>
      <c r="AO88" s="3619"/>
      <c r="AP88" s="341">
        <f t="shared" si="21"/>
        <v>79.95</v>
      </c>
      <c r="AQ88" s="3695"/>
      <c r="AR88" s="3672"/>
      <c r="AS88" s="3682"/>
      <c r="AT88" s="718">
        <f t="shared" si="22"/>
        <v>79.95</v>
      </c>
      <c r="AU88" s="3695"/>
      <c r="AV88" s="3672"/>
      <c r="AW88" s="3682"/>
      <c r="AX88" s="341">
        <f t="shared" si="23"/>
        <v>79.95</v>
      </c>
      <c r="AY88" s="3695"/>
      <c r="AZ88" s="3672"/>
      <c r="BA88" s="3677"/>
      <c r="BB88" s="532">
        <f t="shared" si="24"/>
        <v>0</v>
      </c>
      <c r="BC88" s="3678"/>
      <c r="BD88" s="617">
        <f t="shared" si="27"/>
        <v>0</v>
      </c>
      <c r="BE88" s="3619"/>
      <c r="BF88" s="718">
        <f t="shared" si="28"/>
        <v>79.95</v>
      </c>
      <c r="BG88" s="1111"/>
      <c r="BH88" s="3464"/>
      <c r="BI88" s="23"/>
      <c r="BJ88" s="23"/>
      <c r="BK88" s="23"/>
      <c r="BL88" s="23"/>
    </row>
    <row r="89" spans="2:64" ht="16.2" hidden="1" thickBot="1" x14ac:dyDescent="0.35">
      <c r="B89" s="2566" t="s">
        <v>1792</v>
      </c>
      <c r="C89" s="3160" t="s">
        <v>1794</v>
      </c>
      <c r="D89" s="2568" t="s">
        <v>50</v>
      </c>
      <c r="E89" s="3140"/>
      <c r="F89" s="103"/>
      <c r="G89" s="3140"/>
      <c r="H89" s="103"/>
      <c r="I89" s="2577"/>
      <c r="J89" s="39">
        <f t="shared" si="25"/>
        <v>0</v>
      </c>
      <c r="K89" s="3140"/>
      <c r="L89" s="103">
        <v>434.6</v>
      </c>
      <c r="M89" s="3141"/>
      <c r="N89" s="574">
        <f t="shared" si="17"/>
        <v>434.6</v>
      </c>
      <c r="O89" s="3140"/>
      <c r="P89" s="103"/>
      <c r="Q89" s="2577"/>
      <c r="R89" s="341">
        <f t="shared" si="18"/>
        <v>434.6</v>
      </c>
      <c r="S89" s="3140"/>
      <c r="T89" s="103"/>
      <c r="U89" s="2577"/>
      <c r="V89" s="341">
        <f t="shared" si="19"/>
        <v>434.6</v>
      </c>
      <c r="W89" s="3140"/>
      <c r="X89" s="103"/>
      <c r="Y89" s="3698"/>
      <c r="Z89" s="3696">
        <f t="shared" si="30"/>
        <v>0</v>
      </c>
      <c r="AA89" s="3699"/>
      <c r="AB89" s="3697">
        <f t="shared" si="31"/>
        <v>434.6</v>
      </c>
      <c r="AC89" s="3140"/>
      <c r="AD89" s="103"/>
      <c r="AE89" s="2577"/>
      <c r="AF89" s="341">
        <f t="shared" si="20"/>
        <v>434.6</v>
      </c>
      <c r="AG89" s="3140"/>
      <c r="AH89" s="103"/>
      <c r="AI89" s="2577"/>
      <c r="AJ89" s="341">
        <f t="shared" ref="AJ89" si="33">+AF89+AH89</f>
        <v>434.6</v>
      </c>
      <c r="AK89" s="3140"/>
      <c r="AL89" s="103"/>
      <c r="AM89" s="3677"/>
      <c r="AN89" s="3696">
        <f t="shared" si="26"/>
        <v>0</v>
      </c>
      <c r="AO89" s="3619"/>
      <c r="AP89" s="341">
        <f t="shared" si="21"/>
        <v>434.6</v>
      </c>
      <c r="AQ89" s="3140"/>
      <c r="AR89" s="103"/>
      <c r="AS89" s="3682"/>
      <c r="AT89" s="718">
        <f t="shared" si="22"/>
        <v>434.6</v>
      </c>
      <c r="AU89" s="3140"/>
      <c r="AV89" s="103"/>
      <c r="AW89" s="3682"/>
      <c r="AX89" s="341">
        <f t="shared" si="23"/>
        <v>434.6</v>
      </c>
      <c r="AY89" s="3140"/>
      <c r="AZ89" s="103"/>
      <c r="BA89" s="3677"/>
      <c r="BB89" s="532">
        <f t="shared" si="24"/>
        <v>0</v>
      </c>
      <c r="BC89" s="3678"/>
      <c r="BD89" s="617">
        <f t="shared" si="27"/>
        <v>0</v>
      </c>
      <c r="BE89" s="3619"/>
      <c r="BF89" s="718">
        <f t="shared" si="28"/>
        <v>434.6</v>
      </c>
      <c r="BG89" s="1111"/>
      <c r="BH89" s="3464"/>
      <c r="BI89" s="23"/>
      <c r="BJ89" s="23"/>
      <c r="BK89" s="23"/>
      <c r="BL89" s="23"/>
    </row>
    <row r="90" spans="2:64" ht="16.2" hidden="1" thickBot="1" x14ac:dyDescent="0.35">
      <c r="B90" s="3689" t="s">
        <v>999</v>
      </c>
      <c r="C90" s="3690" t="s">
        <v>1086</v>
      </c>
      <c r="D90" s="45" t="s">
        <v>50</v>
      </c>
      <c r="E90" s="3691"/>
      <c r="F90" s="1095"/>
      <c r="G90" s="3691"/>
      <c r="H90" s="1095"/>
      <c r="I90" s="3147"/>
      <c r="J90" s="39">
        <f t="shared" si="25"/>
        <v>0</v>
      </c>
      <c r="K90" s="3691"/>
      <c r="L90" s="1095"/>
      <c r="M90" s="3148"/>
      <c r="N90" s="574">
        <f t="shared" si="17"/>
        <v>0</v>
      </c>
      <c r="O90" s="3691"/>
      <c r="P90" s="1095">
        <f>1184.9-2.05</f>
        <v>1182.8500000000001</v>
      </c>
      <c r="Q90" s="3147"/>
      <c r="R90" s="341">
        <f t="shared" si="18"/>
        <v>1182.8500000000001</v>
      </c>
      <c r="S90" s="3691"/>
      <c r="T90" s="1095"/>
      <c r="U90" s="3147"/>
      <c r="V90" s="341">
        <f t="shared" si="19"/>
        <v>1182.8500000000001</v>
      </c>
      <c r="W90" s="3691"/>
      <c r="X90" s="1095">
        <v>1215.6500000000001</v>
      </c>
      <c r="Y90" s="3692"/>
      <c r="Z90" s="3696">
        <f t="shared" si="30"/>
        <v>2398.5</v>
      </c>
      <c r="AA90" s="3693"/>
      <c r="AB90" s="3697">
        <f t="shared" si="31"/>
        <v>2398.5</v>
      </c>
      <c r="AC90" s="3691"/>
      <c r="AD90" s="1095">
        <v>590.40000000000009</v>
      </c>
      <c r="AE90" s="3147"/>
      <c r="AF90" s="341">
        <f t="shared" si="20"/>
        <v>2988.9</v>
      </c>
      <c r="AG90" s="3691"/>
      <c r="AH90" s="1095"/>
      <c r="AI90" s="3147"/>
      <c r="AJ90" s="2045">
        <f t="shared" si="29"/>
        <v>2988.9</v>
      </c>
      <c r="AK90" s="3691"/>
      <c r="AL90" s="1095">
        <f>1246.4-14.35</f>
        <v>1232.0500000000002</v>
      </c>
      <c r="AM90" s="532"/>
      <c r="AN90" s="3696">
        <f t="shared" si="26"/>
        <v>1822.4500000000003</v>
      </c>
      <c r="AO90" s="718"/>
      <c r="AP90" s="341">
        <f t="shared" si="21"/>
        <v>4220.9500000000007</v>
      </c>
      <c r="AQ90" s="3691"/>
      <c r="AR90" s="1095">
        <v>1340.6999999999994</v>
      </c>
      <c r="AS90" s="782"/>
      <c r="AT90" s="718">
        <f t="shared" si="22"/>
        <v>5561.65</v>
      </c>
      <c r="AU90" s="3691"/>
      <c r="AV90" s="1095"/>
      <c r="AW90" s="782"/>
      <c r="AX90" s="341">
        <f t="shared" si="23"/>
        <v>5561.65</v>
      </c>
      <c r="AY90" s="3691"/>
      <c r="AZ90" s="1095"/>
      <c r="BA90" s="532"/>
      <c r="BB90" s="532">
        <f t="shared" si="24"/>
        <v>1340.6999999999994</v>
      </c>
      <c r="BC90" s="617"/>
      <c r="BD90" s="617">
        <f t="shared" si="27"/>
        <v>3163.1499999999996</v>
      </c>
      <c r="BE90" s="718"/>
      <c r="BF90" s="718">
        <f t="shared" si="28"/>
        <v>5561.65</v>
      </c>
      <c r="BG90" s="1111"/>
      <c r="BH90" s="3464"/>
      <c r="BI90" s="23"/>
      <c r="BJ90" s="23"/>
      <c r="BK90" s="23"/>
      <c r="BL90" s="23"/>
    </row>
    <row r="91" spans="2:64" ht="16.2" hidden="1" thickBot="1" x14ac:dyDescent="0.35">
      <c r="B91" s="780" t="s">
        <v>825</v>
      </c>
      <c r="C91" s="2345" t="s">
        <v>931</v>
      </c>
      <c r="D91" s="2346" t="s">
        <v>50</v>
      </c>
      <c r="E91" s="783"/>
      <c r="F91" s="2348"/>
      <c r="G91" s="783"/>
      <c r="H91" s="2348"/>
      <c r="I91" s="2575"/>
      <c r="J91" s="39">
        <f t="shared" si="25"/>
        <v>0</v>
      </c>
      <c r="K91" s="783"/>
      <c r="L91" s="2348"/>
      <c r="M91" s="830"/>
      <c r="N91" s="574">
        <f t="shared" si="17"/>
        <v>0</v>
      </c>
      <c r="O91" s="783"/>
      <c r="P91" s="2348">
        <f>1385.8-4.1</f>
        <v>1381.7</v>
      </c>
      <c r="Q91" s="782"/>
      <c r="R91" s="341">
        <f t="shared" si="18"/>
        <v>1381.7</v>
      </c>
      <c r="S91" s="783"/>
      <c r="T91" s="2348"/>
      <c r="U91" s="782"/>
      <c r="V91" s="341">
        <f t="shared" si="19"/>
        <v>1381.7</v>
      </c>
      <c r="W91" s="783"/>
      <c r="X91" s="2348">
        <v>196.79999999999998</v>
      </c>
      <c r="Y91" s="532"/>
      <c r="Z91" s="3696">
        <f t="shared" si="30"/>
        <v>1578.5</v>
      </c>
      <c r="AA91" s="617"/>
      <c r="AB91" s="3697">
        <f t="shared" si="31"/>
        <v>1578.5</v>
      </c>
      <c r="AC91" s="783"/>
      <c r="AD91" s="2348">
        <f>1281.25-18.45</f>
        <v>1262.8</v>
      </c>
      <c r="AE91" s="782"/>
      <c r="AF91" s="341">
        <f t="shared" si="20"/>
        <v>2841.3</v>
      </c>
      <c r="AG91" s="783"/>
      <c r="AH91" s="2348"/>
      <c r="AI91" s="782"/>
      <c r="AJ91" s="718">
        <f t="shared" si="29"/>
        <v>2841.3</v>
      </c>
      <c r="AK91" s="783"/>
      <c r="AL91" s="2348">
        <f>1359.15-4.1</f>
        <v>1355.0500000000002</v>
      </c>
      <c r="AM91" s="532"/>
      <c r="AN91" s="3696">
        <f t="shared" si="26"/>
        <v>2617.8500000000004</v>
      </c>
      <c r="AO91" s="718"/>
      <c r="AP91" s="341">
        <f t="shared" si="21"/>
        <v>4196.3500000000004</v>
      </c>
      <c r="AQ91" s="783"/>
      <c r="AR91" s="2348">
        <v>2152.5000000000005</v>
      </c>
      <c r="AS91" s="782"/>
      <c r="AT91" s="718">
        <f t="shared" si="22"/>
        <v>6348.85</v>
      </c>
      <c r="AU91" s="783"/>
      <c r="AV91" s="2348"/>
      <c r="AW91" s="782"/>
      <c r="AX91" s="341">
        <f t="shared" si="23"/>
        <v>6348.85</v>
      </c>
      <c r="AY91" s="783"/>
      <c r="AZ91" s="2348"/>
      <c r="BA91" s="532"/>
      <c r="BB91" s="532">
        <f t="shared" si="24"/>
        <v>2152.5000000000005</v>
      </c>
      <c r="BC91" s="617"/>
      <c r="BD91" s="617">
        <f t="shared" si="27"/>
        <v>4770.3500000000004</v>
      </c>
      <c r="BE91" s="718"/>
      <c r="BF91" s="718">
        <f t="shared" si="28"/>
        <v>6348.85</v>
      </c>
      <c r="BG91" s="1111"/>
      <c r="BH91" s="3464"/>
      <c r="BI91" s="23"/>
      <c r="BJ91" s="23"/>
      <c r="BK91" s="23"/>
      <c r="BL91" s="23"/>
    </row>
    <row r="92" spans="2:64" ht="15" hidden="1" customHeight="1" thickBot="1" x14ac:dyDescent="0.35">
      <c r="B92" s="780" t="s">
        <v>999</v>
      </c>
      <c r="C92" s="2345" t="s">
        <v>991</v>
      </c>
      <c r="D92" s="2346" t="s">
        <v>50</v>
      </c>
      <c r="E92" s="783"/>
      <c r="F92" s="2348"/>
      <c r="G92" s="783"/>
      <c r="H92" s="2348"/>
      <c r="I92" s="2575"/>
      <c r="J92" s="39">
        <f t="shared" si="25"/>
        <v>0</v>
      </c>
      <c r="K92" s="783"/>
      <c r="L92" s="2348"/>
      <c r="M92" s="830"/>
      <c r="N92" s="574">
        <f t="shared" si="17"/>
        <v>0</v>
      </c>
      <c r="O92" s="783"/>
      <c r="P92" s="2348"/>
      <c r="Q92" s="782"/>
      <c r="R92" s="341">
        <f t="shared" si="18"/>
        <v>0</v>
      </c>
      <c r="S92" s="783"/>
      <c r="T92" s="2348"/>
      <c r="U92" s="782"/>
      <c r="V92" s="341">
        <f t="shared" si="19"/>
        <v>0</v>
      </c>
      <c r="W92" s="783"/>
      <c r="X92" s="2348">
        <v>405.9</v>
      </c>
      <c r="Y92" s="532"/>
      <c r="Z92" s="3696">
        <f t="shared" si="30"/>
        <v>405.9</v>
      </c>
      <c r="AA92" s="617"/>
      <c r="AB92" s="3697">
        <f t="shared" si="31"/>
        <v>405.9</v>
      </c>
      <c r="AC92" s="783"/>
      <c r="AD92" s="2348"/>
      <c r="AE92" s="782"/>
      <c r="AF92" s="341">
        <f t="shared" si="20"/>
        <v>405.9</v>
      </c>
      <c r="AG92" s="783"/>
      <c r="AH92" s="2348"/>
      <c r="AI92" s="782"/>
      <c r="AJ92" s="341">
        <f t="shared" si="29"/>
        <v>405.9</v>
      </c>
      <c r="AK92" s="783"/>
      <c r="AL92" s="2348"/>
      <c r="AM92" s="532"/>
      <c r="AN92" s="3696">
        <f t="shared" si="26"/>
        <v>0</v>
      </c>
      <c r="AO92" s="718"/>
      <c r="AP92" s="341">
        <f t="shared" si="21"/>
        <v>405.9</v>
      </c>
      <c r="AQ92" s="783"/>
      <c r="AR92" s="2348"/>
      <c r="AS92" s="782"/>
      <c r="AT92" s="718">
        <f t="shared" si="22"/>
        <v>405.9</v>
      </c>
      <c r="AU92" s="783"/>
      <c r="AV92" s="2348"/>
      <c r="AW92" s="782"/>
      <c r="AX92" s="341">
        <f t="shared" si="23"/>
        <v>405.9</v>
      </c>
      <c r="AY92" s="783"/>
      <c r="AZ92" s="2348"/>
      <c r="BA92" s="532"/>
      <c r="BB92" s="532">
        <f t="shared" si="24"/>
        <v>0</v>
      </c>
      <c r="BC92" s="617"/>
      <c r="BD92" s="617">
        <f t="shared" si="27"/>
        <v>0</v>
      </c>
      <c r="BE92" s="718"/>
      <c r="BF92" s="718">
        <f t="shared" si="28"/>
        <v>405.9</v>
      </c>
      <c r="BG92" s="1111"/>
      <c r="BH92" s="3464"/>
      <c r="BI92" s="23"/>
      <c r="BJ92" s="23"/>
      <c r="BK92" s="23"/>
      <c r="BL92" s="23"/>
    </row>
    <row r="93" spans="2:64" ht="15" hidden="1" customHeight="1" thickBot="1" x14ac:dyDescent="0.35">
      <c r="B93" s="3503" t="s">
        <v>999</v>
      </c>
      <c r="C93" s="3504" t="s">
        <v>904</v>
      </c>
      <c r="D93" s="2819" t="s">
        <v>50</v>
      </c>
      <c r="E93" s="3505"/>
      <c r="F93" s="2587"/>
      <c r="G93" s="3505"/>
      <c r="H93" s="2587"/>
      <c r="I93" s="3506"/>
      <c r="J93" s="39">
        <f t="shared" si="25"/>
        <v>0</v>
      </c>
      <c r="K93" s="3505"/>
      <c r="L93" s="2587"/>
      <c r="M93" s="2548"/>
      <c r="N93" s="574">
        <f t="shared" si="17"/>
        <v>0</v>
      </c>
      <c r="O93" s="3505"/>
      <c r="P93" s="2587"/>
      <c r="Q93" s="2575"/>
      <c r="R93" s="341">
        <f t="shared" si="18"/>
        <v>0</v>
      </c>
      <c r="S93" s="3505"/>
      <c r="T93" s="2587"/>
      <c r="U93" s="2575"/>
      <c r="V93" s="341">
        <f t="shared" si="19"/>
        <v>0</v>
      </c>
      <c r="W93" s="3505"/>
      <c r="X93" s="2587"/>
      <c r="Y93" s="2351"/>
      <c r="Z93" s="3696">
        <f t="shared" si="30"/>
        <v>0</v>
      </c>
      <c r="AA93" s="2352"/>
      <c r="AB93" s="3697">
        <f t="shared" si="31"/>
        <v>0</v>
      </c>
      <c r="AC93" s="3505"/>
      <c r="AD93" s="2587"/>
      <c r="AE93" s="2575"/>
      <c r="AF93" s="341">
        <f t="shared" si="20"/>
        <v>0</v>
      </c>
      <c r="AG93" s="3505"/>
      <c r="AH93" s="2587"/>
      <c r="AI93" s="2575"/>
      <c r="AJ93" s="341">
        <f t="shared" si="29"/>
        <v>0</v>
      </c>
      <c r="AK93" s="3505"/>
      <c r="AL93" s="2587"/>
      <c r="AM93" s="2351"/>
      <c r="AN93" s="3696">
        <f t="shared" si="26"/>
        <v>0</v>
      </c>
      <c r="AO93" s="2349"/>
      <c r="AP93" s="341">
        <f t="shared" si="21"/>
        <v>0</v>
      </c>
      <c r="AQ93" s="3505"/>
      <c r="AR93" s="2587"/>
      <c r="AS93" s="2575"/>
      <c r="AT93" s="718">
        <f t="shared" si="22"/>
        <v>0</v>
      </c>
      <c r="AU93" s="3505"/>
      <c r="AV93" s="2587"/>
      <c r="AW93" s="2575"/>
      <c r="AX93" s="341">
        <f t="shared" si="23"/>
        <v>0</v>
      </c>
      <c r="AY93" s="3505"/>
      <c r="AZ93" s="2587"/>
      <c r="BA93" s="2351"/>
      <c r="BB93" s="532">
        <f t="shared" si="24"/>
        <v>0</v>
      </c>
      <c r="BC93" s="2352"/>
      <c r="BD93" s="617">
        <f t="shared" si="27"/>
        <v>0</v>
      </c>
      <c r="BE93" s="2349"/>
      <c r="BF93" s="718">
        <f t="shared" si="28"/>
        <v>0</v>
      </c>
      <c r="BG93" s="1111"/>
      <c r="BH93" s="3464"/>
      <c r="BI93" s="23"/>
      <c r="BJ93" s="23"/>
      <c r="BK93" s="23"/>
      <c r="BL93" s="23"/>
    </row>
    <row r="94" spans="2:64" ht="15" hidden="1" customHeight="1" thickBot="1" x14ac:dyDescent="0.35">
      <c r="B94" s="3503" t="s">
        <v>999</v>
      </c>
      <c r="C94" s="3504" t="s">
        <v>990</v>
      </c>
      <c r="D94" s="2819" t="s">
        <v>50</v>
      </c>
      <c r="E94" s="3505"/>
      <c r="F94" s="2587"/>
      <c r="G94" s="3505"/>
      <c r="H94" s="2587"/>
      <c r="I94" s="3506"/>
      <c r="J94" s="39">
        <f t="shared" si="25"/>
        <v>0</v>
      </c>
      <c r="K94" s="3505"/>
      <c r="L94" s="2587"/>
      <c r="M94" s="2548"/>
      <c r="N94" s="574">
        <f t="shared" si="17"/>
        <v>0</v>
      </c>
      <c r="O94" s="3505"/>
      <c r="P94" s="2587"/>
      <c r="Q94" s="2575"/>
      <c r="R94" s="341">
        <f t="shared" si="18"/>
        <v>0</v>
      </c>
      <c r="S94" s="3505"/>
      <c r="T94" s="2587"/>
      <c r="U94" s="2575"/>
      <c r="V94" s="341">
        <f t="shared" si="19"/>
        <v>0</v>
      </c>
      <c r="W94" s="3505"/>
      <c r="X94" s="2587"/>
      <c r="Y94" s="2351"/>
      <c r="Z94" s="3696">
        <f t="shared" si="30"/>
        <v>0</v>
      </c>
      <c r="AA94" s="2352"/>
      <c r="AB94" s="3697">
        <f t="shared" si="31"/>
        <v>0</v>
      </c>
      <c r="AC94" s="3505"/>
      <c r="AD94" s="2587">
        <v>243.95</v>
      </c>
      <c r="AE94" s="2575"/>
      <c r="AF94" s="341">
        <f t="shared" si="20"/>
        <v>243.95</v>
      </c>
      <c r="AG94" s="3505"/>
      <c r="AH94" s="2587"/>
      <c r="AI94" s="2575"/>
      <c r="AJ94" s="341">
        <f t="shared" si="29"/>
        <v>243.95</v>
      </c>
      <c r="AK94" s="3505"/>
      <c r="AL94" s="2587"/>
      <c r="AM94" s="2351"/>
      <c r="AN94" s="3696">
        <f t="shared" si="26"/>
        <v>243.95</v>
      </c>
      <c r="AO94" s="2349"/>
      <c r="AP94" s="341">
        <f t="shared" si="21"/>
        <v>243.95</v>
      </c>
      <c r="AQ94" s="3505"/>
      <c r="AR94" s="2587"/>
      <c r="AS94" s="2575"/>
      <c r="AT94" s="718">
        <f t="shared" si="22"/>
        <v>243.95</v>
      </c>
      <c r="AU94" s="3505"/>
      <c r="AV94" s="2587"/>
      <c r="AW94" s="2575"/>
      <c r="AX94" s="341">
        <f t="shared" si="23"/>
        <v>243.95</v>
      </c>
      <c r="AY94" s="3505"/>
      <c r="AZ94" s="2587"/>
      <c r="BA94" s="2351"/>
      <c r="BB94" s="532">
        <f t="shared" si="24"/>
        <v>0</v>
      </c>
      <c r="BC94" s="2352"/>
      <c r="BD94" s="617">
        <f t="shared" si="27"/>
        <v>243.95</v>
      </c>
      <c r="BE94" s="2349"/>
      <c r="BF94" s="718">
        <f t="shared" si="28"/>
        <v>243.95</v>
      </c>
      <c r="BG94" s="1111"/>
      <c r="BH94" s="3464"/>
      <c r="BI94" s="23"/>
      <c r="BJ94" s="23"/>
      <c r="BK94" s="23"/>
      <c r="BL94" s="23"/>
    </row>
    <row r="95" spans="2:64" ht="15" hidden="1" customHeight="1" thickBot="1" x14ac:dyDescent="0.35">
      <c r="B95" s="3503" t="s">
        <v>999</v>
      </c>
      <c r="C95" s="3504" t="s">
        <v>1387</v>
      </c>
      <c r="D95" s="2819" t="s">
        <v>50</v>
      </c>
      <c r="E95" s="3505"/>
      <c r="F95" s="2587"/>
      <c r="G95" s="3505"/>
      <c r="H95" s="2587"/>
      <c r="I95" s="3506"/>
      <c r="J95" s="39">
        <f t="shared" si="25"/>
        <v>0</v>
      </c>
      <c r="K95" s="3505"/>
      <c r="L95" s="2587"/>
      <c r="M95" s="2548"/>
      <c r="N95" s="574">
        <f t="shared" si="17"/>
        <v>0</v>
      </c>
      <c r="O95" s="3505"/>
      <c r="P95" s="2587"/>
      <c r="Q95" s="2575"/>
      <c r="R95" s="341">
        <f t="shared" si="18"/>
        <v>0</v>
      </c>
      <c r="S95" s="3505"/>
      <c r="T95" s="2587"/>
      <c r="U95" s="2575"/>
      <c r="V95" s="341">
        <f t="shared" si="19"/>
        <v>0</v>
      </c>
      <c r="W95" s="3505"/>
      <c r="X95" s="2587"/>
      <c r="Y95" s="2351"/>
      <c r="Z95" s="3696">
        <f t="shared" si="30"/>
        <v>0</v>
      </c>
      <c r="AA95" s="2352"/>
      <c r="AB95" s="3697">
        <f t="shared" si="31"/>
        <v>0</v>
      </c>
      <c r="AC95" s="3505"/>
      <c r="AD95" s="2587"/>
      <c r="AE95" s="2575"/>
      <c r="AF95" s="341">
        <f t="shared" si="20"/>
        <v>0</v>
      </c>
      <c r="AG95" s="3505"/>
      <c r="AH95" s="2587"/>
      <c r="AI95" s="2575"/>
      <c r="AJ95" s="341">
        <f t="shared" si="29"/>
        <v>0</v>
      </c>
      <c r="AK95" s="3505"/>
      <c r="AL95" s="2587"/>
      <c r="AM95" s="2351"/>
      <c r="AN95" s="3696">
        <f t="shared" si="26"/>
        <v>0</v>
      </c>
      <c r="AO95" s="2349"/>
      <c r="AP95" s="341">
        <f t="shared" si="21"/>
        <v>0</v>
      </c>
      <c r="AQ95" s="3505"/>
      <c r="AR95" s="2587"/>
      <c r="AS95" s="2575"/>
      <c r="AT95" s="718">
        <f t="shared" si="22"/>
        <v>0</v>
      </c>
      <c r="AU95" s="3505"/>
      <c r="AV95" s="2587"/>
      <c r="AW95" s="2575"/>
      <c r="AX95" s="341">
        <f t="shared" si="23"/>
        <v>0</v>
      </c>
      <c r="AY95" s="3505"/>
      <c r="AZ95" s="2587"/>
      <c r="BA95" s="2351"/>
      <c r="BB95" s="532">
        <f t="shared" si="24"/>
        <v>0</v>
      </c>
      <c r="BC95" s="2352"/>
      <c r="BD95" s="617">
        <f t="shared" si="27"/>
        <v>0</v>
      </c>
      <c r="BE95" s="2349"/>
      <c r="BF95" s="718">
        <f t="shared" si="28"/>
        <v>0</v>
      </c>
      <c r="BG95" s="1111"/>
      <c r="BH95" s="3464"/>
      <c r="BI95" s="23"/>
      <c r="BJ95" s="23"/>
      <c r="BK95" s="23"/>
      <c r="BL95" s="23"/>
    </row>
    <row r="96" spans="2:64" ht="15" hidden="1" customHeight="1" thickBot="1" x14ac:dyDescent="0.35">
      <c r="B96" s="2566" t="s">
        <v>999</v>
      </c>
      <c r="C96" s="2567" t="s">
        <v>1389</v>
      </c>
      <c r="D96" s="2568" t="s">
        <v>50</v>
      </c>
      <c r="E96" s="2576"/>
      <c r="F96" s="103"/>
      <c r="G96" s="2576"/>
      <c r="H96" s="103"/>
      <c r="I96" s="2577"/>
      <c r="J96" s="39">
        <f t="shared" si="25"/>
        <v>0</v>
      </c>
      <c r="K96" s="2576"/>
      <c r="L96" s="103"/>
      <c r="M96" s="830"/>
      <c r="N96" s="574">
        <f t="shared" si="17"/>
        <v>0</v>
      </c>
      <c r="O96" s="2576"/>
      <c r="P96" s="103"/>
      <c r="Q96" s="782"/>
      <c r="R96" s="341">
        <f t="shared" si="18"/>
        <v>0</v>
      </c>
      <c r="S96" s="2576"/>
      <c r="T96" s="103"/>
      <c r="U96" s="782"/>
      <c r="V96" s="341">
        <f t="shared" si="19"/>
        <v>0</v>
      </c>
      <c r="W96" s="2576"/>
      <c r="X96" s="103"/>
      <c r="Y96" s="532"/>
      <c r="Z96" s="3696">
        <f t="shared" si="30"/>
        <v>0</v>
      </c>
      <c r="AA96" s="617"/>
      <c r="AB96" s="3697">
        <f t="shared" si="31"/>
        <v>0</v>
      </c>
      <c r="AC96" s="2576"/>
      <c r="AD96" s="103"/>
      <c r="AE96" s="782"/>
      <c r="AF96" s="341">
        <f t="shared" si="20"/>
        <v>0</v>
      </c>
      <c r="AG96" s="2576"/>
      <c r="AH96" s="103"/>
      <c r="AI96" s="782"/>
      <c r="AJ96" s="341">
        <f t="shared" si="29"/>
        <v>0</v>
      </c>
      <c r="AK96" s="2576"/>
      <c r="AL96" s="103"/>
      <c r="AM96" s="532"/>
      <c r="AN96" s="3696">
        <f t="shared" si="26"/>
        <v>0</v>
      </c>
      <c r="AO96" s="718"/>
      <c r="AP96" s="341">
        <f t="shared" si="21"/>
        <v>0</v>
      </c>
      <c r="AQ96" s="2576"/>
      <c r="AR96" s="103">
        <v>79.949999999999989</v>
      </c>
      <c r="AS96" s="782"/>
      <c r="AT96" s="718">
        <f t="shared" si="22"/>
        <v>79.949999999999989</v>
      </c>
      <c r="AU96" s="2576"/>
      <c r="AV96" s="103"/>
      <c r="AW96" s="782"/>
      <c r="AX96" s="341">
        <f t="shared" si="23"/>
        <v>79.949999999999989</v>
      </c>
      <c r="AY96" s="2576"/>
      <c r="AZ96" s="103"/>
      <c r="BA96" s="532"/>
      <c r="BB96" s="532">
        <f t="shared" si="24"/>
        <v>79.949999999999989</v>
      </c>
      <c r="BC96" s="617"/>
      <c r="BD96" s="617">
        <f t="shared" si="27"/>
        <v>79.949999999999989</v>
      </c>
      <c r="BE96" s="718"/>
      <c r="BF96" s="718">
        <f t="shared" si="28"/>
        <v>79.949999999999989</v>
      </c>
      <c r="BG96" s="1111"/>
      <c r="BH96" s="3464"/>
      <c r="BI96" s="23"/>
      <c r="BJ96" s="23"/>
      <c r="BK96" s="23"/>
      <c r="BL96" s="23"/>
    </row>
    <row r="97" spans="2:64" ht="15" hidden="1" customHeight="1" thickBot="1" x14ac:dyDescent="0.35">
      <c r="B97" s="780" t="s">
        <v>836</v>
      </c>
      <c r="C97" s="2345" t="s">
        <v>990</v>
      </c>
      <c r="D97" s="2346" t="s">
        <v>50</v>
      </c>
      <c r="E97" s="783"/>
      <c r="F97" s="2348"/>
      <c r="G97" s="783"/>
      <c r="H97" s="2348"/>
      <c r="I97" s="2575"/>
      <c r="J97" s="39">
        <f t="shared" si="25"/>
        <v>0</v>
      </c>
      <c r="K97" s="783"/>
      <c r="L97" s="2348"/>
      <c r="M97" s="830"/>
      <c r="N97" s="574">
        <f t="shared" si="17"/>
        <v>0</v>
      </c>
      <c r="O97" s="783"/>
      <c r="P97" s="2348"/>
      <c r="Q97" s="782"/>
      <c r="R97" s="341">
        <f t="shared" si="18"/>
        <v>0</v>
      </c>
      <c r="S97" s="783"/>
      <c r="T97" s="2348"/>
      <c r="U97" s="782"/>
      <c r="V97" s="341">
        <f t="shared" si="19"/>
        <v>0</v>
      </c>
      <c r="W97" s="783"/>
      <c r="X97" s="2348"/>
      <c r="Y97" s="532"/>
      <c r="Z97" s="3696">
        <f t="shared" si="30"/>
        <v>0</v>
      </c>
      <c r="AA97" s="617"/>
      <c r="AB97" s="3697">
        <f t="shared" si="31"/>
        <v>0</v>
      </c>
      <c r="AC97" s="783"/>
      <c r="AD97" s="2348"/>
      <c r="AE97" s="782"/>
      <c r="AF97" s="341">
        <f t="shared" si="20"/>
        <v>0</v>
      </c>
      <c r="AG97" s="783"/>
      <c r="AH97" s="2348"/>
      <c r="AI97" s="782"/>
      <c r="AJ97" s="341">
        <f t="shared" si="29"/>
        <v>0</v>
      </c>
      <c r="AK97" s="783"/>
      <c r="AL97" s="2348"/>
      <c r="AM97" s="532"/>
      <c r="AN97" s="3696">
        <f t="shared" si="26"/>
        <v>0</v>
      </c>
      <c r="AO97" s="718"/>
      <c r="AP97" s="341">
        <f t="shared" si="21"/>
        <v>0</v>
      </c>
      <c r="AQ97" s="783"/>
      <c r="AR97" s="2348"/>
      <c r="AS97" s="782"/>
      <c r="AT97" s="718">
        <f t="shared" si="22"/>
        <v>0</v>
      </c>
      <c r="AU97" s="783"/>
      <c r="AV97" s="2348"/>
      <c r="AW97" s="782"/>
      <c r="AX97" s="341">
        <f t="shared" si="23"/>
        <v>0</v>
      </c>
      <c r="AY97" s="783"/>
      <c r="AZ97" s="2348"/>
      <c r="BA97" s="532"/>
      <c r="BB97" s="532">
        <f t="shared" si="24"/>
        <v>0</v>
      </c>
      <c r="BC97" s="617"/>
      <c r="BD97" s="617">
        <f t="shared" si="27"/>
        <v>0</v>
      </c>
      <c r="BE97" s="718"/>
      <c r="BF97" s="718">
        <f t="shared" si="28"/>
        <v>0</v>
      </c>
      <c r="BG97" s="1111"/>
      <c r="BH97" s="3464"/>
      <c r="BI97" s="23"/>
      <c r="BJ97" s="23"/>
      <c r="BK97" s="23"/>
      <c r="BL97" s="23"/>
    </row>
    <row r="98" spans="2:64" ht="15" hidden="1" customHeight="1" thickBot="1" x14ac:dyDescent="0.35">
      <c r="B98" s="780" t="s">
        <v>836</v>
      </c>
      <c r="C98" s="2345" t="s">
        <v>931</v>
      </c>
      <c r="D98" s="2346" t="s">
        <v>50</v>
      </c>
      <c r="E98" s="783"/>
      <c r="F98" s="2348"/>
      <c r="G98" s="783"/>
      <c r="H98" s="2348"/>
      <c r="I98" s="2575"/>
      <c r="J98" s="39">
        <f t="shared" si="25"/>
        <v>0</v>
      </c>
      <c r="K98" s="783"/>
      <c r="L98" s="2348"/>
      <c r="M98" s="2247"/>
      <c r="N98" s="574">
        <f t="shared" si="17"/>
        <v>0</v>
      </c>
      <c r="O98" s="783"/>
      <c r="P98" s="2348"/>
      <c r="Q98" s="2245"/>
      <c r="R98" s="341">
        <f t="shared" si="18"/>
        <v>0</v>
      </c>
      <c r="S98" s="783"/>
      <c r="T98" s="2348"/>
      <c r="U98" s="2245"/>
      <c r="V98" s="341">
        <f t="shared" si="19"/>
        <v>0</v>
      </c>
      <c r="W98" s="783"/>
      <c r="X98" s="2348"/>
      <c r="Y98" s="2249"/>
      <c r="Z98" s="3696">
        <f t="shared" si="30"/>
        <v>0</v>
      </c>
      <c r="AA98" s="617"/>
      <c r="AB98" s="3697">
        <f t="shared" si="31"/>
        <v>0</v>
      </c>
      <c r="AC98" s="783"/>
      <c r="AD98" s="2348"/>
      <c r="AE98" s="2245"/>
      <c r="AF98" s="341">
        <f t="shared" si="20"/>
        <v>0</v>
      </c>
      <c r="AG98" s="783"/>
      <c r="AH98" s="2348"/>
      <c r="AI98" s="2245"/>
      <c r="AJ98" s="718">
        <f t="shared" si="29"/>
        <v>0</v>
      </c>
      <c r="AK98" s="783"/>
      <c r="AL98" s="2348"/>
      <c r="AM98" s="2249"/>
      <c r="AN98" s="3696">
        <f t="shared" si="26"/>
        <v>0</v>
      </c>
      <c r="AO98" s="718"/>
      <c r="AP98" s="341">
        <f t="shared" si="21"/>
        <v>0</v>
      </c>
      <c r="AQ98" s="783"/>
      <c r="AR98" s="2348"/>
      <c r="AS98" s="2245"/>
      <c r="AT98" s="718">
        <f t="shared" si="22"/>
        <v>0</v>
      </c>
      <c r="AU98" s="783"/>
      <c r="AV98" s="2348"/>
      <c r="AW98" s="2245"/>
      <c r="AX98" s="341">
        <f t="shared" si="23"/>
        <v>0</v>
      </c>
      <c r="AY98" s="783"/>
      <c r="AZ98" s="2348"/>
      <c r="BA98" s="2249"/>
      <c r="BB98" s="532">
        <f t="shared" si="24"/>
        <v>0</v>
      </c>
      <c r="BC98" s="617"/>
      <c r="BD98" s="617">
        <f t="shared" si="27"/>
        <v>0</v>
      </c>
      <c r="BE98" s="718"/>
      <c r="BF98" s="718">
        <f t="shared" si="28"/>
        <v>0</v>
      </c>
      <c r="BG98" s="1111"/>
      <c r="BH98" s="3464"/>
      <c r="BI98" s="23"/>
      <c r="BJ98" s="23"/>
      <c r="BK98" s="23"/>
      <c r="BL98" s="23"/>
    </row>
    <row r="99" spans="2:64" ht="15" hidden="1" customHeight="1" thickBot="1" x14ac:dyDescent="0.35">
      <c r="B99" s="780" t="s">
        <v>836</v>
      </c>
      <c r="C99" s="2345" t="s">
        <v>991</v>
      </c>
      <c r="D99" s="2346" t="s">
        <v>50</v>
      </c>
      <c r="E99" s="783"/>
      <c r="F99" s="2348"/>
      <c r="G99" s="783"/>
      <c r="H99" s="2348"/>
      <c r="I99" s="2575"/>
      <c r="J99" s="39">
        <f t="shared" si="25"/>
        <v>0</v>
      </c>
      <c r="K99" s="783"/>
      <c r="L99" s="2348"/>
      <c r="M99" s="830"/>
      <c r="N99" s="574">
        <f t="shared" si="17"/>
        <v>0</v>
      </c>
      <c r="O99" s="783"/>
      <c r="P99" s="2348"/>
      <c r="Q99" s="782"/>
      <c r="R99" s="341">
        <f t="shared" si="18"/>
        <v>0</v>
      </c>
      <c r="S99" s="783"/>
      <c r="T99" s="2348"/>
      <c r="U99" s="782"/>
      <c r="V99" s="341">
        <f t="shared" si="19"/>
        <v>0</v>
      </c>
      <c r="W99" s="783"/>
      <c r="X99" s="2348"/>
      <c r="Y99" s="532"/>
      <c r="Z99" s="3696">
        <f t="shared" si="30"/>
        <v>0</v>
      </c>
      <c r="AA99" s="617"/>
      <c r="AB99" s="3697">
        <f t="shared" si="31"/>
        <v>0</v>
      </c>
      <c r="AC99" s="783"/>
      <c r="AD99" s="2348"/>
      <c r="AE99" s="782"/>
      <c r="AF99" s="341">
        <f t="shared" si="20"/>
        <v>0</v>
      </c>
      <c r="AG99" s="783"/>
      <c r="AH99" s="2348"/>
      <c r="AI99" s="782"/>
      <c r="AJ99" s="341">
        <f t="shared" si="29"/>
        <v>0</v>
      </c>
      <c r="AK99" s="783"/>
      <c r="AL99" s="2348"/>
      <c r="AM99" s="532"/>
      <c r="AN99" s="3696">
        <f t="shared" si="26"/>
        <v>0</v>
      </c>
      <c r="AO99" s="718"/>
      <c r="AP99" s="341">
        <f t="shared" si="21"/>
        <v>0</v>
      </c>
      <c r="AQ99" s="783"/>
      <c r="AR99" s="2348"/>
      <c r="AS99" s="782"/>
      <c r="AT99" s="718">
        <f t="shared" si="22"/>
        <v>0</v>
      </c>
      <c r="AU99" s="783"/>
      <c r="AV99" s="2348"/>
      <c r="AW99" s="782"/>
      <c r="AX99" s="341">
        <f t="shared" si="23"/>
        <v>0</v>
      </c>
      <c r="AY99" s="783"/>
      <c r="AZ99" s="2348"/>
      <c r="BA99" s="532"/>
      <c r="BB99" s="532">
        <f t="shared" si="24"/>
        <v>0</v>
      </c>
      <c r="BC99" s="617"/>
      <c r="BD99" s="617">
        <f t="shared" si="27"/>
        <v>0</v>
      </c>
      <c r="BE99" s="718"/>
      <c r="BF99" s="718">
        <f t="shared" si="28"/>
        <v>0</v>
      </c>
      <c r="BG99" s="1111"/>
      <c r="BH99" s="3464"/>
      <c r="BI99" s="23"/>
      <c r="BJ99" s="23"/>
      <c r="BK99" s="23"/>
      <c r="BL99" s="23"/>
    </row>
    <row r="100" spans="2:64" ht="15" hidden="1" customHeight="1" thickBot="1" x14ac:dyDescent="0.35">
      <c r="B100" s="780" t="s">
        <v>836</v>
      </c>
      <c r="C100" s="2345" t="s">
        <v>904</v>
      </c>
      <c r="D100" s="2346" t="s">
        <v>50</v>
      </c>
      <c r="E100" s="783"/>
      <c r="F100" s="2348"/>
      <c r="G100" s="783"/>
      <c r="H100" s="2348"/>
      <c r="I100" s="2575"/>
      <c r="J100" s="39">
        <f t="shared" si="25"/>
        <v>0</v>
      </c>
      <c r="K100" s="783"/>
      <c r="L100" s="2348"/>
      <c r="M100" s="830"/>
      <c r="N100" s="574">
        <f t="shared" si="17"/>
        <v>0</v>
      </c>
      <c r="O100" s="783"/>
      <c r="P100" s="2348"/>
      <c r="Q100" s="782"/>
      <c r="R100" s="341">
        <f t="shared" si="18"/>
        <v>0</v>
      </c>
      <c r="S100" s="783"/>
      <c r="T100" s="2348"/>
      <c r="U100" s="782"/>
      <c r="V100" s="341">
        <f t="shared" si="19"/>
        <v>0</v>
      </c>
      <c r="W100" s="783"/>
      <c r="X100" s="2348"/>
      <c r="Y100" s="532"/>
      <c r="Z100" s="3696">
        <f t="shared" si="30"/>
        <v>0</v>
      </c>
      <c r="AA100" s="617"/>
      <c r="AB100" s="3697">
        <f t="shared" si="31"/>
        <v>0</v>
      </c>
      <c r="AC100" s="783"/>
      <c r="AD100" s="2348"/>
      <c r="AE100" s="782"/>
      <c r="AF100" s="341">
        <f t="shared" si="20"/>
        <v>0</v>
      </c>
      <c r="AG100" s="783"/>
      <c r="AH100" s="2348"/>
      <c r="AI100" s="782"/>
      <c r="AJ100" s="341">
        <f t="shared" si="29"/>
        <v>0</v>
      </c>
      <c r="AK100" s="783"/>
      <c r="AL100" s="2348"/>
      <c r="AM100" s="532"/>
      <c r="AN100" s="3696">
        <f t="shared" si="26"/>
        <v>0</v>
      </c>
      <c r="AO100" s="718"/>
      <c r="AP100" s="341">
        <f t="shared" si="21"/>
        <v>0</v>
      </c>
      <c r="AQ100" s="783"/>
      <c r="AR100" s="2348"/>
      <c r="AS100" s="782"/>
      <c r="AT100" s="718">
        <f t="shared" si="22"/>
        <v>0</v>
      </c>
      <c r="AU100" s="783"/>
      <c r="AV100" s="2348"/>
      <c r="AW100" s="782"/>
      <c r="AX100" s="341">
        <f t="shared" si="23"/>
        <v>0</v>
      </c>
      <c r="AY100" s="783"/>
      <c r="AZ100" s="2348"/>
      <c r="BA100" s="532"/>
      <c r="BB100" s="532">
        <f t="shared" si="24"/>
        <v>0</v>
      </c>
      <c r="BC100" s="617"/>
      <c r="BD100" s="617">
        <f t="shared" si="27"/>
        <v>0</v>
      </c>
      <c r="BE100" s="718"/>
      <c r="BF100" s="718">
        <f t="shared" si="28"/>
        <v>0</v>
      </c>
      <c r="BG100" s="1111"/>
      <c r="BH100" s="3464"/>
      <c r="BI100" s="23"/>
      <c r="BJ100" s="23"/>
      <c r="BK100" s="23"/>
      <c r="BL100" s="23"/>
    </row>
    <row r="101" spans="2:64" ht="15" hidden="1" customHeight="1" thickBot="1" x14ac:dyDescent="0.35">
      <c r="B101" s="780" t="s">
        <v>836</v>
      </c>
      <c r="C101" s="2345" t="s">
        <v>1779</v>
      </c>
      <c r="D101" s="2346" t="s">
        <v>50</v>
      </c>
      <c r="E101" s="783"/>
      <c r="F101" s="2348"/>
      <c r="G101" s="783"/>
      <c r="H101" s="2348"/>
      <c r="I101" s="2575"/>
      <c r="J101" s="39">
        <f t="shared" si="25"/>
        <v>0</v>
      </c>
      <c r="K101" s="783"/>
      <c r="L101" s="2348"/>
      <c r="M101" s="830"/>
      <c r="N101" s="574">
        <f t="shared" si="17"/>
        <v>0</v>
      </c>
      <c r="O101" s="783"/>
      <c r="P101" s="2348"/>
      <c r="Q101" s="782"/>
      <c r="R101" s="341">
        <f t="shared" si="18"/>
        <v>0</v>
      </c>
      <c r="S101" s="783"/>
      <c r="T101" s="2348"/>
      <c r="U101" s="782"/>
      <c r="V101" s="341">
        <f t="shared" si="19"/>
        <v>0</v>
      </c>
      <c r="W101" s="783"/>
      <c r="X101" s="2348"/>
      <c r="Y101" s="532"/>
      <c r="Z101" s="3696">
        <f t="shared" si="30"/>
        <v>0</v>
      </c>
      <c r="AA101" s="617"/>
      <c r="AB101" s="3697">
        <f t="shared" si="31"/>
        <v>0</v>
      </c>
      <c r="AC101" s="783"/>
      <c r="AD101" s="2348"/>
      <c r="AE101" s="782"/>
      <c r="AF101" s="341">
        <f t="shared" si="20"/>
        <v>0</v>
      </c>
      <c r="AG101" s="783"/>
      <c r="AH101" s="2348"/>
      <c r="AI101" s="782"/>
      <c r="AJ101" s="341">
        <f t="shared" si="29"/>
        <v>0</v>
      </c>
      <c r="AK101" s="783"/>
      <c r="AL101" s="2348"/>
      <c r="AM101" s="532"/>
      <c r="AN101" s="3696">
        <f t="shared" si="26"/>
        <v>0</v>
      </c>
      <c r="AO101" s="718"/>
      <c r="AP101" s="341">
        <f t="shared" si="21"/>
        <v>0</v>
      </c>
      <c r="AQ101" s="783"/>
      <c r="AR101" s="2348"/>
      <c r="AS101" s="782"/>
      <c r="AT101" s="718">
        <f t="shared" si="22"/>
        <v>0</v>
      </c>
      <c r="AU101" s="783"/>
      <c r="AV101" s="2348"/>
      <c r="AW101" s="782"/>
      <c r="AX101" s="341">
        <f t="shared" si="23"/>
        <v>0</v>
      </c>
      <c r="AY101" s="783"/>
      <c r="AZ101" s="2348"/>
      <c r="BA101" s="532"/>
      <c r="BB101" s="532">
        <f t="shared" si="24"/>
        <v>0</v>
      </c>
      <c r="BC101" s="617"/>
      <c r="BD101" s="617">
        <f t="shared" si="27"/>
        <v>0</v>
      </c>
      <c r="BE101" s="718"/>
      <c r="BF101" s="718">
        <f t="shared" si="28"/>
        <v>0</v>
      </c>
      <c r="BG101" s="1111"/>
      <c r="BH101" s="3464"/>
      <c r="BI101" s="23"/>
      <c r="BJ101" s="23"/>
      <c r="BK101" s="23"/>
      <c r="BL101" s="23"/>
    </row>
    <row r="102" spans="2:64" ht="15" hidden="1" customHeight="1" thickBot="1" x14ac:dyDescent="0.35">
      <c r="B102" s="780" t="s">
        <v>836</v>
      </c>
      <c r="C102" s="2345" t="s">
        <v>1309</v>
      </c>
      <c r="D102" s="2346" t="s">
        <v>50</v>
      </c>
      <c r="E102" s="783"/>
      <c r="F102" s="2348"/>
      <c r="G102" s="783"/>
      <c r="H102" s="2348"/>
      <c r="I102" s="2575"/>
      <c r="J102" s="39">
        <f t="shared" si="25"/>
        <v>0</v>
      </c>
      <c r="K102" s="783"/>
      <c r="L102" s="2348"/>
      <c r="M102" s="830"/>
      <c r="N102" s="574">
        <f t="shared" si="17"/>
        <v>0</v>
      </c>
      <c r="O102" s="783"/>
      <c r="P102" s="2348"/>
      <c r="Q102" s="782"/>
      <c r="R102" s="341">
        <f t="shared" si="18"/>
        <v>0</v>
      </c>
      <c r="S102" s="783"/>
      <c r="T102" s="2348"/>
      <c r="U102" s="782"/>
      <c r="V102" s="341">
        <f t="shared" si="19"/>
        <v>0</v>
      </c>
      <c r="W102" s="783"/>
      <c r="X102" s="2348"/>
      <c r="Y102" s="532"/>
      <c r="Z102" s="3696">
        <f t="shared" si="30"/>
        <v>0</v>
      </c>
      <c r="AA102" s="617"/>
      <c r="AB102" s="3697">
        <f t="shared" si="31"/>
        <v>0</v>
      </c>
      <c r="AC102" s="783"/>
      <c r="AD102" s="2348"/>
      <c r="AE102" s="782"/>
      <c r="AF102" s="341">
        <f t="shared" si="20"/>
        <v>0</v>
      </c>
      <c r="AG102" s="783"/>
      <c r="AH102" s="2348"/>
      <c r="AI102" s="782"/>
      <c r="AJ102" s="341">
        <f t="shared" si="29"/>
        <v>0</v>
      </c>
      <c r="AK102" s="783"/>
      <c r="AL102" s="2348"/>
      <c r="AM102" s="532"/>
      <c r="AN102" s="3696">
        <f t="shared" si="26"/>
        <v>0</v>
      </c>
      <c r="AO102" s="718"/>
      <c r="AP102" s="341">
        <f t="shared" si="21"/>
        <v>0</v>
      </c>
      <c r="AQ102" s="783"/>
      <c r="AR102" s="2348"/>
      <c r="AS102" s="782"/>
      <c r="AT102" s="718">
        <f t="shared" si="22"/>
        <v>0</v>
      </c>
      <c r="AU102" s="783"/>
      <c r="AV102" s="2348"/>
      <c r="AW102" s="782"/>
      <c r="AX102" s="341">
        <f t="shared" si="23"/>
        <v>0</v>
      </c>
      <c r="AY102" s="783"/>
      <c r="AZ102" s="2348"/>
      <c r="BA102" s="532"/>
      <c r="BB102" s="532">
        <f t="shared" si="24"/>
        <v>0</v>
      </c>
      <c r="BC102" s="617"/>
      <c r="BD102" s="617">
        <f t="shared" si="27"/>
        <v>0</v>
      </c>
      <c r="BE102" s="718"/>
      <c r="BF102" s="718">
        <f t="shared" si="28"/>
        <v>0</v>
      </c>
      <c r="BG102" s="1111"/>
      <c r="BH102" s="3464"/>
      <c r="BI102" s="23"/>
      <c r="BJ102" s="23"/>
      <c r="BK102" s="23"/>
      <c r="BL102" s="23"/>
    </row>
    <row r="103" spans="2:64" ht="15" hidden="1" customHeight="1" thickBot="1" x14ac:dyDescent="0.35">
      <c r="B103" s="780" t="s">
        <v>836</v>
      </c>
      <c r="C103" s="2345" t="s">
        <v>1337</v>
      </c>
      <c r="D103" s="2346" t="s">
        <v>50</v>
      </c>
      <c r="E103" s="783"/>
      <c r="F103" s="2348"/>
      <c r="G103" s="783"/>
      <c r="H103" s="2348"/>
      <c r="I103" s="2575"/>
      <c r="J103" s="39">
        <f t="shared" si="25"/>
        <v>0</v>
      </c>
      <c r="K103" s="783"/>
      <c r="L103" s="2348"/>
      <c r="M103" s="830"/>
      <c r="N103" s="574">
        <f t="shared" si="17"/>
        <v>0</v>
      </c>
      <c r="O103" s="783"/>
      <c r="P103" s="2348"/>
      <c r="Q103" s="782"/>
      <c r="R103" s="341">
        <f t="shared" si="18"/>
        <v>0</v>
      </c>
      <c r="S103" s="783"/>
      <c r="T103" s="2348"/>
      <c r="U103" s="782"/>
      <c r="V103" s="341">
        <f t="shared" si="19"/>
        <v>0</v>
      </c>
      <c r="W103" s="783"/>
      <c r="X103" s="2348"/>
      <c r="Y103" s="532"/>
      <c r="Z103" s="3696">
        <f t="shared" si="30"/>
        <v>0</v>
      </c>
      <c r="AA103" s="617"/>
      <c r="AB103" s="3697">
        <f t="shared" si="31"/>
        <v>0</v>
      </c>
      <c r="AC103" s="783"/>
      <c r="AD103" s="2348"/>
      <c r="AE103" s="782"/>
      <c r="AF103" s="341">
        <f t="shared" si="20"/>
        <v>0</v>
      </c>
      <c r="AG103" s="783"/>
      <c r="AH103" s="2348"/>
      <c r="AI103" s="782"/>
      <c r="AJ103" s="341">
        <f t="shared" si="29"/>
        <v>0</v>
      </c>
      <c r="AK103" s="783"/>
      <c r="AL103" s="2348"/>
      <c r="AM103" s="532"/>
      <c r="AN103" s="3696">
        <f t="shared" si="26"/>
        <v>0</v>
      </c>
      <c r="AO103" s="718"/>
      <c r="AP103" s="341">
        <f t="shared" si="21"/>
        <v>0</v>
      </c>
      <c r="AQ103" s="783"/>
      <c r="AR103" s="2348"/>
      <c r="AS103" s="782"/>
      <c r="AT103" s="718">
        <f t="shared" si="22"/>
        <v>0</v>
      </c>
      <c r="AU103" s="783"/>
      <c r="AV103" s="2348"/>
      <c r="AW103" s="782"/>
      <c r="AX103" s="341">
        <f t="shared" si="23"/>
        <v>0</v>
      </c>
      <c r="AY103" s="783"/>
      <c r="AZ103" s="2348"/>
      <c r="BA103" s="532"/>
      <c r="BB103" s="532">
        <f t="shared" si="24"/>
        <v>0</v>
      </c>
      <c r="BC103" s="617"/>
      <c r="BD103" s="617">
        <f t="shared" si="27"/>
        <v>0</v>
      </c>
      <c r="BE103" s="718"/>
      <c r="BF103" s="718">
        <f t="shared" si="28"/>
        <v>0</v>
      </c>
      <c r="BG103" s="1111"/>
      <c r="BH103" s="3464"/>
      <c r="BI103" s="23"/>
      <c r="BJ103" s="23"/>
      <c r="BK103" s="23"/>
      <c r="BL103" s="23"/>
    </row>
    <row r="104" spans="2:64" ht="15" hidden="1" customHeight="1" thickBot="1" x14ac:dyDescent="0.35">
      <c r="B104" s="780" t="s">
        <v>836</v>
      </c>
      <c r="C104" s="2345" t="s">
        <v>1387</v>
      </c>
      <c r="D104" s="2346" t="s">
        <v>50</v>
      </c>
      <c r="E104" s="783"/>
      <c r="F104" s="2348"/>
      <c r="G104" s="783"/>
      <c r="H104" s="2348"/>
      <c r="I104" s="2575"/>
      <c r="J104" s="39">
        <f t="shared" si="25"/>
        <v>0</v>
      </c>
      <c r="K104" s="783"/>
      <c r="L104" s="2348"/>
      <c r="M104" s="830"/>
      <c r="N104" s="574">
        <f t="shared" si="17"/>
        <v>0</v>
      </c>
      <c r="O104" s="783"/>
      <c r="P104" s="2348"/>
      <c r="Q104" s="782"/>
      <c r="R104" s="341">
        <f t="shared" si="18"/>
        <v>0</v>
      </c>
      <c r="S104" s="783"/>
      <c r="T104" s="2348"/>
      <c r="U104" s="782"/>
      <c r="V104" s="341">
        <f t="shared" si="19"/>
        <v>0</v>
      </c>
      <c r="W104" s="783"/>
      <c r="X104" s="2348"/>
      <c r="Y104" s="532"/>
      <c r="Z104" s="3696">
        <f t="shared" si="30"/>
        <v>0</v>
      </c>
      <c r="AA104" s="617"/>
      <c r="AB104" s="3697">
        <f t="shared" si="31"/>
        <v>0</v>
      </c>
      <c r="AC104" s="783"/>
      <c r="AD104" s="2348"/>
      <c r="AE104" s="782"/>
      <c r="AF104" s="341">
        <f t="shared" si="20"/>
        <v>0</v>
      </c>
      <c r="AG104" s="783"/>
      <c r="AH104" s="2348"/>
      <c r="AI104" s="782"/>
      <c r="AJ104" s="341">
        <f t="shared" si="29"/>
        <v>0</v>
      </c>
      <c r="AK104" s="783"/>
      <c r="AL104" s="2348"/>
      <c r="AM104" s="532"/>
      <c r="AN104" s="3696">
        <f t="shared" si="26"/>
        <v>0</v>
      </c>
      <c r="AO104" s="718"/>
      <c r="AP104" s="341">
        <f t="shared" si="21"/>
        <v>0</v>
      </c>
      <c r="AQ104" s="783"/>
      <c r="AR104" s="2348"/>
      <c r="AS104" s="782"/>
      <c r="AT104" s="718">
        <f t="shared" si="22"/>
        <v>0</v>
      </c>
      <c r="AU104" s="783"/>
      <c r="AV104" s="2348"/>
      <c r="AW104" s="782"/>
      <c r="AX104" s="341">
        <f t="shared" si="23"/>
        <v>0</v>
      </c>
      <c r="AY104" s="783"/>
      <c r="AZ104" s="2348"/>
      <c r="BA104" s="532"/>
      <c r="BB104" s="532">
        <f t="shared" si="24"/>
        <v>0</v>
      </c>
      <c r="BC104" s="617"/>
      <c r="BD104" s="617">
        <f t="shared" si="27"/>
        <v>0</v>
      </c>
      <c r="BE104" s="718"/>
      <c r="BF104" s="718">
        <f t="shared" si="28"/>
        <v>0</v>
      </c>
      <c r="BG104" s="1111"/>
      <c r="BH104" s="3464"/>
      <c r="BI104" s="23"/>
      <c r="BJ104" s="23"/>
      <c r="BK104" s="23"/>
      <c r="BL104" s="23"/>
    </row>
    <row r="105" spans="2:64" ht="16.2" hidden="1" thickBot="1" x14ac:dyDescent="0.35">
      <c r="B105" s="2562" t="s">
        <v>824</v>
      </c>
      <c r="C105" s="2563" t="s">
        <v>931</v>
      </c>
      <c r="D105" s="2564" t="s">
        <v>50</v>
      </c>
      <c r="E105" s="2573"/>
      <c r="F105" s="145"/>
      <c r="G105" s="2573"/>
      <c r="H105" s="145"/>
      <c r="I105" s="2574"/>
      <c r="J105" s="39">
        <f t="shared" si="25"/>
        <v>0</v>
      </c>
      <c r="K105" s="2573"/>
      <c r="L105" s="145"/>
      <c r="M105" s="830"/>
      <c r="N105" s="574">
        <f t="shared" si="17"/>
        <v>0</v>
      </c>
      <c r="O105" s="2573"/>
      <c r="P105" s="145"/>
      <c r="Q105" s="782"/>
      <c r="R105" s="341">
        <f t="shared" si="18"/>
        <v>0</v>
      </c>
      <c r="S105" s="2573"/>
      <c r="T105" s="145">
        <v>53.300000000000011</v>
      </c>
      <c r="U105" s="782"/>
      <c r="V105" s="341">
        <f t="shared" si="19"/>
        <v>53.300000000000011</v>
      </c>
      <c r="W105" s="2573"/>
      <c r="X105" s="145"/>
      <c r="Y105" s="532"/>
      <c r="Z105" s="3696">
        <f t="shared" si="30"/>
        <v>53.300000000000011</v>
      </c>
      <c r="AA105" s="617"/>
      <c r="AB105" s="3697">
        <f t="shared" si="31"/>
        <v>53.300000000000011</v>
      </c>
      <c r="AC105" s="2573"/>
      <c r="AD105" s="145"/>
      <c r="AE105" s="782"/>
      <c r="AF105" s="341">
        <f t="shared" si="20"/>
        <v>53.300000000000011</v>
      </c>
      <c r="AG105" s="2573"/>
      <c r="AH105" s="145">
        <v>209.1</v>
      </c>
      <c r="AI105" s="782"/>
      <c r="AJ105" s="718">
        <f t="shared" si="29"/>
        <v>262.39999999999998</v>
      </c>
      <c r="AK105" s="2573"/>
      <c r="AL105" s="1331">
        <f>469.45-2.05</f>
        <v>467.4</v>
      </c>
      <c r="AM105" s="532"/>
      <c r="AN105" s="3696">
        <f t="shared" si="26"/>
        <v>676.5</v>
      </c>
      <c r="AO105" s="718"/>
      <c r="AP105" s="341">
        <f t="shared" si="21"/>
        <v>729.8</v>
      </c>
      <c r="AQ105" s="2573"/>
      <c r="AR105" s="145">
        <f>418.2-2.05</f>
        <v>416.15</v>
      </c>
      <c r="AS105" s="782"/>
      <c r="AT105" s="718">
        <f t="shared" si="22"/>
        <v>1145.9499999999998</v>
      </c>
      <c r="AU105" s="2573"/>
      <c r="AV105" s="145">
        <v>186.54999999999995</v>
      </c>
      <c r="AW105" s="782"/>
      <c r="AX105" s="341">
        <f t="shared" si="23"/>
        <v>1332.4999999999998</v>
      </c>
      <c r="AY105" s="2573"/>
      <c r="AZ105" s="145"/>
      <c r="BA105" s="532"/>
      <c r="BB105" s="532">
        <f t="shared" si="24"/>
        <v>602.69999999999993</v>
      </c>
      <c r="BC105" s="617"/>
      <c r="BD105" s="617">
        <f t="shared" si="27"/>
        <v>1279.1999999999998</v>
      </c>
      <c r="BE105" s="718"/>
      <c r="BF105" s="718">
        <f t="shared" si="28"/>
        <v>1332.4999999999998</v>
      </c>
      <c r="BG105" s="1111"/>
      <c r="BH105" s="3464"/>
      <c r="BI105" s="23"/>
      <c r="BJ105" s="23"/>
      <c r="BK105" s="23"/>
      <c r="BL105" s="23"/>
    </row>
    <row r="106" spans="2:64" ht="16.2" hidden="1" thickBot="1" x14ac:dyDescent="0.35">
      <c r="B106" s="2562" t="s">
        <v>824</v>
      </c>
      <c r="C106" s="2563" t="s">
        <v>2169</v>
      </c>
      <c r="D106" s="45"/>
      <c r="E106" s="3691"/>
      <c r="F106" s="145"/>
      <c r="G106" s="3691"/>
      <c r="H106" s="145"/>
      <c r="I106" s="3147"/>
      <c r="J106" s="39"/>
      <c r="K106" s="3691"/>
      <c r="L106" s="1095"/>
      <c r="M106" s="4943"/>
      <c r="N106" s="574"/>
      <c r="O106" s="3691"/>
      <c r="P106" s="1095"/>
      <c r="Q106" s="4942"/>
      <c r="R106" s="341"/>
      <c r="S106" s="3691"/>
      <c r="T106" s="1095"/>
      <c r="U106" s="4942"/>
      <c r="V106" s="341"/>
      <c r="W106" s="3691"/>
      <c r="X106" s="1095"/>
      <c r="Y106" s="4954"/>
      <c r="Z106" s="3696"/>
      <c r="AA106" s="4955"/>
      <c r="AB106" s="3697"/>
      <c r="AC106" s="3691"/>
      <c r="AD106" s="1095"/>
      <c r="AE106" s="4942"/>
      <c r="AF106" s="341"/>
      <c r="AG106" s="3691"/>
      <c r="AH106" s="1095"/>
      <c r="AI106" s="4942"/>
      <c r="AJ106" s="4930"/>
      <c r="AK106" s="3691"/>
      <c r="AL106" s="97"/>
      <c r="AM106" s="4954"/>
      <c r="AN106" s="3696"/>
      <c r="AO106" s="4930"/>
      <c r="AP106" s="341"/>
      <c r="AQ106" s="3691"/>
      <c r="AR106" s="1095"/>
      <c r="AS106" s="4942"/>
      <c r="AT106" s="4930"/>
      <c r="AU106" s="3691"/>
      <c r="AV106" s="1095"/>
      <c r="AW106" s="4942"/>
      <c r="AX106" s="341"/>
      <c r="AY106" s="3691"/>
      <c r="AZ106" s="145">
        <v>278.8</v>
      </c>
      <c r="BA106" s="4954"/>
      <c r="BB106" s="532">
        <f t="shared" si="24"/>
        <v>278.8</v>
      </c>
      <c r="BC106" s="4955"/>
      <c r="BD106" s="617">
        <f t="shared" si="27"/>
        <v>278.8</v>
      </c>
      <c r="BE106" s="4930"/>
      <c r="BF106" s="718">
        <f t="shared" si="28"/>
        <v>278.8</v>
      </c>
      <c r="BG106" s="1111"/>
      <c r="BH106" s="3464"/>
      <c r="BI106" s="23"/>
      <c r="BJ106" s="23"/>
      <c r="BK106" s="23"/>
      <c r="BL106" s="23"/>
    </row>
    <row r="107" spans="2:64" ht="16.2" hidden="1" thickBot="1" x14ac:dyDescent="0.35">
      <c r="B107" s="3689" t="s">
        <v>824</v>
      </c>
      <c r="C107" s="3690" t="s">
        <v>1086</v>
      </c>
      <c r="D107" s="45"/>
      <c r="E107" s="3691"/>
      <c r="F107" s="1095"/>
      <c r="G107" s="3691"/>
      <c r="H107" s="1095"/>
      <c r="I107" s="3147"/>
      <c r="J107" s="39"/>
      <c r="K107" s="3691"/>
      <c r="L107" s="1095"/>
      <c r="M107" s="4535"/>
      <c r="N107" s="574">
        <f t="shared" si="17"/>
        <v>0</v>
      </c>
      <c r="O107" s="3691"/>
      <c r="P107" s="1095"/>
      <c r="Q107" s="4649"/>
      <c r="R107" s="341"/>
      <c r="S107" s="3691"/>
      <c r="T107" s="1095"/>
      <c r="U107" s="4649"/>
      <c r="V107" s="341"/>
      <c r="W107" s="3691"/>
      <c r="X107" s="1095"/>
      <c r="Y107" s="4650"/>
      <c r="Z107" s="3696">
        <f t="shared" si="30"/>
        <v>0</v>
      </c>
      <c r="AA107" s="4534"/>
      <c r="AB107" s="3697">
        <f t="shared" si="31"/>
        <v>0</v>
      </c>
      <c r="AC107" s="3691"/>
      <c r="AD107" s="1095"/>
      <c r="AE107" s="4649"/>
      <c r="AF107" s="341">
        <f t="shared" si="20"/>
        <v>0</v>
      </c>
      <c r="AG107" s="3691"/>
      <c r="AH107" s="1095">
        <v>389.5</v>
      </c>
      <c r="AI107" s="4649"/>
      <c r="AJ107" s="718">
        <f t="shared" si="29"/>
        <v>389.5</v>
      </c>
      <c r="AK107" s="3691"/>
      <c r="AL107" s="97">
        <v>467.39999999999992</v>
      </c>
      <c r="AM107" s="4650"/>
      <c r="AN107" s="3696">
        <f t="shared" si="26"/>
        <v>856.89999999999986</v>
      </c>
      <c r="AO107" s="4514"/>
      <c r="AP107" s="341">
        <f t="shared" si="21"/>
        <v>856.89999999999986</v>
      </c>
      <c r="AQ107" s="3691"/>
      <c r="AR107" s="1095">
        <v>461.25</v>
      </c>
      <c r="AS107" s="4649"/>
      <c r="AT107" s="4514">
        <f t="shared" si="22"/>
        <v>1318.1499999999999</v>
      </c>
      <c r="AU107" s="3691"/>
      <c r="AV107" s="1095">
        <v>235.75</v>
      </c>
      <c r="AW107" s="4649"/>
      <c r="AX107" s="341">
        <f t="shared" si="23"/>
        <v>1553.8999999999999</v>
      </c>
      <c r="AY107" s="3691"/>
      <c r="AZ107" s="1095"/>
      <c r="BA107" s="4650"/>
      <c r="BB107" s="532">
        <f t="shared" si="24"/>
        <v>697</v>
      </c>
      <c r="BC107" s="4534"/>
      <c r="BD107" s="4137">
        <f t="shared" si="27"/>
        <v>1553.8999999999999</v>
      </c>
      <c r="BE107" s="4514"/>
      <c r="BF107" s="718">
        <f t="shared" si="28"/>
        <v>1553.8999999999999</v>
      </c>
      <c r="BG107" s="1111"/>
      <c r="BH107" s="3464"/>
      <c r="BI107" s="23"/>
      <c r="BJ107" s="23"/>
      <c r="BK107" s="23"/>
      <c r="BL107" s="23"/>
    </row>
    <row r="108" spans="2:64" ht="16.2" hidden="1" thickBot="1" x14ac:dyDescent="0.35">
      <c r="B108" s="780" t="s">
        <v>824</v>
      </c>
      <c r="C108" s="2345" t="s">
        <v>990</v>
      </c>
      <c r="D108" s="2346" t="s">
        <v>50</v>
      </c>
      <c r="E108" s="783"/>
      <c r="F108" s="2348"/>
      <c r="G108" s="783"/>
      <c r="H108" s="2348"/>
      <c r="I108" s="2575"/>
      <c r="J108" s="39">
        <f t="shared" si="25"/>
        <v>0</v>
      </c>
      <c r="K108" s="783"/>
      <c r="L108" s="2348">
        <f>707.25-8.2</f>
        <v>699.05</v>
      </c>
      <c r="M108" s="830"/>
      <c r="N108" s="574">
        <f t="shared" si="17"/>
        <v>699.05</v>
      </c>
      <c r="O108" s="783"/>
      <c r="P108" s="2348">
        <v>820</v>
      </c>
      <c r="Q108" s="782"/>
      <c r="R108" s="341">
        <f t="shared" si="18"/>
        <v>1519.05</v>
      </c>
      <c r="S108" s="783"/>
      <c r="T108" s="2348">
        <v>578.1</v>
      </c>
      <c r="U108" s="782"/>
      <c r="V108" s="341">
        <f t="shared" si="19"/>
        <v>2097.15</v>
      </c>
      <c r="W108" s="783"/>
      <c r="X108" s="2348"/>
      <c r="Y108" s="532"/>
      <c r="Z108" s="3696">
        <f t="shared" si="30"/>
        <v>1398.1</v>
      </c>
      <c r="AA108" s="617"/>
      <c r="AB108" s="3697">
        <f t="shared" si="31"/>
        <v>2097.1499999999996</v>
      </c>
      <c r="AC108" s="783"/>
      <c r="AD108" s="2348">
        <v>809.74999999999989</v>
      </c>
      <c r="AE108" s="782"/>
      <c r="AF108" s="341">
        <f t="shared" si="20"/>
        <v>2906.8999999999996</v>
      </c>
      <c r="AG108" s="783"/>
      <c r="AH108" s="2348">
        <v>172.2</v>
      </c>
      <c r="AI108" s="782"/>
      <c r="AJ108" s="341">
        <f t="shared" si="29"/>
        <v>3079.0999999999995</v>
      </c>
      <c r="AK108" s="783"/>
      <c r="AL108" s="2580">
        <v>1377.6000000000004</v>
      </c>
      <c r="AM108" s="532"/>
      <c r="AN108" s="3696">
        <f t="shared" si="26"/>
        <v>2359.5500000000002</v>
      </c>
      <c r="AO108" s="718"/>
      <c r="AP108" s="341">
        <f t="shared" si="21"/>
        <v>4456.7</v>
      </c>
      <c r="AQ108" s="783"/>
      <c r="AR108" s="2348">
        <v>774.9</v>
      </c>
      <c r="AS108" s="782"/>
      <c r="AT108" s="718">
        <f t="shared" si="22"/>
        <v>5231.5999999999995</v>
      </c>
      <c r="AU108" s="783"/>
      <c r="AV108" s="2348"/>
      <c r="AW108" s="782"/>
      <c r="AX108" s="341">
        <f t="shared" si="23"/>
        <v>5231.5999999999995</v>
      </c>
      <c r="AY108" s="783"/>
      <c r="AZ108" s="2348">
        <v>996.29999999999973</v>
      </c>
      <c r="BA108" s="532"/>
      <c r="BB108" s="532">
        <f t="shared" si="24"/>
        <v>1771.1999999999998</v>
      </c>
      <c r="BC108" s="617"/>
      <c r="BD108" s="617">
        <f t="shared" si="27"/>
        <v>4130.75</v>
      </c>
      <c r="BE108" s="718"/>
      <c r="BF108" s="718">
        <f t="shared" si="28"/>
        <v>6227.9</v>
      </c>
      <c r="BG108" s="1111"/>
      <c r="BH108" s="3464"/>
      <c r="BI108" s="23"/>
      <c r="BJ108" s="23"/>
      <c r="BK108" s="23"/>
      <c r="BL108" s="23"/>
    </row>
    <row r="109" spans="2:64" ht="16.2" hidden="1" thickBot="1" x14ac:dyDescent="0.35">
      <c r="B109" s="780" t="s">
        <v>824</v>
      </c>
      <c r="C109" s="2345" t="s">
        <v>991</v>
      </c>
      <c r="D109" s="2346" t="s">
        <v>50</v>
      </c>
      <c r="E109" s="783"/>
      <c r="F109" s="2348"/>
      <c r="G109" s="783"/>
      <c r="H109" s="2348"/>
      <c r="I109" s="2575"/>
      <c r="J109" s="39">
        <f t="shared" si="25"/>
        <v>0</v>
      </c>
      <c r="K109" s="783"/>
      <c r="L109" s="2348">
        <v>824.09999999999991</v>
      </c>
      <c r="M109" s="830"/>
      <c r="N109" s="574">
        <f t="shared" si="17"/>
        <v>824.09999999999991</v>
      </c>
      <c r="O109" s="783"/>
      <c r="P109" s="2348">
        <f>1141.85-4.1</f>
        <v>1137.75</v>
      </c>
      <c r="Q109" s="782"/>
      <c r="R109" s="341">
        <f t="shared" si="18"/>
        <v>1961.85</v>
      </c>
      <c r="S109" s="783"/>
      <c r="T109" s="2348">
        <v>2359.5500000000002</v>
      </c>
      <c r="U109" s="782"/>
      <c r="V109" s="341">
        <f t="shared" si="19"/>
        <v>4321.3999999999996</v>
      </c>
      <c r="W109" s="783"/>
      <c r="X109" s="2348">
        <v>1596.9499999999998</v>
      </c>
      <c r="Y109" s="532"/>
      <c r="Z109" s="3696">
        <f t="shared" si="30"/>
        <v>5094.25</v>
      </c>
      <c r="AA109" s="617"/>
      <c r="AB109" s="3697">
        <f t="shared" si="31"/>
        <v>5918.35</v>
      </c>
      <c r="AC109" s="783"/>
      <c r="AD109" s="2348">
        <v>1941.3499999999997</v>
      </c>
      <c r="AE109" s="782"/>
      <c r="AF109" s="341">
        <f t="shared" si="20"/>
        <v>7859.7</v>
      </c>
      <c r="AG109" s="783"/>
      <c r="AH109" s="2348">
        <v>672.39999999999986</v>
      </c>
      <c r="AI109" s="782"/>
      <c r="AJ109" s="341">
        <f t="shared" si="29"/>
        <v>8532.1</v>
      </c>
      <c r="AK109" s="783"/>
      <c r="AL109" s="2580">
        <f>4473.1-53.3</f>
        <v>4419.8</v>
      </c>
      <c r="AM109" s="532"/>
      <c r="AN109" s="3696">
        <f t="shared" si="26"/>
        <v>7033.5499999999993</v>
      </c>
      <c r="AO109" s="718"/>
      <c r="AP109" s="341">
        <f t="shared" si="21"/>
        <v>12951.900000000001</v>
      </c>
      <c r="AQ109" s="783"/>
      <c r="AR109" s="2348">
        <f>3868.35-6.15</f>
        <v>3862.2</v>
      </c>
      <c r="AS109" s="782"/>
      <c r="AT109" s="718">
        <f t="shared" si="22"/>
        <v>16814.100000000002</v>
      </c>
      <c r="AU109" s="783"/>
      <c r="AV109" s="2348"/>
      <c r="AW109" s="782"/>
      <c r="AX109" s="341">
        <f t="shared" si="23"/>
        <v>16814.100000000002</v>
      </c>
      <c r="AY109" s="783"/>
      <c r="AZ109" s="2348">
        <f>6357.05-4.1</f>
        <v>6352.95</v>
      </c>
      <c r="BA109" s="532"/>
      <c r="BB109" s="532">
        <f t="shared" si="24"/>
        <v>10215.15</v>
      </c>
      <c r="BC109" s="617"/>
      <c r="BD109" s="617">
        <f t="shared" si="27"/>
        <v>17248.699999999997</v>
      </c>
      <c r="BE109" s="718"/>
      <c r="BF109" s="718">
        <f t="shared" si="28"/>
        <v>23167.050000000003</v>
      </c>
      <c r="BG109" s="1111"/>
      <c r="BH109" s="3464"/>
      <c r="BI109" s="23"/>
      <c r="BJ109" s="23"/>
      <c r="BK109" s="23"/>
      <c r="BL109" s="23"/>
    </row>
    <row r="110" spans="2:64" ht="16.2" hidden="1" thickBot="1" x14ac:dyDescent="0.35">
      <c r="B110" s="780" t="s">
        <v>824</v>
      </c>
      <c r="C110" s="2345" t="s">
        <v>1387</v>
      </c>
      <c r="D110" s="2346" t="s">
        <v>50</v>
      </c>
      <c r="E110" s="783"/>
      <c r="F110" s="3419"/>
      <c r="G110" s="783"/>
      <c r="H110" s="3419"/>
      <c r="I110" s="2575"/>
      <c r="J110" s="39">
        <f t="shared" si="25"/>
        <v>0</v>
      </c>
      <c r="K110" s="783"/>
      <c r="L110" s="3419"/>
      <c r="M110" s="830"/>
      <c r="N110" s="574">
        <f t="shared" si="17"/>
        <v>0</v>
      </c>
      <c r="O110" s="783"/>
      <c r="P110" s="3419"/>
      <c r="Q110" s="782"/>
      <c r="R110" s="341">
        <f t="shared" si="18"/>
        <v>0</v>
      </c>
      <c r="S110" s="783"/>
      <c r="T110" s="3419"/>
      <c r="U110" s="782"/>
      <c r="V110" s="341">
        <f t="shared" si="19"/>
        <v>0</v>
      </c>
      <c r="W110" s="783"/>
      <c r="X110" s="3419"/>
      <c r="Y110" s="532"/>
      <c r="Z110" s="3696">
        <f t="shared" si="30"/>
        <v>0</v>
      </c>
      <c r="AA110" s="617"/>
      <c r="AB110" s="3697">
        <f t="shared" si="31"/>
        <v>0</v>
      </c>
      <c r="AC110" s="783"/>
      <c r="AD110" s="3419"/>
      <c r="AE110" s="782"/>
      <c r="AF110" s="341">
        <f t="shared" si="20"/>
        <v>0</v>
      </c>
      <c r="AG110" s="783"/>
      <c r="AH110" s="3419"/>
      <c r="AI110" s="782"/>
      <c r="AJ110" s="341">
        <f t="shared" si="29"/>
        <v>0</v>
      </c>
      <c r="AK110" s="783"/>
      <c r="AL110" s="4908"/>
      <c r="AM110" s="532"/>
      <c r="AN110" s="3696">
        <f t="shared" si="26"/>
        <v>0</v>
      </c>
      <c r="AO110" s="718"/>
      <c r="AP110" s="341">
        <f t="shared" si="21"/>
        <v>0</v>
      </c>
      <c r="AQ110" s="783"/>
      <c r="AR110" s="3419"/>
      <c r="AS110" s="782"/>
      <c r="AT110" s="718">
        <f t="shared" si="22"/>
        <v>0</v>
      </c>
      <c r="AU110" s="783"/>
      <c r="AV110" s="3419"/>
      <c r="AW110" s="782"/>
      <c r="AX110" s="341">
        <f t="shared" si="23"/>
        <v>0</v>
      </c>
      <c r="AY110" s="783"/>
      <c r="AZ110" s="3419"/>
      <c r="BA110" s="532"/>
      <c r="BB110" s="532">
        <f t="shared" si="24"/>
        <v>0</v>
      </c>
      <c r="BC110" s="617"/>
      <c r="BD110" s="617">
        <f t="shared" si="27"/>
        <v>0</v>
      </c>
      <c r="BE110" s="718"/>
      <c r="BF110" s="718">
        <f t="shared" si="28"/>
        <v>0</v>
      </c>
      <c r="BG110" s="1111"/>
      <c r="BH110" s="3464"/>
      <c r="BI110" s="23"/>
      <c r="BJ110" s="23"/>
      <c r="BK110" s="23"/>
      <c r="BL110" s="23"/>
    </row>
    <row r="111" spans="2:64" ht="16.2" hidden="1" thickBot="1" x14ac:dyDescent="0.35">
      <c r="B111" s="2566" t="s">
        <v>824</v>
      </c>
      <c r="C111" s="2567" t="s">
        <v>1389</v>
      </c>
      <c r="D111" s="2568" t="s">
        <v>50</v>
      </c>
      <c r="E111" s="2576"/>
      <c r="F111" s="2578"/>
      <c r="G111" s="2576"/>
      <c r="H111" s="2578"/>
      <c r="I111" s="2577"/>
      <c r="J111" s="39">
        <f t="shared" si="25"/>
        <v>0</v>
      </c>
      <c r="K111" s="2576"/>
      <c r="L111" s="2578"/>
      <c r="M111" s="830"/>
      <c r="N111" s="574">
        <f t="shared" si="17"/>
        <v>0</v>
      </c>
      <c r="O111" s="2576"/>
      <c r="P111" s="2578"/>
      <c r="Q111" s="782"/>
      <c r="R111" s="341">
        <f t="shared" si="18"/>
        <v>0</v>
      </c>
      <c r="S111" s="2576"/>
      <c r="T111" s="2578"/>
      <c r="U111" s="782"/>
      <c r="V111" s="341">
        <f t="shared" si="19"/>
        <v>0</v>
      </c>
      <c r="W111" s="2576"/>
      <c r="X111" s="2578"/>
      <c r="Y111" s="532"/>
      <c r="Z111" s="3696">
        <f t="shared" si="30"/>
        <v>0</v>
      </c>
      <c r="AA111" s="617"/>
      <c r="AB111" s="3697">
        <f t="shared" si="31"/>
        <v>0</v>
      </c>
      <c r="AC111" s="2576"/>
      <c r="AD111" s="2578"/>
      <c r="AE111" s="782"/>
      <c r="AF111" s="341">
        <f t="shared" si="20"/>
        <v>0</v>
      </c>
      <c r="AG111" s="2576"/>
      <c r="AH111" s="2578"/>
      <c r="AI111" s="782"/>
      <c r="AJ111" s="341">
        <f t="shared" si="29"/>
        <v>0</v>
      </c>
      <c r="AK111" s="2576"/>
      <c r="AL111" s="4909">
        <v>20.5</v>
      </c>
      <c r="AM111" s="532"/>
      <c r="AN111" s="3696">
        <f t="shared" si="26"/>
        <v>20.5</v>
      </c>
      <c r="AO111" s="718"/>
      <c r="AP111" s="341">
        <f t="shared" si="21"/>
        <v>20.5</v>
      </c>
      <c r="AQ111" s="2576"/>
      <c r="AR111" s="2578">
        <v>102.50000000000001</v>
      </c>
      <c r="AS111" s="782"/>
      <c r="AT111" s="718">
        <f t="shared" si="22"/>
        <v>123.00000000000001</v>
      </c>
      <c r="AU111" s="2576"/>
      <c r="AV111" s="2578">
        <v>20.5</v>
      </c>
      <c r="AW111" s="782"/>
      <c r="AX111" s="341">
        <f t="shared" si="23"/>
        <v>143.5</v>
      </c>
      <c r="AY111" s="2576"/>
      <c r="AZ111" s="2578">
        <v>137.35000000000002</v>
      </c>
      <c r="BA111" s="532"/>
      <c r="BB111" s="532">
        <f t="shared" si="24"/>
        <v>260.35000000000002</v>
      </c>
      <c r="BC111" s="617"/>
      <c r="BD111" s="617">
        <f t="shared" si="27"/>
        <v>280.85000000000002</v>
      </c>
      <c r="BE111" s="718"/>
      <c r="BF111" s="718">
        <f t="shared" si="28"/>
        <v>280.85000000000002</v>
      </c>
      <c r="BG111" s="1111"/>
      <c r="BH111" s="3464"/>
      <c r="BI111" s="23"/>
      <c r="BJ111" s="23"/>
      <c r="BK111" s="23"/>
      <c r="BL111" s="23"/>
    </row>
    <row r="112" spans="2:64" ht="16.2" hidden="1" thickBot="1" x14ac:dyDescent="0.35">
      <c r="B112" s="2562" t="s">
        <v>1267</v>
      </c>
      <c r="C112" s="2563" t="s">
        <v>990</v>
      </c>
      <c r="D112" s="2564" t="s">
        <v>50</v>
      </c>
      <c r="E112" s="2573"/>
      <c r="F112" s="4944"/>
      <c r="G112" s="2573"/>
      <c r="H112" s="4944"/>
      <c r="I112" s="2574"/>
      <c r="J112" s="39">
        <f t="shared" si="25"/>
        <v>0</v>
      </c>
      <c r="K112" s="2573"/>
      <c r="L112" s="2573"/>
      <c r="M112" s="830"/>
      <c r="N112" s="574">
        <f t="shared" si="17"/>
        <v>0</v>
      </c>
      <c r="O112" s="2573"/>
      <c r="P112" s="2573"/>
      <c r="Q112" s="782"/>
      <c r="R112" s="341">
        <f t="shared" si="18"/>
        <v>0</v>
      </c>
      <c r="S112" s="2573"/>
      <c r="T112" s="2573"/>
      <c r="U112" s="782"/>
      <c r="V112" s="341">
        <f t="shared" si="19"/>
        <v>0</v>
      </c>
      <c r="W112" s="2573"/>
      <c r="X112" s="2573"/>
      <c r="Y112" s="532"/>
      <c r="Z112" s="3696">
        <f t="shared" si="30"/>
        <v>0</v>
      </c>
      <c r="AA112" s="617"/>
      <c r="AB112" s="3697">
        <f t="shared" si="31"/>
        <v>0</v>
      </c>
      <c r="AC112" s="2573"/>
      <c r="AD112" s="2573"/>
      <c r="AE112" s="782"/>
      <c r="AF112" s="341">
        <f t="shared" si="20"/>
        <v>0</v>
      </c>
      <c r="AG112" s="2573"/>
      <c r="AH112" s="2573"/>
      <c r="AI112" s="782"/>
      <c r="AJ112" s="341">
        <f t="shared" si="29"/>
        <v>0</v>
      </c>
      <c r="AK112" s="2573"/>
      <c r="AL112" s="2573"/>
      <c r="AM112" s="532"/>
      <c r="AN112" s="3696">
        <f t="shared" si="26"/>
        <v>0</v>
      </c>
      <c r="AO112" s="718"/>
      <c r="AP112" s="341">
        <f t="shared" si="21"/>
        <v>0</v>
      </c>
      <c r="AQ112" s="2573"/>
      <c r="AR112" s="2573"/>
      <c r="AS112" s="782"/>
      <c r="AT112" s="718">
        <f t="shared" si="22"/>
        <v>0</v>
      </c>
      <c r="AU112" s="2573"/>
      <c r="AV112" s="2573"/>
      <c r="AW112" s="782"/>
      <c r="AX112" s="341">
        <f t="shared" si="23"/>
        <v>0</v>
      </c>
      <c r="AY112" s="2573"/>
      <c r="AZ112" s="4944">
        <v>1006.55</v>
      </c>
      <c r="BA112" s="532"/>
      <c r="BB112" s="532">
        <f t="shared" si="24"/>
        <v>1006.55</v>
      </c>
      <c r="BC112" s="617"/>
      <c r="BD112" s="617">
        <f t="shared" si="27"/>
        <v>1006.55</v>
      </c>
      <c r="BE112" s="718"/>
      <c r="BF112" s="718">
        <f t="shared" si="28"/>
        <v>1006.55</v>
      </c>
      <c r="BG112" s="1111"/>
      <c r="BH112" s="3464"/>
      <c r="BI112" s="23"/>
      <c r="BJ112" s="23"/>
      <c r="BK112" s="23"/>
      <c r="BL112" s="23"/>
    </row>
    <row r="113" spans="2:64" ht="16.2" hidden="1" thickBot="1" x14ac:dyDescent="0.35">
      <c r="B113" s="2566" t="s">
        <v>1267</v>
      </c>
      <c r="C113" s="2567" t="s">
        <v>991</v>
      </c>
      <c r="D113" s="2568" t="s">
        <v>50</v>
      </c>
      <c r="E113" s="2576"/>
      <c r="F113" s="2578"/>
      <c r="G113" s="2576"/>
      <c r="H113" s="2578"/>
      <c r="I113" s="2577"/>
      <c r="J113" s="39">
        <f t="shared" si="25"/>
        <v>0</v>
      </c>
      <c r="K113" s="2576"/>
      <c r="L113" s="2576"/>
      <c r="M113" s="830"/>
      <c r="N113" s="574">
        <f t="shared" si="17"/>
        <v>0</v>
      </c>
      <c r="O113" s="2576"/>
      <c r="P113" s="2576"/>
      <c r="Q113" s="782"/>
      <c r="R113" s="341">
        <f t="shared" si="18"/>
        <v>0</v>
      </c>
      <c r="S113" s="2576"/>
      <c r="T113" s="2576"/>
      <c r="U113" s="782"/>
      <c r="V113" s="341">
        <f t="shared" si="19"/>
        <v>0</v>
      </c>
      <c r="W113" s="2576"/>
      <c r="X113" s="2576"/>
      <c r="Y113" s="532"/>
      <c r="Z113" s="3696">
        <f t="shared" si="30"/>
        <v>0</v>
      </c>
      <c r="AA113" s="617"/>
      <c r="AB113" s="3697">
        <f t="shared" si="31"/>
        <v>0</v>
      </c>
      <c r="AC113" s="2576"/>
      <c r="AD113" s="2576"/>
      <c r="AE113" s="782"/>
      <c r="AF113" s="341">
        <f t="shared" si="20"/>
        <v>0</v>
      </c>
      <c r="AG113" s="2576"/>
      <c r="AH113" s="2576"/>
      <c r="AI113" s="782"/>
      <c r="AJ113" s="341">
        <f t="shared" si="29"/>
        <v>0</v>
      </c>
      <c r="AK113" s="2576"/>
      <c r="AL113" s="2576"/>
      <c r="AM113" s="532"/>
      <c r="AN113" s="3696">
        <f t="shared" si="26"/>
        <v>0</v>
      </c>
      <c r="AO113" s="718"/>
      <c r="AP113" s="341">
        <f t="shared" si="21"/>
        <v>0</v>
      </c>
      <c r="AQ113" s="2576"/>
      <c r="AR113" s="2576"/>
      <c r="AS113" s="782"/>
      <c r="AT113" s="718">
        <f t="shared" si="22"/>
        <v>0</v>
      </c>
      <c r="AU113" s="2576"/>
      <c r="AV113" s="2576"/>
      <c r="AW113" s="782"/>
      <c r="AX113" s="341">
        <f t="shared" si="23"/>
        <v>0</v>
      </c>
      <c r="AY113" s="2576"/>
      <c r="AZ113" s="2578">
        <v>2392.3500000000004</v>
      </c>
      <c r="BA113" s="532"/>
      <c r="BB113" s="532">
        <f t="shared" si="24"/>
        <v>2392.3500000000004</v>
      </c>
      <c r="BC113" s="617"/>
      <c r="BD113" s="617">
        <f t="shared" si="27"/>
        <v>2392.3500000000004</v>
      </c>
      <c r="BE113" s="718"/>
      <c r="BF113" s="718">
        <f t="shared" si="28"/>
        <v>2392.3500000000004</v>
      </c>
      <c r="BG113" s="1111"/>
      <c r="BH113" s="3464"/>
      <c r="BI113" s="23"/>
      <c r="BJ113" s="23"/>
      <c r="BK113" s="23"/>
      <c r="BL113" s="23"/>
    </row>
    <row r="114" spans="2:64" ht="15" hidden="1" customHeight="1" thickBot="1" x14ac:dyDescent="0.35">
      <c r="B114" s="2562" t="s">
        <v>840</v>
      </c>
      <c r="C114" s="2563" t="s">
        <v>990</v>
      </c>
      <c r="D114" s="2564" t="s">
        <v>50</v>
      </c>
      <c r="E114" s="2573"/>
      <c r="F114" s="145"/>
      <c r="G114" s="2573"/>
      <c r="H114" s="145"/>
      <c r="I114" s="2574"/>
      <c r="J114" s="39">
        <f t="shared" si="25"/>
        <v>0</v>
      </c>
      <c r="K114" s="2573"/>
      <c r="L114" s="145"/>
      <c r="M114" s="830"/>
      <c r="N114" s="574">
        <f t="shared" si="17"/>
        <v>0</v>
      </c>
      <c r="O114" s="2573"/>
      <c r="P114" s="145"/>
      <c r="Q114" s="782"/>
      <c r="R114" s="341">
        <f t="shared" si="18"/>
        <v>0</v>
      </c>
      <c r="S114" s="2573"/>
      <c r="T114" s="145"/>
      <c r="U114" s="782"/>
      <c r="V114" s="341">
        <f t="shared" si="19"/>
        <v>0</v>
      </c>
      <c r="W114" s="2573"/>
      <c r="X114" s="145"/>
      <c r="Y114" s="532"/>
      <c r="Z114" s="3696">
        <f t="shared" si="30"/>
        <v>0</v>
      </c>
      <c r="AA114" s="617"/>
      <c r="AB114" s="3697">
        <f t="shared" si="31"/>
        <v>0</v>
      </c>
      <c r="AC114" s="2573"/>
      <c r="AD114" s="145"/>
      <c r="AE114" s="782"/>
      <c r="AF114" s="341">
        <f t="shared" si="20"/>
        <v>0</v>
      </c>
      <c r="AG114" s="2573"/>
      <c r="AH114" s="145"/>
      <c r="AI114" s="782"/>
      <c r="AJ114" s="341">
        <f t="shared" si="29"/>
        <v>0</v>
      </c>
      <c r="AK114" s="2573"/>
      <c r="AL114" s="2584">
        <f>1133.65-2.05</f>
        <v>1131.6000000000001</v>
      </c>
      <c r="AM114" s="532"/>
      <c r="AN114" s="3696">
        <f t="shared" si="26"/>
        <v>1131.6000000000001</v>
      </c>
      <c r="AO114" s="718"/>
      <c r="AP114" s="341">
        <f t="shared" si="21"/>
        <v>1131.6000000000001</v>
      </c>
      <c r="AQ114" s="2573"/>
      <c r="AR114" s="145"/>
      <c r="AS114" s="782"/>
      <c r="AT114" s="718">
        <f t="shared" si="22"/>
        <v>1131.6000000000001</v>
      </c>
      <c r="AU114" s="2573"/>
      <c r="AV114" s="145"/>
      <c r="AW114" s="782"/>
      <c r="AX114" s="341">
        <f t="shared" si="23"/>
        <v>1131.6000000000001</v>
      </c>
      <c r="AY114" s="2573"/>
      <c r="AZ114" s="145">
        <f>1371.45-2.05</f>
        <v>1369.4</v>
      </c>
      <c r="BA114" s="532"/>
      <c r="BB114" s="532">
        <f t="shared" si="24"/>
        <v>1369.4</v>
      </c>
      <c r="BC114" s="617"/>
      <c r="BD114" s="617">
        <f t="shared" si="27"/>
        <v>2501</v>
      </c>
      <c r="BE114" s="718"/>
      <c r="BF114" s="718">
        <f t="shared" si="28"/>
        <v>2501</v>
      </c>
      <c r="BG114" s="1111"/>
      <c r="BH114" s="3464"/>
      <c r="BI114" s="23"/>
      <c r="BJ114" s="23"/>
      <c r="BK114" s="23"/>
      <c r="BL114" s="23"/>
    </row>
    <row r="115" spans="2:64" ht="15" hidden="1" customHeight="1" thickBot="1" x14ac:dyDescent="0.35">
      <c r="B115" s="3689" t="s">
        <v>840</v>
      </c>
      <c r="C115" s="3690" t="s">
        <v>931</v>
      </c>
      <c r="D115" s="45"/>
      <c r="E115" s="2573"/>
      <c r="F115" s="145"/>
      <c r="G115" s="2573"/>
      <c r="H115" s="145"/>
      <c r="I115" s="3147"/>
      <c r="J115" s="39"/>
      <c r="K115" s="3691"/>
      <c r="L115" s="1095"/>
      <c r="M115" s="4037"/>
      <c r="N115" s="574"/>
      <c r="O115" s="3691"/>
      <c r="P115" s="1095"/>
      <c r="Q115" s="4801"/>
      <c r="R115" s="341"/>
      <c r="S115" s="3691"/>
      <c r="T115" s="1095"/>
      <c r="U115" s="4801"/>
      <c r="V115" s="341"/>
      <c r="W115" s="3691"/>
      <c r="X115" s="1095"/>
      <c r="Y115" s="4027"/>
      <c r="Z115" s="3696"/>
      <c r="AA115" s="4028"/>
      <c r="AB115" s="3697"/>
      <c r="AC115" s="3691"/>
      <c r="AD115" s="1095"/>
      <c r="AE115" s="4801"/>
      <c r="AF115" s="341"/>
      <c r="AG115" s="3691"/>
      <c r="AH115" s="1095"/>
      <c r="AI115" s="4801"/>
      <c r="AJ115" s="341">
        <f t="shared" si="29"/>
        <v>0</v>
      </c>
      <c r="AK115" s="3691"/>
      <c r="AL115" s="4907">
        <v>395.65</v>
      </c>
      <c r="AM115" s="4027"/>
      <c r="AN115" s="3696">
        <f t="shared" si="26"/>
        <v>395.65</v>
      </c>
      <c r="AO115" s="718"/>
      <c r="AP115" s="341">
        <f t="shared" si="21"/>
        <v>395.65</v>
      </c>
      <c r="AQ115" s="2573"/>
      <c r="AR115" s="145"/>
      <c r="AS115" s="782"/>
      <c r="AT115" s="718">
        <f t="shared" si="22"/>
        <v>395.65</v>
      </c>
      <c r="AU115" s="2573"/>
      <c r="AV115" s="145"/>
      <c r="AW115" s="782"/>
      <c r="AX115" s="341">
        <f t="shared" si="23"/>
        <v>395.65</v>
      </c>
      <c r="AY115" s="2573"/>
      <c r="AZ115" s="145"/>
      <c r="BA115" s="532"/>
      <c r="BB115" s="532">
        <f t="shared" ref="BB115" si="34">AR115+AV115+AZ115</f>
        <v>0</v>
      </c>
      <c r="BC115" s="617"/>
      <c r="BD115" s="617">
        <f t="shared" ref="BD115" si="35">AN115+BB115</f>
        <v>395.65</v>
      </c>
      <c r="BE115" s="718"/>
      <c r="BF115" s="718">
        <f t="shared" ref="BF115" si="36">+AX115+AZ115</f>
        <v>395.65</v>
      </c>
      <c r="BG115" s="1111"/>
      <c r="BH115" s="3464"/>
      <c r="BI115" s="23"/>
      <c r="BJ115" s="23"/>
      <c r="BK115" s="23"/>
      <c r="BL115" s="23"/>
    </row>
    <row r="116" spans="2:64" ht="16.2" hidden="1" thickBot="1" x14ac:dyDescent="0.35">
      <c r="B116" s="780" t="s">
        <v>840</v>
      </c>
      <c r="C116" s="2345" t="s">
        <v>991</v>
      </c>
      <c r="D116" s="2346" t="s">
        <v>50</v>
      </c>
      <c r="E116" s="783"/>
      <c r="F116" s="2348"/>
      <c r="G116" s="783"/>
      <c r="H116" s="2348"/>
      <c r="I116" s="2575"/>
      <c r="J116" s="39">
        <f t="shared" si="25"/>
        <v>0</v>
      </c>
      <c r="K116" s="783"/>
      <c r="L116" s="2348"/>
      <c r="M116" s="830"/>
      <c r="N116" s="574">
        <f t="shared" si="17"/>
        <v>0</v>
      </c>
      <c r="O116" s="783"/>
      <c r="P116" s="2348"/>
      <c r="Q116" s="782"/>
      <c r="R116" s="341">
        <f t="shared" si="18"/>
        <v>0</v>
      </c>
      <c r="S116" s="783"/>
      <c r="T116" s="2348"/>
      <c r="U116" s="782"/>
      <c r="V116" s="341">
        <f t="shared" si="19"/>
        <v>0</v>
      </c>
      <c r="W116" s="783"/>
      <c r="X116" s="2348"/>
      <c r="Y116" s="532"/>
      <c r="Z116" s="3696">
        <f t="shared" si="30"/>
        <v>0</v>
      </c>
      <c r="AA116" s="617"/>
      <c r="AB116" s="3697">
        <f t="shared" si="31"/>
        <v>0</v>
      </c>
      <c r="AC116" s="783"/>
      <c r="AD116" s="2348"/>
      <c r="AE116" s="782"/>
      <c r="AF116" s="341">
        <f t="shared" si="20"/>
        <v>0</v>
      </c>
      <c r="AG116" s="783"/>
      <c r="AH116" s="2348"/>
      <c r="AI116" s="782"/>
      <c r="AJ116" s="341">
        <f t="shared" si="29"/>
        <v>0</v>
      </c>
      <c r="AK116" s="783"/>
      <c r="AL116" s="2581">
        <f>227.55-10.25</f>
        <v>217.3</v>
      </c>
      <c r="AM116" s="532"/>
      <c r="AN116" s="3696">
        <f t="shared" si="26"/>
        <v>217.3</v>
      </c>
      <c r="AO116" s="718"/>
      <c r="AP116" s="341">
        <f t="shared" si="21"/>
        <v>217.3</v>
      </c>
      <c r="AQ116" s="783"/>
      <c r="AR116" s="2348"/>
      <c r="AS116" s="782"/>
      <c r="AT116" s="718">
        <f t="shared" si="22"/>
        <v>217.3</v>
      </c>
      <c r="AU116" s="783"/>
      <c r="AV116" s="2348"/>
      <c r="AW116" s="782"/>
      <c r="AX116" s="341">
        <f t="shared" si="23"/>
        <v>217.3</v>
      </c>
      <c r="AY116" s="783"/>
      <c r="AZ116" s="2348">
        <f>526.85-2.05-6.15</f>
        <v>518.65000000000009</v>
      </c>
      <c r="BA116" s="532"/>
      <c r="BB116" s="532">
        <f t="shared" si="24"/>
        <v>518.65000000000009</v>
      </c>
      <c r="BC116" s="617"/>
      <c r="BD116" s="617">
        <f t="shared" si="27"/>
        <v>735.95</v>
      </c>
      <c r="BE116" s="718"/>
      <c r="BF116" s="718">
        <f t="shared" si="28"/>
        <v>735.95</v>
      </c>
      <c r="BG116" s="1111"/>
      <c r="BH116" s="3464"/>
      <c r="BI116" s="23"/>
      <c r="BJ116" s="23"/>
      <c r="BK116" s="23"/>
      <c r="BL116" s="23"/>
    </row>
    <row r="117" spans="2:64" ht="16.2" hidden="1" thickBot="1" x14ac:dyDescent="0.35">
      <c r="B117" s="3503" t="s">
        <v>840</v>
      </c>
      <c r="C117" s="3504" t="s">
        <v>1387</v>
      </c>
      <c r="D117" s="2819" t="s">
        <v>50</v>
      </c>
      <c r="E117" s="3548"/>
      <c r="F117" s="1108"/>
      <c r="G117" s="3548"/>
      <c r="H117" s="1108"/>
      <c r="I117" s="3506"/>
      <c r="J117" s="39">
        <f t="shared" si="25"/>
        <v>0</v>
      </c>
      <c r="K117" s="3505"/>
      <c r="L117" s="2587"/>
      <c r="M117" s="2548"/>
      <c r="N117" s="574">
        <f t="shared" si="17"/>
        <v>0</v>
      </c>
      <c r="O117" s="3505"/>
      <c r="P117" s="2587"/>
      <c r="Q117" s="2575"/>
      <c r="R117" s="341">
        <f t="shared" si="18"/>
        <v>0</v>
      </c>
      <c r="S117" s="3505"/>
      <c r="T117" s="2587"/>
      <c r="U117" s="2575"/>
      <c r="V117" s="341">
        <f t="shared" si="19"/>
        <v>0</v>
      </c>
      <c r="W117" s="3505"/>
      <c r="X117" s="2587"/>
      <c r="Y117" s="2351"/>
      <c r="Z117" s="3696">
        <f t="shared" si="30"/>
        <v>0</v>
      </c>
      <c r="AA117" s="617"/>
      <c r="AB117" s="3697">
        <f t="shared" si="31"/>
        <v>0</v>
      </c>
      <c r="AC117" s="3505"/>
      <c r="AD117" s="2587"/>
      <c r="AE117" s="2575"/>
      <c r="AF117" s="341">
        <f t="shared" si="20"/>
        <v>0</v>
      </c>
      <c r="AG117" s="3505"/>
      <c r="AH117" s="2587"/>
      <c r="AI117" s="2575"/>
      <c r="AJ117" s="341">
        <f t="shared" si="29"/>
        <v>0</v>
      </c>
      <c r="AK117" s="3505"/>
      <c r="AL117" s="2587"/>
      <c r="AM117" s="2351"/>
      <c r="AN117" s="3696">
        <f t="shared" si="26"/>
        <v>0</v>
      </c>
      <c r="AO117" s="2349"/>
      <c r="AP117" s="341">
        <f t="shared" si="21"/>
        <v>0</v>
      </c>
      <c r="AQ117" s="3548"/>
      <c r="AR117" s="1108"/>
      <c r="AS117" s="2575"/>
      <c r="AT117" s="718">
        <f t="shared" si="22"/>
        <v>0</v>
      </c>
      <c r="AU117" s="3548"/>
      <c r="AV117" s="1108"/>
      <c r="AW117" s="2575"/>
      <c r="AX117" s="341">
        <f t="shared" si="23"/>
        <v>0</v>
      </c>
      <c r="AY117" s="3548"/>
      <c r="AZ117" s="1108"/>
      <c r="BA117" s="2351"/>
      <c r="BB117" s="532">
        <f t="shared" si="24"/>
        <v>0</v>
      </c>
      <c r="BC117" s="2352"/>
      <c r="BD117" s="617">
        <f t="shared" si="27"/>
        <v>0</v>
      </c>
      <c r="BE117" s="2349"/>
      <c r="BF117" s="718">
        <f t="shared" si="28"/>
        <v>0</v>
      </c>
      <c r="BG117" s="1111"/>
      <c r="BH117" s="3464"/>
      <c r="BI117" s="23"/>
      <c r="BJ117" s="23"/>
      <c r="BK117" s="23"/>
      <c r="BL117" s="23"/>
    </row>
    <row r="118" spans="2:64" ht="16.2" hidden="1" thickBot="1" x14ac:dyDescent="0.35">
      <c r="B118" s="2566" t="s">
        <v>840</v>
      </c>
      <c r="C118" s="2567" t="s">
        <v>1389</v>
      </c>
      <c r="D118" s="2568" t="s">
        <v>50</v>
      </c>
      <c r="E118" s="2576"/>
      <c r="F118" s="103"/>
      <c r="G118" s="2576"/>
      <c r="H118" s="103"/>
      <c r="I118" s="2577"/>
      <c r="J118" s="39">
        <f t="shared" si="25"/>
        <v>0</v>
      </c>
      <c r="K118" s="2576"/>
      <c r="L118" s="103"/>
      <c r="M118" s="830"/>
      <c r="N118" s="574">
        <f t="shared" si="17"/>
        <v>0</v>
      </c>
      <c r="O118" s="2576"/>
      <c r="P118" s="103"/>
      <c r="Q118" s="782"/>
      <c r="R118" s="341">
        <f t="shared" si="18"/>
        <v>0</v>
      </c>
      <c r="S118" s="2576"/>
      <c r="T118" s="103"/>
      <c r="U118" s="782"/>
      <c r="V118" s="341">
        <f t="shared" si="19"/>
        <v>0</v>
      </c>
      <c r="W118" s="2576"/>
      <c r="X118" s="103"/>
      <c r="Y118" s="532"/>
      <c r="Z118" s="3696">
        <f t="shared" si="30"/>
        <v>0</v>
      </c>
      <c r="AA118" s="617"/>
      <c r="AB118" s="3697">
        <f t="shared" si="31"/>
        <v>0</v>
      </c>
      <c r="AC118" s="2576"/>
      <c r="AD118" s="103"/>
      <c r="AE118" s="782"/>
      <c r="AF118" s="341">
        <f t="shared" si="20"/>
        <v>0</v>
      </c>
      <c r="AG118" s="2576"/>
      <c r="AH118" s="103"/>
      <c r="AI118" s="782"/>
      <c r="AJ118" s="341">
        <f t="shared" si="29"/>
        <v>0</v>
      </c>
      <c r="AK118" s="2576"/>
      <c r="AL118" s="103"/>
      <c r="AM118" s="532"/>
      <c r="AN118" s="3696">
        <f t="shared" si="26"/>
        <v>0</v>
      </c>
      <c r="AO118" s="718"/>
      <c r="AP118" s="341">
        <f t="shared" si="21"/>
        <v>0</v>
      </c>
      <c r="AQ118" s="2576"/>
      <c r="AR118" s="103"/>
      <c r="AS118" s="782"/>
      <c r="AT118" s="718">
        <f t="shared" si="22"/>
        <v>0</v>
      </c>
      <c r="AU118" s="2576"/>
      <c r="AV118" s="103"/>
      <c r="AW118" s="782"/>
      <c r="AX118" s="341">
        <f t="shared" si="23"/>
        <v>0</v>
      </c>
      <c r="AY118" s="2576"/>
      <c r="AZ118" s="103"/>
      <c r="BA118" s="532"/>
      <c r="BB118" s="532">
        <f t="shared" si="24"/>
        <v>0</v>
      </c>
      <c r="BC118" s="617"/>
      <c r="BD118" s="617">
        <f t="shared" si="27"/>
        <v>0</v>
      </c>
      <c r="BE118" s="718"/>
      <c r="BF118" s="718">
        <f t="shared" si="28"/>
        <v>0</v>
      </c>
      <c r="BG118" s="1111"/>
      <c r="BH118" s="3464"/>
      <c r="BI118" s="23"/>
      <c r="BJ118" s="23"/>
      <c r="BK118" s="23"/>
      <c r="BL118" s="23"/>
    </row>
    <row r="119" spans="2:64" ht="16.2" hidden="1" thickBot="1" x14ac:dyDescent="0.35">
      <c r="B119" s="2562" t="s">
        <v>823</v>
      </c>
      <c r="C119" s="2563" t="s">
        <v>990</v>
      </c>
      <c r="D119" s="2564" t="s">
        <v>50</v>
      </c>
      <c r="E119" s="2564"/>
      <c r="F119" s="145"/>
      <c r="G119" s="2564"/>
      <c r="H119" s="145"/>
      <c r="I119" s="2574"/>
      <c r="J119" s="39">
        <f t="shared" si="25"/>
        <v>0</v>
      </c>
      <c r="K119" s="2564"/>
      <c r="L119" s="145">
        <v>1086.5</v>
      </c>
      <c r="M119" s="830"/>
      <c r="N119" s="574">
        <f t="shared" si="17"/>
        <v>1086.5</v>
      </c>
      <c r="O119" s="2564"/>
      <c r="P119" s="145"/>
      <c r="Q119" s="782"/>
      <c r="R119" s="341">
        <f t="shared" si="18"/>
        <v>1086.5</v>
      </c>
      <c r="S119" s="2564"/>
      <c r="T119" s="145"/>
      <c r="U119" s="782"/>
      <c r="V119" s="341">
        <f t="shared" si="19"/>
        <v>1086.5</v>
      </c>
      <c r="W119" s="2564"/>
      <c r="X119" s="145"/>
      <c r="Y119" s="532"/>
      <c r="Z119" s="3696">
        <f t="shared" si="30"/>
        <v>0</v>
      </c>
      <c r="AA119" s="617"/>
      <c r="AB119" s="3697">
        <f t="shared" si="31"/>
        <v>1086.5</v>
      </c>
      <c r="AC119" s="2564"/>
      <c r="AD119" s="145"/>
      <c r="AE119" s="782"/>
      <c r="AF119" s="341">
        <f t="shared" si="20"/>
        <v>1086.5</v>
      </c>
      <c r="AG119" s="2564"/>
      <c r="AH119" s="145"/>
      <c r="AI119" s="782"/>
      <c r="AJ119" s="341">
        <f t="shared" si="29"/>
        <v>1086.5</v>
      </c>
      <c r="AK119" s="2564"/>
      <c r="AL119" s="145"/>
      <c r="AM119" s="532"/>
      <c r="AN119" s="3696">
        <f t="shared" si="26"/>
        <v>0</v>
      </c>
      <c r="AO119" s="718"/>
      <c r="AP119" s="341">
        <f t="shared" si="21"/>
        <v>1086.5</v>
      </c>
      <c r="AQ119" s="2564"/>
      <c r="AR119" s="145"/>
      <c r="AS119" s="782"/>
      <c r="AT119" s="718">
        <f t="shared" si="22"/>
        <v>1086.5</v>
      </c>
      <c r="AU119" s="2564"/>
      <c r="AV119" s="145"/>
      <c r="AW119" s="782"/>
      <c r="AX119" s="341">
        <f t="shared" si="23"/>
        <v>1086.5</v>
      </c>
      <c r="AY119" s="2564"/>
      <c r="AZ119" s="145"/>
      <c r="BA119" s="532"/>
      <c r="BB119" s="532">
        <f t="shared" si="24"/>
        <v>0</v>
      </c>
      <c r="BC119" s="617"/>
      <c r="BD119" s="617">
        <f t="shared" si="27"/>
        <v>0</v>
      </c>
      <c r="BE119" s="718"/>
      <c r="BF119" s="718">
        <f t="shared" si="28"/>
        <v>1086.5</v>
      </c>
      <c r="BG119" s="1111"/>
      <c r="BH119" s="3464"/>
      <c r="BI119" s="23"/>
      <c r="BJ119" s="23"/>
      <c r="BK119" s="23"/>
      <c r="BL119" s="23"/>
    </row>
    <row r="120" spans="2:64" ht="16.2" hidden="1" thickBot="1" x14ac:dyDescent="0.35">
      <c r="B120" s="780" t="s">
        <v>823</v>
      </c>
      <c r="C120" s="2345" t="s">
        <v>931</v>
      </c>
      <c r="D120" s="2346" t="s">
        <v>50</v>
      </c>
      <c r="E120" s="1562"/>
      <c r="F120" s="2348"/>
      <c r="G120" s="1562"/>
      <c r="H120" s="2348"/>
      <c r="I120" s="2575"/>
      <c r="J120" s="39">
        <f t="shared" si="25"/>
        <v>0</v>
      </c>
      <c r="K120" s="1562"/>
      <c r="L120" s="2348"/>
      <c r="M120" s="830"/>
      <c r="N120" s="574">
        <f t="shared" si="17"/>
        <v>0</v>
      </c>
      <c r="O120" s="1562"/>
      <c r="P120" s="2348"/>
      <c r="Q120" s="782"/>
      <c r="R120" s="341">
        <f t="shared" si="18"/>
        <v>0</v>
      </c>
      <c r="S120" s="1562"/>
      <c r="T120" s="2348"/>
      <c r="U120" s="782"/>
      <c r="V120" s="341">
        <f t="shared" si="19"/>
        <v>0</v>
      </c>
      <c r="W120" s="1562"/>
      <c r="X120" s="2348"/>
      <c r="Y120" s="532"/>
      <c r="Z120" s="3696">
        <f t="shared" si="30"/>
        <v>0</v>
      </c>
      <c r="AA120" s="617"/>
      <c r="AB120" s="3697">
        <f t="shared" si="31"/>
        <v>0</v>
      </c>
      <c r="AC120" s="1562"/>
      <c r="AD120" s="2348"/>
      <c r="AE120" s="782"/>
      <c r="AF120" s="341">
        <f t="shared" si="20"/>
        <v>0</v>
      </c>
      <c r="AG120" s="1562"/>
      <c r="AH120" s="2348"/>
      <c r="AI120" s="782"/>
      <c r="AJ120" s="718">
        <f t="shared" si="29"/>
        <v>0</v>
      </c>
      <c r="AK120" s="1562"/>
      <c r="AL120" s="2348"/>
      <c r="AM120" s="532"/>
      <c r="AN120" s="3696">
        <f t="shared" si="26"/>
        <v>0</v>
      </c>
      <c r="AO120" s="718"/>
      <c r="AP120" s="341">
        <f t="shared" si="21"/>
        <v>0</v>
      </c>
      <c r="AQ120" s="1562"/>
      <c r="AR120" s="2348"/>
      <c r="AS120" s="782"/>
      <c r="AT120" s="718">
        <f t="shared" si="22"/>
        <v>0</v>
      </c>
      <c r="AU120" s="1562"/>
      <c r="AV120" s="2348"/>
      <c r="AW120" s="782"/>
      <c r="AX120" s="341">
        <f t="shared" si="23"/>
        <v>0</v>
      </c>
      <c r="AY120" s="1562"/>
      <c r="AZ120" s="2348"/>
      <c r="BA120" s="532"/>
      <c r="BB120" s="532">
        <f t="shared" si="24"/>
        <v>0</v>
      </c>
      <c r="BC120" s="617"/>
      <c r="BD120" s="617">
        <f t="shared" si="27"/>
        <v>0</v>
      </c>
      <c r="BE120" s="718"/>
      <c r="BF120" s="718">
        <f t="shared" si="28"/>
        <v>0</v>
      </c>
      <c r="BG120" s="1111"/>
      <c r="BH120" s="3464"/>
      <c r="BI120" s="23"/>
      <c r="BJ120" s="23"/>
      <c r="BK120" s="23"/>
      <c r="BL120" s="23"/>
    </row>
    <row r="121" spans="2:64" ht="16.2" hidden="1" thickBot="1" x14ac:dyDescent="0.35">
      <c r="B121" s="780" t="s">
        <v>823</v>
      </c>
      <c r="C121" s="2345" t="s">
        <v>991</v>
      </c>
      <c r="D121" s="2346" t="s">
        <v>50</v>
      </c>
      <c r="E121" s="783"/>
      <c r="F121" s="2348"/>
      <c r="G121" s="783"/>
      <c r="H121" s="2348"/>
      <c r="I121" s="2575"/>
      <c r="J121" s="39">
        <f t="shared" si="25"/>
        <v>0</v>
      </c>
      <c r="K121" s="783"/>
      <c r="L121" s="2348">
        <v>990.15</v>
      </c>
      <c r="M121" s="830"/>
      <c r="N121" s="574">
        <f t="shared" si="17"/>
        <v>990.15</v>
      </c>
      <c r="O121" s="783"/>
      <c r="P121" s="2348"/>
      <c r="Q121" s="782"/>
      <c r="R121" s="341">
        <f t="shared" si="18"/>
        <v>990.15</v>
      </c>
      <c r="S121" s="783"/>
      <c r="T121" s="2348"/>
      <c r="U121" s="782"/>
      <c r="V121" s="341">
        <f t="shared" si="19"/>
        <v>990.15</v>
      </c>
      <c r="W121" s="783"/>
      <c r="X121" s="2348"/>
      <c r="Y121" s="532"/>
      <c r="Z121" s="3696">
        <f t="shared" si="30"/>
        <v>0</v>
      </c>
      <c r="AA121" s="617"/>
      <c r="AB121" s="3697">
        <f t="shared" si="31"/>
        <v>990.15</v>
      </c>
      <c r="AC121" s="783"/>
      <c r="AD121" s="2348"/>
      <c r="AE121" s="782"/>
      <c r="AF121" s="341">
        <f t="shared" si="20"/>
        <v>990.15</v>
      </c>
      <c r="AG121" s="783"/>
      <c r="AH121" s="2348"/>
      <c r="AI121" s="782"/>
      <c r="AJ121" s="341">
        <f t="shared" si="29"/>
        <v>990.15</v>
      </c>
      <c r="AK121" s="783"/>
      <c r="AL121" s="2348"/>
      <c r="AM121" s="532"/>
      <c r="AN121" s="3696">
        <f t="shared" si="26"/>
        <v>0</v>
      </c>
      <c r="AO121" s="718"/>
      <c r="AP121" s="341">
        <f t="shared" si="21"/>
        <v>990.15</v>
      </c>
      <c r="AQ121" s="783"/>
      <c r="AR121" s="2348"/>
      <c r="AS121" s="782"/>
      <c r="AT121" s="718">
        <f t="shared" si="22"/>
        <v>990.15</v>
      </c>
      <c r="AU121" s="783"/>
      <c r="AV121" s="2348"/>
      <c r="AW121" s="782"/>
      <c r="AX121" s="341">
        <f t="shared" si="23"/>
        <v>990.15</v>
      </c>
      <c r="AY121" s="783"/>
      <c r="AZ121" s="2348"/>
      <c r="BA121" s="532"/>
      <c r="BB121" s="532">
        <f t="shared" si="24"/>
        <v>0</v>
      </c>
      <c r="BC121" s="617"/>
      <c r="BD121" s="617">
        <f t="shared" si="27"/>
        <v>0</v>
      </c>
      <c r="BE121" s="718"/>
      <c r="BF121" s="718">
        <f t="shared" si="28"/>
        <v>990.15</v>
      </c>
      <c r="BG121" s="1111"/>
      <c r="BH121" s="3464"/>
      <c r="BI121" s="23"/>
      <c r="BJ121" s="23"/>
      <c r="BK121" s="23"/>
      <c r="BL121" s="23"/>
    </row>
    <row r="122" spans="2:64" ht="16.2" hidden="1" thickBot="1" x14ac:dyDescent="0.35">
      <c r="B122" s="3503" t="s">
        <v>823</v>
      </c>
      <c r="C122" s="3549" t="s">
        <v>1387</v>
      </c>
      <c r="D122" s="3550" t="s">
        <v>50</v>
      </c>
      <c r="E122" s="3551"/>
      <c r="F122" s="1108"/>
      <c r="G122" s="3551"/>
      <c r="H122" s="1108"/>
      <c r="I122" s="3521"/>
      <c r="J122" s="39">
        <f t="shared" si="25"/>
        <v>0</v>
      </c>
      <c r="K122" s="3551"/>
      <c r="L122" s="1108"/>
      <c r="M122" s="2548"/>
      <c r="N122" s="574">
        <f t="shared" si="17"/>
        <v>0</v>
      </c>
      <c r="O122" s="3551"/>
      <c r="P122" s="1108"/>
      <c r="Q122" s="2575"/>
      <c r="R122" s="341">
        <f t="shared" si="18"/>
        <v>0</v>
      </c>
      <c r="S122" s="3551"/>
      <c r="T122" s="1108"/>
      <c r="U122" s="2575"/>
      <c r="V122" s="341">
        <f t="shared" si="19"/>
        <v>0</v>
      </c>
      <c r="W122" s="3551"/>
      <c r="X122" s="1108"/>
      <c r="Y122" s="2351"/>
      <c r="Z122" s="3696">
        <f t="shared" si="30"/>
        <v>0</v>
      </c>
      <c r="AA122" s="617"/>
      <c r="AB122" s="3697">
        <f t="shared" si="31"/>
        <v>0</v>
      </c>
      <c r="AC122" s="3551"/>
      <c r="AD122" s="1108"/>
      <c r="AE122" s="2575"/>
      <c r="AF122" s="341">
        <f t="shared" si="20"/>
        <v>0</v>
      </c>
      <c r="AG122" s="3551"/>
      <c r="AH122" s="1108"/>
      <c r="AI122" s="2575"/>
      <c r="AJ122" s="341">
        <f t="shared" si="29"/>
        <v>0</v>
      </c>
      <c r="AK122" s="3551"/>
      <c r="AL122" s="1108"/>
      <c r="AM122" s="2351"/>
      <c r="AN122" s="3696">
        <f t="shared" si="26"/>
        <v>0</v>
      </c>
      <c r="AO122" s="2349"/>
      <c r="AP122" s="341">
        <f t="shared" si="21"/>
        <v>0</v>
      </c>
      <c r="AQ122" s="3551"/>
      <c r="AR122" s="1108"/>
      <c r="AS122" s="2575"/>
      <c r="AT122" s="718">
        <f t="shared" si="22"/>
        <v>0</v>
      </c>
      <c r="AU122" s="3551"/>
      <c r="AV122" s="1108"/>
      <c r="AW122" s="2575"/>
      <c r="AX122" s="341">
        <f t="shared" si="23"/>
        <v>0</v>
      </c>
      <c r="AY122" s="3551"/>
      <c r="AZ122" s="1108"/>
      <c r="BA122" s="2351"/>
      <c r="BB122" s="532">
        <f t="shared" si="24"/>
        <v>0</v>
      </c>
      <c r="BC122" s="2352"/>
      <c r="BD122" s="617">
        <f t="shared" si="27"/>
        <v>0</v>
      </c>
      <c r="BE122" s="2349"/>
      <c r="BF122" s="718">
        <f t="shared" si="28"/>
        <v>0</v>
      </c>
      <c r="BG122" s="1111"/>
      <c r="BH122" s="3464"/>
      <c r="BI122" s="23"/>
      <c r="BJ122" s="23"/>
      <c r="BK122" s="23"/>
      <c r="BL122" s="23"/>
    </row>
    <row r="123" spans="2:64" ht="16.2" hidden="1" thickBot="1" x14ac:dyDescent="0.35">
      <c r="B123" s="2566" t="s">
        <v>823</v>
      </c>
      <c r="C123" s="2567" t="s">
        <v>1389</v>
      </c>
      <c r="D123" s="2568" t="s">
        <v>50</v>
      </c>
      <c r="E123" s="2579"/>
      <c r="F123" s="103"/>
      <c r="G123" s="2579"/>
      <c r="H123" s="103"/>
      <c r="I123" s="2577"/>
      <c r="J123" s="39">
        <f t="shared" si="25"/>
        <v>0</v>
      </c>
      <c r="K123" s="2579"/>
      <c r="L123" s="103"/>
      <c r="M123" s="830"/>
      <c r="N123" s="574">
        <f t="shared" si="17"/>
        <v>0</v>
      </c>
      <c r="O123" s="2579"/>
      <c r="P123" s="103"/>
      <c r="Q123" s="782"/>
      <c r="R123" s="341">
        <f t="shared" si="18"/>
        <v>0</v>
      </c>
      <c r="S123" s="2579"/>
      <c r="T123" s="103"/>
      <c r="U123" s="782"/>
      <c r="V123" s="341">
        <f t="shared" si="19"/>
        <v>0</v>
      </c>
      <c r="W123" s="2579"/>
      <c r="X123" s="103"/>
      <c r="Y123" s="532"/>
      <c r="Z123" s="3696">
        <f t="shared" si="30"/>
        <v>0</v>
      </c>
      <c r="AA123" s="617"/>
      <c r="AB123" s="3697">
        <f t="shared" si="31"/>
        <v>0</v>
      </c>
      <c r="AC123" s="2579"/>
      <c r="AD123" s="103"/>
      <c r="AE123" s="782"/>
      <c r="AF123" s="341">
        <f t="shared" si="20"/>
        <v>0</v>
      </c>
      <c r="AG123" s="2579"/>
      <c r="AH123" s="103"/>
      <c r="AI123" s="782"/>
      <c r="AJ123" s="341">
        <f t="shared" si="29"/>
        <v>0</v>
      </c>
      <c r="AK123" s="2579"/>
      <c r="AL123" s="103"/>
      <c r="AM123" s="532"/>
      <c r="AN123" s="3696">
        <f t="shared" si="26"/>
        <v>0</v>
      </c>
      <c r="AO123" s="718"/>
      <c r="AP123" s="341">
        <f t="shared" si="21"/>
        <v>0</v>
      </c>
      <c r="AQ123" s="2579"/>
      <c r="AR123" s="103"/>
      <c r="AS123" s="782"/>
      <c r="AT123" s="718">
        <f t="shared" si="22"/>
        <v>0</v>
      </c>
      <c r="AU123" s="2579"/>
      <c r="AV123" s="103"/>
      <c r="AW123" s="782"/>
      <c r="AX123" s="341">
        <f t="shared" si="23"/>
        <v>0</v>
      </c>
      <c r="AY123" s="2579"/>
      <c r="AZ123" s="103"/>
      <c r="BA123" s="532"/>
      <c r="BB123" s="532">
        <f t="shared" ref="BB123:BB157" si="37">AR123+AV123+AZ123</f>
        <v>0</v>
      </c>
      <c r="BC123" s="617"/>
      <c r="BD123" s="617">
        <f t="shared" si="27"/>
        <v>0</v>
      </c>
      <c r="BE123" s="718"/>
      <c r="BF123" s="718">
        <f t="shared" si="28"/>
        <v>0</v>
      </c>
      <c r="BG123" s="1111"/>
      <c r="BH123" s="3464"/>
      <c r="BI123" s="23"/>
      <c r="BJ123" s="23"/>
      <c r="BK123" s="23"/>
      <c r="BL123" s="23"/>
    </row>
    <row r="124" spans="2:64" ht="16.2" hidden="1" thickBot="1" x14ac:dyDescent="0.35">
      <c r="B124" s="4423" t="s">
        <v>1966</v>
      </c>
      <c r="C124" s="4424" t="s">
        <v>1214</v>
      </c>
      <c r="D124" s="4392" t="s">
        <v>50</v>
      </c>
      <c r="E124" s="4429"/>
      <c r="F124" s="3152"/>
      <c r="G124" s="4429"/>
      <c r="H124" s="3152"/>
      <c r="I124" s="3153"/>
      <c r="J124" s="39">
        <f t="shared" si="25"/>
        <v>0</v>
      </c>
      <c r="K124" s="4429"/>
      <c r="L124" s="3152">
        <v>2436.8500000000004</v>
      </c>
      <c r="M124" s="4426"/>
      <c r="N124" s="574">
        <f t="shared" si="17"/>
        <v>2436.8500000000004</v>
      </c>
      <c r="O124" s="4429"/>
      <c r="P124" s="3152">
        <v>1510.85</v>
      </c>
      <c r="Q124" s="4427"/>
      <c r="R124" s="341">
        <f t="shared" si="18"/>
        <v>3947.7000000000003</v>
      </c>
      <c r="S124" s="4429"/>
      <c r="T124" s="3152"/>
      <c r="U124" s="4427"/>
      <c r="V124" s="341">
        <f t="shared" si="19"/>
        <v>3947.7000000000003</v>
      </c>
      <c r="W124" s="4429"/>
      <c r="X124" s="3152"/>
      <c r="Y124" s="4413"/>
      <c r="Z124" s="3696">
        <f t="shared" si="30"/>
        <v>1510.85</v>
      </c>
      <c r="AA124" s="4414"/>
      <c r="AB124" s="3697">
        <f t="shared" si="31"/>
        <v>3947.7000000000003</v>
      </c>
      <c r="AC124" s="4429"/>
      <c r="AD124" s="3152"/>
      <c r="AE124" s="4427"/>
      <c r="AF124" s="341">
        <f t="shared" si="20"/>
        <v>3947.7000000000003</v>
      </c>
      <c r="AG124" s="4429"/>
      <c r="AH124" s="3152"/>
      <c r="AI124" s="4427"/>
      <c r="AJ124" s="341">
        <f t="shared" si="29"/>
        <v>3947.7000000000003</v>
      </c>
      <c r="AK124" s="4429"/>
      <c r="AL124" s="3152"/>
      <c r="AM124" s="4413"/>
      <c r="AN124" s="3696">
        <f t="shared" si="26"/>
        <v>0</v>
      </c>
      <c r="AO124" s="4428"/>
      <c r="AP124" s="341">
        <f t="shared" si="21"/>
        <v>3947.7000000000003</v>
      </c>
      <c r="AQ124" s="4429"/>
      <c r="AR124" s="3152"/>
      <c r="AS124" s="4427"/>
      <c r="AT124" s="4428">
        <f t="shared" si="22"/>
        <v>3947.7000000000003</v>
      </c>
      <c r="AU124" s="4429"/>
      <c r="AV124" s="3152"/>
      <c r="AW124" s="4427"/>
      <c r="AX124" s="341">
        <f t="shared" si="23"/>
        <v>3947.7000000000003</v>
      </c>
      <c r="AY124" s="4429"/>
      <c r="AZ124" s="3152"/>
      <c r="BA124" s="4413"/>
      <c r="BB124" s="532">
        <f t="shared" si="37"/>
        <v>0</v>
      </c>
      <c r="BC124" s="4414"/>
      <c r="BD124" s="4137">
        <f t="shared" si="27"/>
        <v>0</v>
      </c>
      <c r="BE124" s="4428"/>
      <c r="BF124" s="718">
        <f t="shared" si="28"/>
        <v>3947.7000000000003</v>
      </c>
      <c r="BG124" s="1111"/>
      <c r="BH124" s="3464"/>
      <c r="BI124" s="23"/>
      <c r="BJ124" s="23"/>
      <c r="BK124" s="23"/>
      <c r="BL124" s="23"/>
    </row>
    <row r="125" spans="2:64" ht="16.2" hidden="1" thickBot="1" x14ac:dyDescent="0.35">
      <c r="B125" s="4423" t="s">
        <v>1966</v>
      </c>
      <c r="C125" s="4424" t="s">
        <v>1965</v>
      </c>
      <c r="D125" s="4392" t="s">
        <v>50</v>
      </c>
      <c r="E125" s="4429"/>
      <c r="F125" s="3152"/>
      <c r="G125" s="4429"/>
      <c r="H125" s="3152"/>
      <c r="I125" s="3153"/>
      <c r="J125" s="39">
        <f t="shared" si="25"/>
        <v>0</v>
      </c>
      <c r="K125" s="4429"/>
      <c r="L125" s="3152">
        <v>2882.2999999999997</v>
      </c>
      <c r="M125" s="4426"/>
      <c r="N125" s="574">
        <f t="shared" si="17"/>
        <v>2882.2999999999997</v>
      </c>
      <c r="O125" s="4429"/>
      <c r="P125" s="3152">
        <v>9542.7500000000018</v>
      </c>
      <c r="Q125" s="4427"/>
      <c r="R125" s="341">
        <f t="shared" si="18"/>
        <v>12425.050000000001</v>
      </c>
      <c r="S125" s="4429"/>
      <c r="T125" s="3152"/>
      <c r="U125" s="4427"/>
      <c r="V125" s="341">
        <f t="shared" si="19"/>
        <v>12425.050000000001</v>
      </c>
      <c r="W125" s="4429"/>
      <c r="X125" s="3152"/>
      <c r="Y125" s="4413"/>
      <c r="Z125" s="3696">
        <f t="shared" si="30"/>
        <v>9542.7500000000018</v>
      </c>
      <c r="AA125" s="4414"/>
      <c r="AB125" s="3697">
        <f t="shared" si="31"/>
        <v>12425.050000000001</v>
      </c>
      <c r="AC125" s="4429"/>
      <c r="AD125" s="3152"/>
      <c r="AE125" s="4427"/>
      <c r="AF125" s="341">
        <f t="shared" si="20"/>
        <v>12425.050000000001</v>
      </c>
      <c r="AG125" s="4429"/>
      <c r="AH125" s="3152"/>
      <c r="AI125" s="4427"/>
      <c r="AJ125" s="341">
        <f t="shared" si="29"/>
        <v>12425.050000000001</v>
      </c>
      <c r="AK125" s="4429"/>
      <c r="AL125" s="3152"/>
      <c r="AM125" s="4413"/>
      <c r="AN125" s="3696">
        <f t="shared" si="26"/>
        <v>0</v>
      </c>
      <c r="AO125" s="4428"/>
      <c r="AP125" s="341">
        <f t="shared" si="21"/>
        <v>12425.050000000001</v>
      </c>
      <c r="AQ125" s="4429"/>
      <c r="AR125" s="3152"/>
      <c r="AS125" s="4427"/>
      <c r="AT125" s="4428">
        <f t="shared" si="22"/>
        <v>12425.050000000001</v>
      </c>
      <c r="AU125" s="4429"/>
      <c r="AV125" s="3152"/>
      <c r="AW125" s="4427"/>
      <c r="AX125" s="341">
        <f t="shared" si="23"/>
        <v>12425.050000000001</v>
      </c>
      <c r="AY125" s="4429"/>
      <c r="AZ125" s="3152"/>
      <c r="BA125" s="4413"/>
      <c r="BB125" s="532">
        <f t="shared" si="37"/>
        <v>0</v>
      </c>
      <c r="BC125" s="4414"/>
      <c r="BD125" s="4137">
        <f t="shared" si="27"/>
        <v>0</v>
      </c>
      <c r="BE125" s="4428"/>
      <c r="BF125" s="718">
        <f t="shared" si="28"/>
        <v>12425.050000000001</v>
      </c>
      <c r="BG125" s="1111"/>
      <c r="BH125" s="3464"/>
      <c r="BI125" s="23"/>
      <c r="BJ125" s="23"/>
      <c r="BK125" s="23"/>
      <c r="BL125" s="23"/>
    </row>
    <row r="126" spans="2:64" ht="16.2" hidden="1" thickBot="1" x14ac:dyDescent="0.35">
      <c r="B126" s="2562" t="s">
        <v>831</v>
      </c>
      <c r="C126" s="2563" t="s">
        <v>1214</v>
      </c>
      <c r="D126" s="2564" t="s">
        <v>50</v>
      </c>
      <c r="E126" s="2573"/>
      <c r="F126" s="145"/>
      <c r="G126" s="2573"/>
      <c r="H126" s="145"/>
      <c r="I126" s="2574"/>
      <c r="J126" s="39">
        <f t="shared" si="25"/>
        <v>0</v>
      </c>
      <c r="K126" s="2573"/>
      <c r="L126" s="145">
        <f>3165.2-2.05</f>
        <v>3163.1499999999996</v>
      </c>
      <c r="M126" s="830"/>
      <c r="N126" s="574">
        <f t="shared" si="17"/>
        <v>3163.1499999999996</v>
      </c>
      <c r="O126" s="2573"/>
      <c r="P126" s="2584">
        <f>196.8-2.05</f>
        <v>194.75</v>
      </c>
      <c r="Q126" s="782"/>
      <c r="R126" s="341">
        <f t="shared" si="18"/>
        <v>3357.8999999999996</v>
      </c>
      <c r="S126" s="2573"/>
      <c r="T126" s="145"/>
      <c r="U126" s="782"/>
      <c r="V126" s="341">
        <f t="shared" si="19"/>
        <v>3357.8999999999996</v>
      </c>
      <c r="W126" s="2573"/>
      <c r="X126" s="145"/>
      <c r="Y126" s="532"/>
      <c r="Z126" s="3696">
        <f t="shared" si="30"/>
        <v>194.75</v>
      </c>
      <c r="AA126" s="617"/>
      <c r="AB126" s="3697">
        <f t="shared" si="31"/>
        <v>3357.8999999999996</v>
      </c>
      <c r="AC126" s="2573"/>
      <c r="AD126" s="145"/>
      <c r="AE126" s="782"/>
      <c r="AF126" s="341">
        <f t="shared" si="20"/>
        <v>3357.8999999999996</v>
      </c>
      <c r="AG126" s="2573"/>
      <c r="AH126" s="145"/>
      <c r="AI126" s="782"/>
      <c r="AJ126" s="341">
        <f t="shared" si="29"/>
        <v>3357.8999999999996</v>
      </c>
      <c r="AK126" s="2573"/>
      <c r="AL126" s="145"/>
      <c r="AM126" s="532"/>
      <c r="AN126" s="3696">
        <f t="shared" si="26"/>
        <v>0</v>
      </c>
      <c r="AO126" s="718"/>
      <c r="AP126" s="341">
        <f t="shared" si="21"/>
        <v>3357.8999999999996</v>
      </c>
      <c r="AQ126" s="2573"/>
      <c r="AR126" s="145"/>
      <c r="AS126" s="782"/>
      <c r="AT126" s="718">
        <f t="shared" si="22"/>
        <v>3357.8999999999996</v>
      </c>
      <c r="AU126" s="2573"/>
      <c r="AV126" s="145"/>
      <c r="AW126" s="782"/>
      <c r="AX126" s="341">
        <f t="shared" si="23"/>
        <v>3357.8999999999996</v>
      </c>
      <c r="AY126" s="2573"/>
      <c r="AZ126" s="145"/>
      <c r="BA126" s="532"/>
      <c r="BB126" s="532">
        <f t="shared" si="37"/>
        <v>0</v>
      </c>
      <c r="BC126" s="617"/>
      <c r="BD126" s="617">
        <f t="shared" si="27"/>
        <v>0</v>
      </c>
      <c r="BE126" s="718"/>
      <c r="BF126" s="718">
        <f t="shared" ref="BF126:BF157" si="38">+AX126+AZ126</f>
        <v>3357.8999999999996</v>
      </c>
      <c r="BG126" s="1111"/>
      <c r="BH126" s="3464"/>
      <c r="BI126" s="23"/>
      <c r="BJ126" s="23"/>
      <c r="BK126" s="23"/>
      <c r="BL126" s="23"/>
    </row>
    <row r="127" spans="2:64" ht="16.2" hidden="1" thickBot="1" x14ac:dyDescent="0.35">
      <c r="B127" s="4423" t="s">
        <v>831</v>
      </c>
      <c r="C127" s="4424" t="s">
        <v>1965</v>
      </c>
      <c r="D127" s="4392" t="s">
        <v>50</v>
      </c>
      <c r="E127" s="4425"/>
      <c r="F127" s="3152"/>
      <c r="G127" s="4425"/>
      <c r="H127" s="3152"/>
      <c r="I127" s="3153"/>
      <c r="J127" s="39">
        <f t="shared" ref="J127:J128" si="39">+F127+H127</f>
        <v>0</v>
      </c>
      <c r="K127" s="4425"/>
      <c r="L127" s="3152">
        <v>879.45000000000016</v>
      </c>
      <c r="M127" s="4426"/>
      <c r="N127" s="574">
        <f t="shared" si="17"/>
        <v>879.45000000000016</v>
      </c>
      <c r="O127" s="4425"/>
      <c r="P127" s="3152"/>
      <c r="Q127" s="4427"/>
      <c r="R127" s="341">
        <f t="shared" si="18"/>
        <v>879.45000000000016</v>
      </c>
      <c r="S127" s="4425"/>
      <c r="T127" s="3152"/>
      <c r="U127" s="4427"/>
      <c r="V127" s="341">
        <f t="shared" si="19"/>
        <v>879.45000000000016</v>
      </c>
      <c r="W127" s="4425"/>
      <c r="X127" s="3152"/>
      <c r="Y127" s="4413"/>
      <c r="Z127" s="3696">
        <f t="shared" si="30"/>
        <v>0</v>
      </c>
      <c r="AA127" s="4414"/>
      <c r="AB127" s="3697">
        <f t="shared" si="31"/>
        <v>879.45000000000016</v>
      </c>
      <c r="AC127" s="4425"/>
      <c r="AD127" s="3152"/>
      <c r="AE127" s="4427"/>
      <c r="AF127" s="341">
        <f t="shared" si="20"/>
        <v>879.45000000000016</v>
      </c>
      <c r="AG127" s="4425"/>
      <c r="AH127" s="3152"/>
      <c r="AI127" s="4427"/>
      <c r="AJ127" s="341">
        <f t="shared" si="29"/>
        <v>879.45000000000016</v>
      </c>
      <c r="AK127" s="4425"/>
      <c r="AL127" s="3152"/>
      <c r="AM127" s="4413"/>
      <c r="AN127" s="3696">
        <f t="shared" si="26"/>
        <v>0</v>
      </c>
      <c r="AO127" s="4428"/>
      <c r="AP127" s="341">
        <f t="shared" si="21"/>
        <v>879.45000000000016</v>
      </c>
      <c r="AQ127" s="4425"/>
      <c r="AR127" s="3152"/>
      <c r="AS127" s="4427"/>
      <c r="AT127" s="4428">
        <f t="shared" si="22"/>
        <v>879.45000000000016</v>
      </c>
      <c r="AU127" s="4425"/>
      <c r="AV127" s="3152"/>
      <c r="AW127" s="4427"/>
      <c r="AX127" s="341">
        <f t="shared" si="23"/>
        <v>879.45000000000016</v>
      </c>
      <c r="AY127" s="4425"/>
      <c r="AZ127" s="3152"/>
      <c r="BA127" s="4413"/>
      <c r="BB127" s="532">
        <f t="shared" si="37"/>
        <v>0</v>
      </c>
      <c r="BC127" s="4414"/>
      <c r="BD127" s="4137">
        <f t="shared" si="27"/>
        <v>0</v>
      </c>
      <c r="BE127" s="4428"/>
      <c r="BF127" s="718">
        <f t="shared" si="38"/>
        <v>879.45000000000016</v>
      </c>
      <c r="BG127" s="1111"/>
      <c r="BH127" s="3464"/>
      <c r="BI127" s="23"/>
      <c r="BJ127" s="23"/>
      <c r="BK127" s="23"/>
      <c r="BL127" s="23"/>
    </row>
    <row r="128" spans="2:64" ht="16.2" hidden="1" thickBot="1" x14ac:dyDescent="0.35">
      <c r="B128" s="2566" t="s">
        <v>831</v>
      </c>
      <c r="C128" s="2567" t="s">
        <v>835</v>
      </c>
      <c r="D128" s="2568" t="s">
        <v>50</v>
      </c>
      <c r="E128" s="2576"/>
      <c r="F128" s="103"/>
      <c r="G128" s="2576"/>
      <c r="H128" s="103"/>
      <c r="I128" s="2577"/>
      <c r="J128" s="40">
        <f t="shared" si="39"/>
        <v>0</v>
      </c>
      <c r="K128" s="2576"/>
      <c r="L128" s="103"/>
      <c r="M128" s="830"/>
      <c r="N128" s="574">
        <f t="shared" si="17"/>
        <v>0</v>
      </c>
      <c r="O128" s="2576"/>
      <c r="P128" s="103"/>
      <c r="Q128" s="782"/>
      <c r="R128" s="341">
        <f t="shared" si="18"/>
        <v>0</v>
      </c>
      <c r="S128" s="2576"/>
      <c r="T128" s="103"/>
      <c r="U128" s="782"/>
      <c r="V128" s="341">
        <f t="shared" si="19"/>
        <v>0</v>
      </c>
      <c r="W128" s="2576"/>
      <c r="X128" s="103"/>
      <c r="Y128" s="532"/>
      <c r="Z128" s="3696">
        <f t="shared" si="30"/>
        <v>0</v>
      </c>
      <c r="AA128" s="617"/>
      <c r="AB128" s="3697">
        <f t="shared" si="31"/>
        <v>0</v>
      </c>
      <c r="AC128" s="2576"/>
      <c r="AD128" s="103"/>
      <c r="AE128" s="782"/>
      <c r="AF128" s="341">
        <f t="shared" si="20"/>
        <v>0</v>
      </c>
      <c r="AG128" s="2576"/>
      <c r="AH128" s="103"/>
      <c r="AI128" s="782"/>
      <c r="AJ128" s="341">
        <f t="shared" si="29"/>
        <v>0</v>
      </c>
      <c r="AK128" s="2576"/>
      <c r="AL128" s="103"/>
      <c r="AM128" s="532"/>
      <c r="AN128" s="3696">
        <f t="shared" si="26"/>
        <v>0</v>
      </c>
      <c r="AO128" s="718"/>
      <c r="AP128" s="341">
        <f t="shared" si="21"/>
        <v>0</v>
      </c>
      <c r="AQ128" s="2576"/>
      <c r="AR128" s="103"/>
      <c r="AS128" s="782"/>
      <c r="AT128" s="718">
        <f t="shared" si="22"/>
        <v>0</v>
      </c>
      <c r="AU128" s="2576"/>
      <c r="AV128" s="103"/>
      <c r="AW128" s="782"/>
      <c r="AX128" s="341">
        <f t="shared" si="23"/>
        <v>0</v>
      </c>
      <c r="AY128" s="2576"/>
      <c r="AZ128" s="103"/>
      <c r="BA128" s="532"/>
      <c r="BB128" s="532">
        <f t="shared" si="37"/>
        <v>0</v>
      </c>
      <c r="BC128" s="617"/>
      <c r="BD128" s="617">
        <f t="shared" si="27"/>
        <v>0</v>
      </c>
      <c r="BE128" s="718"/>
      <c r="BF128" s="718">
        <f t="shared" si="38"/>
        <v>0</v>
      </c>
      <c r="BG128" s="1111"/>
      <c r="BH128" s="3464"/>
      <c r="BI128" s="23"/>
      <c r="BJ128" s="23"/>
      <c r="BK128" s="23"/>
      <c r="BL128" s="23"/>
    </row>
    <row r="129" spans="2:64" ht="16.2" thickBot="1" x14ac:dyDescent="0.35">
      <c r="B129" s="2612" t="s">
        <v>1023</v>
      </c>
      <c r="E129"/>
      <c r="F129"/>
      <c r="G129"/>
      <c r="H129"/>
      <c r="I129"/>
      <c r="J129"/>
      <c r="K129"/>
      <c r="L129"/>
      <c r="M129"/>
      <c r="N129" s="574">
        <f t="shared" si="17"/>
        <v>0</v>
      </c>
      <c r="O129"/>
      <c r="P129"/>
      <c r="Q129"/>
      <c r="R129" s="341">
        <f t="shared" si="18"/>
        <v>0</v>
      </c>
      <c r="V129" s="341">
        <f t="shared" si="19"/>
        <v>0</v>
      </c>
      <c r="AJ129" s="341"/>
      <c r="BG129" s="1111"/>
      <c r="BH129" s="3464"/>
      <c r="BI129" s="23"/>
      <c r="BJ129" s="23"/>
      <c r="BK129" s="23"/>
      <c r="BL129" s="23"/>
    </row>
    <row r="130" spans="2:64" ht="16.2" thickBot="1" x14ac:dyDescent="0.35">
      <c r="B130" s="2613" t="s">
        <v>989</v>
      </c>
      <c r="C130" s="2614" t="s">
        <v>1024</v>
      </c>
      <c r="D130" s="2615" t="s">
        <v>50</v>
      </c>
      <c r="E130" s="2573"/>
      <c r="F130" s="2584"/>
      <c r="G130" s="2573"/>
      <c r="H130" s="2581"/>
      <c r="I130" s="2616"/>
      <c r="J130" s="39">
        <f t="shared" ref="J130:J157" si="40">+F130+H130</f>
        <v>0</v>
      </c>
      <c r="K130" s="2573"/>
      <c r="L130" s="145"/>
      <c r="M130" s="830"/>
      <c r="N130" s="574">
        <f t="shared" si="17"/>
        <v>0</v>
      </c>
      <c r="O130" s="2573"/>
      <c r="P130" s="145"/>
      <c r="Q130" s="240"/>
      <c r="R130" s="341">
        <f t="shared" si="18"/>
        <v>0</v>
      </c>
      <c r="S130" s="2573"/>
      <c r="T130" s="145">
        <v>6.15</v>
      </c>
      <c r="U130" s="240"/>
      <c r="V130" s="341">
        <f t="shared" si="19"/>
        <v>6.15</v>
      </c>
      <c r="W130" s="2573"/>
      <c r="X130" s="145">
        <v>6.15</v>
      </c>
      <c r="Y130" s="532"/>
      <c r="Z130" s="3696">
        <f t="shared" si="30"/>
        <v>12.3</v>
      </c>
      <c r="AA130" s="617"/>
      <c r="AB130" s="3697">
        <f t="shared" si="31"/>
        <v>12.3</v>
      </c>
      <c r="AC130" s="2573"/>
      <c r="AD130" s="145"/>
      <c r="AE130" s="240"/>
      <c r="AF130" s="718">
        <f t="shared" ref="AF130:AF155" si="41">+AB130+AD130</f>
        <v>12.3</v>
      </c>
      <c r="AG130" s="2573"/>
      <c r="AH130" s="145">
        <v>2.0499999999999998</v>
      </c>
      <c r="AI130" s="240"/>
      <c r="AJ130" s="341">
        <f t="shared" si="29"/>
        <v>14.350000000000001</v>
      </c>
      <c r="AK130" s="2573"/>
      <c r="AL130" s="145">
        <v>8.1999999999999993</v>
      </c>
      <c r="AM130" s="532"/>
      <c r="AN130" s="532">
        <f t="shared" ref="AN130:AN148" si="42">AD130+AH130+AL130</f>
        <v>10.25</v>
      </c>
      <c r="AO130" s="718"/>
      <c r="AP130" s="718">
        <f t="shared" ref="AP130:AP149" si="43">AJ130+AL130</f>
        <v>22.55</v>
      </c>
      <c r="AQ130" s="2573"/>
      <c r="AR130" s="2584"/>
      <c r="AS130" s="240"/>
      <c r="AT130" s="718">
        <f t="shared" ref="AT130:AT157" si="44">+AP130+AR130</f>
        <v>22.55</v>
      </c>
      <c r="AU130" s="2573"/>
      <c r="AV130" s="2584">
        <v>14.35</v>
      </c>
      <c r="AW130" s="240"/>
      <c r="AX130" s="718">
        <f t="shared" ref="AX130:AX147" si="45">+AT130+AV130</f>
        <v>36.9</v>
      </c>
      <c r="AY130" s="2573"/>
      <c r="AZ130" s="2584"/>
      <c r="BA130" s="532"/>
      <c r="BB130" s="532">
        <f t="shared" si="37"/>
        <v>14.35</v>
      </c>
      <c r="BC130" s="617"/>
      <c r="BD130" s="617">
        <f t="shared" si="27"/>
        <v>24.6</v>
      </c>
      <c r="BE130" s="718"/>
      <c r="BF130" s="718">
        <f t="shared" si="38"/>
        <v>36.9</v>
      </c>
      <c r="BG130" s="1111"/>
      <c r="BH130" s="3464"/>
      <c r="BI130" s="23"/>
      <c r="BJ130" s="23"/>
      <c r="BK130" s="23"/>
      <c r="BL130" s="23"/>
    </row>
    <row r="131" spans="2:64" ht="16.2" thickBot="1" x14ac:dyDescent="0.35">
      <c r="B131" s="1496" t="s">
        <v>988</v>
      </c>
      <c r="C131" s="2617" t="s">
        <v>1024</v>
      </c>
      <c r="D131" s="2618" t="s">
        <v>50</v>
      </c>
      <c r="E131" s="783"/>
      <c r="F131" s="2581">
        <v>45.1</v>
      </c>
      <c r="G131" s="783"/>
      <c r="H131" s="2581"/>
      <c r="I131" s="2619"/>
      <c r="J131" s="35">
        <f t="shared" si="40"/>
        <v>45.1</v>
      </c>
      <c r="K131" s="783"/>
      <c r="L131" s="2348">
        <v>22.55</v>
      </c>
      <c r="M131" s="830"/>
      <c r="N131" s="574">
        <f t="shared" si="17"/>
        <v>67.650000000000006</v>
      </c>
      <c r="O131" s="783"/>
      <c r="P131" s="2348">
        <v>32.799999999999997</v>
      </c>
      <c r="Q131" s="240"/>
      <c r="R131" s="341">
        <f t="shared" si="18"/>
        <v>100.45</v>
      </c>
      <c r="S131" s="783"/>
      <c r="T131" s="2348">
        <v>92.25</v>
      </c>
      <c r="U131" s="240"/>
      <c r="V131" s="341">
        <f t="shared" si="19"/>
        <v>192.7</v>
      </c>
      <c r="W131" s="783"/>
      <c r="X131" s="2348">
        <v>14.35</v>
      </c>
      <c r="Y131" s="532"/>
      <c r="Z131" s="3696">
        <f t="shared" si="30"/>
        <v>139.4</v>
      </c>
      <c r="AA131" s="617"/>
      <c r="AB131" s="3697">
        <f t="shared" si="31"/>
        <v>207.05</v>
      </c>
      <c r="AC131" s="783"/>
      <c r="AD131" s="2348">
        <v>18.45</v>
      </c>
      <c r="AE131" s="240"/>
      <c r="AF131" s="718">
        <f t="shared" si="41"/>
        <v>225.5</v>
      </c>
      <c r="AG131" s="783"/>
      <c r="AH131" s="2348">
        <v>16.399999999999999</v>
      </c>
      <c r="AI131" s="240"/>
      <c r="AJ131" s="341">
        <f t="shared" si="29"/>
        <v>241.9</v>
      </c>
      <c r="AK131" s="783"/>
      <c r="AL131" s="2348">
        <v>10.25</v>
      </c>
      <c r="AM131" s="532"/>
      <c r="AN131" s="532">
        <f t="shared" si="42"/>
        <v>45.099999999999994</v>
      </c>
      <c r="AO131" s="718"/>
      <c r="AP131" s="718">
        <f t="shared" si="43"/>
        <v>252.15</v>
      </c>
      <c r="AQ131" s="783"/>
      <c r="AR131" s="2581">
        <f>14.35+4.1+2.05</f>
        <v>20.5</v>
      </c>
      <c r="AS131" s="240"/>
      <c r="AT131" s="718">
        <f t="shared" si="44"/>
        <v>272.64999999999998</v>
      </c>
      <c r="AU131" s="783"/>
      <c r="AV131" s="2581">
        <v>43.05</v>
      </c>
      <c r="AW131" s="240"/>
      <c r="AX131" s="718">
        <f t="shared" si="45"/>
        <v>315.7</v>
      </c>
      <c r="AY131" s="783"/>
      <c r="AZ131" s="2581">
        <v>24.6</v>
      </c>
      <c r="BA131" s="532"/>
      <c r="BB131" s="532">
        <f t="shared" si="37"/>
        <v>88.15</v>
      </c>
      <c r="BC131" s="617"/>
      <c r="BD131" s="617">
        <f t="shared" si="27"/>
        <v>133.25</v>
      </c>
      <c r="BE131" s="718"/>
      <c r="BF131" s="718">
        <f t="shared" si="38"/>
        <v>340.3</v>
      </c>
      <c r="BG131" s="1111"/>
      <c r="BH131" s="3464"/>
      <c r="BI131" s="23"/>
      <c r="BJ131" s="23"/>
      <c r="BK131" s="23"/>
      <c r="BL131" s="23"/>
    </row>
    <row r="132" spans="2:64" ht="16.2" thickBot="1" x14ac:dyDescent="0.35">
      <c r="B132" s="1496" t="s">
        <v>987</v>
      </c>
      <c r="C132" s="2617" t="s">
        <v>1024</v>
      </c>
      <c r="D132" s="2618" t="s">
        <v>50</v>
      </c>
      <c r="E132" s="783"/>
      <c r="F132" s="2581"/>
      <c r="G132" s="783"/>
      <c r="H132" s="2581"/>
      <c r="I132" s="2619"/>
      <c r="J132" s="35">
        <f t="shared" si="40"/>
        <v>0</v>
      </c>
      <c r="K132" s="783"/>
      <c r="L132" s="2348"/>
      <c r="M132" s="830"/>
      <c r="N132" s="574">
        <f t="shared" si="17"/>
        <v>0</v>
      </c>
      <c r="O132" s="783"/>
      <c r="P132" s="2348"/>
      <c r="Q132" s="240"/>
      <c r="R132" s="341">
        <f t="shared" si="18"/>
        <v>0</v>
      </c>
      <c r="S132" s="783"/>
      <c r="T132" s="2348"/>
      <c r="U132" s="240"/>
      <c r="V132" s="341">
        <f t="shared" si="19"/>
        <v>0</v>
      </c>
      <c r="W132" s="783"/>
      <c r="X132" s="2348"/>
      <c r="Y132" s="532"/>
      <c r="Z132" s="3696">
        <f t="shared" si="30"/>
        <v>0</v>
      </c>
      <c r="AA132" s="617"/>
      <c r="AB132" s="3697">
        <f t="shared" si="31"/>
        <v>0</v>
      </c>
      <c r="AC132" s="783"/>
      <c r="AD132" s="2348"/>
      <c r="AE132" s="240"/>
      <c r="AF132" s="718">
        <f t="shared" si="41"/>
        <v>0</v>
      </c>
      <c r="AG132" s="783"/>
      <c r="AH132" s="2348">
        <v>2.0499999999999998</v>
      </c>
      <c r="AI132" s="240"/>
      <c r="AJ132" s="341">
        <f t="shared" si="29"/>
        <v>2.0499999999999998</v>
      </c>
      <c r="AK132" s="783"/>
      <c r="AL132" s="2348"/>
      <c r="AM132" s="532"/>
      <c r="AN132" s="532">
        <f t="shared" si="42"/>
        <v>2.0499999999999998</v>
      </c>
      <c r="AO132" s="718"/>
      <c r="AP132" s="718">
        <f t="shared" si="43"/>
        <v>2.0499999999999998</v>
      </c>
      <c r="AQ132" s="783"/>
      <c r="AR132" s="2581">
        <v>2.0499999999999998</v>
      </c>
      <c r="AS132" s="240"/>
      <c r="AT132" s="718">
        <f t="shared" si="44"/>
        <v>4.0999999999999996</v>
      </c>
      <c r="AU132" s="783"/>
      <c r="AV132" s="2581"/>
      <c r="AW132" s="240"/>
      <c r="AX132" s="718">
        <f t="shared" si="45"/>
        <v>4.0999999999999996</v>
      </c>
      <c r="AY132" s="783"/>
      <c r="AZ132" s="2581"/>
      <c r="BA132" s="532"/>
      <c r="BB132" s="532">
        <f t="shared" si="37"/>
        <v>2.0499999999999998</v>
      </c>
      <c r="BC132" s="617"/>
      <c r="BD132" s="617">
        <f t="shared" si="27"/>
        <v>4.0999999999999996</v>
      </c>
      <c r="BE132" s="718"/>
      <c r="BF132" s="718">
        <f t="shared" si="38"/>
        <v>4.0999999999999996</v>
      </c>
      <c r="BG132" s="1111"/>
      <c r="BH132" s="3464"/>
      <c r="BI132" s="23"/>
      <c r="BJ132" s="23"/>
      <c r="BK132" s="23"/>
      <c r="BL132" s="23"/>
    </row>
    <row r="133" spans="2:64" ht="16.2" thickBot="1" x14ac:dyDescent="0.35">
      <c r="B133" s="1496" t="s">
        <v>985</v>
      </c>
      <c r="C133" s="2617" t="s">
        <v>1024</v>
      </c>
      <c r="D133" s="2618" t="s">
        <v>50</v>
      </c>
      <c r="E133" s="783"/>
      <c r="F133" s="2581"/>
      <c r="G133" s="783"/>
      <c r="H133" s="2581"/>
      <c r="I133" s="2619"/>
      <c r="J133" s="35">
        <f t="shared" si="40"/>
        <v>0</v>
      </c>
      <c r="K133" s="783"/>
      <c r="L133" s="2348"/>
      <c r="M133" s="830"/>
      <c r="N133" s="574">
        <f t="shared" si="17"/>
        <v>0</v>
      </c>
      <c r="O133" s="783"/>
      <c r="P133" s="2348"/>
      <c r="Q133" s="240"/>
      <c r="R133" s="341">
        <f t="shared" si="18"/>
        <v>0</v>
      </c>
      <c r="S133" s="783"/>
      <c r="T133" s="2348">
        <v>4.0999999999999996</v>
      </c>
      <c r="U133" s="240"/>
      <c r="V133" s="341">
        <f t="shared" si="19"/>
        <v>4.0999999999999996</v>
      </c>
      <c r="W133" s="783"/>
      <c r="X133" s="2348"/>
      <c r="Y133" s="532"/>
      <c r="Z133" s="3696">
        <f t="shared" si="30"/>
        <v>4.0999999999999996</v>
      </c>
      <c r="AA133" s="617"/>
      <c r="AB133" s="3697">
        <f t="shared" si="31"/>
        <v>4.0999999999999996</v>
      </c>
      <c r="AC133" s="783"/>
      <c r="AD133" s="2348">
        <f>24.6+2.05</f>
        <v>26.650000000000002</v>
      </c>
      <c r="AE133" s="240"/>
      <c r="AF133" s="718">
        <f t="shared" si="41"/>
        <v>30.75</v>
      </c>
      <c r="AG133" s="783"/>
      <c r="AH133" s="2348">
        <v>4.0999999999999996</v>
      </c>
      <c r="AI133" s="240"/>
      <c r="AJ133" s="341">
        <f t="shared" si="29"/>
        <v>34.85</v>
      </c>
      <c r="AK133" s="783"/>
      <c r="AL133" s="2348"/>
      <c r="AM133" s="532"/>
      <c r="AN133" s="532">
        <f t="shared" si="42"/>
        <v>30.75</v>
      </c>
      <c r="AO133" s="718"/>
      <c r="AP133" s="718">
        <f t="shared" si="43"/>
        <v>34.85</v>
      </c>
      <c r="AQ133" s="783"/>
      <c r="AR133" s="2581">
        <v>2.0499999999999998</v>
      </c>
      <c r="AS133" s="240"/>
      <c r="AT133" s="718">
        <f t="shared" si="44"/>
        <v>36.9</v>
      </c>
      <c r="AU133" s="783"/>
      <c r="AV133" s="2581"/>
      <c r="AW133" s="240"/>
      <c r="AX133" s="718">
        <f t="shared" si="45"/>
        <v>36.9</v>
      </c>
      <c r="AY133" s="783"/>
      <c r="AZ133" s="2581"/>
      <c r="BA133" s="532"/>
      <c r="BB133" s="532">
        <f t="shared" si="37"/>
        <v>2.0499999999999998</v>
      </c>
      <c r="BC133" s="617"/>
      <c r="BD133" s="617">
        <f t="shared" si="27"/>
        <v>32.799999999999997</v>
      </c>
      <c r="BE133" s="718"/>
      <c r="BF133" s="718">
        <f t="shared" si="38"/>
        <v>36.9</v>
      </c>
      <c r="BG133" s="1111"/>
      <c r="BH133" s="3464"/>
      <c r="BI133" s="23"/>
      <c r="BJ133" s="23"/>
      <c r="BK133" s="23"/>
      <c r="BL133" s="23"/>
    </row>
    <row r="134" spans="2:64" ht="16.2" thickBot="1" x14ac:dyDescent="0.35">
      <c r="B134" s="1496" t="s">
        <v>986</v>
      </c>
      <c r="C134" s="2617" t="s">
        <v>1024</v>
      </c>
      <c r="D134" s="2618" t="s">
        <v>50</v>
      </c>
      <c r="E134" s="783"/>
      <c r="F134" s="2581"/>
      <c r="G134" s="783"/>
      <c r="H134" s="2581"/>
      <c r="I134" s="2619"/>
      <c r="J134" s="35">
        <f t="shared" si="40"/>
        <v>0</v>
      </c>
      <c r="K134" s="783"/>
      <c r="L134" s="2348"/>
      <c r="M134" s="830"/>
      <c r="N134" s="574">
        <f t="shared" si="17"/>
        <v>0</v>
      </c>
      <c r="O134" s="783"/>
      <c r="P134" s="2348"/>
      <c r="Q134" s="240"/>
      <c r="R134" s="341">
        <f t="shared" si="18"/>
        <v>0</v>
      </c>
      <c r="S134" s="783"/>
      <c r="T134" s="2581">
        <v>32.799999999999997</v>
      </c>
      <c r="U134" s="240"/>
      <c r="V134" s="341">
        <f t="shared" si="19"/>
        <v>32.799999999999997</v>
      </c>
      <c r="W134" s="783"/>
      <c r="X134" s="2348"/>
      <c r="Y134" s="532"/>
      <c r="Z134" s="3696">
        <f t="shared" si="30"/>
        <v>32.799999999999997</v>
      </c>
      <c r="AA134" s="617"/>
      <c r="AB134" s="3697">
        <f t="shared" si="31"/>
        <v>32.799999999999997</v>
      </c>
      <c r="AC134" s="783"/>
      <c r="AD134" s="2348"/>
      <c r="AE134" s="240"/>
      <c r="AF134" s="718">
        <f t="shared" si="41"/>
        <v>32.799999999999997</v>
      </c>
      <c r="AG134" s="783"/>
      <c r="AH134" s="2348"/>
      <c r="AI134" s="240"/>
      <c r="AJ134" s="341">
        <f t="shared" si="29"/>
        <v>32.799999999999997</v>
      </c>
      <c r="AK134" s="783"/>
      <c r="AL134" s="2348"/>
      <c r="AM134" s="532"/>
      <c r="AN134" s="532">
        <f t="shared" si="42"/>
        <v>0</v>
      </c>
      <c r="AO134" s="718"/>
      <c r="AP134" s="718">
        <f t="shared" si="43"/>
        <v>32.799999999999997</v>
      </c>
      <c r="AQ134" s="783"/>
      <c r="AR134" s="2581"/>
      <c r="AS134" s="240"/>
      <c r="AT134" s="718">
        <f t="shared" si="44"/>
        <v>32.799999999999997</v>
      </c>
      <c r="AU134" s="783"/>
      <c r="AV134" s="2581"/>
      <c r="AW134" s="240"/>
      <c r="AX134" s="718">
        <f t="shared" si="45"/>
        <v>32.799999999999997</v>
      </c>
      <c r="AY134" s="783"/>
      <c r="AZ134" s="2581"/>
      <c r="BA134" s="532"/>
      <c r="BB134" s="532">
        <f t="shared" si="37"/>
        <v>0</v>
      </c>
      <c r="BC134" s="617"/>
      <c r="BD134" s="617">
        <f t="shared" si="27"/>
        <v>0</v>
      </c>
      <c r="BE134" s="718"/>
      <c r="BF134" s="718">
        <f t="shared" si="38"/>
        <v>32.799999999999997</v>
      </c>
      <c r="BG134" s="1111"/>
      <c r="BH134" s="3464"/>
      <c r="BI134" s="23"/>
      <c r="BJ134" s="23"/>
      <c r="BK134" s="23"/>
      <c r="BL134" s="23"/>
    </row>
    <row r="135" spans="2:64" ht="16.2" thickBot="1" x14ac:dyDescent="0.35">
      <c r="B135" s="1496" t="s">
        <v>984</v>
      </c>
      <c r="C135" s="2617" t="s">
        <v>1024</v>
      </c>
      <c r="D135" s="2618" t="s">
        <v>50</v>
      </c>
      <c r="E135" s="783"/>
      <c r="F135" s="2581"/>
      <c r="G135" s="783"/>
      <c r="H135" s="2581"/>
      <c r="I135" s="2619"/>
      <c r="J135" s="35">
        <f t="shared" si="40"/>
        <v>0</v>
      </c>
      <c r="K135" s="783"/>
      <c r="L135" s="2348"/>
      <c r="M135" s="830"/>
      <c r="N135" s="574">
        <f t="shared" si="17"/>
        <v>0</v>
      </c>
      <c r="O135" s="783"/>
      <c r="P135" s="2348"/>
      <c r="Q135" s="240"/>
      <c r="R135" s="341">
        <f t="shared" si="18"/>
        <v>0</v>
      </c>
      <c r="S135" s="783"/>
      <c r="T135" s="2348"/>
      <c r="U135" s="240"/>
      <c r="V135" s="341">
        <f t="shared" si="19"/>
        <v>0</v>
      </c>
      <c r="W135" s="783"/>
      <c r="X135" s="2348"/>
      <c r="Y135" s="532"/>
      <c r="Z135" s="3696">
        <f t="shared" si="30"/>
        <v>0</v>
      </c>
      <c r="AA135" s="617"/>
      <c r="AB135" s="3697">
        <f t="shared" si="31"/>
        <v>0</v>
      </c>
      <c r="AC135" s="783"/>
      <c r="AD135" s="2348"/>
      <c r="AE135" s="240"/>
      <c r="AF135" s="718">
        <f t="shared" si="41"/>
        <v>0</v>
      </c>
      <c r="AG135" s="783"/>
      <c r="AH135" s="2348"/>
      <c r="AI135" s="240"/>
      <c r="AJ135" s="341">
        <f t="shared" si="29"/>
        <v>0</v>
      </c>
      <c r="AK135" s="783"/>
      <c r="AL135" s="2348"/>
      <c r="AM135" s="532"/>
      <c r="AN135" s="532">
        <f t="shared" si="42"/>
        <v>0</v>
      </c>
      <c r="AO135" s="718"/>
      <c r="AP135" s="718">
        <f t="shared" si="43"/>
        <v>0</v>
      </c>
      <c r="AQ135" s="783"/>
      <c r="AR135" s="2581"/>
      <c r="AS135" s="240"/>
      <c r="AT135" s="718">
        <f t="shared" si="44"/>
        <v>0</v>
      </c>
      <c r="AU135" s="783"/>
      <c r="AV135" s="2581"/>
      <c r="AW135" s="240"/>
      <c r="AX135" s="718">
        <f t="shared" si="45"/>
        <v>0</v>
      </c>
      <c r="AY135" s="783"/>
      <c r="AZ135" s="2581"/>
      <c r="BA135" s="532"/>
      <c r="BB135" s="532">
        <f t="shared" si="37"/>
        <v>0</v>
      </c>
      <c r="BC135" s="617"/>
      <c r="BD135" s="617">
        <f t="shared" si="27"/>
        <v>0</v>
      </c>
      <c r="BE135" s="718"/>
      <c r="BF135" s="718">
        <f t="shared" si="38"/>
        <v>0</v>
      </c>
      <c r="BG135" s="1111"/>
      <c r="BH135" s="3464"/>
      <c r="BI135" s="23"/>
      <c r="BJ135" s="23"/>
      <c r="BK135" s="23"/>
      <c r="BL135" s="23"/>
    </row>
    <row r="136" spans="2:64" ht="16.2" thickBot="1" x14ac:dyDescent="0.35">
      <c r="B136" s="1496" t="s">
        <v>1790</v>
      </c>
      <c r="C136" s="2617" t="s">
        <v>1024</v>
      </c>
      <c r="D136" s="2618" t="s">
        <v>50</v>
      </c>
      <c r="E136" s="783"/>
      <c r="F136" s="3673"/>
      <c r="G136" s="783"/>
      <c r="H136" s="3673"/>
      <c r="I136" s="3674"/>
      <c r="J136" s="35">
        <f t="shared" si="40"/>
        <v>0</v>
      </c>
      <c r="K136" s="783"/>
      <c r="L136" s="3672">
        <v>20.5</v>
      </c>
      <c r="M136" s="3675"/>
      <c r="N136" s="574">
        <f t="shared" si="17"/>
        <v>20.5</v>
      </c>
      <c r="O136" s="783"/>
      <c r="P136" s="3672"/>
      <c r="Q136" s="3676"/>
      <c r="R136" s="341">
        <f t="shared" si="18"/>
        <v>20.5</v>
      </c>
      <c r="S136" s="783"/>
      <c r="T136" s="3672">
        <f>20.5+14.35</f>
        <v>34.85</v>
      </c>
      <c r="U136" s="3676"/>
      <c r="V136" s="341">
        <f t="shared" si="19"/>
        <v>55.35</v>
      </c>
      <c r="W136" s="783"/>
      <c r="X136" s="3672"/>
      <c r="Y136" s="3677"/>
      <c r="Z136" s="3696">
        <f t="shared" si="30"/>
        <v>34.85</v>
      </c>
      <c r="AA136" s="3678"/>
      <c r="AB136" s="3697">
        <f t="shared" si="31"/>
        <v>55.35</v>
      </c>
      <c r="AC136" s="783"/>
      <c r="AD136" s="3672"/>
      <c r="AE136" s="3676"/>
      <c r="AF136" s="718">
        <f t="shared" si="41"/>
        <v>55.35</v>
      </c>
      <c r="AG136" s="783"/>
      <c r="AH136" s="3672"/>
      <c r="AI136" s="3676"/>
      <c r="AJ136" s="341">
        <f t="shared" si="29"/>
        <v>55.35</v>
      </c>
      <c r="AK136" s="783"/>
      <c r="AL136" s="3672"/>
      <c r="AM136" s="3677"/>
      <c r="AN136" s="532">
        <f t="shared" si="42"/>
        <v>0</v>
      </c>
      <c r="AO136" s="3619"/>
      <c r="AP136" s="718">
        <f t="shared" si="43"/>
        <v>55.35</v>
      </c>
      <c r="AQ136" s="783"/>
      <c r="AR136" s="3673"/>
      <c r="AS136" s="3676"/>
      <c r="AT136" s="718">
        <f t="shared" si="44"/>
        <v>55.35</v>
      </c>
      <c r="AU136" s="783"/>
      <c r="AV136" s="3673"/>
      <c r="AW136" s="3676"/>
      <c r="AX136" s="718">
        <f t="shared" si="45"/>
        <v>55.35</v>
      </c>
      <c r="AY136" s="783"/>
      <c r="AZ136" s="3673"/>
      <c r="BA136" s="3677"/>
      <c r="BB136" s="3677">
        <f t="shared" si="37"/>
        <v>0</v>
      </c>
      <c r="BC136" s="3678"/>
      <c r="BD136" s="617">
        <f t="shared" si="27"/>
        <v>0</v>
      </c>
      <c r="BE136" s="3619"/>
      <c r="BF136" s="718">
        <f t="shared" si="38"/>
        <v>55.35</v>
      </c>
      <c r="BG136" s="1111"/>
      <c r="BH136" s="3464"/>
      <c r="BI136" s="23"/>
      <c r="BJ136" s="23"/>
      <c r="BK136" s="23"/>
      <c r="BL136" s="23"/>
    </row>
    <row r="137" spans="2:64" ht="16.2" thickBot="1" x14ac:dyDescent="0.35">
      <c r="B137" s="1496" t="s">
        <v>983</v>
      </c>
      <c r="C137" s="2617" t="s">
        <v>1024</v>
      </c>
      <c r="D137" s="2618" t="s">
        <v>50</v>
      </c>
      <c r="E137" s="783"/>
      <c r="F137" s="2581"/>
      <c r="G137" s="783"/>
      <c r="H137" s="2581"/>
      <c r="I137" s="2619"/>
      <c r="J137" s="35">
        <f t="shared" si="40"/>
        <v>0</v>
      </c>
      <c r="K137" s="783"/>
      <c r="L137" s="2348"/>
      <c r="M137" s="830"/>
      <c r="N137" s="574">
        <f t="shared" si="17"/>
        <v>0</v>
      </c>
      <c r="O137" s="783"/>
      <c r="P137" s="2348">
        <v>2.0499999999999998</v>
      </c>
      <c r="Q137" s="240"/>
      <c r="R137" s="341">
        <f t="shared" si="18"/>
        <v>2.0499999999999998</v>
      </c>
      <c r="S137" s="783"/>
      <c r="T137" s="2348"/>
      <c r="U137" s="240"/>
      <c r="V137" s="341">
        <f t="shared" si="19"/>
        <v>2.0499999999999998</v>
      </c>
      <c r="W137" s="783"/>
      <c r="X137" s="2348"/>
      <c r="Y137" s="532"/>
      <c r="Z137" s="3696">
        <f t="shared" si="30"/>
        <v>2.0499999999999998</v>
      </c>
      <c r="AA137" s="617"/>
      <c r="AB137" s="3697">
        <f t="shared" si="31"/>
        <v>2.0499999999999998</v>
      </c>
      <c r="AC137" s="783"/>
      <c r="AD137" s="2348">
        <v>18.45</v>
      </c>
      <c r="AE137" s="240"/>
      <c r="AF137" s="718">
        <f t="shared" si="41"/>
        <v>20.5</v>
      </c>
      <c r="AG137" s="783"/>
      <c r="AH137" s="2348"/>
      <c r="AI137" s="240"/>
      <c r="AJ137" s="341">
        <f t="shared" si="29"/>
        <v>20.5</v>
      </c>
      <c r="AK137" s="783"/>
      <c r="AL137" s="2348">
        <v>14.35</v>
      </c>
      <c r="AM137" s="532"/>
      <c r="AN137" s="532">
        <f t="shared" si="42"/>
        <v>32.799999999999997</v>
      </c>
      <c r="AO137" s="718"/>
      <c r="AP137" s="718">
        <f t="shared" si="43"/>
        <v>34.85</v>
      </c>
      <c r="AQ137" s="783"/>
      <c r="AR137" s="2581"/>
      <c r="AS137" s="240"/>
      <c r="AT137" s="718">
        <f t="shared" si="44"/>
        <v>34.85</v>
      </c>
      <c r="AU137" s="783"/>
      <c r="AV137" s="2581"/>
      <c r="AW137" s="240"/>
      <c r="AX137" s="718">
        <f t="shared" si="45"/>
        <v>34.85</v>
      </c>
      <c r="AY137" s="783"/>
      <c r="AZ137" s="2581"/>
      <c r="BA137" s="532"/>
      <c r="BB137" s="532">
        <f t="shared" si="37"/>
        <v>0</v>
      </c>
      <c r="BC137" s="617"/>
      <c r="BD137" s="617">
        <f t="shared" si="27"/>
        <v>32.799999999999997</v>
      </c>
      <c r="BE137" s="718"/>
      <c r="BF137" s="718">
        <f t="shared" si="38"/>
        <v>34.85</v>
      </c>
      <c r="BG137" s="1111"/>
      <c r="BH137" s="3464"/>
      <c r="BI137" s="23"/>
      <c r="BJ137" s="23"/>
      <c r="BK137" s="23"/>
      <c r="BL137" s="23"/>
    </row>
    <row r="138" spans="2:64" ht="16.2" thickBot="1" x14ac:dyDescent="0.35">
      <c r="B138" s="1496" t="s">
        <v>1289</v>
      </c>
      <c r="C138" s="2617" t="s">
        <v>1024</v>
      </c>
      <c r="D138" s="2618" t="s">
        <v>50</v>
      </c>
      <c r="E138" s="783"/>
      <c r="F138" s="2581"/>
      <c r="G138" s="783"/>
      <c r="H138" s="2581"/>
      <c r="I138" s="2619"/>
      <c r="J138" s="35">
        <f t="shared" si="40"/>
        <v>0</v>
      </c>
      <c r="K138" s="783"/>
      <c r="L138" s="2348"/>
      <c r="M138" s="830"/>
      <c r="N138" s="574">
        <f t="shared" si="17"/>
        <v>0</v>
      </c>
      <c r="O138" s="783"/>
      <c r="P138" s="2348"/>
      <c r="Q138" s="240"/>
      <c r="R138" s="341">
        <f t="shared" si="18"/>
        <v>0</v>
      </c>
      <c r="S138" s="783"/>
      <c r="T138" s="2348"/>
      <c r="U138" s="240"/>
      <c r="V138" s="341">
        <f t="shared" si="19"/>
        <v>0</v>
      </c>
      <c r="W138" s="783"/>
      <c r="X138" s="2348"/>
      <c r="Y138" s="532"/>
      <c r="Z138" s="3696">
        <f t="shared" si="30"/>
        <v>0</v>
      </c>
      <c r="AA138" s="617"/>
      <c r="AB138" s="3697">
        <f t="shared" si="31"/>
        <v>0</v>
      </c>
      <c r="AC138" s="783"/>
      <c r="AD138" s="2348"/>
      <c r="AE138" s="240"/>
      <c r="AF138" s="718">
        <f t="shared" si="41"/>
        <v>0</v>
      </c>
      <c r="AG138" s="783"/>
      <c r="AH138" s="2348"/>
      <c r="AI138" s="240"/>
      <c r="AJ138" s="341">
        <f t="shared" si="29"/>
        <v>0</v>
      </c>
      <c r="AK138" s="783"/>
      <c r="AL138" s="2348"/>
      <c r="AM138" s="532"/>
      <c r="AN138" s="532">
        <f t="shared" si="42"/>
        <v>0</v>
      </c>
      <c r="AO138" s="718"/>
      <c r="AP138" s="718">
        <f t="shared" si="43"/>
        <v>0</v>
      </c>
      <c r="AQ138" s="783"/>
      <c r="AR138" s="2581"/>
      <c r="AS138" s="240"/>
      <c r="AT138" s="718">
        <f t="shared" si="44"/>
        <v>0</v>
      </c>
      <c r="AU138" s="783"/>
      <c r="AV138" s="2581"/>
      <c r="AW138" s="240"/>
      <c r="AX138" s="718">
        <f t="shared" si="45"/>
        <v>0</v>
      </c>
      <c r="AY138" s="783"/>
      <c r="AZ138" s="2581"/>
      <c r="BA138" s="532"/>
      <c r="BB138" s="532">
        <f t="shared" si="37"/>
        <v>0</v>
      </c>
      <c r="BC138" s="617"/>
      <c r="BD138" s="617">
        <f t="shared" si="27"/>
        <v>0</v>
      </c>
      <c r="BE138" s="718"/>
      <c r="BF138" s="718">
        <f t="shared" si="38"/>
        <v>0</v>
      </c>
      <c r="BG138" s="1111"/>
      <c r="BH138" s="3464"/>
      <c r="BI138" s="23"/>
      <c r="BJ138" s="23"/>
      <c r="BK138" s="23"/>
      <c r="BL138" s="23"/>
    </row>
    <row r="139" spans="2:64" ht="16.2" thickBot="1" x14ac:dyDescent="0.35">
      <c r="B139" s="1496" t="s">
        <v>982</v>
      </c>
      <c r="C139" s="2620" t="s">
        <v>1024</v>
      </c>
      <c r="D139" s="2618" t="s">
        <v>50</v>
      </c>
      <c r="E139" s="783"/>
      <c r="F139" s="2581"/>
      <c r="G139" s="783"/>
      <c r="H139" s="2581"/>
      <c r="I139" s="2619"/>
      <c r="J139" s="35">
        <f t="shared" si="40"/>
        <v>0</v>
      </c>
      <c r="K139" s="783"/>
      <c r="L139" s="2348">
        <v>8.1999999999999993</v>
      </c>
      <c r="M139" s="830"/>
      <c r="N139" s="574">
        <f t="shared" si="17"/>
        <v>8.1999999999999993</v>
      </c>
      <c r="O139" s="783"/>
      <c r="P139" s="2348">
        <v>4.0999999999999996</v>
      </c>
      <c r="Q139" s="240"/>
      <c r="R139" s="341">
        <f t="shared" si="18"/>
        <v>12.299999999999999</v>
      </c>
      <c r="S139" s="783"/>
      <c r="T139" s="2348"/>
      <c r="U139" s="240"/>
      <c r="V139" s="341">
        <f t="shared" si="19"/>
        <v>12.299999999999999</v>
      </c>
      <c r="W139" s="783"/>
      <c r="X139" s="2348"/>
      <c r="Y139" s="532"/>
      <c r="Z139" s="3696">
        <f t="shared" si="30"/>
        <v>4.0999999999999996</v>
      </c>
      <c r="AA139" s="617"/>
      <c r="AB139" s="3697">
        <f t="shared" si="31"/>
        <v>12.299999999999999</v>
      </c>
      <c r="AC139" s="783"/>
      <c r="AD139" s="2348"/>
      <c r="AE139" s="240"/>
      <c r="AF139" s="718">
        <f t="shared" si="41"/>
        <v>12.299999999999999</v>
      </c>
      <c r="AG139" s="783"/>
      <c r="AH139" s="2348"/>
      <c r="AI139" s="240"/>
      <c r="AJ139" s="341">
        <f t="shared" si="29"/>
        <v>12.299999999999999</v>
      </c>
      <c r="AK139" s="783"/>
      <c r="AL139" s="2580">
        <v>53.3</v>
      </c>
      <c r="AM139" s="532"/>
      <c r="AN139" s="532">
        <f t="shared" si="42"/>
        <v>53.3</v>
      </c>
      <c r="AO139" s="718"/>
      <c r="AP139" s="718">
        <f t="shared" si="43"/>
        <v>65.599999999999994</v>
      </c>
      <c r="AQ139" s="783"/>
      <c r="AR139" s="2581">
        <v>6.15</v>
      </c>
      <c r="AS139" s="240"/>
      <c r="AT139" s="718">
        <f t="shared" si="44"/>
        <v>71.75</v>
      </c>
      <c r="AU139" s="783"/>
      <c r="AV139" s="2581"/>
      <c r="AW139" s="240"/>
      <c r="AX139" s="718">
        <f t="shared" si="45"/>
        <v>71.75</v>
      </c>
      <c r="AY139" s="783"/>
      <c r="AZ139" s="2581">
        <v>4.0999999999999996</v>
      </c>
      <c r="BA139" s="532"/>
      <c r="BB139" s="532">
        <f t="shared" si="37"/>
        <v>10.25</v>
      </c>
      <c r="BC139" s="617"/>
      <c r="BD139" s="617">
        <f t="shared" si="27"/>
        <v>63.55</v>
      </c>
      <c r="BE139" s="718"/>
      <c r="BF139" s="718">
        <f t="shared" si="38"/>
        <v>75.849999999999994</v>
      </c>
      <c r="BG139" s="1111"/>
      <c r="BH139" s="3464"/>
      <c r="BI139" s="23"/>
      <c r="BJ139" s="23"/>
      <c r="BK139" s="23"/>
      <c r="BL139" s="23"/>
    </row>
    <row r="140" spans="2:64" ht="16.2" thickBot="1" x14ac:dyDescent="0.35">
      <c r="B140" s="1496" t="s">
        <v>1273</v>
      </c>
      <c r="C140" s="2620" t="s">
        <v>1024</v>
      </c>
      <c r="D140" s="2618" t="s">
        <v>50</v>
      </c>
      <c r="E140" s="783"/>
      <c r="F140" s="2581"/>
      <c r="G140" s="783"/>
      <c r="H140" s="2581"/>
      <c r="I140" s="2619"/>
      <c r="J140" s="35">
        <f t="shared" si="40"/>
        <v>0</v>
      </c>
      <c r="K140" s="783"/>
      <c r="L140" s="2348"/>
      <c r="M140" s="830"/>
      <c r="N140" s="574">
        <f t="shared" si="17"/>
        <v>0</v>
      </c>
      <c r="O140" s="783"/>
      <c r="P140" s="2348"/>
      <c r="Q140" s="240"/>
      <c r="R140" s="341">
        <f t="shared" si="18"/>
        <v>0</v>
      </c>
      <c r="S140" s="783"/>
      <c r="T140" s="2348"/>
      <c r="U140" s="240"/>
      <c r="V140" s="341">
        <f t="shared" si="19"/>
        <v>0</v>
      </c>
      <c r="W140" s="783"/>
      <c r="X140" s="2348"/>
      <c r="Y140" s="532"/>
      <c r="Z140" s="3696">
        <f t="shared" si="30"/>
        <v>0</v>
      </c>
      <c r="AA140" s="617"/>
      <c r="AB140" s="3697">
        <f t="shared" si="31"/>
        <v>0</v>
      </c>
      <c r="AC140" s="783"/>
      <c r="AD140" s="2348"/>
      <c r="AE140" s="240"/>
      <c r="AF140" s="718">
        <f t="shared" si="41"/>
        <v>0</v>
      </c>
      <c r="AG140" s="783"/>
      <c r="AH140" s="2348"/>
      <c r="AI140" s="240"/>
      <c r="AJ140" s="341">
        <f t="shared" si="29"/>
        <v>0</v>
      </c>
      <c r="AK140" s="783"/>
      <c r="AL140" s="2348"/>
      <c r="AM140" s="532"/>
      <c r="AN140" s="532">
        <f t="shared" si="42"/>
        <v>0</v>
      </c>
      <c r="AO140" s="718"/>
      <c r="AP140" s="718">
        <f t="shared" si="43"/>
        <v>0</v>
      </c>
      <c r="AQ140" s="783"/>
      <c r="AR140" s="2581"/>
      <c r="AS140" s="240"/>
      <c r="AT140" s="718">
        <f t="shared" si="44"/>
        <v>0</v>
      </c>
      <c r="AU140" s="783"/>
      <c r="AV140" s="2581"/>
      <c r="AW140" s="240"/>
      <c r="AX140" s="718">
        <f t="shared" si="45"/>
        <v>0</v>
      </c>
      <c r="AY140" s="783"/>
      <c r="AZ140" s="2581"/>
      <c r="BA140" s="532"/>
      <c r="BB140" s="532">
        <f t="shared" si="37"/>
        <v>0</v>
      </c>
      <c r="BC140" s="617"/>
      <c r="BD140" s="617">
        <f t="shared" si="27"/>
        <v>0</v>
      </c>
      <c r="BE140" s="718"/>
      <c r="BF140" s="718">
        <f t="shared" si="38"/>
        <v>0</v>
      </c>
      <c r="BG140" s="1111"/>
      <c r="BH140" s="3464"/>
      <c r="BI140" s="23"/>
      <c r="BJ140" s="23"/>
      <c r="BK140" s="23"/>
      <c r="BL140" s="23"/>
    </row>
    <row r="141" spans="2:64" ht="16.2" thickBot="1" x14ac:dyDescent="0.35">
      <c r="B141" s="1496" t="s">
        <v>1268</v>
      </c>
      <c r="C141" s="2620" t="s">
        <v>1024</v>
      </c>
      <c r="D141" s="2618" t="s">
        <v>50</v>
      </c>
      <c r="E141" s="783"/>
      <c r="F141" s="2581"/>
      <c r="G141" s="783"/>
      <c r="H141" s="2581"/>
      <c r="I141" s="2619"/>
      <c r="J141" s="35">
        <f t="shared" si="40"/>
        <v>0</v>
      </c>
      <c r="K141" s="783"/>
      <c r="L141" s="2348"/>
      <c r="M141" s="830"/>
      <c r="N141" s="574">
        <f t="shared" si="17"/>
        <v>0</v>
      </c>
      <c r="O141" s="783"/>
      <c r="P141" s="2348"/>
      <c r="Q141" s="240"/>
      <c r="R141" s="341">
        <f t="shared" si="18"/>
        <v>0</v>
      </c>
      <c r="S141" s="783"/>
      <c r="T141" s="2348"/>
      <c r="U141" s="240"/>
      <c r="V141" s="341">
        <f t="shared" si="19"/>
        <v>0</v>
      </c>
      <c r="W141" s="783"/>
      <c r="X141" s="2348"/>
      <c r="Y141" s="532"/>
      <c r="Z141" s="3696">
        <f t="shared" si="30"/>
        <v>0</v>
      </c>
      <c r="AA141" s="617"/>
      <c r="AB141" s="3697">
        <f t="shared" si="31"/>
        <v>0</v>
      </c>
      <c r="AC141" s="783"/>
      <c r="AD141" s="2348"/>
      <c r="AE141" s="240"/>
      <c r="AF141" s="718">
        <f t="shared" si="41"/>
        <v>0</v>
      </c>
      <c r="AG141" s="783"/>
      <c r="AH141" s="2348"/>
      <c r="AI141" s="240"/>
      <c r="AJ141" s="341">
        <f t="shared" si="29"/>
        <v>0</v>
      </c>
      <c r="AK141" s="783"/>
      <c r="AL141" s="2348">
        <v>10.25</v>
      </c>
      <c r="AM141" s="532"/>
      <c r="AN141" s="532">
        <f t="shared" si="42"/>
        <v>10.25</v>
      </c>
      <c r="AO141" s="718"/>
      <c r="AP141" s="718">
        <f t="shared" si="43"/>
        <v>10.25</v>
      </c>
      <c r="AQ141" s="783"/>
      <c r="AR141" s="2581"/>
      <c r="AS141" s="240"/>
      <c r="AT141" s="718">
        <f t="shared" si="44"/>
        <v>10.25</v>
      </c>
      <c r="AU141" s="783"/>
      <c r="AV141" s="2581"/>
      <c r="AW141" s="240"/>
      <c r="AX141" s="718">
        <f t="shared" si="45"/>
        <v>10.25</v>
      </c>
      <c r="AY141" s="783"/>
      <c r="AZ141" s="2581">
        <v>10.25</v>
      </c>
      <c r="BA141" s="532"/>
      <c r="BB141" s="532">
        <f t="shared" si="37"/>
        <v>10.25</v>
      </c>
      <c r="BC141" s="617"/>
      <c r="BD141" s="617">
        <f t="shared" si="27"/>
        <v>20.5</v>
      </c>
      <c r="BE141" s="718"/>
      <c r="BF141" s="718">
        <f t="shared" si="38"/>
        <v>20.5</v>
      </c>
      <c r="BG141" s="1111"/>
      <c r="BH141" s="3464"/>
      <c r="BI141" s="23"/>
      <c r="BJ141" s="23"/>
      <c r="BK141" s="23"/>
      <c r="BL141" s="23"/>
    </row>
    <row r="142" spans="2:64" ht="16.2" thickBot="1" x14ac:dyDescent="0.35">
      <c r="B142" s="2621" t="s">
        <v>1053</v>
      </c>
      <c r="C142" s="2622" t="s">
        <v>1024</v>
      </c>
      <c r="D142" s="2623" t="s">
        <v>50</v>
      </c>
      <c r="E142" s="2576"/>
      <c r="F142" s="2582"/>
      <c r="G142" s="2576"/>
      <c r="H142" s="2582"/>
      <c r="I142" s="2624"/>
      <c r="J142" s="40">
        <f t="shared" si="40"/>
        <v>0</v>
      </c>
      <c r="K142" s="2576"/>
      <c r="L142" s="103"/>
      <c r="M142" s="830"/>
      <c r="N142" s="574">
        <f t="shared" si="17"/>
        <v>0</v>
      </c>
      <c r="O142" s="2576"/>
      <c r="P142" s="103"/>
      <c r="Q142" s="240"/>
      <c r="R142" s="341">
        <f t="shared" ref="R142:R157" si="46">+N142+P142</f>
        <v>0</v>
      </c>
      <c r="S142" s="2576"/>
      <c r="T142" s="103"/>
      <c r="U142" s="240"/>
      <c r="V142" s="341">
        <f t="shared" ref="V142:V155" si="47">+R142+T142</f>
        <v>0</v>
      </c>
      <c r="W142" s="2576"/>
      <c r="X142" s="103"/>
      <c r="Y142" s="532"/>
      <c r="Z142" s="3696">
        <f t="shared" si="30"/>
        <v>0</v>
      </c>
      <c r="AA142" s="617"/>
      <c r="AB142" s="3697">
        <f t="shared" si="31"/>
        <v>0</v>
      </c>
      <c r="AC142" s="2576"/>
      <c r="AD142" s="103"/>
      <c r="AE142" s="240"/>
      <c r="AF142" s="718">
        <f t="shared" si="41"/>
        <v>0</v>
      </c>
      <c r="AG142" s="2576"/>
      <c r="AH142" s="103"/>
      <c r="AI142" s="240"/>
      <c r="AJ142" s="341">
        <f t="shared" si="29"/>
        <v>0</v>
      </c>
      <c r="AK142" s="2576"/>
      <c r="AL142" s="103"/>
      <c r="AM142" s="532"/>
      <c r="AN142" s="532">
        <f t="shared" si="42"/>
        <v>0</v>
      </c>
      <c r="AO142" s="718"/>
      <c r="AP142" s="718">
        <f t="shared" si="43"/>
        <v>0</v>
      </c>
      <c r="AQ142" s="2576"/>
      <c r="AR142" s="2582"/>
      <c r="AS142" s="240"/>
      <c r="AT142" s="718">
        <f t="shared" si="44"/>
        <v>0</v>
      </c>
      <c r="AU142" s="2576"/>
      <c r="AV142" s="2582"/>
      <c r="AW142" s="240"/>
      <c r="AX142" s="718">
        <f t="shared" si="45"/>
        <v>0</v>
      </c>
      <c r="AY142" s="2576"/>
      <c r="AZ142" s="2582"/>
      <c r="BA142" s="532"/>
      <c r="BB142" s="532">
        <f t="shared" si="37"/>
        <v>0</v>
      </c>
      <c r="BC142" s="617"/>
      <c r="BD142" s="617">
        <f t="shared" si="27"/>
        <v>0</v>
      </c>
      <c r="BE142" s="718"/>
      <c r="BF142" s="718">
        <f t="shared" si="38"/>
        <v>0</v>
      </c>
      <c r="BG142" s="1111"/>
      <c r="BH142" s="3464"/>
      <c r="BI142" s="23"/>
      <c r="BJ142" s="23"/>
      <c r="BK142" s="23"/>
      <c r="BL142" s="23"/>
    </row>
    <row r="143" spans="2:64" ht="16.2" thickBot="1" x14ac:dyDescent="0.35">
      <c r="B143" s="2612" t="s">
        <v>788</v>
      </c>
      <c r="C143" s="1506"/>
      <c r="E143"/>
      <c r="F143"/>
      <c r="G143"/>
      <c r="H143"/>
      <c r="I143"/>
      <c r="J143"/>
      <c r="K143"/>
      <c r="L143"/>
      <c r="M143" s="491"/>
      <c r="N143" s="574">
        <f t="shared" si="17"/>
        <v>0</v>
      </c>
      <c r="O143"/>
      <c r="P143"/>
      <c r="Q143"/>
      <c r="R143" s="341">
        <f t="shared" si="46"/>
        <v>0</v>
      </c>
      <c r="V143" s="341">
        <f t="shared" si="47"/>
        <v>0</v>
      </c>
      <c r="Z143" s="3696"/>
      <c r="AA143" s="617"/>
      <c r="AB143" s="3697"/>
      <c r="AF143" s="718"/>
      <c r="AJ143" s="341"/>
      <c r="AN143" s="532">
        <f t="shared" si="42"/>
        <v>0</v>
      </c>
      <c r="AO143" s="718"/>
      <c r="AP143" s="718">
        <f t="shared" si="43"/>
        <v>0</v>
      </c>
      <c r="AT143" s="718">
        <f t="shared" si="44"/>
        <v>0</v>
      </c>
      <c r="AX143" s="718">
        <f t="shared" si="45"/>
        <v>0</v>
      </c>
      <c r="BB143" s="532">
        <f t="shared" si="37"/>
        <v>0</v>
      </c>
      <c r="BC143" s="617"/>
      <c r="BD143" s="617">
        <f t="shared" si="27"/>
        <v>0</v>
      </c>
      <c r="BE143" s="718"/>
      <c r="BF143" s="718">
        <f t="shared" si="38"/>
        <v>0</v>
      </c>
      <c r="BG143" s="1111"/>
      <c r="BH143" s="3464"/>
      <c r="BI143" s="23"/>
      <c r="BJ143" s="23"/>
      <c r="BK143" s="23"/>
      <c r="BL143" s="23"/>
    </row>
    <row r="144" spans="2:64" ht="16.2" thickBot="1" x14ac:dyDescent="0.35">
      <c r="B144" s="2596" t="s">
        <v>989</v>
      </c>
      <c r="C144" s="2597"/>
      <c r="D144" s="2598" t="s">
        <v>50</v>
      </c>
      <c r="E144" s="2599"/>
      <c r="F144" s="2584"/>
      <c r="G144" s="2599"/>
      <c r="H144" s="2584">
        <v>22.550000000000004</v>
      </c>
      <c r="I144" s="2600"/>
      <c r="J144" s="39">
        <f t="shared" si="40"/>
        <v>22.550000000000004</v>
      </c>
      <c r="K144" s="2599"/>
      <c r="L144" s="145">
        <f>20.5+2.05</f>
        <v>22.55</v>
      </c>
      <c r="M144" s="1375"/>
      <c r="N144" s="574">
        <f t="shared" si="17"/>
        <v>45.100000000000009</v>
      </c>
      <c r="O144" s="2599"/>
      <c r="P144" s="145">
        <v>55.35</v>
      </c>
      <c r="Q144" s="240"/>
      <c r="R144" s="341">
        <f t="shared" si="46"/>
        <v>100.45000000000002</v>
      </c>
      <c r="S144" s="2599"/>
      <c r="T144" s="1920">
        <f>4.1+2.05+4.1</f>
        <v>10.25</v>
      </c>
      <c r="U144" s="240"/>
      <c r="V144" s="341">
        <f t="shared" si="47"/>
        <v>110.70000000000002</v>
      </c>
      <c r="W144" s="2599"/>
      <c r="X144" s="145">
        <v>2.0499999999999998</v>
      </c>
      <c r="Y144" s="532"/>
      <c r="Z144" s="3696">
        <f t="shared" si="30"/>
        <v>67.649999999999991</v>
      </c>
      <c r="AA144" s="617"/>
      <c r="AB144" s="3697">
        <f t="shared" si="31"/>
        <v>112.75</v>
      </c>
      <c r="AC144" s="2599"/>
      <c r="AD144" s="145"/>
      <c r="AE144" s="240"/>
      <c r="AF144" s="718">
        <f t="shared" si="41"/>
        <v>112.75</v>
      </c>
      <c r="AG144" s="2599"/>
      <c r="AH144" s="145">
        <f>47.15+4.1</f>
        <v>51.25</v>
      </c>
      <c r="AI144" s="240"/>
      <c r="AJ144" s="341">
        <f t="shared" ref="AJ144:AJ157" si="48">+AF144+AH144</f>
        <v>164</v>
      </c>
      <c r="AK144" s="2599"/>
      <c r="AL144" s="145">
        <v>6.1499999999999995</v>
      </c>
      <c r="AM144" s="532"/>
      <c r="AN144" s="532">
        <f t="shared" si="42"/>
        <v>57.4</v>
      </c>
      <c r="AO144" s="718"/>
      <c r="AP144" s="718">
        <f t="shared" si="43"/>
        <v>170.15</v>
      </c>
      <c r="AQ144" s="2599"/>
      <c r="AR144" s="2584">
        <v>2.0499999999999998</v>
      </c>
      <c r="AS144" s="240"/>
      <c r="AT144" s="718">
        <f t="shared" si="44"/>
        <v>172.20000000000002</v>
      </c>
      <c r="AU144" s="2599"/>
      <c r="AV144" s="2584">
        <v>6.15</v>
      </c>
      <c r="AW144" s="240"/>
      <c r="AX144" s="718">
        <f t="shared" si="45"/>
        <v>178.35000000000002</v>
      </c>
      <c r="AY144" s="2599"/>
      <c r="AZ144" s="2584">
        <v>2.0499999999999998</v>
      </c>
      <c r="BA144" s="532"/>
      <c r="BB144" s="532">
        <f t="shared" si="37"/>
        <v>10.25</v>
      </c>
      <c r="BC144" s="617"/>
      <c r="BD144" s="617">
        <f t="shared" si="27"/>
        <v>67.650000000000006</v>
      </c>
      <c r="BE144" s="718"/>
      <c r="BF144" s="343">
        <f t="shared" si="38"/>
        <v>180.40000000000003</v>
      </c>
      <c r="BG144" s="1111"/>
      <c r="BH144" s="3464"/>
      <c r="BI144" s="23"/>
      <c r="BJ144" s="23"/>
      <c r="BK144" s="23"/>
      <c r="BL144" s="23"/>
    </row>
    <row r="145" spans="1:67" ht="16.2" thickBot="1" x14ac:dyDescent="0.35">
      <c r="B145" s="1497" t="s">
        <v>988</v>
      </c>
      <c r="C145" s="2601"/>
      <c r="D145" s="2602" t="s">
        <v>50</v>
      </c>
      <c r="E145" s="784"/>
      <c r="F145" s="2581">
        <v>18.45</v>
      </c>
      <c r="G145" s="784"/>
      <c r="H145" s="2581">
        <v>38.950000000000003</v>
      </c>
      <c r="I145" s="2603"/>
      <c r="J145" s="35">
        <f t="shared" si="40"/>
        <v>57.400000000000006</v>
      </c>
      <c r="K145" s="784"/>
      <c r="L145" s="2348">
        <f>63.55+2.05</f>
        <v>65.599999999999994</v>
      </c>
      <c r="M145" s="1375"/>
      <c r="N145" s="574">
        <f t="shared" ref="N145:N157" si="49">+F145+H145+L145</f>
        <v>123</v>
      </c>
      <c r="O145" s="784"/>
      <c r="P145" s="2348">
        <v>49.2</v>
      </c>
      <c r="Q145" s="240"/>
      <c r="R145" s="341">
        <f t="shared" si="46"/>
        <v>172.2</v>
      </c>
      <c r="S145" s="784"/>
      <c r="T145" s="2399">
        <v>53.3</v>
      </c>
      <c r="U145" s="240"/>
      <c r="V145" s="341">
        <f t="shared" si="47"/>
        <v>225.5</v>
      </c>
      <c r="W145" s="784"/>
      <c r="X145" s="2348">
        <v>129.15</v>
      </c>
      <c r="Y145" s="532"/>
      <c r="Z145" s="3696">
        <f t="shared" si="30"/>
        <v>231.65</v>
      </c>
      <c r="AA145" s="617"/>
      <c r="AB145" s="3697">
        <f t="shared" si="31"/>
        <v>354.65</v>
      </c>
      <c r="AC145" s="784"/>
      <c r="AD145" s="2580">
        <v>12.3</v>
      </c>
      <c r="AE145" s="240"/>
      <c r="AF145" s="718">
        <f t="shared" si="41"/>
        <v>366.95</v>
      </c>
      <c r="AG145" s="784"/>
      <c r="AH145" s="2580">
        <f>4.1+2.05+2.05</f>
        <v>8.1999999999999993</v>
      </c>
      <c r="AI145" s="240"/>
      <c r="AJ145" s="341">
        <f t="shared" si="48"/>
        <v>375.15</v>
      </c>
      <c r="AK145" s="784"/>
      <c r="AL145" s="2580">
        <f>28.7+4.1</f>
        <v>32.799999999999997</v>
      </c>
      <c r="AM145" s="532"/>
      <c r="AN145" s="532">
        <f t="shared" si="42"/>
        <v>53.3</v>
      </c>
      <c r="AO145" s="718"/>
      <c r="AP145" s="718">
        <f t="shared" si="43"/>
        <v>407.95</v>
      </c>
      <c r="AQ145" s="784"/>
      <c r="AR145" s="2581">
        <f>12.3+6.15+2.05</f>
        <v>20.500000000000004</v>
      </c>
      <c r="AS145" s="240"/>
      <c r="AT145" s="718">
        <f t="shared" si="44"/>
        <v>428.45</v>
      </c>
      <c r="AU145" s="784"/>
      <c r="AV145" s="2581">
        <v>2.0499999999999998</v>
      </c>
      <c r="AW145" s="240"/>
      <c r="AX145" s="718">
        <f t="shared" si="45"/>
        <v>430.5</v>
      </c>
      <c r="AY145" s="784"/>
      <c r="AZ145" s="2581">
        <v>12.3</v>
      </c>
      <c r="BA145" s="532"/>
      <c r="BB145" s="532">
        <f t="shared" si="37"/>
        <v>34.850000000000009</v>
      </c>
      <c r="BC145" s="617"/>
      <c r="BD145" s="617">
        <f t="shared" si="27"/>
        <v>88.15</v>
      </c>
      <c r="BE145" s="718"/>
      <c r="BF145" s="718">
        <f t="shared" si="38"/>
        <v>442.8</v>
      </c>
      <c r="BG145" s="1111"/>
      <c r="BH145" s="3464"/>
      <c r="BI145" s="23"/>
      <c r="BJ145" s="23"/>
      <c r="BK145" s="23"/>
      <c r="BL145" s="23"/>
    </row>
    <row r="146" spans="1:67" ht="16.2" thickBot="1" x14ac:dyDescent="0.35">
      <c r="B146" s="1497" t="s">
        <v>987</v>
      </c>
      <c r="C146" s="2601"/>
      <c r="D146" s="2602" t="s">
        <v>50</v>
      </c>
      <c r="E146" s="784"/>
      <c r="F146" s="2581"/>
      <c r="G146" s="784"/>
      <c r="H146" s="2581"/>
      <c r="I146" s="2603"/>
      <c r="J146" s="35">
        <f t="shared" si="40"/>
        <v>0</v>
      </c>
      <c r="K146" s="784"/>
      <c r="L146" s="2348"/>
      <c r="M146" s="1375"/>
      <c r="N146" s="574">
        <f t="shared" si="49"/>
        <v>0</v>
      </c>
      <c r="O146" s="784"/>
      <c r="P146" s="2348"/>
      <c r="Q146" s="240"/>
      <c r="R146" s="341">
        <f t="shared" si="46"/>
        <v>0</v>
      </c>
      <c r="S146" s="784"/>
      <c r="T146" s="2399"/>
      <c r="U146" s="240"/>
      <c r="V146" s="341">
        <f t="shared" si="47"/>
        <v>0</v>
      </c>
      <c r="W146" s="784"/>
      <c r="X146" s="2348"/>
      <c r="Y146" s="532"/>
      <c r="Z146" s="3696">
        <f t="shared" si="30"/>
        <v>0</v>
      </c>
      <c r="AA146" s="617"/>
      <c r="AB146" s="3697">
        <f t="shared" si="31"/>
        <v>0</v>
      </c>
      <c r="AC146" s="784"/>
      <c r="AD146" s="2580"/>
      <c r="AE146" s="240"/>
      <c r="AF146" s="718">
        <f t="shared" si="41"/>
        <v>0</v>
      </c>
      <c r="AG146" s="784"/>
      <c r="AH146" s="2580">
        <v>6.1499999999999995</v>
      </c>
      <c r="AI146" s="240"/>
      <c r="AJ146" s="341">
        <f t="shared" si="48"/>
        <v>6.1499999999999995</v>
      </c>
      <c r="AK146" s="784"/>
      <c r="AL146" s="2580">
        <f>8.2+4.1+2.05+4.1</f>
        <v>18.449999999999996</v>
      </c>
      <c r="AM146" s="532"/>
      <c r="AN146" s="532">
        <f t="shared" si="42"/>
        <v>24.599999999999994</v>
      </c>
      <c r="AO146" s="718"/>
      <c r="AP146" s="718">
        <f t="shared" si="43"/>
        <v>24.599999999999994</v>
      </c>
      <c r="AQ146" s="784"/>
      <c r="AR146" s="2581"/>
      <c r="AS146" s="240"/>
      <c r="AT146" s="718">
        <f t="shared" si="44"/>
        <v>24.599999999999994</v>
      </c>
      <c r="AU146" s="784"/>
      <c r="AV146" s="2581"/>
      <c r="AW146" s="240"/>
      <c r="AX146" s="718">
        <f t="shared" si="45"/>
        <v>24.599999999999994</v>
      </c>
      <c r="AY146" s="784"/>
      <c r="AZ146" s="2581"/>
      <c r="BA146" s="532"/>
      <c r="BB146" s="532">
        <f t="shared" si="37"/>
        <v>0</v>
      </c>
      <c r="BC146" s="617"/>
      <c r="BD146" s="617">
        <f t="shared" si="27"/>
        <v>24.599999999999994</v>
      </c>
      <c r="BE146" s="718"/>
      <c r="BF146" s="718">
        <f t="shared" si="38"/>
        <v>24.599999999999994</v>
      </c>
      <c r="BG146" s="1111"/>
      <c r="BH146" s="3464"/>
      <c r="BI146" s="23"/>
      <c r="BJ146" s="23"/>
      <c r="BK146" s="23"/>
      <c r="BL146" s="23"/>
    </row>
    <row r="147" spans="1:67" ht="16.2" thickBot="1" x14ac:dyDescent="0.35">
      <c r="B147" s="1497" t="s">
        <v>985</v>
      </c>
      <c r="C147" s="2601"/>
      <c r="D147" s="2602" t="s">
        <v>50</v>
      </c>
      <c r="E147" s="784"/>
      <c r="F147" s="2581">
        <v>16.399999999999999</v>
      </c>
      <c r="G147" s="784"/>
      <c r="H147" s="2581"/>
      <c r="I147" s="2603"/>
      <c r="J147" s="35">
        <f t="shared" si="40"/>
        <v>16.399999999999999</v>
      </c>
      <c r="K147" s="784"/>
      <c r="L147" s="2348">
        <v>6.1499999999999995</v>
      </c>
      <c r="M147" s="1375"/>
      <c r="N147" s="574">
        <f t="shared" si="49"/>
        <v>22.549999999999997</v>
      </c>
      <c r="O147" s="784"/>
      <c r="P147" s="2348">
        <v>86.1</v>
      </c>
      <c r="Q147" s="240"/>
      <c r="R147" s="341">
        <f t="shared" si="46"/>
        <v>108.64999999999999</v>
      </c>
      <c r="S147" s="784"/>
      <c r="T147" s="2399">
        <v>8.1999999999999993</v>
      </c>
      <c r="U147" s="240"/>
      <c r="V147" s="341">
        <f t="shared" si="47"/>
        <v>116.85</v>
      </c>
      <c r="W147" s="784"/>
      <c r="X147" s="2348">
        <v>6.15</v>
      </c>
      <c r="Y147" s="532"/>
      <c r="Z147" s="3696">
        <f t="shared" ref="Z147:Z152" si="50">P147+T147+X147</f>
        <v>100.45</v>
      </c>
      <c r="AA147" s="617"/>
      <c r="AB147" s="3697">
        <f t="shared" ref="AB147:AB155" si="51">N147+Z147</f>
        <v>123</v>
      </c>
      <c r="AC147" s="784"/>
      <c r="AD147" s="2580">
        <f>14.35+2.05</f>
        <v>16.399999999999999</v>
      </c>
      <c r="AE147" s="240"/>
      <c r="AF147" s="718">
        <f t="shared" si="41"/>
        <v>139.4</v>
      </c>
      <c r="AG147" s="784"/>
      <c r="AH147" s="2580">
        <v>26.65</v>
      </c>
      <c r="AI147" s="240"/>
      <c r="AJ147" s="341">
        <f t="shared" si="48"/>
        <v>166.05</v>
      </c>
      <c r="AK147" s="784"/>
      <c r="AL147" s="2580">
        <f>34.85+4.1+10.25</f>
        <v>49.2</v>
      </c>
      <c r="AM147" s="532"/>
      <c r="AN147" s="532">
        <f t="shared" si="42"/>
        <v>92.25</v>
      </c>
      <c r="AO147" s="718"/>
      <c r="AP147" s="718">
        <f t="shared" si="43"/>
        <v>215.25</v>
      </c>
      <c r="AQ147" s="784"/>
      <c r="AR147" s="2581">
        <v>14.35</v>
      </c>
      <c r="AS147" s="240"/>
      <c r="AT147" s="718">
        <f t="shared" si="44"/>
        <v>229.6</v>
      </c>
      <c r="AU147" s="784"/>
      <c r="AV147" s="2581">
        <v>40.999999999999986</v>
      </c>
      <c r="AW147" s="240"/>
      <c r="AX147" s="718">
        <f t="shared" si="45"/>
        <v>270.59999999999997</v>
      </c>
      <c r="AY147" s="784"/>
      <c r="AZ147" s="2581">
        <v>55.35</v>
      </c>
      <c r="BA147" s="532"/>
      <c r="BB147" s="532">
        <f t="shared" si="37"/>
        <v>110.69999999999999</v>
      </c>
      <c r="BC147" s="617"/>
      <c r="BD147" s="617">
        <f t="shared" ref="BD147:BD156" si="52">AN147+BB147</f>
        <v>202.95</v>
      </c>
      <c r="BE147" s="718"/>
      <c r="BF147" s="718">
        <f t="shared" si="38"/>
        <v>325.95</v>
      </c>
      <c r="BG147" s="1111"/>
      <c r="BH147" s="3464"/>
      <c r="BI147" s="23"/>
      <c r="BJ147" s="23"/>
      <c r="BK147" s="23"/>
      <c r="BL147" s="23"/>
    </row>
    <row r="148" spans="1:67" ht="16.2" thickBot="1" x14ac:dyDescent="0.35">
      <c r="B148" s="1497" t="s">
        <v>1073</v>
      </c>
      <c r="C148" s="2601"/>
      <c r="D148" s="2602" t="s">
        <v>50</v>
      </c>
      <c r="E148" s="784"/>
      <c r="F148" s="2580"/>
      <c r="G148" s="784"/>
      <c r="H148" s="2580"/>
      <c r="I148" s="2603"/>
      <c r="J148" s="35">
        <f t="shared" si="40"/>
        <v>0</v>
      </c>
      <c r="K148" s="784"/>
      <c r="L148" s="2348"/>
      <c r="M148" s="1375"/>
      <c r="N148" s="574">
        <f t="shared" si="49"/>
        <v>0</v>
      </c>
      <c r="O148" s="784"/>
      <c r="P148" s="2348"/>
      <c r="Q148" s="240"/>
      <c r="R148" s="341">
        <f t="shared" si="46"/>
        <v>0</v>
      </c>
      <c r="S148" s="784"/>
      <c r="T148" s="2399">
        <v>4.0999999999999996</v>
      </c>
      <c r="U148" s="240"/>
      <c r="V148" s="341">
        <f t="shared" si="47"/>
        <v>4.0999999999999996</v>
      </c>
      <c r="W148" s="784"/>
      <c r="X148" s="2348"/>
      <c r="Y148" s="532"/>
      <c r="Z148" s="3696">
        <f t="shared" si="50"/>
        <v>4.0999999999999996</v>
      </c>
      <c r="AA148" s="617"/>
      <c r="AB148" s="3697">
        <f t="shared" si="51"/>
        <v>4.0999999999999996</v>
      </c>
      <c r="AC148" s="784"/>
      <c r="AD148" s="2348"/>
      <c r="AE148" s="240"/>
      <c r="AF148" s="718">
        <f t="shared" si="41"/>
        <v>4.0999999999999996</v>
      </c>
      <c r="AG148" s="784"/>
      <c r="AH148" s="2348"/>
      <c r="AI148" s="240"/>
      <c r="AJ148" s="341">
        <f t="shared" si="48"/>
        <v>4.0999999999999996</v>
      </c>
      <c r="AK148" s="784"/>
      <c r="AL148" s="2348"/>
      <c r="AM148" s="532"/>
      <c r="AN148" s="532">
        <f t="shared" si="42"/>
        <v>0</v>
      </c>
      <c r="AO148" s="718"/>
      <c r="AP148" s="718">
        <f t="shared" si="43"/>
        <v>4.0999999999999996</v>
      </c>
      <c r="AQ148" s="784"/>
      <c r="AR148" s="2580"/>
      <c r="AS148" s="240"/>
      <c r="AT148" s="718">
        <f t="shared" si="44"/>
        <v>4.0999999999999996</v>
      </c>
      <c r="AU148" s="784"/>
      <c r="AV148" s="2580"/>
      <c r="AW148" s="240"/>
      <c r="AX148" s="718">
        <f t="shared" ref="AX148:AX157" si="53">+AT148+AV148</f>
        <v>4.0999999999999996</v>
      </c>
      <c r="AY148" s="784"/>
      <c r="AZ148" s="2580"/>
      <c r="BA148" s="532"/>
      <c r="BB148" s="532">
        <f t="shared" si="37"/>
        <v>0</v>
      </c>
      <c r="BC148" s="617"/>
      <c r="BD148" s="617">
        <f t="shared" si="52"/>
        <v>0</v>
      </c>
      <c r="BE148" s="718"/>
      <c r="BF148" s="718">
        <f t="shared" si="38"/>
        <v>4.0999999999999996</v>
      </c>
      <c r="BG148" s="1111"/>
      <c r="BH148" s="3464"/>
      <c r="BI148" s="23"/>
      <c r="BJ148" s="23"/>
      <c r="BK148" s="23"/>
      <c r="BL148" s="23"/>
    </row>
    <row r="149" spans="1:67" ht="16.2" thickBot="1" x14ac:dyDescent="0.35">
      <c r="B149" s="1497" t="s">
        <v>1074</v>
      </c>
      <c r="C149" s="2601"/>
      <c r="D149" s="2602" t="s">
        <v>50</v>
      </c>
      <c r="E149" s="784"/>
      <c r="F149" s="2580"/>
      <c r="G149" s="784"/>
      <c r="H149" s="2580"/>
      <c r="I149" s="2603"/>
      <c r="J149" s="35">
        <f t="shared" si="40"/>
        <v>0</v>
      </c>
      <c r="K149" s="784"/>
      <c r="L149" s="2348">
        <f>6.15+2.05</f>
        <v>8.1999999999999993</v>
      </c>
      <c r="M149" s="1375"/>
      <c r="N149" s="574">
        <f t="shared" si="49"/>
        <v>8.1999999999999993</v>
      </c>
      <c r="O149" s="784"/>
      <c r="P149" s="2348">
        <v>2.0499999999999998</v>
      </c>
      <c r="Q149" s="240"/>
      <c r="R149" s="341">
        <f t="shared" si="46"/>
        <v>10.25</v>
      </c>
      <c r="S149" s="784"/>
      <c r="T149" s="2399"/>
      <c r="U149" s="240"/>
      <c r="V149" s="341">
        <f t="shared" si="47"/>
        <v>10.25</v>
      </c>
      <c r="W149" s="784"/>
      <c r="X149" s="2348"/>
      <c r="Y149" s="532"/>
      <c r="Z149" s="3696">
        <f t="shared" si="50"/>
        <v>2.0499999999999998</v>
      </c>
      <c r="AA149" s="617"/>
      <c r="AB149" s="3697">
        <f t="shared" si="51"/>
        <v>10.25</v>
      </c>
      <c r="AC149" s="784"/>
      <c r="AD149" s="2348"/>
      <c r="AE149" s="240"/>
      <c r="AF149" s="718">
        <f t="shared" si="41"/>
        <v>10.25</v>
      </c>
      <c r="AG149" s="784"/>
      <c r="AH149" s="2348"/>
      <c r="AI149" s="240"/>
      <c r="AJ149" s="341">
        <f t="shared" si="48"/>
        <v>10.25</v>
      </c>
      <c r="AK149" s="784"/>
      <c r="AL149" s="2348"/>
      <c r="AM149" s="532"/>
      <c r="AN149" s="532">
        <f t="shared" ref="AN149:AN157" si="54">AD149+AH149+AL149</f>
        <v>0</v>
      </c>
      <c r="AO149" s="718"/>
      <c r="AP149" s="718">
        <f t="shared" si="43"/>
        <v>10.25</v>
      </c>
      <c r="AQ149" s="784"/>
      <c r="AR149" s="2580"/>
      <c r="AS149" s="240"/>
      <c r="AT149" s="718">
        <f t="shared" si="44"/>
        <v>10.25</v>
      </c>
      <c r="AU149" s="784"/>
      <c r="AV149" s="2580"/>
      <c r="AW149" s="240"/>
      <c r="AX149" s="718">
        <f t="shared" si="53"/>
        <v>10.25</v>
      </c>
      <c r="AY149" s="784"/>
      <c r="AZ149" s="2580"/>
      <c r="BA149" s="532"/>
      <c r="BB149" s="532">
        <f t="shared" si="37"/>
        <v>0</v>
      </c>
      <c r="BC149" s="617"/>
      <c r="BD149" s="617">
        <f t="shared" si="52"/>
        <v>0</v>
      </c>
      <c r="BE149" s="718"/>
      <c r="BF149" s="718">
        <f t="shared" si="38"/>
        <v>10.25</v>
      </c>
      <c r="BG149" s="1111"/>
      <c r="BH149" s="3464"/>
      <c r="BI149" s="23"/>
      <c r="BJ149" s="23"/>
      <c r="BK149" s="23"/>
      <c r="BL149" s="23"/>
    </row>
    <row r="150" spans="1:67" ht="16.2" thickBot="1" x14ac:dyDescent="0.35">
      <c r="B150" s="1497" t="s">
        <v>1215</v>
      </c>
      <c r="C150" s="2601"/>
      <c r="D150" s="2602" t="s">
        <v>50</v>
      </c>
      <c r="E150" s="784"/>
      <c r="F150" s="2348"/>
      <c r="G150" s="784"/>
      <c r="H150" s="2348"/>
      <c r="I150" s="2603"/>
      <c r="J150" s="35">
        <f t="shared" si="40"/>
        <v>0</v>
      </c>
      <c r="K150" s="784"/>
      <c r="L150" s="2348">
        <v>10.1</v>
      </c>
      <c r="M150" s="1375"/>
      <c r="N150" s="574">
        <f t="shared" si="49"/>
        <v>10.1</v>
      </c>
      <c r="O150" s="784"/>
      <c r="P150" s="2348">
        <v>16.399999999999999</v>
      </c>
      <c r="Q150" s="240"/>
      <c r="R150" s="341">
        <f t="shared" si="46"/>
        <v>26.5</v>
      </c>
      <c r="S150" s="784"/>
      <c r="T150" s="2399"/>
      <c r="U150" s="240"/>
      <c r="V150" s="341">
        <f t="shared" si="47"/>
        <v>26.5</v>
      </c>
      <c r="W150" s="784"/>
      <c r="X150" s="2348"/>
      <c r="Y150" s="532"/>
      <c r="Z150" s="3696">
        <f t="shared" si="50"/>
        <v>16.399999999999999</v>
      </c>
      <c r="AA150" s="617"/>
      <c r="AB150" s="3697">
        <f t="shared" si="51"/>
        <v>26.5</v>
      </c>
      <c r="AC150" s="784"/>
      <c r="AD150" s="2348"/>
      <c r="AE150" s="240"/>
      <c r="AF150" s="718">
        <f t="shared" si="41"/>
        <v>26.5</v>
      </c>
      <c r="AG150" s="784"/>
      <c r="AH150" s="2348"/>
      <c r="AI150" s="240"/>
      <c r="AJ150" s="341">
        <f t="shared" si="48"/>
        <v>26.5</v>
      </c>
      <c r="AK150" s="784"/>
      <c r="AL150" s="2348"/>
      <c r="AM150" s="532"/>
      <c r="AN150" s="532">
        <f t="shared" si="54"/>
        <v>0</v>
      </c>
      <c r="AO150" s="718"/>
      <c r="AP150" s="718">
        <f t="shared" ref="AP150:AP157" si="55">AJ150+AL150</f>
        <v>26.5</v>
      </c>
      <c r="AQ150" s="784"/>
      <c r="AR150" s="2348"/>
      <c r="AS150" s="240"/>
      <c r="AT150" s="718">
        <f t="shared" si="44"/>
        <v>26.5</v>
      </c>
      <c r="AU150" s="784"/>
      <c r="AV150" s="2348"/>
      <c r="AW150" s="240"/>
      <c r="AX150" s="718">
        <f t="shared" si="53"/>
        <v>26.5</v>
      </c>
      <c r="AY150" s="784"/>
      <c r="AZ150" s="2348"/>
      <c r="BA150" s="532"/>
      <c r="BB150" s="532">
        <f t="shared" si="37"/>
        <v>0</v>
      </c>
      <c r="BC150" s="617"/>
      <c r="BD150" s="617">
        <f t="shared" si="52"/>
        <v>0</v>
      </c>
      <c r="BE150" s="718"/>
      <c r="BF150" s="718">
        <f t="shared" si="38"/>
        <v>26.5</v>
      </c>
      <c r="BG150" s="1111"/>
      <c r="BH150" s="3464"/>
      <c r="BI150" s="23"/>
      <c r="BJ150" s="23"/>
      <c r="BK150" s="23"/>
      <c r="BL150" s="23"/>
    </row>
    <row r="151" spans="1:67" ht="16.2" thickBot="1" x14ac:dyDescent="0.35">
      <c r="B151" s="1497" t="s">
        <v>984</v>
      </c>
      <c r="C151" s="2601"/>
      <c r="D151" s="2602" t="s">
        <v>50</v>
      </c>
      <c r="E151" s="784"/>
      <c r="F151" s="2348"/>
      <c r="G151" s="784"/>
      <c r="H151" s="2348"/>
      <c r="I151" s="2603"/>
      <c r="J151" s="35">
        <f t="shared" si="40"/>
        <v>0</v>
      </c>
      <c r="K151" s="784"/>
      <c r="L151" s="2348"/>
      <c r="M151" s="1375"/>
      <c r="N151" s="574">
        <f t="shared" si="49"/>
        <v>0</v>
      </c>
      <c r="O151" s="784"/>
      <c r="P151" s="2348"/>
      <c r="Q151" s="240"/>
      <c r="R151" s="341">
        <f t="shared" si="46"/>
        <v>0</v>
      </c>
      <c r="S151" s="784"/>
      <c r="T151" s="2399">
        <v>6.15</v>
      </c>
      <c r="U151" s="240"/>
      <c r="V151" s="341">
        <f t="shared" si="47"/>
        <v>6.15</v>
      </c>
      <c r="W151" s="784"/>
      <c r="X151" s="2348"/>
      <c r="Y151" s="532"/>
      <c r="Z151" s="3696">
        <f t="shared" si="50"/>
        <v>6.15</v>
      </c>
      <c r="AA151" s="617"/>
      <c r="AB151" s="3697">
        <f t="shared" si="51"/>
        <v>6.15</v>
      </c>
      <c r="AC151" s="784"/>
      <c r="AD151" s="2348"/>
      <c r="AE151" s="240"/>
      <c r="AF151" s="718">
        <f t="shared" si="41"/>
        <v>6.15</v>
      </c>
      <c r="AG151" s="784"/>
      <c r="AH151" s="2348"/>
      <c r="AI151" s="240"/>
      <c r="AJ151" s="341">
        <f t="shared" si="48"/>
        <v>6.15</v>
      </c>
      <c r="AK151" s="784"/>
      <c r="AL151" s="2348"/>
      <c r="AM151" s="532"/>
      <c r="AN151" s="532">
        <f t="shared" si="54"/>
        <v>0</v>
      </c>
      <c r="AO151" s="718"/>
      <c r="AP151" s="718">
        <f t="shared" si="55"/>
        <v>6.15</v>
      </c>
      <c r="AQ151" s="784"/>
      <c r="AR151" s="2348"/>
      <c r="AS151" s="240"/>
      <c r="AT151" s="718">
        <f t="shared" si="44"/>
        <v>6.15</v>
      </c>
      <c r="AU151" s="784"/>
      <c r="AV151" s="2348"/>
      <c r="AW151" s="240"/>
      <c r="AX151" s="718">
        <f t="shared" si="53"/>
        <v>6.15</v>
      </c>
      <c r="AY151" s="784"/>
      <c r="AZ151" s="2348"/>
      <c r="BA151" s="532"/>
      <c r="BB151" s="532">
        <f t="shared" si="37"/>
        <v>0</v>
      </c>
      <c r="BC151" s="617"/>
      <c r="BD151" s="617">
        <f t="shared" si="52"/>
        <v>0</v>
      </c>
      <c r="BE151" s="718"/>
      <c r="BF151" s="718">
        <f t="shared" si="38"/>
        <v>6.15</v>
      </c>
      <c r="BG151" s="1111"/>
      <c r="BH151" s="3464"/>
      <c r="BI151" s="23"/>
      <c r="BJ151" s="23"/>
      <c r="BK151" s="23"/>
      <c r="BL151" s="23"/>
    </row>
    <row r="152" spans="1:67" ht="16.2" thickBot="1" x14ac:dyDescent="0.35">
      <c r="B152" s="1497" t="s">
        <v>1790</v>
      </c>
      <c r="C152" s="2601"/>
      <c r="D152" s="2602" t="s">
        <v>50</v>
      </c>
      <c r="E152" s="784"/>
      <c r="F152" s="3673"/>
      <c r="G152" s="784"/>
      <c r="H152" s="3673"/>
      <c r="I152" s="3679"/>
      <c r="J152" s="35">
        <f t="shared" si="40"/>
        <v>0</v>
      </c>
      <c r="K152" s="784"/>
      <c r="L152" s="3672"/>
      <c r="M152" s="3680"/>
      <c r="N152" s="574">
        <f t="shared" si="49"/>
        <v>0</v>
      </c>
      <c r="O152" s="784"/>
      <c r="P152" s="3672"/>
      <c r="Q152" s="3676"/>
      <c r="R152" s="341">
        <f t="shared" si="46"/>
        <v>0</v>
      </c>
      <c r="S152" s="784"/>
      <c r="T152" s="3623"/>
      <c r="U152" s="3676"/>
      <c r="V152" s="341">
        <f t="shared" si="47"/>
        <v>0</v>
      </c>
      <c r="W152" s="784"/>
      <c r="X152" s="3672"/>
      <c r="Y152" s="3677"/>
      <c r="Z152" s="3696">
        <f t="shared" si="50"/>
        <v>0</v>
      </c>
      <c r="AA152" s="3678"/>
      <c r="AB152" s="3697">
        <f t="shared" si="51"/>
        <v>0</v>
      </c>
      <c r="AC152" s="784"/>
      <c r="AD152" s="3672"/>
      <c r="AE152" s="3676"/>
      <c r="AF152" s="718">
        <f t="shared" si="41"/>
        <v>0</v>
      </c>
      <c r="AG152" s="784"/>
      <c r="AH152" s="3672"/>
      <c r="AI152" s="3676"/>
      <c r="AJ152" s="341">
        <f t="shared" si="48"/>
        <v>0</v>
      </c>
      <c r="AK152" s="784"/>
      <c r="AL152" s="3672"/>
      <c r="AM152" s="3677"/>
      <c r="AN152" s="532">
        <f t="shared" si="54"/>
        <v>0</v>
      </c>
      <c r="AO152" s="3619"/>
      <c r="AP152" s="718">
        <f t="shared" si="55"/>
        <v>0</v>
      </c>
      <c r="AQ152" s="784"/>
      <c r="AR152" s="3673"/>
      <c r="AS152" s="3676"/>
      <c r="AT152" s="718">
        <f t="shared" si="44"/>
        <v>0</v>
      </c>
      <c r="AU152" s="784"/>
      <c r="AV152" s="3673"/>
      <c r="AW152" s="3676"/>
      <c r="AX152" s="718">
        <f t="shared" si="53"/>
        <v>0</v>
      </c>
      <c r="AY152" s="784"/>
      <c r="AZ152" s="3673"/>
      <c r="BA152" s="3677"/>
      <c r="BB152" s="532">
        <f t="shared" si="37"/>
        <v>0</v>
      </c>
      <c r="BC152" s="3678"/>
      <c r="BD152" s="617">
        <f t="shared" si="52"/>
        <v>0</v>
      </c>
      <c r="BE152" s="3619"/>
      <c r="BF152" s="718">
        <f t="shared" si="38"/>
        <v>0</v>
      </c>
      <c r="BG152" s="1111"/>
      <c r="BH152" s="3464"/>
      <c r="BI152" s="23"/>
      <c r="BJ152" s="23"/>
      <c r="BK152" s="23"/>
      <c r="BL152" s="23"/>
    </row>
    <row r="153" spans="1:67" ht="16.2" thickBot="1" x14ac:dyDescent="0.35">
      <c r="B153" s="1497" t="s">
        <v>983</v>
      </c>
      <c r="C153" s="2601"/>
      <c r="D153" s="2602" t="s">
        <v>50</v>
      </c>
      <c r="E153" s="784"/>
      <c r="F153" s="2348"/>
      <c r="G153" s="784"/>
      <c r="H153" s="2348"/>
      <c r="I153" s="2603"/>
      <c r="J153" s="35">
        <f t="shared" si="40"/>
        <v>0</v>
      </c>
      <c r="K153" s="784"/>
      <c r="L153" s="2348"/>
      <c r="M153" s="1375"/>
      <c r="N153" s="574">
        <f t="shared" si="49"/>
        <v>0</v>
      </c>
      <c r="O153" s="784"/>
      <c r="P153" s="2348">
        <v>4.0999999999999996</v>
      </c>
      <c r="Q153" s="240"/>
      <c r="R153" s="341">
        <f t="shared" si="46"/>
        <v>4.0999999999999996</v>
      </c>
      <c r="S153" s="784"/>
      <c r="T153" s="2399"/>
      <c r="U153" s="240"/>
      <c r="V153" s="341">
        <f t="shared" si="47"/>
        <v>4.0999999999999996</v>
      </c>
      <c r="W153" s="784"/>
      <c r="X153" s="2348">
        <v>6.15</v>
      </c>
      <c r="Y153" s="532"/>
      <c r="Z153" s="532">
        <f t="shared" ref="Z153:Z157" si="56">P153+T153+X153</f>
        <v>10.25</v>
      </c>
      <c r="AA153" s="617"/>
      <c r="AB153" s="3697">
        <f t="shared" si="51"/>
        <v>10.25</v>
      </c>
      <c r="AC153" s="784"/>
      <c r="AD153" s="2348"/>
      <c r="AE153" s="240"/>
      <c r="AF153" s="718">
        <f t="shared" si="41"/>
        <v>10.25</v>
      </c>
      <c r="AG153" s="784"/>
      <c r="AH153" s="2348"/>
      <c r="AI153" s="240"/>
      <c r="AJ153" s="341">
        <f t="shared" si="48"/>
        <v>10.25</v>
      </c>
      <c r="AK153" s="784"/>
      <c r="AL153" s="2348">
        <f>36.9+4.1</f>
        <v>41</v>
      </c>
      <c r="AM153" s="532"/>
      <c r="AN153" s="532">
        <f t="shared" si="54"/>
        <v>41</v>
      </c>
      <c r="AO153" s="718"/>
      <c r="AP153" s="718">
        <f t="shared" si="55"/>
        <v>51.25</v>
      </c>
      <c r="AQ153" s="784"/>
      <c r="AR153" s="2348"/>
      <c r="AS153" s="240"/>
      <c r="AT153" s="718">
        <f t="shared" si="44"/>
        <v>51.25</v>
      </c>
      <c r="AU153" s="784"/>
      <c r="AV153" s="2348"/>
      <c r="AW153" s="240"/>
      <c r="AX153" s="718">
        <f t="shared" si="53"/>
        <v>51.25</v>
      </c>
      <c r="AY153" s="784"/>
      <c r="AZ153" s="2348"/>
      <c r="BA153" s="532"/>
      <c r="BB153" s="532">
        <f t="shared" si="37"/>
        <v>0</v>
      </c>
      <c r="BC153" s="617"/>
      <c r="BD153" s="617">
        <f t="shared" si="52"/>
        <v>41</v>
      </c>
      <c r="BE153" s="718"/>
      <c r="BF153" s="718">
        <f t="shared" si="38"/>
        <v>51.25</v>
      </c>
      <c r="BG153" s="1111"/>
      <c r="BH153" s="3464"/>
      <c r="BI153" s="23"/>
      <c r="BJ153" s="23"/>
      <c r="BK153" s="23"/>
      <c r="BL153" s="23"/>
    </row>
    <row r="154" spans="1:67" ht="16.2" thickBot="1" x14ac:dyDescent="0.35">
      <c r="B154" s="1497" t="s">
        <v>1289</v>
      </c>
      <c r="C154" s="2601"/>
      <c r="D154" s="2602" t="s">
        <v>50</v>
      </c>
      <c r="E154" s="784"/>
      <c r="F154" s="2348"/>
      <c r="G154" s="784"/>
      <c r="H154" s="2348"/>
      <c r="I154" s="2603"/>
      <c r="J154" s="35">
        <f t="shared" si="40"/>
        <v>0</v>
      </c>
      <c r="K154" s="784"/>
      <c r="L154" s="2348"/>
      <c r="M154" s="1375"/>
      <c r="N154" s="574">
        <f t="shared" si="49"/>
        <v>0</v>
      </c>
      <c r="O154" s="784"/>
      <c r="P154" s="2348"/>
      <c r="Q154" s="240"/>
      <c r="R154" s="341">
        <f t="shared" si="46"/>
        <v>0</v>
      </c>
      <c r="S154" s="784"/>
      <c r="T154" s="2399"/>
      <c r="U154" s="240"/>
      <c r="V154" s="341">
        <f t="shared" si="47"/>
        <v>0</v>
      </c>
      <c r="W154" s="784"/>
      <c r="X154" s="2348"/>
      <c r="Y154" s="532"/>
      <c r="Z154" s="532">
        <f t="shared" si="56"/>
        <v>0</v>
      </c>
      <c r="AA154" s="617"/>
      <c r="AB154" s="3697">
        <f t="shared" si="51"/>
        <v>0</v>
      </c>
      <c r="AC154" s="784"/>
      <c r="AD154" s="2348"/>
      <c r="AE154" s="240"/>
      <c r="AF154" s="718">
        <f t="shared" si="41"/>
        <v>0</v>
      </c>
      <c r="AG154" s="784"/>
      <c r="AH154" s="2348"/>
      <c r="AI154" s="240"/>
      <c r="AJ154" s="341">
        <f t="shared" si="48"/>
        <v>0</v>
      </c>
      <c r="AK154" s="784"/>
      <c r="AL154" s="2348"/>
      <c r="AM154" s="532"/>
      <c r="AN154" s="532">
        <f t="shared" si="54"/>
        <v>0</v>
      </c>
      <c r="AO154" s="718"/>
      <c r="AP154" s="718">
        <f t="shared" si="55"/>
        <v>0</v>
      </c>
      <c r="AQ154" s="784"/>
      <c r="AR154" s="2348"/>
      <c r="AS154" s="240"/>
      <c r="AT154" s="718">
        <f t="shared" si="44"/>
        <v>0</v>
      </c>
      <c r="AU154" s="784"/>
      <c r="AV154" s="2348"/>
      <c r="AW154" s="240"/>
      <c r="AX154" s="718">
        <f t="shared" si="53"/>
        <v>0</v>
      </c>
      <c r="AY154" s="784"/>
      <c r="AZ154" s="2348"/>
      <c r="BA154" s="532"/>
      <c r="BB154" s="532">
        <f t="shared" si="37"/>
        <v>0</v>
      </c>
      <c r="BC154" s="617"/>
      <c r="BD154" s="617">
        <f t="shared" si="52"/>
        <v>0</v>
      </c>
      <c r="BE154" s="718"/>
      <c r="BF154" s="718">
        <f t="shared" si="38"/>
        <v>0</v>
      </c>
      <c r="BG154" s="1111"/>
      <c r="BH154" s="3464"/>
      <c r="BI154" s="23"/>
      <c r="BJ154" s="23"/>
      <c r="BK154" s="23"/>
      <c r="BL154" s="23"/>
    </row>
    <row r="155" spans="1:67" ht="15.75" customHeight="1" thickBot="1" x14ac:dyDescent="0.35">
      <c r="B155" s="1497" t="s">
        <v>982</v>
      </c>
      <c r="C155" s="2601"/>
      <c r="D155" s="2602" t="s">
        <v>50</v>
      </c>
      <c r="E155" s="784"/>
      <c r="F155" s="2348"/>
      <c r="G155" s="784"/>
      <c r="H155" s="2348"/>
      <c r="I155" s="2603"/>
      <c r="J155" s="35">
        <f t="shared" si="40"/>
        <v>0</v>
      </c>
      <c r="K155" s="784"/>
      <c r="L155" s="2348">
        <v>2.0499999999999998</v>
      </c>
      <c r="M155" s="1375"/>
      <c r="N155" s="574">
        <f t="shared" si="49"/>
        <v>2.0499999999999998</v>
      </c>
      <c r="O155" s="784"/>
      <c r="P155" s="2348"/>
      <c r="Q155" s="240"/>
      <c r="R155" s="341">
        <f t="shared" si="46"/>
        <v>2.0499999999999998</v>
      </c>
      <c r="S155" s="784"/>
      <c r="T155" s="2399"/>
      <c r="U155" s="240"/>
      <c r="V155" s="341">
        <f t="shared" si="47"/>
        <v>2.0499999999999998</v>
      </c>
      <c r="W155" s="784"/>
      <c r="X155" s="2348"/>
      <c r="Y155" s="532"/>
      <c r="Z155" s="532">
        <f t="shared" si="56"/>
        <v>0</v>
      </c>
      <c r="AA155" s="617"/>
      <c r="AB155" s="3697">
        <f t="shared" si="51"/>
        <v>2.0499999999999998</v>
      </c>
      <c r="AC155" s="784"/>
      <c r="AD155" s="2348"/>
      <c r="AE155" s="240"/>
      <c r="AF155" s="718">
        <f t="shared" si="41"/>
        <v>2.0499999999999998</v>
      </c>
      <c r="AG155" s="784"/>
      <c r="AH155" s="2348"/>
      <c r="AI155" s="240"/>
      <c r="AJ155" s="341">
        <f t="shared" si="48"/>
        <v>2.0499999999999998</v>
      </c>
      <c r="AK155" s="784"/>
      <c r="AL155" s="2348">
        <v>2.0499999999999998</v>
      </c>
      <c r="AM155" s="532"/>
      <c r="AN155" s="532">
        <f t="shared" si="54"/>
        <v>2.0499999999999998</v>
      </c>
      <c r="AO155" s="718"/>
      <c r="AP155" s="718">
        <f t="shared" si="55"/>
        <v>4.0999999999999996</v>
      </c>
      <c r="AQ155" s="784"/>
      <c r="AR155" s="2348">
        <f>4.1+2.05</f>
        <v>6.1499999999999995</v>
      </c>
      <c r="AS155" s="240"/>
      <c r="AT155" s="718">
        <f t="shared" si="44"/>
        <v>10.25</v>
      </c>
      <c r="AU155" s="784"/>
      <c r="AV155" s="2348"/>
      <c r="AW155" s="240"/>
      <c r="AX155" s="718">
        <f t="shared" si="53"/>
        <v>10.25</v>
      </c>
      <c r="AY155" s="784"/>
      <c r="AZ155" s="2348">
        <v>4.0999999999999996</v>
      </c>
      <c r="BA155" s="532"/>
      <c r="BB155" s="532">
        <f t="shared" si="37"/>
        <v>10.25</v>
      </c>
      <c r="BC155" s="617"/>
      <c r="BD155" s="617">
        <f t="shared" si="52"/>
        <v>12.3</v>
      </c>
      <c r="BE155" s="718"/>
      <c r="BF155" s="718">
        <f t="shared" si="38"/>
        <v>14.35</v>
      </c>
      <c r="BG155" s="1111"/>
      <c r="BH155" s="3464"/>
      <c r="BI155" s="23"/>
      <c r="BJ155" s="23"/>
      <c r="BK155" s="23"/>
      <c r="BL155" s="23"/>
    </row>
    <row r="156" spans="1:67" ht="15.75" customHeight="1" thickBot="1" x14ac:dyDescent="0.35">
      <c r="B156" s="1497" t="s">
        <v>1268</v>
      </c>
      <c r="C156" s="2601"/>
      <c r="D156" s="2606" t="s">
        <v>50</v>
      </c>
      <c r="E156" s="2604"/>
      <c r="F156" s="2348"/>
      <c r="G156" s="2604"/>
      <c r="H156" s="2348"/>
      <c r="I156" s="2605"/>
      <c r="J156" s="35">
        <f t="shared" si="40"/>
        <v>0</v>
      </c>
      <c r="K156" s="2604"/>
      <c r="L156" s="2348"/>
      <c r="M156" s="1376"/>
      <c r="N156" s="574">
        <f t="shared" si="49"/>
        <v>0</v>
      </c>
      <c r="O156" s="2604"/>
      <c r="P156" s="2348"/>
      <c r="Q156" s="1561"/>
      <c r="R156" s="341">
        <f t="shared" si="46"/>
        <v>0</v>
      </c>
      <c r="S156" s="2604"/>
      <c r="T156" s="2399"/>
      <c r="U156" s="1561"/>
      <c r="V156" s="718">
        <f t="shared" ref="V156:V157" si="57">+R156+T156</f>
        <v>0</v>
      </c>
      <c r="W156" s="2604"/>
      <c r="X156" s="2348"/>
      <c r="Y156" s="785"/>
      <c r="Z156" s="532">
        <f t="shared" si="56"/>
        <v>0</v>
      </c>
      <c r="AA156" s="617"/>
      <c r="AB156" s="617">
        <f t="shared" ref="AB156:AB157" si="58">N156+Z156</f>
        <v>0</v>
      </c>
      <c r="AC156" s="2604"/>
      <c r="AD156" s="2348"/>
      <c r="AE156" s="559"/>
      <c r="AF156" s="718">
        <f t="shared" ref="AF156:AF157" si="59">+AB156+AD156</f>
        <v>0</v>
      </c>
      <c r="AG156" s="2604"/>
      <c r="AH156" s="2348"/>
      <c r="AI156" s="559"/>
      <c r="AJ156" s="341">
        <f t="shared" si="48"/>
        <v>0</v>
      </c>
      <c r="AK156" s="2604"/>
      <c r="AL156" s="2348">
        <v>2.0499999999999998</v>
      </c>
      <c r="AM156" s="785"/>
      <c r="AN156" s="532">
        <f t="shared" si="54"/>
        <v>2.0499999999999998</v>
      </c>
      <c r="AO156" s="718"/>
      <c r="AP156" s="718">
        <f t="shared" si="55"/>
        <v>2.0499999999999998</v>
      </c>
      <c r="AQ156" s="2604"/>
      <c r="AR156" s="2348"/>
      <c r="AS156" s="559"/>
      <c r="AT156" s="718">
        <f t="shared" si="44"/>
        <v>2.0499999999999998</v>
      </c>
      <c r="AU156" s="2604"/>
      <c r="AV156" s="2348"/>
      <c r="AW156" s="559"/>
      <c r="AX156" s="718">
        <f t="shared" si="53"/>
        <v>2.0499999999999998</v>
      </c>
      <c r="AY156" s="2604"/>
      <c r="AZ156" s="2348">
        <v>22.55</v>
      </c>
      <c r="BA156" s="785"/>
      <c r="BB156" s="532">
        <f t="shared" si="37"/>
        <v>22.55</v>
      </c>
      <c r="BC156" s="617"/>
      <c r="BD156" s="617">
        <f t="shared" si="52"/>
        <v>24.6</v>
      </c>
      <c r="BE156" s="718"/>
      <c r="BF156" s="718">
        <f t="shared" si="38"/>
        <v>24.6</v>
      </c>
      <c r="BG156" s="1111"/>
      <c r="BH156" s="3464"/>
      <c r="BI156" s="23"/>
      <c r="BJ156" s="23"/>
      <c r="BK156" s="23"/>
      <c r="BL156" s="23"/>
    </row>
    <row r="157" spans="1:67" ht="15.75" customHeight="1" thickBot="1" x14ac:dyDescent="0.35">
      <c r="B157" s="2607" t="s">
        <v>1053</v>
      </c>
      <c r="C157" s="2608"/>
      <c r="D157" s="2609" t="s">
        <v>50</v>
      </c>
      <c r="E157" s="2610"/>
      <c r="F157" s="103"/>
      <c r="G157" s="2610"/>
      <c r="H157" s="103"/>
      <c r="I157" s="2611"/>
      <c r="J157" s="40">
        <f t="shared" si="40"/>
        <v>0</v>
      </c>
      <c r="K157" s="2610"/>
      <c r="L157" s="103">
        <v>2.0499999999999998</v>
      </c>
      <c r="M157" s="1376"/>
      <c r="N157" s="574">
        <f t="shared" si="49"/>
        <v>2.0499999999999998</v>
      </c>
      <c r="O157" s="2610"/>
      <c r="P157" s="103"/>
      <c r="Q157" s="1495"/>
      <c r="R157" s="341">
        <f t="shared" si="46"/>
        <v>2.0499999999999998</v>
      </c>
      <c r="S157" s="2610"/>
      <c r="T157" s="103"/>
      <c r="U157" s="1495"/>
      <c r="V157" s="718">
        <f t="shared" si="57"/>
        <v>2.0499999999999998</v>
      </c>
      <c r="W157" s="2610"/>
      <c r="X157" s="103"/>
      <c r="Y157" s="785"/>
      <c r="Z157" s="532">
        <f t="shared" si="56"/>
        <v>0</v>
      </c>
      <c r="AA157" s="617"/>
      <c r="AB157" s="617">
        <f t="shared" si="58"/>
        <v>2.0499999999999998</v>
      </c>
      <c r="AC157" s="2610"/>
      <c r="AD157" s="103"/>
      <c r="AE157" s="1495"/>
      <c r="AF157" s="718">
        <f t="shared" si="59"/>
        <v>2.0499999999999998</v>
      </c>
      <c r="AG157" s="2610"/>
      <c r="AH157" s="103"/>
      <c r="AI157" s="1495"/>
      <c r="AJ157" s="341">
        <f t="shared" si="48"/>
        <v>2.0499999999999998</v>
      </c>
      <c r="AK157" s="2610"/>
      <c r="AL157" s="103"/>
      <c r="AM157" s="785"/>
      <c r="AN157" s="532">
        <f t="shared" si="54"/>
        <v>0</v>
      </c>
      <c r="AO157" s="718"/>
      <c r="AP157" s="718">
        <f t="shared" si="55"/>
        <v>2.0499999999999998</v>
      </c>
      <c r="AQ157" s="2610"/>
      <c r="AR157" s="103"/>
      <c r="AS157" s="1495"/>
      <c r="AT157" s="718">
        <f t="shared" si="44"/>
        <v>2.0499999999999998</v>
      </c>
      <c r="AU157" s="2610"/>
      <c r="AV157" s="103"/>
      <c r="AW157" s="1495"/>
      <c r="AX157" s="718">
        <f t="shared" si="53"/>
        <v>2.0499999999999998</v>
      </c>
      <c r="AY157" s="2610"/>
      <c r="AZ157" s="103"/>
      <c r="BA157" s="785"/>
      <c r="BB157" s="532">
        <f t="shared" si="37"/>
        <v>0</v>
      </c>
      <c r="BC157" s="617"/>
      <c r="BD157" s="617">
        <f t="shared" ref="BD157" si="60">AN157+BB157</f>
        <v>0</v>
      </c>
      <c r="BE157" s="718"/>
      <c r="BF157" s="718">
        <f t="shared" si="38"/>
        <v>2.0499999999999998</v>
      </c>
      <c r="BG157" s="1111"/>
      <c r="BH157" s="3464"/>
      <c r="BI157" s="23"/>
      <c r="BJ157" s="23"/>
      <c r="BK157" s="23"/>
      <c r="BL157" s="23"/>
    </row>
    <row r="158" spans="1:67" ht="15.6" x14ac:dyDescent="0.3">
      <c r="A158" s="82"/>
      <c r="B158" s="2594" t="s">
        <v>297</v>
      </c>
      <c r="C158" s="2594"/>
      <c r="D158" s="109" t="s">
        <v>50</v>
      </c>
      <c r="E158" s="2595">
        <f>+E159</f>
        <v>36500</v>
      </c>
      <c r="F158" s="2595">
        <f>SUM(F7:F157)</f>
        <v>41567.849999999984</v>
      </c>
      <c r="G158" s="2595">
        <f>+G159</f>
        <v>37500</v>
      </c>
      <c r="H158" s="2595">
        <f>SUM(H7:H157)</f>
        <v>21584.450000000004</v>
      </c>
      <c r="I158" s="2595">
        <f>+I159</f>
        <v>74000</v>
      </c>
      <c r="J158" s="2595">
        <f>SUM(J7:J157)</f>
        <v>63152.299999999996</v>
      </c>
      <c r="K158" s="2595">
        <f>+K159</f>
        <v>42500</v>
      </c>
      <c r="L158" s="2595">
        <f>SUM(L7:L157)</f>
        <v>38408.049999999996</v>
      </c>
      <c r="M158" s="1034">
        <f>+M159</f>
        <v>116500</v>
      </c>
      <c r="N158" s="1034">
        <f>SUM(N7:N157)</f>
        <v>101295.9</v>
      </c>
      <c r="O158" s="2595">
        <f>+O159</f>
        <v>44000</v>
      </c>
      <c r="P158" s="2595">
        <f>SUM(P7:P157)</f>
        <v>47277.099999999991</v>
      </c>
      <c r="Q158" s="1034">
        <f>+Q159</f>
        <v>160500</v>
      </c>
      <c r="R158" s="1034">
        <f>SUM(R7:R157)</f>
        <v>148572.99999999997</v>
      </c>
      <c r="S158" s="2595">
        <f>+S159</f>
        <v>44000</v>
      </c>
      <c r="T158" s="2595">
        <f>SUM(T7:T157)</f>
        <v>38800.350000000006</v>
      </c>
      <c r="U158" s="1034">
        <f>+U159</f>
        <v>204500</v>
      </c>
      <c r="V158" s="1034">
        <f>SUM(V7:V157)</f>
        <v>187373.35</v>
      </c>
      <c r="W158" s="2595">
        <f>+W159</f>
        <v>25000</v>
      </c>
      <c r="X158" s="2595">
        <f>SUM(X7:X157)</f>
        <v>41149.650000000016</v>
      </c>
      <c r="Y158" s="1034">
        <f>+Y159</f>
        <v>113000</v>
      </c>
      <c r="Z158" s="1034">
        <f>SUM(Z7:Z157)</f>
        <v>127227.10000000003</v>
      </c>
      <c r="AA158" s="1034">
        <f>+AA159</f>
        <v>229500</v>
      </c>
      <c r="AB158" s="1034">
        <f>SUM(AB7:AB157)</f>
        <v>228522.99999999991</v>
      </c>
      <c r="AC158" s="2595">
        <f>+AC159</f>
        <v>42500</v>
      </c>
      <c r="AD158" s="2595">
        <f>SUM(AD7:AD157)</f>
        <v>30063.250000000004</v>
      </c>
      <c r="AE158" s="1034">
        <f>+AE159</f>
        <v>272000</v>
      </c>
      <c r="AF158" s="1034">
        <f>SUM(AF7:AF157)</f>
        <v>258586.25</v>
      </c>
      <c r="AG158" s="2595">
        <f>+AG159</f>
        <v>42500</v>
      </c>
      <c r="AH158" s="2595">
        <f>SUM(AH7:AH157)</f>
        <v>34706.500000000007</v>
      </c>
      <c r="AI158" s="1034">
        <f>+AI159</f>
        <v>314500</v>
      </c>
      <c r="AJ158" s="2595">
        <f>SUM(AJ7:AJ157)</f>
        <v>293292.75000000006</v>
      </c>
      <c r="AK158" s="2595">
        <f>+AK159</f>
        <v>44000</v>
      </c>
      <c r="AL158" s="2595">
        <f>SUM(AL7:AL157)</f>
        <v>44159.050000000017</v>
      </c>
      <c r="AM158" s="1034">
        <f>+AM159</f>
        <v>129000</v>
      </c>
      <c r="AN158" s="1034">
        <f>SUM(AN7:AN157)</f>
        <v>108928.80000000005</v>
      </c>
      <c r="AO158" s="1034">
        <f>+AO159</f>
        <v>358500</v>
      </c>
      <c r="AP158" s="1034">
        <f>SUM(AP7:AP157)</f>
        <v>337451.8</v>
      </c>
      <c r="AQ158" s="2595">
        <f>+AQ159</f>
        <v>44500</v>
      </c>
      <c r="AR158" s="4900">
        <f>SUM(AR7:AR157)</f>
        <v>44632.60000000002</v>
      </c>
      <c r="AS158" s="1034">
        <f>+AS159</f>
        <v>403000</v>
      </c>
      <c r="AT158" s="1034">
        <f>SUM(AT7:AT157)</f>
        <v>382084.4</v>
      </c>
      <c r="AU158" s="2595">
        <f>+AU159</f>
        <v>40000</v>
      </c>
      <c r="AV158" s="2595">
        <f>SUM(AV7:AV157)</f>
        <v>37469.900000000023</v>
      </c>
      <c r="AW158" s="1034">
        <f>+AW159</f>
        <v>443000</v>
      </c>
      <c r="AX158" s="1034">
        <f>SUM(AX7:AX157)</f>
        <v>419554.3</v>
      </c>
      <c r="AY158" s="2595">
        <f>+AY159</f>
        <v>44500</v>
      </c>
      <c r="AZ158" s="2595">
        <f>SUM(AZ7:AZ157)</f>
        <v>46789.200000000004</v>
      </c>
      <c r="BA158" s="1034">
        <f>+BA159</f>
        <v>129000</v>
      </c>
      <c r="BB158" s="1034">
        <f>SUM(BB7:BB157)</f>
        <v>128891.70000000003</v>
      </c>
      <c r="BC158" s="1034">
        <f>+BC159</f>
        <v>258000</v>
      </c>
      <c r="BD158" s="1034">
        <f>SUM(BD7:BD157)</f>
        <v>237820.50000000003</v>
      </c>
      <c r="BE158" s="1034">
        <f>+BE159</f>
        <v>487500</v>
      </c>
      <c r="BF158" s="1034">
        <f>SUM(BF7:BF157)</f>
        <v>466343.49999999994</v>
      </c>
      <c r="BG158" s="1111"/>
      <c r="BH158" s="3464"/>
      <c r="BI158" s="23"/>
      <c r="BJ158" s="23"/>
      <c r="BK158" s="23"/>
      <c r="BL158" s="23"/>
      <c r="BO158" s="23"/>
    </row>
    <row r="159" spans="1:67" ht="15.6" x14ac:dyDescent="0.3">
      <c r="B159" s="786" t="s">
        <v>783</v>
      </c>
      <c r="C159" s="786"/>
      <c r="D159" s="787" t="s">
        <v>50</v>
      </c>
      <c r="E159" s="1034">
        <f>+'Maj Production Summ'!E30</f>
        <v>36500</v>
      </c>
      <c r="F159" s="1034">
        <f>+SUM(F7:F142)</f>
        <v>41532.999999999985</v>
      </c>
      <c r="G159" s="1034">
        <f>+'Maj Production Summ'!G30</f>
        <v>37500</v>
      </c>
      <c r="H159" s="1034">
        <f>+SUM(H7:H142)</f>
        <v>21522.950000000004</v>
      </c>
      <c r="I159" s="1034">
        <f>+'Maj Production Summ'!I30</f>
        <v>74000</v>
      </c>
      <c r="J159" s="1034">
        <f>+SUM(J7:J142)</f>
        <v>63055.94999999999</v>
      </c>
      <c r="K159" s="1034">
        <f>+'Maj Production Summ'!K30</f>
        <v>42500</v>
      </c>
      <c r="L159" s="1034">
        <f>+SUM(L7:L142)</f>
        <v>38291.349999999991</v>
      </c>
      <c r="M159" s="1034">
        <f>+'Maj Production Summ'!M30</f>
        <v>116500</v>
      </c>
      <c r="N159" s="1034">
        <f>+SUM(N7:N142)</f>
        <v>101082.84999999998</v>
      </c>
      <c r="O159" s="1034">
        <f>+'Maj Production Summ'!O30</f>
        <v>44000</v>
      </c>
      <c r="P159" s="1034">
        <f>+SUM(P7:P142)</f>
        <v>47063.899999999994</v>
      </c>
      <c r="Q159" s="1034">
        <f>+'Maj Production Summ'!Q30</f>
        <v>160500</v>
      </c>
      <c r="R159" s="1034">
        <f>+SUM(R7:R142)</f>
        <v>148146.74999999997</v>
      </c>
      <c r="S159" s="1034">
        <f>+'Maj Production Summ'!S30</f>
        <v>44000</v>
      </c>
      <c r="T159" s="1034">
        <f>+SUM(T7:T142)</f>
        <v>38718.350000000006</v>
      </c>
      <c r="U159" s="1034">
        <f>+'Maj Production Summ'!U30</f>
        <v>204500</v>
      </c>
      <c r="V159" s="1034">
        <f>+SUM(V7:V142)</f>
        <v>186865.1</v>
      </c>
      <c r="W159" s="1034">
        <f>+'Maj Production Summ'!W30</f>
        <v>25000</v>
      </c>
      <c r="X159" s="1034">
        <f>+SUM(X7:X142)</f>
        <v>41006.150000000009</v>
      </c>
      <c r="Y159" s="1034">
        <f>+'Maj Production Summ'!Y30</f>
        <v>113000</v>
      </c>
      <c r="Z159" s="1034">
        <f>+SUM(Z7:Z142)</f>
        <v>126788.40000000005</v>
      </c>
      <c r="AA159" s="1034">
        <f>+'Maj Production Summ'!AA30</f>
        <v>229500</v>
      </c>
      <c r="AB159" s="1034">
        <f>+SUM(AB7:AB142)</f>
        <v>227871.24999999994</v>
      </c>
      <c r="AC159" s="1034">
        <f>+'Maj Production Summ'!AC30</f>
        <v>42500</v>
      </c>
      <c r="AD159" s="1034">
        <f>+SUM(AD7:AD142)</f>
        <v>30034.550000000003</v>
      </c>
      <c r="AE159" s="1034">
        <f>+'Maj Production Summ'!AE30</f>
        <v>272000</v>
      </c>
      <c r="AF159" s="1034">
        <f>+SUM(AF7:AF142)</f>
        <v>257905.80000000002</v>
      </c>
      <c r="AG159" s="1034">
        <f>+'Maj Production Summ'!AG30</f>
        <v>42500</v>
      </c>
      <c r="AH159" s="1034">
        <f>+SUM(AH7:AH142)</f>
        <v>34614.250000000007</v>
      </c>
      <c r="AI159" s="1034">
        <f>+'Maj Production Summ'!AI30</f>
        <v>314500</v>
      </c>
      <c r="AJ159" s="1034">
        <f>+SUM(AJ7:AJ142)</f>
        <v>292520.05000000005</v>
      </c>
      <c r="AK159" s="1034">
        <f>+'Maj Production Summ'!AK30</f>
        <v>44000</v>
      </c>
      <c r="AL159" s="1034">
        <f>+SUM(AL7:AL142)</f>
        <v>44007.350000000013</v>
      </c>
      <c r="AM159" s="1034">
        <f>+'Maj Production Summ'!AM30</f>
        <v>129000</v>
      </c>
      <c r="AN159" s="1034">
        <f>+SUM(AN7:AN142)</f>
        <v>108656.15000000004</v>
      </c>
      <c r="AO159" s="1034">
        <f>+'Maj Production Summ'!AO30</f>
        <v>358500</v>
      </c>
      <c r="AP159" s="1034">
        <f>+SUM(AP7:AP142)</f>
        <v>336527.4</v>
      </c>
      <c r="AQ159" s="1034">
        <f>+'Maj Production Summ'!AQ30</f>
        <v>44500</v>
      </c>
      <c r="AR159" s="1034">
        <f>+SUM(AR7:AR142)</f>
        <v>44589.550000000017</v>
      </c>
      <c r="AS159" s="1034">
        <f>+'Maj Production Summ'!AS30</f>
        <v>403000</v>
      </c>
      <c r="AT159" s="1034">
        <f>+SUM(AT7:AT142)</f>
        <v>381116.95000000007</v>
      </c>
      <c r="AU159" s="1034">
        <f>+'Maj Production Summ'!AU30</f>
        <v>40000</v>
      </c>
      <c r="AV159" s="1034">
        <f>+SUM(AV7:AV142)</f>
        <v>37420.700000000019</v>
      </c>
      <c r="AW159" s="1034">
        <f>+'Maj Production Summ'!AW30</f>
        <v>443000</v>
      </c>
      <c r="AX159" s="1034">
        <f>+SUM(AX7:AX142)</f>
        <v>418537.65000000008</v>
      </c>
      <c r="AY159" s="1034">
        <f>+'Maj Production Summ'!AY30</f>
        <v>44500</v>
      </c>
      <c r="AZ159" s="1034">
        <f>+SUM(AZ7:AZ142)</f>
        <v>46692.85</v>
      </c>
      <c r="BA159" s="1034">
        <f>+'Maj Production Summ'!BA30</f>
        <v>129000</v>
      </c>
      <c r="BB159" s="1034">
        <f>+SUM(BB7:BB142)</f>
        <v>128703.10000000002</v>
      </c>
      <c r="BC159" s="1034">
        <f>+'Maj Production Summ'!BC30</f>
        <v>258000</v>
      </c>
      <c r="BD159" s="1034">
        <f>+SUM(BD7:BD142)</f>
        <v>237359.25000000003</v>
      </c>
      <c r="BE159" s="1034">
        <f>+'Maj Production Summ'!BE30</f>
        <v>487500</v>
      </c>
      <c r="BF159" s="1034">
        <f>+SUM(BF7:BF142)</f>
        <v>465230.5</v>
      </c>
      <c r="BG159" s="1111"/>
      <c r="BH159" s="3464"/>
      <c r="BI159" s="23"/>
      <c r="BJ159" s="23"/>
      <c r="BK159" s="23"/>
      <c r="BL159" s="23"/>
      <c r="BO159" s="23"/>
    </row>
    <row r="160" spans="1:67" ht="15.6" x14ac:dyDescent="0.3">
      <c r="A160" s="137"/>
      <c r="B160" s="788" t="s">
        <v>782</v>
      </c>
      <c r="C160" s="788"/>
      <c r="D160" s="789" t="s">
        <v>50</v>
      </c>
      <c r="E160" s="1034"/>
      <c r="F160" s="2441">
        <f>+SUM(F144:F157)</f>
        <v>34.849999999999994</v>
      </c>
      <c r="G160" s="1034"/>
      <c r="H160" s="2441">
        <f>+SUM(H144:H157)</f>
        <v>61.500000000000007</v>
      </c>
      <c r="I160" s="1034"/>
      <c r="J160" s="745">
        <f>+SUM(J144:J157)</f>
        <v>96.350000000000023</v>
      </c>
      <c r="K160" s="1034"/>
      <c r="L160" s="745">
        <f>+SUM(L144:L157)</f>
        <v>116.69999999999999</v>
      </c>
      <c r="M160" s="1034"/>
      <c r="N160" s="745">
        <f>+SUM(N144:N157)</f>
        <v>213.05000000000004</v>
      </c>
      <c r="O160" s="1034"/>
      <c r="P160" s="745">
        <f>+SUM(P144:P157)</f>
        <v>213.20000000000002</v>
      </c>
      <c r="Q160" s="1034"/>
      <c r="R160" s="745">
        <f>+SUM(R144:R157)</f>
        <v>426.25</v>
      </c>
      <c r="S160" s="1034"/>
      <c r="T160" s="745">
        <f>+SUM(T144:T157)</f>
        <v>82</v>
      </c>
      <c r="U160" s="1034"/>
      <c r="V160" s="745">
        <f>+SUM(V144:V157)</f>
        <v>508.25000000000011</v>
      </c>
      <c r="W160" s="1034"/>
      <c r="X160" s="745">
        <f>+SUM(X144:X157)</f>
        <v>143.50000000000003</v>
      </c>
      <c r="Y160" s="1034"/>
      <c r="Z160" s="745">
        <f>+SUM(Z144:Z157)</f>
        <v>438.7</v>
      </c>
      <c r="AA160" s="1034"/>
      <c r="AB160" s="745">
        <f>+SUM(AB144:AB157)</f>
        <v>651.74999999999989</v>
      </c>
      <c r="AC160" s="1034"/>
      <c r="AD160" s="745">
        <f>+SUM(AD144:AD157)</f>
        <v>28.7</v>
      </c>
      <c r="AE160" s="1034"/>
      <c r="AF160" s="745">
        <f>+SUM(AF144:AF157)</f>
        <v>680.44999999999993</v>
      </c>
      <c r="AG160" s="1034"/>
      <c r="AH160" s="745">
        <f>+SUM(AH144:AH157)</f>
        <v>92.25</v>
      </c>
      <c r="AI160" s="1034"/>
      <c r="AJ160" s="745">
        <f>+SUM(AJ144:AJ157)</f>
        <v>772.69999999999982</v>
      </c>
      <c r="AK160" s="1034"/>
      <c r="AL160" s="745">
        <f>+SUM(AL144:AL157)</f>
        <v>151.70000000000002</v>
      </c>
      <c r="AM160" s="1034"/>
      <c r="AN160" s="745">
        <f>+SUM(AN144:AN157)</f>
        <v>272.64999999999998</v>
      </c>
      <c r="AO160" s="1034"/>
      <c r="AP160" s="745">
        <f>+SUM(AP144:AP157)</f>
        <v>924.4</v>
      </c>
      <c r="AQ160" s="1034"/>
      <c r="AR160" s="745">
        <f>+SUM(AR144:AR157)</f>
        <v>43.050000000000004</v>
      </c>
      <c r="AS160" s="1034"/>
      <c r="AT160" s="745">
        <f>+SUM(AT144:AT157)</f>
        <v>967.44999999999993</v>
      </c>
      <c r="AU160" s="1034"/>
      <c r="AV160" s="745">
        <f>+SUM(AV144:AV157)</f>
        <v>49.199999999999989</v>
      </c>
      <c r="AW160" s="1034"/>
      <c r="AX160" s="745">
        <f>+SUM(AX144:AX157)</f>
        <v>1016.6499999999999</v>
      </c>
      <c r="AY160" s="1034"/>
      <c r="AZ160" s="2441">
        <f>+SUM(AZ144:AZ157)</f>
        <v>96.35</v>
      </c>
      <c r="BA160" s="1034"/>
      <c r="BB160" s="745">
        <f>+SUM(BB144:BB157)</f>
        <v>188.60000000000002</v>
      </c>
      <c r="BC160" s="1034"/>
      <c r="BD160" s="745">
        <f>+SUM(BD144:BD157)</f>
        <v>461.25000000000006</v>
      </c>
      <c r="BE160" s="1034"/>
      <c r="BF160" s="745">
        <f>+SUM(BF144:BF157)</f>
        <v>1112.9999999999998</v>
      </c>
      <c r="BG160" s="1111"/>
      <c r="BH160" s="3464"/>
      <c r="BI160" s="23"/>
      <c r="BJ160" s="23"/>
      <c r="BK160" s="23"/>
      <c r="BL160" s="23"/>
      <c r="BO160" s="23"/>
    </row>
    <row r="161" spans="1:64" ht="15.6" x14ac:dyDescent="0.3">
      <c r="B161" s="742" t="s">
        <v>311</v>
      </c>
      <c r="C161" s="742"/>
      <c r="D161" s="736" t="s">
        <v>49</v>
      </c>
      <c r="E161" s="745">
        <f>+E159*100/E5</f>
        <v>96</v>
      </c>
      <c r="F161" s="745">
        <f>+F159*100/F5</f>
        <v>95.641659787281753</v>
      </c>
      <c r="G161" s="745">
        <f>+G159*100/G5</f>
        <v>96</v>
      </c>
      <c r="H161" s="745">
        <f>+H159*100/H5</f>
        <v>95.154917676635392</v>
      </c>
      <c r="I161" s="745">
        <f>+I159*100/I5</f>
        <v>95.999999999999986</v>
      </c>
      <c r="J161" s="745">
        <f>+J159*100/J5</f>
        <v>95.474960825270287</v>
      </c>
      <c r="K161" s="745">
        <f>+K159*100/K5</f>
        <v>96</v>
      </c>
      <c r="L161" s="745">
        <f>+L159*100/L5</f>
        <v>95.257540790258943</v>
      </c>
      <c r="M161" s="745">
        <f>+M159*100/M5</f>
        <v>95.999999999999986</v>
      </c>
      <c r="N161" s="745">
        <f>+N159*100/N5</f>
        <v>95.143785568670268</v>
      </c>
      <c r="O161" s="745">
        <f>+O159*100/O5</f>
        <v>96</v>
      </c>
      <c r="P161" s="745">
        <f>+P159*100/P5</f>
        <v>95.75055357177952</v>
      </c>
      <c r="Q161" s="745">
        <f>+Q159*100/Q5</f>
        <v>95.999999999999986</v>
      </c>
      <c r="R161" s="745">
        <f>+R159*100/R5</f>
        <v>95.335711108967288</v>
      </c>
      <c r="S161" s="745">
        <f>+S159*100/S5</f>
        <v>96</v>
      </c>
      <c r="T161" s="745">
        <f>+T159*100/T5</f>
        <v>95.876083003897975</v>
      </c>
      <c r="U161" s="745">
        <f>+U159*100/U5</f>
        <v>95.999999999999986</v>
      </c>
      <c r="V161" s="745">
        <f>+V159*100/V5</f>
        <v>95.447174998303552</v>
      </c>
      <c r="W161" s="745">
        <f>+W159*100/W5</f>
        <v>96</v>
      </c>
      <c r="X161" s="745">
        <f>+X159*100/X5</f>
        <v>95.610321120425965</v>
      </c>
      <c r="Y161" s="745">
        <f>+Y159*100/Y5</f>
        <v>95.999999999999986</v>
      </c>
      <c r="Z161" s="745">
        <f>+Z159*100/Z5</f>
        <v>95.743417030300961</v>
      </c>
      <c r="AA161" s="745">
        <f>+AA159*100/AA5</f>
        <v>95.999999999999986</v>
      </c>
      <c r="AB161" s="745">
        <f>+AB159*100/AB5</f>
        <v>95.476492563267513</v>
      </c>
      <c r="AC161" s="745">
        <f>+AC159*100/AC5</f>
        <v>96</v>
      </c>
      <c r="AD161" s="745">
        <f>+AD159*100/AD5</f>
        <v>95.954340193087916</v>
      </c>
      <c r="AE161" s="745">
        <f>+AE159*100/AE5</f>
        <v>95.999999999999986</v>
      </c>
      <c r="AF161" s="745">
        <f>+AF159*100/AF5</f>
        <v>95.531895556434733</v>
      </c>
      <c r="AG161" s="745">
        <f>+AG159*100/AG5</f>
        <v>96</v>
      </c>
      <c r="AH161" s="745">
        <f>+AH159*100/AH5</f>
        <v>95.766381296125843</v>
      </c>
      <c r="AI161" s="745">
        <f>+AI159*100/AI5</f>
        <v>96</v>
      </c>
      <c r="AJ161" s="745">
        <f>+AJ159*100/AJ5</f>
        <v>95.559582619518153</v>
      </c>
      <c r="AK161" s="745">
        <f>+AK159*100/AK5</f>
        <v>96</v>
      </c>
      <c r="AL161" s="745">
        <f>+AL159*100/AL5</f>
        <v>95.336201881591947</v>
      </c>
      <c r="AM161" s="745">
        <f>+AM159*100/AM5</f>
        <v>96</v>
      </c>
      <c r="AN161" s="745">
        <f>+AN159*100/AN5</f>
        <v>95.643377799808036</v>
      </c>
      <c r="AO161" s="745">
        <f>+AO159*100/AO5</f>
        <v>96</v>
      </c>
      <c r="AP161" s="745">
        <f>+AP159*100/AP5</f>
        <v>95.530311869008372</v>
      </c>
      <c r="AQ161" s="745">
        <f>+AQ159*100/AQ5</f>
        <v>95.999999999999986</v>
      </c>
      <c r="AR161" s="2441">
        <f>+AR159*100/AR5</f>
        <v>95.804245221551284</v>
      </c>
      <c r="AS161" s="745">
        <f>+AS159*100/AS5</f>
        <v>96</v>
      </c>
      <c r="AT161" s="745">
        <f>+AT159*100/AT5</f>
        <v>95.562280312282851</v>
      </c>
      <c r="AU161" s="745">
        <f>+AU159*100/AU5</f>
        <v>95.999999999999986</v>
      </c>
      <c r="AV161" s="2441">
        <f>+AV159*100/AV5</f>
        <v>95.614821440744819</v>
      </c>
      <c r="AW161" s="745">
        <f>+AW159*100/AW5</f>
        <v>95.999999999999986</v>
      </c>
      <c r="AX161" s="745">
        <f>+AX159*100/AX5</f>
        <v>95.566975569572307</v>
      </c>
      <c r="AY161" s="745">
        <f>+AY159*100/AY5</f>
        <v>95.999999999999986</v>
      </c>
      <c r="AZ161" s="745">
        <f>+AZ159*100/AZ5</f>
        <v>95.474822787338823</v>
      </c>
      <c r="BA161" s="745">
        <f>+BA159*100/BA5</f>
        <v>96</v>
      </c>
      <c r="BB161" s="745">
        <f>+BB159*100/BB5</f>
        <v>95.629455026212497</v>
      </c>
      <c r="BC161" s="745">
        <f>+BC159*100/BC5</f>
        <v>96</v>
      </c>
      <c r="BD161" s="745">
        <f>+BD159*100/BD5</f>
        <v>95.635827963269534</v>
      </c>
      <c r="BE161" s="745">
        <f>+BE159*100/BE5</f>
        <v>95.999999999999986</v>
      </c>
      <c r="BF161" s="745">
        <f>+BF159*100/BF5</f>
        <v>95.557718627041353</v>
      </c>
      <c r="BG161" s="1111"/>
      <c r="BH161" s="3464"/>
      <c r="BI161" s="23"/>
      <c r="BJ161" s="23"/>
      <c r="BK161" s="23"/>
      <c r="BL161" s="23"/>
    </row>
    <row r="162" spans="1:64" x14ac:dyDescent="0.3">
      <c r="A162" s="137"/>
      <c r="B162" s="790" t="s">
        <v>776</v>
      </c>
      <c r="C162" s="790"/>
      <c r="D162" s="744" t="s">
        <v>50</v>
      </c>
      <c r="E162" s="421"/>
      <c r="F162" s="421">
        <f>+'Value added steel '!G38</f>
        <v>41289.049999999996</v>
      </c>
      <c r="G162" s="421"/>
      <c r="H162" s="421">
        <f>+'Value added steel '!I38</f>
        <v>21024.799999999999</v>
      </c>
      <c r="I162" s="421"/>
      <c r="J162" s="421">
        <f>+'Value added steel '!K38</f>
        <v>62313.849999999991</v>
      </c>
      <c r="K162" s="421"/>
      <c r="L162" s="421">
        <f>+'Value added steel '!M38</f>
        <v>37452.9</v>
      </c>
      <c r="M162" s="421"/>
      <c r="N162" s="421">
        <f>+'Value added steel '!O38</f>
        <v>99766.75</v>
      </c>
      <c r="O162" s="421"/>
      <c r="P162" s="421">
        <f>+'Value added steel '!Q38</f>
        <v>44200.05</v>
      </c>
      <c r="Q162" s="421"/>
      <c r="R162" s="421">
        <f>+'Value added steel '!S38</f>
        <v>143966.79999999996</v>
      </c>
      <c r="S162" s="421"/>
      <c r="T162" s="421">
        <f>+'Value added steel '!U38</f>
        <v>33658.950000000004</v>
      </c>
      <c r="U162" s="421"/>
      <c r="V162" s="421">
        <f>+'Value added steel '!W38</f>
        <v>177625.75</v>
      </c>
      <c r="W162" s="421"/>
      <c r="X162" s="421">
        <f>+'Value added steel '!Y38</f>
        <v>37412.5</v>
      </c>
      <c r="Y162" s="421"/>
      <c r="Z162" s="421">
        <f>+'Value added steel '!AA38</f>
        <v>115271.50000000001</v>
      </c>
      <c r="AA162" s="421"/>
      <c r="AB162" s="421">
        <f>+'Value added steel '!AC38</f>
        <v>215038.25000000003</v>
      </c>
      <c r="AC162" s="421"/>
      <c r="AD162" s="421">
        <f>+'Value added steel '!AE38</f>
        <v>28117.8</v>
      </c>
      <c r="AE162" s="421"/>
      <c r="AF162" s="421">
        <f>+'Value added steel '!AG38</f>
        <v>243156.05000000002</v>
      </c>
      <c r="AG162" s="421"/>
      <c r="AH162" s="421">
        <f>+'Value added steel '!AI38</f>
        <v>33991.050000000003</v>
      </c>
      <c r="AI162" s="421"/>
      <c r="AJ162" s="421">
        <f>+'Value added steel '!AK38</f>
        <v>277147.09999999998</v>
      </c>
      <c r="AK162" s="421"/>
      <c r="AL162" s="421">
        <f>+'Value added steel '!AM38</f>
        <v>39526.050000000003</v>
      </c>
      <c r="AM162" s="421"/>
      <c r="AN162" s="421">
        <f>+'Value added steel '!AO38</f>
        <v>101634.90000000001</v>
      </c>
      <c r="AO162" s="421"/>
      <c r="AP162" s="421">
        <f>+'Value added steel '!AQ38</f>
        <v>316673.14999999997</v>
      </c>
      <c r="AQ162" s="421"/>
      <c r="AR162" s="421">
        <f>+'Value added steel '!AS38</f>
        <v>39585.500000000007</v>
      </c>
      <c r="AS162" s="421"/>
      <c r="AT162" s="421">
        <f>+'Value added steel '!AU38</f>
        <v>356258.65000000008</v>
      </c>
      <c r="AU162" s="421"/>
      <c r="AV162" s="421">
        <f>+'Value added steel '!AW38</f>
        <v>36941.000000000022</v>
      </c>
      <c r="AW162" s="421"/>
      <c r="AX162" s="421">
        <f>+'Value added steel '!AY38</f>
        <v>393199.65000000008</v>
      </c>
      <c r="AY162" s="421"/>
      <c r="AZ162" s="421">
        <f>+'Value added steel '!BA38</f>
        <v>46047.099999999991</v>
      </c>
      <c r="BA162" s="421"/>
      <c r="BB162" s="421">
        <f>+'Value added steel '!BC38</f>
        <v>122573.6</v>
      </c>
      <c r="BC162" s="421"/>
      <c r="BD162" s="421">
        <f>+'Value added steel '!BE38</f>
        <v>224208.5</v>
      </c>
      <c r="BE162" s="421"/>
      <c r="BF162" s="421">
        <f>+'Value added steel '!BG38</f>
        <v>439246.75000000006</v>
      </c>
      <c r="BG162" s="1111"/>
      <c r="BH162" s="3464"/>
      <c r="BI162" s="23"/>
      <c r="BJ162" s="23"/>
      <c r="BK162" s="23"/>
      <c r="BL162" s="23"/>
    </row>
    <row r="163" spans="1:64" x14ac:dyDescent="0.3">
      <c r="A163" s="137"/>
      <c r="B163" s="790" t="s">
        <v>777</v>
      </c>
      <c r="C163" s="790"/>
      <c r="D163" s="744" t="s">
        <v>49</v>
      </c>
      <c r="E163" s="579"/>
      <c r="F163" s="579">
        <f>+F162/F159</f>
        <v>0.99412635735439314</v>
      </c>
      <c r="G163" s="579"/>
      <c r="H163" s="579">
        <f>+H162/H159</f>
        <v>0.97685493856557748</v>
      </c>
      <c r="I163" s="579"/>
      <c r="J163" s="579">
        <f>+J162/J159</f>
        <v>0.98823108683637306</v>
      </c>
      <c r="K163" s="579"/>
      <c r="L163" s="579">
        <f>+L162/L159</f>
        <v>0.97810340977792665</v>
      </c>
      <c r="M163" s="579"/>
      <c r="N163" s="579">
        <f>+N162/N159</f>
        <v>0.98697998720851288</v>
      </c>
      <c r="O163" s="579"/>
      <c r="P163" s="579">
        <f>+P162/P159</f>
        <v>0.93914975172053328</v>
      </c>
      <c r="Q163" s="579"/>
      <c r="R163" s="579">
        <f>+R162/R159</f>
        <v>0.97178507122160962</v>
      </c>
      <c r="S163" s="579"/>
      <c r="T163" s="579">
        <f>+T162/T159</f>
        <v>0.86932810928151638</v>
      </c>
      <c r="U163" s="579"/>
      <c r="V163" s="579">
        <f>+V162/V159</f>
        <v>0.95055604283517892</v>
      </c>
      <c r="W163" s="579"/>
      <c r="X163" s="579">
        <f>+X162/X159</f>
        <v>0.91236314552817055</v>
      </c>
      <c r="Y163" s="579"/>
      <c r="Z163" s="579">
        <f>+Z162/Z159</f>
        <v>0.9091644030526449</v>
      </c>
      <c r="AA163" s="579"/>
      <c r="AB163" s="579">
        <f>+AB162/AB159</f>
        <v>0.9436831105284238</v>
      </c>
      <c r="AC163" s="579"/>
      <c r="AD163" s="579">
        <f>+AD162/AD159</f>
        <v>0.9361818305917684</v>
      </c>
      <c r="AE163" s="579"/>
      <c r="AF163" s="579">
        <f>+AF162/AF159</f>
        <v>0.94280954519053084</v>
      </c>
      <c r="AG163" s="579"/>
      <c r="AH163" s="579">
        <f>+AH162/AH159</f>
        <v>0.98199585430855774</v>
      </c>
      <c r="AI163" s="579"/>
      <c r="AJ163" s="579">
        <f>+AJ162/AJ159</f>
        <v>0.94744650836754585</v>
      </c>
      <c r="AK163" s="579"/>
      <c r="AL163" s="579">
        <f>+AL162/AL159</f>
        <v>0.89816928308566613</v>
      </c>
      <c r="AM163" s="579"/>
      <c r="AN163" s="579">
        <f>+AN162/AN159</f>
        <v>0.93538101616889591</v>
      </c>
      <c r="AO163" s="579"/>
      <c r="AP163" s="579">
        <f>+AP162/AP159</f>
        <v>0.94100257512464047</v>
      </c>
      <c r="AQ163" s="579"/>
      <c r="AR163" s="579">
        <f>+AR162/AR159</f>
        <v>0.88777527470001361</v>
      </c>
      <c r="AS163" s="579"/>
      <c r="AT163" s="579">
        <f>+AT162/AT159</f>
        <v>0.93477513923219635</v>
      </c>
      <c r="AU163" s="579"/>
      <c r="AV163" s="579">
        <f>+AV162/AV159</f>
        <v>0.98718089185931857</v>
      </c>
      <c r="AW163" s="579"/>
      <c r="AX163" s="579">
        <v>0.94862403987995336</v>
      </c>
      <c r="AY163" s="579"/>
      <c r="AZ163" s="579">
        <f>+AZ162/AZ159</f>
        <v>0.98617025947227455</v>
      </c>
      <c r="BA163" s="579"/>
      <c r="BB163" s="579">
        <f>+BB162/BB159</f>
        <v>0.95237488452104091</v>
      </c>
      <c r="BC163" s="579"/>
      <c r="BD163" s="579">
        <f>+BD162/BD159</f>
        <v>0.94459558664766585</v>
      </c>
      <c r="BE163" s="579"/>
      <c r="BF163" s="579">
        <f>+BF162/BF159</f>
        <v>0.94414865319449193</v>
      </c>
      <c r="BG163" s="1111"/>
      <c r="BH163" s="3464"/>
      <c r="BI163" s="23"/>
      <c r="BJ163" s="23"/>
      <c r="BK163" s="23"/>
      <c r="BL163" s="23"/>
    </row>
    <row r="164" spans="1:64" ht="18" thickBot="1" x14ac:dyDescent="0.35">
      <c r="A164" s="137"/>
      <c r="B164" s="791" t="s">
        <v>53</v>
      </c>
      <c r="C164" s="245"/>
      <c r="D164" s="244"/>
      <c r="E164" s="245"/>
      <c r="F164" s="245"/>
      <c r="G164" s="245"/>
      <c r="H164" s="245"/>
      <c r="I164" s="245"/>
      <c r="J164" s="245"/>
      <c r="K164" s="245"/>
      <c r="L164" s="245"/>
      <c r="M164" s="245"/>
      <c r="N164" s="245"/>
      <c r="O164" s="245"/>
      <c r="P164" s="245"/>
      <c r="Q164" s="245"/>
      <c r="R164" s="245"/>
      <c r="S164" s="245"/>
      <c r="T164" s="245"/>
      <c r="U164" s="245"/>
      <c r="V164" s="245"/>
      <c r="W164" s="245"/>
      <c r="X164" s="245"/>
      <c r="Y164" s="244"/>
      <c r="Z164" s="244"/>
      <c r="AA164" s="244"/>
      <c r="AB164" s="244"/>
      <c r="AC164" s="245"/>
      <c r="AD164" s="245"/>
      <c r="AE164" s="245"/>
      <c r="AF164" s="245"/>
      <c r="AG164" s="245"/>
      <c r="AH164" s="245"/>
      <c r="AI164" s="245"/>
      <c r="AJ164" s="245"/>
      <c r="AK164" s="245"/>
      <c r="AL164" s="245"/>
      <c r="AM164" s="244"/>
      <c r="AN164" s="244"/>
      <c r="AO164" s="245"/>
      <c r="AP164" s="245"/>
      <c r="AQ164" s="245"/>
      <c r="AR164" s="245"/>
      <c r="AS164" s="245"/>
      <c r="AT164" s="245"/>
      <c r="AU164" s="245"/>
      <c r="AV164" s="245"/>
      <c r="AW164" s="245"/>
      <c r="AX164" s="245"/>
      <c r="AY164" s="245"/>
      <c r="AZ164" s="245"/>
      <c r="BA164" s="244"/>
      <c r="BB164" s="244"/>
      <c r="BC164" s="244"/>
      <c r="BD164" s="244"/>
      <c r="BE164" s="245"/>
      <c r="BF164" s="245"/>
      <c r="BG164" s="1111"/>
      <c r="BH164" s="3464"/>
      <c r="BI164" s="23"/>
      <c r="BJ164" s="23"/>
      <c r="BK164" s="23"/>
      <c r="BL164" s="23"/>
    </row>
    <row r="165" spans="1:64" x14ac:dyDescent="0.3">
      <c r="B165" s="792" t="s">
        <v>93</v>
      </c>
      <c r="C165" s="793"/>
      <c r="D165" s="695" t="s">
        <v>219</v>
      </c>
      <c r="E165" s="750">
        <f>+E2*24</f>
        <v>720</v>
      </c>
      <c r="F165" s="750">
        <f>+F2*24</f>
        <v>720</v>
      </c>
      <c r="G165" s="750">
        <f>+G2*24</f>
        <v>744</v>
      </c>
      <c r="H165" s="750">
        <f>+H2*24</f>
        <v>744</v>
      </c>
      <c r="I165" s="794">
        <f>+E165+G165</f>
        <v>1464</v>
      </c>
      <c r="J165" s="39">
        <f>+F165+H165</f>
        <v>1464</v>
      </c>
      <c r="K165" s="750">
        <f>+K2*24</f>
        <v>720</v>
      </c>
      <c r="L165" s="750">
        <f>+L2*24</f>
        <v>720</v>
      </c>
      <c r="M165" s="717">
        <f>+E165+G165+K165</f>
        <v>2184</v>
      </c>
      <c r="N165" s="717">
        <f>+F165+H165+L165</f>
        <v>2184</v>
      </c>
      <c r="O165" s="750">
        <f>+O2*24</f>
        <v>744</v>
      </c>
      <c r="P165" s="750">
        <f>+P2*24</f>
        <v>744</v>
      </c>
      <c r="Q165" s="718">
        <f>+M165+O165</f>
        <v>2928</v>
      </c>
      <c r="R165" s="718">
        <f>+N165+P165</f>
        <v>2928</v>
      </c>
      <c r="S165" s="750">
        <f>+S2*24</f>
        <v>744</v>
      </c>
      <c r="T165" s="750">
        <f>+T2*24</f>
        <v>744</v>
      </c>
      <c r="U165" s="718">
        <f>+Q165+S165</f>
        <v>3672</v>
      </c>
      <c r="V165" s="718">
        <f>+R165+T165</f>
        <v>3672</v>
      </c>
      <c r="W165" s="750">
        <f>+W2*24</f>
        <v>720</v>
      </c>
      <c r="X165" s="750">
        <f>+X2*24</f>
        <v>720</v>
      </c>
      <c r="Y165" s="717">
        <f>O165+S165+W165</f>
        <v>2208</v>
      </c>
      <c r="Z165" s="488">
        <f>P165+T165+X165</f>
        <v>2208</v>
      </c>
      <c r="AA165" s="2094">
        <f>M165+Y165</f>
        <v>4392</v>
      </c>
      <c r="AB165" s="429">
        <f>N165+Z165</f>
        <v>4392</v>
      </c>
      <c r="AC165" s="750">
        <f>+AC2*24</f>
        <v>744</v>
      </c>
      <c r="AD165" s="750">
        <f>+AD2*24</f>
        <v>744</v>
      </c>
      <c r="AE165" s="718">
        <f>+AA165+AC165</f>
        <v>5136</v>
      </c>
      <c r="AF165" s="718">
        <f>+AB165+AD165</f>
        <v>5136</v>
      </c>
      <c r="AG165" s="750">
        <f>+AG2*24</f>
        <v>720</v>
      </c>
      <c r="AH165" s="750">
        <f>+AH2*24</f>
        <v>720</v>
      </c>
      <c r="AI165" s="718">
        <f>+AE165+AG165</f>
        <v>5856</v>
      </c>
      <c r="AJ165" s="718">
        <f>+AF165+AH165</f>
        <v>5856</v>
      </c>
      <c r="AK165" s="750">
        <f>+AK2*24</f>
        <v>744</v>
      </c>
      <c r="AL165" s="750">
        <f>+AL2*24</f>
        <v>744</v>
      </c>
      <c r="AM165" s="717">
        <f>AC165+AG165+AK165</f>
        <v>2208</v>
      </c>
      <c r="AN165" s="488">
        <f>AD165+AH165+AL165</f>
        <v>2208</v>
      </c>
      <c r="AO165" s="718">
        <f t="shared" ref="AO165" si="61">AI165+AK165</f>
        <v>6600</v>
      </c>
      <c r="AP165" s="718">
        <f t="shared" ref="AP165" si="62">AJ165+AL165</f>
        <v>6600</v>
      </c>
      <c r="AQ165" s="750">
        <f>+AQ2*24</f>
        <v>744</v>
      </c>
      <c r="AR165" s="750">
        <f>+AR2*24</f>
        <v>744</v>
      </c>
      <c r="AS165" s="718">
        <f>+AO165+AQ165</f>
        <v>7344</v>
      </c>
      <c r="AT165" s="718">
        <f>+AP165+AR165</f>
        <v>7344</v>
      </c>
      <c r="AU165" s="750">
        <f>+AU2*24</f>
        <v>672</v>
      </c>
      <c r="AV165" s="750">
        <f>+AV2*24</f>
        <v>672</v>
      </c>
      <c r="AW165" s="718">
        <f>+AS165+AU165</f>
        <v>8016</v>
      </c>
      <c r="AX165" s="718">
        <f>+AT165+AV165</f>
        <v>8016</v>
      </c>
      <c r="AY165" s="750">
        <f>+AY2*24</f>
        <v>744</v>
      </c>
      <c r="AZ165" s="750">
        <f>+AZ2*24</f>
        <v>744</v>
      </c>
      <c r="BA165" s="717">
        <f>AQ165+AU165+AY165</f>
        <v>2160</v>
      </c>
      <c r="BB165" s="488">
        <f>AR165+AV165+AZ165</f>
        <v>2160</v>
      </c>
      <c r="BC165" s="429">
        <f>AM165+BA165</f>
        <v>4368</v>
      </c>
      <c r="BD165" s="429">
        <f>AN165+BB165</f>
        <v>4368</v>
      </c>
      <c r="BE165" s="718">
        <f>+AW165+AY165</f>
        <v>8760</v>
      </c>
      <c r="BF165" s="718">
        <f>+AX165+AZ165</f>
        <v>8760</v>
      </c>
      <c r="BG165" s="1111"/>
      <c r="BH165" s="3464"/>
      <c r="BI165" s="23"/>
      <c r="BJ165" s="23"/>
      <c r="BK165" s="23"/>
      <c r="BL165" s="23"/>
    </row>
    <row r="166" spans="1:64" x14ac:dyDescent="0.3">
      <c r="B166" s="9" t="s">
        <v>300</v>
      </c>
      <c r="C166" s="795"/>
      <c r="D166" s="2589" t="s">
        <v>49</v>
      </c>
      <c r="E166" s="2580">
        <f t="shared" ref="E166:F166" si="63">+E167/E165*100</f>
        <v>73.333333333333329</v>
      </c>
      <c r="F166" s="2580">
        <f t="shared" si="63"/>
        <v>84.532407407407419</v>
      </c>
      <c r="G166" s="2580">
        <f t="shared" ref="G166:H166" si="64">+G167/G165*100</f>
        <v>74.193548387096769</v>
      </c>
      <c r="H166" s="2580">
        <f t="shared" si="64"/>
        <v>49.827508960573482</v>
      </c>
      <c r="I166" s="796">
        <f t="shared" ref="I166:Z166" si="65">+I167/I165*100</f>
        <v>73.770491803278688</v>
      </c>
      <c r="J166" s="101">
        <f t="shared" si="65"/>
        <v>66.895491803278702</v>
      </c>
      <c r="K166" s="2580">
        <f t="shared" si="65"/>
        <v>85</v>
      </c>
      <c r="L166" s="2580">
        <f t="shared" si="65"/>
        <v>84.173611111111128</v>
      </c>
      <c r="M166" s="797">
        <f t="shared" si="65"/>
        <v>77.472527472527474</v>
      </c>
      <c r="N166" s="322">
        <f t="shared" si="65"/>
        <v>72.591575091575095</v>
      </c>
      <c r="O166" s="2580">
        <f t="shared" ref="O166:P166" si="66">+O167/O165*100</f>
        <v>85.000000000000014</v>
      </c>
      <c r="P166" s="2580">
        <f t="shared" si="66"/>
        <v>85.398745519713245</v>
      </c>
      <c r="Q166" s="796">
        <f t="shared" si="65"/>
        <v>79.385245901639351</v>
      </c>
      <c r="R166" s="240">
        <f t="shared" si="65"/>
        <v>75.845856102003637</v>
      </c>
      <c r="S166" s="2580">
        <f t="shared" si="65"/>
        <v>85.000000000000014</v>
      </c>
      <c r="T166" s="2580">
        <f t="shared" si="65"/>
        <v>82.645609318996421</v>
      </c>
      <c r="U166" s="796">
        <f t="shared" ref="U166:X166" si="67">+U167/U165*100</f>
        <v>80.522875816993462</v>
      </c>
      <c r="V166" s="240">
        <f t="shared" si="67"/>
        <v>77.223583877995623</v>
      </c>
      <c r="W166" s="2580">
        <f t="shared" si="67"/>
        <v>55.000000000000007</v>
      </c>
      <c r="X166" s="2580">
        <f t="shared" si="67"/>
        <v>85.497685185185148</v>
      </c>
      <c r="Y166" s="797">
        <f t="shared" si="65"/>
        <v>75.217391304347842</v>
      </c>
      <c r="Z166" s="325">
        <f t="shared" si="65"/>
        <v>84.503321256038632</v>
      </c>
      <c r="AA166" s="430">
        <f t="shared" ref="AA166:AF166" si="68">+AA167/AA165*100</f>
        <v>76.338797814207666</v>
      </c>
      <c r="AB166" s="430">
        <f t="shared" si="68"/>
        <v>78.579993928354568</v>
      </c>
      <c r="AC166" s="2580">
        <f t="shared" si="68"/>
        <v>85.000000000000014</v>
      </c>
      <c r="AD166" s="2580">
        <f t="shared" si="68"/>
        <v>59.699820788530467</v>
      </c>
      <c r="AE166" s="796">
        <f t="shared" si="68"/>
        <v>77.59345794392523</v>
      </c>
      <c r="AF166" s="240">
        <f t="shared" si="68"/>
        <v>75.845015576323988</v>
      </c>
      <c r="AG166" s="2580">
        <f t="shared" ref="AG166:AH166" si="69">+AG167/AG165*100</f>
        <v>85</v>
      </c>
      <c r="AH166" s="2580">
        <f t="shared" si="69"/>
        <v>82.340277777777786</v>
      </c>
      <c r="AI166" s="796">
        <f t="shared" ref="AI166:AL166" si="70">+AI167/AI165*100</f>
        <v>78.504098360655746</v>
      </c>
      <c r="AJ166" s="240">
        <f t="shared" si="70"/>
        <v>76.643613387978135</v>
      </c>
      <c r="AK166" s="2580">
        <f t="shared" si="70"/>
        <v>85.000000000000014</v>
      </c>
      <c r="AL166" s="2580">
        <f t="shared" si="70"/>
        <v>81.359767025089596</v>
      </c>
      <c r="AM166" s="797">
        <f t="shared" ref="AM166:AT166" si="71">+AM167/AM165*100</f>
        <v>85.000000000000014</v>
      </c>
      <c r="AN166" s="325">
        <f t="shared" si="71"/>
        <v>74.38103864734299</v>
      </c>
      <c r="AO166" s="796">
        <f t="shared" si="71"/>
        <v>79.236363636363635</v>
      </c>
      <c r="AP166" s="240">
        <f t="shared" si="71"/>
        <v>77.175252525252517</v>
      </c>
      <c r="AQ166" s="2580">
        <f t="shared" si="71"/>
        <v>85.000000000000014</v>
      </c>
      <c r="AR166" s="2580">
        <f t="shared" si="71"/>
        <v>83.068996415770641</v>
      </c>
      <c r="AS166" s="796">
        <f t="shared" si="71"/>
        <v>79.820261437908499</v>
      </c>
      <c r="AT166" s="240">
        <f t="shared" si="71"/>
        <v>77.77233115468411</v>
      </c>
      <c r="AU166" s="2580">
        <f t="shared" ref="AU166:AV166" si="72">+AU167/AU165*100</f>
        <v>85.000000000000014</v>
      </c>
      <c r="AV166" s="2580">
        <f t="shared" si="72"/>
        <v>85.7465277777778</v>
      </c>
      <c r="AW166" s="796">
        <f t="shared" ref="AW166:AZ166" si="73">+AW167/AW165*100</f>
        <v>80.254491017964071</v>
      </c>
      <c r="AX166" s="240">
        <f t="shared" si="73"/>
        <v>78.440826679973398</v>
      </c>
      <c r="AY166" s="2580">
        <f t="shared" si="73"/>
        <v>85.000000000000014</v>
      </c>
      <c r="AZ166" s="2580">
        <f t="shared" si="73"/>
        <v>81.666666666666671</v>
      </c>
      <c r="BA166" s="797">
        <f t="shared" ref="BA166:BD166" si="74">+BA167/BA165*100</f>
        <v>85.000000000000014</v>
      </c>
      <c r="BB166" s="325">
        <f t="shared" si="74"/>
        <v>83.418981481481495</v>
      </c>
      <c r="BC166" s="430">
        <f t="shared" si="74"/>
        <v>85.000000000000014</v>
      </c>
      <c r="BD166" s="430">
        <f t="shared" si="74"/>
        <v>78.850351037851041</v>
      </c>
      <c r="BE166" s="796">
        <f t="shared" ref="BE166:BF166" si="75">+BE167/BE165*100</f>
        <v>80.657534246575352</v>
      </c>
      <c r="BF166" s="240">
        <f t="shared" si="75"/>
        <v>78.714802130898036</v>
      </c>
      <c r="BG166" s="1111"/>
      <c r="BH166" s="3464"/>
      <c r="BI166" s="23"/>
      <c r="BJ166" s="23"/>
      <c r="BK166" s="23"/>
      <c r="BL166" s="23"/>
    </row>
    <row r="167" spans="1:64" x14ac:dyDescent="0.3">
      <c r="B167" s="9" t="s">
        <v>299</v>
      </c>
      <c r="C167" s="795"/>
      <c r="D167" s="2589" t="s">
        <v>219</v>
      </c>
      <c r="E167" s="2399">
        <v>528</v>
      </c>
      <c r="F167" s="2399">
        <v>608.63333333333344</v>
      </c>
      <c r="G167" s="2399">
        <v>552</v>
      </c>
      <c r="H167" s="2399">
        <v>370.7166666666667</v>
      </c>
      <c r="I167" s="624">
        <f>+E167+G167</f>
        <v>1080</v>
      </c>
      <c r="J167" s="35">
        <f>+F167+H167</f>
        <v>979.35000000000014</v>
      </c>
      <c r="K167" s="2399">
        <v>612</v>
      </c>
      <c r="L167" s="2399">
        <v>606.05000000000007</v>
      </c>
      <c r="M167" s="717">
        <f>+E167+G167+K167</f>
        <v>1692</v>
      </c>
      <c r="N167" s="717">
        <f>+F167+H167+L167</f>
        <v>1585.4</v>
      </c>
      <c r="O167" s="2399">
        <v>632.40000000000009</v>
      </c>
      <c r="P167" s="2399">
        <v>635.36666666666656</v>
      </c>
      <c r="Q167" s="718">
        <f>+M167+O167</f>
        <v>2324.4</v>
      </c>
      <c r="R167" s="718">
        <f>+N167+P167</f>
        <v>2220.7666666666664</v>
      </c>
      <c r="S167" s="2399">
        <v>632.40000000000009</v>
      </c>
      <c r="T167" s="2399">
        <v>614.88333333333344</v>
      </c>
      <c r="U167" s="718">
        <f>+Q167+S167</f>
        <v>2956.8</v>
      </c>
      <c r="V167" s="718">
        <f>+R167+T167</f>
        <v>2835.6499999999996</v>
      </c>
      <c r="W167" s="2399">
        <v>396</v>
      </c>
      <c r="X167" s="2399">
        <v>615.58333333333303</v>
      </c>
      <c r="Y167" s="717">
        <f>O167+S167+W167</f>
        <v>1660.8000000000002</v>
      </c>
      <c r="Z167" s="488">
        <f>P167+T167+X167</f>
        <v>1865.833333333333</v>
      </c>
      <c r="AA167" s="429">
        <f>M167+Y167</f>
        <v>3352.8</v>
      </c>
      <c r="AB167" s="429">
        <f>N167+Z167</f>
        <v>3451.2333333333331</v>
      </c>
      <c r="AC167" s="2399">
        <v>632.40000000000009</v>
      </c>
      <c r="AD167" s="2399">
        <v>444.16666666666669</v>
      </c>
      <c r="AE167" s="718">
        <f>+AA167+AC167</f>
        <v>3985.2000000000003</v>
      </c>
      <c r="AF167" s="718">
        <f>+AB167+AD167</f>
        <v>3895.3999999999996</v>
      </c>
      <c r="AG167" s="2399">
        <v>612</v>
      </c>
      <c r="AH167" s="2399">
        <v>592.85</v>
      </c>
      <c r="AI167" s="718">
        <f>+AE167+AG167</f>
        <v>4597.2000000000007</v>
      </c>
      <c r="AJ167" s="718">
        <f>+AF167+AH167</f>
        <v>4488.25</v>
      </c>
      <c r="AK167" s="2399">
        <v>632.40000000000009</v>
      </c>
      <c r="AL167" s="2399">
        <v>605.31666666666661</v>
      </c>
      <c r="AM167" s="717">
        <f>AC167+AG167+AK167</f>
        <v>1876.8000000000002</v>
      </c>
      <c r="AN167" s="488">
        <f>AD167+AH167+AL167</f>
        <v>1642.3333333333333</v>
      </c>
      <c r="AO167" s="718">
        <f t="shared" ref="AO167:AP167" si="76">AI167+AK167</f>
        <v>5229.6000000000004</v>
      </c>
      <c r="AP167" s="718">
        <f t="shared" si="76"/>
        <v>5093.5666666666666</v>
      </c>
      <c r="AQ167" s="2399">
        <v>632.40000000000009</v>
      </c>
      <c r="AR167" s="2399">
        <v>618.03333333333353</v>
      </c>
      <c r="AS167" s="718">
        <f>+AO167+AQ167</f>
        <v>5862</v>
      </c>
      <c r="AT167" s="718">
        <f>+AP167+AR167</f>
        <v>5711.6</v>
      </c>
      <c r="AU167" s="2399">
        <v>571.20000000000005</v>
      </c>
      <c r="AV167" s="2399">
        <v>576.21666666666681</v>
      </c>
      <c r="AW167" s="718">
        <f>+AS167+AU167</f>
        <v>6433.2</v>
      </c>
      <c r="AX167" s="718">
        <f>+AT167+AV167</f>
        <v>6287.8166666666675</v>
      </c>
      <c r="AY167" s="2399">
        <v>632.40000000000009</v>
      </c>
      <c r="AZ167" s="2399">
        <v>607.6</v>
      </c>
      <c r="BA167" s="717">
        <f>AQ167+AU167+AY167</f>
        <v>1836.0000000000002</v>
      </c>
      <c r="BB167" s="488">
        <f>AR167+AV167+AZ167</f>
        <v>1801.8500000000004</v>
      </c>
      <c r="BC167" s="429">
        <f>AM167+BA167</f>
        <v>3712.8</v>
      </c>
      <c r="BD167" s="429">
        <f>AN167+BB167</f>
        <v>3444.1833333333334</v>
      </c>
      <c r="BE167" s="718">
        <f>+AW167+AY167</f>
        <v>7065.6</v>
      </c>
      <c r="BF167" s="718">
        <f>+AX167+AZ167</f>
        <v>6895.4166666666679</v>
      </c>
      <c r="BG167" s="1111"/>
      <c r="BH167" s="3464"/>
      <c r="BI167" s="23"/>
      <c r="BJ167" s="23"/>
      <c r="BK167" s="23"/>
      <c r="BL167" s="23"/>
    </row>
    <row r="168" spans="1:64" x14ac:dyDescent="0.3">
      <c r="B168" s="9" t="s">
        <v>301</v>
      </c>
      <c r="C168" s="795"/>
      <c r="D168" s="2589" t="s">
        <v>49</v>
      </c>
      <c r="E168" s="2583">
        <f t="shared" ref="E168:F168" si="77">+E169/E167*100</f>
        <v>88.333333333333329</v>
      </c>
      <c r="F168" s="2583">
        <f t="shared" si="77"/>
        <v>89.711922887343206</v>
      </c>
      <c r="G168" s="2583">
        <f t="shared" ref="G168:H168" si="78">+G169/G167*100</f>
        <v>88.333333333333329</v>
      </c>
      <c r="H168" s="2583">
        <f t="shared" si="78"/>
        <v>88.31542507755249</v>
      </c>
      <c r="I168" s="796">
        <f t="shared" ref="I168:AD168" si="79">+I169/I167*100</f>
        <v>88.333333333333329</v>
      </c>
      <c r="J168" s="101">
        <f t="shared" si="79"/>
        <v>89.18330184986641</v>
      </c>
      <c r="K168" s="2583">
        <f t="shared" si="79"/>
        <v>87.5</v>
      </c>
      <c r="L168" s="2583">
        <f t="shared" si="79"/>
        <v>86.854769958474236</v>
      </c>
      <c r="M168" s="797">
        <f t="shared" si="79"/>
        <v>88.031914893617028</v>
      </c>
      <c r="N168" s="322">
        <f t="shared" si="79"/>
        <v>88.29317522391824</v>
      </c>
      <c r="O168" s="2583">
        <f t="shared" ref="O168:P168" si="80">+O169/O167*100</f>
        <v>87.499999999999986</v>
      </c>
      <c r="P168" s="2583">
        <f t="shared" si="80"/>
        <v>90.630082367137078</v>
      </c>
      <c r="Q168" s="796">
        <f t="shared" si="79"/>
        <v>87.887196695921517</v>
      </c>
      <c r="R168" s="240">
        <f t="shared" si="79"/>
        <v>88.961769959323362</v>
      </c>
      <c r="S168" s="2583">
        <f t="shared" si="79"/>
        <v>87.499999999999986</v>
      </c>
      <c r="T168" s="2583">
        <f t="shared" si="79"/>
        <v>84.869758490770593</v>
      </c>
      <c r="U168" s="796">
        <f t="shared" ref="U168:X168" si="81">+U169/U167*100</f>
        <v>87.804383116883102</v>
      </c>
      <c r="V168" s="240">
        <f t="shared" si="81"/>
        <v>88.074456767701705</v>
      </c>
      <c r="W168" s="2583">
        <f t="shared" si="81"/>
        <v>87.5</v>
      </c>
      <c r="X168" s="2583">
        <f t="shared" si="81"/>
        <v>89.801001759848418</v>
      </c>
      <c r="Y168" s="797">
        <f t="shared" si="79"/>
        <v>87.499999999999986</v>
      </c>
      <c r="Z168" s="325">
        <f t="shared" si="79"/>
        <v>88.458240285841896</v>
      </c>
      <c r="AA168" s="430">
        <f t="shared" si="79"/>
        <v>87.768432355046528</v>
      </c>
      <c r="AB168" s="430">
        <f t="shared" si="79"/>
        <v>88.382414016245392</v>
      </c>
      <c r="AC168" s="2583">
        <f t="shared" si="79"/>
        <v>87.499999999999986</v>
      </c>
      <c r="AD168" s="2583">
        <f t="shared" si="79"/>
        <v>87.28705440900562</v>
      </c>
      <c r="AE168" s="796">
        <f t="shared" ref="AE168:AH168" si="82">+AE169/AE167*100</f>
        <v>87.725835591689233</v>
      </c>
      <c r="AF168" s="240">
        <f t="shared" si="82"/>
        <v>88.257517413701621</v>
      </c>
      <c r="AG168" s="2583">
        <f t="shared" si="82"/>
        <v>87.5</v>
      </c>
      <c r="AH168" s="2583">
        <f t="shared" si="82"/>
        <v>79.323044052739604</v>
      </c>
      <c r="AI168" s="796">
        <f t="shared" ref="AI168:AL168" si="83">+AI169/AI167*100</f>
        <v>87.695771339075932</v>
      </c>
      <c r="AJ168" s="240">
        <f t="shared" si="83"/>
        <v>87.077368684899454</v>
      </c>
      <c r="AK168" s="2583">
        <f t="shared" si="83"/>
        <v>87.499999999999986</v>
      </c>
      <c r="AL168" s="2583">
        <f t="shared" si="83"/>
        <v>89.793221178997243</v>
      </c>
      <c r="AM168" s="797">
        <f t="shared" ref="AM168:AT168" si="84">+AM169/AM167*100</f>
        <v>87.499999999999972</v>
      </c>
      <c r="AN168" s="325">
        <f t="shared" si="84"/>
        <v>85.335904201339559</v>
      </c>
      <c r="AO168" s="796">
        <f t="shared" si="84"/>
        <v>87.67209729233592</v>
      </c>
      <c r="AP168" s="240">
        <f t="shared" si="84"/>
        <v>87.400119104491282</v>
      </c>
      <c r="AQ168" s="2583">
        <f t="shared" si="84"/>
        <v>87.499999999999986</v>
      </c>
      <c r="AR168" s="2583">
        <f t="shared" si="84"/>
        <v>90.734048864678257</v>
      </c>
      <c r="AS168" s="796">
        <f t="shared" si="84"/>
        <v>87.653531218014322</v>
      </c>
      <c r="AT168" s="240">
        <f t="shared" si="84"/>
        <v>87.760872610126739</v>
      </c>
      <c r="AU168" s="2583">
        <f t="shared" ref="AU168:AV168" si="85">+AU169/AU167*100</f>
        <v>87.5</v>
      </c>
      <c r="AV168" s="2583">
        <f t="shared" si="85"/>
        <v>88.716628582998283</v>
      </c>
      <c r="AW168" s="796">
        <f t="shared" ref="AW168:AZ168" si="86">+AW169/AW167*100</f>
        <v>87.639899272523792</v>
      </c>
      <c r="AX168" s="240">
        <f t="shared" si="86"/>
        <v>87.848458261876786</v>
      </c>
      <c r="AY168" s="2583">
        <f t="shared" si="86"/>
        <v>87.499999999999986</v>
      </c>
      <c r="AZ168" s="2583">
        <f t="shared" si="86"/>
        <v>90.31983761246434</v>
      </c>
      <c r="BA168" s="797">
        <f t="shared" ref="BA168:BD168" si="87">+BA169/BA167*100</f>
        <v>87.499999999999986</v>
      </c>
      <c r="BB168" s="325">
        <f t="shared" si="87"/>
        <v>89.949218858395525</v>
      </c>
      <c r="BC168" s="430">
        <f t="shared" si="87"/>
        <v>87.499999999999986</v>
      </c>
      <c r="BD168" s="430">
        <f t="shared" si="87"/>
        <v>87.749393905667034</v>
      </c>
      <c r="BE168" s="796">
        <f t="shared" ref="BE168:BF168" si="88">+BE169/BE167*100</f>
        <v>87.627377717391312</v>
      </c>
      <c r="BF168" s="240">
        <f t="shared" si="88"/>
        <v>88.066227566620313</v>
      </c>
      <c r="BG168" s="1111"/>
      <c r="BH168" s="3464"/>
      <c r="BI168" s="23"/>
      <c r="BJ168" s="23"/>
      <c r="BK168" s="23"/>
      <c r="BL168" s="23"/>
    </row>
    <row r="169" spans="1:64" x14ac:dyDescent="0.3">
      <c r="B169" s="9" t="s">
        <v>302</v>
      </c>
      <c r="C169" s="795"/>
      <c r="D169" s="2589" t="s">
        <v>219</v>
      </c>
      <c r="E169" s="2399">
        <v>466.4</v>
      </c>
      <c r="F169" s="2399">
        <v>546.01666666666665</v>
      </c>
      <c r="G169" s="2399">
        <v>487.59999999999997</v>
      </c>
      <c r="H169" s="2399">
        <v>327.40000000000003</v>
      </c>
      <c r="I169" s="624">
        <f>+E169+G169</f>
        <v>954</v>
      </c>
      <c r="J169" s="35">
        <f>+F169+H169</f>
        <v>873.41666666666674</v>
      </c>
      <c r="K169" s="2399">
        <v>535.5</v>
      </c>
      <c r="L169" s="2399">
        <v>526.38333333333321</v>
      </c>
      <c r="M169" s="717">
        <f>+E169+G169+K169</f>
        <v>1489.5</v>
      </c>
      <c r="N169" s="717">
        <f>+F169+H169+L169</f>
        <v>1399.8</v>
      </c>
      <c r="O169" s="2399">
        <v>553.35</v>
      </c>
      <c r="P169" s="2399">
        <v>575.83333333333314</v>
      </c>
      <c r="Q169" s="718">
        <f>+M169+O169</f>
        <v>2042.85</v>
      </c>
      <c r="R169" s="718">
        <f>+N169+P169</f>
        <v>1975.6333333333332</v>
      </c>
      <c r="S169" s="2399">
        <v>553.35</v>
      </c>
      <c r="T169" s="2399">
        <v>521.85</v>
      </c>
      <c r="U169" s="718">
        <f>+Q169+S169</f>
        <v>2596.1999999999998</v>
      </c>
      <c r="V169" s="718">
        <f>+R169+T169</f>
        <v>2497.4833333333331</v>
      </c>
      <c r="W169" s="2399">
        <v>346.5</v>
      </c>
      <c r="X169" s="2399">
        <v>552.79999999999995</v>
      </c>
      <c r="Y169" s="717">
        <f>O169+S169+W169</f>
        <v>1453.2</v>
      </c>
      <c r="Z169" s="488">
        <f>P169+T169+X169</f>
        <v>1650.4833333333331</v>
      </c>
      <c r="AA169" s="429">
        <f>M169+Y169</f>
        <v>2942.7</v>
      </c>
      <c r="AB169" s="429">
        <f>N169+Z169</f>
        <v>3050.2833333333328</v>
      </c>
      <c r="AC169" s="2399">
        <v>553.35</v>
      </c>
      <c r="AD169" s="2399">
        <v>387.7</v>
      </c>
      <c r="AE169" s="718">
        <f>+AA169+AC169</f>
        <v>3496.0499999999997</v>
      </c>
      <c r="AF169" s="718">
        <f>+AB169+AD169</f>
        <v>3437.9833333333327</v>
      </c>
      <c r="AG169" s="2399">
        <v>535.5</v>
      </c>
      <c r="AH169" s="2399">
        <v>470.26666666666677</v>
      </c>
      <c r="AI169" s="718">
        <f>+AE169+AG169</f>
        <v>4031.5499999999997</v>
      </c>
      <c r="AJ169" s="718">
        <f>+AF169+AH169</f>
        <v>3908.2499999999995</v>
      </c>
      <c r="AK169" s="2399">
        <v>553.35</v>
      </c>
      <c r="AL169" s="2399">
        <v>543.53333333333342</v>
      </c>
      <c r="AM169" s="717">
        <f>AC169+AG169+AK169</f>
        <v>1642.1999999999998</v>
      </c>
      <c r="AN169" s="488">
        <f>AD169+AH169+AL169</f>
        <v>1401.5</v>
      </c>
      <c r="AO169" s="718">
        <f t="shared" ref="AO169:AP169" si="89">AI169+AK169</f>
        <v>4584.8999999999996</v>
      </c>
      <c r="AP169" s="718">
        <f t="shared" si="89"/>
        <v>4451.7833333333328</v>
      </c>
      <c r="AQ169" s="2399">
        <v>553.35</v>
      </c>
      <c r="AR169" s="2399">
        <v>560.76666666666665</v>
      </c>
      <c r="AS169" s="718">
        <f>+AO169+AQ169</f>
        <v>5138.25</v>
      </c>
      <c r="AT169" s="718">
        <f>+AP169+AR169</f>
        <v>5012.5499999999993</v>
      </c>
      <c r="AU169" s="2399">
        <v>499.8</v>
      </c>
      <c r="AV169" s="2399">
        <v>511.20000000000005</v>
      </c>
      <c r="AW169" s="718">
        <f>+AS169+AU169</f>
        <v>5638.05</v>
      </c>
      <c r="AX169" s="718">
        <f>+AT169+AV169</f>
        <v>5523.7499999999991</v>
      </c>
      <c r="AY169" s="2399">
        <v>553.35</v>
      </c>
      <c r="AZ169" s="2399">
        <v>548.7833333333333</v>
      </c>
      <c r="BA169" s="717">
        <f>AQ169+AU169+AY169</f>
        <v>1606.5</v>
      </c>
      <c r="BB169" s="488">
        <f>AR169+AV169+AZ169</f>
        <v>1620.75</v>
      </c>
      <c r="BC169" s="429">
        <f>AM169+BA169</f>
        <v>3248.7</v>
      </c>
      <c r="BD169" s="429">
        <f>AN169+BB169</f>
        <v>3022.25</v>
      </c>
      <c r="BE169" s="718">
        <f>+AW169+AY169</f>
        <v>6191.4000000000005</v>
      </c>
      <c r="BF169" s="718">
        <f>+AX169+AZ169</f>
        <v>6072.5333333333328</v>
      </c>
      <c r="BG169" s="1111"/>
      <c r="BH169" s="3464"/>
      <c r="BI169" s="23"/>
      <c r="BJ169" s="23"/>
      <c r="BK169" s="23"/>
      <c r="BL169" s="23"/>
    </row>
    <row r="170" spans="1:64" x14ac:dyDescent="0.3">
      <c r="B170" s="9" t="s">
        <v>485</v>
      </c>
      <c r="C170" s="795"/>
      <c r="D170" s="2589" t="s">
        <v>484</v>
      </c>
      <c r="E170" s="2583">
        <f t="shared" ref="E170:F170" si="90">+E169/(E167/24)</f>
        <v>21.2</v>
      </c>
      <c r="F170" s="2412">
        <f t="shared" si="90"/>
        <v>21.530861492962369</v>
      </c>
      <c r="G170" s="2583">
        <f t="shared" ref="G170:H170" si="91">+G169/(G167/24)</f>
        <v>21.2</v>
      </c>
      <c r="H170" s="2412">
        <f t="shared" si="91"/>
        <v>21.195702018612597</v>
      </c>
      <c r="I170" s="796">
        <f t="shared" ref="I170:AD170" si="92">+I169/(I167/24)</f>
        <v>21.2</v>
      </c>
      <c r="J170" s="101">
        <f t="shared" si="92"/>
        <v>21.403992443967937</v>
      </c>
      <c r="K170" s="2583">
        <f t="shared" si="92"/>
        <v>21</v>
      </c>
      <c r="L170" s="2412">
        <f t="shared" si="92"/>
        <v>20.845144790033821</v>
      </c>
      <c r="M170" s="797">
        <f t="shared" si="92"/>
        <v>21.127659574468087</v>
      </c>
      <c r="N170" s="322">
        <f t="shared" si="92"/>
        <v>21.19036205374038</v>
      </c>
      <c r="O170" s="2583">
        <f t="shared" ref="O170:P170" si="93">+O169/(O167/24)</f>
        <v>20.999999999999996</v>
      </c>
      <c r="P170" s="2412">
        <f t="shared" si="93"/>
        <v>21.751219768112897</v>
      </c>
      <c r="Q170" s="796">
        <f t="shared" si="92"/>
        <v>21.092927207021162</v>
      </c>
      <c r="R170" s="240">
        <f t="shared" si="92"/>
        <v>21.350824790237606</v>
      </c>
      <c r="S170" s="2583">
        <f t="shared" si="92"/>
        <v>20.999999999999996</v>
      </c>
      <c r="T170" s="2412">
        <f t="shared" si="92"/>
        <v>20.368742037784944</v>
      </c>
      <c r="U170" s="796">
        <f t="shared" ref="U170:X170" si="94">+U169/(U167/24)</f>
        <v>21.073051948051948</v>
      </c>
      <c r="V170" s="240">
        <f t="shared" si="94"/>
        <v>21.13786962424841</v>
      </c>
      <c r="W170" s="2583">
        <f t="shared" si="94"/>
        <v>21</v>
      </c>
      <c r="X170" s="2412">
        <f t="shared" si="94"/>
        <v>21.552240422363621</v>
      </c>
      <c r="Y170" s="797">
        <f t="shared" si="92"/>
        <v>21</v>
      </c>
      <c r="Z170" s="325">
        <f t="shared" si="92"/>
        <v>21.229977668602054</v>
      </c>
      <c r="AA170" s="430">
        <f t="shared" si="92"/>
        <v>21.064423765211163</v>
      </c>
      <c r="AB170" s="430">
        <f t="shared" si="92"/>
        <v>21.211779363898895</v>
      </c>
      <c r="AC170" s="2583">
        <f t="shared" si="92"/>
        <v>20.999999999999996</v>
      </c>
      <c r="AD170" s="2412">
        <f t="shared" si="92"/>
        <v>20.94889305816135</v>
      </c>
      <c r="AE170" s="796">
        <f t="shared" ref="AE170:AH170" si="95">+AE169/(AE167/24)</f>
        <v>21.054200542005418</v>
      </c>
      <c r="AF170" s="240">
        <f t="shared" si="95"/>
        <v>21.181804179288392</v>
      </c>
      <c r="AG170" s="2583">
        <f t="shared" si="95"/>
        <v>21</v>
      </c>
      <c r="AH170" s="2412">
        <f t="shared" si="95"/>
        <v>19.037530572657506</v>
      </c>
      <c r="AI170" s="796">
        <f t="shared" ref="AI170:AL170" si="96">+AI169/(AI167/24)</f>
        <v>21.046985121378224</v>
      </c>
      <c r="AJ170" s="240">
        <f t="shared" si="96"/>
        <v>20.898568484375868</v>
      </c>
      <c r="AK170" s="2583">
        <f t="shared" si="96"/>
        <v>20.999999999999996</v>
      </c>
      <c r="AL170" s="2412">
        <f t="shared" si="96"/>
        <v>21.550373082959336</v>
      </c>
      <c r="AM170" s="797">
        <f t="shared" ref="AM170:AT170" si="97">+AM169/(AM167/24)</f>
        <v>20.999999999999996</v>
      </c>
      <c r="AN170" s="325">
        <f t="shared" si="97"/>
        <v>20.480617008321492</v>
      </c>
      <c r="AO170" s="796">
        <f t="shared" si="97"/>
        <v>21.041303350160621</v>
      </c>
      <c r="AP170" s="240">
        <f t="shared" si="97"/>
        <v>20.976028585077906</v>
      </c>
      <c r="AQ170" s="2583">
        <f t="shared" si="97"/>
        <v>20.999999999999996</v>
      </c>
      <c r="AR170" s="2412">
        <f t="shared" si="97"/>
        <v>21.77617172752278</v>
      </c>
      <c r="AS170" s="796">
        <f t="shared" si="97"/>
        <v>21.036847492323439</v>
      </c>
      <c r="AT170" s="240">
        <f t="shared" si="97"/>
        <v>21.062609426430416</v>
      </c>
      <c r="AU170" s="2583">
        <f t="shared" ref="AU170:AV170" si="98">+AU169/(AU167/24)</f>
        <v>21</v>
      </c>
      <c r="AV170" s="2412">
        <f t="shared" si="98"/>
        <v>21.291990859919586</v>
      </c>
      <c r="AW170" s="796">
        <f t="shared" ref="AW170:AZ170" si="99">+AW169/(AW167/24)</f>
        <v>21.033575825405709</v>
      </c>
      <c r="AX170" s="240">
        <f t="shared" si="99"/>
        <v>21.083629982850425</v>
      </c>
      <c r="AY170" s="2583">
        <f t="shared" si="99"/>
        <v>20.999999999999996</v>
      </c>
      <c r="AZ170" s="2412">
        <f t="shared" si="99"/>
        <v>21.676761026991439</v>
      </c>
      <c r="BA170" s="797">
        <f t="shared" ref="BA170:BD170" si="100">+BA169/(BA167/24)</f>
        <v>20.999999999999996</v>
      </c>
      <c r="BB170" s="325">
        <f t="shared" si="100"/>
        <v>21.587812526014925</v>
      </c>
      <c r="BC170" s="430">
        <f t="shared" si="100"/>
        <v>20.999999999999996</v>
      </c>
      <c r="BD170" s="430">
        <f t="shared" si="100"/>
        <v>21.059854537360089</v>
      </c>
      <c r="BE170" s="796">
        <f t="shared" ref="BE170:BF170" si="101">+BE169/(BE167/24)</f>
        <v>21.030570652173914</v>
      </c>
      <c r="BF170" s="240">
        <f t="shared" si="101"/>
        <v>21.135894615988875</v>
      </c>
      <c r="BG170" s="1111"/>
      <c r="BH170" s="3464"/>
      <c r="BI170" s="23"/>
      <c r="BJ170" s="23"/>
      <c r="BK170" s="23"/>
      <c r="BL170" s="23"/>
    </row>
    <row r="171" spans="1:64" x14ac:dyDescent="0.3">
      <c r="A171" s="1412">
        <v>0.28799999999999998</v>
      </c>
      <c r="B171" s="9" t="s">
        <v>303</v>
      </c>
      <c r="C171" s="795"/>
      <c r="D171" s="2589" t="s">
        <v>1047</v>
      </c>
      <c r="E171" s="2416">
        <v>0.28799999999999998</v>
      </c>
      <c r="F171" s="2416">
        <v>0.32100000000000001</v>
      </c>
      <c r="G171" s="2416">
        <v>0.28799999999999998</v>
      </c>
      <c r="H171" s="2416">
        <v>0.376</v>
      </c>
      <c r="I171" s="798">
        <f>+((E171*E5)+(G171*G5))/I5</f>
        <v>0.28799999999999998</v>
      </c>
      <c r="J171" s="2591">
        <f>+((F171*F5)+(H171*H5))/J5</f>
        <v>0.33983634620899256</v>
      </c>
      <c r="K171" s="2590">
        <v>0.28799999999999998</v>
      </c>
      <c r="L171" s="2416">
        <v>0.3417</v>
      </c>
      <c r="M171" s="799">
        <f>+((E171*E5)+(G171*G5)+(K171*K5))/M5</f>
        <v>0.28799999999999998</v>
      </c>
      <c r="N171" s="799">
        <f>+((F171*F5)+(H171*H5)+(L171*L5))/N5</f>
        <v>0.34054147670644502</v>
      </c>
      <c r="O171" s="2590">
        <v>0.28799999999999998</v>
      </c>
      <c r="P171" s="2416">
        <v>0.30199999999999999</v>
      </c>
      <c r="Q171" s="798">
        <f>+((M171*M5)+(O171*O5))/Q5</f>
        <v>0.28799999999999992</v>
      </c>
      <c r="R171" s="798">
        <f>+((N171*N5)+(P171*P5))/R5</f>
        <v>0.32835050140315813</v>
      </c>
      <c r="S171" s="2590">
        <v>0.28799999999999998</v>
      </c>
      <c r="T171" s="2416">
        <v>0.33800000000000002</v>
      </c>
      <c r="U171" s="798">
        <f>+((Q171*Q5)+(S171*S5))/U5</f>
        <v>0.28799999999999992</v>
      </c>
      <c r="V171" s="798">
        <f>+((R171*R5)+(T171*T5))/V5</f>
        <v>0.33034092809603172</v>
      </c>
      <c r="W171" s="2590">
        <v>0.28799999999999998</v>
      </c>
      <c r="X171" s="2416">
        <v>0.32700000000000001</v>
      </c>
      <c r="Y171" s="799">
        <f>+((O171*O5)+(S171*S5)+(W171*W5))/Y5</f>
        <v>0.28799999999999998</v>
      </c>
      <c r="Z171" s="799">
        <f>+((P171*P5)+(T171*T5)+(X171*X5))/Z5</f>
        <v>0.32107518917020528</v>
      </c>
      <c r="AA171" s="618">
        <f>+((M171*M5)+(Y171*Y5))/AA5</f>
        <v>0.28799999999999998</v>
      </c>
      <c r="AB171" s="618">
        <f>+((N171*N5)+(Z171*Z5))/AB5</f>
        <v>0.32974055908191596</v>
      </c>
      <c r="AC171" s="2590">
        <v>0.28799999999999998</v>
      </c>
      <c r="AD171" s="2416">
        <v>0.38900000000000001</v>
      </c>
      <c r="AE171" s="798">
        <f>+((AA171*AA5)+(AC171*AC5))/AE5</f>
        <v>0.28799999999999998</v>
      </c>
      <c r="AF171" s="798">
        <f>+((AB171*AB5)+(AD171*AD5))/AF5</f>
        <v>0.33661126471146996</v>
      </c>
      <c r="AG171" s="2590">
        <v>0.28799999999999998</v>
      </c>
      <c r="AH171" s="2416">
        <v>0.4</v>
      </c>
      <c r="AI171" s="798">
        <f>+((AE171*AE5)+(AG171*AG5))/AI5</f>
        <v>0.28799999999999998</v>
      </c>
      <c r="AJ171" s="798">
        <f>+((AF171*AF5)+(AH171*AH5))/AJ5</f>
        <v>0.34409593271312899</v>
      </c>
      <c r="AK171" s="2590">
        <v>0.28799999999999998</v>
      </c>
      <c r="AL171" s="2416">
        <v>0.40300000000000002</v>
      </c>
      <c r="AM171" s="799">
        <f>+((AC171*AC5)+(AG171*AG5)+(AK171*AK5))/AM5</f>
        <v>0.28799999999999998</v>
      </c>
      <c r="AN171" s="799">
        <f>+((AD171*AD5)+(AH171*AH5)+(AL171*AL5))/AN5</f>
        <v>0.39818821164075024</v>
      </c>
      <c r="AO171" s="798">
        <f>+((AK171*AK5)+(AI171*AI5))/AO5</f>
        <v>0.28799999999999998</v>
      </c>
      <c r="AP171" s="798">
        <f>+((AL171*AL5)+(AJ171*AJ5))/AP5</f>
        <v>0.35181444180917698</v>
      </c>
      <c r="AQ171" s="2590">
        <v>0.28799999999999998</v>
      </c>
      <c r="AR171" s="2416">
        <v>0.375</v>
      </c>
      <c r="AS171" s="798">
        <f>+((AO171*AO5)+(AQ171*AQ5))/AS5</f>
        <v>0.28799999999999998</v>
      </c>
      <c r="AT171" s="798">
        <f>+((AP171*AP5)+(AR171*AR5))/AT5</f>
        <v>0.35452023208600802</v>
      </c>
      <c r="AU171" s="2590">
        <v>0.28799999999999998</v>
      </c>
      <c r="AV171" s="2416">
        <v>0.33700000000000002</v>
      </c>
      <c r="AW171" s="798">
        <f>+((AS171*AS5)+(AU171*AU5))/AW5</f>
        <v>0.28799999999999998</v>
      </c>
      <c r="AX171" s="798">
        <f>+((AT171*AT5)+(AV171*AV5))/AX5</f>
        <v>0.35295456344083892</v>
      </c>
      <c r="AY171" s="2590">
        <v>0.28799999999999998</v>
      </c>
      <c r="AZ171" s="2416">
        <v>0.30599999999999999</v>
      </c>
      <c r="BA171" s="799">
        <f>+((AQ171*AQ5)+(AU171*AU5)+(AY171*AY5))/BA5</f>
        <v>0.28799999999999998</v>
      </c>
      <c r="BB171" s="799">
        <f>+((AR171*AR5)+(AV171*AV5)+(AZ171*AZ5))/BB5</f>
        <v>0.33887632496638354</v>
      </c>
      <c r="BC171" s="618">
        <f>+((AM171*AM5)+(BA171*BA5))/BC5</f>
        <v>0.28799999999999998</v>
      </c>
      <c r="BD171" s="618">
        <f>+((AN171*AN5)+(BB171*BB5))/BD5</f>
        <v>0.36602543558840556</v>
      </c>
      <c r="BE171" s="798">
        <f>+((AW171*AW5)+(AY171*AY5))/BE5</f>
        <v>0.28799999999999998</v>
      </c>
      <c r="BF171" s="798">
        <f>+((AX171*AX5)+(AZ171*AZ5))/BF5</f>
        <v>0.34823787790186678</v>
      </c>
      <c r="BG171" s="1111"/>
      <c r="BH171" s="3464"/>
      <c r="BI171" s="23"/>
      <c r="BJ171" s="23"/>
      <c r="BK171" s="23"/>
      <c r="BL171" s="23"/>
    </row>
    <row r="172" spans="1:64" x14ac:dyDescent="0.3">
      <c r="B172" s="9" t="s">
        <v>304</v>
      </c>
      <c r="C172" s="795"/>
      <c r="D172" s="2589" t="s">
        <v>212</v>
      </c>
      <c r="E172" s="2399">
        <f>+'POWER DISTRIBUTION'!I25</f>
        <v>6314500</v>
      </c>
      <c r="F172" s="2399">
        <f>+'POWER DISTRIBUTION'!J25</f>
        <v>7402183.0000000112</v>
      </c>
      <c r="G172" s="2399">
        <f>+'POWER DISTRIBUTION'!K25</f>
        <v>6487500</v>
      </c>
      <c r="H172" s="2399">
        <f>+'POWER DISTRIBUTION'!L25</f>
        <v>4332032.666666666</v>
      </c>
      <c r="I172" s="624">
        <f>+E172+G172</f>
        <v>12802000</v>
      </c>
      <c r="J172" s="35">
        <f>+F172+H172</f>
        <v>11734215.666666677</v>
      </c>
      <c r="K172" s="2399">
        <f>+'POWER DISTRIBUTION'!O25</f>
        <v>7362131.9332452696</v>
      </c>
      <c r="L172" s="2399">
        <f>+'POWER DISTRIBUTION'!P25</f>
        <v>6922432.3333333284</v>
      </c>
      <c r="M172" s="717">
        <f>+E172+G172+K172</f>
        <v>20164131.933245271</v>
      </c>
      <c r="N172" s="717">
        <f>+F172+H172+L172</f>
        <v>18656648.000000007</v>
      </c>
      <c r="O172" s="2399">
        <f>+'POWER DISTRIBUTION'!S25</f>
        <v>7621971.8838303965</v>
      </c>
      <c r="P172" s="2399">
        <f>+'POWER DISTRIBUTION'!T25</f>
        <v>7841078.3333333544</v>
      </c>
      <c r="Q172" s="718">
        <f>+M172+O172</f>
        <v>27786103.81707567</v>
      </c>
      <c r="R172" s="718">
        <f>+N172+P172</f>
        <v>26497726.333333362</v>
      </c>
      <c r="S172" s="2399">
        <f>+'POWER DISTRIBUTION'!W25</f>
        <v>7621971.8838303965</v>
      </c>
      <c r="T172" s="2399">
        <f>+'POWER DISTRIBUTION'!X25</f>
        <v>6963410.9999999758</v>
      </c>
      <c r="U172" s="718">
        <f>+Q172+S172</f>
        <v>35408075.700906068</v>
      </c>
      <c r="V172" s="718">
        <f>+R172+T172</f>
        <v>33461137.333333336</v>
      </c>
      <c r="W172" s="2399">
        <f>+'POWER DISTRIBUTION'!AA25</f>
        <v>4568265.843085452</v>
      </c>
      <c r="X172" s="2399">
        <f>+'POWER DISTRIBUTION'!AB25</f>
        <v>7182929.0000000158</v>
      </c>
      <c r="Y172" s="717">
        <f>O172+S172+W172</f>
        <v>19812209.610746246</v>
      </c>
      <c r="Z172" s="488">
        <f>P172+T172+X172</f>
        <v>21987418.333333347</v>
      </c>
      <c r="AA172" s="2094">
        <f>M172+Y172</f>
        <v>39976341.543991521</v>
      </c>
      <c r="AB172" s="429">
        <f>N172+Z172</f>
        <v>40644066.333333358</v>
      </c>
      <c r="AC172" s="2399">
        <f>+'POWER DISTRIBUTION'!AG25</f>
        <v>7362131.9332452696</v>
      </c>
      <c r="AD172" s="2399">
        <f>+'POWER DISTRIBUTION'!AH25</f>
        <v>5547879.3333333228</v>
      </c>
      <c r="AE172" s="718">
        <f>+AA172+AC172</f>
        <v>47338473.477236792</v>
      </c>
      <c r="AF172" s="718">
        <f>+AB172+AD172</f>
        <v>46191945.666666679</v>
      </c>
      <c r="AG172" s="2399">
        <f>+'POWER DISTRIBUTION'!AK25</f>
        <v>7362131.9332452696</v>
      </c>
      <c r="AH172" s="2399">
        <f>+'POWER DISTRIBUTION'!AL25</f>
        <v>6512563.6666666623</v>
      </c>
      <c r="AI172" s="718">
        <f>+AE172+AG172</f>
        <v>54700605.410482064</v>
      </c>
      <c r="AJ172" s="718">
        <f>+AF172+AH172</f>
        <v>52704509.333333343</v>
      </c>
      <c r="AK172" s="2399">
        <f>+'POWER DISTRIBUTION'!AO25</f>
        <v>7621971.8838303965</v>
      </c>
      <c r="AL172" s="2399">
        <f>+'POWER DISTRIBUTION'!AP25</f>
        <v>7109740.333333334</v>
      </c>
      <c r="AM172" s="717">
        <f>AC172+AG172+AK172</f>
        <v>22346235.750320934</v>
      </c>
      <c r="AN172" s="488">
        <f>AD172+AH172+AL172</f>
        <v>19170183.333333321</v>
      </c>
      <c r="AO172" s="718">
        <f t="shared" ref="AO172:AP172" si="102">AI172+AK172</f>
        <v>62322577.294312462</v>
      </c>
      <c r="AP172" s="718">
        <f t="shared" si="102"/>
        <v>59814249.666666679</v>
      </c>
      <c r="AQ172" s="2399">
        <f>+'POWER DISTRIBUTION'!AU25</f>
        <v>7708585.2006921051</v>
      </c>
      <c r="AR172" s="2399">
        <f>+'POWER DISTRIBUTION'!AV25</f>
        <v>7408421.3333333433</v>
      </c>
      <c r="AS172" s="718">
        <f>+AO172+AQ172</f>
        <v>70031162.495004565</v>
      </c>
      <c r="AT172" s="718">
        <f>+AP172+AR172</f>
        <v>67222671.00000003</v>
      </c>
      <c r="AU172" s="2399">
        <f>+'POWER DISTRIBUTION'!AY25</f>
        <v>6929065.3489367226</v>
      </c>
      <c r="AV172" s="2399">
        <f>+'POWER DISTRIBUTION'!AZ25</f>
        <v>6514605.0000000028</v>
      </c>
      <c r="AW172" s="718">
        <f>+AS172+AU172</f>
        <v>76960227.843941286</v>
      </c>
      <c r="AX172" s="718">
        <f>+AT172+AV172</f>
        <v>73737276.00000003</v>
      </c>
      <c r="AY172" s="2399">
        <f>+'POWER DISTRIBUTION'!BC25</f>
        <v>7708585.2006921051</v>
      </c>
      <c r="AZ172" s="2399">
        <f>+'POWER DISTRIBUTION'!BD25</f>
        <v>7028978.3333333144</v>
      </c>
      <c r="BA172" s="717">
        <f>AQ172+AU172+AY172</f>
        <v>22346235.750320934</v>
      </c>
      <c r="BB172" s="488">
        <f>AR172+AV172+AZ172</f>
        <v>20952004.66666666</v>
      </c>
      <c r="BC172" s="429">
        <f>AM172+BA172</f>
        <v>44692471.500641868</v>
      </c>
      <c r="BD172" s="429">
        <f>AN172+BB172</f>
        <v>40122187.999999985</v>
      </c>
      <c r="BE172" s="718">
        <f>+AW172+AY172</f>
        <v>84668813.044633389</v>
      </c>
      <c r="BF172" s="718">
        <f>+AX172+AZ172</f>
        <v>80766254.333333343</v>
      </c>
      <c r="BG172" s="1111"/>
      <c r="BH172" s="3464"/>
      <c r="BI172" s="23"/>
      <c r="BJ172" s="23"/>
      <c r="BK172" s="23"/>
      <c r="BL172" s="23"/>
    </row>
    <row r="173" spans="1:64" x14ac:dyDescent="0.3">
      <c r="B173" s="9" t="s">
        <v>305</v>
      </c>
      <c r="C173" s="795"/>
      <c r="D173" s="2589" t="s">
        <v>1939</v>
      </c>
      <c r="E173" s="2580">
        <f t="shared" ref="E173:F173" si="103">+E172/E159</f>
        <v>173</v>
      </c>
      <c r="F173" s="2580">
        <f t="shared" si="103"/>
        <v>178.22413502516105</v>
      </c>
      <c r="G173" s="2580">
        <f t="shared" ref="G173:H173" si="104">+G172/G159</f>
        <v>173</v>
      </c>
      <c r="H173" s="2580">
        <f t="shared" si="104"/>
        <v>201.27504206749842</v>
      </c>
      <c r="I173" s="2817">
        <f>+I172/I159</f>
        <v>173</v>
      </c>
      <c r="J173" s="2817">
        <f>+J172/J159</f>
        <v>186.09212400521568</v>
      </c>
      <c r="K173" s="2583">
        <f t="shared" ref="K173:L173" si="105">+K172/K159</f>
        <v>173.2266337234181</v>
      </c>
      <c r="L173" s="2583">
        <f t="shared" si="105"/>
        <v>180.78318819611556</v>
      </c>
      <c r="M173" s="2583">
        <f t="shared" ref="M173:BF173" si="106">+M172/M159</f>
        <v>173.08267753858601</v>
      </c>
      <c r="N173" s="2583">
        <f t="shared" si="106"/>
        <v>184.56788663952403</v>
      </c>
      <c r="O173" s="2583">
        <f t="shared" si="106"/>
        <v>173.2266337234181</v>
      </c>
      <c r="P173" s="2583">
        <f t="shared" si="106"/>
        <v>166.60494207520745</v>
      </c>
      <c r="Q173" s="2583">
        <f t="shared" si="106"/>
        <v>173.12214216246522</v>
      </c>
      <c r="R173" s="2583">
        <f t="shared" si="106"/>
        <v>178.86134075390359</v>
      </c>
      <c r="S173" s="2583">
        <f t="shared" ref="S173:T173" si="107">+S172/S159</f>
        <v>173.2266337234181</v>
      </c>
      <c r="T173" s="2583">
        <f t="shared" si="107"/>
        <v>179.84782409374301</v>
      </c>
      <c r="U173" s="2583">
        <f t="shared" si="106"/>
        <v>173.1446244543084</v>
      </c>
      <c r="V173" s="2583">
        <f t="shared" si="106"/>
        <v>179.06573958076353</v>
      </c>
      <c r="W173" s="2583">
        <f t="shared" si="106"/>
        <v>182.73063372341807</v>
      </c>
      <c r="X173" s="2583">
        <f t="shared" si="106"/>
        <v>175.16711517662628</v>
      </c>
      <c r="Y173" s="2583">
        <f t="shared" si="106"/>
        <v>175.32928859067474</v>
      </c>
      <c r="Z173" s="2583">
        <f t="shared" si="106"/>
        <v>173.41821754461242</v>
      </c>
      <c r="AA173" s="2583">
        <f t="shared" si="106"/>
        <v>174.18885204353603</v>
      </c>
      <c r="AB173" s="2583">
        <f t="shared" si="106"/>
        <v>178.36416982543156</v>
      </c>
      <c r="AC173" s="2583">
        <f t="shared" ref="AC173:AD173" si="108">+AC172/AC159</f>
        <v>173.2266337234181</v>
      </c>
      <c r="AD173" s="2583">
        <f t="shared" si="108"/>
        <v>184.71657918408374</v>
      </c>
      <c r="AE173" s="2583">
        <f t="shared" si="106"/>
        <v>174.03850543101763</v>
      </c>
      <c r="AF173" s="2583">
        <f t="shared" si="106"/>
        <v>179.10394286079134</v>
      </c>
      <c r="AG173" s="2583">
        <f t="shared" si="106"/>
        <v>173.2266337234181</v>
      </c>
      <c r="AH173" s="2583">
        <f t="shared" si="106"/>
        <v>188.14689518526794</v>
      </c>
      <c r="AI173" s="2583">
        <f t="shared" si="106"/>
        <v>173.92879303809877</v>
      </c>
      <c r="AJ173" s="2583">
        <f t="shared" si="106"/>
        <v>180.1740063060065</v>
      </c>
      <c r="AK173" s="2583">
        <f t="shared" ref="AK173:AL173" si="109">+AK172/AK159</f>
        <v>173.2266337234181</v>
      </c>
      <c r="AL173" s="2583">
        <f t="shared" si="109"/>
        <v>161.55802004286403</v>
      </c>
      <c r="AM173" s="797">
        <f t="shared" si="106"/>
        <v>173.2266337234181</v>
      </c>
      <c r="AN173" s="797">
        <f t="shared" si="106"/>
        <v>176.42980478632194</v>
      </c>
      <c r="AO173" s="796">
        <f t="shared" si="106"/>
        <v>173.84261448901663</v>
      </c>
      <c r="AP173" s="796">
        <f t="shared" si="106"/>
        <v>177.73961248524392</v>
      </c>
      <c r="AQ173" s="2580">
        <f t="shared" si="106"/>
        <v>173.2266337234181</v>
      </c>
      <c r="AR173" s="2580">
        <f t="shared" si="106"/>
        <v>166.14703071310072</v>
      </c>
      <c r="AS173" s="796">
        <f t="shared" si="106"/>
        <v>173.77459676179794</v>
      </c>
      <c r="AT173" s="796">
        <f t="shared" si="106"/>
        <v>176.38331488536528</v>
      </c>
      <c r="AU173" s="2580">
        <f t="shared" ref="AU173:AV173" si="110">+AU172/AU159</f>
        <v>173.22663372341808</v>
      </c>
      <c r="AV173" s="2580">
        <f t="shared" si="110"/>
        <v>174.09094431691548</v>
      </c>
      <c r="AW173" s="796">
        <f t="shared" si="106"/>
        <v>173.72511928654919</v>
      </c>
      <c r="AX173" s="796">
        <f t="shared" si="106"/>
        <v>176.17835814770788</v>
      </c>
      <c r="AY173" s="2580">
        <f t="shared" si="106"/>
        <v>173.2266337234181</v>
      </c>
      <c r="AZ173" s="2580">
        <f t="shared" si="106"/>
        <v>150.53650255517312</v>
      </c>
      <c r="BA173" s="797">
        <f t="shared" si="106"/>
        <v>173.2266337234181</v>
      </c>
      <c r="BB173" s="797">
        <f t="shared" si="106"/>
        <v>162.79331785067072</v>
      </c>
      <c r="BC173" s="457">
        <f t="shared" si="106"/>
        <v>173.2266337234181</v>
      </c>
      <c r="BD173" s="457">
        <f t="shared" si="106"/>
        <v>169.03570431740064</v>
      </c>
      <c r="BE173" s="796">
        <f t="shared" si="106"/>
        <v>173.67961650181209</v>
      </c>
      <c r="BF173" s="796">
        <f t="shared" si="106"/>
        <v>173.60481381451419</v>
      </c>
      <c r="BG173" s="1111"/>
      <c r="BH173" s="3464"/>
      <c r="BI173" s="23"/>
      <c r="BJ173" s="23"/>
      <c r="BK173" s="23"/>
      <c r="BL173" s="23"/>
    </row>
    <row r="174" spans="1:64" ht="15" customHeight="1" x14ac:dyDescent="0.3">
      <c r="B174" s="9" t="s">
        <v>306</v>
      </c>
      <c r="C174" s="795"/>
      <c r="D174" s="2589" t="s">
        <v>298</v>
      </c>
      <c r="E174" s="2580">
        <f>EMD!D33/(EMD!D3*24)</f>
        <v>1.5005944365199282</v>
      </c>
      <c r="F174" s="2580">
        <f>EMD!E33/(EMD!E3*24)</f>
        <v>1.7099166666666668</v>
      </c>
      <c r="G174" s="2580">
        <f>EMD!F33/(EMD!F3*24)</f>
        <v>1.4729612288923097</v>
      </c>
      <c r="H174" s="2580">
        <f>EMD!G33/(EMD!G3*24)</f>
        <v>1.1297580645161289</v>
      </c>
      <c r="I174" s="796">
        <f t="shared" ref="I174:J177" si="111">+((E174*E$2)+(G174*G$2))/I$2</f>
        <v>1.4865513310042533</v>
      </c>
      <c r="J174" s="101">
        <f t="shared" si="111"/>
        <v>1.4150819672131147</v>
      </c>
      <c r="K174" s="2580">
        <f>EMD!J33/(EMD!J3*24)</f>
        <v>1.9335513199793837</v>
      </c>
      <c r="L174" s="2580">
        <f>EMD!K33/(EMD!K3*24)</f>
        <v>1.3309293574714225</v>
      </c>
      <c r="M174" s="797">
        <f t="shared" ref="M174:N177" si="112">+((E174*E$2)+(G174*G$2)+(K174*K$2))/M$2</f>
        <v>1.6339139647323184</v>
      </c>
      <c r="N174" s="797">
        <f t="shared" si="112"/>
        <v>1.3873393486169525</v>
      </c>
      <c r="O174" s="2580">
        <f>EMD!N33/(EMD!N3*24)</f>
        <v>1.9207397746704657</v>
      </c>
      <c r="P174" s="2580">
        <f>EMD!O33/(EMD!O3*24)</f>
        <v>1.2567683539183148</v>
      </c>
      <c r="Q174" s="796">
        <f t="shared" ref="Q174:R177" si="113">+((M174*M$2)+(O174*O$2))/Q$2</f>
        <v>1.7067959328313558</v>
      </c>
      <c r="R174" s="796">
        <f t="shared" si="113"/>
        <v>1.3541614729148395</v>
      </c>
      <c r="S174" s="2580">
        <f>EMD!R33/(EMD!R3*24)</f>
        <v>1.9207397746704657</v>
      </c>
      <c r="T174" s="2580">
        <f>EMD!S33/(EMD!S3*24)</f>
        <v>1.405185454312772</v>
      </c>
      <c r="U174" s="796">
        <f t="shared" ref="U174:U177" si="114">+((Q174*Q$2)+(S174*S$2))/U$2</f>
        <v>1.7501440315046395</v>
      </c>
      <c r="V174" s="796">
        <f t="shared" ref="V174:V177" si="115">+((R174*R$2)+(T174*T$2))/V$2</f>
        <v>1.3644996652242245</v>
      </c>
      <c r="W174" s="2580">
        <f>EMD!V33/(EMD!V3*24)</f>
        <v>1.4547986462537776</v>
      </c>
      <c r="X174" s="2580">
        <f>EMD!W33/(EMD!W3*24)</f>
        <v>1.1269722222222223</v>
      </c>
      <c r="Y174" s="797">
        <f t="shared" ref="Y174:Z177" si="116">+((O174*O$2)+(S174*S$2)+(W174*W$2))/Y$2</f>
        <v>1.7688024501867632</v>
      </c>
      <c r="Z174" s="797">
        <f t="shared" si="116"/>
        <v>1.2644536382807647</v>
      </c>
      <c r="AA174" s="457">
        <f t="shared" ref="AA174:AB177" si="117">+((M174*M$2)+(Y174*Y$2))/AA$2</f>
        <v>1.7017267552340065</v>
      </c>
      <c r="AB174" s="457">
        <f t="shared" si="117"/>
        <v>1.3255607401419292</v>
      </c>
      <c r="AC174" s="2580">
        <f>EMD!AB33/(EMD!AB3*24)</f>
        <v>1.8450190830861386</v>
      </c>
      <c r="AD174" s="2580">
        <f>EMD!AC33/(EMD!AC3*24)</f>
        <v>0.92581989247311824</v>
      </c>
      <c r="AE174" s="796">
        <f t="shared" ref="AE174:AE177" si="118">+((AA174*AA$2)+(AC174*AC$2))/AE$2</f>
        <v>1.7224840550630536</v>
      </c>
      <c r="AF174" s="729">
        <f t="shared" ref="AF174:AF177" si="119">+((AB174*AB$2)+(AD174*AD$2))/AF$2</f>
        <v>1.2676543556665407</v>
      </c>
      <c r="AG174" s="2580">
        <f>EMD!AF33/(EMD!AF3*24)</f>
        <v>1.8882187984805543</v>
      </c>
      <c r="AH174" s="2580">
        <f>EMD!AG33/(EMD!AG3*24)</f>
        <v>1.1040555555555556</v>
      </c>
      <c r="AI174" s="796">
        <f t="shared" ref="AI174:AI177" si="120">+((AE174*AE$2)+(AG174*AG$2))/AI$2</f>
        <v>1.7428612776143857</v>
      </c>
      <c r="AJ174" s="796">
        <f t="shared" ref="AJ174:AJ177" si="121">+((AF174*AF$2)+(AH174*AH$2))/AJ$2</f>
        <v>1.247539749095518</v>
      </c>
      <c r="AK174" s="2580">
        <f>EMD!AJ33/(EMD!AJ3*24)</f>
        <v>1.8916885124402647</v>
      </c>
      <c r="AL174" s="2580">
        <f>EMD!AK33/(EMD!AK3*24)</f>
        <v>1.0872888841477035</v>
      </c>
      <c r="AM174" s="797">
        <f t="shared" ref="AM174:AM177" si="122">+((AC174*AC$2)+(AG174*AG$2)+(AK174*AK$2))/AM$2</f>
        <v>1.8748315153884252</v>
      </c>
      <c r="AN174" s="797">
        <f t="shared" ref="AN174:AN177" si="123">+((AD174*AD$2)+(AH174*AH$2)+(AL174*AL$2))/AN$2</f>
        <v>1.0383482471946974</v>
      </c>
      <c r="AO174" s="796">
        <f t="shared" ref="AO174:AP177" si="124">+((AK174*AK$2)+(AI174*AI$2))/AO$2</f>
        <v>1.7596381659038485</v>
      </c>
      <c r="AP174" s="796">
        <f t="shared" si="124"/>
        <v>1.2294751061377642</v>
      </c>
      <c r="AQ174" s="2580">
        <f>EMD!AP33/(EMD!AP3*24)</f>
        <v>1.9089544816377637</v>
      </c>
      <c r="AR174" s="2580">
        <f>EMD!AQ33/(EMD!AQ3*24)</f>
        <v>0.85815860215053763</v>
      </c>
      <c r="AS174" s="796">
        <f t="shared" ref="AS174:AS177" si="125">+((AO174*AO$2)+(AQ174*AQ$2))/AS$2</f>
        <v>1.7747649822036897</v>
      </c>
      <c r="AT174" s="796">
        <f t="shared" ref="AT174:AT177" si="126">+((AP174*AP$2)+(AR174*AR$2))/AT$2</f>
        <v>1.1918580746880778</v>
      </c>
      <c r="AU174" s="2580">
        <f>EMD!AT33/(EMD!AT3*24)</f>
        <v>1.8600982761927081</v>
      </c>
      <c r="AV174" s="2580">
        <f>EMD!AU33/(EMD!AU3*24)</f>
        <v>1.0811160714285715</v>
      </c>
      <c r="AW174" s="796">
        <f t="shared" ref="AW174:AW177" si="127">+((AS174*AS$2)+(AU174*AU$2))/AW$2</f>
        <v>1.7819186715201345</v>
      </c>
      <c r="AX174" s="796">
        <f t="shared" ref="AX174:AX177" si="128">+((AT174*AT$2)+(AV174*AV$2))/AX$2</f>
        <v>1.1825743139357838</v>
      </c>
      <c r="AY174" s="2580">
        <f>EMD!AX33/(EMD!AX3*24)</f>
        <v>1.9003789755225988</v>
      </c>
      <c r="AZ174" s="2580">
        <f>EMD!AY33/(EMD!AY3*24)</f>
        <v>1.4538575268817204</v>
      </c>
      <c r="BA174" s="797">
        <f t="shared" ref="BA174:BA177" si="129">+((AQ174*AQ$2)+(AU174*AU$2)+(AY174*AY$2))/BA$2</f>
        <v>1.8908009878374119</v>
      </c>
      <c r="BB174" s="797">
        <f t="shared" ref="BB174:BB177" si="130">+((AR174*AR$2)+(AV174*AV$2)+(AZ174*AZ$2))/BB$2</f>
        <v>1.1327083333333332</v>
      </c>
      <c r="BC174" s="457">
        <f t="shared" ref="BC174:BD177" si="131">+((AM174*AM$2)+(BA174*BA$2))/BC$2</f>
        <v>0.9387851734824717</v>
      </c>
      <c r="BD174" s="457">
        <f t="shared" si="131"/>
        <v>0.54101859929291007</v>
      </c>
      <c r="BE174" s="796">
        <f t="shared" ref="BE174:BE177" si="132">+((AW174*AW$2)+(AY174*AY$2))/BE$2</f>
        <v>1.7919796836408919</v>
      </c>
      <c r="BF174" s="796">
        <f t="shared" ref="BF174:BF177" si="133">+((AX174*AX$2)+(AZ174*AZ$2))/BF$2</f>
        <v>1.205614805994206</v>
      </c>
      <c r="BG174" s="1111"/>
      <c r="BH174" s="3464"/>
      <c r="BI174" s="23"/>
      <c r="BJ174" s="23"/>
      <c r="BK174" s="23"/>
      <c r="BL174" s="23"/>
    </row>
    <row r="175" spans="1:64" x14ac:dyDescent="0.3">
      <c r="B175" s="9" t="s">
        <v>307</v>
      </c>
      <c r="C175" s="795"/>
      <c r="D175" s="2589" t="s">
        <v>298</v>
      </c>
      <c r="E175" s="2581">
        <f>+EMD!D63/(EMD!D3*24)</f>
        <v>3.5166955553846275</v>
      </c>
      <c r="F175" s="2581">
        <f>+EMD!E63/(EMD!E3*24)</f>
        <v>2.6935277777777777</v>
      </c>
      <c r="G175" s="2581">
        <f>+EMD!F63/(EMD!F3*24)</f>
        <v>3.5065741745719414</v>
      </c>
      <c r="H175" s="2581">
        <f>+EMD!G63/(EMD!G3*24)</f>
        <v>1.3653629032258066</v>
      </c>
      <c r="I175" s="729">
        <f t="shared" si="111"/>
        <v>3.5115519028404756</v>
      </c>
      <c r="J175" s="2592">
        <f t="shared" si="111"/>
        <v>2.018558743169399</v>
      </c>
      <c r="K175" s="2581">
        <f>+EMD!J63/(EMD!J3*24)</f>
        <v>3.479479735798662</v>
      </c>
      <c r="L175" s="2581">
        <f>+EMD!K63/(EMD!K3*24)</f>
        <v>2.6376570524887413</v>
      </c>
      <c r="M175" s="797">
        <f t="shared" si="112"/>
        <v>3.5009786609585589</v>
      </c>
      <c r="N175" s="797">
        <f t="shared" si="112"/>
        <v>2.2226570869010502</v>
      </c>
      <c r="O175" s="2581">
        <f>+EMD!N63/(EMD!N3*24)</f>
        <v>3.4992227469083605</v>
      </c>
      <c r="P175" s="2581">
        <f>+EMD!O63/(EMD!O3*24)</f>
        <v>3.1067939169250067</v>
      </c>
      <c r="Q175" s="796">
        <f t="shared" si="113"/>
        <v>3.5005324860769513</v>
      </c>
      <c r="R175" s="796">
        <f t="shared" si="113"/>
        <v>2.4473148060054979</v>
      </c>
      <c r="S175" s="2581">
        <f>+EMD!R63/(EMD!R3*24)</f>
        <v>3.4992227469083605</v>
      </c>
      <c r="T175" s="2581">
        <f>+EMD!S63/(EMD!S3*24)</f>
        <v>2.6059588568210632</v>
      </c>
      <c r="U175" s="796">
        <f t="shared" si="114"/>
        <v>3.5002671140885435</v>
      </c>
      <c r="V175" s="796">
        <f t="shared" si="115"/>
        <v>2.4794583718570178</v>
      </c>
      <c r="W175" s="2581">
        <f>+EMD!V63/(EMD!V3*24)</f>
        <v>2.182304680369167</v>
      </c>
      <c r="X175" s="2581">
        <f>+EMD!W63/(EMD!W3*24)</f>
        <v>2.6039861111111109</v>
      </c>
      <c r="Y175" s="797">
        <f t="shared" si="116"/>
        <v>3.0697929426021018</v>
      </c>
      <c r="Z175" s="797">
        <f t="shared" si="116"/>
        <v>2.7740752099941468</v>
      </c>
      <c r="AA175" s="457">
        <f t="shared" si="117"/>
        <v>3.2842076987247117</v>
      </c>
      <c r="AB175" s="457">
        <f t="shared" si="117"/>
        <v>2.4998727553412956</v>
      </c>
      <c r="AC175" s="2581">
        <f>+EMD!AB63/(EMD!AB3*24)</f>
        <v>3.3880965642394716</v>
      </c>
      <c r="AD175" s="2581">
        <f>+EMD!AC63/(EMD!AC3*24)</f>
        <v>2.5493010752688172</v>
      </c>
      <c r="AE175" s="796">
        <f t="shared" si="118"/>
        <v>3.2992570203647</v>
      </c>
      <c r="AF175" s="729">
        <f t="shared" si="119"/>
        <v>2.5070329325270579</v>
      </c>
      <c r="AG175" s="2581">
        <f>+EMD!AF63/(EMD!AF3*24)</f>
        <v>4.0200505897834153</v>
      </c>
      <c r="AH175" s="2581">
        <f>+EMD!AG63/(EMD!AG3*24)</f>
        <v>1.7605138888888887</v>
      </c>
      <c r="AI175" s="796">
        <f t="shared" si="120"/>
        <v>3.3878791805391324</v>
      </c>
      <c r="AJ175" s="796">
        <f t="shared" si="121"/>
        <v>2.4152478042108898</v>
      </c>
      <c r="AK175" s="2581">
        <f>+EMD!AJ63/(EMD!AJ3*24)</f>
        <v>4.027738810811182</v>
      </c>
      <c r="AL175" s="2581">
        <f>+EMD!AK63/(EMD!AK3*24)</f>
        <v>2.4913152399890297</v>
      </c>
      <c r="AM175" s="797">
        <f t="shared" si="122"/>
        <v>3.8097001556529646</v>
      </c>
      <c r="AN175" s="797">
        <f t="shared" si="123"/>
        <v>2.2725491569528251</v>
      </c>
      <c r="AO175" s="796">
        <f t="shared" si="124"/>
        <v>3.4600088115879815</v>
      </c>
      <c r="AP175" s="796">
        <f t="shared" si="124"/>
        <v>2.423822678789517</v>
      </c>
      <c r="AQ175" s="2581">
        <f>+EMD!AP63/(EMD!AP3*24)</f>
        <v>4.0757515621838003</v>
      </c>
      <c r="AR175" s="2581">
        <f>+EMD!AQ63/(EMD!AQ3*24)</f>
        <v>2.8580376344086025</v>
      </c>
      <c r="AS175" s="796">
        <f t="shared" si="125"/>
        <v>3.5223879791320027</v>
      </c>
      <c r="AT175" s="796">
        <f t="shared" si="126"/>
        <v>2.4678117756006004</v>
      </c>
      <c r="AU175" s="2581">
        <f>+EMD!AT63/(EMD!AT3*24)</f>
        <v>4.0771547676092581</v>
      </c>
      <c r="AV175" s="2581">
        <f>+EMD!AU63/(EMD!AU3*24)</f>
        <v>2.2833630952380952</v>
      </c>
      <c r="AW175" s="796">
        <f t="shared" si="127"/>
        <v>3.5688953745732093</v>
      </c>
      <c r="AX175" s="796">
        <f t="shared" si="128"/>
        <v>2.4523490119773963</v>
      </c>
      <c r="AY175" s="2581">
        <f>+EMD!AX63/(EMD!AX3*24)</f>
        <v>3.5726243395610178</v>
      </c>
      <c r="AZ175" s="2581">
        <f>+EMD!AY63/(EMD!AY3*24)</f>
        <v>2.2599865591397852</v>
      </c>
      <c r="BA175" s="797">
        <f t="shared" si="129"/>
        <v>3.9028887383016513</v>
      </c>
      <c r="BB175" s="797">
        <f t="shared" si="130"/>
        <v>2.4732546296296301</v>
      </c>
      <c r="BC175" s="457">
        <f t="shared" si="131"/>
        <v>1.9226093171704695</v>
      </c>
      <c r="BD175" s="457">
        <f t="shared" si="131"/>
        <v>1.1826505180995248</v>
      </c>
      <c r="BE175" s="796">
        <f t="shared" si="132"/>
        <v>3.5692120811886126</v>
      </c>
      <c r="BF175" s="796">
        <f t="shared" si="133"/>
        <v>2.4360113789966675</v>
      </c>
      <c r="BG175" s="1111"/>
      <c r="BH175" s="3464"/>
      <c r="BI175" s="23"/>
      <c r="BJ175" s="23"/>
      <c r="BK175" s="23"/>
      <c r="BL175" s="23"/>
    </row>
    <row r="176" spans="1:64" x14ac:dyDescent="0.3">
      <c r="B176" s="9" t="s">
        <v>1831</v>
      </c>
      <c r="C176" s="795"/>
      <c r="D176" s="2589" t="s">
        <v>298</v>
      </c>
      <c r="E176" s="2581">
        <f>+EMD!D89/(EMD!D3*24)</f>
        <v>0</v>
      </c>
      <c r="F176" s="2581">
        <f>+EMD!E89/(EMD!E3*24)</f>
        <v>2.3725000000000001</v>
      </c>
      <c r="G176" s="2581">
        <f>+EMD!F89/(EMD!F3*24)</f>
        <v>0</v>
      </c>
      <c r="H176" s="2581">
        <f>+EMD!G89/(EMD!G3*24)</f>
        <v>0.1836021505376344</v>
      </c>
      <c r="I176" s="729">
        <f t="shared" ref="I176" si="134">+((E176*E$2)+(G176*G$2))/I$2</f>
        <v>0</v>
      </c>
      <c r="J176" s="2592">
        <f t="shared" ref="J176" si="135">+((F176*F$2)+(H176*H$2))/J$2</f>
        <v>1.2601092896174861</v>
      </c>
      <c r="K176" s="2581">
        <f>+EMD!J89/(EMD!J3*24)</f>
        <v>0.59800556288022189</v>
      </c>
      <c r="L176" s="2581">
        <f>+EMD!K89/(EMD!K3*24)</f>
        <v>2.4254374067712718</v>
      </c>
      <c r="M176" s="797">
        <f t="shared" ref="M176" si="136">+((E176*E$2)+(G176*G$2)+(K176*K$2))/M$2</f>
        <v>0.19714469105941382</v>
      </c>
      <c r="N176" s="797">
        <f t="shared" ref="N176" si="137">+((F176*F$2)+(H176*H$2)+(L176*L$2))/N$2</f>
        <v>1.6442833941736794</v>
      </c>
      <c r="O176" s="2581">
        <f>+EMD!N89/(EMD!N3*24)</f>
        <v>0.59404322927952558</v>
      </c>
      <c r="P176" s="2581">
        <f>+EMD!O89/(EMD!O3*24)</f>
        <v>2.323436725450891</v>
      </c>
      <c r="Q176" s="796">
        <f t="shared" ref="Q176" si="138">+((M176*M$2)+(O176*O$2))/Q$2</f>
        <v>0.2979959589678029</v>
      </c>
      <c r="R176" s="796">
        <f t="shared" ref="R176" si="139">+((N176*N$2)+(P176*P$2))/R$2</f>
        <v>1.816855142285102</v>
      </c>
      <c r="S176" s="2581">
        <f>+EMD!R89/(EMD!R3*24)</f>
        <v>0.59404322927952558</v>
      </c>
      <c r="T176" s="2581">
        <f>+EMD!S89/(EMD!S3*24)</f>
        <v>2.1189367707552327</v>
      </c>
      <c r="U176" s="796">
        <f t="shared" ref="U176" si="140">+((Q176*Q$2)+(S176*S$2))/U$2</f>
        <v>0.35797939282181207</v>
      </c>
      <c r="V176" s="796">
        <f t="shared" ref="V176" si="141">+((R176*R$2)+(T176*T$2))/V$2</f>
        <v>1.8780612238705532</v>
      </c>
      <c r="W176" s="2581">
        <f>+EMD!V89/(EMD!V3*24)</f>
        <v>0</v>
      </c>
      <c r="X176" s="2581">
        <f>+EMD!W89/(EMD!W3*24)</f>
        <v>2.8788888888888891</v>
      </c>
      <c r="Y176" s="797">
        <f t="shared" ref="Y176" si="142">+((O176*O$2)+(S176*S$2)+(W176*W$2))/Y$2</f>
        <v>0.40033348060141943</v>
      </c>
      <c r="Z176" s="797">
        <f t="shared" ref="Z176" si="143">+((P176*P$2)+(T176*T$2)+(X176*X$2))/Z$2</f>
        <v>2.4356548374897447</v>
      </c>
      <c r="AA176" s="457">
        <f t="shared" ref="AA176" si="144">+((M176*M$2)+(Y176*Y$2))/AA$2</f>
        <v>0.29929424645758057</v>
      </c>
      <c r="AB176" s="457">
        <f t="shared" ref="AB176" si="145">+((N176*N$2)+(Z176*Z$2))/AB$2</f>
        <v>2.0421313328899524</v>
      </c>
      <c r="AC176" s="2581">
        <f>+EMD!AB89/(EMD!AB3*24)</f>
        <v>0.57062445868643474</v>
      </c>
      <c r="AD176" s="2581">
        <f>+EMD!AC89/(EMD!AC3*24)</f>
        <v>1.9443548387096774</v>
      </c>
      <c r="AE176" s="796">
        <f t="shared" ref="AE176" si="146">+((AA176*AA$2)+(AC176*AC$2))/AE$2</f>
        <v>0.33859909028512492</v>
      </c>
      <c r="AF176" s="729">
        <f t="shared" ref="AF176" si="147">+((AB176*AB$2)+(AD176*AD$2))/AF$2</f>
        <v>2.0279674482189778</v>
      </c>
      <c r="AG176" s="2581">
        <f>+EMD!AF89/(EMD!AF3*24)</f>
        <v>0</v>
      </c>
      <c r="AH176" s="2581">
        <f>+EMD!AG89/(EMD!AG3*24)</f>
        <v>3.6506944444444445</v>
      </c>
      <c r="AI176" s="796">
        <f t="shared" ref="AI176" si="148">+((AE176*AE$2)+(AG176*AG$2))/AI$2</f>
        <v>0.29696805459433084</v>
      </c>
      <c r="AJ176" s="796">
        <f t="shared" ref="AJ176" si="149">+((AF176*AF$2)+(AH176*AH$2))/AJ$2</f>
        <v>2.2274830625089939</v>
      </c>
      <c r="AK176" s="2581">
        <f>+EMD!AJ89/(EMD!AJ3*24)</f>
        <v>0</v>
      </c>
      <c r="AL176" s="2581">
        <f>+EMD!AK89/(EMD!AK3*24)</f>
        <v>4.2466146598951884</v>
      </c>
      <c r="AM176" s="797">
        <f t="shared" ref="AM176" si="150">+((AC176*AC$2)+(AG176*AG$2)+(AK176*AK$2))/AM$2</f>
        <v>0.19227563281825519</v>
      </c>
      <c r="AN176" s="797">
        <f t="shared" ref="AN176" si="151">+((AD176*AD$2)+(AH176*AH$2)+(AL176*AL$2))/AN$2</f>
        <v>3.276531389022654</v>
      </c>
      <c r="AO176" s="796">
        <f t="shared" ref="AO176" si="152">+((AK176*AK$2)+(AI176*AI$2))/AO$2</f>
        <v>0.2634916557127881</v>
      </c>
      <c r="AP176" s="796">
        <f t="shared" ref="AP176" si="153">+((AL176*AL$2)+(AJ176*AJ$2))/AP$2</f>
        <v>2.4550942607598012</v>
      </c>
      <c r="AQ176" s="2581">
        <f>+EMD!AP89/(EMD!AP3*24)</f>
        <v>0</v>
      </c>
      <c r="AR176" s="2581">
        <f>+EMD!AQ89/(EMD!AQ3*24)</f>
        <v>3.9899193548387095</v>
      </c>
      <c r="AS176" s="796">
        <f t="shared" ref="AS176" si="154">+((AO176*AO$2)+(AQ176*AQ$2))/AS$2</f>
        <v>0.23679805660462983</v>
      </c>
      <c r="AT176" s="796">
        <f t="shared" ref="AT176" si="155">+((AP176*AP$2)+(AR176*AR$2))/AT$2</f>
        <v>2.6105830774802135</v>
      </c>
      <c r="AU176" s="2581">
        <f>+EMD!AT89/(EMD!AT3*24)</f>
        <v>0</v>
      </c>
      <c r="AV176" s="2581">
        <f>+EMD!AU89/(EMD!AU3*24)</f>
        <v>3.3541666666666665</v>
      </c>
      <c r="AW176" s="796">
        <f t="shared" si="127"/>
        <v>0.21694672251801417</v>
      </c>
      <c r="AX176" s="796">
        <f t="shared" si="128"/>
        <v>2.6729194262742872</v>
      </c>
      <c r="AY176" s="2581">
        <f>+EMD!AX89/(EMD!AX3*24)</f>
        <v>0.58774607490389652</v>
      </c>
      <c r="AZ176" s="2581">
        <f>+EMD!AY89/(EMD!AY3*24)</f>
        <v>3.3706989247311832</v>
      </c>
      <c r="BA176" s="797">
        <f>+EMD!AZ89/(EMD!AZ3*24)</f>
        <v>0.20244587024467545</v>
      </c>
      <c r="BB176" s="797">
        <f>+EMD!BA89/(EMD!BA3*24)</f>
        <v>3.5788425925925926</v>
      </c>
      <c r="BC176" s="457">
        <f>+EMD!BB89/(EMD!BB3*24)</f>
        <v>0.19730487110604542</v>
      </c>
      <c r="BD176" s="457">
        <f>+EMD!BC89/(EMD!BC3*24)</f>
        <v>3.4260259402385573</v>
      </c>
      <c r="BE176" s="796">
        <f>+EMD!BD89/(EMD!BD3*24)</f>
        <v>0.24843927025489732</v>
      </c>
      <c r="BF176" s="796">
        <f>+EMD!BE89/(EMD!BE3*24)</f>
        <v>2.7321828905267909</v>
      </c>
      <c r="BG176" s="1111"/>
      <c r="BH176" s="3464"/>
      <c r="BI176" s="23"/>
      <c r="BJ176" s="23"/>
      <c r="BK176" s="23"/>
      <c r="BL176" s="23"/>
    </row>
    <row r="177" spans="2:64" x14ac:dyDescent="0.3">
      <c r="B177" s="9" t="s">
        <v>591</v>
      </c>
      <c r="C177" s="795"/>
      <c r="D177" s="2589" t="s">
        <v>298</v>
      </c>
      <c r="E177" s="2581">
        <f>+EMD!D102/(EMD!D3*24)</f>
        <v>0.72170371878727135</v>
      </c>
      <c r="F177" s="2581">
        <f>+EMD!E102/(EMD!E3*24)</f>
        <v>0.70295972222222214</v>
      </c>
      <c r="G177" s="2581">
        <f>+EMD!F102/(EMD!F3*24)</f>
        <v>0.72649015953027052</v>
      </c>
      <c r="H177" s="2581">
        <f>+EMD!G102/(EMD!G3*24)</f>
        <v>0.66003360215053763</v>
      </c>
      <c r="I177" s="729">
        <f t="shared" si="111"/>
        <v>0.72413617227961513</v>
      </c>
      <c r="J177" s="2592">
        <f t="shared" si="111"/>
        <v>0.68114480874316941</v>
      </c>
      <c r="K177" s="2581">
        <f>+EMD!J102/(EMD!J3*24)</f>
        <v>0.67135331844865054</v>
      </c>
      <c r="L177" s="2581">
        <f>+EMD!K102/(EMD!K3*24)</f>
        <v>0.85493005304187475</v>
      </c>
      <c r="M177" s="797">
        <f t="shared" si="112"/>
        <v>0.7067352314562203</v>
      </c>
      <c r="N177" s="797">
        <f t="shared" si="112"/>
        <v>0.73843664752296245</v>
      </c>
      <c r="O177" s="2581">
        <f>+EMD!N102/(EMD!N3*24)</f>
        <v>0.68106424305522151</v>
      </c>
      <c r="P177" s="2581">
        <f>+EMD!O102/(EMD!O3*24)</f>
        <v>0.97368846012228227</v>
      </c>
      <c r="Q177" s="796">
        <f t="shared" si="113"/>
        <v>0.70021227538711406</v>
      </c>
      <c r="R177" s="796">
        <f t="shared" si="113"/>
        <v>0.79821374744574047</v>
      </c>
      <c r="S177" s="2581">
        <f>+EMD!R102/(EMD!R3*24)</f>
        <v>0.68106424305522151</v>
      </c>
      <c r="T177" s="2581">
        <f>+EMD!S102/(EMD!S3*24)</f>
        <v>0.80047997584738484</v>
      </c>
      <c r="U177" s="796">
        <f t="shared" si="114"/>
        <v>0.69633260870548874</v>
      </c>
      <c r="V177" s="796">
        <f t="shared" si="115"/>
        <v>0.79867291790620443</v>
      </c>
      <c r="W177" s="2581">
        <f>+EMD!V102/(EMD!V3*24)</f>
        <v>0.29371428343994865</v>
      </c>
      <c r="X177" s="2581">
        <f>+EMD!W102/(EMD!W3*24)</f>
        <v>0.91180277777777785</v>
      </c>
      <c r="Y177" s="797">
        <f t="shared" si="116"/>
        <v>0.5547544736154586</v>
      </c>
      <c r="Z177" s="797">
        <f t="shared" si="116"/>
        <v>0.89514461791731537</v>
      </c>
      <c r="AA177" s="457">
        <f t="shared" si="117"/>
        <v>0.63032960456359699</v>
      </c>
      <c r="AB177" s="457">
        <f t="shared" si="117"/>
        <v>0.81721879657367535</v>
      </c>
      <c r="AC177" s="2581">
        <f>+EMD!AB102/(EMD!AB3*24)</f>
        <v>0.66308886538174683</v>
      </c>
      <c r="AD177" s="2581">
        <f>+EMD!AC102/(EMD!AC3*24)</f>
        <v>0.84421774193548382</v>
      </c>
      <c r="AE177" s="729">
        <f t="shared" si="118"/>
        <v>0.63507510496248787</v>
      </c>
      <c r="AF177" s="796">
        <f t="shared" si="119"/>
        <v>0.82112985875225508</v>
      </c>
      <c r="AG177" s="2581">
        <f>+EMD!AF102/(EMD!AF3*24)</f>
        <v>0.77412054884294812</v>
      </c>
      <c r="AH177" s="2581">
        <f>+EMD!AG102/(EMD!AG3*24)</f>
        <v>0.91503055555555557</v>
      </c>
      <c r="AI177" s="729">
        <f t="shared" si="120"/>
        <v>0.65217085625926574</v>
      </c>
      <c r="AJ177" s="796">
        <f t="shared" si="121"/>
        <v>0.83267502639200519</v>
      </c>
      <c r="AK177" s="2581">
        <f>+EMD!AJ102/(EMD!AJ3*24)</f>
        <v>0.77564267066212633</v>
      </c>
      <c r="AL177" s="2581">
        <f>+EMD!AK102/(EMD!AK3*24)</f>
        <v>1.3112298805856688</v>
      </c>
      <c r="AM177" s="797">
        <f t="shared" si="122"/>
        <v>0.73722058785487521</v>
      </c>
      <c r="AN177" s="797">
        <f t="shared" si="123"/>
        <v>1.024671662661113</v>
      </c>
      <c r="AO177" s="796">
        <f t="shared" si="124"/>
        <v>0.66608949715558829</v>
      </c>
      <c r="AP177" s="796">
        <f t="shared" si="124"/>
        <v>0.88662120995565452</v>
      </c>
      <c r="AQ177" s="2581">
        <f>+EMD!AP102/(EMD!AP3*24)</f>
        <v>0.77564267066212633</v>
      </c>
      <c r="AR177" s="2581">
        <f>+EMD!AQ102/(EMD!AQ3*24)</f>
        <v>1.2594811827956989</v>
      </c>
      <c r="AS177" s="796">
        <f t="shared" si="125"/>
        <v>0.67718802126899569</v>
      </c>
      <c r="AT177" s="796">
        <f t="shared" si="126"/>
        <v>0.92439460589696631</v>
      </c>
      <c r="AU177" s="2581">
        <f>+EMD!AT102/(EMD!AT3*24)</f>
        <v>0.80129143059156505</v>
      </c>
      <c r="AV177" s="2581">
        <f>+EMD!AU102/(EMD!AU3*24)</f>
        <v>0.87912053571428572</v>
      </c>
      <c r="AW177" s="796">
        <f t="shared" si="127"/>
        <v>0.68759189989483982</v>
      </c>
      <c r="AX177" s="796">
        <f t="shared" si="128"/>
        <v>0.92059917486368759</v>
      </c>
      <c r="AY177" s="2581">
        <f>+EMD!AX102/(EMD!AX3*24)</f>
        <v>0.71040094476598603</v>
      </c>
      <c r="AZ177" s="2581">
        <f>+EMD!AY102/(EMD!AY3*24)</f>
        <v>0.75112634408602141</v>
      </c>
      <c r="BA177" s="797">
        <f t="shared" si="129"/>
        <v>0.7611501348315034</v>
      </c>
      <c r="BB177" s="797">
        <f t="shared" si="130"/>
        <v>0.96604675925925931</v>
      </c>
      <c r="BC177" s="457">
        <f t="shared" si="131"/>
        <v>0.37350083895201053</v>
      </c>
      <c r="BD177" s="457">
        <f t="shared" si="131"/>
        <v>0.49647671588535813</v>
      </c>
      <c r="BE177" s="796">
        <f t="shared" si="132"/>
        <v>0.68952910644554</v>
      </c>
      <c r="BF177" s="796">
        <f t="shared" si="133"/>
        <v>0.90620559197572148</v>
      </c>
      <c r="BG177" s="1111"/>
      <c r="BH177" s="3464"/>
      <c r="BI177" s="23"/>
      <c r="BJ177" s="23"/>
      <c r="BK177" s="23"/>
      <c r="BL177" s="23"/>
    </row>
    <row r="178" spans="2:64" ht="15" thickBot="1" x14ac:dyDescent="0.35">
      <c r="B178" s="11" t="s">
        <v>309</v>
      </c>
      <c r="C178" s="801"/>
      <c r="D178" s="687" t="s">
        <v>525</v>
      </c>
      <c r="E178" s="2582">
        <f>+E159/E169</f>
        <v>78.259005145797602</v>
      </c>
      <c r="F178" s="2582">
        <f t="shared" ref="F178:H178" si="156">+F159/F169</f>
        <v>76.065443667775682</v>
      </c>
      <c r="G178" s="2582">
        <f>+G159/G169</f>
        <v>76.907301066447914</v>
      </c>
      <c r="H178" s="2582">
        <f t="shared" si="156"/>
        <v>65.739004276114855</v>
      </c>
      <c r="I178" s="2593">
        <f t="shared" ref="I178:AB178" si="157">+I159/I169</f>
        <v>77.568134171907758</v>
      </c>
      <c r="J178" s="151">
        <f t="shared" si="157"/>
        <v>72.194580669783406</v>
      </c>
      <c r="K178" s="2582">
        <f>+K159/K169</f>
        <v>79.365079365079367</v>
      </c>
      <c r="L178" s="2582">
        <f t="shared" ref="L178" si="158">+L159/L169</f>
        <v>72.744229490548719</v>
      </c>
      <c r="M178" s="800">
        <f>+M159/M169</f>
        <v>78.214165827458885</v>
      </c>
      <c r="N178" s="345">
        <f>+N159/N169</f>
        <v>72.212351764537772</v>
      </c>
      <c r="O178" s="2582">
        <f>+O159/O169</f>
        <v>79.51567723863738</v>
      </c>
      <c r="P178" s="2582">
        <f t="shared" ref="P178" si="159">+P159/P169</f>
        <v>81.731808972503629</v>
      </c>
      <c r="Q178" s="729">
        <f t="shared" si="157"/>
        <v>78.566708275203766</v>
      </c>
      <c r="R178" s="343">
        <f t="shared" si="157"/>
        <v>74.986966204930056</v>
      </c>
      <c r="S178" s="2582">
        <f>+S159/S169</f>
        <v>79.51567723863738</v>
      </c>
      <c r="T178" s="2582">
        <f t="shared" ref="T178" si="160">+T159/T169</f>
        <v>74.194404522372338</v>
      </c>
      <c r="U178" s="729">
        <f t="shared" ref="U178:V178" si="161">+U159/U169</f>
        <v>78.768970033125342</v>
      </c>
      <c r="V178" s="343">
        <f t="shared" si="161"/>
        <v>74.821360169237039</v>
      </c>
      <c r="W178" s="2582">
        <f>+W159/W169</f>
        <v>72.150072150072148</v>
      </c>
      <c r="X178" s="2582">
        <f t="shared" ref="X178" si="162">+X159/X169</f>
        <v>74.178997829233012</v>
      </c>
      <c r="Y178" s="800">
        <f t="shared" si="157"/>
        <v>77.759427470410131</v>
      </c>
      <c r="Z178" s="345">
        <f t="shared" si="157"/>
        <v>76.818952024154584</v>
      </c>
      <c r="AA178" s="730">
        <f t="shared" si="157"/>
        <v>77.989601386481809</v>
      </c>
      <c r="AB178" s="457">
        <f t="shared" si="157"/>
        <v>74.704945442226673</v>
      </c>
      <c r="AC178" s="2582">
        <f>+AC159/AC169</f>
        <v>76.804915514592935</v>
      </c>
      <c r="AD178" s="2582">
        <f t="shared" ref="AD178" si="163">+AD159/AD169</f>
        <v>77.468532370389482</v>
      </c>
      <c r="AE178" s="729">
        <f t="shared" ref="AE178:AF178" si="164">+AE159/AE169</f>
        <v>77.802090931193788</v>
      </c>
      <c r="AF178" s="343">
        <f t="shared" si="164"/>
        <v>75.016594030415135</v>
      </c>
      <c r="AG178" s="2582">
        <f>+AG159/AG169</f>
        <v>79.365079365079367</v>
      </c>
      <c r="AH178" s="2582">
        <f t="shared" ref="AH178" si="165">+AH159/AH169</f>
        <v>73.605578395236748</v>
      </c>
      <c r="AI178" s="729">
        <f t="shared" ref="AI178:AJ178" si="166">+AI159/AI169</f>
        <v>78.009698503057137</v>
      </c>
      <c r="AJ178" s="343">
        <f t="shared" si="166"/>
        <v>74.846811232648903</v>
      </c>
      <c r="AK178" s="2582">
        <f>+AK159/AK169</f>
        <v>79.51567723863738</v>
      </c>
      <c r="AL178" s="2582">
        <f t="shared" ref="AL178" si="167">+AL159/AL169</f>
        <v>80.965319514289234</v>
      </c>
      <c r="AM178" s="800">
        <f t="shared" ref="AM178:AP178" si="168">+AM159/AM169</f>
        <v>78.553160394592624</v>
      </c>
      <c r="AN178" s="345">
        <f t="shared" si="168"/>
        <v>77.52846949696756</v>
      </c>
      <c r="AO178" s="729">
        <f t="shared" si="168"/>
        <v>78.191454557351307</v>
      </c>
      <c r="AP178" s="343">
        <f t="shared" si="168"/>
        <v>75.593840670592698</v>
      </c>
      <c r="AQ178" s="2582">
        <f>+AQ159/AQ169</f>
        <v>80.419264479985543</v>
      </c>
      <c r="AR178" s="2582">
        <f t="shared" ref="AR178" si="169">+AR159/AR169</f>
        <v>79.515336146941721</v>
      </c>
      <c r="AS178" s="729">
        <f t="shared" ref="AS178:AT178" si="170">+AS159/AS169</f>
        <v>78.431372549019613</v>
      </c>
      <c r="AT178" s="343">
        <f t="shared" si="170"/>
        <v>76.032548303757594</v>
      </c>
      <c r="AU178" s="2582">
        <f>+AU159/AU169</f>
        <v>80.032012805122051</v>
      </c>
      <c r="AV178" s="2582">
        <f t="shared" ref="AV178" si="171">+AV159/AV169</f>
        <v>73.201682316118962</v>
      </c>
      <c r="AW178" s="729">
        <f t="shared" ref="AW178:AX178" si="172">+AW159/AW169</f>
        <v>78.573265579411313</v>
      </c>
      <c r="AX178" s="343">
        <f t="shared" si="172"/>
        <v>75.77056347589955</v>
      </c>
      <c r="AY178" s="2582">
        <f>+AY159/AY169</f>
        <v>80.419264479985543</v>
      </c>
      <c r="AZ178" s="2582">
        <f t="shared" ref="AZ178" si="173">+AZ159/AZ169</f>
        <v>85.084307710997052</v>
      </c>
      <c r="BA178" s="800">
        <f t="shared" ref="BA178:BF178" si="174">+BA159/BA169</f>
        <v>80.298786181139121</v>
      </c>
      <c r="BB178" s="345">
        <f t="shared" si="174"/>
        <v>79.409594323615622</v>
      </c>
      <c r="BC178" s="730">
        <f t="shared" si="174"/>
        <v>79.416381937390341</v>
      </c>
      <c r="BD178" s="457">
        <f t="shared" si="174"/>
        <v>78.537265282488221</v>
      </c>
      <c r="BE178" s="729">
        <f t="shared" si="174"/>
        <v>78.738249830409913</v>
      </c>
      <c r="BF178" s="343">
        <f t="shared" si="174"/>
        <v>76.612259573160031</v>
      </c>
      <c r="BG178" s="1111"/>
      <c r="BH178" s="3464"/>
      <c r="BI178" s="23"/>
      <c r="BJ178" s="23"/>
      <c r="BK178" s="23"/>
      <c r="BL178" s="23"/>
    </row>
    <row r="179" spans="2:64" ht="15" thickBot="1" x14ac:dyDescent="0.35">
      <c r="B179" s="956"/>
      <c r="C179" s="957"/>
      <c r="D179" s="957"/>
      <c r="E179" s="957"/>
      <c r="F179" s="957"/>
      <c r="G179" s="957"/>
      <c r="H179" s="957"/>
      <c r="I179" s="957"/>
      <c r="J179" s="957"/>
      <c r="K179" s="957"/>
      <c r="L179" s="957"/>
      <c r="M179" s="957"/>
      <c r="N179" s="957"/>
      <c r="O179" s="957"/>
      <c r="P179" s="957"/>
      <c r="Q179" s="957"/>
      <c r="R179" s="957"/>
      <c r="S179" s="957"/>
      <c r="T179" s="957"/>
      <c r="U179" s="957"/>
      <c r="V179" s="957"/>
      <c r="W179" s="957"/>
      <c r="X179" s="957"/>
      <c r="Y179" s="958"/>
      <c r="Z179" s="958"/>
      <c r="AA179" s="958"/>
      <c r="AB179" s="958"/>
      <c r="AC179" s="957"/>
      <c r="AD179" s="957"/>
      <c r="AE179" s="957"/>
      <c r="AF179" s="957"/>
      <c r="AG179" s="957"/>
      <c r="AH179" s="957"/>
      <c r="AI179" s="957"/>
      <c r="AJ179" s="957"/>
      <c r="AK179" s="957"/>
      <c r="AL179" s="957"/>
      <c r="AM179" s="958"/>
      <c r="AN179" s="958"/>
      <c r="AO179" s="957"/>
      <c r="AP179" s="957"/>
      <c r="AQ179" s="957"/>
      <c r="AR179" s="957"/>
      <c r="AS179" s="957"/>
      <c r="AT179" s="957"/>
      <c r="AU179" s="957"/>
      <c r="AV179" s="957"/>
      <c r="AW179" s="957"/>
      <c r="AX179" s="957"/>
      <c r="AY179" s="957"/>
      <c r="AZ179" s="957"/>
      <c r="BA179" s="958"/>
      <c r="BB179" s="958"/>
      <c r="BC179" s="958"/>
      <c r="BD179" s="958"/>
      <c r="BE179" s="957"/>
      <c r="BF179" s="957"/>
      <c r="BG179" s="1111"/>
      <c r="BH179" s="3464"/>
      <c r="BI179" s="23"/>
      <c r="BJ179" s="23"/>
      <c r="BK179" s="23"/>
      <c r="BL179" s="23"/>
    </row>
    <row r="180" spans="2:64" ht="15" thickBot="1" x14ac:dyDescent="0.35">
      <c r="B180" s="959" t="s">
        <v>762</v>
      </c>
      <c r="C180" s="960"/>
      <c r="D180" s="750" t="s">
        <v>50</v>
      </c>
      <c r="E180" s="960"/>
      <c r="F180" s="961">
        <v>311.59999999999991</v>
      </c>
      <c r="G180" s="960"/>
      <c r="H180" s="961">
        <v>227.54999999999998</v>
      </c>
      <c r="I180" s="962"/>
      <c r="J180" s="963">
        <f>+F180+H180</f>
        <v>539.14999999999986</v>
      </c>
      <c r="K180" s="960"/>
      <c r="L180" s="961">
        <v>542.33999999999992</v>
      </c>
      <c r="M180" s="964"/>
      <c r="N180" s="574">
        <f>+F180+H180+L180</f>
        <v>1081.4899999999998</v>
      </c>
      <c r="O180" s="960"/>
      <c r="P180" s="961">
        <v>391.22999999999985</v>
      </c>
      <c r="Q180" s="962"/>
      <c r="R180" s="341">
        <f>+N180+P180</f>
        <v>1472.7199999999996</v>
      </c>
      <c r="S180" s="960"/>
      <c r="T180" s="961">
        <v>364.31999999999994</v>
      </c>
      <c r="U180" s="962"/>
      <c r="V180" s="341">
        <f>+R180+T180</f>
        <v>1837.0399999999995</v>
      </c>
      <c r="W180" s="960"/>
      <c r="X180" s="961">
        <v>440.74999999999983</v>
      </c>
      <c r="Y180" s="965"/>
      <c r="Z180" s="69">
        <f>P180+T180+X180</f>
        <v>1196.2999999999995</v>
      </c>
      <c r="AA180" s="966"/>
      <c r="AB180" s="422">
        <f>N180+Z180</f>
        <v>2277.7899999999991</v>
      </c>
      <c r="AC180" s="960"/>
      <c r="AD180" s="961">
        <v>291.09999999999991</v>
      </c>
      <c r="AE180" s="962"/>
      <c r="AF180" s="341">
        <f>+AB180+AD180</f>
        <v>2568.889999999999</v>
      </c>
      <c r="AG180" s="960"/>
      <c r="AH180" s="961">
        <v>274.7</v>
      </c>
      <c r="AI180" s="962"/>
      <c r="AJ180" s="341">
        <f>+AF180+AH180</f>
        <v>2843.5899999999988</v>
      </c>
      <c r="AK180" s="960"/>
      <c r="AL180" s="961">
        <v>377.2</v>
      </c>
      <c r="AM180" s="965"/>
      <c r="AN180" s="69">
        <f>AD180+AH180+AL180</f>
        <v>943</v>
      </c>
      <c r="AO180" s="962"/>
      <c r="AP180" s="341">
        <f>+AL180+AJ180</f>
        <v>3220.7899999999986</v>
      </c>
      <c r="AQ180" s="960"/>
      <c r="AR180" s="961">
        <v>254.19999999999996</v>
      </c>
      <c r="AS180" s="962"/>
      <c r="AT180" s="341">
        <f t="shared" ref="AT180:AT182" si="175">+AP180+AR180</f>
        <v>3474.9899999999984</v>
      </c>
      <c r="AU180" s="960"/>
      <c r="AV180" s="961">
        <v>278.7999999999999</v>
      </c>
      <c r="AW180" s="962"/>
      <c r="AX180" s="341">
        <f>+AT180+AV180</f>
        <v>3753.7899999999981</v>
      </c>
      <c r="AY180" s="960"/>
      <c r="AZ180" s="961">
        <v>371.04999999999995</v>
      </c>
      <c r="BA180" s="965"/>
      <c r="BB180" s="69">
        <f>AR180+AV180+AZ180</f>
        <v>904.04999999999984</v>
      </c>
      <c r="BC180" s="966"/>
      <c r="BD180" s="422">
        <f>AN180+BB180</f>
        <v>1847.0499999999997</v>
      </c>
      <c r="BE180" s="962"/>
      <c r="BF180" s="341">
        <f>+AX180+AZ180</f>
        <v>4124.8399999999983</v>
      </c>
      <c r="BG180" s="1111"/>
      <c r="BH180" s="3464"/>
      <c r="BI180" s="23"/>
      <c r="BJ180" s="23"/>
      <c r="BK180" s="23"/>
      <c r="BL180" s="23"/>
    </row>
    <row r="181" spans="2:64" x14ac:dyDescent="0.3">
      <c r="B181" s="967" t="s">
        <v>763</v>
      </c>
      <c r="C181" s="243"/>
      <c r="D181" s="146" t="s">
        <v>50</v>
      </c>
      <c r="E181" s="243"/>
      <c r="F181" s="335">
        <v>379.32000000004354</v>
      </c>
      <c r="G181" s="243"/>
      <c r="H181" s="335">
        <v>229.70800000000105</v>
      </c>
      <c r="I181" s="802"/>
      <c r="J181" s="336">
        <f>+F181+H181</f>
        <v>609.02800000004459</v>
      </c>
      <c r="K181" s="243"/>
      <c r="L181" s="335">
        <v>563.9019999999997</v>
      </c>
      <c r="M181" s="803"/>
      <c r="N181" s="717">
        <f>+F181+H181+L181</f>
        <v>1172.9300000000444</v>
      </c>
      <c r="O181" s="243"/>
      <c r="P181" s="335">
        <v>648.58899999999915</v>
      </c>
      <c r="Q181" s="802"/>
      <c r="R181" s="718">
        <f>+N181+P181</f>
        <v>1821.5190000000434</v>
      </c>
      <c r="S181" s="243"/>
      <c r="T181" s="335">
        <v>532.47499999999968</v>
      </c>
      <c r="U181" s="802"/>
      <c r="V181" s="718">
        <f>+R181+T181</f>
        <v>2353.9940000000433</v>
      </c>
      <c r="W181" s="243"/>
      <c r="X181" s="335">
        <v>226.25699999999944</v>
      </c>
      <c r="Y181" s="804"/>
      <c r="Z181" s="65">
        <f>P181+T181+X181</f>
        <v>1407.3209999999983</v>
      </c>
      <c r="AA181" s="805"/>
      <c r="AB181" s="418">
        <f>N181+Z181</f>
        <v>2580.2510000000429</v>
      </c>
      <c r="AC181" s="243"/>
      <c r="AD181" s="335">
        <v>116.91799999999944</v>
      </c>
      <c r="AE181" s="802"/>
      <c r="AF181" s="718">
        <f>+AB181+AD181</f>
        <v>2697.1690000000426</v>
      </c>
      <c r="AG181" s="243"/>
      <c r="AH181" s="335">
        <v>242.51500000000078</v>
      </c>
      <c r="AI181" s="802"/>
      <c r="AJ181" s="718">
        <f>+AF181+AH181</f>
        <v>2939.6840000000434</v>
      </c>
      <c r="AK181" s="243"/>
      <c r="AL181" s="335">
        <v>496.09200000000095</v>
      </c>
      <c r="AM181" s="804"/>
      <c r="AN181" s="65">
        <f>AD181+AH181+AL181</f>
        <v>855.52500000000123</v>
      </c>
      <c r="AO181" s="802"/>
      <c r="AP181" s="341">
        <f>+AL181+AJ181</f>
        <v>3435.7760000000444</v>
      </c>
      <c r="AQ181" s="243"/>
      <c r="AR181" s="335">
        <v>467.91200000000157</v>
      </c>
      <c r="AS181" s="802"/>
      <c r="AT181" s="718">
        <f t="shared" si="175"/>
        <v>3903.688000000046</v>
      </c>
      <c r="AU181" s="243"/>
      <c r="AV181" s="335">
        <v>378.48300000000125</v>
      </c>
      <c r="AW181" s="802"/>
      <c r="AX181" s="718">
        <f>+AT181+AV181</f>
        <v>4282.1710000000476</v>
      </c>
      <c r="AY181" s="243"/>
      <c r="AZ181" s="335">
        <v>539.3850000000416</v>
      </c>
      <c r="BA181" s="804"/>
      <c r="BB181" s="65">
        <f>AR181+AV181+AZ181</f>
        <v>1385.7800000000443</v>
      </c>
      <c r="BC181" s="805"/>
      <c r="BD181" s="418">
        <f>AN181+BB181</f>
        <v>2241.3050000000458</v>
      </c>
      <c r="BE181" s="802"/>
      <c r="BF181" s="718">
        <f>+AX181+AZ181</f>
        <v>4821.5560000000896</v>
      </c>
      <c r="BG181" s="1111"/>
      <c r="BH181" s="3464"/>
      <c r="BI181" s="23"/>
      <c r="BJ181" s="23"/>
      <c r="BK181" s="23"/>
      <c r="BL181" s="23"/>
    </row>
    <row r="182" spans="2:64" x14ac:dyDescent="0.3">
      <c r="B182" s="968" t="s">
        <v>785</v>
      </c>
      <c r="C182" s="598"/>
      <c r="D182" s="192" t="s">
        <v>50</v>
      </c>
      <c r="E182" s="598"/>
      <c r="F182" s="365">
        <f>SUM(F180:F181)</f>
        <v>690.9200000000435</v>
      </c>
      <c r="G182" s="598"/>
      <c r="H182" s="365">
        <f>SUM(H180:H181)</f>
        <v>457.25800000000106</v>
      </c>
      <c r="I182" s="802"/>
      <c r="J182" s="336">
        <f>SUM(J180:J181)</f>
        <v>1148.1780000000444</v>
      </c>
      <c r="K182" s="598"/>
      <c r="L182" s="365">
        <f>SUM(L180:L181)</f>
        <v>1106.2419999999997</v>
      </c>
      <c r="M182" s="803"/>
      <c r="N182" s="411">
        <f>SUM(N180:N181)</f>
        <v>2254.4200000000442</v>
      </c>
      <c r="O182" s="598"/>
      <c r="P182" s="365">
        <f>SUM(P180:P181)</f>
        <v>1039.8189999999991</v>
      </c>
      <c r="Q182" s="802"/>
      <c r="R182" s="336">
        <f>SUM(R180:R181)</f>
        <v>3294.2390000000432</v>
      </c>
      <c r="S182" s="598"/>
      <c r="T182" s="365">
        <f>SUM(T180:T181)</f>
        <v>896.79499999999962</v>
      </c>
      <c r="U182" s="802"/>
      <c r="V182" s="336">
        <f>SUM(V180:V181)</f>
        <v>4191.0340000000433</v>
      </c>
      <c r="W182" s="598"/>
      <c r="X182" s="365">
        <f>SUM(X180:X181)</f>
        <v>667.00699999999927</v>
      </c>
      <c r="Y182" s="804"/>
      <c r="Z182" s="65">
        <f>SUM(Z180:Z181)</f>
        <v>2603.6209999999978</v>
      </c>
      <c r="AA182" s="805"/>
      <c r="AB182" s="418">
        <f>SUM(AB180:AB181)</f>
        <v>4858.041000000042</v>
      </c>
      <c r="AC182" s="598"/>
      <c r="AD182" s="365">
        <f>SUM(AD180:AD181)</f>
        <v>408.01799999999935</v>
      </c>
      <c r="AE182" s="802"/>
      <c r="AF182" s="336">
        <f>SUM(AF180:AF181)</f>
        <v>5266.0590000000411</v>
      </c>
      <c r="AG182" s="598"/>
      <c r="AH182" s="365">
        <f>SUM(AH180:AH181)</f>
        <v>517.21500000000083</v>
      </c>
      <c r="AI182" s="802"/>
      <c r="AJ182" s="336">
        <f>SUM(AJ180:AJ181)</f>
        <v>5783.2740000000422</v>
      </c>
      <c r="AK182" s="598"/>
      <c r="AL182" s="365">
        <f>SUM(AL180:AL181)</f>
        <v>873.29200000000094</v>
      </c>
      <c r="AM182" s="804"/>
      <c r="AN182" s="65">
        <f>SUM(AN180:AN181)</f>
        <v>1798.5250000000012</v>
      </c>
      <c r="AO182" s="802"/>
      <c r="AP182" s="336">
        <f>SUM(AP180:AP181)</f>
        <v>6656.5660000000425</v>
      </c>
      <c r="AQ182" s="598"/>
      <c r="AR182" s="365">
        <f>SUM(AR180:AR181)</f>
        <v>722.11200000000156</v>
      </c>
      <c r="AS182" s="802"/>
      <c r="AT182" s="336">
        <f t="shared" si="175"/>
        <v>7378.6780000000444</v>
      </c>
      <c r="AU182" s="598"/>
      <c r="AV182" s="365">
        <f>SUM(AV180:AV181)</f>
        <v>657.28300000000115</v>
      </c>
      <c r="AW182" s="802"/>
      <c r="AX182" s="336">
        <f>SUM(AX180:AX181)</f>
        <v>8035.9610000000457</v>
      </c>
      <c r="AY182" s="598"/>
      <c r="AZ182" s="365">
        <f>SUM(AZ180:AZ181)</f>
        <v>910.43500000004155</v>
      </c>
      <c r="BA182" s="804"/>
      <c r="BB182" s="65">
        <f>SUM(BB180:BB181)</f>
        <v>2289.830000000044</v>
      </c>
      <c r="BC182" s="805"/>
      <c r="BD182" s="418">
        <f>SUM(BD180:BD181)</f>
        <v>4088.3550000000455</v>
      </c>
      <c r="BE182" s="802"/>
      <c r="BF182" s="336">
        <f>SUM(BF180:BF181)</f>
        <v>8946.396000000088</v>
      </c>
      <c r="BG182" s="1111"/>
      <c r="BH182" s="3464"/>
      <c r="BI182" s="23"/>
      <c r="BJ182" s="23"/>
      <c r="BK182" s="23"/>
      <c r="BL182" s="23"/>
    </row>
    <row r="183" spans="2:64" x14ac:dyDescent="0.3">
      <c r="B183" s="968" t="s">
        <v>781</v>
      </c>
      <c r="C183" s="598"/>
      <c r="D183" s="192" t="s">
        <v>49</v>
      </c>
      <c r="E183" s="598"/>
      <c r="F183" s="407">
        <f>+F182/F5</f>
        <v>1.5910417157497147E-2</v>
      </c>
      <c r="G183" s="598"/>
      <c r="H183" s="407">
        <f>+H182/H5</f>
        <v>2.0215791676783636E-2</v>
      </c>
      <c r="I183" s="802"/>
      <c r="J183" s="404">
        <f>+J182/J5</f>
        <v>1.7384917612127238E-2</v>
      </c>
      <c r="K183" s="598"/>
      <c r="L183" s="407">
        <f>+L182/L5</f>
        <v>2.7520025394481427E-2</v>
      </c>
      <c r="M183" s="803"/>
      <c r="N183" s="405">
        <f>+N182/N5</f>
        <v>2.1219628558328724E-2</v>
      </c>
      <c r="O183" s="598"/>
      <c r="P183" s="407">
        <f>+P182/P5</f>
        <v>2.1154907448055548E-2</v>
      </c>
      <c r="Q183" s="802"/>
      <c r="R183" s="404">
        <f>+R182/R5</f>
        <v>2.1199156756924974E-2</v>
      </c>
      <c r="S183" s="598"/>
      <c r="T183" s="407">
        <f>+T182/T5</f>
        <v>2.2206832640719616E-2</v>
      </c>
      <c r="U183" s="802"/>
      <c r="V183" s="404">
        <f>+V182/V5</f>
        <v>2.140701263220603E-2</v>
      </c>
      <c r="W183" s="598"/>
      <c r="X183" s="407">
        <f>+X182/X5</f>
        <v>1.5551997312493827E-2</v>
      </c>
      <c r="Y183" s="804"/>
      <c r="Z183" s="405">
        <f>+Z182/Z5</f>
        <v>1.9661070822870934E-2</v>
      </c>
      <c r="AA183" s="805"/>
      <c r="AB183" s="2063">
        <f>+AB182/AB5</f>
        <v>2.0354858956913292E-2</v>
      </c>
      <c r="AC183" s="598"/>
      <c r="AD183" s="407">
        <f>+AD182/AD5</f>
        <v>1.3035353610060174E-2</v>
      </c>
      <c r="AE183" s="802"/>
      <c r="AF183" s="404">
        <f>+AF182/AF5</f>
        <v>1.9506214997182188E-2</v>
      </c>
      <c r="AG183" s="598"/>
      <c r="AH183" s="407">
        <f>+AH182/AH5</f>
        <v>1.4309658277176538E-2</v>
      </c>
      <c r="AI183" s="802"/>
      <c r="AJ183" s="404">
        <f>+AJ182/AJ5</f>
        <v>1.8892628030602182E-2</v>
      </c>
      <c r="AK183" s="598"/>
      <c r="AL183" s="407">
        <f>+AL182/AL5</f>
        <v>1.8918735714279381E-2</v>
      </c>
      <c r="AM183" s="804"/>
      <c r="AN183" s="405">
        <f>+AN182/AN5</f>
        <v>1.5831317974859205E-2</v>
      </c>
      <c r="AO183" s="802"/>
      <c r="AP183" s="404">
        <f>+AP182/AP5</f>
        <v>1.8896049057421226E-2</v>
      </c>
      <c r="AQ183" s="598"/>
      <c r="AR183" s="407">
        <f>+AR182/AR5</f>
        <v>1.5515158848973573E-2</v>
      </c>
      <c r="AS183" s="802"/>
      <c r="AT183" s="404">
        <f>+AT182/AT5</f>
        <v>1.8501493973702265E-2</v>
      </c>
      <c r="AU183" s="598"/>
      <c r="AV183" s="407">
        <f>+AV182/AV5</f>
        <v>1.6794447105756213E-2</v>
      </c>
      <c r="AW183" s="802"/>
      <c r="AX183" s="404">
        <f>+AX182/AX5</f>
        <v>1.8348946350825072E-2</v>
      </c>
      <c r="AY183" s="598"/>
      <c r="AZ183" s="407">
        <f>+AZ182/AZ5</f>
        <v>1.8616045129906354E-2</v>
      </c>
      <c r="BA183" s="804"/>
      <c r="BB183" s="405">
        <f>+BB182/BB5</f>
        <v>1.7013979849955157E-2</v>
      </c>
      <c r="BC183" s="805"/>
      <c r="BD183" s="2063">
        <f>+BD182/BD5</f>
        <v>1.6472634432101431E-2</v>
      </c>
      <c r="BE183" s="802"/>
      <c r="BF183" s="404">
        <f>+BF182/BF5</f>
        <v>1.8375776989988761E-2</v>
      </c>
      <c r="BG183" s="1111"/>
      <c r="BH183" s="3464"/>
      <c r="BI183" s="23"/>
      <c r="BJ183" s="23"/>
      <c r="BK183" s="23"/>
      <c r="BL183" s="23"/>
    </row>
    <row r="184" spans="2:64" ht="15" thickBot="1" x14ac:dyDescent="0.35">
      <c r="B184" s="968" t="s">
        <v>784</v>
      </c>
      <c r="C184" s="598"/>
      <c r="D184" s="192" t="s">
        <v>50</v>
      </c>
      <c r="E184" s="598"/>
      <c r="F184" s="408">
        <f>+F160</f>
        <v>34.849999999999994</v>
      </c>
      <c r="G184" s="598"/>
      <c r="H184" s="408">
        <f>+H160</f>
        <v>61.500000000000007</v>
      </c>
      <c r="I184" s="802"/>
      <c r="J184" s="409">
        <f>+J160</f>
        <v>96.350000000000023</v>
      </c>
      <c r="K184" s="598"/>
      <c r="L184" s="408">
        <f>+L160</f>
        <v>116.69999999999999</v>
      </c>
      <c r="M184" s="803"/>
      <c r="N184" s="410">
        <f>+N160</f>
        <v>213.05000000000004</v>
      </c>
      <c r="O184" s="598"/>
      <c r="P184" s="408">
        <f>+P160</f>
        <v>213.20000000000002</v>
      </c>
      <c r="Q184" s="802"/>
      <c r="R184" s="409">
        <f>+R160</f>
        <v>426.25</v>
      </c>
      <c r="S184" s="598"/>
      <c r="T184" s="408">
        <f>+T160</f>
        <v>82</v>
      </c>
      <c r="U184" s="802"/>
      <c r="V184" s="409">
        <f>+V160</f>
        <v>508.25000000000011</v>
      </c>
      <c r="W184" s="598"/>
      <c r="X184" s="408">
        <f>+X160</f>
        <v>143.50000000000003</v>
      </c>
      <c r="Y184" s="804"/>
      <c r="Z184" s="410">
        <f>+Z160</f>
        <v>438.7</v>
      </c>
      <c r="AA184" s="805"/>
      <c r="AB184" s="2064">
        <f>+AB160</f>
        <v>651.74999999999989</v>
      </c>
      <c r="AC184" s="598"/>
      <c r="AD184" s="408">
        <f>+AD160</f>
        <v>28.7</v>
      </c>
      <c r="AE184" s="802"/>
      <c r="AF184" s="409">
        <f>+AF160</f>
        <v>680.44999999999993</v>
      </c>
      <c r="AG184" s="598"/>
      <c r="AH184" s="408">
        <f>+AH160</f>
        <v>92.25</v>
      </c>
      <c r="AI184" s="802"/>
      <c r="AJ184" s="409">
        <f>+AJ160</f>
        <v>772.69999999999982</v>
      </c>
      <c r="AK184" s="598"/>
      <c r="AL184" s="408">
        <f>+AL160</f>
        <v>151.70000000000002</v>
      </c>
      <c r="AM184" s="804"/>
      <c r="AN184" s="410">
        <f>+AN160</f>
        <v>272.64999999999998</v>
      </c>
      <c r="AO184" s="802"/>
      <c r="AP184" s="409">
        <f>+AP160</f>
        <v>924.4</v>
      </c>
      <c r="AQ184" s="598"/>
      <c r="AR184" s="408">
        <f>+AR160</f>
        <v>43.050000000000004</v>
      </c>
      <c r="AS184" s="802"/>
      <c r="AT184" s="409">
        <f t="shared" ref="AT184:AT186" si="176">+AP184+AR184</f>
        <v>967.44999999999993</v>
      </c>
      <c r="AU184" s="598"/>
      <c r="AV184" s="408">
        <f>+AV160</f>
        <v>49.199999999999989</v>
      </c>
      <c r="AW184" s="802"/>
      <c r="AX184" s="409">
        <f t="shared" ref="AX184:AX186" si="177">+AT184+AV184</f>
        <v>1016.6499999999999</v>
      </c>
      <c r="AY184" s="598"/>
      <c r="AZ184" s="408">
        <f>+AZ160</f>
        <v>96.35</v>
      </c>
      <c r="BA184" s="804"/>
      <c r="BB184" s="410">
        <f>+BB160</f>
        <v>188.60000000000002</v>
      </c>
      <c r="BC184" s="805"/>
      <c r="BD184" s="2064">
        <f>+BD160</f>
        <v>461.25000000000006</v>
      </c>
      <c r="BE184" s="802"/>
      <c r="BF184" s="409">
        <f>+BF160</f>
        <v>1112.9999999999998</v>
      </c>
      <c r="BG184" s="1111"/>
      <c r="BH184" s="3464"/>
      <c r="BI184" s="23"/>
      <c r="BJ184" s="23"/>
      <c r="BK184" s="23"/>
      <c r="BL184" s="23"/>
    </row>
    <row r="185" spans="2:64" ht="15" thickBot="1" x14ac:dyDescent="0.35">
      <c r="B185" s="969" t="s">
        <v>764</v>
      </c>
      <c r="C185" s="854"/>
      <c r="D185" s="821" t="s">
        <v>50</v>
      </c>
      <c r="E185" s="970"/>
      <c r="F185" s="971">
        <v>738.23300000000017</v>
      </c>
      <c r="G185" s="970"/>
      <c r="H185" s="971">
        <v>384.51700000000011</v>
      </c>
      <c r="I185" s="972"/>
      <c r="J185" s="973">
        <f>+F185+H185</f>
        <v>1122.7500000000002</v>
      </c>
      <c r="K185" s="970"/>
      <c r="L185" s="971">
        <v>683.41800000000012</v>
      </c>
      <c r="M185" s="974"/>
      <c r="N185" s="452">
        <f>+F185+H185+L185</f>
        <v>1806.1680000000003</v>
      </c>
      <c r="O185" s="970"/>
      <c r="P185" s="971">
        <v>835.69500000000016</v>
      </c>
      <c r="Q185" s="972"/>
      <c r="R185" s="546">
        <f>+N185+P185</f>
        <v>2641.8630000000003</v>
      </c>
      <c r="S185" s="970"/>
      <c r="T185" s="971">
        <v>686.59700000000021</v>
      </c>
      <c r="U185" s="972"/>
      <c r="V185" s="546">
        <f>+R185+T185</f>
        <v>3328.4600000000005</v>
      </c>
      <c r="W185" s="970"/>
      <c r="X185" s="971">
        <v>729.2010000000007</v>
      </c>
      <c r="Y185" s="975"/>
      <c r="Z185" s="70">
        <f>P185+T185+X185</f>
        <v>2251.4930000000013</v>
      </c>
      <c r="AA185" s="976"/>
      <c r="AB185" s="423">
        <f>N185+Z185</f>
        <v>4057.6610000000019</v>
      </c>
      <c r="AC185" s="970"/>
      <c r="AD185" s="971">
        <v>532.15500000000009</v>
      </c>
      <c r="AE185" s="972"/>
      <c r="AF185" s="546">
        <f>+AB185+AD185</f>
        <v>4589.8160000000016</v>
      </c>
      <c r="AG185" s="970"/>
      <c r="AH185" s="971">
        <v>613.58000000000038</v>
      </c>
      <c r="AI185" s="972"/>
      <c r="AJ185" s="546">
        <f>+AF185+AH185</f>
        <v>5203.3960000000025</v>
      </c>
      <c r="AK185" s="970"/>
      <c r="AL185" s="971">
        <v>781.54400000000044</v>
      </c>
      <c r="AM185" s="975"/>
      <c r="AN185" s="70">
        <f>AD185+AH185+AL185</f>
        <v>1927.2790000000009</v>
      </c>
      <c r="AO185" s="972"/>
      <c r="AP185" s="341">
        <f>+AL185+AJ185</f>
        <v>5984.9400000000032</v>
      </c>
      <c r="AQ185" s="970"/>
      <c r="AR185" s="971">
        <v>790.72200000000032</v>
      </c>
      <c r="AS185" s="972"/>
      <c r="AT185" s="546">
        <f t="shared" si="176"/>
        <v>6775.6620000000039</v>
      </c>
      <c r="AU185" s="970"/>
      <c r="AV185" s="971">
        <v>665.33200000000033</v>
      </c>
      <c r="AW185" s="972"/>
      <c r="AX185" s="546">
        <f t="shared" si="177"/>
        <v>7440.9940000000042</v>
      </c>
      <c r="AY185" s="970"/>
      <c r="AZ185" s="971">
        <v>831.40200000000027</v>
      </c>
      <c r="BA185" s="975"/>
      <c r="BB185" s="70">
        <f>AR185+AV185+AZ185</f>
        <v>2287.456000000001</v>
      </c>
      <c r="BC185" s="976"/>
      <c r="BD185" s="423">
        <f>AN185+BB185</f>
        <v>4214.7350000000024</v>
      </c>
      <c r="BE185" s="972"/>
      <c r="BF185" s="546">
        <f>+AX185+AZ185</f>
        <v>8272.3960000000043</v>
      </c>
      <c r="BG185" s="1111"/>
      <c r="BH185" s="3464"/>
      <c r="BI185" s="23"/>
      <c r="BJ185" s="23"/>
      <c r="BK185" s="23"/>
      <c r="BL185" s="23"/>
    </row>
    <row r="186" spans="2:64" ht="15" thickBot="1" x14ac:dyDescent="0.35">
      <c r="B186" s="969" t="s">
        <v>2041</v>
      </c>
      <c r="C186" s="854"/>
      <c r="D186" s="821"/>
      <c r="E186" s="970"/>
      <c r="F186" s="971">
        <v>428.6339999999999</v>
      </c>
      <c r="G186" s="970"/>
      <c r="H186" s="971">
        <v>192.62700000000001</v>
      </c>
      <c r="I186" s="972"/>
      <c r="J186" s="973">
        <f>+F186+H186</f>
        <v>621.26099999999997</v>
      </c>
      <c r="K186" s="970"/>
      <c r="L186" s="971"/>
      <c r="M186" s="974"/>
      <c r="N186" s="452"/>
      <c r="O186" s="970"/>
      <c r="P186" s="971"/>
      <c r="Q186" s="972"/>
      <c r="R186" s="546"/>
      <c r="S186" s="970"/>
      <c r="T186" s="971"/>
      <c r="U186" s="972"/>
      <c r="V186" s="546"/>
      <c r="W186" s="970"/>
      <c r="X186" s="971">
        <v>342.97399999999999</v>
      </c>
      <c r="Y186" s="975"/>
      <c r="Z186" s="70">
        <f>P186+T186+X186</f>
        <v>342.97399999999999</v>
      </c>
      <c r="AA186" s="976"/>
      <c r="AB186" s="423">
        <f>N186+Z186</f>
        <v>342.97399999999999</v>
      </c>
      <c r="AC186" s="970"/>
      <c r="AD186" s="971">
        <v>297.45400000000001</v>
      </c>
      <c r="AE186" s="972"/>
      <c r="AF186" s="546">
        <f>+AB186+AD186</f>
        <v>640.428</v>
      </c>
      <c r="AG186" s="970"/>
      <c r="AH186" s="971">
        <v>307.17400000000004</v>
      </c>
      <c r="AI186" s="972"/>
      <c r="AJ186" s="546">
        <f>+AF186+AH186</f>
        <v>947.60200000000009</v>
      </c>
      <c r="AK186" s="970"/>
      <c r="AL186" s="971">
        <v>346.28099999999995</v>
      </c>
      <c r="AM186" s="975"/>
      <c r="AN186" s="70">
        <f>AD186+AH186+AL186</f>
        <v>950.90899999999999</v>
      </c>
      <c r="AO186" s="972"/>
      <c r="AP186" s="341">
        <f>+AL186+AJ186</f>
        <v>1293.883</v>
      </c>
      <c r="AQ186" s="970"/>
      <c r="AR186" s="971">
        <v>396.9190000000001</v>
      </c>
      <c r="AS186" s="972"/>
      <c r="AT186" s="546">
        <f t="shared" si="176"/>
        <v>1690.8020000000001</v>
      </c>
      <c r="AU186" s="970"/>
      <c r="AV186" s="971">
        <v>344.40900000000011</v>
      </c>
      <c r="AW186" s="972"/>
      <c r="AX186" s="546">
        <f t="shared" si="177"/>
        <v>2035.2110000000002</v>
      </c>
      <c r="AY186" s="970"/>
      <c r="AZ186" s="971">
        <v>374.89300000000003</v>
      </c>
      <c r="BA186" s="975"/>
      <c r="BB186" s="70">
        <f>AR186+AV186+AZ186</f>
        <v>1116.2210000000002</v>
      </c>
      <c r="BC186" s="976"/>
      <c r="BD186" s="423">
        <f>AN186+BB186</f>
        <v>2067.13</v>
      </c>
      <c r="BE186" s="972"/>
      <c r="BF186" s="546">
        <f>+AX186+AZ186</f>
        <v>2410.1040000000003</v>
      </c>
      <c r="BG186" s="1111"/>
      <c r="BH186" s="3464"/>
      <c r="BI186" s="23"/>
      <c r="BJ186" s="23"/>
      <c r="BK186" s="23"/>
      <c r="BL186" s="23"/>
    </row>
    <row r="187" spans="2:64" ht="18.600000000000001" thickBot="1" x14ac:dyDescent="0.4">
      <c r="B187" s="811" t="s">
        <v>786</v>
      </c>
      <c r="C187" s="811"/>
      <c r="D187" s="142"/>
      <c r="E187" s="142"/>
      <c r="G187" s="142"/>
      <c r="I187" s="142"/>
      <c r="J187" s="142"/>
      <c r="K187" s="142"/>
      <c r="L187" s="142"/>
      <c r="M187" s="142"/>
      <c r="N187" s="142"/>
      <c r="O187" s="142"/>
      <c r="Q187" s="142"/>
      <c r="R187" s="142"/>
      <c r="S187" s="142"/>
      <c r="T187" s="142"/>
      <c r="U187" s="142"/>
      <c r="V187" s="142"/>
      <c r="W187" s="142"/>
      <c r="X187" s="142"/>
      <c r="Y187" s="578"/>
      <c r="Z187" s="578"/>
      <c r="AA187" s="578"/>
      <c r="AB187" s="578"/>
      <c r="AC187" s="142"/>
      <c r="AD187" s="142"/>
      <c r="AE187" s="142"/>
      <c r="AF187" s="142"/>
      <c r="AG187" s="142"/>
      <c r="AH187" s="142"/>
      <c r="AI187" s="142"/>
      <c r="AJ187" s="142"/>
      <c r="AK187" s="142"/>
      <c r="AL187" s="142"/>
      <c r="AM187" s="578"/>
      <c r="AN187" s="578"/>
      <c r="AO187" s="142"/>
      <c r="AP187" s="142"/>
      <c r="AQ187" s="142"/>
      <c r="AR187" s="88"/>
      <c r="AS187" s="142"/>
      <c r="AT187" s="142"/>
      <c r="AU187" s="142"/>
      <c r="AV187" s="88"/>
      <c r="AW187" s="142"/>
      <c r="AX187" s="142"/>
      <c r="AY187" s="142"/>
      <c r="AZ187" s="88"/>
      <c r="BA187" s="578"/>
      <c r="BB187" s="578"/>
      <c r="BC187" s="578"/>
      <c r="BD187" s="578"/>
      <c r="BE187" s="142"/>
      <c r="BF187" s="142"/>
      <c r="BG187" s="1111"/>
      <c r="BH187" s="3464"/>
      <c r="BI187" s="23"/>
      <c r="BJ187" s="23"/>
      <c r="BK187" s="23"/>
      <c r="BL187" s="23"/>
    </row>
    <row r="188" spans="2:64" x14ac:dyDescent="0.3">
      <c r="B188" s="959" t="s">
        <v>787</v>
      </c>
      <c r="C188" s="960"/>
      <c r="D188" s="750" t="s">
        <v>50</v>
      </c>
      <c r="E188" s="1424"/>
      <c r="F188" s="961">
        <f>+F5</f>
        <v>43425.637000000039</v>
      </c>
      <c r="G188" s="1424"/>
      <c r="H188" s="961">
        <f>+H5</f>
        <v>22618.852000000006</v>
      </c>
      <c r="I188" s="978"/>
      <c r="J188" s="963">
        <f>+J5</f>
        <v>66044.489000000045</v>
      </c>
      <c r="K188" s="977"/>
      <c r="L188" s="961">
        <f>+L5</f>
        <v>40197.709999999992</v>
      </c>
      <c r="M188" s="979"/>
      <c r="N188" s="980">
        <f>+N5</f>
        <v>106242.19900000004</v>
      </c>
      <c r="O188" s="977"/>
      <c r="P188" s="961">
        <f>+P5</f>
        <v>49152.613999999987</v>
      </c>
      <c r="Q188" s="978"/>
      <c r="R188" s="963">
        <f>+R5</f>
        <v>155394.81300000002</v>
      </c>
      <c r="S188" s="977"/>
      <c r="T188" s="961">
        <f>+T5</f>
        <v>40383.741999999998</v>
      </c>
      <c r="U188" s="978"/>
      <c r="V188" s="963">
        <f>+V5</f>
        <v>195778.55500000002</v>
      </c>
      <c r="W188" s="977"/>
      <c r="X188" s="961">
        <f>+X5</f>
        <v>42888.832000000002</v>
      </c>
      <c r="Y188" s="981"/>
      <c r="Z188" s="980">
        <f>+Z5</f>
        <v>132425.18799999999</v>
      </c>
      <c r="AA188" s="982"/>
      <c r="AB188" s="983">
        <f>+AB5</f>
        <v>238667.38700000005</v>
      </c>
      <c r="AC188" s="977"/>
      <c r="AD188" s="961">
        <f>+AD5</f>
        <v>31300.876999999993</v>
      </c>
      <c r="AE188" s="978"/>
      <c r="AF188" s="963">
        <f>+AF5</f>
        <v>269968.26400000002</v>
      </c>
      <c r="AG188" s="977"/>
      <c r="AH188" s="961">
        <f>+AH5</f>
        <v>36144.469000000005</v>
      </c>
      <c r="AI188" s="978"/>
      <c r="AJ188" s="963">
        <f>+AJ5</f>
        <v>306112.73300000001</v>
      </c>
      <c r="AK188" s="977"/>
      <c r="AL188" s="961">
        <f>+AL5</f>
        <v>46160.167000000023</v>
      </c>
      <c r="AM188" s="981"/>
      <c r="AN188" s="980">
        <f>+AN5</f>
        <v>113605.51300000001</v>
      </c>
      <c r="AO188" s="978"/>
      <c r="AP188" s="963">
        <f>+AP5</f>
        <v>352272.9</v>
      </c>
      <c r="AQ188" s="1424"/>
      <c r="AR188" s="961">
        <f>+AR5</f>
        <v>46542.352999999988</v>
      </c>
      <c r="AS188" s="978"/>
      <c r="AT188" s="963">
        <f>+AT5</f>
        <v>398815.25300000003</v>
      </c>
      <c r="AU188" s="1424"/>
      <c r="AV188" s="961">
        <f>+AV5</f>
        <v>39136.924000000014</v>
      </c>
      <c r="AW188" s="978"/>
      <c r="AX188" s="963">
        <f>+AX5</f>
        <v>437952.17700000003</v>
      </c>
      <c r="AY188" s="1424"/>
      <c r="AZ188" s="961">
        <f>+AZ5</f>
        <v>48905.930000000029</v>
      </c>
      <c r="BA188" s="981"/>
      <c r="BB188" s="980">
        <f>+BB5</f>
        <v>134585.20700000002</v>
      </c>
      <c r="BC188" s="982"/>
      <c r="BD188" s="983">
        <f>+BD5</f>
        <v>248190.72000000003</v>
      </c>
      <c r="BE188" s="978"/>
      <c r="BF188" s="963">
        <f>+BF5</f>
        <v>486858.10700000008</v>
      </c>
      <c r="BG188" s="1111"/>
      <c r="BH188" s="3464"/>
      <c r="BI188" s="23"/>
      <c r="BJ188" s="23"/>
      <c r="BK188" s="23"/>
      <c r="BL188" s="23"/>
    </row>
    <row r="189" spans="2:64" ht="28.8" x14ac:dyDescent="0.3">
      <c r="B189" s="985" t="s">
        <v>793</v>
      </c>
      <c r="C189" s="812"/>
      <c r="D189" s="146" t="s">
        <v>50</v>
      </c>
      <c r="E189" s="1425"/>
      <c r="F189" s="335">
        <f>+F182</f>
        <v>690.9200000000435</v>
      </c>
      <c r="G189" s="1425"/>
      <c r="H189" s="335">
        <f>+H182</f>
        <v>457.25800000000106</v>
      </c>
      <c r="I189" s="807"/>
      <c r="J189" s="336">
        <f>+J182</f>
        <v>1148.1780000000444</v>
      </c>
      <c r="K189" s="806"/>
      <c r="L189" s="335">
        <f>+L182</f>
        <v>1106.2419999999997</v>
      </c>
      <c r="M189" s="808"/>
      <c r="N189" s="411">
        <f>+N182</f>
        <v>2254.4200000000442</v>
      </c>
      <c r="O189" s="806"/>
      <c r="P189" s="335">
        <f>+P182</f>
        <v>1039.8189999999991</v>
      </c>
      <c r="Q189" s="807"/>
      <c r="R189" s="336">
        <f>+R182</f>
        <v>3294.2390000000432</v>
      </c>
      <c r="S189" s="806"/>
      <c r="T189" s="335">
        <f>+T182</f>
        <v>896.79499999999962</v>
      </c>
      <c r="U189" s="807"/>
      <c r="V189" s="336">
        <f>+V182</f>
        <v>4191.0340000000433</v>
      </c>
      <c r="W189" s="806"/>
      <c r="X189" s="335">
        <f>+X182</f>
        <v>667.00699999999927</v>
      </c>
      <c r="Y189" s="809"/>
      <c r="Z189" s="411">
        <f>+Z182</f>
        <v>2603.6209999999978</v>
      </c>
      <c r="AA189" s="810"/>
      <c r="AB189" s="434">
        <f>+AB182</f>
        <v>4858.041000000042</v>
      </c>
      <c r="AC189" s="806"/>
      <c r="AD189" s="335">
        <f>+AD182</f>
        <v>408.01799999999935</v>
      </c>
      <c r="AE189" s="807"/>
      <c r="AF189" s="336">
        <f>+AF182</f>
        <v>5266.0590000000411</v>
      </c>
      <c r="AG189" s="806"/>
      <c r="AH189" s="335">
        <f>+AH182</f>
        <v>517.21500000000083</v>
      </c>
      <c r="AI189" s="807"/>
      <c r="AJ189" s="336">
        <f>+AJ182</f>
        <v>5783.2740000000422</v>
      </c>
      <c r="AK189" s="806"/>
      <c r="AL189" s="335">
        <f>+AL182</f>
        <v>873.29200000000094</v>
      </c>
      <c r="AM189" s="809"/>
      <c r="AN189" s="411">
        <f>+AN182</f>
        <v>1798.5250000000012</v>
      </c>
      <c r="AO189" s="807"/>
      <c r="AP189" s="336">
        <f>+AP182</f>
        <v>6656.5660000000425</v>
      </c>
      <c r="AQ189" s="1425"/>
      <c r="AR189" s="335">
        <f>+AR182</f>
        <v>722.11200000000156</v>
      </c>
      <c r="AS189" s="807"/>
      <c r="AT189" s="336">
        <f>+AT182</f>
        <v>7378.6780000000444</v>
      </c>
      <c r="AU189" s="1425"/>
      <c r="AV189" s="335">
        <f>+AV182</f>
        <v>657.28300000000115</v>
      </c>
      <c r="AW189" s="807"/>
      <c r="AX189" s="336">
        <f>+AX182</f>
        <v>8035.9610000000457</v>
      </c>
      <c r="AY189" s="1425"/>
      <c r="AZ189" s="335">
        <f>+AZ182</f>
        <v>910.43500000004155</v>
      </c>
      <c r="BA189" s="809"/>
      <c r="BB189" s="411">
        <f>+BB182</f>
        <v>2289.830000000044</v>
      </c>
      <c r="BC189" s="810"/>
      <c r="BD189" s="434">
        <f>+BD182</f>
        <v>4088.3550000000455</v>
      </c>
      <c r="BE189" s="807"/>
      <c r="BF189" s="336">
        <f>+BF182</f>
        <v>8946.396000000088</v>
      </c>
      <c r="BG189" s="1111"/>
      <c r="BH189" s="3464"/>
      <c r="BI189" s="23"/>
      <c r="BJ189" s="23"/>
      <c r="BK189" s="23"/>
      <c r="BL189" s="23"/>
    </row>
    <row r="190" spans="2:64" x14ac:dyDescent="0.3">
      <c r="B190" s="967" t="s">
        <v>764</v>
      </c>
      <c r="C190" s="243"/>
      <c r="D190" s="146" t="s">
        <v>50</v>
      </c>
      <c r="E190" s="1425"/>
      <c r="F190" s="335">
        <f>+F185</f>
        <v>738.23300000000017</v>
      </c>
      <c r="G190" s="1425"/>
      <c r="H190" s="335">
        <f>+H185</f>
        <v>384.51700000000011</v>
      </c>
      <c r="I190" s="807"/>
      <c r="J190" s="336">
        <f>+J185</f>
        <v>1122.7500000000002</v>
      </c>
      <c r="K190" s="806"/>
      <c r="L190" s="335">
        <f>+L185</f>
        <v>683.41800000000012</v>
      </c>
      <c r="M190" s="808"/>
      <c r="N190" s="411">
        <f>+N185</f>
        <v>1806.1680000000003</v>
      </c>
      <c r="O190" s="806"/>
      <c r="P190" s="335">
        <f>+P185</f>
        <v>835.69500000000016</v>
      </c>
      <c r="Q190" s="807"/>
      <c r="R190" s="336">
        <f>+R185</f>
        <v>2641.8630000000003</v>
      </c>
      <c r="S190" s="806"/>
      <c r="T190" s="335">
        <f>+T185</f>
        <v>686.59700000000021</v>
      </c>
      <c r="U190" s="807"/>
      <c r="V190" s="336">
        <f>+V185</f>
        <v>3328.4600000000005</v>
      </c>
      <c r="W190" s="806"/>
      <c r="X190" s="335">
        <f>+X185</f>
        <v>729.2010000000007</v>
      </c>
      <c r="Y190" s="809"/>
      <c r="Z190" s="411">
        <f>+Z185</f>
        <v>2251.4930000000013</v>
      </c>
      <c r="AA190" s="810"/>
      <c r="AB190" s="434">
        <f>+AB185</f>
        <v>4057.6610000000019</v>
      </c>
      <c r="AC190" s="806"/>
      <c r="AD190" s="335">
        <f>+AD185</f>
        <v>532.15500000000009</v>
      </c>
      <c r="AE190" s="807"/>
      <c r="AF190" s="336">
        <f>+AF185</f>
        <v>4589.8160000000016</v>
      </c>
      <c r="AG190" s="806"/>
      <c r="AH190" s="335">
        <f>+AH185</f>
        <v>613.58000000000038</v>
      </c>
      <c r="AI190" s="807"/>
      <c r="AJ190" s="336">
        <f>+AJ185</f>
        <v>5203.3960000000025</v>
      </c>
      <c r="AK190" s="806"/>
      <c r="AL190" s="335">
        <f>+AL185</f>
        <v>781.54400000000044</v>
      </c>
      <c r="AM190" s="809"/>
      <c r="AN190" s="411">
        <f>+AN185</f>
        <v>1927.2790000000009</v>
      </c>
      <c r="AO190" s="807"/>
      <c r="AP190" s="336">
        <f>+AP185</f>
        <v>5984.9400000000032</v>
      </c>
      <c r="AQ190" s="1425"/>
      <c r="AR190" s="335">
        <f>+AR185</f>
        <v>790.72200000000032</v>
      </c>
      <c r="AS190" s="807"/>
      <c r="AT190" s="336">
        <f>+AT185</f>
        <v>6775.6620000000039</v>
      </c>
      <c r="AU190" s="1425"/>
      <c r="AV190" s="335">
        <f>+AV185</f>
        <v>665.33200000000033</v>
      </c>
      <c r="AW190" s="807"/>
      <c r="AX190" s="336">
        <f>+AX185</f>
        <v>7440.9940000000042</v>
      </c>
      <c r="AY190" s="1425"/>
      <c r="AZ190" s="335">
        <f>+AZ185</f>
        <v>831.40200000000027</v>
      </c>
      <c r="BA190" s="809"/>
      <c r="BB190" s="411">
        <f>+BB185</f>
        <v>2287.456000000001</v>
      </c>
      <c r="BC190" s="810"/>
      <c r="BD190" s="434">
        <f>+BD185</f>
        <v>4214.7350000000024</v>
      </c>
      <c r="BE190" s="807"/>
      <c r="BF190" s="336">
        <f>+BF185</f>
        <v>8272.3960000000043</v>
      </c>
      <c r="BG190" s="1111"/>
      <c r="BH190" s="3464"/>
      <c r="BI190" s="23"/>
      <c r="BJ190" s="23"/>
      <c r="BK190" s="23"/>
      <c r="BL190" s="23"/>
    </row>
    <row r="191" spans="2:64" x14ac:dyDescent="0.3">
      <c r="B191" s="967" t="s">
        <v>791</v>
      </c>
      <c r="C191" s="243"/>
      <c r="D191" s="146" t="s">
        <v>50</v>
      </c>
      <c r="E191" s="1425"/>
      <c r="F191" s="335">
        <f>+F158</f>
        <v>41567.849999999984</v>
      </c>
      <c r="G191" s="1425"/>
      <c r="H191" s="335">
        <f>+H158</f>
        <v>21584.450000000004</v>
      </c>
      <c r="I191" s="807"/>
      <c r="J191" s="336">
        <f>+J158</f>
        <v>63152.299999999996</v>
      </c>
      <c r="K191" s="806"/>
      <c r="L191" s="335">
        <f>+L158</f>
        <v>38408.049999999996</v>
      </c>
      <c r="M191" s="808"/>
      <c r="N191" s="411">
        <f>+N158</f>
        <v>101295.9</v>
      </c>
      <c r="O191" s="806"/>
      <c r="P191" s="335">
        <f>+P158</f>
        <v>47277.099999999991</v>
      </c>
      <c r="Q191" s="807"/>
      <c r="R191" s="336">
        <f>+R158</f>
        <v>148572.99999999997</v>
      </c>
      <c r="S191" s="806"/>
      <c r="T191" s="335">
        <f>+T158</f>
        <v>38800.350000000006</v>
      </c>
      <c r="U191" s="807"/>
      <c r="V191" s="336">
        <f>+V158</f>
        <v>187373.35</v>
      </c>
      <c r="W191" s="806"/>
      <c r="X191" s="335">
        <f>+X158</f>
        <v>41149.650000000016</v>
      </c>
      <c r="Y191" s="809"/>
      <c r="Z191" s="411">
        <f>+Z158</f>
        <v>127227.10000000003</v>
      </c>
      <c r="AA191" s="810"/>
      <c r="AB191" s="434">
        <f>+AB158</f>
        <v>228522.99999999991</v>
      </c>
      <c r="AC191" s="806"/>
      <c r="AD191" s="335">
        <f>+AD158</f>
        <v>30063.250000000004</v>
      </c>
      <c r="AE191" s="807"/>
      <c r="AF191" s="336">
        <f>+AF158</f>
        <v>258586.25</v>
      </c>
      <c r="AG191" s="806"/>
      <c r="AH191" s="335">
        <f>+AH158</f>
        <v>34706.500000000007</v>
      </c>
      <c r="AI191" s="807"/>
      <c r="AJ191" s="336">
        <f>+AJ158</f>
        <v>293292.75000000006</v>
      </c>
      <c r="AK191" s="806"/>
      <c r="AL191" s="335">
        <f>+AL158</f>
        <v>44159.050000000017</v>
      </c>
      <c r="AM191" s="809"/>
      <c r="AN191" s="411">
        <f>+AN158</f>
        <v>108928.80000000005</v>
      </c>
      <c r="AO191" s="807"/>
      <c r="AP191" s="336">
        <f>+AP158</f>
        <v>337451.8</v>
      </c>
      <c r="AQ191" s="1425"/>
      <c r="AR191" s="335">
        <f>+AR158</f>
        <v>44632.60000000002</v>
      </c>
      <c r="AS191" s="807"/>
      <c r="AT191" s="336">
        <f>+AT158</f>
        <v>382084.4</v>
      </c>
      <c r="AU191" s="1425"/>
      <c r="AV191" s="335">
        <f>+AV158</f>
        <v>37469.900000000023</v>
      </c>
      <c r="AW191" s="807"/>
      <c r="AX191" s="336">
        <f>+AX158</f>
        <v>419554.3</v>
      </c>
      <c r="AY191" s="1425"/>
      <c r="AZ191" s="335">
        <f>+AZ158</f>
        <v>46789.200000000004</v>
      </c>
      <c r="BA191" s="809"/>
      <c r="BB191" s="411">
        <f>+BB158</f>
        <v>128891.70000000003</v>
      </c>
      <c r="BC191" s="810"/>
      <c r="BD191" s="434">
        <f>+BD158</f>
        <v>237820.50000000003</v>
      </c>
      <c r="BE191" s="807"/>
      <c r="BF191" s="336">
        <f>+BF158</f>
        <v>466343.49999999994</v>
      </c>
      <c r="BG191" s="1111"/>
      <c r="BH191" s="3464"/>
      <c r="BI191" s="23"/>
      <c r="BJ191" s="23"/>
      <c r="BK191" s="23"/>
      <c r="BL191" s="23"/>
    </row>
    <row r="192" spans="2:64" x14ac:dyDescent="0.3">
      <c r="B192" s="967" t="s">
        <v>788</v>
      </c>
      <c r="C192" s="243"/>
      <c r="D192" s="146" t="s">
        <v>50</v>
      </c>
      <c r="E192" s="1425"/>
      <c r="F192" s="335">
        <f>+F160</f>
        <v>34.849999999999994</v>
      </c>
      <c r="G192" s="1425"/>
      <c r="H192" s="335">
        <f>+H160</f>
        <v>61.500000000000007</v>
      </c>
      <c r="I192" s="807"/>
      <c r="J192" s="336">
        <f>+J160</f>
        <v>96.350000000000023</v>
      </c>
      <c r="K192" s="806"/>
      <c r="L192" s="335">
        <f>+L160</f>
        <v>116.69999999999999</v>
      </c>
      <c r="M192" s="808"/>
      <c r="N192" s="411">
        <f>+N160</f>
        <v>213.05000000000004</v>
      </c>
      <c r="O192" s="806"/>
      <c r="P192" s="335">
        <f>+P160</f>
        <v>213.20000000000002</v>
      </c>
      <c r="Q192" s="807"/>
      <c r="R192" s="336">
        <f>+R160</f>
        <v>426.25</v>
      </c>
      <c r="S192" s="806"/>
      <c r="T192" s="335">
        <f>+T160</f>
        <v>82</v>
      </c>
      <c r="U192" s="807"/>
      <c r="V192" s="336">
        <f>+V160</f>
        <v>508.25000000000011</v>
      </c>
      <c r="W192" s="806"/>
      <c r="X192" s="335">
        <f>+X160</f>
        <v>143.50000000000003</v>
      </c>
      <c r="Y192" s="809"/>
      <c r="Z192" s="411">
        <f>+Z160</f>
        <v>438.7</v>
      </c>
      <c r="AA192" s="810"/>
      <c r="AB192" s="434">
        <f>+AB160</f>
        <v>651.74999999999989</v>
      </c>
      <c r="AC192" s="806"/>
      <c r="AD192" s="335">
        <f>+AD160</f>
        <v>28.7</v>
      </c>
      <c r="AE192" s="807"/>
      <c r="AF192" s="336">
        <f>+AF160</f>
        <v>680.44999999999993</v>
      </c>
      <c r="AG192" s="806"/>
      <c r="AH192" s="335">
        <f>+AH160</f>
        <v>92.25</v>
      </c>
      <c r="AI192" s="807"/>
      <c r="AJ192" s="336">
        <f>+AJ160</f>
        <v>772.69999999999982</v>
      </c>
      <c r="AK192" s="806"/>
      <c r="AL192" s="335">
        <f>+AL160</f>
        <v>151.70000000000002</v>
      </c>
      <c r="AM192" s="809"/>
      <c r="AN192" s="411">
        <f>+AN160</f>
        <v>272.64999999999998</v>
      </c>
      <c r="AO192" s="807"/>
      <c r="AP192" s="336">
        <f>+AP160</f>
        <v>924.4</v>
      </c>
      <c r="AQ192" s="1425"/>
      <c r="AR192" s="335">
        <f>+AR160</f>
        <v>43.050000000000004</v>
      </c>
      <c r="AS192" s="807"/>
      <c r="AT192" s="336">
        <f>+AT160</f>
        <v>967.44999999999993</v>
      </c>
      <c r="AU192" s="1425"/>
      <c r="AV192" s="335">
        <f>+AV160</f>
        <v>49.199999999999989</v>
      </c>
      <c r="AW192" s="807"/>
      <c r="AX192" s="336">
        <f>+AX160</f>
        <v>1016.6499999999999</v>
      </c>
      <c r="AY192" s="1425"/>
      <c r="AZ192" s="335">
        <f>+AZ160</f>
        <v>96.35</v>
      </c>
      <c r="BA192" s="809"/>
      <c r="BB192" s="411">
        <f>+BB160</f>
        <v>188.60000000000002</v>
      </c>
      <c r="BC192" s="810"/>
      <c r="BD192" s="434">
        <f>+BD160</f>
        <v>461.25000000000006</v>
      </c>
      <c r="BE192" s="807"/>
      <c r="BF192" s="336">
        <f>+BF160</f>
        <v>1112.9999999999998</v>
      </c>
      <c r="BG192" s="1111"/>
      <c r="BH192" s="3464"/>
      <c r="BI192" s="23"/>
      <c r="BJ192" s="23"/>
      <c r="BK192" s="23"/>
      <c r="BL192" s="23"/>
    </row>
    <row r="193" spans="2:64" ht="15" thickBot="1" x14ac:dyDescent="0.35">
      <c r="B193" s="969" t="s">
        <v>789</v>
      </c>
      <c r="C193" s="854"/>
      <c r="D193" s="821" t="s">
        <v>50</v>
      </c>
      <c r="E193" s="1423"/>
      <c r="F193" s="971">
        <f>+F191-F192</f>
        <v>41532.999999999985</v>
      </c>
      <c r="G193" s="1423"/>
      <c r="H193" s="971">
        <f>+H191-H192</f>
        <v>21522.950000000004</v>
      </c>
      <c r="I193" s="972"/>
      <c r="J193" s="973">
        <f>+J191-J192</f>
        <v>63055.95</v>
      </c>
      <c r="K193" s="970"/>
      <c r="L193" s="971">
        <f>+L191-L192</f>
        <v>38291.35</v>
      </c>
      <c r="M193" s="974"/>
      <c r="N193" s="986">
        <f>+N191-N192</f>
        <v>101082.84999999999</v>
      </c>
      <c r="O193" s="970"/>
      <c r="P193" s="971">
        <f>+P191-P192</f>
        <v>47063.899999999994</v>
      </c>
      <c r="Q193" s="972"/>
      <c r="R193" s="973">
        <f>+R191-R192</f>
        <v>148146.74999999997</v>
      </c>
      <c r="S193" s="970"/>
      <c r="T193" s="971">
        <f>+T191-T192</f>
        <v>38718.350000000006</v>
      </c>
      <c r="U193" s="972"/>
      <c r="V193" s="973">
        <f>+V191-V192</f>
        <v>186865.1</v>
      </c>
      <c r="W193" s="970"/>
      <c r="X193" s="971">
        <f>+X191-X192</f>
        <v>41006.150000000016</v>
      </c>
      <c r="Y193" s="975"/>
      <c r="Z193" s="986">
        <f>+Z191-Z192</f>
        <v>126788.40000000004</v>
      </c>
      <c r="AA193" s="976"/>
      <c r="AB193" s="987">
        <f>+AB191-AB192</f>
        <v>227871.24999999991</v>
      </c>
      <c r="AC193" s="970"/>
      <c r="AD193" s="971">
        <f>+AD191-AD192</f>
        <v>30034.550000000003</v>
      </c>
      <c r="AE193" s="972"/>
      <c r="AF193" s="973">
        <f>+AF191-AF192</f>
        <v>257905.8</v>
      </c>
      <c r="AG193" s="970"/>
      <c r="AH193" s="971">
        <f>+AH191-AH192</f>
        <v>34614.250000000007</v>
      </c>
      <c r="AI193" s="972"/>
      <c r="AJ193" s="973">
        <f>+AJ191-AJ192</f>
        <v>292520.05000000005</v>
      </c>
      <c r="AK193" s="970"/>
      <c r="AL193" s="971">
        <f>+AL191-AL192</f>
        <v>44007.35000000002</v>
      </c>
      <c r="AM193" s="975"/>
      <c r="AN193" s="986">
        <f>+AN191-AN192</f>
        <v>108656.15000000005</v>
      </c>
      <c r="AO193" s="972"/>
      <c r="AP193" s="973">
        <f>+AP191-AP192</f>
        <v>336527.39999999997</v>
      </c>
      <c r="AQ193" s="1423"/>
      <c r="AR193" s="971">
        <f>+AR191-AR192</f>
        <v>44589.550000000017</v>
      </c>
      <c r="AS193" s="972"/>
      <c r="AT193" s="973">
        <f>+AT191-AT192</f>
        <v>381116.95</v>
      </c>
      <c r="AU193" s="1423"/>
      <c r="AV193" s="971">
        <f>+AV191-AV192</f>
        <v>37420.700000000026</v>
      </c>
      <c r="AW193" s="972"/>
      <c r="AX193" s="973">
        <f>+AX191-AX192</f>
        <v>418537.64999999997</v>
      </c>
      <c r="AY193" s="1423"/>
      <c r="AZ193" s="971">
        <f>+AZ191-AZ192</f>
        <v>46692.850000000006</v>
      </c>
      <c r="BA193" s="975"/>
      <c r="BB193" s="986">
        <f>+BB191-BB192</f>
        <v>128703.10000000002</v>
      </c>
      <c r="BC193" s="976"/>
      <c r="BD193" s="987">
        <f>+BD191-BD192</f>
        <v>237359.25000000003</v>
      </c>
      <c r="BE193" s="972"/>
      <c r="BF193" s="973">
        <f>+BF191-BF192</f>
        <v>465230.49999999994</v>
      </c>
      <c r="BG193" s="1111"/>
      <c r="BH193" s="3464"/>
      <c r="BI193" s="23"/>
      <c r="BJ193" s="23"/>
      <c r="BK193" s="23"/>
      <c r="BL193" s="23"/>
    </row>
    <row r="194" spans="2:64" x14ac:dyDescent="0.3">
      <c r="B194" s="142"/>
      <c r="C194" s="142"/>
      <c r="D194" s="142"/>
      <c r="E194" s="142"/>
      <c r="F194" s="142"/>
      <c r="G194" s="142"/>
      <c r="H194" s="142"/>
      <c r="I194" s="142"/>
      <c r="J194" s="142"/>
      <c r="K194" s="142"/>
      <c r="L194" s="142"/>
      <c r="M194" s="142"/>
      <c r="N194" s="142"/>
      <c r="O194" s="142"/>
      <c r="Q194" s="142"/>
      <c r="R194" s="142"/>
      <c r="S194" s="142"/>
      <c r="T194" s="142"/>
      <c r="U194" s="142"/>
      <c r="V194" s="142"/>
      <c r="W194" s="142"/>
      <c r="X194" s="142"/>
      <c r="Y194" s="578"/>
      <c r="Z194" s="578"/>
      <c r="AA194" s="578"/>
      <c r="AB194" s="578"/>
      <c r="AC194" s="142"/>
      <c r="AD194" s="142"/>
      <c r="AE194" s="142"/>
      <c r="AF194" s="142"/>
      <c r="AG194" s="142"/>
      <c r="AH194" s="142"/>
      <c r="AI194" s="142"/>
      <c r="AJ194" s="142"/>
      <c r="AK194" s="142"/>
      <c r="AL194" s="142"/>
      <c r="AM194" s="578"/>
      <c r="AN194" s="578"/>
      <c r="AO194" s="142"/>
      <c r="AP194" s="142"/>
      <c r="AQ194" s="142"/>
      <c r="AR194" s="88"/>
      <c r="AS194" s="142"/>
      <c r="AT194" s="142"/>
      <c r="AU194" s="142"/>
      <c r="AV194" s="88"/>
      <c r="AW194" s="142"/>
      <c r="AX194" s="142"/>
      <c r="AY194" s="142"/>
      <c r="AZ194" s="88"/>
      <c r="BA194" s="578"/>
      <c r="BB194" s="578"/>
      <c r="BC194" s="578"/>
      <c r="BD194" s="578"/>
      <c r="BE194" s="142"/>
      <c r="BF194" s="142"/>
      <c r="BG194" s="1111"/>
      <c r="BH194" s="3464"/>
      <c r="BI194" s="23"/>
      <c r="BJ194" s="23"/>
      <c r="BK194" s="23"/>
      <c r="BL194" s="23"/>
    </row>
    <row r="195" spans="2:64" ht="15" thickBot="1" x14ac:dyDescent="0.35">
      <c r="B195" s="137"/>
      <c r="C195" s="137"/>
      <c r="D195" s="137"/>
      <c r="E195" s="137"/>
      <c r="F195" s="137"/>
      <c r="G195" s="137"/>
      <c r="H195" s="137"/>
      <c r="I195" s="190"/>
      <c r="J195" s="142"/>
      <c r="K195" s="137"/>
      <c r="L195" s="137"/>
      <c r="M195" s="137"/>
      <c r="N195" s="137"/>
      <c r="O195" s="137"/>
      <c r="P195" s="137"/>
      <c r="Q195" s="137"/>
      <c r="R195" s="137"/>
      <c r="S195" s="137"/>
      <c r="T195" s="137"/>
      <c r="U195" s="137"/>
      <c r="V195" s="137"/>
      <c r="W195" s="137"/>
      <c r="X195" s="137"/>
      <c r="Y195" s="137"/>
      <c r="Z195" s="137"/>
      <c r="AA195" s="137"/>
      <c r="AB195" s="137"/>
      <c r="AC195" s="137"/>
      <c r="AD195" s="137"/>
      <c r="AE195" s="137"/>
      <c r="AF195" s="137"/>
      <c r="AG195" s="137"/>
      <c r="AH195" s="137"/>
      <c r="AI195" s="137"/>
      <c r="AJ195" s="137"/>
      <c r="AK195" s="137"/>
      <c r="AL195" s="137"/>
      <c r="AM195" s="137"/>
      <c r="AN195" s="137"/>
      <c r="AO195" s="23"/>
      <c r="AP195" s="23"/>
      <c r="AQ195" s="190"/>
      <c r="AR195" s="88"/>
      <c r="AS195" s="23"/>
      <c r="AT195" s="23"/>
      <c r="AU195" s="190"/>
      <c r="AV195" s="88"/>
      <c r="AW195" s="23"/>
      <c r="AX195" s="23"/>
      <c r="AY195" s="190"/>
      <c r="AZ195" s="88"/>
      <c r="BA195" s="137"/>
      <c r="BB195" s="137"/>
      <c r="BC195" s="137"/>
      <c r="BD195" s="137"/>
      <c r="BE195" s="23"/>
      <c r="BF195" s="23"/>
      <c r="BG195" s="1111"/>
      <c r="BH195" s="3464"/>
      <c r="BI195" s="23"/>
      <c r="BJ195" s="23"/>
      <c r="BK195" s="23"/>
      <c r="BL195" s="23"/>
    </row>
    <row r="196" spans="2:64" ht="15" thickBot="1" x14ac:dyDescent="0.35">
      <c r="B196" s="598" t="s">
        <v>1113</v>
      </c>
      <c r="C196" s="406"/>
      <c r="D196" s="406"/>
      <c r="E196" s="406"/>
      <c r="F196" s="2544">
        <f>+F158</f>
        <v>41567.849999999984</v>
      </c>
      <c r="G196" s="406"/>
      <c r="H196" s="2544">
        <f>+H158</f>
        <v>21584.450000000004</v>
      </c>
      <c r="I196" s="1106"/>
      <c r="J196" s="365">
        <f>+J158</f>
        <v>63152.299999999996</v>
      </c>
      <c r="K196" s="406"/>
      <c r="L196" s="2544">
        <f>+L158</f>
        <v>38408.049999999996</v>
      </c>
      <c r="M196" s="573"/>
      <c r="N196" s="411">
        <f>+N158</f>
        <v>101295.9</v>
      </c>
      <c r="O196" s="406"/>
      <c r="P196" s="2544">
        <f>+P158</f>
        <v>47277.099999999991</v>
      </c>
      <c r="Q196" s="572"/>
      <c r="R196" s="336">
        <f>+R158</f>
        <v>148572.99999999997</v>
      </c>
      <c r="S196" s="406"/>
      <c r="T196" s="2544">
        <f>+T158</f>
        <v>38800.350000000006</v>
      </c>
      <c r="U196" s="572"/>
      <c r="V196" s="336">
        <f>+V158</f>
        <v>187373.35</v>
      </c>
      <c r="W196" s="406"/>
      <c r="X196" s="2544">
        <f>+X158</f>
        <v>41149.650000000016</v>
      </c>
      <c r="Y196" s="988"/>
      <c r="Z196" s="411">
        <f>+Z158</f>
        <v>127227.10000000003</v>
      </c>
      <c r="AA196" s="989"/>
      <c r="AB196" s="434">
        <f>+AB158</f>
        <v>228522.99999999991</v>
      </c>
      <c r="AC196" s="406"/>
      <c r="AD196" s="2544">
        <f>+AD158</f>
        <v>30063.250000000004</v>
      </c>
      <c r="AE196" s="336"/>
      <c r="AF196" s="336">
        <f>+AF158</f>
        <v>258586.25</v>
      </c>
      <c r="AG196" s="406"/>
      <c r="AH196" s="2544">
        <f>+AH158</f>
        <v>34706.500000000007</v>
      </c>
      <c r="AI196" s="336"/>
      <c r="AJ196" s="336">
        <f>+AJ158</f>
        <v>293292.75000000006</v>
      </c>
      <c r="AK196" s="406"/>
      <c r="AL196" s="2544">
        <f>+AL158</f>
        <v>44159.050000000017</v>
      </c>
      <c r="AM196" s="988"/>
      <c r="AN196" s="411">
        <f>+AN158</f>
        <v>108928.80000000005</v>
      </c>
      <c r="AO196" s="336"/>
      <c r="AP196" s="336">
        <f>+AP158</f>
        <v>337451.8</v>
      </c>
      <c r="AQ196" s="1106"/>
      <c r="AR196" s="335">
        <f>+AR158</f>
        <v>44632.60000000002</v>
      </c>
      <c r="AS196" s="336"/>
      <c r="AT196" s="336">
        <f>+AT158</f>
        <v>382084.4</v>
      </c>
      <c r="AU196" s="1106"/>
      <c r="AV196" s="335">
        <f>+AV158</f>
        <v>37469.900000000023</v>
      </c>
      <c r="AW196" s="336"/>
      <c r="AX196" s="336">
        <f>+AX158</f>
        <v>419554.3</v>
      </c>
      <c r="AY196" s="1106"/>
      <c r="AZ196" s="335">
        <f>+AZ158</f>
        <v>46789.200000000004</v>
      </c>
      <c r="BA196" s="988"/>
      <c r="BB196" s="411">
        <f>+BB158</f>
        <v>128891.70000000003</v>
      </c>
      <c r="BC196" s="989"/>
      <c r="BD196" s="434">
        <f>+BD158</f>
        <v>237820.50000000003</v>
      </c>
      <c r="BE196" s="336"/>
      <c r="BF196" s="336">
        <f>+BF158</f>
        <v>466343.49999999994</v>
      </c>
      <c r="BG196" s="1111"/>
      <c r="BH196" s="3464"/>
      <c r="BI196" s="23"/>
      <c r="BJ196" s="23"/>
      <c r="BK196" s="23"/>
      <c r="BL196" s="23"/>
    </row>
    <row r="197" spans="2:64" x14ac:dyDescent="0.3">
      <c r="E197"/>
      <c r="F197"/>
      <c r="G197"/>
      <c r="H197"/>
      <c r="I197"/>
      <c r="J197"/>
      <c r="K197"/>
      <c r="L197"/>
      <c r="M197"/>
      <c r="N197"/>
      <c r="O197"/>
      <c r="P197"/>
      <c r="Q197"/>
      <c r="R197"/>
      <c r="BE197" s="23"/>
      <c r="BF197" s="23"/>
      <c r="BG197" s="1111"/>
      <c r="BH197" s="3464"/>
      <c r="BI197" s="23"/>
      <c r="BJ197" s="23"/>
      <c r="BK197" s="23"/>
      <c r="BL197" s="23"/>
    </row>
    <row r="198" spans="2:64" x14ac:dyDescent="0.3">
      <c r="E198"/>
      <c r="F198"/>
      <c r="G198"/>
      <c r="H198"/>
      <c r="K198"/>
      <c r="L198"/>
      <c r="O198"/>
      <c r="P198"/>
      <c r="U198" s="82"/>
      <c r="V198" s="88"/>
      <c r="BE198" s="23"/>
      <c r="BF198" s="23"/>
      <c r="BG198" s="1111"/>
      <c r="BH198" s="3464"/>
      <c r="BI198" s="23"/>
      <c r="BJ198" s="23"/>
      <c r="BK198" s="23"/>
      <c r="BL198" s="23"/>
    </row>
    <row r="199" spans="2:64" x14ac:dyDescent="0.3">
      <c r="B199" s="1508" t="s">
        <v>1241</v>
      </c>
      <c r="C199" s="1508"/>
      <c r="D199" s="1508"/>
      <c r="E199" s="1508"/>
      <c r="F199" s="1509">
        <f>+SUM(F7:F123)+SUM(F130:F142)</f>
        <v>41532.999999999985</v>
      </c>
      <c r="G199" s="1508"/>
      <c r="H199" s="1509">
        <f>+SUM(H7:H123)+SUM(H130:H142)</f>
        <v>21522.950000000004</v>
      </c>
      <c r="I199" s="1510"/>
      <c r="J199" s="1509">
        <f>+SUM(J7:J128)+SUM(J130:J142)</f>
        <v>63055.94999999999</v>
      </c>
      <c r="K199" s="1508"/>
      <c r="L199" s="1509">
        <f>+SUM(L7:L123)+SUM(L130:L142)</f>
        <v>28929.599999999991</v>
      </c>
      <c r="M199" s="1510"/>
      <c r="N199" s="1509">
        <f>+SUM(N7:N123)+SUM(N130:N142)</f>
        <v>91721.099999999991</v>
      </c>
      <c r="O199" s="1508"/>
      <c r="P199" s="1509">
        <f>+SUM(P7:P123)+SUM(P130:P142)</f>
        <v>35815.549999999988</v>
      </c>
      <c r="Q199" s="1510"/>
      <c r="R199" s="1509">
        <f>+SUM(R7:R128)+SUM(R130:R142)</f>
        <v>148146.74999999997</v>
      </c>
      <c r="S199" s="1508"/>
      <c r="T199" s="1509">
        <f>+SUM(T7:T123)+SUM(T130:T142)</f>
        <v>38718.350000000006</v>
      </c>
      <c r="U199" s="1510"/>
      <c r="V199" s="1509">
        <f>+SUM(V7:V123)+SUM(V130:V142)</f>
        <v>166255.00000000003</v>
      </c>
      <c r="W199" s="1508"/>
      <c r="X199" s="1509">
        <f>+SUM(X7:X123)+SUM(X130:X142)</f>
        <v>41006.150000000009</v>
      </c>
      <c r="Y199" s="1508"/>
      <c r="Z199" s="1509">
        <f>+SUM(Z7:Z123)+SUM(Z130:Z142)</f>
        <v>115540.05000000003</v>
      </c>
      <c r="AA199" s="1509"/>
      <c r="AB199" s="1509">
        <f>+SUM(AB7:AB123)+SUM(AB130:AB142)</f>
        <v>207261.15</v>
      </c>
      <c r="AC199" s="1508"/>
      <c r="AD199" s="1509">
        <f>+SUM(AD7:AD123)+SUM(AD130:AD142)</f>
        <v>30034.55</v>
      </c>
      <c r="AF199" s="1509">
        <f>+SUM(AF8:AF123)+SUM(AF130:AF142)</f>
        <v>237264.95000000004</v>
      </c>
      <c r="AG199" s="1508"/>
      <c r="AH199" s="1509">
        <f>+SUM(AH7:AH123)+SUM(AH130:AH142)</f>
        <v>34614.25</v>
      </c>
      <c r="AJ199" s="1509">
        <f>+SUM(AJ8:AJ123)+SUM(AJ130:AJ142)</f>
        <v>271879.20000000007</v>
      </c>
      <c r="AK199" s="1508"/>
      <c r="AL199" s="1509">
        <f>+SUM(AL7:AL123)+SUM(AL130:AL142)</f>
        <v>44007.350000000013</v>
      </c>
      <c r="AM199" s="1508"/>
      <c r="AN199" s="1509">
        <f>+SUM(AN7:AN123)+SUM(AN130:AN142)</f>
        <v>108656.15000000002</v>
      </c>
      <c r="AP199" s="1509">
        <f>+SUM(AP8:AP123)+SUM(AP130:AP142)</f>
        <v>315886.5500000001</v>
      </c>
      <c r="AQ199" s="1508"/>
      <c r="AR199" s="1509">
        <f>+SUM(AR7:AR123)+SUM(AR130:AR142)</f>
        <v>44589.55000000001</v>
      </c>
      <c r="AT199" s="1509">
        <f>+SUM(AT7:AT123)+SUM(AT130:AT142)</f>
        <v>360506.85000000009</v>
      </c>
      <c r="AU199" s="1508"/>
      <c r="AV199" s="1509">
        <f>+SUM(AV7:AV123)+SUM(AV130:AV142)</f>
        <v>37420.700000000019</v>
      </c>
      <c r="AX199" s="1509">
        <f>+SUM(AX7:AX123)+SUM(AX130:AX142)</f>
        <v>397927.55000000005</v>
      </c>
      <c r="AY199" s="1508"/>
      <c r="AZ199" s="1509">
        <f>+SUM(AZ7:AZ123)+SUM(AZ130:AZ142)</f>
        <v>46692.85</v>
      </c>
      <c r="BA199" s="1508"/>
      <c r="BB199" s="1509">
        <f>+SUM(BB7:BB123)+SUM(BB130:BB142)</f>
        <v>128703.10000000002</v>
      </c>
      <c r="BC199" s="1509"/>
      <c r="BD199" s="1509">
        <f>+SUM(BD7:BD123)+SUM(BD130:BD142)</f>
        <v>237359.25000000006</v>
      </c>
      <c r="BE199" s="1509"/>
      <c r="BF199" s="1509">
        <f>+SUM(BF7:BF123)+SUM(BF130:BF142)</f>
        <v>444620.4</v>
      </c>
      <c r="BG199" s="1111"/>
      <c r="BH199" s="3464"/>
      <c r="BI199" s="23"/>
      <c r="BJ199" s="23"/>
      <c r="BK199" s="23"/>
      <c r="BL199" s="23"/>
    </row>
    <row r="200" spans="2:64" x14ac:dyDescent="0.3">
      <c r="B200" s="1508" t="s">
        <v>598</v>
      </c>
      <c r="C200" s="1508"/>
      <c r="D200" s="1508"/>
      <c r="E200" s="1510"/>
      <c r="F200" s="1511">
        <f>+F159-F199</f>
        <v>0</v>
      </c>
      <c r="G200" s="1510"/>
      <c r="H200" s="1511">
        <f>+H159-H199</f>
        <v>0</v>
      </c>
      <c r="I200" s="1510"/>
      <c r="J200" s="1511">
        <f>+J159-J199</f>
        <v>0</v>
      </c>
      <c r="K200" s="1510"/>
      <c r="L200" s="1511">
        <f>+L159-L199</f>
        <v>9361.75</v>
      </c>
      <c r="M200" s="1510"/>
      <c r="N200" s="1511">
        <f>+N159-N199</f>
        <v>9361.7499999999854</v>
      </c>
      <c r="O200" s="1510"/>
      <c r="P200" s="1511">
        <f>+P159-P199</f>
        <v>11248.350000000006</v>
      </c>
      <c r="Q200" s="1510"/>
      <c r="R200" s="1511">
        <f>+R159-R199</f>
        <v>0</v>
      </c>
      <c r="S200" s="1510"/>
      <c r="T200" s="1511">
        <f>+T159-T199</f>
        <v>0</v>
      </c>
      <c r="U200" s="1510"/>
      <c r="V200" s="1511">
        <f>+V159-V199</f>
        <v>20610.099999999977</v>
      </c>
      <c r="W200" s="1510"/>
      <c r="X200" s="1511">
        <f>+X159-X199</f>
        <v>0</v>
      </c>
      <c r="Y200" s="1508"/>
      <c r="Z200" s="1511">
        <f>+Z159-Z199</f>
        <v>11248.35000000002</v>
      </c>
      <c r="AA200" s="1511"/>
      <c r="AB200" s="1511">
        <f>+AB159-AB199</f>
        <v>20610.099999999948</v>
      </c>
      <c r="AC200" s="1510"/>
      <c r="AD200" s="1511">
        <f>+AD159-AD199</f>
        <v>0</v>
      </c>
      <c r="AF200" s="1511">
        <f>+AF159-AF199</f>
        <v>20640.849999999977</v>
      </c>
      <c r="AG200" s="1510"/>
      <c r="AH200" s="1511">
        <f>+AH159-AH199</f>
        <v>0</v>
      </c>
      <c r="AJ200" s="1511">
        <f>+AJ159-AJ199</f>
        <v>20640.849999999977</v>
      </c>
      <c r="AK200" s="1510"/>
      <c r="AL200" s="1511">
        <f>+AL159-AL199</f>
        <v>0</v>
      </c>
      <c r="AM200" s="1508"/>
      <c r="AN200" s="1511">
        <f>+AN159-AN199</f>
        <v>0</v>
      </c>
      <c r="AP200" s="1511">
        <f>+AP159-AP199</f>
        <v>20640.849999999919</v>
      </c>
      <c r="AQ200" s="1508"/>
      <c r="AR200" s="1511">
        <f>+AR159-AR199</f>
        <v>0</v>
      </c>
      <c r="AT200" s="1511">
        <f>+AT159-AT199</f>
        <v>20610.099999999977</v>
      </c>
      <c r="AU200" s="1508"/>
      <c r="AV200" s="1511">
        <f>+AV159-AV199</f>
        <v>0</v>
      </c>
      <c r="AX200" s="1511">
        <f>+AX159-AX199</f>
        <v>20610.100000000035</v>
      </c>
      <c r="AY200" s="1508"/>
      <c r="AZ200" s="1511">
        <f>+AZ159-AZ199</f>
        <v>0</v>
      </c>
      <c r="BA200" s="1508"/>
      <c r="BB200" s="1511">
        <f>+BB159-BB199</f>
        <v>0</v>
      </c>
      <c r="BC200" s="1511"/>
      <c r="BD200" s="1511">
        <f>+BD159-BD199</f>
        <v>0</v>
      </c>
      <c r="BE200" s="1511"/>
      <c r="BF200" s="1511">
        <f>+BF159-BF199</f>
        <v>20610.099999999977</v>
      </c>
      <c r="BG200" s="1111"/>
      <c r="BH200" s="3464"/>
      <c r="BI200" s="23"/>
      <c r="BJ200" s="23"/>
      <c r="BK200" s="23"/>
      <c r="BL200" s="23"/>
    </row>
    <row r="201" spans="2:64" x14ac:dyDescent="0.3">
      <c r="BG201" s="1111"/>
      <c r="BH201" s="3464"/>
      <c r="BI201" s="23"/>
      <c r="BJ201" s="23"/>
      <c r="BK201" s="23"/>
      <c r="BL201" s="23"/>
    </row>
    <row r="202" spans="2:64" x14ac:dyDescent="0.3">
      <c r="C202" s="251"/>
      <c r="F202" s="110"/>
      <c r="G202" s="110"/>
      <c r="H202" s="110"/>
      <c r="I202" s="110"/>
      <c r="J202" s="110"/>
      <c r="K202" s="110"/>
      <c r="L202" s="110"/>
      <c r="M202" s="110"/>
      <c r="N202" s="110"/>
      <c r="O202" s="110"/>
      <c r="P202" s="110"/>
      <c r="Q202" s="110"/>
      <c r="R202" s="110"/>
      <c r="S202" s="110"/>
      <c r="T202" s="110"/>
      <c r="U202" s="110"/>
      <c r="V202" s="110"/>
      <c r="W202" s="110"/>
      <c r="X202" s="110"/>
      <c r="Y202" s="110"/>
      <c r="Z202" s="110"/>
      <c r="AA202" s="110"/>
      <c r="AB202" s="110"/>
      <c r="AM202" s="110"/>
      <c r="AN202" s="110"/>
      <c r="BG202" s="1111"/>
      <c r="BH202" s="3464"/>
      <c r="BI202" s="23"/>
      <c r="BJ202" s="23"/>
      <c r="BK202" s="23"/>
      <c r="BL202" s="23"/>
    </row>
    <row r="203" spans="2:64" x14ac:dyDescent="0.3">
      <c r="F203" s="110"/>
      <c r="G203" s="110"/>
      <c r="H203" s="110"/>
      <c r="I203" s="110"/>
      <c r="J203" s="110"/>
      <c r="K203" s="110">
        <f>K159-'Maj Production Summ'!K30</f>
        <v>0</v>
      </c>
      <c r="L203" s="110">
        <f>L159-'Maj Production Summ'!L30</f>
        <v>0</v>
      </c>
      <c r="M203" s="110">
        <f>M159-'Maj Production Summ'!M30</f>
        <v>0</v>
      </c>
      <c r="N203" s="110">
        <f>N159-'Maj Production Summ'!N30</f>
        <v>-264.45000000001164</v>
      </c>
      <c r="O203" s="110">
        <f>O159-'Maj Production Summ'!O30</f>
        <v>0</v>
      </c>
      <c r="P203" s="110">
        <f>P159-'Maj Production Summ'!P30</f>
        <v>0</v>
      </c>
      <c r="Q203" s="110"/>
      <c r="R203" s="110"/>
      <c r="S203" s="110">
        <f>S159-'Maj Production Summ'!S30</f>
        <v>0</v>
      </c>
      <c r="T203" s="110">
        <f>T159-'Maj Production Summ'!T30</f>
        <v>0</v>
      </c>
      <c r="U203" s="110"/>
      <c r="V203" s="110"/>
      <c r="W203" s="110">
        <f>W159-'Maj Production Summ'!W30</f>
        <v>0</v>
      </c>
      <c r="X203" s="110">
        <f>X159-'Maj Production Summ'!X30</f>
        <v>0</v>
      </c>
      <c r="Y203" s="110">
        <f>Y159-'Maj Production Summ'!Y30</f>
        <v>0</v>
      </c>
      <c r="Z203" s="110">
        <f>Z159-'Maj Production Summ'!Z30</f>
        <v>0</v>
      </c>
      <c r="AA203" s="110">
        <f>AA159-'Maj Production Summ'!AA30</f>
        <v>0</v>
      </c>
      <c r="AB203" s="110">
        <f>AB159-'Maj Production Summ'!AB30</f>
        <v>-264.45000000006985</v>
      </c>
      <c r="AC203" s="110">
        <f>AC159-'Maj Production Summ'!AC30</f>
        <v>0</v>
      </c>
      <c r="AD203" s="110">
        <f>AD159-'Maj Production Summ'!AD30</f>
        <v>0</v>
      </c>
      <c r="AE203" s="110">
        <f>AE159-'Maj Production Summ'!AE30</f>
        <v>0</v>
      </c>
      <c r="AF203" s="110">
        <f>AF159-'Maj Production Summ'!AF30</f>
        <v>-264.44999999998254</v>
      </c>
      <c r="AG203" s="110">
        <f>AG159-'Maj Production Summ'!AG30</f>
        <v>0</v>
      </c>
      <c r="AH203" s="110">
        <f>AH159-'Maj Production Summ'!AH30</f>
        <v>0</v>
      </c>
      <c r="AI203" s="110">
        <f>AI159-'Maj Production Summ'!AI30</f>
        <v>0</v>
      </c>
      <c r="AJ203" s="110">
        <f>AJ159-'Maj Production Summ'!AJ30</f>
        <v>-264.44999999995343</v>
      </c>
      <c r="AK203" s="110">
        <f>AK159-'Maj Production Summ'!AK30</f>
        <v>0</v>
      </c>
      <c r="AL203" s="110">
        <f>AL159-'Maj Production Summ'!AL30</f>
        <v>0</v>
      </c>
      <c r="AN203" s="110">
        <f>AN159-'Maj Production Summ'!AN30</f>
        <v>0</v>
      </c>
      <c r="AP203" s="110">
        <f>AP159-'Maj Production Summ'!AP30</f>
        <v>-264.45000000001164</v>
      </c>
      <c r="AQ203" s="110">
        <f>AQ159-'Maj Production Summ'!AQ30</f>
        <v>0</v>
      </c>
      <c r="AR203" s="110">
        <f>AR159-'Maj Production Summ'!AR30</f>
        <v>0</v>
      </c>
      <c r="AT203" s="110">
        <f>AT159-'Maj Production Summ'!AT30</f>
        <v>-264.44999999995343</v>
      </c>
      <c r="AU203" s="110">
        <f>AU159-'Maj Production Summ'!AU30</f>
        <v>0</v>
      </c>
      <c r="AV203" s="110">
        <f>AV159-'Maj Production Summ'!AV30</f>
        <v>0</v>
      </c>
      <c r="AW203" s="110">
        <f>AW159-'Maj Production Summ'!AW30</f>
        <v>0</v>
      </c>
      <c r="AX203" s="110">
        <f>AX159-'Maj Production Summ'!AX30</f>
        <v>-264.44999999995343</v>
      </c>
      <c r="AY203" s="110">
        <f>AY159-'Maj Production Summ'!AY30</f>
        <v>0</v>
      </c>
      <c r="AZ203" s="110">
        <f>AZ159-'Maj Production Summ'!AZ30</f>
        <v>0</v>
      </c>
      <c r="BA203" s="110">
        <f>BA159-'Maj Production Summ'!BA30</f>
        <v>0</v>
      </c>
      <c r="BB203" s="110">
        <f>BB159-'Maj Production Summ'!BB30</f>
        <v>0</v>
      </c>
      <c r="BC203" s="110">
        <f>BC159-'Maj Production Summ'!BC30</f>
        <v>0</v>
      </c>
      <c r="BD203" s="110">
        <f>BD159-'Maj Production Summ'!BD30</f>
        <v>0</v>
      </c>
      <c r="BE203" s="110">
        <f>BE159-'Maj Production Summ'!BE30</f>
        <v>0</v>
      </c>
      <c r="BF203" s="110">
        <f>BF159-'Maj Production Summ'!BF30</f>
        <v>-264.45000000001164</v>
      </c>
      <c r="BG203" s="1111"/>
      <c r="BH203" s="3464"/>
      <c r="BI203" s="23"/>
      <c r="BJ203" s="23"/>
      <c r="BK203" s="23"/>
      <c r="BL203" s="23"/>
    </row>
    <row r="204" spans="2:64" x14ac:dyDescent="0.3">
      <c r="E204" s="23"/>
      <c r="F204" s="23"/>
      <c r="G204" s="23"/>
      <c r="H204" s="110"/>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row>
    <row r="205" spans="2:64" ht="15.75" customHeight="1" x14ac:dyDescent="0.3">
      <c r="E205" s="4969"/>
      <c r="F205" s="4970"/>
      <c r="G205" s="4969"/>
      <c r="H205" s="4970"/>
      <c r="I205" s="4969"/>
      <c r="J205" s="4970"/>
      <c r="K205" s="4971">
        <v>42500</v>
      </c>
      <c r="L205" s="4970">
        <v>38408.049999999996</v>
      </c>
      <c r="M205" s="4969">
        <v>129000</v>
      </c>
      <c r="N205" s="4970">
        <v>114784.89999999997</v>
      </c>
      <c r="O205" s="4971">
        <v>44000</v>
      </c>
      <c r="P205" s="4407">
        <v>47277.1</v>
      </c>
      <c r="Q205" s="4969">
        <v>173000</v>
      </c>
      <c r="R205" s="4970">
        <v>162061.99999999997</v>
      </c>
      <c r="S205" s="2436">
        <v>44000</v>
      </c>
      <c r="T205" s="2436">
        <v>38800.350000000013</v>
      </c>
      <c r="U205" s="2436">
        <v>217000</v>
      </c>
      <c r="V205" s="2436">
        <v>200862.34999999989</v>
      </c>
      <c r="W205" s="2436">
        <v>25000</v>
      </c>
      <c r="X205" s="2436">
        <v>41149.650000000016</v>
      </c>
      <c r="Y205" s="2436">
        <v>113000</v>
      </c>
      <c r="Z205" s="2436">
        <v>127227.10000000005</v>
      </c>
      <c r="AA205" s="2436">
        <v>242000</v>
      </c>
      <c r="AB205" s="2436">
        <v>242012</v>
      </c>
      <c r="AC205" s="2436">
        <v>42500</v>
      </c>
      <c r="AD205" s="2436">
        <v>30063.250000000004</v>
      </c>
      <c r="AE205" s="2436">
        <v>284500</v>
      </c>
      <c r="AF205" s="2436">
        <v>272075.25</v>
      </c>
      <c r="AG205" s="2436">
        <v>42500</v>
      </c>
      <c r="AH205" s="2436">
        <v>34706.500000000007</v>
      </c>
      <c r="AI205" s="2436">
        <v>327000</v>
      </c>
      <c r="AJ205" s="2436">
        <v>306781.75000000006</v>
      </c>
      <c r="AK205" s="2436">
        <v>44000</v>
      </c>
      <c r="AL205" s="2436">
        <v>44159.05000000001</v>
      </c>
      <c r="AM205" s="2436">
        <v>129000</v>
      </c>
      <c r="AN205" s="2436">
        <v>108928.79999999999</v>
      </c>
      <c r="AO205" s="2436">
        <v>371000</v>
      </c>
      <c r="AP205" s="2436">
        <v>350940.8000000001</v>
      </c>
      <c r="AQ205">
        <v>44500</v>
      </c>
      <c r="AR205">
        <v>44632.600000000013</v>
      </c>
      <c r="AS205">
        <v>415500</v>
      </c>
      <c r="AT205">
        <v>395573.4000000002</v>
      </c>
      <c r="AV205">
        <v>37469.900000000016</v>
      </c>
    </row>
    <row r="206" spans="2:64" x14ac:dyDescent="0.3">
      <c r="C206" s="2435"/>
      <c r="E206" s="4969"/>
      <c r="F206" s="4970"/>
      <c r="G206" s="4969"/>
      <c r="H206" s="4970"/>
      <c r="I206" s="4969"/>
      <c r="J206" s="4970"/>
      <c r="K206" s="4971">
        <v>42500</v>
      </c>
      <c r="L206" s="4970">
        <v>38295.44999999999</v>
      </c>
      <c r="M206" s="4969">
        <v>129000</v>
      </c>
      <c r="N206" s="4970">
        <v>114401.67999999993</v>
      </c>
      <c r="O206" s="4971">
        <v>44000</v>
      </c>
      <c r="P206" s="4407">
        <v>47070.05</v>
      </c>
      <c r="Q206" s="4969">
        <v>173000</v>
      </c>
      <c r="R206" s="4970">
        <v>161471.73000000001</v>
      </c>
      <c r="S206" s="2436">
        <v>44000</v>
      </c>
      <c r="T206" s="2436">
        <v>38732.700000000012</v>
      </c>
      <c r="U206" s="2436">
        <v>217000</v>
      </c>
      <c r="V206" s="2436">
        <v>200204.42999999993</v>
      </c>
      <c r="W206" s="2436">
        <v>25000</v>
      </c>
      <c r="X206" s="2436">
        <v>41006.150000000009</v>
      </c>
      <c r="Y206" s="2436">
        <v>113000</v>
      </c>
      <c r="Z206" s="2436">
        <v>126808.90000000007</v>
      </c>
      <c r="AA206" s="2436">
        <v>242000</v>
      </c>
      <c r="AB206" s="2436">
        <v>241210.58</v>
      </c>
      <c r="AC206" s="2436">
        <v>42500</v>
      </c>
      <c r="AD206" s="2436">
        <v>30036.600000000006</v>
      </c>
      <c r="AE206" s="2436">
        <v>284500</v>
      </c>
      <c r="AF206" s="2436">
        <v>271247.18000000011</v>
      </c>
      <c r="AG206" s="2436">
        <v>42500</v>
      </c>
      <c r="AH206" s="2436">
        <v>34618.350000000006</v>
      </c>
      <c r="AI206" s="2436">
        <v>327000</v>
      </c>
      <c r="AJ206" s="2436">
        <v>305865.53000000009</v>
      </c>
      <c r="AK206" s="2436">
        <v>44000</v>
      </c>
      <c r="AL206" s="2436">
        <v>44036.05000000001</v>
      </c>
      <c r="AM206" s="2436">
        <v>129000</v>
      </c>
      <c r="AN206" s="2436">
        <v>108691</v>
      </c>
      <c r="AO206" s="2436">
        <v>371000</v>
      </c>
      <c r="AP206" s="2436">
        <v>349901.58000000013</v>
      </c>
      <c r="AQ206">
        <v>44500</v>
      </c>
      <c r="AR206">
        <v>44599.80000000001</v>
      </c>
      <c r="AS206">
        <v>415500</v>
      </c>
      <c r="AT206">
        <v>394501.38000000024</v>
      </c>
      <c r="AV206">
        <v>37420.700000000012</v>
      </c>
      <c r="AZ206" s="23"/>
    </row>
    <row r="207" spans="2:64" x14ac:dyDescent="0.3">
      <c r="C207" s="251"/>
      <c r="E207" s="4969"/>
      <c r="F207" s="4970"/>
      <c r="G207" s="4969"/>
      <c r="H207" s="4970"/>
      <c r="I207" s="4969"/>
      <c r="J207" s="4970"/>
      <c r="K207" s="4971"/>
      <c r="L207" s="4970">
        <v>112.6</v>
      </c>
      <c r="M207" s="4969"/>
      <c r="N207" s="4970">
        <v>383.22000000000008</v>
      </c>
      <c r="O207" s="4971"/>
      <c r="P207" s="4407">
        <v>207.05</v>
      </c>
      <c r="Q207" s="4969"/>
      <c r="R207" s="4970">
        <v>590.26999999999987</v>
      </c>
      <c r="S207" s="2436"/>
      <c r="T207" s="2436">
        <v>67.649999999999991</v>
      </c>
      <c r="U207" s="2436"/>
      <c r="V207" s="2436">
        <v>657.92</v>
      </c>
      <c r="W207" s="2436"/>
      <c r="X207" s="2436">
        <v>143.50000000000003</v>
      </c>
      <c r="Y207" s="2436"/>
      <c r="Z207" s="2436">
        <v>418.19999999999993</v>
      </c>
      <c r="AA207" s="2436"/>
      <c r="AB207" s="2436">
        <v>801.42</v>
      </c>
      <c r="AC207" s="2436"/>
      <c r="AD207" s="2436">
        <v>26.65</v>
      </c>
      <c r="AE207" s="2436"/>
      <c r="AF207" s="2436">
        <v>828.07</v>
      </c>
      <c r="AG207" s="2436"/>
      <c r="AH207" s="2436">
        <v>88.149999999999991</v>
      </c>
      <c r="AI207" s="2436"/>
      <c r="AJ207" s="2436">
        <v>916.22</v>
      </c>
      <c r="AK207" s="2436"/>
      <c r="AL207" s="2436">
        <v>123</v>
      </c>
      <c r="AM207" s="2436"/>
      <c r="AN207" s="2436">
        <v>237.8</v>
      </c>
      <c r="AO207" s="2436"/>
      <c r="AP207" s="2436">
        <v>1039.22</v>
      </c>
      <c r="AR207">
        <v>32.800000000000004</v>
      </c>
      <c r="AT207">
        <v>1072.02</v>
      </c>
      <c r="AV207">
        <v>49.199999999999989</v>
      </c>
    </row>
    <row r="208" spans="2:64" x14ac:dyDescent="0.3">
      <c r="E208" s="4138"/>
      <c r="F208" s="4138"/>
      <c r="G208" s="4138"/>
      <c r="H208" s="110"/>
      <c r="I208" s="4138"/>
      <c r="J208" s="4138"/>
      <c r="K208" s="4138"/>
      <c r="L208" s="4138"/>
      <c r="M208" s="4138"/>
      <c r="N208" s="4138"/>
      <c r="O208" s="4138"/>
      <c r="P208" s="4138"/>
      <c r="Q208" s="4138"/>
      <c r="R208" s="4138"/>
      <c r="S208" s="4138"/>
      <c r="T208" s="4138"/>
      <c r="U208" s="4138"/>
      <c r="V208" s="4138"/>
      <c r="W208" s="4138"/>
      <c r="X208" s="4138"/>
      <c r="Y208" s="4138"/>
      <c r="Z208" s="4138"/>
      <c r="AA208" s="4138"/>
      <c r="AB208" s="4138"/>
      <c r="AC208" s="4138"/>
      <c r="AD208" s="4138"/>
      <c r="AE208" s="4138"/>
      <c r="AF208" s="4138"/>
      <c r="AG208" s="4138"/>
      <c r="AH208" s="4138"/>
      <c r="AI208" s="4138"/>
      <c r="AJ208" s="4138"/>
      <c r="AK208" s="4138"/>
      <c r="AL208" s="4138"/>
      <c r="AM208" s="4138"/>
      <c r="AN208" s="4138"/>
      <c r="AO208" s="4138"/>
      <c r="AP208" s="4138"/>
      <c r="AQ208" s="4138"/>
      <c r="AR208" s="4138"/>
      <c r="AS208" s="4138"/>
      <c r="AT208" s="4138"/>
      <c r="AU208" s="4138"/>
      <c r="AV208" s="4138"/>
      <c r="AW208" s="4138"/>
      <c r="AX208" s="4138"/>
      <c r="AY208" s="4138"/>
      <c r="AZ208" s="4138"/>
      <c r="BA208" s="4138"/>
      <c r="BB208" s="4138"/>
      <c r="BC208" s="4138"/>
      <c r="BD208" s="4138"/>
      <c r="BE208" s="4138"/>
      <c r="BF208" s="4138"/>
    </row>
    <row r="209" spans="3:58" x14ac:dyDescent="0.3">
      <c r="C209" s="1507"/>
    </row>
    <row r="210" spans="3:58" x14ac:dyDescent="0.3">
      <c r="C210" s="2436"/>
      <c r="E210" s="4138"/>
      <c r="F210" s="4138"/>
      <c r="G210" s="4138"/>
      <c r="H210" s="4138"/>
      <c r="I210" s="4138"/>
      <c r="J210" s="4138"/>
      <c r="K210" s="4138">
        <f t="shared" ref="K210:AT210" si="178">K205-K158</f>
        <v>0</v>
      </c>
      <c r="L210" s="4138">
        <f t="shared" si="178"/>
        <v>0</v>
      </c>
      <c r="M210" s="4138">
        <f t="shared" si="178"/>
        <v>12500</v>
      </c>
      <c r="N210" s="4138">
        <f t="shared" si="178"/>
        <v>13488.999999999971</v>
      </c>
      <c r="O210" s="4138">
        <f t="shared" si="178"/>
        <v>0</v>
      </c>
      <c r="P210" s="4138">
        <f t="shared" si="178"/>
        <v>0</v>
      </c>
      <c r="Q210" s="4138">
        <f t="shared" si="178"/>
        <v>12500</v>
      </c>
      <c r="R210" s="4138">
        <f t="shared" si="178"/>
        <v>13489</v>
      </c>
      <c r="S210" s="4138">
        <f t="shared" si="178"/>
        <v>0</v>
      </c>
      <c r="T210" s="4138">
        <f t="shared" si="178"/>
        <v>0</v>
      </c>
      <c r="U210" s="4138">
        <f t="shared" si="178"/>
        <v>12500</v>
      </c>
      <c r="V210" s="4138">
        <f t="shared" si="178"/>
        <v>13488.999999999884</v>
      </c>
      <c r="W210" s="4138">
        <f t="shared" si="178"/>
        <v>0</v>
      </c>
      <c r="X210" s="4138">
        <f t="shared" si="178"/>
        <v>0</v>
      </c>
      <c r="Y210" s="4138">
        <f t="shared" si="178"/>
        <v>0</v>
      </c>
      <c r="Z210" s="4138">
        <f t="shared" si="178"/>
        <v>0</v>
      </c>
      <c r="AA210" s="4138">
        <f t="shared" si="178"/>
        <v>12500</v>
      </c>
      <c r="AB210" s="4138">
        <f t="shared" si="178"/>
        <v>13489.000000000087</v>
      </c>
      <c r="AC210" s="4138">
        <f t="shared" si="178"/>
        <v>0</v>
      </c>
      <c r="AD210" s="4138">
        <f t="shared" si="178"/>
        <v>0</v>
      </c>
      <c r="AE210" s="4138">
        <f t="shared" si="178"/>
        <v>12500</v>
      </c>
      <c r="AF210" s="4138">
        <f t="shared" si="178"/>
        <v>13489</v>
      </c>
      <c r="AG210" s="4138">
        <f t="shared" si="178"/>
        <v>0</v>
      </c>
      <c r="AH210" s="4138">
        <f t="shared" si="178"/>
        <v>0</v>
      </c>
      <c r="AI210" s="4138">
        <f t="shared" si="178"/>
        <v>12500</v>
      </c>
      <c r="AJ210" s="4138">
        <f t="shared" si="178"/>
        <v>13489</v>
      </c>
      <c r="AK210" s="4138">
        <f t="shared" si="178"/>
        <v>0</v>
      </c>
      <c r="AL210" s="4138">
        <f t="shared" si="178"/>
        <v>0</v>
      </c>
      <c r="AM210" s="4138">
        <f t="shared" si="178"/>
        <v>0</v>
      </c>
      <c r="AN210" s="4138">
        <f t="shared" si="178"/>
        <v>0</v>
      </c>
      <c r="AO210" s="4138">
        <f t="shared" si="178"/>
        <v>12500</v>
      </c>
      <c r="AP210" s="4138">
        <f t="shared" si="178"/>
        <v>13489.000000000116</v>
      </c>
      <c r="AQ210" s="4138">
        <f t="shared" si="178"/>
        <v>0</v>
      </c>
      <c r="AR210" s="4138">
        <f t="shared" si="178"/>
        <v>0</v>
      </c>
      <c r="AS210" s="4138">
        <f t="shared" si="178"/>
        <v>12500</v>
      </c>
      <c r="AT210" s="4138">
        <f t="shared" si="178"/>
        <v>13489.000000000175</v>
      </c>
      <c r="AU210" s="4138"/>
      <c r="AV210" s="4138">
        <f>AV205-AV158</f>
        <v>0</v>
      </c>
      <c r="AW210" s="4138"/>
      <c r="AX210" s="4138"/>
      <c r="AY210" s="4138"/>
      <c r="AZ210" s="4138"/>
      <c r="BA210" s="4138"/>
      <c r="BB210" s="4138"/>
      <c r="BC210" s="4138"/>
      <c r="BD210" s="4138"/>
      <c r="BE210" s="4138"/>
      <c r="BF210" s="4138"/>
    </row>
    <row r="211" spans="3:58" x14ac:dyDescent="0.3">
      <c r="C211" s="2436"/>
      <c r="E211" s="4138"/>
      <c r="F211" s="4138"/>
      <c r="G211" s="4138"/>
      <c r="H211" s="4138"/>
      <c r="I211" s="4138"/>
      <c r="J211" s="4138"/>
      <c r="K211" s="4138"/>
      <c r="L211" s="4138"/>
      <c r="M211" s="4138"/>
      <c r="N211" s="4138"/>
      <c r="O211" s="4138"/>
      <c r="P211" s="4138"/>
      <c r="Q211" s="4138"/>
      <c r="R211" s="4138"/>
      <c r="S211" s="4138"/>
      <c r="T211" s="4968"/>
      <c r="U211" s="4138"/>
      <c r="V211" s="4138"/>
      <c r="W211" s="4138"/>
      <c r="X211" s="4138"/>
      <c r="Y211" s="4138"/>
      <c r="Z211" s="4138"/>
      <c r="AA211" s="4138"/>
      <c r="AB211" s="4138"/>
      <c r="AC211" s="4138"/>
      <c r="AD211" s="4138"/>
      <c r="AE211" s="4138"/>
      <c r="AF211" s="4138"/>
      <c r="AG211" s="4138"/>
      <c r="AH211" s="4138"/>
      <c r="AI211" s="4138"/>
      <c r="AJ211" s="4138"/>
      <c r="AK211" s="4138"/>
      <c r="AL211" s="4138"/>
      <c r="AM211" s="4138"/>
      <c r="AN211" s="4138"/>
      <c r="AO211" s="4138"/>
      <c r="AP211" s="4138"/>
      <c r="AQ211" s="4138"/>
      <c r="AR211" s="4138"/>
      <c r="AS211" s="4138"/>
      <c r="AT211" s="4138"/>
      <c r="AU211" s="4138"/>
      <c r="AV211" s="4138"/>
      <c r="AW211" s="4138"/>
      <c r="AX211" s="4138"/>
      <c r="AY211" s="4138"/>
      <c r="AZ211" s="4138"/>
      <c r="BA211" s="4138"/>
      <c r="BB211" s="4138"/>
      <c r="BC211" s="4138"/>
      <c r="BD211" s="4138"/>
      <c r="BE211" s="4138"/>
      <c r="BF211" s="4138"/>
    </row>
    <row r="212" spans="3:58" x14ac:dyDescent="0.3">
      <c r="E212" s="4138"/>
      <c r="F212" s="4138"/>
      <c r="G212" s="4138"/>
      <c r="H212" s="4138"/>
      <c r="I212" s="4138"/>
      <c r="J212" s="4138"/>
      <c r="K212" s="4138"/>
      <c r="L212" s="4138"/>
      <c r="M212" s="4138"/>
      <c r="N212" s="4138"/>
      <c r="O212" s="4138"/>
      <c r="P212" s="4138"/>
      <c r="Q212" s="4138"/>
      <c r="R212" s="4138"/>
      <c r="S212" s="4138"/>
      <c r="T212" s="4138"/>
      <c r="U212" s="4138"/>
      <c r="V212" s="4138"/>
      <c r="W212" s="4138"/>
      <c r="X212" s="4138"/>
      <c r="Y212" s="4138"/>
      <c r="Z212" s="4138"/>
      <c r="AA212" s="4138"/>
      <c r="AB212" s="4138"/>
      <c r="AC212" s="4138"/>
      <c r="AD212" s="4138"/>
      <c r="AE212" s="4138"/>
      <c r="AF212" s="4138"/>
      <c r="AG212" s="4138"/>
      <c r="AH212" s="4138"/>
      <c r="AI212" s="4138"/>
      <c r="AJ212" s="4138"/>
      <c r="AK212" s="4138"/>
      <c r="AL212" s="4138"/>
      <c r="AM212" s="4138"/>
      <c r="AN212" s="4138"/>
      <c r="AO212" s="4138"/>
      <c r="AP212" s="4138"/>
      <c r="AQ212" s="4138"/>
      <c r="AR212" s="4138"/>
      <c r="AS212" s="4138"/>
      <c r="AT212" s="4138"/>
      <c r="AU212" s="4138"/>
      <c r="AV212" s="4138"/>
      <c r="AW212" s="4138"/>
      <c r="AX212" s="4138"/>
      <c r="AY212" s="4138"/>
      <c r="AZ212" s="4138"/>
      <c r="BA212" s="4138"/>
      <c r="BB212" s="4138"/>
      <c r="BC212" s="4138"/>
      <c r="BD212" s="4138"/>
      <c r="BE212" s="4138"/>
      <c r="BF212" s="4138"/>
    </row>
    <row r="213" spans="3:58" x14ac:dyDescent="0.3">
      <c r="E213" s="4138"/>
      <c r="F213" s="4138"/>
      <c r="G213" s="4138"/>
      <c r="H213" s="4873"/>
      <c r="I213" s="4873"/>
      <c r="J213" s="4873"/>
      <c r="K213" s="4873"/>
      <c r="L213" s="4873"/>
      <c r="M213" s="4873"/>
      <c r="N213" s="4873"/>
      <c r="O213" s="4873"/>
      <c r="P213" s="4873"/>
      <c r="Q213" s="4873"/>
      <c r="R213" s="4873"/>
      <c r="S213" s="4873"/>
      <c r="T213" s="4873"/>
      <c r="U213" s="4873"/>
      <c r="V213" s="4873"/>
      <c r="W213" s="4873"/>
      <c r="X213" s="4873"/>
      <c r="Y213" s="4873"/>
      <c r="Z213" s="4873"/>
      <c r="AA213" s="4873"/>
      <c r="AB213" s="4873"/>
      <c r="AC213" s="4873"/>
      <c r="AD213" s="4873"/>
      <c r="AE213" s="4873"/>
      <c r="AF213" s="4873"/>
      <c r="AG213" s="4873"/>
      <c r="AH213" s="4873"/>
      <c r="AI213" s="4873"/>
      <c r="AJ213" s="4873"/>
      <c r="AK213" s="4873"/>
      <c r="AL213" s="4873"/>
      <c r="AM213" s="4873"/>
      <c r="AN213" s="4873"/>
      <c r="AO213" s="4873"/>
      <c r="AP213" s="4873"/>
      <c r="AQ213" s="4138"/>
      <c r="AR213" s="4138"/>
      <c r="AS213" s="4138"/>
      <c r="AT213" s="4138"/>
    </row>
  </sheetData>
  <mergeCells count="31">
    <mergeCell ref="W1:X1"/>
    <mergeCell ref="W3:X3"/>
    <mergeCell ref="Y3:Z3"/>
    <mergeCell ref="AA3:AB3"/>
    <mergeCell ref="B3:B4"/>
    <mergeCell ref="E3:F3"/>
    <mergeCell ref="G3:H3"/>
    <mergeCell ref="I3:J3"/>
    <mergeCell ref="K3:L3"/>
    <mergeCell ref="C3:C5"/>
    <mergeCell ref="D3:D5"/>
    <mergeCell ref="U3:V3"/>
    <mergeCell ref="M3:N3"/>
    <mergeCell ref="Q3:R3"/>
    <mergeCell ref="S3:T3"/>
    <mergeCell ref="O3:P3"/>
    <mergeCell ref="AS3:AT3"/>
    <mergeCell ref="AK3:AL3"/>
    <mergeCell ref="AM3:AN3"/>
    <mergeCell ref="AO3:AP3"/>
    <mergeCell ref="AC3:AD3"/>
    <mergeCell ref="AE3:AF3"/>
    <mergeCell ref="AG3:AH3"/>
    <mergeCell ref="AI3:AJ3"/>
    <mergeCell ref="AQ3:AR3"/>
    <mergeCell ref="AY3:AZ3"/>
    <mergeCell ref="BE3:BF3"/>
    <mergeCell ref="BA3:BB3"/>
    <mergeCell ref="BC3:BD3"/>
    <mergeCell ref="AU3:AV3"/>
    <mergeCell ref="AW3:AX3"/>
  </mergeCells>
  <printOptions horizontalCentered="1" verticalCentered="1"/>
  <pageMargins left="0" right="0" top="0" bottom="0" header="0" footer="0"/>
  <pageSetup scale="1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tabColor rgb="FF0033CC"/>
    <pageSetUpPr fitToPage="1"/>
  </sheetPr>
  <dimension ref="A1:BN101"/>
  <sheetViews>
    <sheetView topLeftCell="A51" zoomScaleNormal="100" workbookViewId="0">
      <pane xSplit="4" topLeftCell="E1" activePane="topRight" state="frozen"/>
      <selection pane="topRight" activeCell="B58" sqref="B58"/>
    </sheetView>
  </sheetViews>
  <sheetFormatPr defaultColWidth="8.88671875" defaultRowHeight="14.4" x14ac:dyDescent="0.3"/>
  <cols>
    <col min="2" max="2" width="46.6640625" bestFit="1" customWidth="1"/>
    <col min="3" max="3" width="17.33203125" bestFit="1" customWidth="1"/>
    <col min="4" max="4" width="24.33203125" bestFit="1" customWidth="1"/>
    <col min="5" max="5" width="10.44140625" customWidth="1"/>
    <col min="6" max="6" width="15.88671875" bestFit="1" customWidth="1"/>
    <col min="7" max="7" width="10.6640625" customWidth="1"/>
    <col min="8" max="8" width="8.6640625" customWidth="1"/>
    <col min="9" max="9" width="9" customWidth="1"/>
    <col min="10" max="10" width="9.44140625" customWidth="1"/>
    <col min="11" max="12" width="8.6640625" hidden="1" customWidth="1"/>
    <col min="13" max="13" width="13.44140625" hidden="1" customWidth="1"/>
    <col min="14" max="14" width="9" hidden="1" customWidth="1"/>
    <col min="15" max="15" width="9.109375" hidden="1" customWidth="1"/>
    <col min="16" max="16" width="8.6640625" hidden="1" customWidth="1"/>
    <col min="17" max="17" width="12.109375" hidden="1" customWidth="1"/>
    <col min="18" max="18" width="9.44140625" hidden="1" customWidth="1"/>
    <col min="19" max="19" width="8.88671875" hidden="1" customWidth="1"/>
    <col min="20" max="20" width="11.33203125" hidden="1" customWidth="1"/>
    <col min="21" max="22" width="9" hidden="1" customWidth="1"/>
    <col min="23" max="23" width="8.6640625" hidden="1" customWidth="1"/>
    <col min="24" max="24" width="9.5546875" hidden="1" customWidth="1"/>
    <col min="25" max="25" width="9.33203125" hidden="1" customWidth="1"/>
    <col min="26" max="26" width="9" hidden="1" customWidth="1"/>
    <col min="27" max="27" width="9.33203125" hidden="1" customWidth="1"/>
    <col min="28" max="28" width="9" hidden="1" customWidth="1"/>
    <col min="29" max="29" width="8.88671875" hidden="1" customWidth="1"/>
    <col min="30" max="30" width="8" hidden="1" customWidth="1"/>
    <col min="31" max="31" width="8.88671875" hidden="1" customWidth="1"/>
    <col min="32" max="32" width="9" hidden="1" customWidth="1"/>
    <col min="33" max="48" width="8.88671875" hidden="1" customWidth="1"/>
    <col min="49" max="49" width="9" hidden="1" customWidth="1"/>
    <col min="50" max="58" width="8.88671875" hidden="1" customWidth="1"/>
    <col min="59" max="60" width="9.5546875" bestFit="1" customWidth="1"/>
  </cols>
  <sheetData>
    <row r="1" spans="1:66" ht="22.8" x14ac:dyDescent="0.4">
      <c r="B1" s="357" t="s">
        <v>95</v>
      </c>
      <c r="C1" s="357"/>
      <c r="D1" s="41"/>
      <c r="E1" s="41"/>
      <c r="F1" s="3711"/>
      <c r="G1" s="41"/>
      <c r="H1" s="555"/>
      <c r="I1" s="41"/>
      <c r="J1" s="41"/>
      <c r="K1" s="142"/>
      <c r="L1" s="555"/>
      <c r="M1" s="88"/>
      <c r="N1" s="88"/>
      <c r="O1" s="142"/>
      <c r="P1" s="1462"/>
      <c r="Q1" s="88"/>
      <c r="R1" s="110"/>
      <c r="S1" s="88"/>
      <c r="T1" s="88"/>
      <c r="U1" s="88"/>
      <c r="V1" s="88"/>
      <c r="W1" s="88"/>
      <c r="X1" s="88"/>
      <c r="Y1" s="88"/>
      <c r="Z1" s="88"/>
      <c r="AA1" s="88"/>
      <c r="AB1" s="88"/>
    </row>
    <row r="2" spans="1:66" s="251" customFormat="1" ht="15" thickBot="1" x14ac:dyDescent="0.35">
      <c r="B2" s="189"/>
      <c r="C2" s="189"/>
      <c r="D2" s="189"/>
      <c r="E2" s="91">
        <v>30</v>
      </c>
      <c r="F2" s="91">
        <v>30</v>
      </c>
      <c r="G2" s="91">
        <v>31</v>
      </c>
      <c r="H2" s="91">
        <v>31</v>
      </c>
      <c r="I2" s="91">
        <f>+E2+G2</f>
        <v>61</v>
      </c>
      <c r="J2" s="91">
        <f>+F2+H2</f>
        <v>61</v>
      </c>
      <c r="K2" s="367">
        <v>30</v>
      </c>
      <c r="L2" s="91">
        <v>30</v>
      </c>
      <c r="M2" s="367">
        <f>+I2+K2</f>
        <v>91</v>
      </c>
      <c r="N2" s="367">
        <f>+J2+L2</f>
        <v>91</v>
      </c>
      <c r="O2" s="367">
        <v>31</v>
      </c>
      <c r="P2" s="367">
        <v>31</v>
      </c>
      <c r="Q2" s="91">
        <f>+M2+O2</f>
        <v>122</v>
      </c>
      <c r="R2" s="91">
        <f>+N2+P2</f>
        <v>122</v>
      </c>
      <c r="S2" s="316">
        <v>31</v>
      </c>
      <c r="T2" s="316">
        <v>31</v>
      </c>
      <c r="U2" s="316">
        <f>+Q2+S2</f>
        <v>153</v>
      </c>
      <c r="V2" s="316">
        <f>+R2+T2</f>
        <v>153</v>
      </c>
      <c r="W2" s="316">
        <v>30</v>
      </c>
      <c r="X2" s="316">
        <v>30</v>
      </c>
      <c r="Y2" s="316">
        <f>+O2+S2+W2</f>
        <v>92</v>
      </c>
      <c r="Z2" s="316">
        <f>+P2+T2+X2</f>
        <v>92</v>
      </c>
      <c r="AA2" s="316">
        <f>+Y2+M2</f>
        <v>183</v>
      </c>
      <c r="AB2" s="316">
        <f>+Z2+N2</f>
        <v>183</v>
      </c>
      <c r="AC2" s="316">
        <v>31</v>
      </c>
      <c r="AD2" s="316">
        <v>31</v>
      </c>
      <c r="AE2" s="316">
        <f>+AA2+AC2</f>
        <v>214</v>
      </c>
      <c r="AF2" s="316">
        <f>+AB2+AD2</f>
        <v>214</v>
      </c>
      <c r="AG2" s="316">
        <v>30</v>
      </c>
      <c r="AH2" s="316">
        <v>30</v>
      </c>
      <c r="AI2" s="316">
        <f>+AE2+AG2</f>
        <v>244</v>
      </c>
      <c r="AJ2" s="316">
        <f>+AF2+AH2</f>
        <v>244</v>
      </c>
      <c r="AK2" s="316">
        <v>31</v>
      </c>
      <c r="AL2" s="316">
        <v>31</v>
      </c>
      <c r="AM2" s="316">
        <f>+AC2+AG2+AK2</f>
        <v>92</v>
      </c>
      <c r="AN2" s="316">
        <f>+AD2+AH2+AL2</f>
        <v>92</v>
      </c>
      <c r="AO2" s="316">
        <f>AI2+AK2</f>
        <v>275</v>
      </c>
      <c r="AP2" s="316">
        <f>AJ2+AL2</f>
        <v>275</v>
      </c>
      <c r="AQ2" s="316">
        <v>31</v>
      </c>
      <c r="AR2" s="316">
        <v>31</v>
      </c>
      <c r="AS2" s="316">
        <f>+AO2+AQ2</f>
        <v>306</v>
      </c>
      <c r="AT2" s="316">
        <f>+AP2+AR2</f>
        <v>306</v>
      </c>
      <c r="AU2" s="316">
        <v>28</v>
      </c>
      <c r="AV2" s="316">
        <v>28</v>
      </c>
      <c r="AW2" s="316">
        <f>+AS2+AU2</f>
        <v>334</v>
      </c>
      <c r="AX2" s="316">
        <f>+AT2+AV2</f>
        <v>334</v>
      </c>
      <c r="AY2" s="316">
        <v>31</v>
      </c>
      <c r="AZ2" s="251">
        <v>31</v>
      </c>
      <c r="BA2" s="316">
        <f>+AQ2+AU2+AY2</f>
        <v>90</v>
      </c>
      <c r="BB2" s="316">
        <f>+AR2+AV2+AZ2</f>
        <v>90</v>
      </c>
      <c r="BC2" s="316">
        <f>+AM2+BA2</f>
        <v>182</v>
      </c>
      <c r="BD2" s="316">
        <f>+AN2+BB2</f>
        <v>182</v>
      </c>
      <c r="BE2" s="316">
        <f>+AW2+AY2</f>
        <v>365</v>
      </c>
      <c r="BF2" s="316">
        <f>+AX2+AZ2</f>
        <v>365</v>
      </c>
    </row>
    <row r="3" spans="1:66" ht="15" thickBot="1" x14ac:dyDescent="0.35">
      <c r="B3" s="5955" t="s">
        <v>170</v>
      </c>
      <c r="C3" s="6215" t="s">
        <v>808</v>
      </c>
      <c r="D3" s="5887" t="s">
        <v>171</v>
      </c>
      <c r="E3" s="5880" t="s">
        <v>2211</v>
      </c>
      <c r="F3" s="5958"/>
      <c r="G3" s="5880" t="s">
        <v>2260</v>
      </c>
      <c r="H3" s="5880"/>
      <c r="I3" s="5878" t="s">
        <v>14</v>
      </c>
      <c r="J3" s="5879"/>
      <c r="K3" s="5892" t="s">
        <v>1963</v>
      </c>
      <c r="L3" s="5889"/>
      <c r="M3" s="5893" t="s">
        <v>604</v>
      </c>
      <c r="N3" s="5882"/>
      <c r="O3" s="5880" t="s">
        <v>1985</v>
      </c>
      <c r="P3" s="5880"/>
      <c r="Q3" s="5878" t="s">
        <v>17</v>
      </c>
      <c r="R3" s="5879"/>
      <c r="S3" s="5880" t="s">
        <v>1988</v>
      </c>
      <c r="T3" s="5880"/>
      <c r="U3" s="5878" t="s">
        <v>18</v>
      </c>
      <c r="V3" s="5879"/>
      <c r="W3" s="5880" t="s">
        <v>2019</v>
      </c>
      <c r="X3" s="5880"/>
      <c r="Y3" s="5893" t="s">
        <v>625</v>
      </c>
      <c r="Z3" s="5882"/>
      <c r="AA3" s="5883" t="s">
        <v>623</v>
      </c>
      <c r="AB3" s="5884"/>
      <c r="AC3" s="5880" t="s">
        <v>2043</v>
      </c>
      <c r="AD3" s="5880"/>
      <c r="AE3" s="5878" t="s">
        <v>24</v>
      </c>
      <c r="AF3" s="5879"/>
      <c r="AG3" s="5880" t="s">
        <v>2064</v>
      </c>
      <c r="AH3" s="5880"/>
      <c r="AI3" s="5878" t="s">
        <v>27</v>
      </c>
      <c r="AJ3" s="5879"/>
      <c r="AK3" s="5880" t="s">
        <v>2088</v>
      </c>
      <c r="AL3" s="5880"/>
      <c r="AM3" s="5893" t="s">
        <v>627</v>
      </c>
      <c r="AN3" s="5882"/>
      <c r="AO3" s="5878" t="s">
        <v>1565</v>
      </c>
      <c r="AP3" s="5879"/>
      <c r="AQ3" s="5880" t="s">
        <v>2099</v>
      </c>
      <c r="AR3" s="5880"/>
      <c r="AS3" s="5878" t="s">
        <v>28</v>
      </c>
      <c r="AT3" s="5879"/>
      <c r="AU3" s="5880" t="s">
        <v>2136</v>
      </c>
      <c r="AV3" s="5880"/>
      <c r="AW3" s="5878" t="s">
        <v>30</v>
      </c>
      <c r="AX3" s="5879"/>
      <c r="AY3" s="5880" t="s">
        <v>2154</v>
      </c>
      <c r="AZ3" s="5880"/>
      <c r="BA3" s="5893" t="s">
        <v>628</v>
      </c>
      <c r="BB3" s="5882"/>
      <c r="BC3" s="5883" t="s">
        <v>634</v>
      </c>
      <c r="BD3" s="5884"/>
      <c r="BE3" s="5878" t="s">
        <v>1961</v>
      </c>
      <c r="BF3" s="5879"/>
    </row>
    <row r="4" spans="1:66" ht="15" thickBot="1" x14ac:dyDescent="0.35">
      <c r="B4" s="6201"/>
      <c r="C4" s="6216"/>
      <c r="D4" s="5888"/>
      <c r="E4" s="504" t="s">
        <v>172</v>
      </c>
      <c r="F4" s="144" t="s">
        <v>173</v>
      </c>
      <c r="G4" s="504" t="s">
        <v>172</v>
      </c>
      <c r="H4" s="144" t="s">
        <v>173</v>
      </c>
      <c r="I4" s="134" t="s">
        <v>172</v>
      </c>
      <c r="J4" s="150" t="s">
        <v>173</v>
      </c>
      <c r="K4" s="208" t="s">
        <v>172</v>
      </c>
      <c r="L4" s="165" t="s">
        <v>173</v>
      </c>
      <c r="M4" s="649" t="s">
        <v>172</v>
      </c>
      <c r="N4" s="157" t="s">
        <v>173</v>
      </c>
      <c r="O4" s="208" t="s">
        <v>172</v>
      </c>
      <c r="P4" s="368" t="s">
        <v>173</v>
      </c>
      <c r="Q4" s="134" t="s">
        <v>172</v>
      </c>
      <c r="R4" s="150" t="s">
        <v>173</v>
      </c>
      <c r="S4" s="208" t="s">
        <v>172</v>
      </c>
      <c r="T4" s="165" t="s">
        <v>173</v>
      </c>
      <c r="U4" s="134" t="s">
        <v>172</v>
      </c>
      <c r="V4" s="150" t="s">
        <v>173</v>
      </c>
      <c r="W4" s="208" t="s">
        <v>172</v>
      </c>
      <c r="X4" s="368" t="s">
        <v>173</v>
      </c>
      <c r="Y4" s="649" t="s">
        <v>172</v>
      </c>
      <c r="Z4" s="157" t="s">
        <v>173</v>
      </c>
      <c r="AA4" s="650" t="s">
        <v>172</v>
      </c>
      <c r="AB4" s="431" t="s">
        <v>173</v>
      </c>
      <c r="AC4" s="208" t="s">
        <v>172</v>
      </c>
      <c r="AD4" s="165" t="s">
        <v>173</v>
      </c>
      <c r="AE4" s="134" t="s">
        <v>172</v>
      </c>
      <c r="AF4" s="150" t="s">
        <v>173</v>
      </c>
      <c r="AG4" s="208" t="s">
        <v>172</v>
      </c>
      <c r="AH4" s="165" t="s">
        <v>173</v>
      </c>
      <c r="AI4" s="134" t="s">
        <v>172</v>
      </c>
      <c r="AJ4" s="150" t="s">
        <v>173</v>
      </c>
      <c r="AK4" s="208" t="s">
        <v>172</v>
      </c>
      <c r="AL4" s="165" t="s">
        <v>173</v>
      </c>
      <c r="AM4" s="649" t="s">
        <v>172</v>
      </c>
      <c r="AN4" s="157" t="s">
        <v>173</v>
      </c>
      <c r="AO4" s="134" t="s">
        <v>172</v>
      </c>
      <c r="AP4" s="150" t="s">
        <v>173</v>
      </c>
      <c r="AQ4" s="208" t="s">
        <v>172</v>
      </c>
      <c r="AR4" s="165" t="s">
        <v>173</v>
      </c>
      <c r="AS4" s="134" t="s">
        <v>172</v>
      </c>
      <c r="AT4" s="150" t="s">
        <v>173</v>
      </c>
      <c r="AU4" s="208" t="s">
        <v>172</v>
      </c>
      <c r="AV4" s="165" t="s">
        <v>173</v>
      </c>
      <c r="AW4" s="134" t="s">
        <v>172</v>
      </c>
      <c r="AX4" s="150" t="s">
        <v>173</v>
      </c>
      <c r="AY4" s="208" t="s">
        <v>172</v>
      </c>
      <c r="AZ4" s="3710" t="s">
        <v>173</v>
      </c>
      <c r="BA4" s="649" t="s">
        <v>172</v>
      </c>
      <c r="BB4" s="157" t="s">
        <v>173</v>
      </c>
      <c r="BC4" s="650" t="s">
        <v>172</v>
      </c>
      <c r="BD4" s="431" t="s">
        <v>173</v>
      </c>
      <c r="BE4" s="134" t="s">
        <v>2155</v>
      </c>
      <c r="BF4" s="150" t="s">
        <v>173</v>
      </c>
    </row>
    <row r="5" spans="1:66" ht="17.100000000000001" customHeight="1" x14ac:dyDescent="0.3">
      <c r="B5" s="10" t="s">
        <v>805</v>
      </c>
      <c r="C5" s="1"/>
      <c r="D5" s="674" t="s">
        <v>50</v>
      </c>
      <c r="E5" s="813">
        <v>70984.455958549224</v>
      </c>
      <c r="F5" s="534">
        <v>77837.90800000001</v>
      </c>
      <c r="G5" s="813">
        <v>73575.129533678759</v>
      </c>
      <c r="H5" s="534">
        <v>34589.924000000014</v>
      </c>
      <c r="I5" s="814">
        <f>+E5+G5</f>
        <v>144559.58549222798</v>
      </c>
      <c r="J5" s="533">
        <f>+F5+H5</f>
        <v>112427.83200000002</v>
      </c>
      <c r="K5" s="813">
        <v>78756.476683937828</v>
      </c>
      <c r="L5" s="534">
        <v>76378.819999999949</v>
      </c>
      <c r="M5" s="620">
        <f>+E5+G5+K5</f>
        <v>223316.06217616581</v>
      </c>
      <c r="N5" s="620">
        <f>+F5+H5+L5</f>
        <v>188806.65199999997</v>
      </c>
      <c r="O5" s="813">
        <v>81865.284974093272</v>
      </c>
      <c r="P5" s="534">
        <v>91293.134999999951</v>
      </c>
      <c r="Q5" s="814">
        <f>+M5+O5</f>
        <v>305181.34715025907</v>
      </c>
      <c r="R5" s="814">
        <f>+N5+P5</f>
        <v>280099.78699999989</v>
      </c>
      <c r="S5" s="813">
        <v>81865.284974093272</v>
      </c>
      <c r="T5" s="534">
        <v>78744.385999999984</v>
      </c>
      <c r="U5" s="814">
        <f>+Q5+S5</f>
        <v>387046.63212435233</v>
      </c>
      <c r="V5" s="814">
        <f>+R5+T5</f>
        <v>358844.17299999989</v>
      </c>
      <c r="W5" s="813">
        <v>49222.797927461143</v>
      </c>
      <c r="X5" s="534">
        <v>79173.527999999977</v>
      </c>
      <c r="Y5" s="620">
        <f>+O5+S5+W5</f>
        <v>212953.36787564767</v>
      </c>
      <c r="Z5" s="620">
        <f>+P5+T5+X5</f>
        <v>249211.04899999994</v>
      </c>
      <c r="AA5" s="621">
        <f>+M5+Y5</f>
        <v>436269.43005181348</v>
      </c>
      <c r="AB5" s="621">
        <f>+N5+Z5</f>
        <v>438017.70099999988</v>
      </c>
      <c r="AC5" s="813">
        <v>80829.015544041453</v>
      </c>
      <c r="AD5" s="534">
        <v>52847.516999999993</v>
      </c>
      <c r="AE5" s="814">
        <f>+AA5+AC5</f>
        <v>517098.44559585495</v>
      </c>
      <c r="AF5" s="814">
        <f>+AB5+AD5</f>
        <v>490865.21799999988</v>
      </c>
      <c r="AG5" s="813">
        <v>78756.476683937828</v>
      </c>
      <c r="AH5" s="534">
        <v>72562.518000000025</v>
      </c>
      <c r="AI5" s="814">
        <f>+AE5+AG5</f>
        <v>595854.92227979284</v>
      </c>
      <c r="AJ5" s="814">
        <f>+AF5+AH5</f>
        <v>563427.73599999992</v>
      </c>
      <c r="AK5" s="813">
        <v>81865.284974093272</v>
      </c>
      <c r="AL5" s="534">
        <v>85136.461000000039</v>
      </c>
      <c r="AM5" s="620">
        <f>+AC5+AG5+AK5</f>
        <v>241450.77720207255</v>
      </c>
      <c r="AN5" s="620">
        <f>+AD5+AH5+AL5</f>
        <v>210546.49600000004</v>
      </c>
      <c r="AO5" s="814">
        <f>AI5+AK5</f>
        <v>677720.20725388615</v>
      </c>
      <c r="AP5" s="814">
        <f>AJ5+AL5</f>
        <v>648564.19699999993</v>
      </c>
      <c r="AQ5" s="813">
        <v>81865.284974093272</v>
      </c>
      <c r="AR5" s="534">
        <v>89388.381000000038</v>
      </c>
      <c r="AS5" s="814">
        <f>+AO5+AQ5</f>
        <v>759585.49222797947</v>
      </c>
      <c r="AT5" s="814">
        <f>+AP5+AR5</f>
        <v>737952.57799999998</v>
      </c>
      <c r="AU5" s="813">
        <v>74093.264248704669</v>
      </c>
      <c r="AV5" s="534">
        <v>77175.722000000038</v>
      </c>
      <c r="AW5" s="814">
        <f>+AS5+AU5</f>
        <v>833678.75647668412</v>
      </c>
      <c r="AX5" s="814">
        <f>+AT5+AV5</f>
        <v>815128.3</v>
      </c>
      <c r="AY5" s="813">
        <v>82901.554404145078</v>
      </c>
      <c r="AZ5" s="5006">
        <v>86982.177000000069</v>
      </c>
      <c r="BA5" s="620">
        <f>+AQ5+AU5+AY5</f>
        <v>238860.10362694302</v>
      </c>
      <c r="BB5" s="620">
        <f>+AR5+AV5+AZ5</f>
        <v>253546.28000000014</v>
      </c>
      <c r="BC5" s="621">
        <f>+AM5+BA5</f>
        <v>480310.88082901557</v>
      </c>
      <c r="BD5" s="621">
        <f>+AN5+BB5</f>
        <v>464092.77600000019</v>
      </c>
      <c r="BE5" s="814">
        <f>+AW5+AY5</f>
        <v>916580.31088082923</v>
      </c>
      <c r="BF5" s="814">
        <f>+AX5+AZ5</f>
        <v>902110.47700000007</v>
      </c>
      <c r="BG5" s="3464"/>
      <c r="BH5" s="3464"/>
      <c r="BI5" s="23"/>
      <c r="BJ5" s="23"/>
      <c r="BK5" s="23"/>
      <c r="BL5" s="23"/>
      <c r="BM5" s="23"/>
      <c r="BN5" s="23"/>
    </row>
    <row r="6" spans="1:66" ht="24.75" customHeight="1" thickBot="1" x14ac:dyDescent="0.35">
      <c r="A6" s="137"/>
      <c r="B6" s="2678" t="s">
        <v>310</v>
      </c>
      <c r="C6" s="2679"/>
      <c r="D6" s="2679"/>
      <c r="E6" s="2680"/>
      <c r="F6" s="2681"/>
      <c r="G6" s="2680"/>
      <c r="H6" s="2681"/>
      <c r="I6" s="2680"/>
      <c r="J6" s="2680"/>
      <c r="K6" s="2680"/>
      <c r="L6" s="2681"/>
      <c r="M6" s="535"/>
      <c r="N6" s="535"/>
      <c r="O6" s="2680"/>
      <c r="P6" s="2681"/>
      <c r="Q6" s="535"/>
      <c r="R6" s="535"/>
      <c r="S6" s="2680"/>
      <c r="T6" s="2681"/>
      <c r="U6" s="535"/>
      <c r="V6" s="535"/>
      <c r="W6" s="2680"/>
      <c r="X6" s="2681"/>
      <c r="Y6" s="535"/>
      <c r="Z6" s="535"/>
      <c r="AA6" s="535"/>
      <c r="AB6" s="545"/>
      <c r="AC6" s="2680"/>
      <c r="AD6" s="2681"/>
      <c r="AE6" s="535"/>
      <c r="AF6" s="535"/>
      <c r="AG6" s="2680"/>
      <c r="AH6" s="2681"/>
      <c r="AI6" s="535"/>
      <c r="AJ6" s="535"/>
      <c r="AK6" s="2680"/>
      <c r="AL6" s="2681"/>
      <c r="AM6" s="535"/>
      <c r="AN6" s="535"/>
      <c r="AO6" s="535"/>
      <c r="AP6" s="535"/>
      <c r="AQ6" s="2680"/>
      <c r="AR6" s="2681"/>
      <c r="AS6" s="535"/>
      <c r="AT6" s="535"/>
      <c r="AU6" s="2680"/>
      <c r="AV6" s="2681"/>
      <c r="AW6" s="535"/>
      <c r="AX6" s="535"/>
      <c r="AY6" s="2680"/>
      <c r="AZ6" s="5007"/>
      <c r="BA6" s="535"/>
      <c r="BB6" s="535"/>
      <c r="BC6" s="535"/>
      <c r="BD6" s="545"/>
      <c r="BE6" s="535"/>
      <c r="BF6" s="535"/>
      <c r="BG6" s="3464"/>
      <c r="BH6" s="3464"/>
      <c r="BI6" s="23"/>
      <c r="BJ6" s="23"/>
      <c r="BK6" s="23"/>
      <c r="BL6" s="23"/>
      <c r="BM6" s="23"/>
      <c r="BN6" s="23"/>
    </row>
    <row r="7" spans="1:66" ht="15.6" x14ac:dyDescent="0.3">
      <c r="A7" s="137"/>
      <c r="B7" s="2684" t="s">
        <v>816</v>
      </c>
      <c r="C7" s="2685" t="s">
        <v>995</v>
      </c>
      <c r="D7" s="695" t="s">
        <v>50</v>
      </c>
      <c r="E7" s="2686"/>
      <c r="F7" s="247"/>
      <c r="G7" s="2686"/>
      <c r="H7" s="247"/>
      <c r="I7" s="341"/>
      <c r="J7" s="4119">
        <f t="shared" ref="J7:J42" si="0">+F7+H7</f>
        <v>0</v>
      </c>
      <c r="K7" s="2686"/>
      <c r="L7" s="247"/>
      <c r="M7" s="717"/>
      <c r="N7" s="717">
        <f t="shared" ref="N7:N42" si="1">+F7+H7+L7</f>
        <v>0</v>
      </c>
      <c r="O7" s="2686"/>
      <c r="P7" s="247"/>
      <c r="Q7" s="718"/>
      <c r="R7" s="718">
        <f t="shared" ref="R7:R54" si="2">+N7+P7</f>
        <v>0</v>
      </c>
      <c r="S7" s="2686"/>
      <c r="T7" s="247"/>
      <c r="U7" s="718"/>
      <c r="V7" s="718">
        <f t="shared" ref="V7:V42" si="3">+R7+T7</f>
        <v>0</v>
      </c>
      <c r="W7" s="2686"/>
      <c r="X7" s="247"/>
      <c r="Y7" s="734"/>
      <c r="Z7" s="717">
        <f t="shared" ref="Z7:Z42" si="4">+P7+T7+X7</f>
        <v>0</v>
      </c>
      <c r="AA7" s="482"/>
      <c r="AB7" s="617">
        <f t="shared" ref="AB7:AB42" si="5">+N7+Z7</f>
        <v>0</v>
      </c>
      <c r="AC7" s="2686"/>
      <c r="AD7" s="247"/>
      <c r="AE7" s="718"/>
      <c r="AF7" s="718">
        <f t="shared" ref="AF7:AF42" si="6">+AB7+AD7</f>
        <v>0</v>
      </c>
      <c r="AG7" s="2686"/>
      <c r="AH7" s="247"/>
      <c r="AI7" s="718"/>
      <c r="AJ7" s="718">
        <f t="shared" ref="AJ7:AJ42" si="7">+AF7+AH7</f>
        <v>0</v>
      </c>
      <c r="AK7" s="2686"/>
      <c r="AL7" s="247"/>
      <c r="AM7" s="734"/>
      <c r="AN7" s="717">
        <f t="shared" ref="AN7:AN42" si="8">+AD7+AH7+AL7</f>
        <v>0</v>
      </c>
      <c r="AO7" s="718"/>
      <c r="AP7" s="718">
        <f t="shared" ref="AP7:AP42" si="9">AJ7+AL7</f>
        <v>0</v>
      </c>
      <c r="AQ7" s="2686"/>
      <c r="AR7" s="247"/>
      <c r="AS7" s="718"/>
      <c r="AT7" s="718">
        <f t="shared" ref="AT7:AT42" si="10">+AP7+AR7</f>
        <v>0</v>
      </c>
      <c r="AU7" s="2686"/>
      <c r="AV7" s="247"/>
      <c r="AW7" s="718"/>
      <c r="AX7" s="718">
        <f t="shared" ref="AX7:AX42" si="11">+AT7+AV7</f>
        <v>0</v>
      </c>
      <c r="AY7" s="2686"/>
      <c r="AZ7" s="5008"/>
      <c r="BA7" s="734"/>
      <c r="BB7" s="717">
        <f t="shared" ref="BB7:BB42" si="12">+AR7+AV7+AZ7</f>
        <v>0</v>
      </c>
      <c r="BC7" s="482"/>
      <c r="BD7" s="617">
        <f t="shared" ref="BD7:BD42" si="13">+AN7+BB7</f>
        <v>0</v>
      </c>
      <c r="BE7" s="718"/>
      <c r="BF7" s="718">
        <f>+AX7+AZ7</f>
        <v>0</v>
      </c>
      <c r="BG7" s="3464"/>
      <c r="BH7" s="3464"/>
      <c r="BI7" s="23"/>
      <c r="BJ7" s="23"/>
      <c r="BK7" s="23"/>
      <c r="BL7" s="23"/>
      <c r="BM7" s="23"/>
      <c r="BN7" s="23"/>
    </row>
    <row r="8" spans="1:66" ht="15.6" x14ac:dyDescent="0.3">
      <c r="A8" s="137"/>
      <c r="B8" s="815" t="s">
        <v>816</v>
      </c>
      <c r="C8" s="2687" t="s">
        <v>996</v>
      </c>
      <c r="D8" s="2589" t="s">
        <v>50</v>
      </c>
      <c r="E8" s="2688"/>
      <c r="F8" s="2399"/>
      <c r="G8" s="2688"/>
      <c r="H8" s="2399"/>
      <c r="I8" s="2349"/>
      <c r="J8" s="4119">
        <f t="shared" si="0"/>
        <v>0</v>
      </c>
      <c r="K8" s="2688"/>
      <c r="L8" s="2399"/>
      <c r="M8" s="717"/>
      <c r="N8" s="717">
        <f t="shared" si="1"/>
        <v>0</v>
      </c>
      <c r="O8" s="2688"/>
      <c r="P8" s="2399"/>
      <c r="Q8" s="718"/>
      <c r="R8" s="718">
        <f t="shared" si="2"/>
        <v>0</v>
      </c>
      <c r="S8" s="2688"/>
      <c r="T8" s="2399"/>
      <c r="U8" s="718"/>
      <c r="V8" s="718">
        <f t="shared" si="3"/>
        <v>0</v>
      </c>
      <c r="W8" s="2688"/>
      <c r="X8" s="2399"/>
      <c r="Y8" s="734"/>
      <c r="Z8" s="717">
        <f t="shared" si="4"/>
        <v>0</v>
      </c>
      <c r="AA8" s="482"/>
      <c r="AB8" s="617">
        <f t="shared" si="5"/>
        <v>0</v>
      </c>
      <c r="AC8" s="2688"/>
      <c r="AD8" s="2399"/>
      <c r="AE8" s="718"/>
      <c r="AF8" s="718">
        <f t="shared" si="6"/>
        <v>0</v>
      </c>
      <c r="AG8" s="2688"/>
      <c r="AH8" s="2399"/>
      <c r="AI8" s="718"/>
      <c r="AJ8" s="718">
        <f t="shared" si="7"/>
        <v>0</v>
      </c>
      <c r="AK8" s="2688"/>
      <c r="AL8" s="2399"/>
      <c r="AM8" s="734"/>
      <c r="AN8" s="717">
        <f t="shared" si="8"/>
        <v>0</v>
      </c>
      <c r="AO8" s="718"/>
      <c r="AP8" s="718">
        <f t="shared" si="9"/>
        <v>0</v>
      </c>
      <c r="AQ8" s="2688"/>
      <c r="AR8" s="2399"/>
      <c r="AS8" s="718"/>
      <c r="AT8" s="718">
        <f t="shared" si="10"/>
        <v>0</v>
      </c>
      <c r="AU8" s="2688"/>
      <c r="AV8" s="2399"/>
      <c r="AW8" s="718"/>
      <c r="AX8" s="718">
        <f t="shared" si="11"/>
        <v>0</v>
      </c>
      <c r="AY8" s="2688"/>
      <c r="AZ8" s="2446"/>
      <c r="BA8" s="734"/>
      <c r="BB8" s="717">
        <f t="shared" si="12"/>
        <v>0</v>
      </c>
      <c r="BC8" s="482"/>
      <c r="BD8" s="617">
        <f t="shared" si="13"/>
        <v>0</v>
      </c>
      <c r="BE8" s="718"/>
      <c r="BF8" s="718">
        <f t="shared" ref="BF8:BF42" si="14">+AX8+AZ8</f>
        <v>0</v>
      </c>
      <c r="BG8" s="3464"/>
      <c r="BH8" s="3464"/>
      <c r="BI8" s="23"/>
      <c r="BJ8" s="23"/>
      <c r="BK8" s="23"/>
      <c r="BL8" s="23"/>
      <c r="BM8" s="23"/>
      <c r="BN8" s="23"/>
    </row>
    <row r="9" spans="1:66" ht="15.6" x14ac:dyDescent="0.3">
      <c r="A9" s="137"/>
      <c r="B9" s="4505" t="s">
        <v>816</v>
      </c>
      <c r="C9" s="5093" t="s">
        <v>965</v>
      </c>
      <c r="D9" s="5094" t="s">
        <v>50</v>
      </c>
      <c r="E9" s="5095"/>
      <c r="F9" s="5096"/>
      <c r="G9" s="5095"/>
      <c r="H9" s="5096"/>
      <c r="I9" s="5097"/>
      <c r="J9" s="5097">
        <f t="shared" si="0"/>
        <v>0</v>
      </c>
      <c r="K9" s="5095"/>
      <c r="L9" s="5096"/>
      <c r="M9" s="5098"/>
      <c r="N9" s="5098">
        <f t="shared" si="1"/>
        <v>0</v>
      </c>
      <c r="O9" s="5095"/>
      <c r="P9" s="5096"/>
      <c r="Q9" s="5097"/>
      <c r="R9" s="5097">
        <f t="shared" si="2"/>
        <v>0</v>
      </c>
      <c r="S9" s="5095"/>
      <c r="T9" s="5096"/>
      <c r="U9" s="5097"/>
      <c r="V9" s="5097">
        <f t="shared" si="3"/>
        <v>0</v>
      </c>
      <c r="W9" s="5095"/>
      <c r="X9" s="5096"/>
      <c r="Y9" s="5099"/>
      <c r="Z9" s="5098">
        <f t="shared" si="4"/>
        <v>0</v>
      </c>
      <c r="AA9" s="5100"/>
      <c r="AB9" s="5101">
        <f t="shared" si="5"/>
        <v>0</v>
      </c>
      <c r="AC9" s="5095"/>
      <c r="AD9" s="5096"/>
      <c r="AE9" s="5097"/>
      <c r="AF9" s="5097">
        <f t="shared" si="6"/>
        <v>0</v>
      </c>
      <c r="AG9" s="5095"/>
      <c r="AH9" s="5096"/>
      <c r="AI9" s="5097"/>
      <c r="AJ9" s="5097">
        <f t="shared" si="7"/>
        <v>0</v>
      </c>
      <c r="AK9" s="5095"/>
      <c r="AL9" s="5096"/>
      <c r="AM9" s="5099"/>
      <c r="AN9" s="5098">
        <f t="shared" si="8"/>
        <v>0</v>
      </c>
      <c r="AO9" s="5097"/>
      <c r="AP9" s="5097">
        <f t="shared" si="9"/>
        <v>0</v>
      </c>
      <c r="AQ9" s="5095"/>
      <c r="AR9" s="5096"/>
      <c r="AS9" s="5097"/>
      <c r="AT9" s="5097">
        <f t="shared" si="10"/>
        <v>0</v>
      </c>
      <c r="AU9" s="5095"/>
      <c r="AV9" s="5096"/>
      <c r="AW9" s="5097"/>
      <c r="AX9" s="5097">
        <f t="shared" si="11"/>
        <v>0</v>
      </c>
      <c r="AY9" s="5095"/>
      <c r="AZ9" s="5102"/>
      <c r="BA9" s="5099"/>
      <c r="BB9" s="5098">
        <f t="shared" si="12"/>
        <v>0</v>
      </c>
      <c r="BC9" s="5100"/>
      <c r="BD9" s="5101">
        <f t="shared" si="13"/>
        <v>0</v>
      </c>
      <c r="BE9" s="5097"/>
      <c r="BF9" s="5097">
        <f t="shared" si="14"/>
        <v>0</v>
      </c>
      <c r="BG9" s="3464"/>
      <c r="BH9" s="3464"/>
      <c r="BI9" s="23"/>
      <c r="BJ9" s="23"/>
      <c r="BK9" s="23"/>
      <c r="BL9" s="23"/>
      <c r="BM9" s="23"/>
      <c r="BN9" s="23"/>
    </row>
    <row r="10" spans="1:66" ht="15.6" x14ac:dyDescent="0.3">
      <c r="A10" s="137"/>
      <c r="B10" s="5103" t="s">
        <v>1841</v>
      </c>
      <c r="C10" s="5103" t="s">
        <v>995</v>
      </c>
      <c r="D10" s="4932" t="s">
        <v>50</v>
      </c>
      <c r="E10" s="5104"/>
      <c r="F10" s="4928"/>
      <c r="G10" s="5104"/>
      <c r="H10" s="4928"/>
      <c r="I10" s="4930"/>
      <c r="J10" s="4930">
        <f t="shared" si="0"/>
        <v>0</v>
      </c>
      <c r="K10" s="5104"/>
      <c r="L10" s="4928">
        <v>2343.0900000000006</v>
      </c>
      <c r="M10" s="4931"/>
      <c r="N10" s="4931">
        <f t="shared" si="1"/>
        <v>2343.0900000000006</v>
      </c>
      <c r="O10" s="5104"/>
      <c r="P10" s="4928"/>
      <c r="Q10" s="4930"/>
      <c r="R10" s="4930">
        <f t="shared" si="2"/>
        <v>2343.0900000000006</v>
      </c>
      <c r="S10" s="5104"/>
      <c r="T10" s="4928"/>
      <c r="U10" s="4930"/>
      <c r="V10" s="4930">
        <f t="shared" si="3"/>
        <v>2343.0900000000006</v>
      </c>
      <c r="W10" s="5104"/>
      <c r="X10" s="4928"/>
      <c r="Y10" s="4964"/>
      <c r="Z10" s="4931">
        <f t="shared" si="4"/>
        <v>0</v>
      </c>
      <c r="AA10" s="5105"/>
      <c r="AB10" s="4955">
        <f t="shared" si="5"/>
        <v>2343.0900000000006</v>
      </c>
      <c r="AC10" s="5104"/>
      <c r="AD10" s="4928"/>
      <c r="AE10" s="4930"/>
      <c r="AF10" s="4930">
        <f t="shared" si="6"/>
        <v>2343.0900000000006</v>
      </c>
      <c r="AG10" s="5104"/>
      <c r="AH10" s="4928"/>
      <c r="AI10" s="4930"/>
      <c r="AJ10" s="4930">
        <f t="shared" si="7"/>
        <v>2343.0900000000006</v>
      </c>
      <c r="AK10" s="5104"/>
      <c r="AL10" s="4928"/>
      <c r="AM10" s="4964"/>
      <c r="AN10" s="4931">
        <f t="shared" si="8"/>
        <v>0</v>
      </c>
      <c r="AO10" s="4930"/>
      <c r="AP10" s="4930">
        <f t="shared" si="9"/>
        <v>2343.0900000000006</v>
      </c>
      <c r="AQ10" s="5104"/>
      <c r="AR10" s="4928"/>
      <c r="AS10" s="4930"/>
      <c r="AT10" s="4930">
        <f t="shared" si="10"/>
        <v>2343.0900000000006</v>
      </c>
      <c r="AU10" s="5104"/>
      <c r="AV10" s="4928"/>
      <c r="AW10" s="4930"/>
      <c r="AX10" s="4930">
        <f t="shared" si="11"/>
        <v>2343.0900000000006</v>
      </c>
      <c r="AY10" s="5104"/>
      <c r="AZ10" s="5106">
        <v>5071.9002814321702</v>
      </c>
      <c r="BA10" s="4964"/>
      <c r="BB10" s="4931">
        <f t="shared" si="12"/>
        <v>5071.9002814321702</v>
      </c>
      <c r="BC10" s="5105"/>
      <c r="BD10" s="4955">
        <f t="shared" si="13"/>
        <v>5071.9002814321702</v>
      </c>
      <c r="BE10" s="4930"/>
      <c r="BF10" s="4930">
        <f t="shared" si="14"/>
        <v>7414.9902814321704</v>
      </c>
      <c r="BG10" s="3464"/>
      <c r="BH10" s="3464"/>
      <c r="BI10" s="23"/>
      <c r="BJ10" s="23"/>
      <c r="BK10" s="23"/>
      <c r="BL10" s="23"/>
      <c r="BM10" s="23"/>
      <c r="BN10" s="23"/>
    </row>
    <row r="11" spans="1:66" ht="15.6" x14ac:dyDescent="0.3">
      <c r="A11" s="23"/>
      <c r="B11" s="5103" t="s">
        <v>815</v>
      </c>
      <c r="C11" s="5103" t="s">
        <v>995</v>
      </c>
      <c r="D11" s="4932" t="s">
        <v>50</v>
      </c>
      <c r="E11" s="4923"/>
      <c r="F11" s="4928"/>
      <c r="G11" s="4923"/>
      <c r="H11" s="4928"/>
      <c r="I11" s="4930"/>
      <c r="J11" s="4930">
        <f t="shared" si="0"/>
        <v>0</v>
      </c>
      <c r="K11" s="4923"/>
      <c r="L11" s="4928">
        <v>2680.9949999999994</v>
      </c>
      <c r="M11" s="4931"/>
      <c r="N11" s="4931">
        <f t="shared" si="1"/>
        <v>2680.9949999999994</v>
      </c>
      <c r="O11" s="4923"/>
      <c r="P11" s="4928">
        <v>8612.9100000000144</v>
      </c>
      <c r="Q11" s="4930"/>
      <c r="R11" s="4930">
        <f t="shared" si="2"/>
        <v>11293.905000000013</v>
      </c>
      <c r="S11" s="4923"/>
      <c r="T11" s="4928">
        <v>2746.4349999999995</v>
      </c>
      <c r="U11" s="4930"/>
      <c r="V11" s="4930">
        <f t="shared" si="3"/>
        <v>14040.340000000013</v>
      </c>
      <c r="W11" s="4923"/>
      <c r="X11" s="4928">
        <v>2824.1449999999995</v>
      </c>
      <c r="Y11" s="4964"/>
      <c r="Z11" s="4931">
        <f t="shared" si="4"/>
        <v>14183.490000000013</v>
      </c>
      <c r="AA11" s="5105"/>
      <c r="AB11" s="4955">
        <f t="shared" si="5"/>
        <v>16864.485000000011</v>
      </c>
      <c r="AC11" s="4923"/>
      <c r="AD11" s="4928">
        <v>1136.0549999999998</v>
      </c>
      <c r="AE11" s="4930"/>
      <c r="AF11" s="4930">
        <f t="shared" si="6"/>
        <v>18000.540000000012</v>
      </c>
      <c r="AG11" s="4923"/>
      <c r="AH11" s="4928"/>
      <c r="AI11" s="4930"/>
      <c r="AJ11" s="4930">
        <f t="shared" si="7"/>
        <v>18000.540000000012</v>
      </c>
      <c r="AK11" s="4923"/>
      <c r="AL11" s="4928">
        <v>2696.335</v>
      </c>
      <c r="AM11" s="4964"/>
      <c r="AN11" s="4931">
        <f t="shared" si="8"/>
        <v>3832.39</v>
      </c>
      <c r="AO11" s="4930"/>
      <c r="AP11" s="4930">
        <f t="shared" si="9"/>
        <v>20696.875000000011</v>
      </c>
      <c r="AQ11" s="4923"/>
      <c r="AR11" s="4928"/>
      <c r="AS11" s="4930"/>
      <c r="AT11" s="4930">
        <f t="shared" si="10"/>
        <v>20696.875000000011</v>
      </c>
      <c r="AU11" s="4923"/>
      <c r="AV11" s="4928"/>
      <c r="AW11" s="4930"/>
      <c r="AX11" s="4930">
        <f t="shared" si="11"/>
        <v>20696.875000000011</v>
      </c>
      <c r="AY11" s="4923"/>
      <c r="AZ11" s="5106">
        <v>2132.5966376472757</v>
      </c>
      <c r="BA11" s="4964"/>
      <c r="BB11" s="4931">
        <f t="shared" si="12"/>
        <v>2132.5966376472757</v>
      </c>
      <c r="BC11" s="5105"/>
      <c r="BD11" s="4955">
        <f t="shared" si="13"/>
        <v>5964.9866376472755</v>
      </c>
      <c r="BE11" s="4930"/>
      <c r="BF11" s="4930">
        <f t="shared" si="14"/>
        <v>22829.471637647286</v>
      </c>
      <c r="BG11" s="3464"/>
      <c r="BH11" s="3464"/>
      <c r="BI11" s="23"/>
      <c r="BJ11" s="23"/>
      <c r="BK11" s="23"/>
      <c r="BL11" s="23"/>
      <c r="BM11" s="23"/>
      <c r="BN11" s="23"/>
    </row>
    <row r="12" spans="1:66" ht="15" customHeight="1" x14ac:dyDescent="0.3">
      <c r="B12" s="815" t="s">
        <v>815</v>
      </c>
      <c r="C12" s="2687" t="s">
        <v>996</v>
      </c>
      <c r="D12" s="2589" t="s">
        <v>50</v>
      </c>
      <c r="E12" s="2348"/>
      <c r="F12" s="2399">
        <v>11032.775000000016</v>
      </c>
      <c r="G12" s="2348"/>
      <c r="H12" s="2399">
        <v>13119.42500000003</v>
      </c>
      <c r="I12" s="2349"/>
      <c r="J12" s="4119">
        <f t="shared" si="0"/>
        <v>24152.200000000048</v>
      </c>
      <c r="K12" s="2348"/>
      <c r="L12" s="2399">
        <v>7717.4150000000072</v>
      </c>
      <c r="M12" s="717"/>
      <c r="N12" s="717">
        <f t="shared" si="1"/>
        <v>31869.615000000056</v>
      </c>
      <c r="O12" s="2348"/>
      <c r="P12" s="2399">
        <v>4122.7200000000021</v>
      </c>
      <c r="Q12" s="718"/>
      <c r="R12" s="718">
        <f t="shared" si="2"/>
        <v>35992.335000000057</v>
      </c>
      <c r="S12" s="2348"/>
      <c r="T12" s="2399">
        <v>3936.6249999999991</v>
      </c>
      <c r="U12" s="718"/>
      <c r="V12" s="718">
        <f t="shared" si="3"/>
        <v>39928.960000000057</v>
      </c>
      <c r="W12" s="2348"/>
      <c r="X12" s="2399">
        <v>12586.515000000023</v>
      </c>
      <c r="Y12" s="734"/>
      <c r="Z12" s="717">
        <f t="shared" si="4"/>
        <v>20645.860000000022</v>
      </c>
      <c r="AA12" s="482"/>
      <c r="AB12" s="617">
        <f t="shared" si="5"/>
        <v>52515.475000000079</v>
      </c>
      <c r="AC12" s="2348"/>
      <c r="AD12" s="2399">
        <v>8655.4350000000068</v>
      </c>
      <c r="AE12" s="718"/>
      <c r="AF12" s="718">
        <f t="shared" si="6"/>
        <v>61170.910000000084</v>
      </c>
      <c r="AG12" s="2348"/>
      <c r="AH12" s="2399">
        <v>9239.3100000000104</v>
      </c>
      <c r="AI12" s="718"/>
      <c r="AJ12" s="718">
        <f t="shared" si="7"/>
        <v>70410.220000000088</v>
      </c>
      <c r="AK12" s="2348"/>
      <c r="AL12" s="2399">
        <v>11997.670000000024</v>
      </c>
      <c r="AM12" s="734"/>
      <c r="AN12" s="717">
        <f t="shared" si="8"/>
        <v>29892.415000000041</v>
      </c>
      <c r="AO12" s="718"/>
      <c r="AP12" s="718">
        <f t="shared" si="9"/>
        <v>82407.890000000116</v>
      </c>
      <c r="AQ12" s="2348"/>
      <c r="AR12" s="2399">
        <v>12537.895000000024</v>
      </c>
      <c r="AS12" s="718"/>
      <c r="AT12" s="718">
        <f t="shared" si="10"/>
        <v>94945.785000000134</v>
      </c>
      <c r="AU12" s="2348"/>
      <c r="AV12" s="2399">
        <v>4488.7749999999996</v>
      </c>
      <c r="AW12" s="718"/>
      <c r="AX12" s="718">
        <f t="shared" si="11"/>
        <v>99434.560000000129</v>
      </c>
      <c r="AY12" s="2348"/>
      <c r="AZ12" s="2446">
        <v>8693.7493565864224</v>
      </c>
      <c r="BA12" s="734"/>
      <c r="BB12" s="717">
        <f t="shared" si="12"/>
        <v>25720.419356586448</v>
      </c>
      <c r="BC12" s="482"/>
      <c r="BD12" s="617">
        <f t="shared" si="13"/>
        <v>55612.834356586493</v>
      </c>
      <c r="BE12" s="718"/>
      <c r="BF12" s="718">
        <f t="shared" si="14"/>
        <v>108128.30935658656</v>
      </c>
      <c r="BG12" s="3464"/>
      <c r="BH12" s="3464"/>
      <c r="BI12" s="23"/>
      <c r="BJ12" s="23"/>
      <c r="BK12" s="23"/>
      <c r="BL12" s="23"/>
      <c r="BM12" s="23"/>
      <c r="BN12" s="23"/>
    </row>
    <row r="13" spans="1:66" ht="15.6" x14ac:dyDescent="0.3">
      <c r="A13" s="23"/>
      <c r="B13" s="815" t="s">
        <v>815</v>
      </c>
      <c r="C13" s="2687" t="s">
        <v>965</v>
      </c>
      <c r="D13" s="2589" t="s">
        <v>50</v>
      </c>
      <c r="E13" s="2348"/>
      <c r="F13" s="2399"/>
      <c r="G13" s="2348"/>
      <c r="H13" s="2399"/>
      <c r="I13" s="2349"/>
      <c r="J13" s="4119">
        <f t="shared" si="0"/>
        <v>0</v>
      </c>
      <c r="K13" s="2348"/>
      <c r="L13" s="2399"/>
      <c r="M13" s="717"/>
      <c r="N13" s="717">
        <f t="shared" si="1"/>
        <v>0</v>
      </c>
      <c r="O13" s="2348"/>
      <c r="P13" s="2399"/>
      <c r="Q13" s="718"/>
      <c r="R13" s="718">
        <f t="shared" si="2"/>
        <v>0</v>
      </c>
      <c r="S13" s="2348"/>
      <c r="T13" s="2399"/>
      <c r="U13" s="718"/>
      <c r="V13" s="718">
        <f t="shared" si="3"/>
        <v>0</v>
      </c>
      <c r="W13" s="2348"/>
      <c r="X13" s="2399"/>
      <c r="Y13" s="734"/>
      <c r="Z13" s="717">
        <f t="shared" si="4"/>
        <v>0</v>
      </c>
      <c r="AA13" s="482"/>
      <c r="AB13" s="617">
        <f t="shared" si="5"/>
        <v>0</v>
      </c>
      <c r="AC13" s="2348"/>
      <c r="AD13" s="2399"/>
      <c r="AE13" s="718"/>
      <c r="AF13" s="718">
        <f t="shared" si="6"/>
        <v>0</v>
      </c>
      <c r="AG13" s="2348"/>
      <c r="AH13" s="2399"/>
      <c r="AI13" s="718"/>
      <c r="AJ13" s="718">
        <f t="shared" si="7"/>
        <v>0</v>
      </c>
      <c r="AK13" s="2348"/>
      <c r="AL13" s="2399"/>
      <c r="AM13" s="734"/>
      <c r="AN13" s="717">
        <f t="shared" si="8"/>
        <v>0</v>
      </c>
      <c r="AO13" s="718"/>
      <c r="AP13" s="718">
        <f t="shared" si="9"/>
        <v>0</v>
      </c>
      <c r="AQ13" s="2348"/>
      <c r="AR13" s="2399"/>
      <c r="AS13" s="718"/>
      <c r="AT13" s="718">
        <f t="shared" si="10"/>
        <v>0</v>
      </c>
      <c r="AU13" s="2348"/>
      <c r="AV13" s="2399"/>
      <c r="AW13" s="718"/>
      <c r="AX13" s="718">
        <f t="shared" si="11"/>
        <v>0</v>
      </c>
      <c r="AY13" s="2348"/>
      <c r="AZ13" s="2446"/>
      <c r="BA13" s="734"/>
      <c r="BB13" s="717">
        <f t="shared" si="12"/>
        <v>0</v>
      </c>
      <c r="BC13" s="482"/>
      <c r="BD13" s="617">
        <f t="shared" si="13"/>
        <v>0</v>
      </c>
      <c r="BE13" s="718"/>
      <c r="BF13" s="718">
        <f t="shared" si="14"/>
        <v>0</v>
      </c>
      <c r="BG13" s="3464"/>
      <c r="BH13" s="3464"/>
      <c r="BI13" s="23"/>
      <c r="BJ13" s="23"/>
      <c r="BK13" s="23"/>
      <c r="BL13" s="23"/>
      <c r="BM13" s="23"/>
      <c r="BN13" s="23"/>
    </row>
    <row r="14" spans="1:66" ht="15.6" x14ac:dyDescent="0.3">
      <c r="A14" s="23"/>
      <c r="B14" s="815" t="s">
        <v>815</v>
      </c>
      <c r="C14" s="2687" t="s">
        <v>997</v>
      </c>
      <c r="D14" s="2589" t="s">
        <v>50</v>
      </c>
      <c r="E14" s="2348"/>
      <c r="F14" s="2399">
        <v>994.42500000000007</v>
      </c>
      <c r="G14" s="2348"/>
      <c r="H14" s="2399">
        <v>2002.0549999999994</v>
      </c>
      <c r="I14" s="2349"/>
      <c r="J14" s="4119">
        <f t="shared" si="0"/>
        <v>2996.4799999999996</v>
      </c>
      <c r="K14" s="2348"/>
      <c r="L14" s="2399">
        <v>1914.7949999999998</v>
      </c>
      <c r="M14" s="717"/>
      <c r="N14" s="717">
        <f t="shared" si="1"/>
        <v>4911.2749999999996</v>
      </c>
      <c r="O14" s="2348"/>
      <c r="P14" s="2399"/>
      <c r="Q14" s="718"/>
      <c r="R14" s="718">
        <f t="shared" si="2"/>
        <v>4911.2749999999996</v>
      </c>
      <c r="S14" s="2348"/>
      <c r="T14" s="2399">
        <v>1443.7700000000002</v>
      </c>
      <c r="U14" s="718"/>
      <c r="V14" s="718">
        <f t="shared" si="3"/>
        <v>6355.0450000000001</v>
      </c>
      <c r="W14" s="2348"/>
      <c r="X14" s="2399"/>
      <c r="Y14" s="734"/>
      <c r="Z14" s="717">
        <f t="shared" si="4"/>
        <v>1443.7700000000002</v>
      </c>
      <c r="AA14" s="482"/>
      <c r="AB14" s="617">
        <f t="shared" si="5"/>
        <v>6355.0450000000001</v>
      </c>
      <c r="AC14" s="2348"/>
      <c r="AD14" s="2399"/>
      <c r="AE14" s="718"/>
      <c r="AF14" s="718">
        <f t="shared" si="6"/>
        <v>6355.0450000000001</v>
      </c>
      <c r="AG14" s="2348"/>
      <c r="AH14" s="2399">
        <v>3083.8599999999992</v>
      </c>
      <c r="AI14" s="718"/>
      <c r="AJ14" s="718">
        <f t="shared" si="7"/>
        <v>9438.9049999999988</v>
      </c>
      <c r="AK14" s="2348"/>
      <c r="AL14" s="2399"/>
      <c r="AM14" s="734"/>
      <c r="AN14" s="717">
        <f t="shared" si="8"/>
        <v>3083.8599999999992</v>
      </c>
      <c r="AO14" s="718"/>
      <c r="AP14" s="718">
        <f t="shared" si="9"/>
        <v>9438.9049999999988</v>
      </c>
      <c r="AQ14" s="2348"/>
      <c r="AR14" s="2399"/>
      <c r="AS14" s="718"/>
      <c r="AT14" s="718">
        <f t="shared" si="10"/>
        <v>9438.9049999999988</v>
      </c>
      <c r="AU14" s="2348"/>
      <c r="AV14" s="2399"/>
      <c r="AW14" s="718"/>
      <c r="AX14" s="718">
        <f t="shared" si="11"/>
        <v>9438.9049999999988</v>
      </c>
      <c r="AY14" s="2348"/>
      <c r="AZ14" s="2446"/>
      <c r="BA14" s="734"/>
      <c r="BB14" s="717">
        <f t="shared" si="12"/>
        <v>0</v>
      </c>
      <c r="BC14" s="482"/>
      <c r="BD14" s="617">
        <f t="shared" si="13"/>
        <v>3083.8599999999992</v>
      </c>
      <c r="BE14" s="718"/>
      <c r="BF14" s="718">
        <f t="shared" si="14"/>
        <v>9438.9049999999988</v>
      </c>
      <c r="BG14" s="3464"/>
      <c r="BH14" s="3464"/>
      <c r="BI14" s="23"/>
      <c r="BJ14" s="23"/>
      <c r="BK14" s="23"/>
      <c r="BL14" s="23"/>
      <c r="BM14" s="23"/>
      <c r="BN14" s="23"/>
    </row>
    <row r="15" spans="1:66" ht="16.2" thickBot="1" x14ac:dyDescent="0.35">
      <c r="A15" s="23"/>
      <c r="B15" s="2689" t="s">
        <v>815</v>
      </c>
      <c r="C15" s="2690" t="s">
        <v>1095</v>
      </c>
      <c r="D15" s="687" t="s">
        <v>50</v>
      </c>
      <c r="E15" s="103"/>
      <c r="F15" s="210">
        <v>5108.4100000000035</v>
      </c>
      <c r="G15" s="103"/>
      <c r="H15" s="210">
        <v>2838.4599999999991</v>
      </c>
      <c r="I15" s="546"/>
      <c r="J15" s="4119">
        <f t="shared" si="0"/>
        <v>7946.8700000000026</v>
      </c>
      <c r="K15" s="103"/>
      <c r="L15" s="210">
        <v>1650.3149999999996</v>
      </c>
      <c r="M15" s="717"/>
      <c r="N15" s="717">
        <f t="shared" si="1"/>
        <v>9597.1850000000013</v>
      </c>
      <c r="O15" s="103"/>
      <c r="P15" s="210">
        <v>3276.0899999999988</v>
      </c>
      <c r="Q15" s="718"/>
      <c r="R15" s="718">
        <f t="shared" si="2"/>
        <v>12873.275</v>
      </c>
      <c r="S15" s="103"/>
      <c r="T15" s="210"/>
      <c r="U15" s="718"/>
      <c r="V15" s="718">
        <f t="shared" si="3"/>
        <v>12873.275</v>
      </c>
      <c r="W15" s="103"/>
      <c r="X15" s="210">
        <v>2259.7249999999995</v>
      </c>
      <c r="Y15" s="734"/>
      <c r="Z15" s="717">
        <f t="shared" si="4"/>
        <v>5535.8149999999987</v>
      </c>
      <c r="AA15" s="482"/>
      <c r="AB15" s="617">
        <f t="shared" si="5"/>
        <v>15133</v>
      </c>
      <c r="AC15" s="103"/>
      <c r="AD15" s="210"/>
      <c r="AE15" s="718"/>
      <c r="AF15" s="718">
        <f t="shared" si="6"/>
        <v>15133</v>
      </c>
      <c r="AG15" s="103"/>
      <c r="AH15" s="210">
        <v>1229.5600000000004</v>
      </c>
      <c r="AI15" s="718"/>
      <c r="AJ15" s="718">
        <f t="shared" si="7"/>
        <v>16362.560000000001</v>
      </c>
      <c r="AK15" s="103"/>
      <c r="AL15" s="210">
        <v>3130.8950000000009</v>
      </c>
      <c r="AM15" s="734"/>
      <c r="AN15" s="717">
        <f t="shared" si="8"/>
        <v>4360.4550000000017</v>
      </c>
      <c r="AO15" s="718"/>
      <c r="AP15" s="718">
        <f t="shared" si="9"/>
        <v>19493.455000000002</v>
      </c>
      <c r="AQ15" s="103"/>
      <c r="AR15" s="210">
        <v>5002.0700000000024</v>
      </c>
      <c r="AS15" s="718"/>
      <c r="AT15" s="718">
        <f t="shared" si="10"/>
        <v>24495.525000000005</v>
      </c>
      <c r="AU15" s="103"/>
      <c r="AV15" s="210">
        <v>5167.715000000002</v>
      </c>
      <c r="AW15" s="718"/>
      <c r="AX15" s="718">
        <f t="shared" si="11"/>
        <v>29663.240000000005</v>
      </c>
      <c r="AY15" s="103"/>
      <c r="AZ15" s="5009">
        <v>6194.2521739959393</v>
      </c>
      <c r="BA15" s="734"/>
      <c r="BB15" s="717">
        <f t="shared" si="12"/>
        <v>16364.037173995943</v>
      </c>
      <c r="BC15" s="482"/>
      <c r="BD15" s="617">
        <f t="shared" si="13"/>
        <v>20724.492173995946</v>
      </c>
      <c r="BE15" s="718"/>
      <c r="BF15" s="718">
        <f t="shared" si="14"/>
        <v>35857.492173995946</v>
      </c>
      <c r="BG15" s="3464"/>
      <c r="BH15" s="3464"/>
      <c r="BI15" s="23"/>
      <c r="BJ15" s="23"/>
      <c r="BK15" s="23"/>
      <c r="BL15" s="23"/>
      <c r="BM15" s="23"/>
      <c r="BN15" s="23"/>
    </row>
    <row r="16" spans="1:66" ht="15" customHeight="1" x14ac:dyDescent="0.3">
      <c r="B16" s="2682" t="s">
        <v>903</v>
      </c>
      <c r="C16" s="2683" t="s">
        <v>996</v>
      </c>
      <c r="D16" s="56" t="s">
        <v>50</v>
      </c>
      <c r="E16" s="1095"/>
      <c r="F16" s="1197"/>
      <c r="G16" s="1095"/>
      <c r="H16" s="1197"/>
      <c r="I16" s="2045"/>
      <c r="J16" s="4119">
        <f t="shared" si="0"/>
        <v>0</v>
      </c>
      <c r="K16" s="1095"/>
      <c r="L16" s="1197"/>
      <c r="M16" s="717"/>
      <c r="N16" s="717">
        <f t="shared" si="1"/>
        <v>0</v>
      </c>
      <c r="O16" s="1095"/>
      <c r="P16" s="1197">
        <v>3445.0850000000009</v>
      </c>
      <c r="Q16" s="718"/>
      <c r="R16" s="718">
        <f t="shared" si="2"/>
        <v>3445.0850000000009</v>
      </c>
      <c r="S16" s="1095"/>
      <c r="T16" s="1197"/>
      <c r="U16" s="718"/>
      <c r="V16" s="718">
        <f t="shared" si="3"/>
        <v>3445.0850000000009</v>
      </c>
      <c r="W16" s="1095"/>
      <c r="X16" s="1197">
        <v>1057.6499999999996</v>
      </c>
      <c r="Y16" s="734"/>
      <c r="Z16" s="717">
        <f t="shared" si="4"/>
        <v>4502.7350000000006</v>
      </c>
      <c r="AA16" s="482"/>
      <c r="AB16" s="617">
        <f t="shared" si="5"/>
        <v>4502.7350000000006</v>
      </c>
      <c r="AC16" s="1095"/>
      <c r="AD16" s="1197"/>
      <c r="AE16" s="718"/>
      <c r="AF16" s="718">
        <f t="shared" si="6"/>
        <v>4502.7350000000006</v>
      </c>
      <c r="AG16" s="1095"/>
      <c r="AH16" s="1197"/>
      <c r="AI16" s="718"/>
      <c r="AJ16" s="718">
        <f t="shared" si="7"/>
        <v>4502.7350000000006</v>
      </c>
      <c r="AK16" s="1095"/>
      <c r="AL16" s="1197"/>
      <c r="AM16" s="734"/>
      <c r="AN16" s="717">
        <f t="shared" si="8"/>
        <v>0</v>
      </c>
      <c r="AO16" s="718"/>
      <c r="AP16" s="718">
        <f t="shared" si="9"/>
        <v>4502.7350000000006</v>
      </c>
      <c r="AQ16" s="1095"/>
      <c r="AR16" s="1197">
        <v>2243.3649999999998</v>
      </c>
      <c r="AS16" s="718"/>
      <c r="AT16" s="718">
        <f t="shared" si="10"/>
        <v>6746.1</v>
      </c>
      <c r="AU16" s="1095"/>
      <c r="AV16" s="1197"/>
      <c r="AW16" s="718"/>
      <c r="AX16" s="718">
        <f t="shared" si="11"/>
        <v>6746.1</v>
      </c>
      <c r="AY16" s="1095"/>
      <c r="AZ16" s="5010"/>
      <c r="BA16" s="734"/>
      <c r="BB16" s="717">
        <f t="shared" si="12"/>
        <v>2243.3649999999998</v>
      </c>
      <c r="BC16" s="482"/>
      <c r="BD16" s="617">
        <f t="shared" si="13"/>
        <v>2243.3649999999998</v>
      </c>
      <c r="BE16" s="718"/>
      <c r="BF16" s="718">
        <f t="shared" si="14"/>
        <v>6746.1</v>
      </c>
      <c r="BG16" s="3464"/>
      <c r="BH16" s="3464"/>
      <c r="BI16" s="23"/>
      <c r="BJ16" s="23"/>
      <c r="BK16" s="23"/>
      <c r="BL16" s="23"/>
      <c r="BM16" s="23"/>
      <c r="BN16" s="23"/>
    </row>
    <row r="17" spans="2:66" ht="15" customHeight="1" x14ac:dyDescent="0.3">
      <c r="B17" s="2682" t="s">
        <v>903</v>
      </c>
      <c r="C17" s="2683" t="s">
        <v>995</v>
      </c>
      <c r="D17" s="56" t="s">
        <v>50</v>
      </c>
      <c r="E17" s="1095"/>
      <c r="F17" s="1197"/>
      <c r="G17" s="1095"/>
      <c r="H17" s="1197"/>
      <c r="I17" s="2045"/>
      <c r="J17" s="4514"/>
      <c r="K17" s="1095"/>
      <c r="L17" s="1197"/>
      <c r="M17" s="4515"/>
      <c r="N17" s="4515"/>
      <c r="O17" s="1095"/>
      <c r="P17" s="1197"/>
      <c r="Q17" s="4514"/>
      <c r="R17" s="4514"/>
      <c r="S17" s="1095"/>
      <c r="T17" s="1197"/>
      <c r="U17" s="4514"/>
      <c r="V17" s="4514"/>
      <c r="W17" s="1095"/>
      <c r="X17" s="1197">
        <v>1104.3</v>
      </c>
      <c r="Y17" s="4532"/>
      <c r="Z17" s="717">
        <f t="shared" ref="Z17" si="15">+P17+T17+X17</f>
        <v>1104.3</v>
      </c>
      <c r="AA17" s="482"/>
      <c r="AB17" s="617">
        <f t="shared" ref="AB17" si="16">+N17+Z17</f>
        <v>1104.3</v>
      </c>
      <c r="AC17" s="1095"/>
      <c r="AD17" s="1197"/>
      <c r="AE17" s="4514"/>
      <c r="AF17" s="718">
        <f t="shared" si="6"/>
        <v>1104.3</v>
      </c>
      <c r="AG17" s="1095"/>
      <c r="AH17" s="1197"/>
      <c r="AI17" s="4514"/>
      <c r="AJ17" s="718">
        <f t="shared" si="7"/>
        <v>1104.3</v>
      </c>
      <c r="AK17" s="1095"/>
      <c r="AL17" s="1197"/>
      <c r="AM17" s="4532"/>
      <c r="AN17" s="717">
        <f t="shared" si="8"/>
        <v>0</v>
      </c>
      <c r="AO17" s="4514"/>
      <c r="AP17" s="718">
        <f t="shared" si="9"/>
        <v>1104.3</v>
      </c>
      <c r="AQ17" s="1095"/>
      <c r="AR17" s="1197">
        <v>1636.9950000000001</v>
      </c>
      <c r="AS17" s="4514"/>
      <c r="AT17" s="4514">
        <f t="shared" si="10"/>
        <v>2741.2950000000001</v>
      </c>
      <c r="AU17" s="1095"/>
      <c r="AV17" s="1197"/>
      <c r="AW17" s="4514"/>
      <c r="AX17" s="718">
        <f t="shared" si="11"/>
        <v>2741.2950000000001</v>
      </c>
      <c r="AY17" s="1095"/>
      <c r="AZ17" s="5010"/>
      <c r="BA17" s="4532"/>
      <c r="BB17" s="717">
        <f t="shared" si="12"/>
        <v>1636.9950000000001</v>
      </c>
      <c r="BC17" s="4533"/>
      <c r="BD17" s="617">
        <f t="shared" si="13"/>
        <v>1636.9950000000001</v>
      </c>
      <c r="BE17" s="4514"/>
      <c r="BF17" s="718">
        <f t="shared" si="14"/>
        <v>2741.2950000000001</v>
      </c>
      <c r="BG17" s="3464"/>
      <c r="BH17" s="3464"/>
      <c r="BI17" s="23"/>
      <c r="BJ17" s="23"/>
      <c r="BK17" s="23"/>
      <c r="BL17" s="23"/>
      <c r="BM17" s="23"/>
      <c r="BN17" s="23"/>
    </row>
    <row r="18" spans="2:66" ht="15" customHeight="1" x14ac:dyDescent="0.3">
      <c r="B18" s="815" t="s">
        <v>1472</v>
      </c>
      <c r="C18" s="2687" t="s">
        <v>995</v>
      </c>
      <c r="D18" s="2589" t="s">
        <v>50</v>
      </c>
      <c r="E18" s="2348"/>
      <c r="F18" s="2399"/>
      <c r="G18" s="2348"/>
      <c r="H18" s="2399"/>
      <c r="I18" s="2349"/>
      <c r="J18" s="4119">
        <f t="shared" si="0"/>
        <v>0</v>
      </c>
      <c r="K18" s="2348"/>
      <c r="L18" s="2399"/>
      <c r="M18" s="717"/>
      <c r="N18" s="717">
        <f t="shared" si="1"/>
        <v>0</v>
      </c>
      <c r="O18" s="2348"/>
      <c r="P18" s="2399">
        <v>2233.145</v>
      </c>
      <c r="Q18" s="718"/>
      <c r="R18" s="718">
        <f t="shared" si="2"/>
        <v>2233.145</v>
      </c>
      <c r="S18" s="2348"/>
      <c r="T18" s="2399"/>
      <c r="U18" s="718"/>
      <c r="V18" s="718">
        <f t="shared" si="3"/>
        <v>2233.145</v>
      </c>
      <c r="W18" s="2348"/>
      <c r="X18" s="2399"/>
      <c r="Y18" s="734"/>
      <c r="Z18" s="717">
        <f t="shared" si="4"/>
        <v>2233.145</v>
      </c>
      <c r="AA18" s="482"/>
      <c r="AB18" s="617">
        <f t="shared" si="5"/>
        <v>2233.145</v>
      </c>
      <c r="AC18" s="2348"/>
      <c r="AD18" s="2399"/>
      <c r="AE18" s="718"/>
      <c r="AF18" s="718">
        <f t="shared" si="6"/>
        <v>2233.145</v>
      </c>
      <c r="AG18" s="2348"/>
      <c r="AH18" s="2399"/>
      <c r="AI18" s="718"/>
      <c r="AJ18" s="718">
        <f t="shared" si="7"/>
        <v>2233.145</v>
      </c>
      <c r="AK18" s="2348"/>
      <c r="AL18" s="2399"/>
      <c r="AM18" s="734"/>
      <c r="AN18" s="717">
        <f t="shared" si="8"/>
        <v>0</v>
      </c>
      <c r="AO18" s="718"/>
      <c r="AP18" s="718">
        <f t="shared" si="9"/>
        <v>2233.145</v>
      </c>
      <c r="AQ18" s="2348"/>
      <c r="AR18" s="2399"/>
      <c r="AS18" s="718"/>
      <c r="AT18" s="718">
        <f t="shared" si="10"/>
        <v>2233.145</v>
      </c>
      <c r="AU18" s="2348"/>
      <c r="AV18" s="2399"/>
      <c r="AW18" s="718"/>
      <c r="AX18" s="718">
        <f t="shared" si="11"/>
        <v>2233.145</v>
      </c>
      <c r="AY18" s="2348"/>
      <c r="AZ18" s="2446"/>
      <c r="BA18" s="734"/>
      <c r="BB18" s="717">
        <f t="shared" si="12"/>
        <v>0</v>
      </c>
      <c r="BC18" s="482"/>
      <c r="BD18" s="617">
        <f t="shared" si="13"/>
        <v>0</v>
      </c>
      <c r="BE18" s="718"/>
      <c r="BF18" s="718">
        <f t="shared" si="14"/>
        <v>2233.145</v>
      </c>
      <c r="BG18" s="3464"/>
      <c r="BH18" s="3464"/>
      <c r="BI18" s="23"/>
      <c r="BJ18" s="23"/>
      <c r="BK18" s="23"/>
      <c r="BL18" s="23"/>
      <c r="BM18" s="23"/>
      <c r="BN18" s="23"/>
    </row>
    <row r="19" spans="2:66" ht="15" customHeight="1" x14ac:dyDescent="0.3">
      <c r="B19" s="4505" t="s">
        <v>1472</v>
      </c>
      <c r="C19" s="4506" t="s">
        <v>997</v>
      </c>
      <c r="D19" s="4507" t="s">
        <v>50</v>
      </c>
      <c r="E19" s="4508"/>
      <c r="F19" s="4509"/>
      <c r="G19" s="4508"/>
      <c r="H19" s="4509"/>
      <c r="I19" s="4510"/>
      <c r="J19" s="4428"/>
      <c r="K19" s="4508"/>
      <c r="L19" s="4509"/>
      <c r="M19" s="4434"/>
      <c r="N19" s="717">
        <f t="shared" si="1"/>
        <v>0</v>
      </c>
      <c r="O19" s="4508"/>
      <c r="P19" s="4509"/>
      <c r="Q19" s="4428"/>
      <c r="R19" s="718">
        <f t="shared" si="2"/>
        <v>0</v>
      </c>
      <c r="S19" s="4508"/>
      <c r="T19" s="4509">
        <v>1092.5949999999998</v>
      </c>
      <c r="U19" s="4428"/>
      <c r="V19" s="718">
        <f t="shared" si="3"/>
        <v>1092.5949999999998</v>
      </c>
      <c r="W19" s="4508"/>
      <c r="X19" s="4509"/>
      <c r="Y19" s="4435"/>
      <c r="Z19" s="717">
        <f t="shared" si="4"/>
        <v>1092.5949999999998</v>
      </c>
      <c r="AA19" s="4405"/>
      <c r="AB19" s="617">
        <f t="shared" si="5"/>
        <v>1092.5949999999998</v>
      </c>
      <c r="AC19" s="4508"/>
      <c r="AD19" s="4509"/>
      <c r="AE19" s="4428"/>
      <c r="AF19" s="718">
        <f t="shared" si="6"/>
        <v>1092.5949999999998</v>
      </c>
      <c r="AG19" s="4508"/>
      <c r="AH19" s="4509"/>
      <c r="AI19" s="4428"/>
      <c r="AJ19" s="718">
        <f t="shared" si="7"/>
        <v>1092.5949999999998</v>
      </c>
      <c r="AK19" s="4508"/>
      <c r="AL19" s="4509"/>
      <c r="AM19" s="4435"/>
      <c r="AN19" s="717">
        <f t="shared" si="8"/>
        <v>0</v>
      </c>
      <c r="AO19" s="4428"/>
      <c r="AP19" s="718">
        <f t="shared" si="9"/>
        <v>1092.5949999999998</v>
      </c>
      <c r="AQ19" s="4508"/>
      <c r="AR19" s="4509"/>
      <c r="AS19" s="4428"/>
      <c r="AT19" s="4428">
        <f t="shared" si="10"/>
        <v>1092.5949999999998</v>
      </c>
      <c r="AU19" s="4508"/>
      <c r="AV19" s="4509"/>
      <c r="AW19" s="4428"/>
      <c r="AX19" s="718">
        <f t="shared" si="11"/>
        <v>1092.5949999999998</v>
      </c>
      <c r="AY19" s="4508"/>
      <c r="AZ19" s="5011"/>
      <c r="BA19" s="4435"/>
      <c r="BB19" s="717">
        <f t="shared" si="12"/>
        <v>0</v>
      </c>
      <c r="BC19" s="4405"/>
      <c r="BD19" s="617">
        <f t="shared" si="13"/>
        <v>0</v>
      </c>
      <c r="BE19" s="4428"/>
      <c r="BF19" s="718">
        <f t="shared" si="14"/>
        <v>1092.5949999999998</v>
      </c>
      <c r="BG19" s="3464"/>
      <c r="BH19" s="3464"/>
      <c r="BI19" s="23"/>
      <c r="BJ19" s="23"/>
      <c r="BK19" s="23"/>
      <c r="BL19" s="23"/>
      <c r="BM19" s="23"/>
      <c r="BN19" s="23"/>
    </row>
    <row r="20" spans="2:66" ht="15" customHeight="1" thickBot="1" x14ac:dyDescent="0.35">
      <c r="B20" s="2691" t="s">
        <v>1472</v>
      </c>
      <c r="C20" s="2692" t="s">
        <v>996</v>
      </c>
      <c r="D20" s="2693" t="s">
        <v>50</v>
      </c>
      <c r="E20" s="2587"/>
      <c r="F20" s="2626"/>
      <c r="G20" s="2587"/>
      <c r="H20" s="2626"/>
      <c r="I20" s="2588"/>
      <c r="J20" s="4119">
        <f t="shared" si="0"/>
        <v>0</v>
      </c>
      <c r="K20" s="2587"/>
      <c r="L20" s="2626"/>
      <c r="M20" s="717"/>
      <c r="N20" s="717">
        <f t="shared" si="1"/>
        <v>0</v>
      </c>
      <c r="O20" s="2587"/>
      <c r="P20" s="2626">
        <v>4350.0300000000016</v>
      </c>
      <c r="Q20" s="718"/>
      <c r="R20" s="718">
        <f t="shared" si="2"/>
        <v>4350.0300000000016</v>
      </c>
      <c r="S20" s="2587"/>
      <c r="T20" s="2626">
        <v>8407.0550000000094</v>
      </c>
      <c r="U20" s="718"/>
      <c r="V20" s="718">
        <f t="shared" si="3"/>
        <v>12757.08500000001</v>
      </c>
      <c r="W20" s="2587"/>
      <c r="X20" s="2626"/>
      <c r="Y20" s="734"/>
      <c r="Z20" s="717">
        <f t="shared" si="4"/>
        <v>12757.08500000001</v>
      </c>
      <c r="AA20" s="482"/>
      <c r="AB20" s="617">
        <f t="shared" si="5"/>
        <v>12757.08500000001</v>
      </c>
      <c r="AC20" s="2587"/>
      <c r="AD20" s="2626"/>
      <c r="AE20" s="718"/>
      <c r="AF20" s="718">
        <f t="shared" si="6"/>
        <v>12757.08500000001</v>
      </c>
      <c r="AG20" s="2587"/>
      <c r="AH20" s="2626"/>
      <c r="AI20" s="718"/>
      <c r="AJ20" s="718">
        <f t="shared" si="7"/>
        <v>12757.08500000001</v>
      </c>
      <c r="AK20" s="2587"/>
      <c r="AL20" s="2626"/>
      <c r="AM20" s="734"/>
      <c r="AN20" s="717">
        <f t="shared" si="8"/>
        <v>0</v>
      </c>
      <c r="AO20" s="718"/>
      <c r="AP20" s="718">
        <f t="shared" si="9"/>
        <v>12757.08500000001</v>
      </c>
      <c r="AQ20" s="2587"/>
      <c r="AR20" s="2626"/>
      <c r="AS20" s="718"/>
      <c r="AT20" s="718">
        <f t="shared" si="10"/>
        <v>12757.08500000001</v>
      </c>
      <c r="AU20" s="2587"/>
      <c r="AV20" s="2626"/>
      <c r="AW20" s="718"/>
      <c r="AX20" s="718">
        <f t="shared" si="11"/>
        <v>12757.08500000001</v>
      </c>
      <c r="AY20" s="2587"/>
      <c r="AZ20" s="5012"/>
      <c r="BA20" s="734"/>
      <c r="BB20" s="717">
        <f t="shared" si="12"/>
        <v>0</v>
      </c>
      <c r="BC20" s="482"/>
      <c r="BD20" s="617">
        <f t="shared" si="13"/>
        <v>0</v>
      </c>
      <c r="BE20" s="718"/>
      <c r="BF20" s="718">
        <f t="shared" si="14"/>
        <v>12757.08500000001</v>
      </c>
      <c r="BG20" s="3464"/>
      <c r="BH20" s="3464"/>
      <c r="BI20" s="23"/>
      <c r="BJ20" s="23"/>
      <c r="BK20" s="23"/>
      <c r="BL20" s="23"/>
      <c r="BM20" s="23"/>
      <c r="BN20" s="23"/>
    </row>
    <row r="21" spans="2:66" ht="15" customHeight="1" thickBot="1" x14ac:dyDescent="0.35">
      <c r="B21" s="2694" t="s">
        <v>1479</v>
      </c>
      <c r="C21" s="2695" t="s">
        <v>1075</v>
      </c>
      <c r="D21" s="2696" t="s">
        <v>50</v>
      </c>
      <c r="E21" s="2697"/>
      <c r="F21" s="2698"/>
      <c r="G21" s="2697"/>
      <c r="H21" s="2698"/>
      <c r="I21" s="2699"/>
      <c r="J21" s="4119">
        <f t="shared" si="0"/>
        <v>0</v>
      </c>
      <c r="K21" s="2697"/>
      <c r="L21" s="2698"/>
      <c r="M21" s="717"/>
      <c r="N21" s="717">
        <f t="shared" si="1"/>
        <v>0</v>
      </c>
      <c r="O21" s="2697"/>
      <c r="P21" s="2698"/>
      <c r="Q21" s="718"/>
      <c r="R21" s="718">
        <f t="shared" si="2"/>
        <v>0</v>
      </c>
      <c r="S21" s="2697"/>
      <c r="T21" s="2698"/>
      <c r="U21" s="718"/>
      <c r="V21" s="718">
        <f t="shared" si="3"/>
        <v>0</v>
      </c>
      <c r="W21" s="2697"/>
      <c r="X21" s="2698"/>
      <c r="Y21" s="734"/>
      <c r="Z21" s="717">
        <f t="shared" si="4"/>
        <v>0</v>
      </c>
      <c r="AA21" s="482"/>
      <c r="AB21" s="617">
        <f t="shared" si="5"/>
        <v>0</v>
      </c>
      <c r="AC21" s="2697"/>
      <c r="AD21" s="2698"/>
      <c r="AE21" s="718"/>
      <c r="AF21" s="718">
        <f t="shared" si="6"/>
        <v>0</v>
      </c>
      <c r="AG21" s="2697"/>
      <c r="AH21" s="2698"/>
      <c r="AI21" s="718"/>
      <c r="AJ21" s="718">
        <f t="shared" si="7"/>
        <v>0</v>
      </c>
      <c r="AK21" s="2697"/>
      <c r="AL21" s="2698"/>
      <c r="AM21" s="734"/>
      <c r="AN21" s="717">
        <f t="shared" si="8"/>
        <v>0</v>
      </c>
      <c r="AO21" s="718"/>
      <c r="AP21" s="718">
        <f t="shared" si="9"/>
        <v>0</v>
      </c>
      <c r="AQ21" s="2697"/>
      <c r="AR21" s="2698"/>
      <c r="AS21" s="718"/>
      <c r="AT21" s="718">
        <f t="shared" si="10"/>
        <v>0</v>
      </c>
      <c r="AU21" s="2697"/>
      <c r="AV21" s="2698"/>
      <c r="AW21" s="718"/>
      <c r="AX21" s="718">
        <f t="shared" si="11"/>
        <v>0</v>
      </c>
      <c r="AY21" s="2697"/>
      <c r="AZ21" s="5013"/>
      <c r="BA21" s="734"/>
      <c r="BB21" s="717">
        <f t="shared" si="12"/>
        <v>0</v>
      </c>
      <c r="BC21" s="482"/>
      <c r="BD21" s="617">
        <f t="shared" si="13"/>
        <v>0</v>
      </c>
      <c r="BE21" s="718"/>
      <c r="BF21" s="718">
        <f t="shared" si="14"/>
        <v>0</v>
      </c>
      <c r="BG21" s="3464"/>
      <c r="BH21" s="3464"/>
      <c r="BI21" s="23"/>
      <c r="BJ21" s="23"/>
      <c r="BK21" s="23"/>
      <c r="BL21" s="23"/>
      <c r="BM21" s="23"/>
      <c r="BN21" s="23"/>
    </row>
    <row r="22" spans="2:66" ht="15" customHeight="1" x14ac:dyDescent="0.3">
      <c r="B22" s="2682" t="s">
        <v>817</v>
      </c>
      <c r="C22" s="2683" t="s">
        <v>995</v>
      </c>
      <c r="D22" s="56" t="s">
        <v>50</v>
      </c>
      <c r="E22" s="1095"/>
      <c r="F22" s="1197"/>
      <c r="G22" s="1095"/>
      <c r="H22" s="1197"/>
      <c r="I22" s="2045"/>
      <c r="J22" s="4119">
        <f t="shared" si="0"/>
        <v>0</v>
      </c>
      <c r="K22" s="1095"/>
      <c r="L22" s="1197">
        <v>2018.4149999999995</v>
      </c>
      <c r="M22" s="717"/>
      <c r="N22" s="717">
        <f t="shared" si="1"/>
        <v>2018.4149999999995</v>
      </c>
      <c r="O22" s="1095"/>
      <c r="P22" s="1197">
        <v>2157.4749999999995</v>
      </c>
      <c r="Q22" s="718"/>
      <c r="R22" s="718">
        <f t="shared" si="2"/>
        <v>4175.8899999999994</v>
      </c>
      <c r="S22" s="1095"/>
      <c r="T22" s="1197"/>
      <c r="U22" s="718"/>
      <c r="V22" s="718">
        <f t="shared" si="3"/>
        <v>4175.8899999999994</v>
      </c>
      <c r="W22" s="1095"/>
      <c r="X22" s="1197"/>
      <c r="Y22" s="734"/>
      <c r="Z22" s="717">
        <f t="shared" si="4"/>
        <v>2157.4749999999995</v>
      </c>
      <c r="AA22" s="482"/>
      <c r="AB22" s="617">
        <f t="shared" si="5"/>
        <v>4175.8899999999994</v>
      </c>
      <c r="AC22" s="1095"/>
      <c r="AD22" s="1197"/>
      <c r="AE22" s="718"/>
      <c r="AF22" s="718">
        <f t="shared" si="6"/>
        <v>4175.8899999999994</v>
      </c>
      <c r="AG22" s="1095"/>
      <c r="AH22" s="1197"/>
      <c r="AI22" s="718"/>
      <c r="AJ22" s="718">
        <f t="shared" si="7"/>
        <v>4175.8899999999994</v>
      </c>
      <c r="AK22" s="1095"/>
      <c r="AL22" s="1197"/>
      <c r="AM22" s="734"/>
      <c r="AN22" s="717">
        <f t="shared" si="8"/>
        <v>0</v>
      </c>
      <c r="AO22" s="718"/>
      <c r="AP22" s="718">
        <f t="shared" si="9"/>
        <v>4175.8899999999994</v>
      </c>
      <c r="AQ22" s="1095"/>
      <c r="AR22" s="1197"/>
      <c r="AS22" s="718"/>
      <c r="AT22" s="718">
        <f t="shared" si="10"/>
        <v>4175.8899999999994</v>
      </c>
      <c r="AU22" s="1095"/>
      <c r="AV22" s="1197">
        <v>2241.3199999999997</v>
      </c>
      <c r="AW22" s="718"/>
      <c r="AX22" s="718">
        <f t="shared" si="11"/>
        <v>6417.2099999999991</v>
      </c>
      <c r="AY22" s="1095"/>
      <c r="AZ22" s="5010">
        <v>985.65390815630406</v>
      </c>
      <c r="BA22" s="734"/>
      <c r="BB22" s="717">
        <f t="shared" si="12"/>
        <v>3226.9739081563039</v>
      </c>
      <c r="BC22" s="482"/>
      <c r="BD22" s="617">
        <f t="shared" si="13"/>
        <v>3226.9739081563039</v>
      </c>
      <c r="BE22" s="718"/>
      <c r="BF22" s="718">
        <f t="shared" si="14"/>
        <v>7402.8639081563033</v>
      </c>
      <c r="BG22" s="3464"/>
      <c r="BH22" s="3464"/>
      <c r="BI22" s="23"/>
      <c r="BJ22" s="23"/>
      <c r="BK22" s="23"/>
      <c r="BL22" s="23"/>
      <c r="BM22" s="23"/>
      <c r="BN22" s="23"/>
    </row>
    <row r="23" spans="2:66" ht="15" customHeight="1" x14ac:dyDescent="0.3">
      <c r="B23" s="815" t="s">
        <v>817</v>
      </c>
      <c r="C23" s="2687" t="s">
        <v>996</v>
      </c>
      <c r="D23" s="2589" t="s">
        <v>50</v>
      </c>
      <c r="E23" s="2348"/>
      <c r="F23" s="2399">
        <v>10082.880000000006</v>
      </c>
      <c r="G23" s="2348"/>
      <c r="H23" s="2399"/>
      <c r="I23" s="2349"/>
      <c r="J23" s="4119">
        <f t="shared" si="0"/>
        <v>10082.880000000006</v>
      </c>
      <c r="K23" s="2348"/>
      <c r="L23" s="2399"/>
      <c r="M23" s="717"/>
      <c r="N23" s="717">
        <f t="shared" si="1"/>
        <v>10082.880000000006</v>
      </c>
      <c r="O23" s="2348"/>
      <c r="P23" s="2399">
        <v>5458.1050000000059</v>
      </c>
      <c r="Q23" s="718"/>
      <c r="R23" s="718">
        <f t="shared" si="2"/>
        <v>15540.985000000011</v>
      </c>
      <c r="S23" s="2348"/>
      <c r="T23" s="2399">
        <v>3828.2400000000007</v>
      </c>
      <c r="U23" s="718"/>
      <c r="V23" s="718">
        <f t="shared" si="3"/>
        <v>19369.225000000013</v>
      </c>
      <c r="W23" s="2348"/>
      <c r="X23" s="2399"/>
      <c r="Y23" s="734"/>
      <c r="Z23" s="717">
        <f t="shared" si="4"/>
        <v>9286.3450000000066</v>
      </c>
      <c r="AA23" s="482"/>
      <c r="AB23" s="617">
        <f t="shared" si="5"/>
        <v>19369.225000000013</v>
      </c>
      <c r="AC23" s="2348"/>
      <c r="AD23" s="2399">
        <v>1832.3199999999997</v>
      </c>
      <c r="AE23" s="718"/>
      <c r="AF23" s="718">
        <f t="shared" si="6"/>
        <v>21201.545000000013</v>
      </c>
      <c r="AG23" s="2348"/>
      <c r="AH23" s="2399">
        <v>6705.5550000000067</v>
      </c>
      <c r="AI23" s="718"/>
      <c r="AJ23" s="718">
        <f t="shared" si="7"/>
        <v>27907.10000000002</v>
      </c>
      <c r="AK23" s="2348"/>
      <c r="AL23" s="2399">
        <v>2030.6849999999995</v>
      </c>
      <c r="AM23" s="734"/>
      <c r="AN23" s="717">
        <f t="shared" si="8"/>
        <v>10568.560000000007</v>
      </c>
      <c r="AO23" s="718"/>
      <c r="AP23" s="718">
        <f t="shared" si="9"/>
        <v>29937.785000000018</v>
      </c>
      <c r="AQ23" s="2348"/>
      <c r="AR23" s="2399">
        <v>9261.8050000000112</v>
      </c>
      <c r="AS23" s="718"/>
      <c r="AT23" s="718">
        <f t="shared" si="10"/>
        <v>39199.590000000026</v>
      </c>
      <c r="AU23" s="2348"/>
      <c r="AV23" s="2399">
        <v>7314.9650000000011</v>
      </c>
      <c r="AW23" s="718"/>
      <c r="AX23" s="718">
        <f t="shared" si="11"/>
        <v>46514.555000000029</v>
      </c>
      <c r="AY23" s="2348"/>
      <c r="AZ23" s="2446">
        <v>8303.3874687106891</v>
      </c>
      <c r="BA23" s="734"/>
      <c r="BB23" s="717">
        <f t="shared" si="12"/>
        <v>24880.157468710699</v>
      </c>
      <c r="BC23" s="482"/>
      <c r="BD23" s="617">
        <f t="shared" si="13"/>
        <v>35448.717468710704</v>
      </c>
      <c r="BE23" s="718"/>
      <c r="BF23" s="718">
        <f t="shared" si="14"/>
        <v>54817.942468710717</v>
      </c>
      <c r="BG23" s="3464"/>
      <c r="BH23" s="3464"/>
      <c r="BI23" s="23"/>
      <c r="BJ23" s="23"/>
      <c r="BK23" s="23"/>
      <c r="BL23" s="23"/>
      <c r="BM23" s="23"/>
      <c r="BN23" s="23"/>
    </row>
    <row r="24" spans="2:66" ht="15" customHeight="1" x14ac:dyDescent="0.3">
      <c r="B24" s="815" t="s">
        <v>817</v>
      </c>
      <c r="C24" s="2687" t="s">
        <v>1095</v>
      </c>
      <c r="D24" s="2589" t="s">
        <v>50</v>
      </c>
      <c r="E24" s="2348"/>
      <c r="F24" s="2399"/>
      <c r="G24" s="2348"/>
      <c r="H24" s="2399"/>
      <c r="I24" s="2349"/>
      <c r="J24" s="4119">
        <f t="shared" si="0"/>
        <v>0</v>
      </c>
      <c r="K24" s="2348"/>
      <c r="L24" s="2399"/>
      <c r="M24" s="717"/>
      <c r="N24" s="717">
        <f t="shared" si="1"/>
        <v>0</v>
      </c>
      <c r="O24" s="2348"/>
      <c r="P24" s="2399"/>
      <c r="Q24" s="718"/>
      <c r="R24" s="718">
        <f t="shared" si="2"/>
        <v>0</v>
      </c>
      <c r="S24" s="2348"/>
      <c r="T24" s="2399"/>
      <c r="U24" s="718"/>
      <c r="V24" s="718">
        <f t="shared" si="3"/>
        <v>0</v>
      </c>
      <c r="W24" s="2348"/>
      <c r="X24" s="2399"/>
      <c r="Y24" s="734"/>
      <c r="Z24" s="717">
        <f t="shared" si="4"/>
        <v>0</v>
      </c>
      <c r="AA24" s="482"/>
      <c r="AB24" s="617">
        <f t="shared" si="5"/>
        <v>0</v>
      </c>
      <c r="AC24" s="2348"/>
      <c r="AD24" s="2399"/>
      <c r="AE24" s="718"/>
      <c r="AF24" s="718">
        <f t="shared" si="6"/>
        <v>0</v>
      </c>
      <c r="AG24" s="2348"/>
      <c r="AH24" s="2399"/>
      <c r="AI24" s="718"/>
      <c r="AJ24" s="718">
        <f t="shared" si="7"/>
        <v>0</v>
      </c>
      <c r="AK24" s="2348"/>
      <c r="AL24" s="2399"/>
      <c r="AM24" s="734"/>
      <c r="AN24" s="717">
        <f t="shared" si="8"/>
        <v>0</v>
      </c>
      <c r="AO24" s="718"/>
      <c r="AP24" s="718">
        <f t="shared" si="9"/>
        <v>0</v>
      </c>
      <c r="AQ24" s="2348"/>
      <c r="AR24" s="2399"/>
      <c r="AS24" s="718"/>
      <c r="AT24" s="718">
        <f t="shared" si="10"/>
        <v>0</v>
      </c>
      <c r="AU24" s="2348"/>
      <c r="AV24" s="2399"/>
      <c r="AW24" s="718"/>
      <c r="AX24" s="718">
        <f t="shared" si="11"/>
        <v>0</v>
      </c>
      <c r="AY24" s="2348"/>
      <c r="AZ24" s="2446"/>
      <c r="BA24" s="734"/>
      <c r="BB24" s="717">
        <f t="shared" si="12"/>
        <v>0</v>
      </c>
      <c r="BC24" s="482"/>
      <c r="BD24" s="617">
        <f t="shared" si="13"/>
        <v>0</v>
      </c>
      <c r="BE24" s="718"/>
      <c r="BF24" s="718">
        <f t="shared" si="14"/>
        <v>0</v>
      </c>
      <c r="BG24" s="3464"/>
      <c r="BH24" s="3464"/>
      <c r="BI24" s="23"/>
      <c r="BJ24" s="23"/>
      <c r="BK24" s="23"/>
      <c r="BL24" s="23"/>
      <c r="BM24" s="23"/>
      <c r="BN24" s="23"/>
    </row>
    <row r="25" spans="2:66" ht="15" customHeight="1" x14ac:dyDescent="0.3">
      <c r="B25" s="815" t="s">
        <v>817</v>
      </c>
      <c r="C25" s="2687" t="s">
        <v>997</v>
      </c>
      <c r="D25" s="2589" t="s">
        <v>50</v>
      </c>
      <c r="E25" s="2348"/>
      <c r="F25" s="2399"/>
      <c r="G25" s="2348"/>
      <c r="H25" s="2399"/>
      <c r="I25" s="2349"/>
      <c r="J25" s="4119">
        <f t="shared" si="0"/>
        <v>0</v>
      </c>
      <c r="K25" s="2348"/>
      <c r="L25" s="2399"/>
      <c r="M25" s="717"/>
      <c r="N25" s="717">
        <f t="shared" si="1"/>
        <v>0</v>
      </c>
      <c r="O25" s="2348"/>
      <c r="P25" s="2399"/>
      <c r="Q25" s="718"/>
      <c r="R25" s="718">
        <f t="shared" si="2"/>
        <v>0</v>
      </c>
      <c r="S25" s="2348"/>
      <c r="T25" s="2399">
        <v>513.29500000000007</v>
      </c>
      <c r="U25" s="718"/>
      <c r="V25" s="718">
        <f t="shared" si="3"/>
        <v>513.29500000000007</v>
      </c>
      <c r="W25" s="2348"/>
      <c r="X25" s="2399"/>
      <c r="Y25" s="734"/>
      <c r="Z25" s="717">
        <f t="shared" si="4"/>
        <v>513.29500000000007</v>
      </c>
      <c r="AA25" s="482"/>
      <c r="AB25" s="617">
        <f t="shared" si="5"/>
        <v>513.29500000000007</v>
      </c>
      <c r="AC25" s="2348"/>
      <c r="AD25" s="2399"/>
      <c r="AE25" s="718"/>
      <c r="AF25" s="718">
        <f t="shared" si="6"/>
        <v>513.29500000000007</v>
      </c>
      <c r="AG25" s="2348"/>
      <c r="AH25" s="2399">
        <v>1030.6800000000003</v>
      </c>
      <c r="AI25" s="718"/>
      <c r="AJ25" s="718">
        <f t="shared" si="7"/>
        <v>1543.9750000000004</v>
      </c>
      <c r="AK25" s="2348"/>
      <c r="AL25" s="2399">
        <v>3012.2849999999989</v>
      </c>
      <c r="AM25" s="734"/>
      <c r="AN25" s="717">
        <f t="shared" si="8"/>
        <v>4042.9649999999992</v>
      </c>
      <c r="AO25" s="718"/>
      <c r="AP25" s="718">
        <f t="shared" si="9"/>
        <v>4556.2599999999993</v>
      </c>
      <c r="AQ25" s="2348"/>
      <c r="AR25" s="2399"/>
      <c r="AS25" s="718"/>
      <c r="AT25" s="718">
        <f t="shared" si="10"/>
        <v>4556.2599999999993</v>
      </c>
      <c r="AU25" s="2348"/>
      <c r="AV25" s="2399"/>
      <c r="AW25" s="718"/>
      <c r="AX25" s="718">
        <f t="shared" si="11"/>
        <v>4556.2599999999993</v>
      </c>
      <c r="AY25" s="2348"/>
      <c r="AZ25" s="2446"/>
      <c r="BA25" s="734"/>
      <c r="BB25" s="717">
        <f t="shared" si="12"/>
        <v>0</v>
      </c>
      <c r="BC25" s="482"/>
      <c r="BD25" s="617">
        <f t="shared" si="13"/>
        <v>4042.9649999999992</v>
      </c>
      <c r="BE25" s="718"/>
      <c r="BF25" s="718">
        <f t="shared" si="14"/>
        <v>4556.2599999999993</v>
      </c>
      <c r="BG25" s="3464"/>
      <c r="BH25" s="3464"/>
      <c r="BI25" s="23"/>
      <c r="BJ25" s="23"/>
      <c r="BK25" s="23"/>
      <c r="BL25" s="23"/>
      <c r="BM25" s="23"/>
      <c r="BN25" s="23"/>
    </row>
    <row r="26" spans="2:66" ht="15" customHeight="1" thickBot="1" x14ac:dyDescent="0.35">
      <c r="B26" s="2691" t="s">
        <v>817</v>
      </c>
      <c r="C26" s="2692" t="s">
        <v>1075</v>
      </c>
      <c r="D26" s="2693" t="s">
        <v>50</v>
      </c>
      <c r="E26" s="2587"/>
      <c r="F26" s="2626"/>
      <c r="G26" s="2587"/>
      <c r="H26" s="2626"/>
      <c r="I26" s="2588"/>
      <c r="J26" s="4119">
        <f t="shared" si="0"/>
        <v>0</v>
      </c>
      <c r="K26" s="2587"/>
      <c r="L26" s="2626"/>
      <c r="M26" s="717"/>
      <c r="N26" s="717">
        <f t="shared" si="1"/>
        <v>0</v>
      </c>
      <c r="O26" s="2587"/>
      <c r="P26" s="2626"/>
      <c r="Q26" s="718"/>
      <c r="R26" s="718">
        <f t="shared" si="2"/>
        <v>0</v>
      </c>
      <c r="S26" s="2587"/>
      <c r="T26" s="2626"/>
      <c r="U26" s="718"/>
      <c r="V26" s="718">
        <f t="shared" si="3"/>
        <v>0</v>
      </c>
      <c r="W26" s="2587"/>
      <c r="X26" s="2626"/>
      <c r="Y26" s="734"/>
      <c r="Z26" s="717">
        <f t="shared" si="4"/>
        <v>0</v>
      </c>
      <c r="AA26" s="482"/>
      <c r="AB26" s="617">
        <f t="shared" si="5"/>
        <v>0</v>
      </c>
      <c r="AC26" s="2587"/>
      <c r="AD26" s="2626"/>
      <c r="AE26" s="718"/>
      <c r="AF26" s="718">
        <f t="shared" si="6"/>
        <v>0</v>
      </c>
      <c r="AG26" s="2587"/>
      <c r="AH26" s="2626"/>
      <c r="AI26" s="718"/>
      <c r="AJ26" s="718">
        <f t="shared" si="7"/>
        <v>0</v>
      </c>
      <c r="AK26" s="2587"/>
      <c r="AL26" s="2626"/>
      <c r="AM26" s="734"/>
      <c r="AN26" s="717">
        <f t="shared" si="8"/>
        <v>0</v>
      </c>
      <c r="AO26" s="718"/>
      <c r="AP26" s="718">
        <f t="shared" si="9"/>
        <v>0</v>
      </c>
      <c r="AQ26" s="2587"/>
      <c r="AR26" s="2626"/>
      <c r="AS26" s="718"/>
      <c r="AT26" s="718">
        <f t="shared" si="10"/>
        <v>0</v>
      </c>
      <c r="AU26" s="2587"/>
      <c r="AV26" s="2626"/>
      <c r="AW26" s="718"/>
      <c r="AX26" s="718">
        <f t="shared" si="11"/>
        <v>0</v>
      </c>
      <c r="AY26" s="2587"/>
      <c r="AZ26" s="5012"/>
      <c r="BA26" s="734"/>
      <c r="BB26" s="717">
        <f t="shared" si="12"/>
        <v>0</v>
      </c>
      <c r="BC26" s="482"/>
      <c r="BD26" s="617">
        <f t="shared" si="13"/>
        <v>0</v>
      </c>
      <c r="BE26" s="718"/>
      <c r="BF26" s="718">
        <f t="shared" si="14"/>
        <v>0</v>
      </c>
      <c r="BG26" s="3464"/>
      <c r="BH26" s="3464"/>
      <c r="BI26" s="23"/>
      <c r="BJ26" s="23"/>
      <c r="BK26" s="23"/>
      <c r="BL26" s="23"/>
      <c r="BM26" s="23"/>
      <c r="BN26" s="23"/>
    </row>
    <row r="27" spans="2:66" ht="15.6" x14ac:dyDescent="0.3">
      <c r="B27" s="2684" t="s">
        <v>818</v>
      </c>
      <c r="C27" s="2685" t="s">
        <v>995</v>
      </c>
      <c r="D27" s="695" t="s">
        <v>50</v>
      </c>
      <c r="E27" s="247"/>
      <c r="F27" s="247"/>
      <c r="G27" s="247"/>
      <c r="H27" s="247"/>
      <c r="I27" s="341"/>
      <c r="J27" s="4119">
        <f t="shared" si="0"/>
        <v>0</v>
      </c>
      <c r="K27" s="247"/>
      <c r="L27" s="247">
        <v>2251.5450000000001</v>
      </c>
      <c r="M27" s="717"/>
      <c r="N27" s="717">
        <f t="shared" si="1"/>
        <v>2251.5450000000001</v>
      </c>
      <c r="O27" s="247"/>
      <c r="P27" s="247">
        <v>5681.0200000000013</v>
      </c>
      <c r="Q27" s="718"/>
      <c r="R27" s="718">
        <f t="shared" si="2"/>
        <v>7932.5650000000014</v>
      </c>
      <c r="S27" s="247"/>
      <c r="T27" s="247"/>
      <c r="U27" s="718"/>
      <c r="V27" s="718">
        <f t="shared" si="3"/>
        <v>7932.5650000000014</v>
      </c>
      <c r="W27" s="247"/>
      <c r="X27" s="247">
        <v>2472.8049999999994</v>
      </c>
      <c r="Y27" s="734"/>
      <c r="Z27" s="717">
        <f t="shared" si="4"/>
        <v>8153.8250000000007</v>
      </c>
      <c r="AA27" s="482"/>
      <c r="AB27" s="617">
        <f t="shared" si="5"/>
        <v>10405.370000000001</v>
      </c>
      <c r="AC27" s="247"/>
      <c r="AD27" s="247"/>
      <c r="AE27" s="718"/>
      <c r="AF27" s="718">
        <f t="shared" si="6"/>
        <v>10405.370000000001</v>
      </c>
      <c r="AG27" s="247"/>
      <c r="AH27" s="247"/>
      <c r="AI27" s="718"/>
      <c r="AJ27" s="718">
        <f t="shared" si="7"/>
        <v>10405.370000000001</v>
      </c>
      <c r="AK27" s="247"/>
      <c r="AL27" s="247"/>
      <c r="AM27" s="734"/>
      <c r="AN27" s="717">
        <f t="shared" si="8"/>
        <v>0</v>
      </c>
      <c r="AO27" s="718"/>
      <c r="AP27" s="718">
        <f t="shared" si="9"/>
        <v>10405.370000000001</v>
      </c>
      <c r="AQ27" s="247"/>
      <c r="AR27" s="247">
        <v>3152.7549999999997</v>
      </c>
      <c r="AS27" s="718"/>
      <c r="AT27" s="718">
        <f t="shared" si="10"/>
        <v>13558.125</v>
      </c>
      <c r="AU27" s="247"/>
      <c r="AV27" s="247">
        <v>3580.7950000000001</v>
      </c>
      <c r="AW27" s="718"/>
      <c r="AX27" s="718">
        <f t="shared" si="11"/>
        <v>17138.919999999998</v>
      </c>
      <c r="AY27" s="247"/>
      <c r="AZ27" s="5008">
        <v>979.68024810687177</v>
      </c>
      <c r="BA27" s="734"/>
      <c r="BB27" s="717">
        <f t="shared" si="12"/>
        <v>7713.2302481068709</v>
      </c>
      <c r="BC27" s="482"/>
      <c r="BD27" s="617">
        <f t="shared" si="13"/>
        <v>7713.2302481068709</v>
      </c>
      <c r="BE27" s="718"/>
      <c r="BF27" s="718">
        <f t="shared" si="14"/>
        <v>18118.600248106872</v>
      </c>
      <c r="BG27" s="3464"/>
      <c r="BH27" s="3464"/>
      <c r="BI27" s="23"/>
      <c r="BJ27" s="23"/>
      <c r="BK27" s="23"/>
      <c r="BL27" s="23"/>
      <c r="BM27" s="23"/>
      <c r="BN27" s="23"/>
    </row>
    <row r="28" spans="2:66" ht="15.6" x14ac:dyDescent="0.3">
      <c r="B28" s="815" t="s">
        <v>818</v>
      </c>
      <c r="C28" s="2687" t="s">
        <v>996</v>
      </c>
      <c r="D28" s="2589" t="s">
        <v>50</v>
      </c>
      <c r="E28" s="2399"/>
      <c r="F28" s="2399">
        <v>4981.62</v>
      </c>
      <c r="G28" s="2399"/>
      <c r="H28" s="2399">
        <v>3910.04</v>
      </c>
      <c r="I28" s="2349"/>
      <c r="J28" s="4119">
        <f t="shared" si="0"/>
        <v>8891.66</v>
      </c>
      <c r="K28" s="2399"/>
      <c r="L28" s="2399">
        <v>7930.2000000000016</v>
      </c>
      <c r="M28" s="717"/>
      <c r="N28" s="717">
        <f t="shared" si="1"/>
        <v>16821.86</v>
      </c>
      <c r="O28" s="2399"/>
      <c r="P28" s="2399">
        <v>17149.980000000036</v>
      </c>
      <c r="Q28" s="718"/>
      <c r="R28" s="718">
        <f t="shared" si="2"/>
        <v>33971.84000000004</v>
      </c>
      <c r="S28" s="2399"/>
      <c r="T28" s="2399">
        <v>8461.9500000000007</v>
      </c>
      <c r="U28" s="718"/>
      <c r="V28" s="718">
        <f t="shared" si="3"/>
        <v>42433.790000000037</v>
      </c>
      <c r="W28" s="2399"/>
      <c r="X28" s="2399">
        <v>13465.740000000033</v>
      </c>
      <c r="Y28" s="734"/>
      <c r="Z28" s="717">
        <f t="shared" si="4"/>
        <v>39077.670000000071</v>
      </c>
      <c r="AA28" s="482"/>
      <c r="AB28" s="617">
        <f t="shared" si="5"/>
        <v>55899.530000000072</v>
      </c>
      <c r="AC28" s="2399"/>
      <c r="AD28" s="2399">
        <v>15609.635000000049</v>
      </c>
      <c r="AE28" s="718"/>
      <c r="AF28" s="718">
        <f t="shared" si="6"/>
        <v>71509.165000000125</v>
      </c>
      <c r="AG28" s="2399"/>
      <c r="AH28" s="2399">
        <v>8318.6600000000017</v>
      </c>
      <c r="AI28" s="718"/>
      <c r="AJ28" s="718">
        <f t="shared" si="7"/>
        <v>79827.825000000128</v>
      </c>
      <c r="AK28" s="2399"/>
      <c r="AL28" s="2399">
        <v>16020.605000000058</v>
      </c>
      <c r="AM28" s="734"/>
      <c r="AN28" s="717">
        <f t="shared" si="8"/>
        <v>39948.900000000111</v>
      </c>
      <c r="AO28" s="718"/>
      <c r="AP28" s="718">
        <f t="shared" si="9"/>
        <v>95848.430000000182</v>
      </c>
      <c r="AQ28" s="2399"/>
      <c r="AR28" s="2399">
        <v>10341.610000000013</v>
      </c>
      <c r="AS28" s="718"/>
      <c r="AT28" s="718">
        <f t="shared" si="10"/>
        <v>106190.0400000002</v>
      </c>
      <c r="AU28" s="2399"/>
      <c r="AV28" s="2399">
        <v>8854.8500000000058</v>
      </c>
      <c r="AW28" s="718"/>
      <c r="AX28" s="718">
        <f t="shared" si="11"/>
        <v>115044.8900000002</v>
      </c>
      <c r="AY28" s="2399"/>
      <c r="AZ28" s="2446">
        <v>17128.868930934874</v>
      </c>
      <c r="BA28" s="734"/>
      <c r="BB28" s="717">
        <f t="shared" si="12"/>
        <v>36325.328930934891</v>
      </c>
      <c r="BC28" s="482"/>
      <c r="BD28" s="617">
        <f t="shared" si="13"/>
        <v>76274.228930935002</v>
      </c>
      <c r="BE28" s="718"/>
      <c r="BF28" s="718">
        <f t="shared" si="14"/>
        <v>132173.75893093509</v>
      </c>
      <c r="BG28" s="3464"/>
      <c r="BH28" s="3464"/>
      <c r="BI28" s="23"/>
      <c r="BJ28" s="23"/>
      <c r="BK28" s="23"/>
      <c r="BL28" s="23"/>
      <c r="BM28" s="23"/>
      <c r="BN28" s="23"/>
    </row>
    <row r="29" spans="2:66" ht="15.6" x14ac:dyDescent="0.3">
      <c r="B29" s="815" t="s">
        <v>818</v>
      </c>
      <c r="C29" s="2687" t="s">
        <v>1095</v>
      </c>
      <c r="D29" s="2589" t="s">
        <v>50</v>
      </c>
      <c r="E29" s="2399"/>
      <c r="F29" s="2399">
        <f>7979.545-2.18</f>
        <v>7977.3649999999998</v>
      </c>
      <c r="G29" s="2399"/>
      <c r="H29" s="2399">
        <v>3351.6400000000012</v>
      </c>
      <c r="I29" s="2349"/>
      <c r="J29" s="4119">
        <f t="shared" si="0"/>
        <v>11329.005000000001</v>
      </c>
      <c r="K29" s="2399"/>
      <c r="L29" s="2399">
        <v>7993.1250000000064</v>
      </c>
      <c r="M29" s="717"/>
      <c r="N29" s="717">
        <f t="shared" si="1"/>
        <v>19322.130000000008</v>
      </c>
      <c r="O29" s="2399"/>
      <c r="P29" s="2399">
        <v>7960.655000000007</v>
      </c>
      <c r="Q29" s="718"/>
      <c r="R29" s="718">
        <f t="shared" si="2"/>
        <v>27282.785000000014</v>
      </c>
      <c r="S29" s="2399"/>
      <c r="T29" s="2399">
        <v>7257.2500000000045</v>
      </c>
      <c r="U29" s="718"/>
      <c r="V29" s="718">
        <f t="shared" si="3"/>
        <v>34540.035000000018</v>
      </c>
      <c r="W29" s="2399"/>
      <c r="X29" s="2399">
        <v>13499.48500000001</v>
      </c>
      <c r="Y29" s="734"/>
      <c r="Z29" s="717">
        <f t="shared" si="4"/>
        <v>28717.390000000021</v>
      </c>
      <c r="AA29" s="482"/>
      <c r="AB29" s="617">
        <f t="shared" si="5"/>
        <v>48039.520000000033</v>
      </c>
      <c r="AC29" s="2399"/>
      <c r="AD29" s="2399">
        <v>2618.8650000000002</v>
      </c>
      <c r="AE29" s="718"/>
      <c r="AF29" s="718">
        <f t="shared" si="6"/>
        <v>50658.385000000031</v>
      </c>
      <c r="AG29" s="2399"/>
      <c r="AH29" s="2399">
        <v>9189.830000000009</v>
      </c>
      <c r="AI29" s="718"/>
      <c r="AJ29" s="718">
        <f t="shared" si="7"/>
        <v>59848.21500000004</v>
      </c>
      <c r="AK29" s="2399"/>
      <c r="AL29" s="2399">
        <v>10765.490000000025</v>
      </c>
      <c r="AM29" s="734"/>
      <c r="AN29" s="717">
        <f t="shared" si="8"/>
        <v>22574.185000000034</v>
      </c>
      <c r="AO29" s="718"/>
      <c r="AP29" s="718">
        <f t="shared" si="9"/>
        <v>70613.70500000006</v>
      </c>
      <c r="AQ29" s="2399"/>
      <c r="AR29" s="2399">
        <v>12092.485000000021</v>
      </c>
      <c r="AS29" s="718"/>
      <c r="AT29" s="718">
        <f t="shared" si="10"/>
        <v>82706.190000000075</v>
      </c>
      <c r="AU29" s="2399"/>
      <c r="AV29" s="2399">
        <v>13334.820000000036</v>
      </c>
      <c r="AW29" s="718"/>
      <c r="AX29" s="718">
        <f t="shared" si="11"/>
        <v>96041.010000000111</v>
      </c>
      <c r="AY29" s="2399"/>
      <c r="AZ29" s="2446">
        <v>8275.9339487280085</v>
      </c>
      <c r="BA29" s="734"/>
      <c r="BB29" s="717">
        <f t="shared" si="12"/>
        <v>33703.238948728067</v>
      </c>
      <c r="BC29" s="482"/>
      <c r="BD29" s="617">
        <f t="shared" si="13"/>
        <v>56277.423948728101</v>
      </c>
      <c r="BE29" s="718"/>
      <c r="BF29" s="718">
        <f t="shared" si="14"/>
        <v>104316.94394872812</v>
      </c>
      <c r="BG29" s="3464"/>
      <c r="BH29" s="3464"/>
      <c r="BI29" s="23"/>
      <c r="BJ29" s="23"/>
      <c r="BK29" s="23"/>
      <c r="BL29" s="23"/>
      <c r="BM29" s="23"/>
      <c r="BN29" s="23"/>
    </row>
    <row r="30" spans="2:66" ht="15.6" x14ac:dyDescent="0.3">
      <c r="B30" s="815" t="s">
        <v>818</v>
      </c>
      <c r="C30" s="2687" t="s">
        <v>965</v>
      </c>
      <c r="D30" s="2589" t="s">
        <v>50</v>
      </c>
      <c r="E30" s="2399"/>
      <c r="F30" s="2399"/>
      <c r="G30" s="2399"/>
      <c r="H30" s="2399"/>
      <c r="I30" s="2349"/>
      <c r="J30" s="4119">
        <f t="shared" si="0"/>
        <v>0</v>
      </c>
      <c r="K30" s="2399"/>
      <c r="L30" s="2399"/>
      <c r="M30" s="717"/>
      <c r="N30" s="717">
        <f t="shared" si="1"/>
        <v>0</v>
      </c>
      <c r="O30" s="2399"/>
      <c r="P30" s="2399"/>
      <c r="Q30" s="718"/>
      <c r="R30" s="718">
        <f t="shared" si="2"/>
        <v>0</v>
      </c>
      <c r="S30" s="2399"/>
      <c r="T30" s="2399"/>
      <c r="U30" s="718"/>
      <c r="V30" s="718">
        <f t="shared" si="3"/>
        <v>0</v>
      </c>
      <c r="W30" s="2399"/>
      <c r="X30" s="2399"/>
      <c r="Y30" s="734"/>
      <c r="Z30" s="717">
        <f t="shared" si="4"/>
        <v>0</v>
      </c>
      <c r="AA30" s="482"/>
      <c r="AB30" s="617">
        <f t="shared" si="5"/>
        <v>0</v>
      </c>
      <c r="AC30" s="2399"/>
      <c r="AD30" s="2399"/>
      <c r="AE30" s="718"/>
      <c r="AF30" s="718">
        <f t="shared" si="6"/>
        <v>0</v>
      </c>
      <c r="AG30" s="2399"/>
      <c r="AH30" s="2399"/>
      <c r="AI30" s="718"/>
      <c r="AJ30" s="718">
        <f t="shared" si="7"/>
        <v>0</v>
      </c>
      <c r="AK30" s="2399"/>
      <c r="AL30" s="2399"/>
      <c r="AM30" s="734"/>
      <c r="AN30" s="717">
        <f t="shared" si="8"/>
        <v>0</v>
      </c>
      <c r="AO30" s="718"/>
      <c r="AP30" s="718">
        <f t="shared" si="9"/>
        <v>0</v>
      </c>
      <c r="AQ30" s="2399"/>
      <c r="AR30" s="2399"/>
      <c r="AS30" s="718"/>
      <c r="AT30" s="718">
        <f t="shared" si="10"/>
        <v>0</v>
      </c>
      <c r="AU30" s="2399"/>
      <c r="AV30" s="2399"/>
      <c r="AW30" s="718"/>
      <c r="AX30" s="718">
        <f t="shared" si="11"/>
        <v>0</v>
      </c>
      <c r="AY30" s="2399"/>
      <c r="AZ30" s="2446"/>
      <c r="BA30" s="734"/>
      <c r="BB30" s="717">
        <f t="shared" si="12"/>
        <v>0</v>
      </c>
      <c r="BC30" s="482"/>
      <c r="BD30" s="617">
        <f t="shared" si="13"/>
        <v>0</v>
      </c>
      <c r="BE30" s="718"/>
      <c r="BF30" s="718">
        <f t="shared" si="14"/>
        <v>0</v>
      </c>
      <c r="BG30" s="3464"/>
      <c r="BH30" s="3464"/>
      <c r="BI30" s="23"/>
      <c r="BJ30" s="23"/>
      <c r="BK30" s="23"/>
      <c r="BL30" s="23"/>
      <c r="BM30" s="23"/>
      <c r="BN30" s="23"/>
    </row>
    <row r="31" spans="2:66" ht="15.6" x14ac:dyDescent="0.3">
      <c r="B31" s="815" t="s">
        <v>818</v>
      </c>
      <c r="C31" s="2687" t="s">
        <v>997</v>
      </c>
      <c r="D31" s="2589" t="s">
        <v>50</v>
      </c>
      <c r="E31" s="2399"/>
      <c r="F31" s="2399"/>
      <c r="G31" s="2399"/>
      <c r="H31" s="2399"/>
      <c r="I31" s="2349"/>
      <c r="J31" s="4119">
        <f t="shared" si="0"/>
        <v>0</v>
      </c>
      <c r="K31" s="2399"/>
      <c r="L31" s="2399"/>
      <c r="M31" s="717"/>
      <c r="N31" s="717">
        <f t="shared" si="1"/>
        <v>0</v>
      </c>
      <c r="O31" s="2399"/>
      <c r="P31" s="2399"/>
      <c r="Q31" s="718"/>
      <c r="R31" s="718">
        <f t="shared" si="2"/>
        <v>0</v>
      </c>
      <c r="S31" s="2399"/>
      <c r="T31" s="2399"/>
      <c r="U31" s="718"/>
      <c r="V31" s="718">
        <f t="shared" si="3"/>
        <v>0</v>
      </c>
      <c r="W31" s="2399"/>
      <c r="X31" s="2399">
        <v>1566.47</v>
      </c>
      <c r="Y31" s="734"/>
      <c r="Z31" s="717">
        <f t="shared" si="4"/>
        <v>1566.47</v>
      </c>
      <c r="AA31" s="482"/>
      <c r="AB31" s="617">
        <f t="shared" si="5"/>
        <v>1566.47</v>
      </c>
      <c r="AC31" s="2399"/>
      <c r="AD31" s="2399"/>
      <c r="AE31" s="718"/>
      <c r="AF31" s="718">
        <f t="shared" si="6"/>
        <v>1566.47</v>
      </c>
      <c r="AG31" s="2399"/>
      <c r="AH31" s="2399"/>
      <c r="AI31" s="718"/>
      <c r="AJ31" s="718">
        <f t="shared" si="7"/>
        <v>1566.47</v>
      </c>
      <c r="AK31" s="2399"/>
      <c r="AL31" s="2399">
        <v>2044.5049999999999</v>
      </c>
      <c r="AM31" s="734"/>
      <c r="AN31" s="717">
        <f t="shared" si="8"/>
        <v>2044.5049999999999</v>
      </c>
      <c r="AO31" s="718"/>
      <c r="AP31" s="718">
        <f t="shared" si="9"/>
        <v>3610.9749999999999</v>
      </c>
      <c r="AQ31" s="2399"/>
      <c r="AR31" s="2399"/>
      <c r="AS31" s="718"/>
      <c r="AT31" s="718">
        <f t="shared" si="10"/>
        <v>3610.9749999999999</v>
      </c>
      <c r="AU31" s="2399"/>
      <c r="AV31" s="2399"/>
      <c r="AW31" s="718"/>
      <c r="AX31" s="718">
        <f t="shared" si="11"/>
        <v>3610.9749999999999</v>
      </c>
      <c r="AY31" s="2399"/>
      <c r="AZ31" s="2446"/>
      <c r="BA31" s="734"/>
      <c r="BB31" s="717">
        <f t="shared" si="12"/>
        <v>0</v>
      </c>
      <c r="BC31" s="482"/>
      <c r="BD31" s="617">
        <f t="shared" si="13"/>
        <v>2044.5049999999999</v>
      </c>
      <c r="BE31" s="718"/>
      <c r="BF31" s="718">
        <f t="shared" si="14"/>
        <v>3610.9749999999999</v>
      </c>
      <c r="BG31" s="3464"/>
      <c r="BH31" s="3464"/>
      <c r="BI31" s="23"/>
      <c r="BJ31" s="23"/>
      <c r="BK31" s="23"/>
      <c r="BL31" s="23"/>
      <c r="BM31" s="23"/>
      <c r="BN31" s="23"/>
    </row>
    <row r="32" spans="2:66" ht="16.2" thickBot="1" x14ac:dyDescent="0.35">
      <c r="B32" s="2689" t="s">
        <v>818</v>
      </c>
      <c r="C32" s="2690" t="s">
        <v>1075</v>
      </c>
      <c r="D32" s="687" t="s">
        <v>50</v>
      </c>
      <c r="E32" s="210"/>
      <c r="F32" s="210"/>
      <c r="G32" s="210"/>
      <c r="H32" s="210"/>
      <c r="I32" s="546"/>
      <c r="J32" s="4119">
        <f t="shared" si="0"/>
        <v>0</v>
      </c>
      <c r="K32" s="210"/>
      <c r="L32" s="210">
        <v>1015.7500000000002</v>
      </c>
      <c r="M32" s="717"/>
      <c r="N32" s="717">
        <f t="shared" si="1"/>
        <v>1015.7500000000002</v>
      </c>
      <c r="O32" s="210"/>
      <c r="P32" s="210"/>
      <c r="Q32" s="718"/>
      <c r="R32" s="718">
        <f t="shared" si="2"/>
        <v>1015.7500000000002</v>
      </c>
      <c r="S32" s="210"/>
      <c r="T32" s="210"/>
      <c r="U32" s="718"/>
      <c r="V32" s="718">
        <f t="shared" si="3"/>
        <v>1015.7500000000002</v>
      </c>
      <c r="W32" s="210"/>
      <c r="X32" s="210"/>
      <c r="Y32" s="734"/>
      <c r="Z32" s="717">
        <f t="shared" si="4"/>
        <v>0</v>
      </c>
      <c r="AA32" s="482"/>
      <c r="AB32" s="617">
        <f t="shared" si="5"/>
        <v>1015.7500000000002</v>
      </c>
      <c r="AC32" s="210"/>
      <c r="AD32" s="210"/>
      <c r="AE32" s="718"/>
      <c r="AF32" s="718">
        <f t="shared" si="6"/>
        <v>1015.7500000000002</v>
      </c>
      <c r="AG32" s="210"/>
      <c r="AH32" s="210"/>
      <c r="AI32" s="718"/>
      <c r="AJ32" s="718">
        <f t="shared" si="7"/>
        <v>1015.7500000000002</v>
      </c>
      <c r="AK32" s="210"/>
      <c r="AL32" s="210"/>
      <c r="AM32" s="734"/>
      <c r="AN32" s="717">
        <f t="shared" si="8"/>
        <v>0</v>
      </c>
      <c r="AO32" s="718"/>
      <c r="AP32" s="718">
        <f t="shared" si="9"/>
        <v>1015.7500000000002</v>
      </c>
      <c r="AQ32" s="210"/>
      <c r="AR32" s="210"/>
      <c r="AS32" s="718"/>
      <c r="AT32" s="718">
        <f t="shared" si="10"/>
        <v>1015.7500000000002</v>
      </c>
      <c r="AU32" s="210"/>
      <c r="AV32" s="210"/>
      <c r="AW32" s="718"/>
      <c r="AX32" s="718">
        <f t="shared" si="11"/>
        <v>1015.7500000000002</v>
      </c>
      <c r="AY32" s="210"/>
      <c r="AZ32" s="5009"/>
      <c r="BA32" s="734"/>
      <c r="BB32" s="717">
        <f t="shared" si="12"/>
        <v>0</v>
      </c>
      <c r="BC32" s="482"/>
      <c r="BD32" s="617">
        <f t="shared" si="13"/>
        <v>0</v>
      </c>
      <c r="BE32" s="718"/>
      <c r="BF32" s="718">
        <f t="shared" si="14"/>
        <v>1015.7500000000002</v>
      </c>
      <c r="BG32" s="3464"/>
      <c r="BH32" s="3464"/>
      <c r="BI32" s="23"/>
      <c r="BJ32" s="23"/>
      <c r="BK32" s="23"/>
      <c r="BL32" s="23"/>
      <c r="BM32" s="23"/>
      <c r="BN32" s="23"/>
    </row>
    <row r="33" spans="1:66" ht="15.6" x14ac:dyDescent="0.3">
      <c r="B33" s="2682" t="s">
        <v>819</v>
      </c>
      <c r="C33" s="2683" t="s">
        <v>995</v>
      </c>
      <c r="D33" s="56" t="s">
        <v>50</v>
      </c>
      <c r="E33" s="1197"/>
      <c r="F33" s="1197"/>
      <c r="G33" s="1197"/>
      <c r="H33" s="1197"/>
      <c r="I33" s="2045"/>
      <c r="J33" s="4119">
        <f t="shared" si="0"/>
        <v>0</v>
      </c>
      <c r="K33" s="1197"/>
      <c r="L33" s="1197">
        <v>2984.5349999999999</v>
      </c>
      <c r="M33" s="717"/>
      <c r="N33" s="717">
        <f t="shared" si="1"/>
        <v>2984.5349999999999</v>
      </c>
      <c r="O33" s="1197"/>
      <c r="P33" s="1197">
        <v>4280.3100000000004</v>
      </c>
      <c r="Q33" s="718"/>
      <c r="R33" s="718">
        <f t="shared" si="2"/>
        <v>7264.8450000000003</v>
      </c>
      <c r="S33" s="1197"/>
      <c r="T33" s="1197">
        <v>2877.3150000000005</v>
      </c>
      <c r="U33" s="718"/>
      <c r="V33" s="718">
        <f t="shared" si="3"/>
        <v>10142.16</v>
      </c>
      <c r="W33" s="1197"/>
      <c r="X33" s="1197"/>
      <c r="Y33" s="734"/>
      <c r="Z33" s="717">
        <f t="shared" si="4"/>
        <v>7157.6250000000009</v>
      </c>
      <c r="AA33" s="482"/>
      <c r="AB33" s="617">
        <f t="shared" si="5"/>
        <v>10142.16</v>
      </c>
      <c r="AC33" s="1197"/>
      <c r="AD33" s="1197"/>
      <c r="AE33" s="718"/>
      <c r="AF33" s="718">
        <f t="shared" si="6"/>
        <v>10142.16</v>
      </c>
      <c r="AG33" s="1197"/>
      <c r="AH33" s="1197"/>
      <c r="AI33" s="718"/>
      <c r="AJ33" s="718">
        <f t="shared" si="7"/>
        <v>10142.16</v>
      </c>
      <c r="AK33" s="1197"/>
      <c r="AL33" s="1197"/>
      <c r="AM33" s="734"/>
      <c r="AN33" s="717">
        <f t="shared" si="8"/>
        <v>0</v>
      </c>
      <c r="AO33" s="718"/>
      <c r="AP33" s="718">
        <f t="shared" si="9"/>
        <v>10142.16</v>
      </c>
      <c r="AQ33" s="1197"/>
      <c r="AR33" s="1197">
        <v>1772.0249999999999</v>
      </c>
      <c r="AS33" s="718"/>
      <c r="AT33" s="718">
        <f t="shared" si="10"/>
        <v>11914.184999999999</v>
      </c>
      <c r="AU33" s="1197"/>
      <c r="AV33" s="1197">
        <v>2842.55</v>
      </c>
      <c r="AW33" s="718"/>
      <c r="AX33" s="718">
        <f t="shared" si="11"/>
        <v>14756.735000000001</v>
      </c>
      <c r="AY33" s="1197"/>
      <c r="AZ33" s="5010"/>
      <c r="BA33" s="734"/>
      <c r="BB33" s="717">
        <f t="shared" si="12"/>
        <v>4614.5749999999998</v>
      </c>
      <c r="BC33" s="482"/>
      <c r="BD33" s="617">
        <f t="shared" si="13"/>
        <v>4614.5749999999998</v>
      </c>
      <c r="BE33" s="718"/>
      <c r="BF33" s="718">
        <f t="shared" si="14"/>
        <v>14756.735000000001</v>
      </c>
      <c r="BG33" s="3464"/>
      <c r="BH33" s="3464"/>
      <c r="BI33" s="23"/>
      <c r="BJ33" s="23"/>
      <c r="BK33" s="23"/>
      <c r="BL33" s="23"/>
      <c r="BM33" s="23"/>
      <c r="BN33" s="23"/>
    </row>
    <row r="34" spans="1:66" ht="15.6" x14ac:dyDescent="0.3">
      <c r="B34" s="815" t="s">
        <v>819</v>
      </c>
      <c r="C34" s="2687" t="s">
        <v>996</v>
      </c>
      <c r="D34" s="2589" t="s">
        <v>50</v>
      </c>
      <c r="E34" s="2399"/>
      <c r="F34" s="2399">
        <v>11177.970000000027</v>
      </c>
      <c r="G34" s="2399"/>
      <c r="H34" s="2399"/>
      <c r="I34" s="2349"/>
      <c r="J34" s="4119">
        <f t="shared" si="0"/>
        <v>11177.970000000027</v>
      </c>
      <c r="K34" s="2399"/>
      <c r="L34" s="2399">
        <v>9161.6000000000058</v>
      </c>
      <c r="M34" s="717"/>
      <c r="N34" s="717">
        <f t="shared" si="1"/>
        <v>20339.570000000032</v>
      </c>
      <c r="O34" s="2399"/>
      <c r="P34" s="2399">
        <v>11702.685000000034</v>
      </c>
      <c r="Q34" s="718"/>
      <c r="R34" s="718">
        <f t="shared" si="2"/>
        <v>32042.255000000067</v>
      </c>
      <c r="S34" s="2399"/>
      <c r="T34" s="2399">
        <v>9842.5850000000064</v>
      </c>
      <c r="U34" s="718"/>
      <c r="V34" s="718">
        <f t="shared" si="3"/>
        <v>41884.840000000069</v>
      </c>
      <c r="W34" s="2399"/>
      <c r="X34" s="2399">
        <v>6349.7249999999995</v>
      </c>
      <c r="Y34" s="734"/>
      <c r="Z34" s="717">
        <f t="shared" si="4"/>
        <v>27894.995000000039</v>
      </c>
      <c r="AA34" s="482"/>
      <c r="AB34" s="617">
        <f t="shared" si="5"/>
        <v>48234.565000000075</v>
      </c>
      <c r="AC34" s="2399"/>
      <c r="AD34" s="2399">
        <v>10627.865000000014</v>
      </c>
      <c r="AE34" s="718"/>
      <c r="AF34" s="718">
        <f t="shared" si="6"/>
        <v>58862.430000000088</v>
      </c>
      <c r="AG34" s="2399"/>
      <c r="AH34" s="2399">
        <v>11883.34000000002</v>
      </c>
      <c r="AI34" s="718"/>
      <c r="AJ34" s="718">
        <f t="shared" si="7"/>
        <v>70745.770000000106</v>
      </c>
      <c r="AK34" s="2399"/>
      <c r="AL34" s="2399">
        <v>12542.235000000026</v>
      </c>
      <c r="AM34" s="734"/>
      <c r="AN34" s="717">
        <f t="shared" si="8"/>
        <v>35053.440000000061</v>
      </c>
      <c r="AO34" s="718"/>
      <c r="AP34" s="718">
        <f t="shared" si="9"/>
        <v>83288.005000000136</v>
      </c>
      <c r="AQ34" s="2399"/>
      <c r="AR34" s="2399">
        <v>14504.685000000023</v>
      </c>
      <c r="AS34" s="718"/>
      <c r="AT34" s="718">
        <f t="shared" si="10"/>
        <v>97792.690000000162</v>
      </c>
      <c r="AU34" s="2399"/>
      <c r="AV34" s="2399"/>
      <c r="AW34" s="718"/>
      <c r="AX34" s="718">
        <f t="shared" si="11"/>
        <v>97792.690000000162</v>
      </c>
      <c r="AY34" s="2399"/>
      <c r="AZ34" s="2446">
        <v>13312.352539499832</v>
      </c>
      <c r="BA34" s="734"/>
      <c r="BB34" s="717">
        <f t="shared" si="12"/>
        <v>27817.037539499855</v>
      </c>
      <c r="BC34" s="482"/>
      <c r="BD34" s="617">
        <f t="shared" si="13"/>
        <v>62870.477539499916</v>
      </c>
      <c r="BE34" s="718"/>
      <c r="BF34" s="718">
        <f t="shared" si="14"/>
        <v>111105.04253949999</v>
      </c>
      <c r="BG34" s="3464"/>
      <c r="BH34" s="3464"/>
      <c r="BI34" s="23"/>
      <c r="BJ34" s="23"/>
      <c r="BK34" s="23"/>
      <c r="BL34" s="23"/>
      <c r="BM34" s="23"/>
      <c r="BN34" s="23"/>
    </row>
    <row r="35" spans="1:66" ht="15.6" x14ac:dyDescent="0.3">
      <c r="B35" s="815" t="s">
        <v>819</v>
      </c>
      <c r="C35" s="2687" t="s">
        <v>1095</v>
      </c>
      <c r="D35" s="2589" t="s">
        <v>50</v>
      </c>
      <c r="E35" s="2399"/>
      <c r="F35" s="2399">
        <v>10501.075000000015</v>
      </c>
      <c r="G35" s="2399"/>
      <c r="H35" s="2399"/>
      <c r="I35" s="2349"/>
      <c r="J35" s="4119">
        <f t="shared" si="0"/>
        <v>10501.075000000015</v>
      </c>
      <c r="K35" s="2399"/>
      <c r="L35" s="2399">
        <v>10118.940000000015</v>
      </c>
      <c r="M35" s="717"/>
      <c r="N35" s="717">
        <f t="shared" si="1"/>
        <v>20620.015000000029</v>
      </c>
      <c r="O35" s="2399"/>
      <c r="P35" s="2399">
        <v>7626.2800000000061</v>
      </c>
      <c r="Q35" s="718"/>
      <c r="R35" s="718">
        <f t="shared" si="2"/>
        <v>28246.295000000035</v>
      </c>
      <c r="S35" s="2399"/>
      <c r="T35" s="2399">
        <v>10797.600000000008</v>
      </c>
      <c r="U35" s="718"/>
      <c r="V35" s="718">
        <f t="shared" si="3"/>
        <v>39043.89500000004</v>
      </c>
      <c r="W35" s="2399"/>
      <c r="X35" s="2399">
        <v>4776.67</v>
      </c>
      <c r="Y35" s="734"/>
      <c r="Z35" s="717">
        <f t="shared" si="4"/>
        <v>23200.55000000001</v>
      </c>
      <c r="AA35" s="482"/>
      <c r="AB35" s="617">
        <f t="shared" si="5"/>
        <v>43820.565000000039</v>
      </c>
      <c r="AC35" s="2399"/>
      <c r="AD35" s="2399">
        <v>2417.0249999999987</v>
      </c>
      <c r="AE35" s="718"/>
      <c r="AF35" s="718">
        <f t="shared" si="6"/>
        <v>46237.59000000004</v>
      </c>
      <c r="AG35" s="2399"/>
      <c r="AH35" s="2399">
        <v>7494.3600000000051</v>
      </c>
      <c r="AI35" s="718"/>
      <c r="AJ35" s="718">
        <f t="shared" si="7"/>
        <v>53731.950000000048</v>
      </c>
      <c r="AK35" s="2399"/>
      <c r="AL35" s="2399">
        <v>11453.70000000001</v>
      </c>
      <c r="AM35" s="734"/>
      <c r="AN35" s="717">
        <f t="shared" si="8"/>
        <v>21365.085000000014</v>
      </c>
      <c r="AO35" s="718"/>
      <c r="AP35" s="718">
        <f t="shared" si="9"/>
        <v>65185.65000000006</v>
      </c>
      <c r="AQ35" s="2399"/>
      <c r="AR35" s="2399">
        <v>11605.375000000025</v>
      </c>
      <c r="AS35" s="718"/>
      <c r="AT35" s="718">
        <f t="shared" si="10"/>
        <v>76791.025000000081</v>
      </c>
      <c r="AU35" s="2399"/>
      <c r="AV35" s="2399">
        <v>11638.095000000027</v>
      </c>
      <c r="AW35" s="718"/>
      <c r="AX35" s="718">
        <f t="shared" si="11"/>
        <v>88429.120000000112</v>
      </c>
      <c r="AY35" s="2399"/>
      <c r="AZ35" s="2446">
        <v>4225.6220374120858</v>
      </c>
      <c r="BA35" s="734"/>
      <c r="BB35" s="717">
        <f t="shared" si="12"/>
        <v>27469.092037412138</v>
      </c>
      <c r="BC35" s="482"/>
      <c r="BD35" s="617">
        <f t="shared" si="13"/>
        <v>48834.177037412155</v>
      </c>
      <c r="BE35" s="718"/>
      <c r="BF35" s="718">
        <f t="shared" si="14"/>
        <v>92654.742037412201</v>
      </c>
      <c r="BG35" s="3464"/>
      <c r="BH35" s="3464"/>
      <c r="BI35" s="23"/>
      <c r="BJ35" s="23"/>
      <c r="BK35" s="23"/>
      <c r="BL35" s="23"/>
      <c r="BM35" s="23"/>
      <c r="BN35" s="23"/>
    </row>
    <row r="36" spans="1:66" ht="15.6" x14ac:dyDescent="0.3">
      <c r="B36" s="815" t="s">
        <v>819</v>
      </c>
      <c r="C36" s="2687" t="s">
        <v>997</v>
      </c>
      <c r="D36" s="2589" t="s">
        <v>50</v>
      </c>
      <c r="E36" s="2399"/>
      <c r="F36" s="2399">
        <v>2190.1949999999997</v>
      </c>
      <c r="G36" s="2399"/>
      <c r="H36" s="2399"/>
      <c r="I36" s="2349"/>
      <c r="J36" s="4119">
        <f t="shared" si="0"/>
        <v>2190.1949999999997</v>
      </c>
      <c r="K36" s="2399"/>
      <c r="L36" s="2399"/>
      <c r="M36" s="717"/>
      <c r="N36" s="717">
        <f t="shared" si="1"/>
        <v>2190.1949999999997</v>
      </c>
      <c r="O36" s="2399"/>
      <c r="P36" s="2399"/>
      <c r="Q36" s="718"/>
      <c r="R36" s="718">
        <f t="shared" si="2"/>
        <v>2190.1949999999997</v>
      </c>
      <c r="S36" s="2399"/>
      <c r="T36" s="2399"/>
      <c r="U36" s="718"/>
      <c r="V36" s="718">
        <f t="shared" si="3"/>
        <v>2190.1949999999997</v>
      </c>
      <c r="W36" s="2399"/>
      <c r="X36" s="2399">
        <v>1212.6849999999999</v>
      </c>
      <c r="Y36" s="734"/>
      <c r="Z36" s="717">
        <f t="shared" si="4"/>
        <v>1212.6849999999999</v>
      </c>
      <c r="AA36" s="482"/>
      <c r="AB36" s="617">
        <f t="shared" si="5"/>
        <v>3402.8799999999997</v>
      </c>
      <c r="AC36" s="2399"/>
      <c r="AD36" s="2399"/>
      <c r="AE36" s="718"/>
      <c r="AF36" s="718">
        <f t="shared" si="6"/>
        <v>3402.8799999999997</v>
      </c>
      <c r="AG36" s="2399"/>
      <c r="AH36" s="2399"/>
      <c r="AI36" s="718"/>
      <c r="AJ36" s="718">
        <f t="shared" si="7"/>
        <v>3402.8799999999997</v>
      </c>
      <c r="AK36" s="2399"/>
      <c r="AL36" s="2399"/>
      <c r="AM36" s="734"/>
      <c r="AN36" s="717">
        <f t="shared" si="8"/>
        <v>0</v>
      </c>
      <c r="AO36" s="718"/>
      <c r="AP36" s="718">
        <f t="shared" si="9"/>
        <v>3402.8799999999997</v>
      </c>
      <c r="AQ36" s="2399"/>
      <c r="AR36" s="2399">
        <v>1653.5350000000001</v>
      </c>
      <c r="AS36" s="718"/>
      <c r="AT36" s="718">
        <f t="shared" si="10"/>
        <v>5056.415</v>
      </c>
      <c r="AU36" s="2399"/>
      <c r="AV36" s="2399"/>
      <c r="AW36" s="718"/>
      <c r="AX36" s="718">
        <f t="shared" si="11"/>
        <v>5056.415</v>
      </c>
      <c r="AY36" s="2399"/>
      <c r="AZ36" s="2446"/>
      <c r="BA36" s="734"/>
      <c r="BB36" s="717">
        <f t="shared" si="12"/>
        <v>1653.5350000000001</v>
      </c>
      <c r="BC36" s="482"/>
      <c r="BD36" s="617">
        <f t="shared" si="13"/>
        <v>1653.5350000000001</v>
      </c>
      <c r="BE36" s="718"/>
      <c r="BF36" s="718">
        <f t="shared" si="14"/>
        <v>5056.415</v>
      </c>
      <c r="BG36" s="3464"/>
      <c r="BH36" s="3464"/>
      <c r="BI36" s="23"/>
      <c r="BJ36" s="23"/>
      <c r="BK36" s="23"/>
      <c r="BL36" s="23"/>
      <c r="BM36" s="23"/>
      <c r="BN36" s="23"/>
    </row>
    <row r="37" spans="1:66" ht="16.2" thickBot="1" x14ac:dyDescent="0.35">
      <c r="B37" s="2691" t="s">
        <v>819</v>
      </c>
      <c r="C37" s="2692" t="s">
        <v>965</v>
      </c>
      <c r="D37" s="2693" t="s">
        <v>50</v>
      </c>
      <c r="E37" s="2626"/>
      <c r="F37" s="2626"/>
      <c r="G37" s="2626"/>
      <c r="H37" s="2626"/>
      <c r="I37" s="2588"/>
      <c r="J37" s="4119">
        <f t="shared" si="0"/>
        <v>0</v>
      </c>
      <c r="K37" s="2626"/>
      <c r="L37" s="2626"/>
      <c r="M37" s="717"/>
      <c r="N37" s="717">
        <f t="shared" si="1"/>
        <v>0</v>
      </c>
      <c r="O37" s="2626"/>
      <c r="P37" s="2626"/>
      <c r="Q37" s="718"/>
      <c r="R37" s="718">
        <f t="shared" si="2"/>
        <v>0</v>
      </c>
      <c r="S37" s="2626"/>
      <c r="T37" s="2626"/>
      <c r="U37" s="718"/>
      <c r="V37" s="718">
        <f t="shared" si="3"/>
        <v>0</v>
      </c>
      <c r="W37" s="2626"/>
      <c r="X37" s="2626"/>
      <c r="Y37" s="734"/>
      <c r="Z37" s="717">
        <f t="shared" si="4"/>
        <v>0</v>
      </c>
      <c r="AA37" s="482"/>
      <c r="AB37" s="617">
        <f t="shared" si="5"/>
        <v>0</v>
      </c>
      <c r="AC37" s="2626"/>
      <c r="AD37" s="2626"/>
      <c r="AE37" s="718"/>
      <c r="AF37" s="718">
        <f t="shared" si="6"/>
        <v>0</v>
      </c>
      <c r="AG37" s="2626"/>
      <c r="AH37" s="2626"/>
      <c r="AI37" s="718"/>
      <c r="AJ37" s="718">
        <f t="shared" si="7"/>
        <v>0</v>
      </c>
      <c r="AK37" s="2626"/>
      <c r="AL37" s="2626"/>
      <c r="AM37" s="734"/>
      <c r="AN37" s="717">
        <f t="shared" si="8"/>
        <v>0</v>
      </c>
      <c r="AO37" s="718"/>
      <c r="AP37" s="718">
        <f t="shared" si="9"/>
        <v>0</v>
      </c>
      <c r="AQ37" s="2626"/>
      <c r="AR37" s="2626"/>
      <c r="AS37" s="718"/>
      <c r="AT37" s="718">
        <f t="shared" si="10"/>
        <v>0</v>
      </c>
      <c r="AU37" s="2626"/>
      <c r="AV37" s="2626"/>
      <c r="AW37" s="718"/>
      <c r="AX37" s="718">
        <f t="shared" si="11"/>
        <v>0</v>
      </c>
      <c r="AY37" s="2626"/>
      <c r="AZ37" s="5012"/>
      <c r="BA37" s="734"/>
      <c r="BB37" s="717">
        <f t="shared" si="12"/>
        <v>0</v>
      </c>
      <c r="BC37" s="482"/>
      <c r="BD37" s="617">
        <f t="shared" si="13"/>
        <v>0</v>
      </c>
      <c r="BE37" s="718"/>
      <c r="BF37" s="718">
        <f t="shared" si="14"/>
        <v>0</v>
      </c>
      <c r="BG37" s="3464"/>
      <c r="BH37" s="3464"/>
      <c r="BI37" s="23"/>
      <c r="BJ37" s="23"/>
      <c r="BK37" s="23"/>
      <c r="BL37" s="23"/>
      <c r="BM37" s="23"/>
      <c r="BN37" s="23"/>
    </row>
    <row r="38" spans="1:66" ht="15.6" x14ac:dyDescent="0.3">
      <c r="B38" s="2684" t="s">
        <v>820</v>
      </c>
      <c r="C38" s="2685" t="s">
        <v>995</v>
      </c>
      <c r="D38" s="695" t="s">
        <v>50</v>
      </c>
      <c r="E38" s="247"/>
      <c r="F38" s="247"/>
      <c r="G38" s="247"/>
      <c r="H38" s="247"/>
      <c r="I38" s="341"/>
      <c r="J38" s="4119">
        <f t="shared" si="0"/>
        <v>0</v>
      </c>
      <c r="K38" s="247"/>
      <c r="L38" s="247">
        <v>1614.58</v>
      </c>
      <c r="M38" s="717"/>
      <c r="N38" s="717">
        <f t="shared" si="1"/>
        <v>1614.58</v>
      </c>
      <c r="O38" s="247"/>
      <c r="P38" s="247"/>
      <c r="Q38" s="718"/>
      <c r="R38" s="718">
        <f t="shared" si="2"/>
        <v>1614.58</v>
      </c>
      <c r="S38" s="247"/>
      <c r="T38" s="247"/>
      <c r="U38" s="718"/>
      <c r="V38" s="718">
        <f t="shared" si="3"/>
        <v>1614.58</v>
      </c>
      <c r="W38" s="247"/>
      <c r="X38" s="247">
        <v>1095.3749999999998</v>
      </c>
      <c r="Y38" s="734"/>
      <c r="Z38" s="717">
        <f t="shared" si="4"/>
        <v>1095.3749999999998</v>
      </c>
      <c r="AA38" s="482"/>
      <c r="AB38" s="617">
        <f t="shared" si="5"/>
        <v>2709.9549999999999</v>
      </c>
      <c r="AC38" s="247"/>
      <c r="AD38" s="247"/>
      <c r="AE38" s="718"/>
      <c r="AF38" s="718">
        <f t="shared" si="6"/>
        <v>2709.9549999999999</v>
      </c>
      <c r="AG38" s="247"/>
      <c r="AH38" s="247"/>
      <c r="AI38" s="718"/>
      <c r="AJ38" s="718">
        <f t="shared" si="7"/>
        <v>2709.9549999999999</v>
      </c>
      <c r="AK38" s="247"/>
      <c r="AL38" s="247"/>
      <c r="AM38" s="734"/>
      <c r="AN38" s="717">
        <f t="shared" si="8"/>
        <v>0</v>
      </c>
      <c r="AO38" s="718"/>
      <c r="AP38" s="718">
        <f t="shared" si="9"/>
        <v>2709.9549999999999</v>
      </c>
      <c r="AQ38" s="247"/>
      <c r="AR38" s="247"/>
      <c r="AS38" s="718"/>
      <c r="AT38" s="718">
        <f t="shared" si="10"/>
        <v>2709.9549999999999</v>
      </c>
      <c r="AU38" s="247"/>
      <c r="AV38" s="247"/>
      <c r="AW38" s="718"/>
      <c r="AX38" s="718">
        <f t="shared" si="11"/>
        <v>2709.9549999999999</v>
      </c>
      <c r="AY38" s="247"/>
      <c r="AZ38" s="5008"/>
      <c r="BA38" s="734"/>
      <c r="BB38" s="717">
        <f t="shared" si="12"/>
        <v>0</v>
      </c>
      <c r="BC38" s="482"/>
      <c r="BD38" s="617">
        <f t="shared" si="13"/>
        <v>0</v>
      </c>
      <c r="BE38" s="718"/>
      <c r="BF38" s="718">
        <f t="shared" si="14"/>
        <v>2709.9549999999999</v>
      </c>
      <c r="BG38" s="3464"/>
      <c r="BH38" s="3464"/>
      <c r="BI38" s="23"/>
      <c r="BJ38" s="23"/>
      <c r="BK38" s="23"/>
      <c r="BL38" s="23"/>
      <c r="BM38" s="23"/>
      <c r="BN38" s="23"/>
    </row>
    <row r="39" spans="1:66" ht="15" customHeight="1" x14ac:dyDescent="0.3">
      <c r="B39" s="815" t="s">
        <v>820</v>
      </c>
      <c r="C39" s="2687" t="s">
        <v>996</v>
      </c>
      <c r="D39" s="2589" t="s">
        <v>50</v>
      </c>
      <c r="E39" s="2399"/>
      <c r="F39" s="2399"/>
      <c r="G39" s="2399"/>
      <c r="H39" s="2399"/>
      <c r="I39" s="2349"/>
      <c r="J39" s="4119">
        <f t="shared" si="0"/>
        <v>0</v>
      </c>
      <c r="K39" s="2399"/>
      <c r="L39" s="2399"/>
      <c r="M39" s="717"/>
      <c r="N39" s="717">
        <f t="shared" si="1"/>
        <v>0</v>
      </c>
      <c r="O39" s="2399"/>
      <c r="P39" s="2399"/>
      <c r="Q39" s="718"/>
      <c r="R39" s="718">
        <f t="shared" si="2"/>
        <v>0</v>
      </c>
      <c r="S39" s="2399"/>
      <c r="T39" s="2399">
        <v>2517.2899999999991</v>
      </c>
      <c r="U39" s="718"/>
      <c r="V39" s="718">
        <f t="shared" si="3"/>
        <v>2517.2899999999991</v>
      </c>
      <c r="W39" s="2399"/>
      <c r="X39" s="2399">
        <v>3394.7</v>
      </c>
      <c r="Y39" s="734"/>
      <c r="Z39" s="717">
        <f t="shared" si="4"/>
        <v>5911.9899999999989</v>
      </c>
      <c r="AA39" s="482"/>
      <c r="AB39" s="617">
        <f t="shared" si="5"/>
        <v>5911.9899999999989</v>
      </c>
      <c r="AC39" s="2399"/>
      <c r="AD39" s="2399">
        <v>2511.1250000000005</v>
      </c>
      <c r="AE39" s="718"/>
      <c r="AF39" s="718">
        <f t="shared" si="6"/>
        <v>8423.1149999999998</v>
      </c>
      <c r="AG39" s="2399"/>
      <c r="AH39" s="2399">
        <v>4149.3050000000003</v>
      </c>
      <c r="AI39" s="718"/>
      <c r="AJ39" s="718">
        <f t="shared" si="7"/>
        <v>12572.42</v>
      </c>
      <c r="AK39" s="2399"/>
      <c r="AL39" s="2399"/>
      <c r="AM39" s="734"/>
      <c r="AN39" s="717">
        <f t="shared" si="8"/>
        <v>6660.43</v>
      </c>
      <c r="AO39" s="718"/>
      <c r="AP39" s="718">
        <f t="shared" si="9"/>
        <v>12572.42</v>
      </c>
      <c r="AQ39" s="2399"/>
      <c r="AR39" s="2399"/>
      <c r="AS39" s="718"/>
      <c r="AT39" s="718">
        <f t="shared" si="10"/>
        <v>12572.42</v>
      </c>
      <c r="AU39" s="2399"/>
      <c r="AV39" s="2399">
        <v>2384.4699999999993</v>
      </c>
      <c r="AW39" s="718"/>
      <c r="AX39" s="718">
        <f t="shared" si="11"/>
        <v>14956.89</v>
      </c>
      <c r="AY39" s="2399"/>
      <c r="AZ39" s="2446"/>
      <c r="BA39" s="734"/>
      <c r="BB39" s="717">
        <f t="shared" si="12"/>
        <v>2384.4699999999993</v>
      </c>
      <c r="BC39" s="482"/>
      <c r="BD39" s="617">
        <f t="shared" si="13"/>
        <v>9044.9</v>
      </c>
      <c r="BE39" s="718"/>
      <c r="BF39" s="718">
        <f t="shared" si="14"/>
        <v>14956.89</v>
      </c>
      <c r="BG39" s="3464"/>
      <c r="BH39" s="3464"/>
      <c r="BI39" s="23"/>
      <c r="BJ39" s="23"/>
      <c r="BK39" s="23"/>
      <c r="BL39" s="23"/>
      <c r="BM39" s="23"/>
      <c r="BN39" s="23"/>
    </row>
    <row r="40" spans="1:66" ht="15" customHeight="1" x14ac:dyDescent="0.3">
      <c r="B40" s="815" t="s">
        <v>820</v>
      </c>
      <c r="C40" s="2687" t="s">
        <v>1095</v>
      </c>
      <c r="D40" s="2589" t="s">
        <v>50</v>
      </c>
      <c r="E40" s="2399"/>
      <c r="F40" s="2399">
        <v>10614.325000000003</v>
      </c>
      <c r="G40" s="2399"/>
      <c r="H40" s="2399">
        <v>7971.3000000000047</v>
      </c>
      <c r="I40" s="2349"/>
      <c r="J40" s="4119">
        <f t="shared" si="0"/>
        <v>18585.625000000007</v>
      </c>
      <c r="K40" s="2399"/>
      <c r="L40" s="2399">
        <v>12248.71500000002</v>
      </c>
      <c r="M40" s="717"/>
      <c r="N40" s="717">
        <f t="shared" si="1"/>
        <v>30834.340000000026</v>
      </c>
      <c r="O40" s="2399"/>
      <c r="P40" s="2399"/>
      <c r="Q40" s="718"/>
      <c r="R40" s="718">
        <f t="shared" si="2"/>
        <v>30834.340000000026</v>
      </c>
      <c r="S40" s="2399"/>
      <c r="T40" s="2399">
        <v>10931.275000000014</v>
      </c>
      <c r="U40" s="718"/>
      <c r="V40" s="718">
        <f t="shared" si="3"/>
        <v>41765.615000000042</v>
      </c>
      <c r="W40" s="2399"/>
      <c r="X40" s="2399">
        <v>8653.0450000000092</v>
      </c>
      <c r="Y40" s="734"/>
      <c r="Z40" s="717">
        <f t="shared" si="4"/>
        <v>19584.320000000022</v>
      </c>
      <c r="AA40" s="482"/>
      <c r="AB40" s="617">
        <f t="shared" si="5"/>
        <v>50418.660000000047</v>
      </c>
      <c r="AC40" s="2399"/>
      <c r="AD40" s="2399">
        <v>5541.9500000000025</v>
      </c>
      <c r="AE40" s="718"/>
      <c r="AF40" s="718">
        <f t="shared" si="6"/>
        <v>55960.610000000052</v>
      </c>
      <c r="AG40" s="2399"/>
      <c r="AH40" s="2399">
        <v>7396.3050000000067</v>
      </c>
      <c r="AI40" s="718"/>
      <c r="AJ40" s="718">
        <f t="shared" si="7"/>
        <v>63356.915000000059</v>
      </c>
      <c r="AK40" s="2399"/>
      <c r="AL40" s="2399">
        <v>5922.3600000000051</v>
      </c>
      <c r="AM40" s="734"/>
      <c r="AN40" s="717">
        <f t="shared" si="8"/>
        <v>18860.615000000013</v>
      </c>
      <c r="AO40" s="718"/>
      <c r="AP40" s="718">
        <f t="shared" si="9"/>
        <v>69279.275000000067</v>
      </c>
      <c r="AQ40" s="2399"/>
      <c r="AR40" s="2399"/>
      <c r="AS40" s="718"/>
      <c r="AT40" s="718">
        <f t="shared" si="10"/>
        <v>69279.275000000067</v>
      </c>
      <c r="AU40" s="2399"/>
      <c r="AV40" s="2399">
        <v>12209.965000000022</v>
      </c>
      <c r="AW40" s="718"/>
      <c r="AX40" s="718">
        <f t="shared" si="11"/>
        <v>81489.240000000093</v>
      </c>
      <c r="AY40" s="2399"/>
      <c r="AZ40" s="2446">
        <v>5896.0024687895275</v>
      </c>
      <c r="BA40" s="734"/>
      <c r="BB40" s="717">
        <f t="shared" si="12"/>
        <v>18105.967468789549</v>
      </c>
      <c r="BC40" s="482"/>
      <c r="BD40" s="617">
        <f t="shared" si="13"/>
        <v>36966.582468789566</v>
      </c>
      <c r="BE40" s="718"/>
      <c r="BF40" s="718">
        <f t="shared" si="14"/>
        <v>87385.242468789627</v>
      </c>
      <c r="BG40" s="3464"/>
      <c r="BH40" s="3464"/>
      <c r="BI40" s="23"/>
      <c r="BJ40" s="23"/>
      <c r="BK40" s="23"/>
      <c r="BL40" s="23"/>
      <c r="BM40" s="23"/>
      <c r="BN40" s="23"/>
    </row>
    <row r="41" spans="1:66" ht="15" customHeight="1" thickBot="1" x14ac:dyDescent="0.35">
      <c r="B41" s="2689" t="s">
        <v>820</v>
      </c>
      <c r="C41" s="2690" t="s">
        <v>997</v>
      </c>
      <c r="D41" s="687" t="s">
        <v>50</v>
      </c>
      <c r="E41" s="210"/>
      <c r="F41" s="210"/>
      <c r="G41" s="210"/>
      <c r="H41" s="210"/>
      <c r="I41" s="546"/>
      <c r="J41" s="4119">
        <f t="shared" si="0"/>
        <v>0</v>
      </c>
      <c r="K41" s="210"/>
      <c r="L41" s="210"/>
      <c r="M41" s="717"/>
      <c r="N41" s="717">
        <f t="shared" si="1"/>
        <v>0</v>
      </c>
      <c r="O41" s="210"/>
      <c r="P41" s="210"/>
      <c r="Q41" s="718"/>
      <c r="R41" s="718">
        <f t="shared" si="2"/>
        <v>0</v>
      </c>
      <c r="S41" s="210"/>
      <c r="T41" s="210">
        <v>1200.415</v>
      </c>
      <c r="U41" s="718"/>
      <c r="V41" s="718">
        <f t="shared" si="3"/>
        <v>1200.415</v>
      </c>
      <c r="W41" s="210"/>
      <c r="X41" s="210"/>
      <c r="Y41" s="734"/>
      <c r="Z41" s="717">
        <f t="shared" si="4"/>
        <v>1200.415</v>
      </c>
      <c r="AA41" s="482"/>
      <c r="AB41" s="617">
        <f t="shared" si="5"/>
        <v>1200.415</v>
      </c>
      <c r="AC41" s="210"/>
      <c r="AD41" s="210"/>
      <c r="AE41" s="718"/>
      <c r="AF41" s="718">
        <f t="shared" si="6"/>
        <v>1200.415</v>
      </c>
      <c r="AG41" s="210"/>
      <c r="AH41" s="210"/>
      <c r="AI41" s="718"/>
      <c r="AJ41" s="718">
        <f t="shared" si="7"/>
        <v>1200.415</v>
      </c>
      <c r="AK41" s="210"/>
      <c r="AL41" s="210"/>
      <c r="AM41" s="734"/>
      <c r="AN41" s="717">
        <f t="shared" si="8"/>
        <v>0</v>
      </c>
      <c r="AO41" s="718"/>
      <c r="AP41" s="718">
        <f t="shared" si="9"/>
        <v>1200.415</v>
      </c>
      <c r="AQ41" s="210"/>
      <c r="AR41" s="210"/>
      <c r="AS41" s="718"/>
      <c r="AT41" s="718">
        <f t="shared" si="10"/>
        <v>1200.415</v>
      </c>
      <c r="AU41" s="210"/>
      <c r="AV41" s="210"/>
      <c r="AW41" s="718"/>
      <c r="AX41" s="718">
        <f t="shared" si="11"/>
        <v>1200.415</v>
      </c>
      <c r="AY41" s="210"/>
      <c r="AZ41" s="5009"/>
      <c r="BA41" s="734"/>
      <c r="BB41" s="717">
        <f t="shared" si="12"/>
        <v>0</v>
      </c>
      <c r="BC41" s="482"/>
      <c r="BD41" s="617">
        <f t="shared" si="13"/>
        <v>0</v>
      </c>
      <c r="BE41" s="718"/>
      <c r="BF41" s="718">
        <f t="shared" si="14"/>
        <v>1200.415</v>
      </c>
      <c r="BG41" s="3464"/>
      <c r="BH41" s="3464"/>
      <c r="BI41" s="23"/>
      <c r="BJ41" s="23"/>
      <c r="BK41" s="23"/>
      <c r="BL41" s="23"/>
      <c r="BM41" s="23"/>
      <c r="BN41" s="23"/>
    </row>
    <row r="42" spans="1:66" ht="16.2" thickBot="1" x14ac:dyDescent="0.35">
      <c r="B42" s="2703" t="s">
        <v>821</v>
      </c>
      <c r="C42" s="2704" t="s">
        <v>995</v>
      </c>
      <c r="D42" s="761" t="s">
        <v>50</v>
      </c>
      <c r="E42" s="2705"/>
      <c r="F42" s="2705"/>
      <c r="G42" s="2705"/>
      <c r="H42" s="2705"/>
      <c r="I42" s="2706"/>
      <c r="J42" s="4119">
        <f t="shared" si="0"/>
        <v>0</v>
      </c>
      <c r="K42" s="2705"/>
      <c r="L42" s="2705"/>
      <c r="M42" s="717"/>
      <c r="N42" s="717">
        <f t="shared" si="1"/>
        <v>0</v>
      </c>
      <c r="O42" s="2705"/>
      <c r="P42" s="2705"/>
      <c r="Q42" s="718"/>
      <c r="R42" s="718">
        <f t="shared" si="2"/>
        <v>0</v>
      </c>
      <c r="S42" s="2705"/>
      <c r="T42" s="2705"/>
      <c r="U42" s="718"/>
      <c r="V42" s="718">
        <f t="shared" si="3"/>
        <v>0</v>
      </c>
      <c r="W42" s="2705"/>
      <c r="X42" s="2705"/>
      <c r="Y42" s="734"/>
      <c r="Z42" s="717">
        <f t="shared" si="4"/>
        <v>0</v>
      </c>
      <c r="AA42" s="482"/>
      <c r="AB42" s="617">
        <f t="shared" si="5"/>
        <v>0</v>
      </c>
      <c r="AC42" s="2705"/>
      <c r="AD42" s="2705"/>
      <c r="AE42" s="718"/>
      <c r="AF42" s="718">
        <f t="shared" si="6"/>
        <v>0</v>
      </c>
      <c r="AG42" s="2705"/>
      <c r="AH42" s="2705"/>
      <c r="AI42" s="718"/>
      <c r="AJ42" s="718">
        <f t="shared" si="7"/>
        <v>0</v>
      </c>
      <c r="AK42" s="2705"/>
      <c r="AL42" s="2705"/>
      <c r="AM42" s="734"/>
      <c r="AN42" s="717">
        <f t="shared" si="8"/>
        <v>0</v>
      </c>
      <c r="AO42" s="718"/>
      <c r="AP42" s="718">
        <f t="shared" si="9"/>
        <v>0</v>
      </c>
      <c r="AQ42" s="2705"/>
      <c r="AR42" s="2705"/>
      <c r="AS42" s="718"/>
      <c r="AT42" s="718">
        <f t="shared" si="10"/>
        <v>0</v>
      </c>
      <c r="AU42" s="2705"/>
      <c r="AV42" s="2705"/>
      <c r="AW42" s="718"/>
      <c r="AX42" s="718">
        <f t="shared" si="11"/>
        <v>0</v>
      </c>
      <c r="AY42" s="2705"/>
      <c r="AZ42" s="5014"/>
      <c r="BA42" s="734"/>
      <c r="BB42" s="717">
        <f t="shared" si="12"/>
        <v>0</v>
      </c>
      <c r="BC42" s="482"/>
      <c r="BD42" s="617">
        <f t="shared" si="13"/>
        <v>0</v>
      </c>
      <c r="BE42" s="718"/>
      <c r="BF42" s="718">
        <f t="shared" si="14"/>
        <v>0</v>
      </c>
      <c r="BG42" s="3464"/>
      <c r="BH42" s="3464"/>
      <c r="BI42" s="23"/>
      <c r="BJ42" s="23"/>
      <c r="BK42" s="23"/>
      <c r="BL42" s="23"/>
      <c r="BM42" s="23"/>
      <c r="BN42" s="23"/>
    </row>
    <row r="43" spans="1:66" ht="15.6" x14ac:dyDescent="0.3">
      <c r="A43" s="137"/>
      <c r="B43" s="2700" t="s">
        <v>788</v>
      </c>
      <c r="C43" s="2701"/>
      <c r="D43" s="2702"/>
      <c r="E43" s="1197"/>
      <c r="F43" s="1197"/>
      <c r="G43" s="1197"/>
      <c r="H43" s="1197"/>
      <c r="I43" s="1197"/>
      <c r="J43" s="1197"/>
      <c r="K43" s="1197"/>
      <c r="L43" s="1197"/>
      <c r="M43" s="1031"/>
      <c r="N43" s="1031"/>
      <c r="O43" s="1197"/>
      <c r="P43" s="1197"/>
      <c r="Q43" s="1031"/>
      <c r="R43" s="718">
        <f t="shared" si="2"/>
        <v>0</v>
      </c>
      <c r="S43" s="1197"/>
      <c r="T43" s="1197"/>
      <c r="U43" s="1031"/>
      <c r="V43" s="1031"/>
      <c r="W43" s="1197"/>
      <c r="X43" s="1197"/>
      <c r="Y43" s="1034"/>
      <c r="Z43" s="1031"/>
      <c r="AA43" s="1034"/>
      <c r="AB43" s="553"/>
      <c r="AC43" s="1197"/>
      <c r="AD43" s="1197"/>
      <c r="AE43" s="1031"/>
      <c r="AF43" s="1031"/>
      <c r="AG43" s="1197"/>
      <c r="AH43" s="1197"/>
      <c r="AI43" s="1031"/>
      <c r="AJ43" s="1031"/>
      <c r="AK43" s="1197"/>
      <c r="AL43" s="1197"/>
      <c r="AM43" s="1034"/>
      <c r="AN43" s="1031"/>
      <c r="AO43" s="1031"/>
      <c r="AP43" s="1031"/>
      <c r="AQ43" s="1197"/>
      <c r="AR43" s="1197"/>
      <c r="AS43" s="1031"/>
      <c r="AT43" s="1031"/>
      <c r="AU43" s="1197"/>
      <c r="AV43" s="1197"/>
      <c r="AW43" s="1031"/>
      <c r="AX43" s="1031"/>
      <c r="AY43" s="1197"/>
      <c r="AZ43" s="5010"/>
      <c r="BA43" s="1034"/>
      <c r="BB43" s="1031"/>
      <c r="BC43" s="1034"/>
      <c r="BD43" s="553"/>
      <c r="BE43" s="1031"/>
      <c r="BF43" s="1031"/>
      <c r="BG43" s="3464"/>
      <c r="BH43" s="3464"/>
      <c r="BI43" s="23"/>
      <c r="BJ43" s="23"/>
      <c r="BK43" s="23"/>
      <c r="BL43" s="23"/>
      <c r="BM43" s="23"/>
      <c r="BN43" s="23"/>
    </row>
    <row r="44" spans="1:66" ht="15" customHeight="1" x14ac:dyDescent="0.3">
      <c r="B44" s="1499" t="s">
        <v>986</v>
      </c>
      <c r="C44" s="1500"/>
      <c r="D44" s="1498" t="s">
        <v>50</v>
      </c>
      <c r="E44" s="187"/>
      <c r="F44" s="1031"/>
      <c r="G44" s="187"/>
      <c r="H44" s="1031"/>
      <c r="I44" s="718"/>
      <c r="J44" s="718">
        <f t="shared" ref="J44:J54" si="17">+F44+H44</f>
        <v>0</v>
      </c>
      <c r="K44" s="187"/>
      <c r="L44" s="1031"/>
      <c r="M44" s="717"/>
      <c r="N44" s="717">
        <f t="shared" ref="N44:N54" si="18">+F44+H44+L44</f>
        <v>0</v>
      </c>
      <c r="O44" s="187"/>
      <c r="P44" s="1031"/>
      <c r="Q44" s="718"/>
      <c r="R44" s="718">
        <f t="shared" si="2"/>
        <v>0</v>
      </c>
      <c r="S44" s="187"/>
      <c r="T44" s="1031"/>
      <c r="U44" s="718"/>
      <c r="V44" s="718">
        <f t="shared" ref="V44:V53" si="19">+R44+T44</f>
        <v>0</v>
      </c>
      <c r="W44" s="187"/>
      <c r="X44" s="1031"/>
      <c r="Y44" s="734"/>
      <c r="Z44" s="717">
        <f t="shared" ref="Z44:Z54" si="20">+P44+T44+X44</f>
        <v>0</v>
      </c>
      <c r="AA44" s="482"/>
      <c r="AB44" s="617">
        <f t="shared" ref="AB44:AB54" si="21">+N44+Z44</f>
        <v>0</v>
      </c>
      <c r="AC44" s="187"/>
      <c r="AD44" s="1031"/>
      <c r="AE44" s="718"/>
      <c r="AF44" s="718">
        <f t="shared" ref="AF44:AF54" si="22">+AB44+AD44</f>
        <v>0</v>
      </c>
      <c r="AG44" s="187"/>
      <c r="AH44" s="1031"/>
      <c r="AI44" s="718"/>
      <c r="AJ44" s="718">
        <f t="shared" ref="AJ44:AJ54" si="23">+AF44+AH44</f>
        <v>0</v>
      </c>
      <c r="AK44" s="187"/>
      <c r="AL44" s="1031"/>
      <c r="AM44" s="734"/>
      <c r="AN44" s="717">
        <f t="shared" ref="AN44:AN54" si="24">+AD44+AH44+AL44</f>
        <v>0</v>
      </c>
      <c r="AO44" s="718"/>
      <c r="AP44" s="718">
        <f t="shared" ref="AP44:AP54" si="25">AJ44+AL44</f>
        <v>0</v>
      </c>
      <c r="AQ44" s="187"/>
      <c r="AR44" s="1031"/>
      <c r="AS44" s="718"/>
      <c r="AT44" s="718">
        <f t="shared" ref="AT44:AT54" si="26">+AP44+AR44</f>
        <v>0</v>
      </c>
      <c r="AU44" s="187"/>
      <c r="AV44" s="1031"/>
      <c r="AW44" s="718"/>
      <c r="AX44" s="718">
        <f t="shared" ref="AX44:AX54" si="27">+AT44+AV44</f>
        <v>0</v>
      </c>
      <c r="AY44" s="187"/>
      <c r="AZ44" s="139"/>
      <c r="BA44" s="734"/>
      <c r="BB44" s="717">
        <f t="shared" ref="BB44:BB54" si="28">+AR44+AV44+AZ44</f>
        <v>0</v>
      </c>
      <c r="BC44" s="482"/>
      <c r="BD44" s="617">
        <f>+AN44+BB44</f>
        <v>0</v>
      </c>
      <c r="BE44" s="718"/>
      <c r="BF44" s="718">
        <f t="shared" ref="BF44:BF54" si="29">+AX44+AZ44</f>
        <v>0</v>
      </c>
      <c r="BG44" s="3464"/>
      <c r="BH44" s="3464"/>
      <c r="BI44" s="23"/>
      <c r="BJ44" s="23"/>
      <c r="BK44" s="23"/>
      <c r="BL44" s="23"/>
      <c r="BM44" s="23"/>
      <c r="BN44" s="23"/>
    </row>
    <row r="45" spans="1:66" ht="15" customHeight="1" x14ac:dyDescent="0.3">
      <c r="B45" s="1499" t="s">
        <v>984</v>
      </c>
      <c r="C45" s="1500"/>
      <c r="D45" s="1498" t="s">
        <v>50</v>
      </c>
      <c r="E45" s="187"/>
      <c r="F45" s="178">
        <v>13.54</v>
      </c>
      <c r="G45" s="187"/>
      <c r="H45" s="178">
        <v>8.2900000000000009</v>
      </c>
      <c r="I45" s="718"/>
      <c r="J45" s="718">
        <f t="shared" si="17"/>
        <v>21.83</v>
      </c>
      <c r="K45" s="187"/>
      <c r="L45" s="1031">
        <v>12.03</v>
      </c>
      <c r="M45" s="717"/>
      <c r="N45" s="717">
        <f t="shared" si="18"/>
        <v>33.86</v>
      </c>
      <c r="O45" s="187"/>
      <c r="P45" s="1031"/>
      <c r="Q45" s="718"/>
      <c r="R45" s="718">
        <f t="shared" si="2"/>
        <v>33.86</v>
      </c>
      <c r="S45" s="187"/>
      <c r="T45" s="1031">
        <v>5.49</v>
      </c>
      <c r="U45" s="718"/>
      <c r="V45" s="718">
        <f t="shared" si="19"/>
        <v>39.35</v>
      </c>
      <c r="W45" s="187"/>
      <c r="X45" s="1031">
        <v>10.32</v>
      </c>
      <c r="Y45" s="734"/>
      <c r="Z45" s="717">
        <f t="shared" si="20"/>
        <v>15.81</v>
      </c>
      <c r="AA45" s="482"/>
      <c r="AB45" s="617">
        <f t="shared" si="21"/>
        <v>49.67</v>
      </c>
      <c r="AC45" s="187"/>
      <c r="AD45" s="1031">
        <v>2.1800000000000002</v>
      </c>
      <c r="AE45" s="718"/>
      <c r="AF45" s="718">
        <f t="shared" si="22"/>
        <v>51.85</v>
      </c>
      <c r="AG45" s="187"/>
      <c r="AH45" s="1031">
        <v>12.73</v>
      </c>
      <c r="AI45" s="718"/>
      <c r="AJ45" s="718">
        <f t="shared" si="23"/>
        <v>64.58</v>
      </c>
      <c r="AK45" s="187"/>
      <c r="AL45" s="1031">
        <v>4.05</v>
      </c>
      <c r="AM45" s="734"/>
      <c r="AN45" s="717">
        <f t="shared" si="24"/>
        <v>18.96</v>
      </c>
      <c r="AO45" s="718"/>
      <c r="AP45" s="718">
        <f t="shared" si="25"/>
        <v>68.63</v>
      </c>
      <c r="AQ45" s="187"/>
      <c r="AR45" s="1031"/>
      <c r="AS45" s="718"/>
      <c r="AT45" s="718">
        <f t="shared" si="26"/>
        <v>68.63</v>
      </c>
      <c r="AU45" s="187"/>
      <c r="AV45" s="1031">
        <v>13</v>
      </c>
      <c r="AW45" s="718"/>
      <c r="AX45" s="718">
        <f t="shared" si="27"/>
        <v>81.63</v>
      </c>
      <c r="AY45" s="187"/>
      <c r="AZ45" s="139"/>
      <c r="BA45" s="734"/>
      <c r="BB45" s="717">
        <f t="shared" si="28"/>
        <v>13</v>
      </c>
      <c r="BC45" s="482"/>
      <c r="BD45" s="617">
        <f t="shared" ref="BD45:BD54" si="30">+AN45+BB45</f>
        <v>31.96</v>
      </c>
      <c r="BE45" s="718"/>
      <c r="BF45" s="718">
        <f t="shared" si="29"/>
        <v>81.63</v>
      </c>
      <c r="BG45" s="3464"/>
      <c r="BH45" s="3464"/>
      <c r="BI45" s="23"/>
      <c r="BJ45" s="23"/>
      <c r="BK45" s="23"/>
      <c r="BL45" s="23"/>
      <c r="BM45" s="23"/>
      <c r="BN45" s="23"/>
    </row>
    <row r="46" spans="1:66" ht="15.75" customHeight="1" x14ac:dyDescent="0.3">
      <c r="B46" s="1501" t="s">
        <v>983</v>
      </c>
      <c r="C46" s="1502"/>
      <c r="D46" s="1503" t="s">
        <v>50</v>
      </c>
      <c r="E46" s="188"/>
      <c r="F46" s="1031"/>
      <c r="G46" s="188"/>
      <c r="H46" s="1031"/>
      <c r="I46" s="248"/>
      <c r="J46" s="718">
        <f t="shared" si="17"/>
        <v>0</v>
      </c>
      <c r="K46" s="188"/>
      <c r="L46" s="1031">
        <v>7.02</v>
      </c>
      <c r="M46" s="1096"/>
      <c r="N46" s="717">
        <f t="shared" si="18"/>
        <v>7.02</v>
      </c>
      <c r="O46" s="188"/>
      <c r="P46" s="1031">
        <v>14.62</v>
      </c>
      <c r="Q46" s="248"/>
      <c r="R46" s="718">
        <f t="shared" si="2"/>
        <v>21.64</v>
      </c>
      <c r="S46" s="188"/>
      <c r="T46" s="1031"/>
      <c r="U46" s="248"/>
      <c r="V46" s="718">
        <f t="shared" si="19"/>
        <v>21.64</v>
      </c>
      <c r="W46" s="188"/>
      <c r="X46" s="1031">
        <v>8.6300000000000008</v>
      </c>
      <c r="Y46" s="816"/>
      <c r="Z46" s="717">
        <f t="shared" si="20"/>
        <v>23.25</v>
      </c>
      <c r="AA46" s="482"/>
      <c r="AB46" s="617">
        <f t="shared" si="21"/>
        <v>30.27</v>
      </c>
      <c r="AC46" s="188"/>
      <c r="AD46" s="1031">
        <v>2.21</v>
      </c>
      <c r="AE46" s="248"/>
      <c r="AF46" s="718">
        <f t="shared" si="22"/>
        <v>32.479999999999997</v>
      </c>
      <c r="AG46" s="188"/>
      <c r="AH46" s="1031">
        <v>25.26</v>
      </c>
      <c r="AI46" s="248"/>
      <c r="AJ46" s="718">
        <f t="shared" si="23"/>
        <v>57.739999999999995</v>
      </c>
      <c r="AK46" s="188"/>
      <c r="AL46" s="1031">
        <v>32.9</v>
      </c>
      <c r="AM46" s="816"/>
      <c r="AN46" s="717">
        <f t="shared" si="24"/>
        <v>60.370000000000005</v>
      </c>
      <c r="AO46" s="248"/>
      <c r="AP46" s="718">
        <f t="shared" si="25"/>
        <v>90.639999999999986</v>
      </c>
      <c r="AQ46" s="188"/>
      <c r="AR46" s="1033">
        <v>18.72</v>
      </c>
      <c r="AS46" s="248"/>
      <c r="AT46" s="718">
        <f t="shared" si="26"/>
        <v>109.35999999999999</v>
      </c>
      <c r="AU46" s="188"/>
      <c r="AV46" s="1033"/>
      <c r="AW46" s="248"/>
      <c r="AX46" s="718">
        <f t="shared" si="27"/>
        <v>109.35999999999999</v>
      </c>
      <c r="AY46" s="188"/>
      <c r="AZ46" s="5015">
        <v>8.89</v>
      </c>
      <c r="BA46" s="816"/>
      <c r="BB46" s="717">
        <f t="shared" si="28"/>
        <v>27.61</v>
      </c>
      <c r="BC46" s="482"/>
      <c r="BD46" s="617">
        <f t="shared" si="30"/>
        <v>87.98</v>
      </c>
      <c r="BE46" s="248"/>
      <c r="BF46" s="718">
        <f t="shared" si="29"/>
        <v>118.24999999999999</v>
      </c>
      <c r="BG46" s="3464"/>
      <c r="BH46" s="3464"/>
      <c r="BI46" s="23"/>
      <c r="BJ46" s="23"/>
      <c r="BK46" s="23"/>
      <c r="BL46" s="23"/>
      <c r="BM46" s="23"/>
      <c r="BN46" s="23"/>
    </row>
    <row r="47" spans="1:66" ht="15.6" x14ac:dyDescent="0.3">
      <c r="B47" s="1499" t="s">
        <v>982</v>
      </c>
      <c r="C47" s="1500"/>
      <c r="D47" s="1498" t="s">
        <v>50</v>
      </c>
      <c r="E47" s="187"/>
      <c r="F47" s="1031">
        <v>10.43</v>
      </c>
      <c r="G47" s="187"/>
      <c r="H47" s="1031">
        <v>10.34</v>
      </c>
      <c r="I47" s="718"/>
      <c r="J47" s="718">
        <f t="shared" si="17"/>
        <v>20.77</v>
      </c>
      <c r="K47" s="187"/>
      <c r="L47" s="1031">
        <v>11.93</v>
      </c>
      <c r="M47" s="717"/>
      <c r="N47" s="717">
        <f t="shared" si="18"/>
        <v>32.700000000000003</v>
      </c>
      <c r="O47" s="187"/>
      <c r="P47" s="1031">
        <v>24.45</v>
      </c>
      <c r="Q47" s="718"/>
      <c r="R47" s="718">
        <f t="shared" si="2"/>
        <v>57.150000000000006</v>
      </c>
      <c r="S47" s="187"/>
      <c r="T47" s="1031">
        <v>19.12</v>
      </c>
      <c r="U47" s="718"/>
      <c r="V47" s="718">
        <f t="shared" si="19"/>
        <v>76.27000000000001</v>
      </c>
      <c r="W47" s="187"/>
      <c r="X47" s="1031">
        <v>75.41</v>
      </c>
      <c r="Y47" s="734"/>
      <c r="Z47" s="717">
        <f t="shared" si="20"/>
        <v>118.97999999999999</v>
      </c>
      <c r="AA47" s="482"/>
      <c r="AB47" s="617">
        <f t="shared" si="21"/>
        <v>151.68</v>
      </c>
      <c r="AC47" s="187"/>
      <c r="AD47" s="1031">
        <v>33.369999999999997</v>
      </c>
      <c r="AE47" s="718"/>
      <c r="AF47" s="718">
        <f t="shared" si="22"/>
        <v>185.05</v>
      </c>
      <c r="AG47" s="187"/>
      <c r="AH47" s="1031">
        <v>25.34</v>
      </c>
      <c r="AI47" s="718"/>
      <c r="AJ47" s="718">
        <f t="shared" si="23"/>
        <v>210.39000000000001</v>
      </c>
      <c r="AK47" s="187"/>
      <c r="AL47" s="1031">
        <v>28.46</v>
      </c>
      <c r="AM47" s="734"/>
      <c r="AN47" s="717">
        <f t="shared" si="24"/>
        <v>87.169999999999987</v>
      </c>
      <c r="AO47" s="718"/>
      <c r="AP47" s="718">
        <f t="shared" si="25"/>
        <v>238.85000000000002</v>
      </c>
      <c r="AQ47" s="187"/>
      <c r="AR47" s="1033">
        <v>8.3699999999999992</v>
      </c>
      <c r="AS47" s="718"/>
      <c r="AT47" s="718">
        <f t="shared" si="26"/>
        <v>247.22000000000003</v>
      </c>
      <c r="AU47" s="187"/>
      <c r="AV47" s="1033">
        <v>2.78</v>
      </c>
      <c r="AW47" s="718"/>
      <c r="AX47" s="718">
        <f t="shared" si="27"/>
        <v>250.00000000000003</v>
      </c>
      <c r="AY47" s="187"/>
      <c r="AZ47" s="5015">
        <v>52.33</v>
      </c>
      <c r="BA47" s="734"/>
      <c r="BB47" s="717">
        <f t="shared" si="28"/>
        <v>63.48</v>
      </c>
      <c r="BC47" s="482"/>
      <c r="BD47" s="617">
        <f t="shared" si="30"/>
        <v>150.64999999999998</v>
      </c>
      <c r="BE47" s="718"/>
      <c r="BF47" s="718">
        <f t="shared" si="29"/>
        <v>302.33000000000004</v>
      </c>
      <c r="BG47" s="3464"/>
      <c r="BH47" s="3464"/>
      <c r="BI47" s="23"/>
      <c r="BJ47" s="23"/>
      <c r="BK47" s="23"/>
      <c r="BL47" s="23"/>
      <c r="BM47" s="23"/>
      <c r="BN47" s="23"/>
    </row>
    <row r="48" spans="1:66" ht="15.6" x14ac:dyDescent="0.3">
      <c r="B48" s="1499" t="s">
        <v>1268</v>
      </c>
      <c r="C48" s="1500"/>
      <c r="D48" s="1498" t="s">
        <v>50</v>
      </c>
      <c r="E48" s="187"/>
      <c r="F48" s="178">
        <v>15.329999999999998</v>
      </c>
      <c r="G48" s="187"/>
      <c r="H48" s="178"/>
      <c r="I48" s="718"/>
      <c r="J48" s="718">
        <f t="shared" si="17"/>
        <v>15.329999999999998</v>
      </c>
      <c r="K48" s="187"/>
      <c r="L48" s="1031"/>
      <c r="M48" s="717"/>
      <c r="N48" s="717">
        <f t="shared" si="18"/>
        <v>15.329999999999998</v>
      </c>
      <c r="O48" s="187"/>
      <c r="P48" s="1031"/>
      <c r="Q48" s="718"/>
      <c r="R48" s="718">
        <f t="shared" si="2"/>
        <v>15.329999999999998</v>
      </c>
      <c r="S48" s="187"/>
      <c r="T48" s="1031"/>
      <c r="U48" s="718"/>
      <c r="V48" s="718">
        <f t="shared" si="19"/>
        <v>15.329999999999998</v>
      </c>
      <c r="W48" s="187"/>
      <c r="X48" s="1031"/>
      <c r="Y48" s="734"/>
      <c r="Z48" s="717">
        <f t="shared" si="20"/>
        <v>0</v>
      </c>
      <c r="AA48" s="482"/>
      <c r="AB48" s="617">
        <f t="shared" si="21"/>
        <v>15.329999999999998</v>
      </c>
      <c r="AC48" s="187"/>
      <c r="AD48" s="1031"/>
      <c r="AE48" s="718"/>
      <c r="AF48" s="718">
        <f t="shared" si="22"/>
        <v>15.329999999999998</v>
      </c>
      <c r="AG48" s="187"/>
      <c r="AH48" s="1031"/>
      <c r="AI48" s="718"/>
      <c r="AJ48" s="718">
        <f t="shared" si="23"/>
        <v>15.329999999999998</v>
      </c>
      <c r="AK48" s="187"/>
      <c r="AL48" s="1031"/>
      <c r="AM48" s="734"/>
      <c r="AN48" s="717">
        <f t="shared" si="24"/>
        <v>0</v>
      </c>
      <c r="AO48" s="718"/>
      <c r="AP48" s="718">
        <f t="shared" si="25"/>
        <v>15.329999999999998</v>
      </c>
      <c r="AQ48" s="187"/>
      <c r="AR48" s="178"/>
      <c r="AS48" s="718"/>
      <c r="AT48" s="718">
        <f t="shared" si="26"/>
        <v>15.329999999999998</v>
      </c>
      <c r="AU48" s="187"/>
      <c r="AV48" s="178"/>
      <c r="AW48" s="718"/>
      <c r="AX48" s="718">
        <f t="shared" si="27"/>
        <v>15.329999999999998</v>
      </c>
      <c r="AY48" s="187"/>
      <c r="AZ48" s="5016"/>
      <c r="BA48" s="734"/>
      <c r="BB48" s="717">
        <f t="shared" si="28"/>
        <v>0</v>
      </c>
      <c r="BC48" s="482"/>
      <c r="BD48" s="617">
        <f t="shared" si="30"/>
        <v>0</v>
      </c>
      <c r="BE48" s="718"/>
      <c r="BF48" s="718">
        <f t="shared" si="29"/>
        <v>15.329999999999998</v>
      </c>
      <c r="BG48" s="3464"/>
      <c r="BH48" s="3464"/>
      <c r="BI48" s="23"/>
      <c r="BJ48" s="23"/>
      <c r="BK48" s="23"/>
      <c r="BL48" s="23"/>
      <c r="BM48" s="23"/>
      <c r="BN48" s="23"/>
    </row>
    <row r="49" spans="1:66" ht="15.6" x14ac:dyDescent="0.3">
      <c r="B49" s="1499" t="s">
        <v>1569</v>
      </c>
      <c r="C49" s="1500"/>
      <c r="D49" s="1498" t="s">
        <v>50</v>
      </c>
      <c r="E49" s="187"/>
      <c r="F49" s="1031"/>
      <c r="G49" s="187"/>
      <c r="H49" s="1031"/>
      <c r="I49" s="718"/>
      <c r="J49" s="718">
        <f t="shared" si="17"/>
        <v>0</v>
      </c>
      <c r="K49" s="187"/>
      <c r="L49" s="1031"/>
      <c r="M49" s="717"/>
      <c r="N49" s="717">
        <f t="shared" si="18"/>
        <v>0</v>
      </c>
      <c r="O49" s="187"/>
      <c r="P49" s="1031"/>
      <c r="Q49" s="718"/>
      <c r="R49" s="718">
        <f t="shared" si="2"/>
        <v>0</v>
      </c>
      <c r="S49" s="187"/>
      <c r="T49" s="1031"/>
      <c r="U49" s="718"/>
      <c r="V49" s="718">
        <f t="shared" si="19"/>
        <v>0</v>
      </c>
      <c r="W49" s="187"/>
      <c r="X49" s="1031"/>
      <c r="Y49" s="734"/>
      <c r="Z49" s="717">
        <f t="shared" si="20"/>
        <v>0</v>
      </c>
      <c r="AA49" s="482"/>
      <c r="AB49" s="617">
        <f t="shared" si="21"/>
        <v>0</v>
      </c>
      <c r="AC49" s="187"/>
      <c r="AD49" s="1031"/>
      <c r="AE49" s="718"/>
      <c r="AF49" s="718">
        <f t="shared" si="22"/>
        <v>0</v>
      </c>
      <c r="AG49" s="187"/>
      <c r="AH49" s="1031"/>
      <c r="AI49" s="718"/>
      <c r="AJ49" s="718">
        <f t="shared" si="23"/>
        <v>0</v>
      </c>
      <c r="AK49" s="187"/>
      <c r="AL49" s="1031"/>
      <c r="AM49" s="734"/>
      <c r="AN49" s="717">
        <f t="shared" si="24"/>
        <v>0</v>
      </c>
      <c r="AO49" s="718"/>
      <c r="AP49" s="718">
        <f t="shared" si="25"/>
        <v>0</v>
      </c>
      <c r="AQ49" s="187"/>
      <c r="AR49" s="178"/>
      <c r="AS49" s="718"/>
      <c r="AT49" s="718">
        <f t="shared" si="26"/>
        <v>0</v>
      </c>
      <c r="AU49" s="187"/>
      <c r="AV49" s="178"/>
      <c r="AW49" s="718"/>
      <c r="AX49" s="718">
        <f t="shared" si="27"/>
        <v>0</v>
      </c>
      <c r="AY49" s="187"/>
      <c r="AZ49" s="5016"/>
      <c r="BA49" s="734"/>
      <c r="BB49" s="717">
        <f t="shared" si="28"/>
        <v>0</v>
      </c>
      <c r="BC49" s="482"/>
      <c r="BD49" s="617">
        <f t="shared" si="30"/>
        <v>0</v>
      </c>
      <c r="BE49" s="718"/>
      <c r="BF49" s="718">
        <f t="shared" si="29"/>
        <v>0</v>
      </c>
      <c r="BG49" s="3464"/>
      <c r="BH49" s="3464"/>
      <c r="BI49" s="23"/>
      <c r="BJ49" s="23"/>
      <c r="BK49" s="23"/>
      <c r="BL49" s="23"/>
      <c r="BM49" s="23"/>
      <c r="BN49" s="23"/>
    </row>
    <row r="50" spans="1:66" ht="15.6" x14ac:dyDescent="0.3">
      <c r="B50" s="1499" t="s">
        <v>1216</v>
      </c>
      <c r="C50" s="1500"/>
      <c r="D50" s="1498" t="s">
        <v>50</v>
      </c>
      <c r="E50" s="187"/>
      <c r="F50" s="1031"/>
      <c r="G50" s="187"/>
      <c r="H50" s="1031"/>
      <c r="I50" s="718"/>
      <c r="J50" s="718">
        <f t="shared" si="17"/>
        <v>0</v>
      </c>
      <c r="K50" s="187"/>
      <c r="L50" s="1031"/>
      <c r="M50" s="717"/>
      <c r="N50" s="717">
        <f t="shared" si="18"/>
        <v>0</v>
      </c>
      <c r="O50" s="187"/>
      <c r="P50" s="1031">
        <v>3.77</v>
      </c>
      <c r="Q50" s="718"/>
      <c r="R50" s="718">
        <f t="shared" si="2"/>
        <v>3.77</v>
      </c>
      <c r="S50" s="187"/>
      <c r="T50" s="1031">
        <v>25.96</v>
      </c>
      <c r="U50" s="718"/>
      <c r="V50" s="718">
        <f t="shared" si="19"/>
        <v>29.73</v>
      </c>
      <c r="W50" s="187"/>
      <c r="X50" s="1031"/>
      <c r="Y50" s="734"/>
      <c r="Z50" s="717">
        <f t="shared" si="20"/>
        <v>29.73</v>
      </c>
      <c r="AA50" s="482"/>
      <c r="AB50" s="617">
        <f t="shared" si="21"/>
        <v>29.73</v>
      </c>
      <c r="AC50" s="187"/>
      <c r="AD50" s="1031"/>
      <c r="AE50" s="718"/>
      <c r="AF50" s="718">
        <f t="shared" si="22"/>
        <v>29.73</v>
      </c>
      <c r="AG50" s="187"/>
      <c r="AH50" s="1031"/>
      <c r="AI50" s="718"/>
      <c r="AJ50" s="718">
        <f t="shared" si="23"/>
        <v>29.73</v>
      </c>
      <c r="AK50" s="187"/>
      <c r="AL50" s="1031"/>
      <c r="AM50" s="734"/>
      <c r="AN50" s="717">
        <f t="shared" si="24"/>
        <v>0</v>
      </c>
      <c r="AO50" s="718"/>
      <c r="AP50" s="718">
        <f t="shared" si="25"/>
        <v>29.73</v>
      </c>
      <c r="AQ50" s="187"/>
      <c r="AR50" s="178"/>
      <c r="AS50" s="718"/>
      <c r="AT50" s="718">
        <f t="shared" si="26"/>
        <v>29.73</v>
      </c>
      <c r="AU50" s="187"/>
      <c r="AV50" s="178"/>
      <c r="AW50" s="718"/>
      <c r="AX50" s="718">
        <f t="shared" si="27"/>
        <v>29.73</v>
      </c>
      <c r="AY50" s="187"/>
      <c r="AZ50" s="5016"/>
      <c r="BA50" s="734"/>
      <c r="BB50" s="717">
        <f t="shared" si="28"/>
        <v>0</v>
      </c>
      <c r="BC50" s="482"/>
      <c r="BD50" s="617">
        <f t="shared" si="30"/>
        <v>0</v>
      </c>
      <c r="BE50" s="718"/>
      <c r="BF50" s="718">
        <f t="shared" si="29"/>
        <v>29.73</v>
      </c>
      <c r="BG50" s="3464"/>
      <c r="BH50" s="3464"/>
      <c r="BI50" s="23"/>
      <c r="BJ50" s="23"/>
      <c r="BK50" s="23"/>
      <c r="BL50" s="23"/>
      <c r="BM50" s="23"/>
      <c r="BN50" s="23"/>
    </row>
    <row r="51" spans="1:66" ht="15.6" x14ac:dyDescent="0.3">
      <c r="B51" s="1499" t="s">
        <v>1310</v>
      </c>
      <c r="C51" s="1500"/>
      <c r="D51" s="1498" t="s">
        <v>50</v>
      </c>
      <c r="E51" s="187"/>
      <c r="F51" s="1031"/>
      <c r="G51" s="187"/>
      <c r="H51" s="1031"/>
      <c r="I51" s="718"/>
      <c r="J51" s="718">
        <f t="shared" si="17"/>
        <v>0</v>
      </c>
      <c r="K51" s="187"/>
      <c r="L51" s="1031"/>
      <c r="M51" s="717"/>
      <c r="N51" s="717">
        <f t="shared" si="18"/>
        <v>0</v>
      </c>
      <c r="O51" s="187"/>
      <c r="P51" s="1031">
        <v>0.68</v>
      </c>
      <c r="Q51" s="718"/>
      <c r="R51" s="718">
        <f t="shared" si="2"/>
        <v>0.68</v>
      </c>
      <c r="S51" s="187"/>
      <c r="T51" s="1031"/>
      <c r="U51" s="718"/>
      <c r="V51" s="718">
        <f t="shared" si="19"/>
        <v>0.68</v>
      </c>
      <c r="W51" s="187"/>
      <c r="X51" s="1031">
        <v>1.66</v>
      </c>
      <c r="Y51" s="734"/>
      <c r="Z51" s="717">
        <f t="shared" si="20"/>
        <v>2.34</v>
      </c>
      <c r="AA51" s="482"/>
      <c r="AB51" s="617">
        <f t="shared" si="21"/>
        <v>2.34</v>
      </c>
      <c r="AC51" s="187"/>
      <c r="AD51" s="1031"/>
      <c r="AE51" s="718"/>
      <c r="AF51" s="718">
        <f t="shared" si="22"/>
        <v>2.34</v>
      </c>
      <c r="AG51" s="187"/>
      <c r="AH51" s="1031"/>
      <c r="AI51" s="718"/>
      <c r="AJ51" s="718">
        <f t="shared" si="23"/>
        <v>2.34</v>
      </c>
      <c r="AK51" s="187"/>
      <c r="AL51" s="1031"/>
      <c r="AM51" s="734"/>
      <c r="AN51" s="717">
        <f t="shared" si="24"/>
        <v>0</v>
      </c>
      <c r="AO51" s="718"/>
      <c r="AP51" s="718">
        <f t="shared" si="25"/>
        <v>2.34</v>
      </c>
      <c r="AQ51" s="187"/>
      <c r="AR51" s="178">
        <v>5.14</v>
      </c>
      <c r="AS51" s="718"/>
      <c r="AT51" s="718">
        <f t="shared" si="26"/>
        <v>7.4799999999999995</v>
      </c>
      <c r="AU51" s="187"/>
      <c r="AV51" s="178"/>
      <c r="AW51" s="718"/>
      <c r="AX51" s="718">
        <f t="shared" si="27"/>
        <v>7.4799999999999995</v>
      </c>
      <c r="AY51" s="187"/>
      <c r="AZ51" s="5016"/>
      <c r="BA51" s="734"/>
      <c r="BB51" s="717">
        <f t="shared" si="28"/>
        <v>5.14</v>
      </c>
      <c r="BC51" s="482"/>
      <c r="BD51" s="617">
        <f t="shared" si="30"/>
        <v>5.14</v>
      </c>
      <c r="BE51" s="718"/>
      <c r="BF51" s="718">
        <f t="shared" si="29"/>
        <v>7.4799999999999995</v>
      </c>
      <c r="BG51" s="3464"/>
      <c r="BH51" s="3464"/>
      <c r="BI51" s="23"/>
      <c r="BJ51" s="23"/>
      <c r="BK51" s="23"/>
      <c r="BL51" s="23"/>
      <c r="BM51" s="23"/>
      <c r="BN51" s="23"/>
    </row>
    <row r="52" spans="1:66" ht="15.6" x14ac:dyDescent="0.3">
      <c r="B52" s="1499" t="s">
        <v>1001</v>
      </c>
      <c r="C52" s="1500"/>
      <c r="D52" s="1498" t="s">
        <v>50</v>
      </c>
      <c r="E52" s="187"/>
      <c r="F52" s="178">
        <v>1.49</v>
      </c>
      <c r="G52" s="187"/>
      <c r="H52" s="178">
        <v>3.34</v>
      </c>
      <c r="I52" s="718"/>
      <c r="J52" s="718">
        <f t="shared" si="17"/>
        <v>4.83</v>
      </c>
      <c r="K52" s="187"/>
      <c r="L52" s="1031">
        <v>3.83</v>
      </c>
      <c r="M52" s="717"/>
      <c r="N52" s="717">
        <f t="shared" si="18"/>
        <v>8.66</v>
      </c>
      <c r="O52" s="187"/>
      <c r="P52" s="1031">
        <v>0.63</v>
      </c>
      <c r="Q52" s="718"/>
      <c r="R52" s="718">
        <f t="shared" si="2"/>
        <v>9.2900000000000009</v>
      </c>
      <c r="S52" s="187"/>
      <c r="T52" s="1031"/>
      <c r="U52" s="718"/>
      <c r="V52" s="718">
        <f t="shared" si="19"/>
        <v>9.2900000000000009</v>
      </c>
      <c r="W52" s="187"/>
      <c r="X52" s="1031">
        <v>2.5299999999999998</v>
      </c>
      <c r="Y52" s="734"/>
      <c r="Z52" s="717">
        <f t="shared" si="20"/>
        <v>3.1599999999999997</v>
      </c>
      <c r="AA52" s="482"/>
      <c r="AB52" s="617">
        <f t="shared" si="21"/>
        <v>11.82</v>
      </c>
      <c r="AC52" s="187"/>
      <c r="AD52" s="1031">
        <v>12.24</v>
      </c>
      <c r="AE52" s="718"/>
      <c r="AF52" s="718">
        <f t="shared" si="22"/>
        <v>24.060000000000002</v>
      </c>
      <c r="AG52" s="187"/>
      <c r="AH52" s="1031">
        <v>5.62</v>
      </c>
      <c r="AI52" s="718"/>
      <c r="AJ52" s="718">
        <f t="shared" si="23"/>
        <v>29.680000000000003</v>
      </c>
      <c r="AK52" s="187"/>
      <c r="AL52" s="1031">
        <v>23.84</v>
      </c>
      <c r="AM52" s="734"/>
      <c r="AN52" s="717">
        <f t="shared" si="24"/>
        <v>41.7</v>
      </c>
      <c r="AO52" s="718"/>
      <c r="AP52" s="718">
        <f t="shared" si="25"/>
        <v>53.52</v>
      </c>
      <c r="AQ52" s="187"/>
      <c r="AR52" s="1031"/>
      <c r="AS52" s="718"/>
      <c r="AT52" s="718">
        <f t="shared" si="26"/>
        <v>53.52</v>
      </c>
      <c r="AU52" s="187"/>
      <c r="AV52" s="1031"/>
      <c r="AW52" s="718"/>
      <c r="AX52" s="718">
        <f t="shared" si="27"/>
        <v>53.52</v>
      </c>
      <c r="AY52" s="187"/>
      <c r="AZ52" s="139">
        <v>14.76</v>
      </c>
      <c r="BA52" s="734"/>
      <c r="BB52" s="717">
        <f t="shared" si="28"/>
        <v>14.76</v>
      </c>
      <c r="BC52" s="482"/>
      <c r="BD52" s="617">
        <f t="shared" si="30"/>
        <v>56.46</v>
      </c>
      <c r="BE52" s="718"/>
      <c r="BF52" s="718">
        <f t="shared" si="29"/>
        <v>68.28</v>
      </c>
      <c r="BG52" s="3464"/>
      <c r="BH52" s="3464"/>
      <c r="BI52" s="23"/>
      <c r="BJ52" s="23"/>
      <c r="BK52" s="23"/>
      <c r="BL52" s="23"/>
      <c r="BM52" s="23"/>
      <c r="BN52" s="23"/>
    </row>
    <row r="53" spans="1:66" ht="15.6" x14ac:dyDescent="0.3">
      <c r="B53" s="4430" t="s">
        <v>1967</v>
      </c>
      <c r="C53" s="4431"/>
      <c r="D53" s="1498" t="s">
        <v>50</v>
      </c>
      <c r="E53" s="4432"/>
      <c r="F53" s="4433"/>
      <c r="G53" s="4432"/>
      <c r="H53" s="4433"/>
      <c r="I53" s="4428"/>
      <c r="J53" s="4428"/>
      <c r="K53" s="4432"/>
      <c r="L53" s="4433">
        <v>0.48</v>
      </c>
      <c r="M53" s="4434"/>
      <c r="N53" s="322">
        <f t="shared" si="18"/>
        <v>0.48</v>
      </c>
      <c r="O53" s="4432"/>
      <c r="P53" s="4433"/>
      <c r="Q53" s="4428"/>
      <c r="R53" s="718">
        <f t="shared" si="2"/>
        <v>0.48</v>
      </c>
      <c r="S53" s="4432"/>
      <c r="T53" s="4433"/>
      <c r="U53" s="4428"/>
      <c r="V53" s="718">
        <f t="shared" si="19"/>
        <v>0.48</v>
      </c>
      <c r="W53" s="4432"/>
      <c r="X53" s="4433"/>
      <c r="Y53" s="4435"/>
      <c r="Z53" s="717">
        <f t="shared" si="20"/>
        <v>0</v>
      </c>
      <c r="AA53" s="4405"/>
      <c r="AB53" s="739">
        <f t="shared" si="21"/>
        <v>0.48</v>
      </c>
      <c r="AC53" s="4432"/>
      <c r="AD53" s="4433"/>
      <c r="AE53" s="4428"/>
      <c r="AF53" s="240">
        <f t="shared" si="22"/>
        <v>0.48</v>
      </c>
      <c r="AG53" s="4432"/>
      <c r="AH53" s="4433"/>
      <c r="AI53" s="4428"/>
      <c r="AJ53" s="718">
        <f t="shared" si="23"/>
        <v>0.48</v>
      </c>
      <c r="AK53" s="4432"/>
      <c r="AL53" s="4433"/>
      <c r="AM53" s="4435"/>
      <c r="AN53" s="4434"/>
      <c r="AO53" s="4428"/>
      <c r="AP53" s="718">
        <f t="shared" si="25"/>
        <v>0.48</v>
      </c>
      <c r="AQ53" s="4432"/>
      <c r="AR53" s="4433"/>
      <c r="AS53" s="4428"/>
      <c r="AT53" s="240">
        <f t="shared" si="26"/>
        <v>0.48</v>
      </c>
      <c r="AU53" s="4432"/>
      <c r="AV53" s="4433"/>
      <c r="AW53" s="4428"/>
      <c r="AX53" s="240">
        <f t="shared" si="27"/>
        <v>0.48</v>
      </c>
      <c r="AY53" s="4432"/>
      <c r="AZ53" s="5017">
        <v>32.450000000000003</v>
      </c>
      <c r="BA53" s="4435"/>
      <c r="BB53" s="717">
        <f t="shared" si="28"/>
        <v>32.450000000000003</v>
      </c>
      <c r="BC53" s="4405"/>
      <c r="BD53" s="617">
        <f t="shared" si="30"/>
        <v>32.450000000000003</v>
      </c>
      <c r="BE53" s="4428"/>
      <c r="BF53" s="718">
        <f t="shared" si="29"/>
        <v>32.93</v>
      </c>
      <c r="BG53" s="3464"/>
      <c r="BH53" s="3464"/>
      <c r="BI53" s="23"/>
      <c r="BJ53" s="23"/>
      <c r="BK53" s="23"/>
      <c r="BL53" s="23"/>
      <c r="BM53" s="23"/>
      <c r="BN53" s="23"/>
    </row>
    <row r="54" spans="1:66" ht="16.2" thickBot="1" x14ac:dyDescent="0.35">
      <c r="B54" s="1499" t="s">
        <v>1000</v>
      </c>
      <c r="C54" s="1500"/>
      <c r="D54" s="1498" t="s">
        <v>50</v>
      </c>
      <c r="E54" s="1031"/>
      <c r="F54" s="1031"/>
      <c r="G54" s="1031"/>
      <c r="H54" s="1031"/>
      <c r="I54" s="718"/>
      <c r="J54" s="718">
        <f t="shared" si="17"/>
        <v>0</v>
      </c>
      <c r="K54" s="1031"/>
      <c r="L54" s="1031"/>
      <c r="M54" s="717"/>
      <c r="N54" s="717">
        <f t="shared" si="18"/>
        <v>0</v>
      </c>
      <c r="O54" s="1031"/>
      <c r="P54" s="1031"/>
      <c r="Q54" s="718"/>
      <c r="R54" s="718">
        <f t="shared" si="2"/>
        <v>0</v>
      </c>
      <c r="S54" s="1031"/>
      <c r="T54" s="1031"/>
      <c r="U54" s="718"/>
      <c r="V54" s="718">
        <f t="shared" ref="V54" si="31">+R54+T54</f>
        <v>0</v>
      </c>
      <c r="W54" s="1031"/>
      <c r="X54" s="1031"/>
      <c r="Y54" s="734"/>
      <c r="Z54" s="717">
        <f t="shared" si="20"/>
        <v>0</v>
      </c>
      <c r="AA54" s="482"/>
      <c r="AB54" s="617">
        <f t="shared" si="21"/>
        <v>0</v>
      </c>
      <c r="AC54" s="1031"/>
      <c r="AD54" s="1031"/>
      <c r="AE54" s="718"/>
      <c r="AF54" s="718">
        <f t="shared" si="22"/>
        <v>0</v>
      </c>
      <c r="AG54" s="1031"/>
      <c r="AH54" s="1031"/>
      <c r="AI54" s="718"/>
      <c r="AJ54" s="718">
        <f t="shared" si="23"/>
        <v>0</v>
      </c>
      <c r="AK54" s="1031"/>
      <c r="AL54" s="1031"/>
      <c r="AM54" s="734"/>
      <c r="AN54" s="717">
        <f t="shared" si="24"/>
        <v>0</v>
      </c>
      <c r="AO54" s="718"/>
      <c r="AP54" s="718">
        <f t="shared" si="25"/>
        <v>0</v>
      </c>
      <c r="AQ54" s="1031"/>
      <c r="AR54" s="1031"/>
      <c r="AS54" s="718"/>
      <c r="AT54" s="718">
        <f t="shared" si="26"/>
        <v>0</v>
      </c>
      <c r="AU54" s="1031"/>
      <c r="AV54" s="1031"/>
      <c r="AW54" s="718"/>
      <c r="AX54" s="718">
        <f t="shared" si="27"/>
        <v>0</v>
      </c>
      <c r="AY54" s="1031"/>
      <c r="AZ54" s="139"/>
      <c r="BA54" s="734"/>
      <c r="BB54" s="717">
        <f t="shared" si="28"/>
        <v>0</v>
      </c>
      <c r="BC54" s="482"/>
      <c r="BD54" s="617">
        <f t="shared" si="30"/>
        <v>0</v>
      </c>
      <c r="BE54" s="718"/>
      <c r="BF54" s="718">
        <f t="shared" si="29"/>
        <v>0</v>
      </c>
      <c r="BG54" s="3464"/>
      <c r="BH54" s="3464"/>
      <c r="BI54" s="23"/>
      <c r="BJ54" s="23"/>
      <c r="BK54" s="23"/>
      <c r="BL54" s="23"/>
      <c r="BM54" s="23"/>
      <c r="BN54" s="23"/>
    </row>
    <row r="55" spans="1:66" ht="16.2" thickBot="1" x14ac:dyDescent="0.35">
      <c r="A55" s="137"/>
      <c r="B55" s="2707" t="s">
        <v>297</v>
      </c>
      <c r="C55" s="2712"/>
      <c r="D55" s="2713" t="s">
        <v>50</v>
      </c>
      <c r="E55" s="2714">
        <f>+E56</f>
        <v>68500</v>
      </c>
      <c r="F55" s="5244">
        <f>SUM(F7:F54)</f>
        <v>74701.83000000006</v>
      </c>
      <c r="G55" s="2714">
        <f>+G56</f>
        <v>71000</v>
      </c>
      <c r="H55" s="2714">
        <f>SUM(H7:H54)</f>
        <v>33214.890000000029</v>
      </c>
      <c r="I55" s="2551">
        <f>+I56</f>
        <v>139500</v>
      </c>
      <c r="J55" s="2551">
        <f>SUM(J7:J54)</f>
        <v>107916.72000000012</v>
      </c>
      <c r="K55" s="2714">
        <f>+K56</f>
        <v>76000</v>
      </c>
      <c r="L55" s="2714">
        <f>SUM(L7:L54)</f>
        <v>73679.305000000051</v>
      </c>
      <c r="M55" s="734">
        <f>+M56</f>
        <v>215500</v>
      </c>
      <c r="N55" s="734">
        <f>SUM(N7:N54)</f>
        <v>181596.02500000017</v>
      </c>
      <c r="O55" s="2714">
        <f>+O56</f>
        <v>79000</v>
      </c>
      <c r="P55" s="2714">
        <f>SUM(P7:P54)</f>
        <v>88100.640000000101</v>
      </c>
      <c r="Q55" s="1034">
        <f>+Q56</f>
        <v>294500</v>
      </c>
      <c r="R55" s="1034">
        <f>SUM(R7:R54)</f>
        <v>269696.66500000033</v>
      </c>
      <c r="S55" s="2714">
        <f>+S56</f>
        <v>79000</v>
      </c>
      <c r="T55" s="2714">
        <f>SUM(T7:T54)</f>
        <v>75904.265000000043</v>
      </c>
      <c r="U55" s="1034">
        <f>+U56</f>
        <v>373500</v>
      </c>
      <c r="V55" s="1034">
        <f>SUM(V7:V54)</f>
        <v>345600.93000000023</v>
      </c>
      <c r="W55" s="2714">
        <f>+W56</f>
        <v>47500</v>
      </c>
      <c r="X55" s="2714">
        <f>SUM(X7:X54)</f>
        <v>76417.585000000079</v>
      </c>
      <c r="Y55" s="734">
        <f>+Y56</f>
        <v>205500</v>
      </c>
      <c r="Z55" s="734">
        <f>SUM(Z7:Z54)</f>
        <v>240422.49000000025</v>
      </c>
      <c r="AA55" s="482">
        <f>+AA56</f>
        <v>421000</v>
      </c>
      <c r="AB55" s="482">
        <f>SUM(AB7:AB54)</f>
        <v>422018.51500000036</v>
      </c>
      <c r="AC55" s="2714">
        <f>+AC56</f>
        <v>78000</v>
      </c>
      <c r="AD55" s="2714">
        <f>SUM(AD7:AD54)</f>
        <v>51000.275000000081</v>
      </c>
      <c r="AE55" s="1034">
        <f>+AE56</f>
        <v>499000</v>
      </c>
      <c r="AF55" s="1034">
        <f>SUM(AF7:AF54)</f>
        <v>473018.79000000033</v>
      </c>
      <c r="AG55" s="2714">
        <f>+AG56</f>
        <v>76000</v>
      </c>
      <c r="AH55" s="2714">
        <f>SUM(AH7:AH54)</f>
        <v>69789.71500000004</v>
      </c>
      <c r="AI55" s="1034">
        <f>+AI56</f>
        <v>575000</v>
      </c>
      <c r="AJ55" s="1034">
        <f>SUM(AJ7:AJ54)</f>
        <v>542808.50500000047</v>
      </c>
      <c r="AK55" s="2714">
        <f>+AK56</f>
        <v>79000</v>
      </c>
      <c r="AL55" s="2714">
        <f>SUM(AL7:AL54)</f>
        <v>81706.015000000145</v>
      </c>
      <c r="AM55" s="734">
        <f>+AM56</f>
        <v>233000</v>
      </c>
      <c r="AN55" s="734">
        <f>SUM(AN7:AN54)</f>
        <v>202496.0050000003</v>
      </c>
      <c r="AO55" s="1034">
        <f>+AO56</f>
        <v>654000</v>
      </c>
      <c r="AP55" s="1034">
        <f>SUM(AP7:AP54)</f>
        <v>624514.52000000048</v>
      </c>
      <c r="AQ55" s="2714">
        <f>+AQ56</f>
        <v>79000</v>
      </c>
      <c r="AR55" s="2714">
        <f>SUM(AR7:AR54)</f>
        <v>85836.830000000118</v>
      </c>
      <c r="AS55" s="1034">
        <f>+AS56</f>
        <v>733000</v>
      </c>
      <c r="AT55" s="1034">
        <f>SUM(AT7:AT54)</f>
        <v>710351.35000000056</v>
      </c>
      <c r="AU55" s="2714">
        <f>+AU56</f>
        <v>71500</v>
      </c>
      <c r="AV55" s="2714">
        <f>SUM(AV7:AV54)</f>
        <v>74074.100000000093</v>
      </c>
      <c r="AW55" s="1034">
        <f>+AW56</f>
        <v>804500</v>
      </c>
      <c r="AX55" s="1034">
        <f>SUM(AX7:AX54)</f>
        <v>784425.45000000077</v>
      </c>
      <c r="AY55" s="2714">
        <f>+AY56</f>
        <v>80000</v>
      </c>
      <c r="AZ55" s="2714">
        <f>SUM(AZ7:AZ54)</f>
        <v>81308.429999999993</v>
      </c>
      <c r="BA55" s="734">
        <f>+BA56</f>
        <v>230500</v>
      </c>
      <c r="BB55" s="734">
        <f>SUM(BB7:BB54)</f>
        <v>241219.36000000028</v>
      </c>
      <c r="BC55" s="482">
        <f>+BC56</f>
        <v>463500</v>
      </c>
      <c r="BD55" s="482">
        <f>SUM(BD7:BD54)</f>
        <v>443715.36500000063</v>
      </c>
      <c r="BE55" s="231">
        <f>AW55+AY55</f>
        <v>884500</v>
      </c>
      <c r="BF55" s="231">
        <f>SUM(BF7:BF54)</f>
        <v>865733.88000000105</v>
      </c>
      <c r="BG55" s="23"/>
      <c r="BH55" s="3464"/>
      <c r="BI55" s="23"/>
      <c r="BJ55" s="23"/>
      <c r="BK55" s="23"/>
      <c r="BL55" s="23"/>
      <c r="BM55" s="23"/>
      <c r="BN55" s="23"/>
    </row>
    <row r="56" spans="1:66" ht="16.2" thickBot="1" x14ac:dyDescent="0.35">
      <c r="A56" s="137"/>
      <c r="B56" s="834" t="s">
        <v>783</v>
      </c>
      <c r="C56" s="834"/>
      <c r="D56" s="835" t="s">
        <v>50</v>
      </c>
      <c r="E56" s="2181">
        <f>+'Maj Production Summ'!E31</f>
        <v>68500</v>
      </c>
      <c r="F56" s="2181">
        <f>SUM(F7:F42)</f>
        <v>74661.040000000066</v>
      </c>
      <c r="G56" s="2181">
        <f>+'Maj Production Summ'!G31</f>
        <v>71000</v>
      </c>
      <c r="H56" s="2181">
        <f>SUM(H7:H42)</f>
        <v>33192.920000000035</v>
      </c>
      <c r="I56" s="1080">
        <f>+'Maj Production Summ'!I31</f>
        <v>139500</v>
      </c>
      <c r="J56" s="37">
        <f>SUM(J7:J42)</f>
        <v>107853.96000000011</v>
      </c>
      <c r="K56" s="2181">
        <f>+'Maj Production Summ'!K31</f>
        <v>76000</v>
      </c>
      <c r="L56" s="2181">
        <f>SUM(L7:L42)</f>
        <v>73644.015000000058</v>
      </c>
      <c r="M56" s="734">
        <f>+'Maj Production Summ'!M31</f>
        <v>215500</v>
      </c>
      <c r="N56" s="734">
        <f>SUM(N7:N42)</f>
        <v>181497.97500000018</v>
      </c>
      <c r="O56" s="2181">
        <f>+'Maj Production Summ'!O31</f>
        <v>79000</v>
      </c>
      <c r="P56" s="2181">
        <f>SUM(P7:P42)</f>
        <v>88056.490000000107</v>
      </c>
      <c r="Q56" s="1034">
        <f>+'Maj Production Summ'!Q31</f>
        <v>294500</v>
      </c>
      <c r="R56" s="1034">
        <f>SUM(R7:R42)</f>
        <v>269554.46500000032</v>
      </c>
      <c r="S56" s="2181">
        <f>+'Maj Production Summ'!S31</f>
        <v>79000</v>
      </c>
      <c r="T56" s="2181">
        <f>SUM(T7:T42)</f>
        <v>75853.695000000036</v>
      </c>
      <c r="U56" s="1034">
        <f>+'Maj Production Summ'!U31</f>
        <v>373500</v>
      </c>
      <c r="V56" s="1034">
        <f>SUM(V7:V42)</f>
        <v>345408.16000000027</v>
      </c>
      <c r="W56" s="2181">
        <f>+'Maj Production Summ'!W31</f>
        <v>47500</v>
      </c>
      <c r="X56" s="2181">
        <f>SUM(X7:X42)</f>
        <v>76319.035000000062</v>
      </c>
      <c r="Y56" s="734">
        <f>+'Maj Production Summ'!Y31</f>
        <v>205500</v>
      </c>
      <c r="Z56" s="734">
        <f>SUM(Z7:Z42)</f>
        <v>240229.22000000023</v>
      </c>
      <c r="AA56" s="482">
        <f>+'Maj Production Summ'!AA31</f>
        <v>421000</v>
      </c>
      <c r="AB56" s="482">
        <f>SUM(AB7:AB42)</f>
        <v>421727.19500000036</v>
      </c>
      <c r="AC56" s="2181">
        <f>+'Maj Production Summ'!AC31</f>
        <v>78000</v>
      </c>
      <c r="AD56" s="2181">
        <f>SUM(AD7:AD42)</f>
        <v>50950.275000000081</v>
      </c>
      <c r="AE56" s="1034">
        <f>+'Maj Production Summ'!AE31</f>
        <v>499000</v>
      </c>
      <c r="AF56" s="1034">
        <f>SUM(AF7:AF42)</f>
        <v>472677.47000000038</v>
      </c>
      <c r="AG56" s="2181">
        <f>+'Maj Production Summ'!AG31</f>
        <v>76000</v>
      </c>
      <c r="AH56" s="2181">
        <f>SUM(AH7:AH42)</f>
        <v>69720.765000000058</v>
      </c>
      <c r="AI56" s="1034">
        <f>+'Maj Production Summ'!AI31</f>
        <v>575000</v>
      </c>
      <c r="AJ56" s="1034">
        <f>SUM(AJ7:AJ42)</f>
        <v>542398.23500000057</v>
      </c>
      <c r="AK56" s="2181">
        <f>+'Maj Production Summ'!AK31</f>
        <v>79000</v>
      </c>
      <c r="AL56" s="2181">
        <f>SUM(AL7:AL42)</f>
        <v>81616.765000000145</v>
      </c>
      <c r="AM56" s="734">
        <f>+'Maj Production Summ'!AM31</f>
        <v>233000</v>
      </c>
      <c r="AN56" s="734">
        <f>SUM(AN7:AN42)</f>
        <v>202287.80500000028</v>
      </c>
      <c r="AO56" s="1034">
        <f>+'Maj Production Summ'!AO31</f>
        <v>654000</v>
      </c>
      <c r="AP56" s="1034">
        <f>SUM(AP7:AP42)</f>
        <v>624015.00000000058</v>
      </c>
      <c r="AQ56" s="2181">
        <f>+'Maj Production Summ'!AQ31</f>
        <v>79000</v>
      </c>
      <c r="AR56" s="2181">
        <f>SUM(AR7:AR42)</f>
        <v>85804.600000000122</v>
      </c>
      <c r="AS56" s="1034">
        <f>+'Maj Production Summ'!AS31</f>
        <v>733000</v>
      </c>
      <c r="AT56" s="1034">
        <f>SUM(AT7:AT42)</f>
        <v>709819.60000000068</v>
      </c>
      <c r="AU56" s="2181">
        <f>+'Maj Production Summ'!AU31</f>
        <v>71500</v>
      </c>
      <c r="AV56" s="2181">
        <f>SUM(AV7:AV42)</f>
        <v>74058.320000000094</v>
      </c>
      <c r="AW56" s="1034">
        <f>+'Maj Production Summ'!AW31</f>
        <v>804500</v>
      </c>
      <c r="AX56" s="1034">
        <f>SUM(AX7:AX42)</f>
        <v>783877.92000000086</v>
      </c>
      <c r="AY56" s="2181">
        <f>+'Maj Production Summ'!AY31</f>
        <v>80000</v>
      </c>
      <c r="AZ56" s="2181">
        <f>SUM(AZ7:AZ42)</f>
        <v>81200</v>
      </c>
      <c r="BA56" s="734">
        <f>+'Maj Production Summ'!BA31</f>
        <v>230500</v>
      </c>
      <c r="BB56" s="734">
        <f>SUM(BB7:BB42)</f>
        <v>241062.92000000025</v>
      </c>
      <c r="BC56" s="482">
        <f>+'Maj Production Summ'!BC31</f>
        <v>463500</v>
      </c>
      <c r="BD56" s="482">
        <f>SUM(BD7:BD42)</f>
        <v>443350.72500000056</v>
      </c>
      <c r="BE56" s="231">
        <f>AW56+AY56</f>
        <v>884500</v>
      </c>
      <c r="BF56" s="231">
        <f>SUM(BF7:BF42)</f>
        <v>865077.92000000109</v>
      </c>
      <c r="BG56" s="23"/>
      <c r="BH56" s="3464"/>
      <c r="BI56" s="23"/>
      <c r="BJ56" s="23"/>
      <c r="BK56" s="23"/>
      <c r="BL56" s="23"/>
      <c r="BM56" s="23"/>
      <c r="BN56" s="23"/>
    </row>
    <row r="57" spans="1:66" ht="16.2" thickBot="1" x14ac:dyDescent="0.35">
      <c r="A57" s="137"/>
      <c r="B57" s="2711" t="s">
        <v>782</v>
      </c>
      <c r="C57" s="2715"/>
      <c r="D57" s="2716" t="s">
        <v>50</v>
      </c>
      <c r="E57" s="2717"/>
      <c r="F57" s="2718">
        <f>+SUM(F44:F54)</f>
        <v>40.79</v>
      </c>
      <c r="G57" s="2717"/>
      <c r="H57" s="2718">
        <f>+SUM(H44:H54)</f>
        <v>21.970000000000002</v>
      </c>
      <c r="I57" s="2552"/>
      <c r="J57" s="2719">
        <f>+SUM(J44:J54)</f>
        <v>62.759999999999991</v>
      </c>
      <c r="K57" s="2717"/>
      <c r="L57" s="2718">
        <f>+SUM(L44:L54)</f>
        <v>35.289999999999992</v>
      </c>
      <c r="M57" s="734"/>
      <c r="N57" s="747">
        <f>+SUM(N44:N54)</f>
        <v>98.05</v>
      </c>
      <c r="O57" s="2717"/>
      <c r="P57" s="2718">
        <f>+SUM(P44:P54)</f>
        <v>44.150000000000006</v>
      </c>
      <c r="Q57" s="1034"/>
      <c r="R57" s="745">
        <f>+SUM(R44:R54)</f>
        <v>142.19999999999999</v>
      </c>
      <c r="S57" s="2717"/>
      <c r="T57" s="2718">
        <f>+SUM(T44:T54)</f>
        <v>50.57</v>
      </c>
      <c r="U57" s="1034"/>
      <c r="V57" s="745">
        <f>+SUM(V44:V54)</f>
        <v>192.77</v>
      </c>
      <c r="W57" s="2717"/>
      <c r="X57" s="2718">
        <f>+SUM(X44:X54)</f>
        <v>98.55</v>
      </c>
      <c r="Y57" s="734"/>
      <c r="Z57" s="747">
        <f>+SUM(Z44:Z54)</f>
        <v>193.26999999999998</v>
      </c>
      <c r="AA57" s="482"/>
      <c r="AB57" s="748">
        <f>+SUM(AB44:AB54)</f>
        <v>291.32</v>
      </c>
      <c r="AC57" s="2717"/>
      <c r="AD57" s="2718">
        <f>+SUM(AD44:AD54)</f>
        <v>50</v>
      </c>
      <c r="AE57" s="1034"/>
      <c r="AF57" s="745">
        <f>+SUM(AF44:AF54)</f>
        <v>341.32</v>
      </c>
      <c r="AG57" s="2717"/>
      <c r="AH57" s="2718">
        <f>+SUM(AH44:AH54)</f>
        <v>68.95</v>
      </c>
      <c r="AI57" s="1034"/>
      <c r="AJ57" s="745">
        <f>+SUM(AJ44:AJ54)</f>
        <v>410.27000000000004</v>
      </c>
      <c r="AK57" s="2717"/>
      <c r="AL57" s="2718">
        <f>+SUM(AL44:AL54)</f>
        <v>89.25</v>
      </c>
      <c r="AM57" s="734"/>
      <c r="AN57" s="747">
        <f>+SUM(AN44:AN54)</f>
        <v>208.2</v>
      </c>
      <c r="AO57" s="1034"/>
      <c r="AP57" s="745">
        <f>+SUM(AP44:AP54)</f>
        <v>499.52</v>
      </c>
      <c r="AQ57" s="2717"/>
      <c r="AR57" s="2718">
        <f>+SUM(AR44:AR54)</f>
        <v>32.229999999999997</v>
      </c>
      <c r="AS57" s="1034"/>
      <c r="AT57" s="745">
        <f>+SUM(AT44:AT54)</f>
        <v>531.75000000000011</v>
      </c>
      <c r="AU57" s="2717"/>
      <c r="AV57" s="2718">
        <f>+SUM(AV44:AV54)</f>
        <v>15.78</v>
      </c>
      <c r="AW57" s="1034"/>
      <c r="AX57" s="745">
        <f>+SUM(AX44:AX54)</f>
        <v>547.53000000000009</v>
      </c>
      <c r="AY57" s="2717"/>
      <c r="AZ57" s="2718">
        <f>+SUM(AZ44:AZ54)</f>
        <v>108.43</v>
      </c>
      <c r="BA57" s="734"/>
      <c r="BB57" s="747">
        <f>+SUM(BB44:BB54)</f>
        <v>156.44</v>
      </c>
      <c r="BC57" s="482"/>
      <c r="BD57" s="748">
        <f>+SUM(BD44:BD54)</f>
        <v>364.63999999999993</v>
      </c>
      <c r="BE57" s="231"/>
      <c r="BF57" s="746">
        <f>+SUM(BF44:BF54)</f>
        <v>655.96</v>
      </c>
      <c r="BG57" s="23"/>
      <c r="BH57" s="3464"/>
      <c r="BI57" s="23"/>
      <c r="BJ57" s="23"/>
      <c r="BK57" s="23"/>
      <c r="BL57" s="23"/>
      <c r="BM57" s="23"/>
      <c r="BN57" s="23"/>
    </row>
    <row r="58" spans="1:66" ht="16.2" thickBot="1" x14ac:dyDescent="0.35">
      <c r="A58" s="137"/>
      <c r="B58" s="4351" t="s">
        <v>312</v>
      </c>
      <c r="C58" s="2378"/>
      <c r="D58" s="4352" t="s">
        <v>49</v>
      </c>
      <c r="E58" s="4353">
        <f>+E56/E5*100</f>
        <v>96.5</v>
      </c>
      <c r="F58" s="4685">
        <f>+F56/F5*100</f>
        <v>95.918610762252314</v>
      </c>
      <c r="G58" s="4353">
        <f>+G56/G5*100</f>
        <v>96.5</v>
      </c>
      <c r="H58" s="4685">
        <f>+H56/H5*100</f>
        <v>95.961240042042363</v>
      </c>
      <c r="I58" s="2709">
        <f t="shared" ref="I58:N58" si="32">+I56/I5*100</f>
        <v>96.5</v>
      </c>
      <c r="J58" s="2710">
        <f t="shared" si="32"/>
        <v>95.931726229498125</v>
      </c>
      <c r="K58" s="4353">
        <f t="shared" si="32"/>
        <v>96.5</v>
      </c>
      <c r="L58" s="4353">
        <f t="shared" si="32"/>
        <v>96.419419676816304</v>
      </c>
      <c r="M58" s="747">
        <f t="shared" si="32"/>
        <v>96.5</v>
      </c>
      <c r="N58" s="747">
        <f t="shared" si="32"/>
        <v>96.129015094235243</v>
      </c>
      <c r="O58" s="4353">
        <f t="shared" ref="O58:P58" si="33">+O56/O5*100</f>
        <v>96.499999999999986</v>
      </c>
      <c r="P58" s="4353">
        <f t="shared" si="33"/>
        <v>96.454667703108399</v>
      </c>
      <c r="Q58" s="745">
        <f t="shared" ref="Q58:V58" si="34">+Q56/Q5*100</f>
        <v>96.5</v>
      </c>
      <c r="R58" s="745">
        <f t="shared" si="34"/>
        <v>96.235155294852277</v>
      </c>
      <c r="S58" s="4353">
        <f t="shared" si="34"/>
        <v>96.499999999999986</v>
      </c>
      <c r="T58" s="4353">
        <f t="shared" si="34"/>
        <v>96.329019569725332</v>
      </c>
      <c r="U58" s="745">
        <f t="shared" si="34"/>
        <v>96.5</v>
      </c>
      <c r="V58" s="745">
        <f t="shared" si="34"/>
        <v>96.255752772109346</v>
      </c>
      <c r="W58" s="4353">
        <f t="shared" ref="W58:X58" si="35">+W56/W5*100</f>
        <v>96.5</v>
      </c>
      <c r="X58" s="4353">
        <f t="shared" si="35"/>
        <v>96.394637106483472</v>
      </c>
      <c r="Y58" s="747">
        <f t="shared" ref="Y58:AL58" si="36">+Y56/Y5*100</f>
        <v>96.5</v>
      </c>
      <c r="Z58" s="2203">
        <f t="shared" si="36"/>
        <v>96.395894549603327</v>
      </c>
      <c r="AA58" s="748">
        <f t="shared" si="36"/>
        <v>96.5</v>
      </c>
      <c r="AB58" s="748">
        <f t="shared" si="36"/>
        <v>96.280856695332602</v>
      </c>
      <c r="AC58" s="4353">
        <f t="shared" si="36"/>
        <v>96.5</v>
      </c>
      <c r="AD58" s="4353">
        <f t="shared" si="36"/>
        <v>96.409969459870908</v>
      </c>
      <c r="AE58" s="745">
        <f t="shared" si="36"/>
        <v>96.5</v>
      </c>
      <c r="AF58" s="745">
        <f t="shared" si="36"/>
        <v>96.294757230079497</v>
      </c>
      <c r="AG58" s="4685">
        <f t="shared" ref="AG58:AH58" si="37">+AG56/AG5*100</f>
        <v>96.5</v>
      </c>
      <c r="AH58" s="4685">
        <f t="shared" si="37"/>
        <v>96.083717767346542</v>
      </c>
      <c r="AI58" s="745">
        <f t="shared" si="36"/>
        <v>96.499999999999986</v>
      </c>
      <c r="AJ58" s="745">
        <f t="shared" si="36"/>
        <v>96.267577959633968</v>
      </c>
      <c r="AK58" s="4685">
        <f t="shared" si="36"/>
        <v>96.499999999999986</v>
      </c>
      <c r="AL58" s="4685">
        <f t="shared" si="36"/>
        <v>95.865818289064322</v>
      </c>
      <c r="AM58" s="747">
        <f t="shared" ref="AM58:BF58" si="38">+AM56/AM5*100</f>
        <v>96.5</v>
      </c>
      <c r="AN58" s="2203">
        <f t="shared" si="38"/>
        <v>96.077497770373839</v>
      </c>
      <c r="AO58" s="745">
        <f t="shared" si="38"/>
        <v>96.499999999999972</v>
      </c>
      <c r="AP58" s="745">
        <f t="shared" si="38"/>
        <v>96.214839315282248</v>
      </c>
      <c r="AQ58" s="4685">
        <f t="shared" si="38"/>
        <v>96.499999999999986</v>
      </c>
      <c r="AR58" s="4685">
        <f t="shared" si="38"/>
        <v>95.990775355915758</v>
      </c>
      <c r="AS58" s="745">
        <f t="shared" si="38"/>
        <v>96.499999999999972</v>
      </c>
      <c r="AT58" s="745">
        <f t="shared" si="38"/>
        <v>96.187698391643892</v>
      </c>
      <c r="AU58" s="4685">
        <f t="shared" ref="AU58:AV58" si="39">+AU56/AU5*100</f>
        <v>96.5</v>
      </c>
      <c r="AV58" s="4685">
        <f t="shared" si="39"/>
        <v>95.9606442036267</v>
      </c>
      <c r="AW58" s="745">
        <f t="shared" si="38"/>
        <v>96.499999999999972</v>
      </c>
      <c r="AX58" s="745">
        <f t="shared" si="38"/>
        <v>96.166201075340012</v>
      </c>
      <c r="AY58" s="4685">
        <f t="shared" si="38"/>
        <v>96.5</v>
      </c>
      <c r="AZ58" s="4685">
        <f t="shared" si="38"/>
        <v>93.352457710962938</v>
      </c>
      <c r="BA58" s="747">
        <f t="shared" si="38"/>
        <v>96.5</v>
      </c>
      <c r="BB58" s="2203">
        <f t="shared" si="38"/>
        <v>95.076496488136257</v>
      </c>
      <c r="BC58" s="748">
        <f t="shared" si="38"/>
        <v>96.5</v>
      </c>
      <c r="BD58" s="748">
        <f t="shared" si="38"/>
        <v>95.530624031950111</v>
      </c>
      <c r="BE58" s="746">
        <f t="shared" si="38"/>
        <v>96.499999999999972</v>
      </c>
      <c r="BF58" s="746">
        <f t="shared" si="38"/>
        <v>95.894897804185575</v>
      </c>
      <c r="BG58" s="3464"/>
      <c r="BH58" s="23"/>
      <c r="BI58" s="23"/>
      <c r="BJ58" s="23"/>
      <c r="BK58" s="23"/>
      <c r="BL58" s="23"/>
      <c r="BM58" s="23"/>
      <c r="BN58" s="23"/>
    </row>
    <row r="59" spans="1:66" x14ac:dyDescent="0.3">
      <c r="A59" s="137"/>
      <c r="B59" s="818" t="s">
        <v>776</v>
      </c>
      <c r="C59" s="2974"/>
      <c r="D59" s="4322" t="s">
        <v>50</v>
      </c>
      <c r="E59" s="2079"/>
      <c r="F59" s="4358">
        <f>+SUM(F7:F42)</f>
        <v>74661.040000000066</v>
      </c>
      <c r="G59" s="2079"/>
      <c r="H59" s="4358">
        <f>+SUM(H7:H42)</f>
        <v>33192.920000000035</v>
      </c>
      <c r="I59" s="2708"/>
      <c r="J59" s="2708">
        <f>+SUM(J7:J42)</f>
        <v>107853.96000000011</v>
      </c>
      <c r="K59" s="2079"/>
      <c r="L59" s="4358">
        <f>+SUM(L7:L42)</f>
        <v>73644.015000000058</v>
      </c>
      <c r="M59" s="346"/>
      <c r="N59" s="346">
        <f>+SUM(N7:N42)</f>
        <v>181497.97500000018</v>
      </c>
      <c r="O59" s="2079"/>
      <c r="P59" s="4358">
        <f>+SUM(P7:P42)</f>
        <v>88056.490000000107</v>
      </c>
      <c r="Q59" s="421"/>
      <c r="R59" s="421">
        <f>+SUM(R7:R42)</f>
        <v>269554.46500000032</v>
      </c>
      <c r="S59" s="2079"/>
      <c r="T59" s="4358">
        <f>+SUM(T7:T42)</f>
        <v>75853.695000000036</v>
      </c>
      <c r="U59" s="421"/>
      <c r="V59" s="421">
        <f>+SUM(V7:V42)</f>
        <v>345408.16000000027</v>
      </c>
      <c r="W59" s="2079"/>
      <c r="X59" s="4358">
        <f>+SUM(X7:X42)</f>
        <v>76319.035000000062</v>
      </c>
      <c r="Y59" s="346"/>
      <c r="Z59" s="346">
        <f>+SUM(Z7:Z42)</f>
        <v>240229.22000000023</v>
      </c>
      <c r="AA59" s="502"/>
      <c r="AB59" s="502">
        <f>+SUM(AB7:AB42)</f>
        <v>421727.19500000036</v>
      </c>
      <c r="AC59" s="2079"/>
      <c r="AD59" s="4358">
        <f>+SUM(AD7:AD42)</f>
        <v>50950.275000000081</v>
      </c>
      <c r="AE59" s="421"/>
      <c r="AF59" s="421">
        <f>+SUM(AF7:AF42)</f>
        <v>472677.47000000038</v>
      </c>
      <c r="AG59" s="2079"/>
      <c r="AH59" s="4358">
        <f>+SUM(AH7:AH42)</f>
        <v>69720.765000000058</v>
      </c>
      <c r="AI59" s="421"/>
      <c r="AJ59" s="421">
        <f>+SUM(AJ7:AJ42)</f>
        <v>542398.23500000057</v>
      </c>
      <c r="AK59" s="2079"/>
      <c r="AL59" s="4358">
        <f>+SUM(AL7:AL42)</f>
        <v>81616.765000000145</v>
      </c>
      <c r="AM59" s="346"/>
      <c r="AN59" s="346">
        <f>+SUM(AN7:AN42)</f>
        <v>202287.80500000028</v>
      </c>
      <c r="AO59" s="421"/>
      <c r="AP59" s="421">
        <f>+SUM(AP7:AP42)</f>
        <v>624015.00000000058</v>
      </c>
      <c r="AQ59" s="2079"/>
      <c r="AR59" s="4358">
        <f>+SUM(AR7:AR42)</f>
        <v>85804.600000000122</v>
      </c>
      <c r="AS59" s="421"/>
      <c r="AT59" s="421">
        <f>+SUM(AT7:AT42)</f>
        <v>709819.60000000068</v>
      </c>
      <c r="AU59" s="2079"/>
      <c r="AV59" s="4358">
        <f>+SUM(AV7:AV42)</f>
        <v>74058.320000000094</v>
      </c>
      <c r="AW59" s="421"/>
      <c r="AX59" s="421">
        <f>+SUM(AX7:AX42)</f>
        <v>783877.92000000086</v>
      </c>
      <c r="AY59" s="2079"/>
      <c r="AZ59" s="4358">
        <f>+SUM(AZ7:AZ42)</f>
        <v>81200</v>
      </c>
      <c r="BA59" s="346"/>
      <c r="BB59" s="346">
        <f>+SUM(BB7:BB42)</f>
        <v>241062.92000000025</v>
      </c>
      <c r="BC59" s="502"/>
      <c r="BD59" s="502">
        <f>+SUM(BD7:BD42)</f>
        <v>443350.72500000056</v>
      </c>
      <c r="BE59" s="344"/>
      <c r="BF59" s="344">
        <f>+SUM(BF7:BF42)</f>
        <v>865077.92000000109</v>
      </c>
      <c r="BG59" s="3464"/>
      <c r="BH59" s="3464"/>
      <c r="BI59" s="23"/>
      <c r="BJ59" s="23"/>
      <c r="BK59" s="23"/>
      <c r="BL59" s="23"/>
      <c r="BM59" s="23"/>
      <c r="BN59" s="23"/>
    </row>
    <row r="60" spans="1:66" x14ac:dyDescent="0.3">
      <c r="A60" s="137"/>
      <c r="B60" s="4359" t="s">
        <v>775</v>
      </c>
      <c r="C60" s="4355"/>
      <c r="D60" s="4356" t="s">
        <v>49</v>
      </c>
      <c r="E60" s="4357"/>
      <c r="F60" s="4360">
        <f>+F59/F56</f>
        <v>1</v>
      </c>
      <c r="G60" s="4357"/>
      <c r="H60" s="4360">
        <f>+H59/H56</f>
        <v>1</v>
      </c>
      <c r="I60" s="1415"/>
      <c r="J60" s="1415">
        <f>+J59/J56</f>
        <v>1</v>
      </c>
      <c r="K60" s="4357"/>
      <c r="L60" s="4360">
        <f>+L59/L56</f>
        <v>1</v>
      </c>
      <c r="M60" s="1377"/>
      <c r="N60" s="1377">
        <f>+N59/N56</f>
        <v>1</v>
      </c>
      <c r="O60" s="4357"/>
      <c r="P60" s="4360">
        <f>+P59/P56</f>
        <v>1</v>
      </c>
      <c r="Q60" s="579"/>
      <c r="R60" s="579">
        <f>+R59/R56</f>
        <v>1</v>
      </c>
      <c r="S60" s="4357"/>
      <c r="T60" s="4360">
        <f>+T59/T56</f>
        <v>1</v>
      </c>
      <c r="U60" s="579"/>
      <c r="V60" s="579">
        <f>+V59/V56</f>
        <v>1</v>
      </c>
      <c r="W60" s="4357"/>
      <c r="X60" s="4360">
        <f>+X59/X56</f>
        <v>1</v>
      </c>
      <c r="Y60" s="1377"/>
      <c r="Z60" s="1377">
        <f>+Z59/Z56</f>
        <v>1</v>
      </c>
      <c r="AA60" s="1479"/>
      <c r="AB60" s="1479">
        <f>+AB59/AB56</f>
        <v>1</v>
      </c>
      <c r="AC60" s="4357"/>
      <c r="AD60" s="4360">
        <f>+AD59/AD56</f>
        <v>1</v>
      </c>
      <c r="AE60" s="579"/>
      <c r="AF60" s="579">
        <f>+AF59/AF56</f>
        <v>1</v>
      </c>
      <c r="AG60" s="4357"/>
      <c r="AH60" s="4360">
        <f>+AH59/AH56</f>
        <v>1</v>
      </c>
      <c r="AI60" s="579"/>
      <c r="AJ60" s="579">
        <f>+AJ59/AJ56</f>
        <v>1</v>
      </c>
      <c r="AK60" s="4357"/>
      <c r="AL60" s="4360">
        <f>+AL59/AL56</f>
        <v>1</v>
      </c>
      <c r="AM60" s="1377"/>
      <c r="AN60" s="1377">
        <f>+AN59/AN56</f>
        <v>1</v>
      </c>
      <c r="AO60" s="579"/>
      <c r="AP60" s="579">
        <f>+AP59/AP56</f>
        <v>1</v>
      </c>
      <c r="AQ60" s="4357"/>
      <c r="AR60" s="4360">
        <f>+AR59/AR56</f>
        <v>1</v>
      </c>
      <c r="AS60" s="579"/>
      <c r="AT60" s="579">
        <f>+AT59/AT56</f>
        <v>1</v>
      </c>
      <c r="AU60" s="4357"/>
      <c r="AV60" s="4360">
        <f>+AV59/AV56</f>
        <v>1</v>
      </c>
      <c r="AW60" s="579"/>
      <c r="AX60" s="579">
        <f>+AX59/AX56</f>
        <v>1</v>
      </c>
      <c r="AY60" s="4357"/>
      <c r="AZ60" s="4360">
        <f>+AZ59/AZ56</f>
        <v>1</v>
      </c>
      <c r="BA60" s="1377"/>
      <c r="BB60" s="1377">
        <f>+BB59/BB56</f>
        <v>1</v>
      </c>
      <c r="BC60" s="1479"/>
      <c r="BD60" s="1479">
        <f>+BD59/BD56</f>
        <v>1</v>
      </c>
      <c r="BE60" s="1415"/>
      <c r="BF60" s="1415">
        <f>+BF59/BF56</f>
        <v>1</v>
      </c>
      <c r="BG60" s="3464"/>
      <c r="BH60" s="3464"/>
      <c r="BI60" s="23"/>
      <c r="BJ60" s="23"/>
      <c r="BK60" s="23"/>
      <c r="BL60" s="23"/>
      <c r="BM60" s="23"/>
      <c r="BN60" s="23"/>
    </row>
    <row r="61" spans="1:66" ht="15" thickBot="1" x14ac:dyDescent="0.35">
      <c r="A61" s="137"/>
      <c r="B61" s="4359" t="s">
        <v>1405</v>
      </c>
      <c r="C61" s="4355"/>
      <c r="D61" s="4356" t="s">
        <v>49</v>
      </c>
      <c r="E61" s="4357"/>
      <c r="F61" s="4360">
        <f>F62/F64</f>
        <v>0.42179151673754223</v>
      </c>
      <c r="G61" s="4357"/>
      <c r="H61" s="4360">
        <f>H62/H64</f>
        <v>0.29407075847691461</v>
      </c>
      <c r="I61" s="1544"/>
      <c r="J61" s="1415">
        <f>J62/J64</f>
        <v>0.38248447908214295</v>
      </c>
      <c r="K61" s="4357"/>
      <c r="L61" s="4360">
        <f>L62/L64</f>
        <v>0.47821287634186055</v>
      </c>
      <c r="M61" s="1545"/>
      <c r="N61" s="1545">
        <f>N62/N64</f>
        <v>0.42136052897007731</v>
      </c>
      <c r="O61" s="4357"/>
      <c r="P61" s="4360">
        <f>P62/P64</f>
        <v>0.4398272198096646</v>
      </c>
      <c r="Q61" s="1543"/>
      <c r="R61" s="1543">
        <f>R62/R64</f>
        <v>0.42739318754621874</v>
      </c>
      <c r="S61" s="4357"/>
      <c r="T61" s="4360">
        <f>T62/T64</f>
        <v>0.38700353281233274</v>
      </c>
      <c r="U61" s="1543"/>
      <c r="V61" s="1543">
        <f>V62/V64</f>
        <v>0.41851005968708427</v>
      </c>
      <c r="W61" s="4357"/>
      <c r="X61" s="4360">
        <f>X62/X64</f>
        <v>0.40465091499960043</v>
      </c>
      <c r="Y61" s="1545"/>
      <c r="Z61" s="1545">
        <f>Z62/Z64</f>
        <v>0.41195631022783996</v>
      </c>
      <c r="AA61" s="1546"/>
      <c r="AB61" s="1547">
        <f>AB62/AB64</f>
        <v>0.4160017741181235</v>
      </c>
      <c r="AC61" s="4357"/>
      <c r="AD61" s="4360">
        <f>AD62/AD64</f>
        <v>0.3967671123528238</v>
      </c>
      <c r="AE61" s="1543"/>
      <c r="AF61" s="1863">
        <f>AF62/AF64</f>
        <v>0.41392882029576483</v>
      </c>
      <c r="AG61" s="4357"/>
      <c r="AH61" s="4360">
        <f>AH62/AH64</f>
        <v>0.42534160766832735</v>
      </c>
      <c r="AI61" s="1543"/>
      <c r="AJ61" s="1863">
        <f>AJ62/AJ64</f>
        <v>0.41539701279961022</v>
      </c>
      <c r="AK61" s="4357"/>
      <c r="AL61" s="4360">
        <f>AL62/AL64</f>
        <v>0.41278069934950029</v>
      </c>
      <c r="AM61" s="1545"/>
      <c r="AN61" s="1545">
        <f>AN62/AN64</f>
        <v>0.41308127556506968</v>
      </c>
      <c r="AO61" s="1543"/>
      <c r="AP61" s="1863">
        <f>AP62/AP64</f>
        <v>0.41505499661158318</v>
      </c>
      <c r="AQ61" s="4357"/>
      <c r="AR61" s="4360">
        <f>AR62/AR64</f>
        <v>0.50575831690926787</v>
      </c>
      <c r="AS61" s="1543"/>
      <c r="AT61" s="1543">
        <f>AT62/AT64</f>
        <v>0.42599866491329097</v>
      </c>
      <c r="AU61" s="4357"/>
      <c r="AV61" s="4360">
        <f>AV62/AV64</f>
        <v>0.54064906490649067</v>
      </c>
      <c r="AW61" s="1543"/>
      <c r="AX61" s="1543">
        <f>AX62/AX64</f>
        <v>0.43681516135142356</v>
      </c>
      <c r="AY61" s="4357"/>
      <c r="AZ61" s="4360">
        <f>AZ62/AZ64</f>
        <v>0.48753415300546449</v>
      </c>
      <c r="BA61" s="1377"/>
      <c r="BB61" s="1377">
        <f>BB62/BB64</f>
        <v>0.5101243041895116</v>
      </c>
      <c r="BC61" s="1479"/>
      <c r="BD61" s="1479">
        <f>BD62/BD64</f>
        <v>0.46602668907501621</v>
      </c>
      <c r="BE61" s="1415"/>
      <c r="BF61" s="1415">
        <f>BF62/BF64</f>
        <v>0.4416911159423349</v>
      </c>
      <c r="BG61" s="3464"/>
      <c r="BH61" s="3464"/>
      <c r="BI61" s="23"/>
      <c r="BJ61" s="23"/>
      <c r="BK61" s="23"/>
      <c r="BL61" s="23"/>
      <c r="BM61" s="23"/>
      <c r="BN61" s="23"/>
    </row>
    <row r="62" spans="1:66" ht="15.6" hidden="1" x14ac:dyDescent="0.3">
      <c r="A62" s="137"/>
      <c r="B62" s="4359" t="s">
        <v>1816</v>
      </c>
      <c r="C62" s="4355"/>
      <c r="D62" s="4356" t="s">
        <v>2151</v>
      </c>
      <c r="E62" s="4357"/>
      <c r="F62" s="4361">
        <v>15473</v>
      </c>
      <c r="G62" s="4357"/>
      <c r="H62" s="4361">
        <v>4796</v>
      </c>
      <c r="I62" s="1544"/>
      <c r="J62" s="718">
        <f t="shared" ref="J62:J64" si="40">+F62+H62</f>
        <v>20269</v>
      </c>
      <c r="K62" s="4357"/>
      <c r="L62" s="4361">
        <v>17329</v>
      </c>
      <c r="M62" s="1545"/>
      <c r="N62" s="717">
        <f t="shared" ref="N62:N64" si="41">+F62+H62+L62</f>
        <v>37598</v>
      </c>
      <c r="O62" s="4357"/>
      <c r="P62" s="4361">
        <v>19041</v>
      </c>
      <c r="Q62" s="1543"/>
      <c r="R62" s="718">
        <f t="shared" ref="R62:R64" si="42">+N62+P62</f>
        <v>56639</v>
      </c>
      <c r="S62" s="4357"/>
      <c r="T62" s="4361">
        <v>14460</v>
      </c>
      <c r="U62" s="1543"/>
      <c r="V62" s="718">
        <f t="shared" ref="V62:V64" si="43">+R62+T62</f>
        <v>71099</v>
      </c>
      <c r="W62" s="4357"/>
      <c r="X62" s="4361">
        <v>15191</v>
      </c>
      <c r="Y62" s="1545"/>
      <c r="Z62" s="717">
        <f t="shared" ref="Z62:Z64" si="44">+P62+T62+X62</f>
        <v>48692</v>
      </c>
      <c r="AA62" s="1546"/>
      <c r="AB62" s="617">
        <f t="shared" ref="AB62:AB64" si="45">+N62+Z62</f>
        <v>86290</v>
      </c>
      <c r="AC62" s="4357"/>
      <c r="AD62" s="4361">
        <v>9941</v>
      </c>
      <c r="AE62" s="1543"/>
      <c r="AF62" s="718">
        <f t="shared" ref="AF62:AF64" si="46">+AB62+AD62</f>
        <v>96231</v>
      </c>
      <c r="AG62" s="4357"/>
      <c r="AH62" s="4361">
        <v>14599</v>
      </c>
      <c r="AI62" s="1543"/>
      <c r="AJ62" s="718">
        <f t="shared" ref="AJ62:AJ64" si="47">+AF62+AH62</f>
        <v>110830</v>
      </c>
      <c r="AK62" s="4357"/>
      <c r="AL62" s="4361">
        <v>16562</v>
      </c>
      <c r="AM62" s="1545"/>
      <c r="AN62" s="717">
        <f t="shared" ref="AN62:AN64" si="48">+AD62+AH62+AL62</f>
        <v>41102</v>
      </c>
      <c r="AO62" s="1543"/>
      <c r="AP62" s="718">
        <f t="shared" ref="AP62:AP64" si="49">AJ62+AL62</f>
        <v>127392</v>
      </c>
      <c r="AQ62" s="4357"/>
      <c r="AR62" s="4361">
        <v>21299</v>
      </c>
      <c r="AS62" s="1543"/>
      <c r="AT62" s="718">
        <f t="shared" ref="AT62:AT64" si="50">+AP62+AR62</f>
        <v>148691</v>
      </c>
      <c r="AU62" s="4357"/>
      <c r="AV62" s="4361">
        <v>19658</v>
      </c>
      <c r="AW62" s="1543"/>
      <c r="AX62" s="718">
        <f t="shared" ref="AX62:AX64" si="51">+AT62+AV62</f>
        <v>168349</v>
      </c>
      <c r="AY62" s="4357"/>
      <c r="AZ62" s="4148">
        <v>19985</v>
      </c>
      <c r="BA62" s="1545"/>
      <c r="BB62" s="717">
        <f t="shared" ref="BB62:BB64" si="52">+AR62+AV62+AZ62</f>
        <v>60942</v>
      </c>
      <c r="BC62" s="1546"/>
      <c r="BD62" s="617">
        <f t="shared" ref="BD62:BD64" si="53">+AN62+BB62</f>
        <v>102044</v>
      </c>
      <c r="BE62" s="1544"/>
      <c r="BF62" s="718">
        <f t="shared" ref="BF62:BF64" si="54">+AX62+AZ62</f>
        <v>188334</v>
      </c>
      <c r="BG62" s="3464"/>
      <c r="BH62" s="3464"/>
      <c r="BI62" s="23"/>
      <c r="BJ62" s="23"/>
      <c r="BK62" s="23"/>
      <c r="BL62" s="23"/>
      <c r="BM62" s="23"/>
      <c r="BN62" s="23"/>
    </row>
    <row r="63" spans="1:66" ht="15.6" hidden="1" x14ac:dyDescent="0.3">
      <c r="A63" s="137"/>
      <c r="B63" s="4359" t="s">
        <v>1817</v>
      </c>
      <c r="C63" s="4355"/>
      <c r="D63" s="4356" t="s">
        <v>2151</v>
      </c>
      <c r="E63" s="4357"/>
      <c r="F63" s="4361">
        <v>21211</v>
      </c>
      <c r="G63" s="4357"/>
      <c r="H63" s="4361">
        <v>11513</v>
      </c>
      <c r="I63" s="1544"/>
      <c r="J63" s="718">
        <f t="shared" si="40"/>
        <v>32724</v>
      </c>
      <c r="K63" s="4357"/>
      <c r="L63" s="4361">
        <v>18908</v>
      </c>
      <c r="M63" s="1545"/>
      <c r="N63" s="717">
        <f t="shared" si="41"/>
        <v>51632</v>
      </c>
      <c r="O63" s="4357"/>
      <c r="P63" s="4361">
        <v>24251</v>
      </c>
      <c r="Q63" s="1543"/>
      <c r="R63" s="718">
        <f t="shared" si="42"/>
        <v>75883</v>
      </c>
      <c r="S63" s="4357"/>
      <c r="T63" s="4361">
        <v>22904</v>
      </c>
      <c r="U63" s="1543"/>
      <c r="V63" s="718">
        <f t="shared" si="43"/>
        <v>98787</v>
      </c>
      <c r="W63" s="4357"/>
      <c r="X63" s="4361">
        <v>22350</v>
      </c>
      <c r="Y63" s="1545"/>
      <c r="Z63" s="717">
        <f t="shared" si="44"/>
        <v>69505</v>
      </c>
      <c r="AA63" s="1546"/>
      <c r="AB63" s="617">
        <f t="shared" si="45"/>
        <v>121137</v>
      </c>
      <c r="AC63" s="4357"/>
      <c r="AD63" s="4361">
        <v>15114</v>
      </c>
      <c r="AE63" s="1543"/>
      <c r="AF63" s="718">
        <f t="shared" si="46"/>
        <v>136251</v>
      </c>
      <c r="AG63" s="4357"/>
      <c r="AH63" s="4361">
        <v>19724</v>
      </c>
      <c r="AI63" s="1543"/>
      <c r="AJ63" s="718">
        <f t="shared" si="47"/>
        <v>155975</v>
      </c>
      <c r="AK63" s="4357"/>
      <c r="AL63" s="4361">
        <v>23561</v>
      </c>
      <c r="AM63" s="1545"/>
      <c r="AN63" s="717">
        <f t="shared" si="48"/>
        <v>58399</v>
      </c>
      <c r="AO63" s="1543"/>
      <c r="AP63" s="718">
        <f t="shared" si="49"/>
        <v>179536</v>
      </c>
      <c r="AQ63" s="4357"/>
      <c r="AR63" s="4361">
        <v>20814</v>
      </c>
      <c r="AS63" s="1543"/>
      <c r="AT63" s="718">
        <f t="shared" si="50"/>
        <v>200350</v>
      </c>
      <c r="AU63" s="4357"/>
      <c r="AV63" s="4361">
        <v>16702</v>
      </c>
      <c r="AW63" s="1543"/>
      <c r="AX63" s="718">
        <f t="shared" si="51"/>
        <v>217052</v>
      </c>
      <c r="AY63" s="4357"/>
      <c r="AZ63" s="4148">
        <v>21007</v>
      </c>
      <c r="BA63" s="1545"/>
      <c r="BB63" s="717">
        <f t="shared" si="52"/>
        <v>58523</v>
      </c>
      <c r="BC63" s="1546"/>
      <c r="BD63" s="617">
        <f t="shared" si="53"/>
        <v>116922</v>
      </c>
      <c r="BE63" s="1544"/>
      <c r="BF63" s="718">
        <f t="shared" si="54"/>
        <v>238059</v>
      </c>
      <c r="BG63" s="3464"/>
      <c r="BH63" s="3464"/>
      <c r="BI63" s="23"/>
      <c r="BJ63" s="23"/>
      <c r="BK63" s="23"/>
      <c r="BL63" s="23"/>
      <c r="BM63" s="23"/>
      <c r="BN63" s="23"/>
    </row>
    <row r="64" spans="1:66" ht="16.2" hidden="1" thickBot="1" x14ac:dyDescent="0.35">
      <c r="A64" s="137"/>
      <c r="B64" s="4362" t="s">
        <v>1818</v>
      </c>
      <c r="C64" s="4363"/>
      <c r="D64" s="4364" t="s">
        <v>2151</v>
      </c>
      <c r="E64" s="4365"/>
      <c r="F64" s="4366">
        <f>F62+F63</f>
        <v>36684</v>
      </c>
      <c r="G64" s="4365"/>
      <c r="H64" s="4366">
        <f>H62+H63</f>
        <v>16309</v>
      </c>
      <c r="I64" s="1544"/>
      <c r="J64" s="718">
        <f t="shared" si="40"/>
        <v>52993</v>
      </c>
      <c r="K64" s="4365"/>
      <c r="L64" s="4366">
        <f>L62+L63</f>
        <v>36237</v>
      </c>
      <c r="M64" s="1545"/>
      <c r="N64" s="717">
        <f t="shared" si="41"/>
        <v>89230</v>
      </c>
      <c r="O64" s="4365"/>
      <c r="P64" s="4366">
        <f>P62+P63</f>
        <v>43292</v>
      </c>
      <c r="Q64" s="1543"/>
      <c r="R64" s="718">
        <f t="shared" si="42"/>
        <v>132522</v>
      </c>
      <c r="S64" s="4365"/>
      <c r="T64" s="4366">
        <f>T62+T63</f>
        <v>37364</v>
      </c>
      <c r="U64" s="1543"/>
      <c r="V64" s="718">
        <f t="shared" si="43"/>
        <v>169886</v>
      </c>
      <c r="W64" s="4365"/>
      <c r="X64" s="4366">
        <f>X62+X63</f>
        <v>37541</v>
      </c>
      <c r="Y64" s="1545"/>
      <c r="Z64" s="717">
        <f t="shared" si="44"/>
        <v>118197</v>
      </c>
      <c r="AA64" s="1546"/>
      <c r="AB64" s="617">
        <f t="shared" si="45"/>
        <v>207427</v>
      </c>
      <c r="AC64" s="4365"/>
      <c r="AD64" s="4366">
        <f>AD62+AD63</f>
        <v>25055</v>
      </c>
      <c r="AE64" s="1543"/>
      <c r="AF64" s="718">
        <f t="shared" si="46"/>
        <v>232482</v>
      </c>
      <c r="AG64" s="4365"/>
      <c r="AH64" s="4366">
        <f>AH62+AH63</f>
        <v>34323</v>
      </c>
      <c r="AI64" s="1543"/>
      <c r="AJ64" s="718">
        <f t="shared" si="47"/>
        <v>266805</v>
      </c>
      <c r="AK64" s="4365"/>
      <c r="AL64" s="4366">
        <f>AL62+AL63</f>
        <v>40123</v>
      </c>
      <c r="AM64" s="1545"/>
      <c r="AN64" s="717">
        <f t="shared" si="48"/>
        <v>99501</v>
      </c>
      <c r="AO64" s="1543"/>
      <c r="AP64" s="718">
        <f t="shared" si="49"/>
        <v>306928</v>
      </c>
      <c r="AQ64" s="4365"/>
      <c r="AR64" s="4366">
        <f>AR62+AR63</f>
        <v>42113</v>
      </c>
      <c r="AS64" s="1543"/>
      <c r="AT64" s="718">
        <f t="shared" si="50"/>
        <v>349041</v>
      </c>
      <c r="AU64" s="4365"/>
      <c r="AV64" s="4366">
        <f>AV62+AV63</f>
        <v>36360</v>
      </c>
      <c r="AW64" s="1543"/>
      <c r="AX64" s="718">
        <f t="shared" si="51"/>
        <v>385401</v>
      </c>
      <c r="AY64" s="4365"/>
      <c r="AZ64" s="5018">
        <f>AZ62+AZ63</f>
        <v>40992</v>
      </c>
      <c r="BA64" s="1545"/>
      <c r="BB64" s="717">
        <f t="shared" si="52"/>
        <v>119465</v>
      </c>
      <c r="BC64" s="1546"/>
      <c r="BD64" s="617">
        <f t="shared" si="53"/>
        <v>218966</v>
      </c>
      <c r="BE64" s="1544"/>
      <c r="BF64" s="718">
        <f t="shared" si="54"/>
        <v>426393</v>
      </c>
      <c r="BG64" s="3464"/>
      <c r="BH64" s="3464"/>
      <c r="BI64" s="23"/>
      <c r="BJ64" s="23"/>
      <c r="BK64" s="23"/>
      <c r="BL64" s="23"/>
      <c r="BM64" s="23"/>
      <c r="BN64" s="23"/>
    </row>
    <row r="65" spans="1:66" ht="17.399999999999999" x14ac:dyDescent="0.3">
      <c r="A65" s="137"/>
      <c r="B65" s="1542" t="s">
        <v>53</v>
      </c>
      <c r="C65" s="1549"/>
      <c r="D65" s="1549"/>
      <c r="E65" s="4354"/>
      <c r="F65" s="4354"/>
      <c r="G65" s="4354"/>
      <c r="H65" s="4354"/>
      <c r="I65" s="548"/>
      <c r="J65" s="548"/>
      <c r="K65" s="4354"/>
      <c r="L65" s="4354"/>
      <c r="M65" s="548"/>
      <c r="N65" s="548"/>
      <c r="O65" s="4354"/>
      <c r="P65" s="4354"/>
      <c r="Q65" s="548"/>
      <c r="R65" s="548"/>
      <c r="S65" s="4354"/>
      <c r="T65" s="4354"/>
      <c r="U65" s="548"/>
      <c r="V65" s="548"/>
      <c r="W65" s="4354"/>
      <c r="X65" s="4354"/>
      <c r="Y65" s="548"/>
      <c r="Z65" s="548"/>
      <c r="AA65" s="548"/>
      <c r="AB65" s="549"/>
      <c r="AC65" s="4354"/>
      <c r="AD65" s="4354"/>
      <c r="AE65" s="548"/>
      <c r="AF65" s="548"/>
      <c r="AG65" s="4354"/>
      <c r="AH65" s="4354"/>
      <c r="AI65" s="548"/>
      <c r="AJ65" s="548"/>
      <c r="AK65" s="4354"/>
      <c r="AL65" s="4354"/>
      <c r="AM65" s="548"/>
      <c r="AN65" s="548"/>
      <c r="AO65" s="548"/>
      <c r="AP65" s="548"/>
      <c r="AQ65" s="4354"/>
      <c r="AR65" s="4354"/>
      <c r="AS65" s="548"/>
      <c r="AT65" s="548"/>
      <c r="AU65" s="4354"/>
      <c r="AV65" s="4354"/>
      <c r="AW65" s="548"/>
      <c r="AX65" s="548"/>
      <c r="AY65" s="4354"/>
      <c r="AZ65" s="5019"/>
      <c r="BA65" s="548"/>
      <c r="BB65" s="548"/>
      <c r="BC65" s="548"/>
      <c r="BD65" s="549"/>
      <c r="BE65" s="548"/>
      <c r="BF65" s="548"/>
      <c r="BG65" s="3464"/>
      <c r="BH65" s="3464"/>
      <c r="BI65" s="23"/>
      <c r="BJ65" s="23"/>
      <c r="BK65" s="23"/>
      <c r="BL65" s="23"/>
      <c r="BM65" s="23"/>
      <c r="BN65" s="23"/>
    </row>
    <row r="66" spans="1:66" x14ac:dyDescent="0.3">
      <c r="B66" s="9" t="s">
        <v>93</v>
      </c>
      <c r="C66" s="712"/>
      <c r="D66" s="146" t="s">
        <v>219</v>
      </c>
      <c r="E66" s="146">
        <f>+E2*24</f>
        <v>720</v>
      </c>
      <c r="F66" s="146">
        <f>+F2*24</f>
        <v>720</v>
      </c>
      <c r="G66" s="146">
        <f>+G2*24</f>
        <v>744</v>
      </c>
      <c r="H66" s="146">
        <f>+H2*24</f>
        <v>744</v>
      </c>
      <c r="I66" s="547">
        <f>+E66+G66</f>
        <v>1464</v>
      </c>
      <c r="J66" s="547">
        <f>+F66+H66</f>
        <v>1464</v>
      </c>
      <c r="K66" s="146">
        <f>+K2*24</f>
        <v>720</v>
      </c>
      <c r="L66" s="146">
        <f>+L2*24</f>
        <v>720</v>
      </c>
      <c r="M66" s="873">
        <f>+E66+G66+K66</f>
        <v>2184</v>
      </c>
      <c r="N66" s="873">
        <f>+F66+H66+L66</f>
        <v>2184</v>
      </c>
      <c r="O66" s="146">
        <f>+O2*24</f>
        <v>744</v>
      </c>
      <c r="P66" s="146">
        <f>+P2*24</f>
        <v>744</v>
      </c>
      <c r="Q66" s="547">
        <f>+M66+O66</f>
        <v>2928</v>
      </c>
      <c r="R66" s="547">
        <f>+N66+P66</f>
        <v>2928</v>
      </c>
      <c r="S66" s="146">
        <f>+S2*24</f>
        <v>744</v>
      </c>
      <c r="T66" s="146">
        <f>+T2*24</f>
        <v>744</v>
      </c>
      <c r="U66" s="547">
        <f>+Q66+S66</f>
        <v>3672</v>
      </c>
      <c r="V66" s="547">
        <f>+R66+T66</f>
        <v>3672</v>
      </c>
      <c r="W66" s="146">
        <f>+W2*24</f>
        <v>720</v>
      </c>
      <c r="X66" s="146">
        <f>+X2*24</f>
        <v>720</v>
      </c>
      <c r="Y66" s="717">
        <f>+O66+S66+W66</f>
        <v>2208</v>
      </c>
      <c r="Z66" s="717">
        <f>+P66+T66+X66</f>
        <v>2208</v>
      </c>
      <c r="AA66" s="429">
        <f>+M66+Y66</f>
        <v>4392</v>
      </c>
      <c r="AB66" s="418">
        <f>+N66+Z66</f>
        <v>4392</v>
      </c>
      <c r="AC66" s="146">
        <f>+AC2*24</f>
        <v>744</v>
      </c>
      <c r="AD66" s="146">
        <f>+AD2*24</f>
        <v>744</v>
      </c>
      <c r="AE66" s="547">
        <f>+AA66+AC66</f>
        <v>5136</v>
      </c>
      <c r="AF66" s="547">
        <f>+AB66+AD66</f>
        <v>5136</v>
      </c>
      <c r="AG66" s="146">
        <f>+AG2*24</f>
        <v>720</v>
      </c>
      <c r="AH66" s="146">
        <f>+AH2*24</f>
        <v>720</v>
      </c>
      <c r="AI66" s="547">
        <f>+AE66+AG66</f>
        <v>5856</v>
      </c>
      <c r="AJ66" s="547">
        <f>+AF66+AH66</f>
        <v>5856</v>
      </c>
      <c r="AK66" s="146">
        <f>+AK2*24</f>
        <v>744</v>
      </c>
      <c r="AL66" s="146">
        <f>+AL2*24</f>
        <v>744</v>
      </c>
      <c r="AM66" s="717">
        <f>+AC66+AG66+AK66</f>
        <v>2208</v>
      </c>
      <c r="AN66" s="717">
        <f>+AD66+AH66+AL66</f>
        <v>2208</v>
      </c>
      <c r="AO66" s="718">
        <f t="shared" ref="AO66" si="55">AI66+AK66</f>
        <v>6600</v>
      </c>
      <c r="AP66" s="718">
        <f t="shared" ref="AP66" si="56">AJ66+AL66</f>
        <v>6600</v>
      </c>
      <c r="AQ66" s="146">
        <f>+AQ2*24</f>
        <v>744</v>
      </c>
      <c r="AR66" s="146">
        <f>+AR2*24</f>
        <v>744</v>
      </c>
      <c r="AS66" s="547">
        <f>+AO66+AQ66</f>
        <v>7344</v>
      </c>
      <c r="AT66" s="547">
        <f>+AP66+AR66</f>
        <v>7344</v>
      </c>
      <c r="AU66" s="146">
        <f>+AU2*24</f>
        <v>672</v>
      </c>
      <c r="AV66" s="146">
        <f>+AV2*24</f>
        <v>672</v>
      </c>
      <c r="AW66" s="547">
        <f>+AS66+AU66</f>
        <v>8016</v>
      </c>
      <c r="AX66" s="547">
        <f>+AT66+AV66</f>
        <v>8016</v>
      </c>
      <c r="AY66" s="146">
        <f>+AY2*24</f>
        <v>744</v>
      </c>
      <c r="AZ66" s="60">
        <f>+AZ2*24</f>
        <v>744</v>
      </c>
      <c r="BA66" s="717">
        <f>+AQ66+AU66+AY66</f>
        <v>2160</v>
      </c>
      <c r="BB66" s="717">
        <f>+AR66+AV66+AZ66</f>
        <v>2160</v>
      </c>
      <c r="BC66" s="429">
        <f t="shared" ref="BC66" si="57">+AM66+BA66</f>
        <v>4368</v>
      </c>
      <c r="BD66" s="418">
        <f t="shared" ref="BD66" si="58">+AN66+BB66</f>
        <v>4368</v>
      </c>
      <c r="BE66" s="547">
        <f>+AW66+AY66</f>
        <v>8760</v>
      </c>
      <c r="BF66" s="547">
        <f>+AX66+AZ66</f>
        <v>8760</v>
      </c>
      <c r="BG66" s="3464"/>
      <c r="BH66" s="3464"/>
      <c r="BI66" s="23"/>
      <c r="BJ66" s="23"/>
      <c r="BK66" s="23"/>
      <c r="BL66" s="23"/>
      <c r="BM66" s="23"/>
      <c r="BN66" s="23"/>
    </row>
    <row r="67" spans="1:66" x14ac:dyDescent="0.3">
      <c r="B67" s="9" t="s">
        <v>300</v>
      </c>
      <c r="C67" s="712"/>
      <c r="D67" s="146" t="s">
        <v>49</v>
      </c>
      <c r="E67" s="96">
        <f t="shared" ref="E67:AD67" si="59">+E68/E66*100</f>
        <v>76.666666666666671</v>
      </c>
      <c r="F67" s="96">
        <f t="shared" si="59"/>
        <v>89.747685185185176</v>
      </c>
      <c r="G67" s="96">
        <f t="shared" ref="G67:H67" si="60">+G68/G66*100</f>
        <v>74.193548387096769</v>
      </c>
      <c r="H67" s="96">
        <f t="shared" si="60"/>
        <v>38.669354838709666</v>
      </c>
      <c r="I67" s="240">
        <f t="shared" si="59"/>
        <v>75.409836065573771</v>
      </c>
      <c r="J67" s="240">
        <f t="shared" si="59"/>
        <v>63.789845173041883</v>
      </c>
      <c r="K67" s="96">
        <f t="shared" si="59"/>
        <v>90</v>
      </c>
      <c r="L67" s="96">
        <f t="shared" si="59"/>
        <v>87.942129629629633</v>
      </c>
      <c r="M67" s="322">
        <f t="shared" si="59"/>
        <v>80.219780219780219</v>
      </c>
      <c r="N67" s="322">
        <f t="shared" si="59"/>
        <v>71.752136752136749</v>
      </c>
      <c r="O67" s="96">
        <f t="shared" ref="O67:P67" si="61">+O68/O66*100</f>
        <v>90.322580645161281</v>
      </c>
      <c r="P67" s="96">
        <f t="shared" si="61"/>
        <v>91.711469534050181</v>
      </c>
      <c r="Q67" s="240">
        <f t="shared" si="59"/>
        <v>82.786885245901644</v>
      </c>
      <c r="R67" s="240">
        <f t="shared" si="59"/>
        <v>76.823770491803273</v>
      </c>
      <c r="S67" s="96">
        <f t="shared" si="59"/>
        <v>90.322580645161281</v>
      </c>
      <c r="T67" s="96">
        <f t="shared" si="59"/>
        <v>87.069892473118259</v>
      </c>
      <c r="U67" s="240">
        <f t="shared" ref="U67:X67" si="62">+U68/U66*100</f>
        <v>84.313725490196077</v>
      </c>
      <c r="V67" s="240">
        <f t="shared" si="62"/>
        <v>78.899782135076251</v>
      </c>
      <c r="W67" s="96">
        <f t="shared" si="62"/>
        <v>60</v>
      </c>
      <c r="X67" s="96">
        <f t="shared" si="62"/>
        <v>89.976851851819518</v>
      </c>
      <c r="Y67" s="322">
        <f t="shared" si="59"/>
        <v>80.434782608695656</v>
      </c>
      <c r="Z67" s="322">
        <f t="shared" si="59"/>
        <v>89.581823671487044</v>
      </c>
      <c r="AA67" s="430">
        <f t="shared" si="59"/>
        <v>80.327868852459019</v>
      </c>
      <c r="AB67" s="438">
        <f t="shared" si="59"/>
        <v>80.715695203394816</v>
      </c>
      <c r="AC67" s="96">
        <f t="shared" si="59"/>
        <v>90.322580645161281</v>
      </c>
      <c r="AD67" s="96">
        <f t="shared" si="59"/>
        <v>60.775089605734763</v>
      </c>
      <c r="AE67" s="240">
        <f t="shared" ref="AE67:AH67" si="63">+AE68/AE66*100</f>
        <v>81.775700934579447</v>
      </c>
      <c r="AF67" s="240">
        <f t="shared" si="63"/>
        <v>77.82710280373378</v>
      </c>
      <c r="AG67" s="96">
        <f t="shared" si="63"/>
        <v>90</v>
      </c>
      <c r="AH67" s="96">
        <f t="shared" si="63"/>
        <v>87.879629629629648</v>
      </c>
      <c r="AI67" s="240">
        <f t="shared" ref="AI67:AL67" si="64">+AI68/AI66*100</f>
        <v>82.786885245901644</v>
      </c>
      <c r="AJ67" s="240">
        <f t="shared" si="64"/>
        <v>79.063069216753775</v>
      </c>
      <c r="AK67" s="96">
        <f t="shared" si="64"/>
        <v>90.322580645161281</v>
      </c>
      <c r="AL67" s="96">
        <f t="shared" si="64"/>
        <v>90.687724014336922</v>
      </c>
      <c r="AM67" s="322">
        <f t="shared" ref="AM67:AT67" si="65">+AM68/AM66*100</f>
        <v>90.217391304347828</v>
      </c>
      <c r="AN67" s="322">
        <f t="shared" si="65"/>
        <v>79.692783816425134</v>
      </c>
      <c r="AO67" s="240">
        <f t="shared" si="65"/>
        <v>83.636363636363626</v>
      </c>
      <c r="AP67" s="240">
        <f t="shared" si="65"/>
        <v>80.373484848481311</v>
      </c>
      <c r="AQ67" s="96">
        <f t="shared" si="65"/>
        <v>90.322580645161281</v>
      </c>
      <c r="AR67" s="96">
        <f t="shared" si="65"/>
        <v>90.051523297491016</v>
      </c>
      <c r="AS67" s="240">
        <f t="shared" si="65"/>
        <v>84.313725490196077</v>
      </c>
      <c r="AT67" s="240">
        <f t="shared" si="65"/>
        <v>81.353939724034603</v>
      </c>
      <c r="AU67" s="96">
        <f t="shared" ref="AU67:AV67" si="66">+AU68/AU66*100</f>
        <v>89.999999999999986</v>
      </c>
      <c r="AV67" s="96">
        <f t="shared" si="66"/>
        <v>90.342261904761912</v>
      </c>
      <c r="AW67" s="240">
        <f t="shared" ref="AW67:AZ67" si="67">+AW68/AW66*100</f>
        <v>84.790419161676638</v>
      </c>
      <c r="AX67" s="240">
        <f t="shared" si="67"/>
        <v>82.10745176313749</v>
      </c>
      <c r="AY67" s="96">
        <f t="shared" si="67"/>
        <v>90.322580645161281</v>
      </c>
      <c r="AZ67" s="1185">
        <f t="shared" si="67"/>
        <v>89.975358422939067</v>
      </c>
      <c r="BA67" s="322">
        <f t="shared" ref="BA67:BD67" si="68">+BA68/BA66*100</f>
        <v>90.222222222222214</v>
      </c>
      <c r="BB67" s="322">
        <f t="shared" si="68"/>
        <v>90.115740740740748</v>
      </c>
      <c r="BC67" s="430">
        <f t="shared" si="68"/>
        <v>90.219780219780219</v>
      </c>
      <c r="BD67" s="438">
        <f t="shared" si="68"/>
        <v>84.846993284493294</v>
      </c>
      <c r="BE67" s="240">
        <f t="shared" ref="BE67:BF67" si="69">+BE68/BE66*100</f>
        <v>85.260273972602747</v>
      </c>
      <c r="BF67" s="240">
        <f t="shared" si="69"/>
        <v>82.775684931504202</v>
      </c>
      <c r="BG67" s="3464"/>
      <c r="BH67" s="3464"/>
      <c r="BI67" s="23"/>
      <c r="BJ67" s="23"/>
      <c r="BK67" s="23"/>
      <c r="BL67" s="23"/>
      <c r="BM67" s="23"/>
      <c r="BN67" s="23"/>
    </row>
    <row r="68" spans="1:66" x14ac:dyDescent="0.3">
      <c r="B68" s="9" t="s">
        <v>299</v>
      </c>
      <c r="C68" s="712"/>
      <c r="D68" s="146" t="s">
        <v>219</v>
      </c>
      <c r="E68" s="192">
        <v>552</v>
      </c>
      <c r="F68" s="1031">
        <v>646.18333333333328</v>
      </c>
      <c r="G68" s="192">
        <v>552</v>
      </c>
      <c r="H68" s="1031">
        <v>287.69999999999993</v>
      </c>
      <c r="I68" s="547">
        <f>+E68+G68</f>
        <v>1104</v>
      </c>
      <c r="J68" s="718">
        <f>+F68+H68</f>
        <v>933.88333333333321</v>
      </c>
      <c r="K68" s="192">
        <v>648</v>
      </c>
      <c r="L68" s="1031">
        <v>633.18333333333339</v>
      </c>
      <c r="M68" s="873">
        <f>+E68+G68+K68</f>
        <v>1752</v>
      </c>
      <c r="N68" s="717">
        <f>+F68+H68+L68</f>
        <v>1567.0666666666666</v>
      </c>
      <c r="O68" s="192">
        <v>672</v>
      </c>
      <c r="P68" s="1031">
        <v>682.33333333333337</v>
      </c>
      <c r="Q68" s="547">
        <f>+M68+O68</f>
        <v>2424</v>
      </c>
      <c r="R68" s="718">
        <f>+N68+P68</f>
        <v>2249.4</v>
      </c>
      <c r="S68" s="192">
        <v>672</v>
      </c>
      <c r="T68" s="1031">
        <v>647.79999999999984</v>
      </c>
      <c r="U68" s="547">
        <f>+Q68+S68</f>
        <v>3096</v>
      </c>
      <c r="V68" s="718">
        <f>+R68+T68</f>
        <v>2897.2</v>
      </c>
      <c r="W68" s="192">
        <v>432</v>
      </c>
      <c r="X68" s="1031">
        <v>647.83333333310054</v>
      </c>
      <c r="Y68" s="717">
        <f>+O68+S68+W68</f>
        <v>1776</v>
      </c>
      <c r="Z68" s="717">
        <f>+P68+T68+X68</f>
        <v>1977.9666666664339</v>
      </c>
      <c r="AA68" s="429">
        <f>+M68+Y68</f>
        <v>3528</v>
      </c>
      <c r="AB68" s="418">
        <f>+N68+Z68</f>
        <v>3545.0333333331005</v>
      </c>
      <c r="AC68" s="192">
        <v>672</v>
      </c>
      <c r="AD68" s="1031">
        <v>452.16666666666669</v>
      </c>
      <c r="AE68" s="547">
        <f>+AA68+AC68</f>
        <v>4200</v>
      </c>
      <c r="AF68" s="718">
        <f>+AB68+AD68</f>
        <v>3997.199999999767</v>
      </c>
      <c r="AG68" s="192">
        <v>648</v>
      </c>
      <c r="AH68" s="1031">
        <v>632.73333333333346</v>
      </c>
      <c r="AI68" s="547">
        <f>+AE68+AG68</f>
        <v>4848</v>
      </c>
      <c r="AJ68" s="718">
        <f>+AF68+AH68</f>
        <v>4629.9333333331006</v>
      </c>
      <c r="AK68" s="192">
        <v>672</v>
      </c>
      <c r="AL68" s="1031">
        <v>674.7166666666667</v>
      </c>
      <c r="AM68" s="717">
        <f>+AC68+AG68+AK68</f>
        <v>1992</v>
      </c>
      <c r="AN68" s="717">
        <f>+AD68+AH68+AL68</f>
        <v>1759.6166666666668</v>
      </c>
      <c r="AO68" s="718">
        <f t="shared" ref="AO68" si="70">AI68+AK68</f>
        <v>5520</v>
      </c>
      <c r="AP68" s="718">
        <f t="shared" ref="AP68" si="71">AJ68+AL68</f>
        <v>5304.6499999997668</v>
      </c>
      <c r="AQ68" s="192">
        <v>672</v>
      </c>
      <c r="AR68" s="1031">
        <v>669.98333333333323</v>
      </c>
      <c r="AS68" s="547">
        <f>+AO68+AQ68</f>
        <v>6192</v>
      </c>
      <c r="AT68" s="718">
        <f>+AP68+AR68</f>
        <v>5974.6333333331004</v>
      </c>
      <c r="AU68" s="192">
        <v>604.79999999999995</v>
      </c>
      <c r="AV68" s="1031">
        <v>607.1</v>
      </c>
      <c r="AW68" s="547">
        <f>+AS68+AU68</f>
        <v>6796.8</v>
      </c>
      <c r="AX68" s="718">
        <f>+AT68+AV68</f>
        <v>6581.7333333331007</v>
      </c>
      <c r="AY68" s="192">
        <v>672</v>
      </c>
      <c r="AZ68" s="139">
        <v>669.41666666666663</v>
      </c>
      <c r="BA68" s="717">
        <f>+AQ68+AU68+AY68</f>
        <v>1948.8</v>
      </c>
      <c r="BB68" s="717">
        <f>+AR68+AV68+AZ68</f>
        <v>1946.5</v>
      </c>
      <c r="BC68" s="429">
        <f t="shared" ref="BC68" si="72">+AM68+BA68</f>
        <v>3940.8</v>
      </c>
      <c r="BD68" s="418">
        <f t="shared" ref="BD68" si="73">+AN68+BB68</f>
        <v>3706.1166666666668</v>
      </c>
      <c r="BE68" s="547">
        <f>+AW68+AY68</f>
        <v>7468.8</v>
      </c>
      <c r="BF68" s="718">
        <f>+AX68+AZ68</f>
        <v>7251.1499999997677</v>
      </c>
      <c r="BG68" s="3464"/>
      <c r="BH68" s="3464"/>
      <c r="BI68" s="23"/>
      <c r="BJ68" s="23"/>
      <c r="BK68" s="23"/>
      <c r="BL68" s="23"/>
      <c r="BM68" s="23"/>
      <c r="BN68" s="23"/>
    </row>
    <row r="69" spans="1:66" x14ac:dyDescent="0.3">
      <c r="B69" s="9" t="s">
        <v>301</v>
      </c>
      <c r="C69" s="712"/>
      <c r="D69" s="146" t="s">
        <v>49</v>
      </c>
      <c r="E69" s="178">
        <f t="shared" ref="E69:AD69" si="74">+E70/E68*100</f>
        <v>90</v>
      </c>
      <c r="F69" s="178">
        <f t="shared" si="74"/>
        <v>87.996182713884096</v>
      </c>
      <c r="G69" s="178">
        <f t="shared" ref="G69:H69" si="75">+G70/G68*100</f>
        <v>90</v>
      </c>
      <c r="H69" s="178">
        <f t="shared" si="75"/>
        <v>88.697717529834335</v>
      </c>
      <c r="I69" s="240">
        <f t="shared" si="74"/>
        <v>90</v>
      </c>
      <c r="J69" s="240">
        <f t="shared" si="74"/>
        <v>88.212303464030128</v>
      </c>
      <c r="K69" s="178">
        <f t="shared" si="74"/>
        <v>85.416666666666657</v>
      </c>
      <c r="L69" s="178">
        <f t="shared" si="74"/>
        <v>89.794951435866395</v>
      </c>
      <c r="M69" s="322">
        <f t="shared" si="74"/>
        <v>88.304794520547929</v>
      </c>
      <c r="N69" s="322">
        <f t="shared" si="74"/>
        <v>88.851782523611007</v>
      </c>
      <c r="O69" s="178">
        <f t="shared" ref="O69:P69" si="76">+O70/O68*100</f>
        <v>85.416666666666657</v>
      </c>
      <c r="P69" s="178">
        <f t="shared" si="76"/>
        <v>91.998045920859767</v>
      </c>
      <c r="Q69" s="240">
        <f t="shared" si="74"/>
        <v>87.504125412541242</v>
      </c>
      <c r="R69" s="240">
        <f t="shared" si="74"/>
        <v>89.806170534364711</v>
      </c>
      <c r="S69" s="178">
        <f t="shared" si="74"/>
        <v>85.416666666666657</v>
      </c>
      <c r="T69" s="178">
        <f t="shared" si="74"/>
        <v>88.592158073479467</v>
      </c>
      <c r="U69" s="240">
        <f t="shared" ref="U69:X69" si="77">+U70/U68*100</f>
        <v>87.051033591731269</v>
      </c>
      <c r="V69" s="240">
        <f t="shared" si="77"/>
        <v>89.534723181002349</v>
      </c>
      <c r="W69" s="178">
        <f t="shared" si="77"/>
        <v>85.416666666666657</v>
      </c>
      <c r="X69" s="178">
        <f t="shared" si="77"/>
        <v>88.752251093336241</v>
      </c>
      <c r="Y69" s="322">
        <f t="shared" si="74"/>
        <v>85.416666666666657</v>
      </c>
      <c r="Z69" s="322">
        <f t="shared" si="74"/>
        <v>89.819511619659863</v>
      </c>
      <c r="AA69" s="430">
        <f t="shared" si="74"/>
        <v>86.850907029478449</v>
      </c>
      <c r="AB69" s="438">
        <f t="shared" si="74"/>
        <v>89.391731154375549</v>
      </c>
      <c r="AC69" s="178">
        <f t="shared" si="74"/>
        <v>85.416666666666657</v>
      </c>
      <c r="AD69" s="178">
        <f t="shared" si="74"/>
        <v>87.445632141540742</v>
      </c>
      <c r="AE69" s="240">
        <f>+AE70/AE68*100</f>
        <v>86.621428571428567</v>
      </c>
      <c r="AF69" s="240">
        <f t="shared" ref="AF69:AH69" si="78">+AF70/AF68*100</f>
        <v>89.171586777402453</v>
      </c>
      <c r="AG69" s="178">
        <f t="shared" si="78"/>
        <v>85.416666666666657</v>
      </c>
      <c r="AH69" s="178">
        <f t="shared" si="78"/>
        <v>86.010299230850265</v>
      </c>
      <c r="AI69" s="240">
        <f t="shared" ref="AI69:AL69" si="79">+AI70/AI68*100</f>
        <v>86.460396039603964</v>
      </c>
      <c r="AJ69" s="240">
        <f t="shared" si="79"/>
        <v>88.739560684811806</v>
      </c>
      <c r="AK69" s="178">
        <f t="shared" si="79"/>
        <v>85.416666666666657</v>
      </c>
      <c r="AL69" s="178">
        <f t="shared" si="79"/>
        <v>89.435071511498649</v>
      </c>
      <c r="AM69" s="322">
        <f t="shared" ref="AM69:AT69" si="80">+AM70/AM68*100</f>
        <v>85.416666666666657</v>
      </c>
      <c r="AN69" s="322">
        <f t="shared" si="80"/>
        <v>87.692347765138237</v>
      </c>
      <c r="AO69" s="240">
        <f t="shared" si="80"/>
        <v>86.333333333333343</v>
      </c>
      <c r="AP69" s="240">
        <f t="shared" si="80"/>
        <v>88.828025097471027</v>
      </c>
      <c r="AQ69" s="178">
        <f t="shared" si="80"/>
        <v>85.416666666666657</v>
      </c>
      <c r="AR69" s="178">
        <f t="shared" si="80"/>
        <v>91.673922236871562</v>
      </c>
      <c r="AS69" s="240">
        <f t="shared" si="80"/>
        <v>86.23385012919897</v>
      </c>
      <c r="AT69" s="240">
        <f t="shared" si="80"/>
        <v>89.14715826354194</v>
      </c>
      <c r="AU69" s="178">
        <f t="shared" ref="AU69:AV69" si="81">+AU70/AU68*100</f>
        <v>85.416666666666671</v>
      </c>
      <c r="AV69" s="178">
        <f t="shared" si="81"/>
        <v>89.441607642892436</v>
      </c>
      <c r="AW69" s="240">
        <f t="shared" ref="AW69:AZ69" si="82">+AW70/AW68*100</f>
        <v>86.161134651600761</v>
      </c>
      <c r="AX69" s="240">
        <f t="shared" si="82"/>
        <v>89.174318315332286</v>
      </c>
      <c r="AY69" s="178">
        <f t="shared" si="82"/>
        <v>85.416666666666657</v>
      </c>
      <c r="AZ69" s="5016">
        <f t="shared" si="82"/>
        <v>89.341466450890067</v>
      </c>
      <c r="BA69" s="322">
        <f t="shared" ref="BA69:BD69" si="83">+BA70/BA68*100</f>
        <v>85.416666666666657</v>
      </c>
      <c r="BB69" s="322">
        <f t="shared" si="83"/>
        <v>90.175528726774544</v>
      </c>
      <c r="BC69" s="430">
        <f t="shared" si="83"/>
        <v>85.416666666666657</v>
      </c>
      <c r="BD69" s="438">
        <f t="shared" si="83"/>
        <v>88.99654625011803</v>
      </c>
      <c r="BE69" s="240">
        <f t="shared" ref="BE69:BF69" si="84">+BE70/BE68*100</f>
        <v>86.094151670951163</v>
      </c>
      <c r="BF69" s="240">
        <f t="shared" si="84"/>
        <v>89.189749212189284</v>
      </c>
      <c r="BG69" s="3464"/>
      <c r="BH69" s="3464"/>
      <c r="BI69" s="23"/>
      <c r="BJ69" s="23"/>
      <c r="BK69" s="23"/>
      <c r="BL69" s="23"/>
      <c r="BM69" s="23"/>
      <c r="BN69" s="23"/>
    </row>
    <row r="70" spans="1:66" x14ac:dyDescent="0.3">
      <c r="B70" s="9" t="s">
        <v>302</v>
      </c>
      <c r="C70" s="712"/>
      <c r="D70" s="146" t="s">
        <v>219</v>
      </c>
      <c r="E70" s="1031">
        <v>496.8</v>
      </c>
      <c r="F70" s="1031">
        <v>568.61666666666667</v>
      </c>
      <c r="G70" s="1031">
        <v>496.8</v>
      </c>
      <c r="H70" s="1031">
        <v>255.18333333333334</v>
      </c>
      <c r="I70" s="718">
        <f>+E70+G70</f>
        <v>993.6</v>
      </c>
      <c r="J70" s="718">
        <f>+F70+H70</f>
        <v>823.8</v>
      </c>
      <c r="K70" s="1031">
        <v>553.5</v>
      </c>
      <c r="L70" s="1031">
        <v>568.56666666666672</v>
      </c>
      <c r="M70" s="873">
        <f>+E70+G70+K70</f>
        <v>1547.1</v>
      </c>
      <c r="N70" s="717">
        <f>+F70+H70+L70</f>
        <v>1392.3666666666668</v>
      </c>
      <c r="O70" s="1031">
        <v>574</v>
      </c>
      <c r="P70" s="1031">
        <v>627.73333333333323</v>
      </c>
      <c r="Q70" s="547">
        <f>+M70+O70</f>
        <v>2121.1</v>
      </c>
      <c r="R70" s="718">
        <f>+N70+P70</f>
        <v>2020.1</v>
      </c>
      <c r="S70" s="1031">
        <v>574</v>
      </c>
      <c r="T70" s="1031">
        <v>573.89999999999986</v>
      </c>
      <c r="U70" s="547">
        <f>+Q70+S70</f>
        <v>2695.1</v>
      </c>
      <c r="V70" s="718">
        <f>+R70+T70</f>
        <v>2594</v>
      </c>
      <c r="W70" s="1031">
        <v>369</v>
      </c>
      <c r="X70" s="1031">
        <v>574.96666666612339</v>
      </c>
      <c r="Y70" s="717">
        <f>+O70+S70+W70</f>
        <v>1517</v>
      </c>
      <c r="Z70" s="717">
        <f>+P70+T70+X70</f>
        <v>1776.5999999994565</v>
      </c>
      <c r="AA70" s="429">
        <f>+M70+Y70</f>
        <v>3064.1</v>
      </c>
      <c r="AB70" s="418">
        <f>+N70+Z70</f>
        <v>3168.9666666661233</v>
      </c>
      <c r="AC70" s="1031">
        <v>574</v>
      </c>
      <c r="AD70" s="1031">
        <v>395.40000000000009</v>
      </c>
      <c r="AE70" s="547">
        <f>+AA70+AC70</f>
        <v>3638.1</v>
      </c>
      <c r="AF70" s="718">
        <f>+AB70+AD70</f>
        <v>3564.3666666661234</v>
      </c>
      <c r="AG70" s="1031">
        <v>553.5</v>
      </c>
      <c r="AH70" s="1031">
        <v>544.21583333333331</v>
      </c>
      <c r="AI70" s="718">
        <f>+AE70+AG70</f>
        <v>4191.6000000000004</v>
      </c>
      <c r="AJ70" s="718">
        <f>+AF70+AH70</f>
        <v>4108.5824999994566</v>
      </c>
      <c r="AK70" s="1031">
        <v>574</v>
      </c>
      <c r="AL70" s="1031">
        <v>603.43333333333328</v>
      </c>
      <c r="AM70" s="717">
        <f>+AC70+AG70+AK70</f>
        <v>1701.5</v>
      </c>
      <c r="AN70" s="717">
        <f>+AD70+AH70+AL70</f>
        <v>1543.0491666666667</v>
      </c>
      <c r="AO70" s="718">
        <f t="shared" ref="AO70:AP70" si="85">AI70+AK70</f>
        <v>4765.6000000000004</v>
      </c>
      <c r="AP70" s="718">
        <f t="shared" si="85"/>
        <v>4712.01583333279</v>
      </c>
      <c r="AQ70" s="1031">
        <v>574</v>
      </c>
      <c r="AR70" s="1031">
        <v>614.19999999999993</v>
      </c>
      <c r="AS70" s="547">
        <f>+AO70+AQ70</f>
        <v>5339.6</v>
      </c>
      <c r="AT70" s="718">
        <f>+AP70+AR70</f>
        <v>5326.2158333327898</v>
      </c>
      <c r="AU70" s="1031">
        <v>516.6</v>
      </c>
      <c r="AV70" s="1031">
        <v>543</v>
      </c>
      <c r="AW70" s="547">
        <f>+AS70+AU70</f>
        <v>5856.2000000000007</v>
      </c>
      <c r="AX70" s="718">
        <f>+AT70+AV70</f>
        <v>5869.2158333327898</v>
      </c>
      <c r="AY70" s="1031">
        <v>574</v>
      </c>
      <c r="AZ70" s="139">
        <v>598.06666666666661</v>
      </c>
      <c r="BA70" s="717">
        <f>+AQ70+AU70+AY70</f>
        <v>1664.6</v>
      </c>
      <c r="BB70" s="717">
        <f>+AR70+AV70+AZ70</f>
        <v>1755.2666666666664</v>
      </c>
      <c r="BC70" s="429">
        <f t="shared" ref="BC70" si="86">+AM70+BA70</f>
        <v>3366.1</v>
      </c>
      <c r="BD70" s="418">
        <f t="shared" ref="BD70" si="87">+AN70+BB70</f>
        <v>3298.3158333333331</v>
      </c>
      <c r="BE70" s="547">
        <f>+AW70+AY70</f>
        <v>6430.2000000000007</v>
      </c>
      <c r="BF70" s="718">
        <f>+AX70+AZ70</f>
        <v>6467.2824999994564</v>
      </c>
      <c r="BG70" s="3464"/>
      <c r="BH70" s="3464"/>
      <c r="BI70" s="23"/>
      <c r="BJ70" s="23"/>
      <c r="BK70" s="23"/>
      <c r="BL70" s="23"/>
      <c r="BM70" s="23"/>
      <c r="BN70" s="23"/>
    </row>
    <row r="71" spans="1:66" x14ac:dyDescent="0.3">
      <c r="B71" s="9" t="s">
        <v>485</v>
      </c>
      <c r="C71" s="712"/>
      <c r="D71" s="146" t="s">
        <v>484</v>
      </c>
      <c r="E71" s="178">
        <f t="shared" ref="E71:AD71" si="88">+E70/(E68/24)</f>
        <v>21.6</v>
      </c>
      <c r="F71" s="178">
        <f t="shared" si="88"/>
        <v>21.119083851332185</v>
      </c>
      <c r="G71" s="178">
        <f t="shared" ref="G71:H71" si="89">+G70/(G68/24)</f>
        <v>21.6</v>
      </c>
      <c r="H71" s="178">
        <f t="shared" si="89"/>
        <v>21.287452207160243</v>
      </c>
      <c r="I71" s="240">
        <f t="shared" si="88"/>
        <v>21.6</v>
      </c>
      <c r="J71" s="240">
        <f t="shared" si="88"/>
        <v>21.170952831367231</v>
      </c>
      <c r="K71" s="178">
        <f t="shared" si="88"/>
        <v>20.5</v>
      </c>
      <c r="L71" s="178">
        <f t="shared" si="88"/>
        <v>21.550788344607934</v>
      </c>
      <c r="M71" s="322">
        <f t="shared" si="88"/>
        <v>21.193150684931506</v>
      </c>
      <c r="N71" s="322">
        <f t="shared" si="88"/>
        <v>21.324427805666641</v>
      </c>
      <c r="O71" s="178">
        <f t="shared" ref="O71:P71" si="90">+O70/(O68/24)</f>
        <v>20.5</v>
      </c>
      <c r="P71" s="178">
        <f t="shared" si="90"/>
        <v>22.079531021006346</v>
      </c>
      <c r="Q71" s="240">
        <f t="shared" si="88"/>
        <v>21.000990099009901</v>
      </c>
      <c r="R71" s="240">
        <f t="shared" si="88"/>
        <v>21.553480928247531</v>
      </c>
      <c r="S71" s="178">
        <f t="shared" si="88"/>
        <v>20.5</v>
      </c>
      <c r="T71" s="178">
        <f t="shared" si="88"/>
        <v>21.262117937635072</v>
      </c>
      <c r="U71" s="240">
        <f t="shared" ref="U71:X71" si="91">+U70/(U68/24)</f>
        <v>20.892248062015504</v>
      </c>
      <c r="V71" s="240">
        <f t="shared" si="91"/>
        <v>21.488333563440566</v>
      </c>
      <c r="W71" s="178">
        <f t="shared" si="91"/>
        <v>20.5</v>
      </c>
      <c r="X71" s="178">
        <f t="shared" si="91"/>
        <v>21.300540262400702</v>
      </c>
      <c r="Y71" s="322">
        <f t="shared" si="88"/>
        <v>20.5</v>
      </c>
      <c r="Z71" s="322">
        <f t="shared" si="88"/>
        <v>21.556682788718366</v>
      </c>
      <c r="AA71" s="430">
        <f t="shared" si="88"/>
        <v>20.844217687074828</v>
      </c>
      <c r="AB71" s="438">
        <f t="shared" si="88"/>
        <v>21.454015477050131</v>
      </c>
      <c r="AC71" s="178">
        <f t="shared" si="88"/>
        <v>20.5</v>
      </c>
      <c r="AD71" s="178">
        <f t="shared" si="88"/>
        <v>20.986951713969781</v>
      </c>
      <c r="AE71" s="240">
        <f t="shared" ref="AE71:AH71" si="92">+AE70/(AE68/24)</f>
        <v>20.789142857142856</v>
      </c>
      <c r="AF71" s="240">
        <f t="shared" si="92"/>
        <v>21.401180826576592</v>
      </c>
      <c r="AG71" s="178">
        <f t="shared" si="92"/>
        <v>20.5</v>
      </c>
      <c r="AH71" s="178">
        <f t="shared" si="92"/>
        <v>20.642471815404061</v>
      </c>
      <c r="AI71" s="240">
        <f t="shared" ref="AI71:AL71" si="93">+AI70/(AI68/24)</f>
        <v>20.750495049504952</v>
      </c>
      <c r="AJ71" s="240">
        <f t="shared" si="93"/>
        <v>21.297494564354832</v>
      </c>
      <c r="AK71" s="178">
        <f t="shared" si="93"/>
        <v>20.5</v>
      </c>
      <c r="AL71" s="178">
        <f t="shared" si="93"/>
        <v>21.464417162759673</v>
      </c>
      <c r="AM71" s="322">
        <f t="shared" ref="AM71:AT71" si="94">+AM70/(AM68/24)</f>
        <v>20.5</v>
      </c>
      <c r="AN71" s="322">
        <f t="shared" si="94"/>
        <v>21.046163463633178</v>
      </c>
      <c r="AO71" s="240">
        <f t="shared" si="94"/>
        <v>20.720000000000002</v>
      </c>
      <c r="AP71" s="240">
        <f t="shared" si="94"/>
        <v>21.318726023393047</v>
      </c>
      <c r="AQ71" s="178">
        <f t="shared" si="94"/>
        <v>20.5</v>
      </c>
      <c r="AR71" s="178">
        <f t="shared" si="94"/>
        <v>22.001741336849175</v>
      </c>
      <c r="AS71" s="240">
        <f t="shared" si="94"/>
        <v>20.696124031007752</v>
      </c>
      <c r="AT71" s="240">
        <f t="shared" si="94"/>
        <v>21.395317983250063</v>
      </c>
      <c r="AU71" s="178">
        <f t="shared" ref="AU71:AV71" si="95">+AU70/(AU68/24)</f>
        <v>20.5</v>
      </c>
      <c r="AV71" s="178">
        <f t="shared" si="95"/>
        <v>21.465985834294184</v>
      </c>
      <c r="AW71" s="240">
        <f t="shared" ref="AW71:AZ71" si="96">+AW70/(AW68/24)</f>
        <v>20.678672316384183</v>
      </c>
      <c r="AX71" s="240">
        <f t="shared" si="96"/>
        <v>21.401836395679748</v>
      </c>
      <c r="AY71" s="178">
        <f t="shared" si="96"/>
        <v>20.5</v>
      </c>
      <c r="AZ71" s="5016">
        <f t="shared" si="96"/>
        <v>21.441951948213617</v>
      </c>
      <c r="BA71" s="322">
        <f t="shared" ref="BA71:BD71" si="97">+BA70/(BA68/24)</f>
        <v>20.499999999999996</v>
      </c>
      <c r="BB71" s="322">
        <f t="shared" si="97"/>
        <v>21.642126894425889</v>
      </c>
      <c r="BC71" s="430">
        <f t="shared" si="97"/>
        <v>20.499999999999996</v>
      </c>
      <c r="BD71" s="438">
        <f t="shared" si="97"/>
        <v>21.35917110002833</v>
      </c>
      <c r="BE71" s="240">
        <f t="shared" ref="BE71:BF71" si="98">+BE70/(BE68/24)</f>
        <v>20.662596401028281</v>
      </c>
      <c r="BF71" s="240">
        <f t="shared" si="98"/>
        <v>21.405539810925429</v>
      </c>
      <c r="BG71" s="3464"/>
      <c r="BH71" s="3464"/>
      <c r="BI71" s="23"/>
      <c r="BJ71" s="23"/>
      <c r="BK71" s="23"/>
      <c r="BL71" s="23"/>
      <c r="BM71" s="23"/>
      <c r="BN71" s="23"/>
    </row>
    <row r="72" spans="1:66" ht="14.25" customHeight="1" x14ac:dyDescent="0.3">
      <c r="A72">
        <v>0.28799999999999998</v>
      </c>
      <c r="B72" s="9" t="s">
        <v>303</v>
      </c>
      <c r="C72" s="712"/>
      <c r="D72" s="146" t="s">
        <v>1047</v>
      </c>
      <c r="E72" s="238">
        <v>0.246</v>
      </c>
      <c r="F72" s="238">
        <v>0.25</v>
      </c>
      <c r="G72" s="238">
        <v>0.246</v>
      </c>
      <c r="H72" s="238">
        <v>0.28699999999999998</v>
      </c>
      <c r="I72" s="349">
        <f>+((E72*E5)+(G72*G5))/I5</f>
        <v>0.246</v>
      </c>
      <c r="J72" s="349">
        <f>+((F72*F5)+(H72*H5))/J5</f>
        <v>0.26138354413878584</v>
      </c>
      <c r="K72" s="238">
        <v>0.24600000000000005</v>
      </c>
      <c r="L72" s="238">
        <v>0.25700000000000001</v>
      </c>
      <c r="M72" s="350">
        <f>+((E72*E5)+(G72*G5)+(K72*K5))/M5</f>
        <v>0.246</v>
      </c>
      <c r="N72" s="350">
        <f>+((F72*F5)+(H72*H5)+(L72*L5))/N5</f>
        <v>0.25961024894398321</v>
      </c>
      <c r="O72" s="238">
        <v>0.24599999999999997</v>
      </c>
      <c r="P72" s="238">
        <v>0.23100000000000001</v>
      </c>
      <c r="Q72" s="349">
        <f>+((M72*M5)+(O72*O5))/Q5</f>
        <v>0.24600000000000002</v>
      </c>
      <c r="R72" s="349">
        <f>+((N72*N5)+(P72*P5))/R5</f>
        <v>0.25028528891026974</v>
      </c>
      <c r="S72" s="238">
        <v>0.24599999999999997</v>
      </c>
      <c r="T72" s="238">
        <v>0.25700000000000001</v>
      </c>
      <c r="U72" s="349">
        <f>+((Q72*Q5)+(S72*S5))/U5</f>
        <v>0.24600000000000002</v>
      </c>
      <c r="V72" s="349">
        <f>+((R72*R5)+(T72*T5))/V5</f>
        <v>0.25175875801388592</v>
      </c>
      <c r="W72" s="238">
        <v>0.24600000000000002</v>
      </c>
      <c r="X72" s="238">
        <v>0.25940000000000002</v>
      </c>
      <c r="Y72" s="350">
        <f>+((O72*O5)+(S72*S5)+(W72*W5))/Y5</f>
        <v>0.24600000000000002</v>
      </c>
      <c r="Z72" s="350">
        <f>+((P72*P5)+(T72*T5)+(X72*X5))/Z5</f>
        <v>0.24823792844834899</v>
      </c>
      <c r="AA72" s="618">
        <f>+((M72*M5)+(Y72*Y5))/AA5</f>
        <v>0.246</v>
      </c>
      <c r="AB72" s="618">
        <f>+((N72*N5)+(Z72*Z5))/AB5</f>
        <v>0.25313994440192727</v>
      </c>
      <c r="AC72" s="238">
        <v>0.246</v>
      </c>
      <c r="AD72" s="238">
        <v>0.28999999999999998</v>
      </c>
      <c r="AE72" s="349">
        <f>+((AA72*AA5)+(AC72*AC5))/AE5</f>
        <v>0.246</v>
      </c>
      <c r="AF72" s="349">
        <f>+((AB72*AB5)+(AD72*AD5))/AF5</f>
        <v>0.2571083706489059</v>
      </c>
      <c r="AG72" s="238">
        <v>0.24600000000000005</v>
      </c>
      <c r="AH72" s="238">
        <v>0.28499999999999998</v>
      </c>
      <c r="AI72" s="349">
        <f>+((AE72*AE5)+(AG72*AG5))/AI5</f>
        <v>0.24599999999999997</v>
      </c>
      <c r="AJ72" s="349">
        <f>+((AF72*AF5)+(AH72*AH5))/AJ5</f>
        <v>0.26070046725246765</v>
      </c>
      <c r="AK72" s="238">
        <v>0.24600000000000002</v>
      </c>
      <c r="AL72" s="238">
        <v>0.27339999999999998</v>
      </c>
      <c r="AM72" s="350">
        <f>+((AC72*AC5)+(AG72*AG5)+(AK72*AK5))/AM5</f>
        <v>0.24600000000000002</v>
      </c>
      <c r="AN72" s="350">
        <f>+((AD72*AD5)+(AH72*AH5)+(AL72*AL5))/AN5</f>
        <v>0.28156443884679988</v>
      </c>
      <c r="AO72" s="349">
        <f>+((AK72*AK5)+(AI72*AI5))/AO5</f>
        <v>0.24599999999999997</v>
      </c>
      <c r="AP72" s="349">
        <f>+((AL72*AL5)+(AJ72*AJ5))/AP5</f>
        <v>0.26236752392855256</v>
      </c>
      <c r="AQ72" s="238">
        <v>0.24600000000000002</v>
      </c>
      <c r="AR72" s="238">
        <v>0.26600000000000001</v>
      </c>
      <c r="AS72" s="349">
        <f>+((AO72*AO5)+(AQ72*AQ5))/AS5</f>
        <v>0.24599999999999994</v>
      </c>
      <c r="AT72" s="349">
        <f>+((AP72*AP5)+(AR72*AR5))/AT5</f>
        <v>0.26280752666684226</v>
      </c>
      <c r="AU72" s="238">
        <v>0.24600000000000002</v>
      </c>
      <c r="AV72" s="238">
        <v>0.23799999999999999</v>
      </c>
      <c r="AW72" s="349">
        <f>+((AS72*AS5)+(AU72*AU5))/AW5</f>
        <v>0.24599999999999997</v>
      </c>
      <c r="AX72" s="349">
        <f>+((AT72*AT5)+(AV72*AV5))/AX5</f>
        <v>0.26045876907672078</v>
      </c>
      <c r="AY72" s="238">
        <v>0.24600000000000002</v>
      </c>
      <c r="AZ72" s="5020">
        <v>0.23100000000000001</v>
      </c>
      <c r="BA72" s="350">
        <f>+((AQ72*AQ5)+(AU72*AU5)+(AY72*AY5))/BA5</f>
        <v>0.246</v>
      </c>
      <c r="BB72" s="350">
        <f>+((AR72*AR5)+(AV72*AV5)+(AZ72*AZ5))/BB5</f>
        <v>0.2454700343818888</v>
      </c>
      <c r="BC72" s="618">
        <f>+((AM72*AM5)+(BA72*BA5))/BC5</f>
        <v>0.246</v>
      </c>
      <c r="BD72" s="618">
        <f>+((AN72*AN5)+(BB72*BB5))/BD5</f>
        <v>0.26184510156305474</v>
      </c>
      <c r="BE72" s="349">
        <f>+((AW72*AW5)+(AY72*AY5))/BE5</f>
        <v>0.24599999999999997</v>
      </c>
      <c r="BF72" s="349">
        <f>+((AX72*AX5)+(AZ72*AZ5))/BF5</f>
        <v>0.25761833219968244</v>
      </c>
      <c r="BG72" s="3464"/>
      <c r="BH72" s="3464"/>
      <c r="BI72" s="23"/>
      <c r="BJ72" s="23"/>
      <c r="BK72" s="23"/>
      <c r="BL72" s="23"/>
      <c r="BM72" s="23"/>
      <c r="BN72" s="23"/>
    </row>
    <row r="73" spans="1:66" x14ac:dyDescent="0.3">
      <c r="B73" s="9" t="s">
        <v>304</v>
      </c>
      <c r="C73" s="712"/>
      <c r="D73" s="146" t="s">
        <v>212</v>
      </c>
      <c r="E73" s="1031">
        <f>+'POWER DISTRIBUTION'!I26</f>
        <v>5548500</v>
      </c>
      <c r="F73" s="1031">
        <f>+'POWER DISTRIBUTION'!J26</f>
        <v>5980485.0000000056</v>
      </c>
      <c r="G73" s="1031">
        <f>+'POWER DISTRIBUTION'!K26</f>
        <v>5751000</v>
      </c>
      <c r="H73" s="1031">
        <f>+'POWER DISTRIBUTION'!L26</f>
        <v>2910956.6666666465</v>
      </c>
      <c r="I73" s="718">
        <f>+E73+G73</f>
        <v>11299500</v>
      </c>
      <c r="J73" s="718">
        <f>+F73+H73</f>
        <v>8891441.666666653</v>
      </c>
      <c r="K73" s="1031">
        <f>+'POWER DISTRIBUTION'!O26</f>
        <v>6233283.9851005385</v>
      </c>
      <c r="L73" s="1031">
        <f>+'POWER DISTRIBUTION'!P26</f>
        <v>6101723.3333333191</v>
      </c>
      <c r="M73" s="873">
        <f>+E73+G73+K73</f>
        <v>17532783.985100538</v>
      </c>
      <c r="N73" s="717">
        <f>+F73+H73+L73</f>
        <v>14993164.999999972</v>
      </c>
      <c r="O73" s="1031">
        <f>+'POWER DISTRIBUTION'!S26</f>
        <v>6479334.6687229276</v>
      </c>
      <c r="P73" s="1031">
        <f>+'POWER DISTRIBUTION'!T26</f>
        <v>6624798.3333333451</v>
      </c>
      <c r="Q73" s="718">
        <f>+M73+O73</f>
        <v>24012118.653823465</v>
      </c>
      <c r="R73" s="718">
        <f>+N73+P73</f>
        <v>21617963.333333317</v>
      </c>
      <c r="S73" s="1031">
        <f>+'POWER DISTRIBUTION'!W26</f>
        <v>6479334.6687229276</v>
      </c>
      <c r="T73" s="1031">
        <f>+'POWER DISTRIBUTION'!X26</f>
        <v>6379560.0000000093</v>
      </c>
      <c r="U73" s="718">
        <f>+Q73+S73</f>
        <v>30491453.322546393</v>
      </c>
      <c r="V73" s="718">
        <f>+R73+T73</f>
        <v>27997523.333333328</v>
      </c>
      <c r="W73" s="1031">
        <f>+'POWER DISTRIBUTION'!AA26</f>
        <v>4068602.4906878364</v>
      </c>
      <c r="X73" s="1031">
        <f>+'POWER DISTRIBUTION'!AB26</f>
        <v>6181474.9999999786</v>
      </c>
      <c r="Y73" s="717">
        <f>+O73+S73+W73</f>
        <v>17027271.828133691</v>
      </c>
      <c r="Z73" s="717">
        <f>+P73+T73+X73</f>
        <v>19185833.333333332</v>
      </c>
      <c r="AA73" s="429">
        <f>+M73+Y73</f>
        <v>34560055.813234225</v>
      </c>
      <c r="AB73" s="418">
        <f>+N73+Z73</f>
        <v>34178998.333333306</v>
      </c>
      <c r="AC73" s="1031">
        <f>+'POWER DISTRIBUTION'!AG26</f>
        <v>6397317.7741821306</v>
      </c>
      <c r="AD73" s="1031">
        <f>+'POWER DISTRIBUTION'!AH26</f>
        <v>4587853.3333333451</v>
      </c>
      <c r="AE73" s="718">
        <f>+AA73+AC73</f>
        <v>40957373.587416358</v>
      </c>
      <c r="AF73" s="718">
        <f>+AB73+AD73</f>
        <v>38766851.666666649</v>
      </c>
      <c r="AG73" s="1031">
        <f>+'POWER DISTRIBUTION'!AK26</f>
        <v>6233283.9851005385</v>
      </c>
      <c r="AH73" s="1031">
        <f>+'POWER DISTRIBUTION'!AL26</f>
        <v>5907461.6666666539</v>
      </c>
      <c r="AI73" s="718">
        <f>+AE73+AG73</f>
        <v>47190657.572516896</v>
      </c>
      <c r="AJ73" s="718">
        <f>+AF73+AH73</f>
        <v>44674313.333333306</v>
      </c>
      <c r="AK73" s="1031">
        <f>+'POWER DISTRIBUTION'!AO26</f>
        <v>6479334.6687229276</v>
      </c>
      <c r="AL73" s="1031">
        <f>+'POWER DISTRIBUTION'!AP26</f>
        <v>6448303.3333333479</v>
      </c>
      <c r="AM73" s="717">
        <f>+AC73+AG73+AK73</f>
        <v>19109936.428005598</v>
      </c>
      <c r="AN73" s="717">
        <f>+AD73+AH73+AL73</f>
        <v>16943618.333333347</v>
      </c>
      <c r="AO73" s="718">
        <f t="shared" ref="AO73:AP73" si="99">AI73+AK73</f>
        <v>53669992.241239823</v>
      </c>
      <c r="AP73" s="718">
        <f t="shared" si="99"/>
        <v>51122616.666666657</v>
      </c>
      <c r="AQ73" s="1031">
        <f>+'POWER DISTRIBUTION'!AU26</f>
        <v>6479334.6687229276</v>
      </c>
      <c r="AR73" s="1031">
        <f>+'POWER DISTRIBUTION'!AV26</f>
        <v>6498523.3333333377</v>
      </c>
      <c r="AS73" s="718">
        <f>+AO73+AQ73</f>
        <v>60149326.909962751</v>
      </c>
      <c r="AT73" s="718">
        <f>+AP73+AR73</f>
        <v>57621139.999999993</v>
      </c>
      <c r="AU73" s="1031">
        <f>+'POWER DISTRIBUTION'!AY26</f>
        <v>5864207.9596669534</v>
      </c>
      <c r="AV73" s="1031">
        <f>+'POWER DISTRIBUTION'!AZ26</f>
        <v>5990404.9999999991</v>
      </c>
      <c r="AW73" s="718">
        <f>+AS73+AU73</f>
        <v>66013534.869629703</v>
      </c>
      <c r="AX73" s="718">
        <f>+AT73+AV73</f>
        <v>63611544.999999993</v>
      </c>
      <c r="AY73" s="1031">
        <f>+'POWER DISTRIBUTION'!BC26</f>
        <v>6561351.5632637246</v>
      </c>
      <c r="AZ73" s="139">
        <f>+'POWER DISTRIBUTION'!BD26</f>
        <v>6297818.3333333377</v>
      </c>
      <c r="BA73" s="717">
        <f>+AQ73+AU73+AY73</f>
        <v>18904894.191653606</v>
      </c>
      <c r="BB73" s="717">
        <f>+AR73+AV73+AZ73</f>
        <v>18786746.666666672</v>
      </c>
      <c r="BC73" s="429">
        <f t="shared" ref="BC73" si="100">+AM73+BA73</f>
        <v>38014830.6196592</v>
      </c>
      <c r="BD73" s="418">
        <f t="shared" ref="BD73" si="101">+AN73+BB73</f>
        <v>35730365.000000015</v>
      </c>
      <c r="BE73" s="718">
        <f>+AW73+AY73</f>
        <v>72574886.432893425</v>
      </c>
      <c r="BF73" s="718">
        <f>+AX73+AZ73</f>
        <v>69909363.333333328</v>
      </c>
      <c r="BG73" s="3464"/>
      <c r="BH73" s="3464"/>
      <c r="BI73" s="23"/>
      <c r="BJ73" s="23"/>
      <c r="BK73" s="23"/>
      <c r="BL73" s="23"/>
      <c r="BM73" s="23"/>
      <c r="BN73" s="23"/>
    </row>
    <row r="74" spans="1:66" x14ac:dyDescent="0.3">
      <c r="B74" s="9" t="s">
        <v>305</v>
      </c>
      <c r="C74" s="712"/>
      <c r="D74" s="2589" t="s">
        <v>1939</v>
      </c>
      <c r="E74" s="178">
        <f>+E73/E56</f>
        <v>81</v>
      </c>
      <c r="F74" s="178">
        <f t="shared" ref="F74:BF74" si="102">+F73/F56</f>
        <v>80.101817494104026</v>
      </c>
      <c r="G74" s="178">
        <f>+G73/G56</f>
        <v>81</v>
      </c>
      <c r="H74" s="178">
        <f t="shared" ref="H74" si="103">+H73/H56</f>
        <v>87.698119558828921</v>
      </c>
      <c r="I74" s="240">
        <f t="shared" si="102"/>
        <v>81</v>
      </c>
      <c r="J74" s="240">
        <f t="shared" si="102"/>
        <v>82.43964029384405</v>
      </c>
      <c r="K74" s="178">
        <f t="shared" ref="K74:L74" si="104">+K73/K56</f>
        <v>82.016894540796557</v>
      </c>
      <c r="L74" s="178">
        <f t="shared" si="104"/>
        <v>82.854300289484684</v>
      </c>
      <c r="M74" s="178">
        <f t="shared" si="102"/>
        <v>81.358626380976972</v>
      </c>
      <c r="N74" s="178">
        <f t="shared" si="102"/>
        <v>82.607891355261444</v>
      </c>
      <c r="O74" s="178">
        <f t="shared" si="102"/>
        <v>82.016894540796557</v>
      </c>
      <c r="P74" s="178">
        <f t="shared" si="102"/>
        <v>75.233504462116727</v>
      </c>
      <c r="Q74" s="240">
        <f t="shared" si="102"/>
        <v>81.535207653050819</v>
      </c>
      <c r="R74" s="240">
        <f t="shared" si="102"/>
        <v>80.198869394848614</v>
      </c>
      <c r="S74" s="178">
        <f t="shared" ref="S74:T74" si="105">+S73/S56</f>
        <v>82.016894540796557</v>
      </c>
      <c r="T74" s="96">
        <f t="shared" si="105"/>
        <v>84.103483686589115</v>
      </c>
      <c r="U74" s="240">
        <f t="shared" si="102"/>
        <v>81.637090555679762</v>
      </c>
      <c r="V74" s="240">
        <f t="shared" si="102"/>
        <v>81.056346014909749</v>
      </c>
      <c r="W74" s="178">
        <f t="shared" si="102"/>
        <v>85.654789277638656</v>
      </c>
      <c r="X74" s="96">
        <f t="shared" si="102"/>
        <v>80.995193400964439</v>
      </c>
      <c r="Y74" s="322">
        <f t="shared" si="102"/>
        <v>82.857770453205305</v>
      </c>
      <c r="Z74" s="322">
        <f t="shared" si="102"/>
        <v>79.864694783312842</v>
      </c>
      <c r="AA74" s="430">
        <f t="shared" si="102"/>
        <v>82.090393855663237</v>
      </c>
      <c r="AB74" s="438">
        <f t="shared" si="102"/>
        <v>81.045279362013346</v>
      </c>
      <c r="AC74" s="178">
        <f t="shared" ref="AC74:AD74" si="106">+AC73/AC56</f>
        <v>82.016894540796542</v>
      </c>
      <c r="AD74" s="96">
        <f t="shared" si="106"/>
        <v>90.04570305721289</v>
      </c>
      <c r="AE74" s="178">
        <f t="shared" si="102"/>
        <v>82.078904984802321</v>
      </c>
      <c r="AF74" s="178">
        <f t="shared" si="102"/>
        <v>82.015442087109875</v>
      </c>
      <c r="AG74" s="178">
        <f t="shared" si="102"/>
        <v>82.016894540796557</v>
      </c>
      <c r="AH74" s="96">
        <f t="shared" si="102"/>
        <v>84.730304761668194</v>
      </c>
      <c r="AI74" s="178">
        <f t="shared" si="102"/>
        <v>82.07070882176852</v>
      </c>
      <c r="AJ74" s="178">
        <f t="shared" si="102"/>
        <v>82.364415019405911</v>
      </c>
      <c r="AK74" s="178">
        <f t="shared" ref="AK74:AL74" si="107">+AK73/AK56</f>
        <v>82.016894540796557</v>
      </c>
      <c r="AL74" s="96">
        <f t="shared" si="107"/>
        <v>79.007092885062733</v>
      </c>
      <c r="AM74" s="178">
        <f t="shared" si="102"/>
        <v>82.016894540796557</v>
      </c>
      <c r="AN74" s="178">
        <f t="shared" si="102"/>
        <v>83.759959397123936</v>
      </c>
      <c r="AO74" s="178">
        <f t="shared" si="102"/>
        <v>82.064208319938572</v>
      </c>
      <c r="AP74" s="178">
        <f t="shared" si="102"/>
        <v>81.925300940949512</v>
      </c>
      <c r="AQ74" s="178">
        <f t="shared" si="102"/>
        <v>82.016894540796557</v>
      </c>
      <c r="AR74" s="96">
        <f t="shared" si="102"/>
        <v>75.736304735798882</v>
      </c>
      <c r="AS74" s="178">
        <f t="shared" si="102"/>
        <v>82.05910901768452</v>
      </c>
      <c r="AT74" s="178">
        <f t="shared" si="102"/>
        <v>81.177161070221132</v>
      </c>
      <c r="AU74" s="178">
        <f t="shared" ref="AU74:AV74" si="108">+AU73/AU56</f>
        <v>82.016894540796557</v>
      </c>
      <c r="AV74" s="96">
        <f t="shared" si="108"/>
        <v>80.887670689802192</v>
      </c>
      <c r="AW74" s="178">
        <f t="shared" si="102"/>
        <v>82.055357202771546</v>
      </c>
      <c r="AX74" s="178">
        <f t="shared" si="102"/>
        <v>81.149810929742628</v>
      </c>
      <c r="AY74" s="178">
        <f t="shared" si="102"/>
        <v>82.016894540796557</v>
      </c>
      <c r="AZ74" s="1185">
        <f t="shared" si="102"/>
        <v>77.559339080459822</v>
      </c>
      <c r="BA74" s="178">
        <f t="shared" si="102"/>
        <v>82.016894540796557</v>
      </c>
      <c r="BB74" s="178">
        <f t="shared" si="102"/>
        <v>77.932959024418409</v>
      </c>
      <c r="BC74" s="178">
        <f t="shared" si="102"/>
        <v>82.016894540796542</v>
      </c>
      <c r="BD74" s="178">
        <f t="shared" si="102"/>
        <v>80.591646714911704</v>
      </c>
      <c r="BE74" s="178">
        <f t="shared" si="102"/>
        <v>82.051878386538633</v>
      </c>
      <c r="BF74" s="178">
        <f t="shared" si="102"/>
        <v>80.812793526545263</v>
      </c>
      <c r="BG74" s="3464"/>
      <c r="BH74" s="3464"/>
      <c r="BI74" s="23"/>
      <c r="BJ74" s="23"/>
      <c r="BK74" s="23"/>
      <c r="BL74" s="23"/>
      <c r="BM74" s="23"/>
      <c r="BN74" s="23"/>
    </row>
    <row r="75" spans="1:66" ht="15" customHeight="1" x14ac:dyDescent="0.3">
      <c r="B75" s="9" t="s">
        <v>306</v>
      </c>
      <c r="C75" s="712"/>
      <c r="D75" s="146" t="s">
        <v>298</v>
      </c>
      <c r="E75" s="1033">
        <f>+EMD!D35/(EMD!D3*24)</f>
        <v>2.3930268862041135</v>
      </c>
      <c r="F75" s="1230">
        <f>+EMD!E35/(EMD!E3*24)</f>
        <v>2.3556388888888886</v>
      </c>
      <c r="G75" s="1033">
        <f>+EMD!F35/(EMD!F3*24)</f>
        <v>2.3697631156092651</v>
      </c>
      <c r="H75" s="1230">
        <f>+EMD!G35/(EMD!G3*24)</f>
        <v>1.3818010752688172</v>
      </c>
      <c r="I75" s="343">
        <f t="shared" ref="I75:J78" si="109">+((E75*E$2)+(G75*G$2))/I$2</f>
        <v>2.3812043142624693</v>
      </c>
      <c r="J75" s="343">
        <f t="shared" si="109"/>
        <v>1.8607377049180327</v>
      </c>
      <c r="K75" s="1033">
        <f>+EMD!J35/(EMD!J3*24)</f>
        <v>2.938102243489551</v>
      </c>
      <c r="L75" s="1230">
        <f>+EMD!K35/(EMD!K3*24)</f>
        <v>1.900419937576324</v>
      </c>
      <c r="M75" s="345">
        <f t="shared" ref="M75:N78" si="110">+((E75*E$2)+(G75*G$2)+(K75*K$2))/M$2</f>
        <v>2.5647970381834853</v>
      </c>
      <c r="N75" s="345">
        <f t="shared" si="110"/>
        <v>1.8738197596405464</v>
      </c>
      <c r="O75" s="1033">
        <f>+EMD!N35/(EMD!N3*24)</f>
        <v>2.930417395269731</v>
      </c>
      <c r="P75" s="1230">
        <f>+EMD!O35/(EMD!O3*24)</f>
        <v>1.7820872997481387</v>
      </c>
      <c r="Q75" s="343">
        <f t="shared" ref="Q75:R78" si="111">+((M75*M$2)+(O75*O$2))/Q$2</f>
        <v>2.6577005715414654</v>
      </c>
      <c r="R75" s="343">
        <f t="shared" si="111"/>
        <v>1.8505106919629672</v>
      </c>
      <c r="S75" s="1033">
        <f>+EMD!R35/(EMD!R3*24)</f>
        <v>2.930417395269731</v>
      </c>
      <c r="T75" s="1230">
        <f>+EMD!S35/(EMD!S3*24)</f>
        <v>2.0287058667729823</v>
      </c>
      <c r="U75" s="343">
        <f t="shared" ref="U75:V78" si="112">+((Q75*Q$2)+(S75*S$2))/U$2</f>
        <v>2.7129569214471929</v>
      </c>
      <c r="V75" s="343">
        <f t="shared" si="112"/>
        <v>1.8866155966630356</v>
      </c>
      <c r="W75" s="1033">
        <f>+EMD!V35/(EMD!V3*24)</f>
        <v>2.3487837211019547</v>
      </c>
      <c r="X75" s="1230">
        <f>+EMD!W35/(EMD!W3*24)</f>
        <v>1.6394861111111112</v>
      </c>
      <c r="Y75" s="345">
        <f t="shared" ref="Y75:Z78" si="113">+((O75*O$2)+(S75*S$2)+(W75*W$2))/Y$2</f>
        <v>2.740754240649804</v>
      </c>
      <c r="Z75" s="345">
        <f t="shared" si="113"/>
        <v>1.8186866466900879</v>
      </c>
      <c r="AA75" s="457">
        <f t="shared" ref="AA75:AB78" si="114">+((M75*M$2)+(Y75*Y$2))/AA$2</f>
        <v>2.6532563968004323</v>
      </c>
      <c r="AB75" s="457">
        <f t="shared" si="114"/>
        <v>1.8461025662446875</v>
      </c>
      <c r="AC75" s="1033">
        <f>+EMD!AB35/(EMD!AB3*24)</f>
        <v>2.8773525279899888</v>
      </c>
      <c r="AD75" s="1230">
        <f>+EMD!AC35/(EMD!AC3*24)</f>
        <v>1.1190860215053764</v>
      </c>
      <c r="AE75" s="343">
        <f t="shared" ref="AE75:AF78" si="115">+((AA75*AA$2)+(AC75*AC$2))/AE$2</f>
        <v>2.6857189204774246</v>
      </c>
      <c r="AF75" s="343">
        <f t="shared" si="115"/>
        <v>1.7407870854646939</v>
      </c>
      <c r="AG75" s="1033">
        <f>+EMD!AF35/(EMD!AF3*24)</f>
        <v>2.8692178121623453</v>
      </c>
      <c r="AH75" s="1230">
        <f>+EMD!AG35/(EMD!AG3*24)</f>
        <v>1.6074444444444442</v>
      </c>
      <c r="AI75" s="343">
        <f t="shared" ref="AI75:AJ78" si="116">+((AE75*AE$2)+(AG75*AG$2))/AI$2</f>
        <v>2.7082802596190132</v>
      </c>
      <c r="AJ75" s="343">
        <f t="shared" si="116"/>
        <v>1.7243924984540075</v>
      </c>
      <c r="AK75" s="1033">
        <f>+EMD!AJ35/(EMD!AJ3*24)</f>
        <v>2.8860947205812617</v>
      </c>
      <c r="AL75" s="1230">
        <f>+EMD!AK35/(EMD!AK3*24)</f>
        <v>1.4066867709679864</v>
      </c>
      <c r="AM75" s="345">
        <f t="shared" ref="AM75:AN78" si="117">+((AC75*AC$2)+(AG75*AG$2)+(AK75*AK$2))/AM$2</f>
        <v>2.8776456420715122</v>
      </c>
      <c r="AN75" s="345">
        <f t="shared" si="117"/>
        <v>1.3752422815218213</v>
      </c>
      <c r="AO75" s="343">
        <f t="shared" ref="AO75:AP78" si="118">+((AK75*AK$2)+(AI75*AI$2))/AO$2</f>
        <v>2.7283247988547576</v>
      </c>
      <c r="AP75" s="343">
        <f t="shared" si="118"/>
        <v>1.6885783982646743</v>
      </c>
      <c r="AQ75" s="1033">
        <f>+EMD!AP35/(EMD!AP3*24)</f>
        <v>2.8797129026138291</v>
      </c>
      <c r="AR75" s="1230">
        <f>+EMD!AQ35/(EMD!AQ3*24)</f>
        <v>1.176491935483871</v>
      </c>
      <c r="AS75" s="343">
        <f t="shared" ref="AS75:AT78" si="119">+((AO75*AO$2)+(AQ75*AQ$2))/AS$2</f>
        <v>2.7436615021767548</v>
      </c>
      <c r="AT75" s="343">
        <f t="shared" si="119"/>
        <v>1.6367003579175994</v>
      </c>
      <c r="AU75" s="1033">
        <f>+EMD!AT35/(EMD!AT3*24)</f>
        <v>2.8253254386833797</v>
      </c>
      <c r="AV75" s="1230">
        <f>+EMD!AU35/(EMD!AU3*24)</f>
        <v>1.4981547619047619</v>
      </c>
      <c r="AW75" s="343">
        <f t="shared" ref="AW75:AW78" si="120">+((AS75*AS$2)+(AU75*AU$2))/AW$2</f>
        <v>2.7505075806862922</v>
      </c>
      <c r="AX75" s="343">
        <f t="shared" ref="AX75:AX78" si="121">+((AT75*AT$2)+(AV75*AV$2))/AX$2</f>
        <v>1.6250857570542476</v>
      </c>
      <c r="AY75" s="1033">
        <f>+EMD!AX35/(EMD!AX3*24)</f>
        <v>2.9030648144444897</v>
      </c>
      <c r="AZ75" s="5021">
        <f>+EMD!AY35/(EMD!AY3*24)</f>
        <v>1.9706048387096775</v>
      </c>
      <c r="BA75" s="345">
        <f>+((AQ75*AQ$2)+(AU75*AU$2)+(AY75*AY$2))/BA$2</f>
        <v>2.8708357945771392</v>
      </c>
      <c r="BB75" s="345">
        <f t="shared" ref="BB75:BB78" si="122">+((AR75*AR$2)+(AV75*AV$2)+(AZ75*AZ$2))/BB$2</f>
        <v>1.5500925925925926</v>
      </c>
      <c r="BC75" s="457">
        <f t="shared" ref="BC75:BD78" si="123">+((AM75*AM$2)+(BA75*BA$2))/BC$2</f>
        <v>2.8742781350688005</v>
      </c>
      <c r="BD75" s="457">
        <f t="shared" si="123"/>
        <v>1.4617067210623125</v>
      </c>
      <c r="BE75" s="343">
        <f t="shared" ref="BE75:BE78" si="124">+((AW75*AW$2)+(AY75*AY$2))/BE$2</f>
        <v>2.7634644964301391</v>
      </c>
      <c r="BF75" s="343">
        <f t="shared" ref="BF75:BF78" si="125">+((AX75*AX$2)+(AZ75*AZ$2))/BF$2</f>
        <v>1.6544312133044348</v>
      </c>
      <c r="BG75" s="3464"/>
      <c r="BH75" s="3464"/>
      <c r="BI75" s="23"/>
      <c r="BJ75" s="23"/>
      <c r="BK75" s="23"/>
      <c r="BL75" s="23"/>
      <c r="BM75" s="23"/>
      <c r="BN75" s="23"/>
    </row>
    <row r="76" spans="1:66" x14ac:dyDescent="0.3">
      <c r="B76" s="9" t="s">
        <v>307</v>
      </c>
      <c r="C76" s="712"/>
      <c r="D76" s="146" t="s">
        <v>298</v>
      </c>
      <c r="E76" s="1033">
        <f>+EMD!D65/(EMD!D3*24)</f>
        <v>5.6081422200569113</v>
      </c>
      <c r="F76" s="1230">
        <f>+EMD!E65/(EMD!E3*24)</f>
        <v>3.6990277777777782</v>
      </c>
      <c r="G76" s="1033">
        <f>+EMD!F65/(EMD!F3*24)</f>
        <v>5.6415267272836873</v>
      </c>
      <c r="H76" s="1230">
        <f>+EMD!G65/(EMD!G3*24)</f>
        <v>2.6102956989247312</v>
      </c>
      <c r="I76" s="343">
        <f t="shared" si="109"/>
        <v>5.6251081171721591</v>
      </c>
      <c r="J76" s="343">
        <f t="shared" si="109"/>
        <v>3.1457377049180328</v>
      </c>
      <c r="K76" s="1033">
        <f>+EMD!J65/(EMD!J3*24)</f>
        <v>5.2871972480334684</v>
      </c>
      <c r="L76" s="1230">
        <f>+EMD!K65/(EMD!K3*24)</f>
        <v>3.7998522613771097</v>
      </c>
      <c r="M76" s="345">
        <f t="shared" si="110"/>
        <v>5.5137089295440189</v>
      </c>
      <c r="N76" s="345">
        <f t="shared" si="110"/>
        <v>3.3613798663880585</v>
      </c>
      <c r="O76" s="1033">
        <f>+EMD!N65/(EMD!N3*24)</f>
        <v>5.3386634372285346</v>
      </c>
      <c r="P76" s="1230">
        <f>+EMD!O65/(EMD!O3*24)</f>
        <v>4.3762835552303434</v>
      </c>
      <c r="Q76" s="343">
        <f t="shared" si="111"/>
        <v>5.4692301569064785</v>
      </c>
      <c r="R76" s="343">
        <f t="shared" si="111"/>
        <v>3.6192652299463441</v>
      </c>
      <c r="S76" s="1033">
        <f>+EMD!R65/(EMD!R3*24)</f>
        <v>5.3386634372285346</v>
      </c>
      <c r="T76" s="1230">
        <f>+EMD!S65/(EMD!S3*24)</f>
        <v>3.8371216163423538</v>
      </c>
      <c r="U76" s="343">
        <f t="shared" si="112"/>
        <v>5.442775462069771</v>
      </c>
      <c r="V76" s="343">
        <f t="shared" si="112"/>
        <v>3.6634060664056665</v>
      </c>
      <c r="W76" s="1033">
        <f>+EMD!V65/(EMD!V3*24)</f>
        <v>3.523347867373225</v>
      </c>
      <c r="X76" s="1230">
        <f>+EMD!W65/(EMD!W3*24)</f>
        <v>3.8756666666666666</v>
      </c>
      <c r="Y76" s="345">
        <f t="shared" si="113"/>
        <v>4.7467127079278901</v>
      </c>
      <c r="Z76" s="345">
        <f t="shared" si="113"/>
        <v>4.031364786073409</v>
      </c>
      <c r="AA76" s="457">
        <f t="shared" si="114"/>
        <v>5.1281152006441069</v>
      </c>
      <c r="AB76" s="457">
        <f t="shared" si="114"/>
        <v>3.6982028861205842</v>
      </c>
      <c r="AC76" s="1033">
        <f>+EMD!AB65/(EMD!AB3*24)</f>
        <v>5.2838197195673668</v>
      </c>
      <c r="AD76" s="1230">
        <f>+EMD!AC65/(EMD!AC3*24)</f>
        <v>3.1366666666666663</v>
      </c>
      <c r="AE76" s="343">
        <f t="shared" si="115"/>
        <v>5.1506705281516814</v>
      </c>
      <c r="AF76" s="343">
        <f t="shared" si="115"/>
        <v>3.6168588543305309</v>
      </c>
      <c r="AG76" s="1033">
        <f>+EMD!AF65/(EMD!AF3*24)</f>
        <v>6.1086145139970123</v>
      </c>
      <c r="AH76" s="1230">
        <f>+EMD!AG65/(EMD!AG3*24)</f>
        <v>2.5615555555555556</v>
      </c>
      <c r="AI76" s="343">
        <f t="shared" si="116"/>
        <v>5.2684505264113533</v>
      </c>
      <c r="AJ76" s="343">
        <f t="shared" si="116"/>
        <v>3.4871084487434438</v>
      </c>
      <c r="AK76" s="1033">
        <f>+EMD!AJ65/(EMD!AJ3*24)</f>
        <v>6.1450051852178138</v>
      </c>
      <c r="AL76" s="1230">
        <f>+EMD!AK65/(EMD!AK3*24)</f>
        <v>2.973973241480067</v>
      </c>
      <c r="AM76" s="345">
        <f t="shared" si="117"/>
        <v>5.8429566029157716</v>
      </c>
      <c r="AN76" s="345">
        <f t="shared" si="117"/>
        <v>2.8943098241219065</v>
      </c>
      <c r="AO76" s="343">
        <f t="shared" si="118"/>
        <v>5.3672621424949902</v>
      </c>
      <c r="AP76" s="343">
        <f t="shared" si="118"/>
        <v>3.4292641162882997</v>
      </c>
      <c r="AQ76" s="1033">
        <f>+EMD!AP65/(EMD!AP3*24)</f>
        <v>6.1483888035924004</v>
      </c>
      <c r="AR76" s="1230">
        <f>+EMD!AQ65/(EMD!AQ3*24)</f>
        <v>3.9895295698924733</v>
      </c>
      <c r="AS76" s="343">
        <f t="shared" si="119"/>
        <v>5.4463958892074729</v>
      </c>
      <c r="AT76" s="343">
        <f t="shared" si="119"/>
        <v>3.4860230347906835</v>
      </c>
      <c r="AU76" s="1033">
        <f>+EMD!AT65/(EMD!AT3*24)</f>
        <v>6.1928389643764445</v>
      </c>
      <c r="AV76" s="1230">
        <f>+EMD!AU65/(EMD!AU3*24)</f>
        <v>3.2294494047619047</v>
      </c>
      <c r="AW76" s="343">
        <f t="shared" si="120"/>
        <v>5.5089719553893035</v>
      </c>
      <c r="AX76" s="343">
        <f t="shared" si="121"/>
        <v>3.4645138682014447</v>
      </c>
      <c r="AY76" s="1033">
        <f>+EMD!AX65/(EMD!AX3*24)</f>
        <v>5.4576272148850853</v>
      </c>
      <c r="AZ76" s="5021">
        <f>+EMD!AY65/(EMD!AY3*24)</f>
        <v>3.069045698924731</v>
      </c>
      <c r="BA76" s="345">
        <f>+((AQ76*AQ$2)+(AU76*AU$2)+(AY76*AY$2))/BA$2</f>
        <v>5.9242887508371398</v>
      </c>
      <c r="BB76" s="345">
        <f t="shared" si="122"/>
        <v>3.4360046296296298</v>
      </c>
      <c r="BC76" s="457">
        <f t="shared" si="123"/>
        <v>5.8831757969428207</v>
      </c>
      <c r="BD76" s="457">
        <f t="shared" si="123"/>
        <v>3.1621808817905612</v>
      </c>
      <c r="BE76" s="343">
        <f t="shared" si="124"/>
        <v>5.5046111692094932</v>
      </c>
      <c r="BF76" s="343">
        <f t="shared" si="125"/>
        <v>3.4309261606738333</v>
      </c>
      <c r="BG76" s="3464"/>
      <c r="BH76" s="3464"/>
      <c r="BI76" s="23"/>
      <c r="BJ76" s="23"/>
      <c r="BK76" s="23"/>
      <c r="BL76" s="23"/>
      <c r="BM76" s="23"/>
      <c r="BN76" s="23"/>
    </row>
    <row r="77" spans="1:66" x14ac:dyDescent="0.3">
      <c r="B77" s="9" t="s">
        <v>1831</v>
      </c>
      <c r="C77" s="712"/>
      <c r="D77" s="146" t="s">
        <v>298</v>
      </c>
      <c r="E77" s="1033">
        <f>+EMD!D87/(EMD!D3*24)</f>
        <v>0</v>
      </c>
      <c r="F77" s="1230">
        <f>+EMD!E87/(EMD!E3*24)</f>
        <v>3.3845833333333335</v>
      </c>
      <c r="G77" s="1033">
        <f>+EMD!F87/(EMD!F3*24)</f>
        <v>0</v>
      </c>
      <c r="H77" s="1230">
        <f>+EMD!G87/(EMD!G3*24)</f>
        <v>0.41249999999999998</v>
      </c>
      <c r="I77" s="343">
        <f t="shared" ref="I77" si="126">+((E77*E$2)+(G77*G$2))/I$2</f>
        <v>0</v>
      </c>
      <c r="J77" s="343">
        <f t="shared" ref="J77" si="127">+((F77*F$2)+(H77*H$2))/J$2</f>
        <v>1.8741803278688525</v>
      </c>
      <c r="K77" s="1033">
        <f>+EMD!J87/(EMD!J3*24)</f>
        <v>0.90869141551223265</v>
      </c>
      <c r="L77" s="1230">
        <f>+EMD!K87/(EMD!K3*24)</f>
        <v>3.4352418209536273</v>
      </c>
      <c r="M77" s="345">
        <f t="shared" ref="M77" si="128">+((E77*E$2)+(G77*G$2)+(K77*K$2))/M$2</f>
        <v>0.29956859852051626</v>
      </c>
      <c r="N77" s="345">
        <f t="shared" ref="N77" si="129">+((F77*F$2)+(H77*H$2)+(L77*L$2))/N$2</f>
        <v>2.3888159849297672</v>
      </c>
      <c r="O77" s="1033">
        <f>+EMD!N87/(EMD!N3*24)</f>
        <v>0.90631465833084468</v>
      </c>
      <c r="P77" s="1230">
        <f>+EMD!O87/(EMD!O3*24)</f>
        <v>3.3405924576568791</v>
      </c>
      <c r="Q77" s="343">
        <f t="shared" ref="Q77" si="130">+((M77*M$2)+(O77*O$2))/Q$2</f>
        <v>0.45374177765264889</v>
      </c>
      <c r="R77" s="343">
        <f t="shared" ref="R77" si="131">+((N77*N$2)+(P77*P$2))/R$2</f>
        <v>2.630660826360427</v>
      </c>
      <c r="S77" s="1033">
        <f>+EMD!R87/(EMD!R3*24)</f>
        <v>0.90631465833084468</v>
      </c>
      <c r="T77" s="1230">
        <f>+EMD!S87/(EMD!S3*24)</f>
        <v>3.2347257116139616</v>
      </c>
      <c r="U77" s="343">
        <f t="shared" ref="U77" si="132">+((Q77*Q$2)+(S77*S$2))/U$2</f>
        <v>0.5454395508619565</v>
      </c>
      <c r="V77" s="343">
        <f t="shared" ref="V77" si="133">+((R77*R$2)+(T77*T$2))/V$2</f>
        <v>2.7530530580131036</v>
      </c>
      <c r="W77" s="1033">
        <f>+EMD!V87/(EMD!V3*24)</f>
        <v>0</v>
      </c>
      <c r="X77" s="1230">
        <f>+EMD!W87/(EMD!W3*24)</f>
        <v>4.1248611111111115</v>
      </c>
      <c r="Y77" s="345">
        <f t="shared" ref="Y77" si="134">+((O77*O$2)+(S77*S$2)+(W77*W$2))/Y$2</f>
        <v>0.6107772697446997</v>
      </c>
      <c r="Z77" s="345">
        <f t="shared" ref="Z77" si="135">+((P77*P$2)+(T77*T$2)+(X77*X$2))/Z$2</f>
        <v>3.5606597454427109</v>
      </c>
      <c r="AA77" s="457">
        <f t="shared" ref="AA77" si="136">+((M77*M$2)+(Y77*Y$2))/AA$2</f>
        <v>0.45602323104852105</v>
      </c>
      <c r="AB77" s="457">
        <f t="shared" ref="AB77" si="137">+((N77*N$2)+(Z77*Z$2))/AB$2</f>
        <v>2.9779396240947444</v>
      </c>
      <c r="AC77" s="1033">
        <f>+EMD!AB87/(EMD!AB3*24)</f>
        <v>0.88990284370824413</v>
      </c>
      <c r="AD77" s="1230">
        <f>+EMD!AC87/(EMD!AC3*24)</f>
        <v>2.6266129032258063</v>
      </c>
      <c r="AE77" s="343">
        <f t="shared" ref="AE77" si="138">+((AA77*AA$2)+(AC77*AC$2))/AE$2</f>
        <v>0.51887495063941547</v>
      </c>
      <c r="AF77" s="343">
        <f t="shared" ref="AF77" si="139">+((AB77*AB$2)+(AD77*AD$2))/AF$2</f>
        <v>2.9270465009782161</v>
      </c>
      <c r="AG77" s="1033">
        <f>+EMD!AF87/(EMD!AF3*24)</f>
        <v>0</v>
      </c>
      <c r="AH77" s="1230">
        <f>+EMD!AG87/(EMD!AG3*24)</f>
        <v>5.1883333333333335</v>
      </c>
      <c r="AI77" s="343">
        <f t="shared" ref="AI77" si="140">+((AE77*AE$2)+(AG77*AG$2))/AI$2</f>
        <v>0.45507885015096272</v>
      </c>
      <c r="AJ77" s="343">
        <f t="shared" ref="AJ77" si="141">+((AF77*AF$2)+(AH77*AH$2))/AJ$2</f>
        <v>3.2050735705300744</v>
      </c>
      <c r="AK77" s="1033">
        <f>+EMD!AJ87/(EMD!AJ3*24)</f>
        <v>0</v>
      </c>
      <c r="AL77" s="1230">
        <f>+EMD!AK87/(EMD!AK3*24)</f>
        <v>5.3995968286699441</v>
      </c>
      <c r="AM77" s="345">
        <f t="shared" ref="AM77" si="142">+((AC77*AC$2)+(AG77*AG$2)+(AK77*AK$2))/AM$2</f>
        <v>0.29985856690169094</v>
      </c>
      <c r="AN77" s="345">
        <f t="shared" ref="AN77" si="143">+((AD77*AD$2)+(AH77*AH$2)+(AL77*AL$2))/AN$2</f>
        <v>4.3963315400953071</v>
      </c>
      <c r="AO77" s="343">
        <f t="shared" ref="AO77" si="144">+((AK77*AK$2)+(AI77*AI$2))/AO$2</f>
        <v>0.40377905249758145</v>
      </c>
      <c r="AP77" s="343">
        <f t="shared" ref="AP77" si="145">+((AL77*AL$2)+(AJ77*AJ$2))/AP$2</f>
        <v>3.4524561923567507</v>
      </c>
      <c r="AQ77" s="1033">
        <f>+EMD!AP87/(EMD!AP3*24)</f>
        <v>0</v>
      </c>
      <c r="AR77" s="1230">
        <f>+EMD!AQ87/(EMD!AQ3*24)</f>
        <v>5.3150537634408606</v>
      </c>
      <c r="AS77" s="343">
        <f t="shared" ref="AS77" si="146">+((AO77*AO$2)+(AQ77*AQ$2))/AS$2</f>
        <v>0.3628733314929245</v>
      </c>
      <c r="AT77" s="343">
        <f t="shared" ref="AT77" si="147">+((AP77*AP$2)+(AR77*AR$2))/AT$2</f>
        <v>3.641150717531938</v>
      </c>
      <c r="AU77" s="1033">
        <f>+EMD!AT87/(EMD!AT3*24)</f>
        <v>0</v>
      </c>
      <c r="AV77" s="1230">
        <f>+EMD!AU87/(EMD!AU3*24)</f>
        <v>4.5860119047619055</v>
      </c>
      <c r="AW77" s="343">
        <f t="shared" si="120"/>
        <v>0.33245281268513438</v>
      </c>
      <c r="AX77" s="343">
        <f t="shared" si="121"/>
        <v>3.7203606374194802</v>
      </c>
      <c r="AY77" s="1033">
        <f>+EMD!AX87/(EMD!AX3*24)</f>
        <v>0.89785509725087309</v>
      </c>
      <c r="AZ77" s="5021">
        <f>+EMD!AY87/(EMD!AY3*24)</f>
        <v>4.3385752688172046</v>
      </c>
      <c r="BA77" s="345">
        <f>+EMD!AZ87/(EMD!AZ3*24)</f>
        <v>0.30926120016418962</v>
      </c>
      <c r="BB77" s="345">
        <f>+EMD!BA87/(EMD!BA3*24)</f>
        <v>4.7518981481481486</v>
      </c>
      <c r="BC77" s="457">
        <f>+EMD!BB87/(EMD!BB3*24)</f>
        <v>0.30450822071281669</v>
      </c>
      <c r="BD77" s="457">
        <f>+EMD!BC87/(EMD!BC3*24)</f>
        <v>4.5721611814401184</v>
      </c>
      <c r="BE77" s="343">
        <f>+EMD!BD87/(EMD!BD3*24)</f>
        <v>0.38047328068934788</v>
      </c>
      <c r="BF77" s="343">
        <f>+EMD!BE87/(EMD!BE3*24)</f>
        <v>3.7728665376203825</v>
      </c>
      <c r="BG77" s="3464"/>
      <c r="BH77" s="3464"/>
      <c r="BI77" s="23"/>
      <c r="BJ77" s="23"/>
      <c r="BK77" s="23"/>
      <c r="BL77" s="23"/>
      <c r="BM77" s="23"/>
      <c r="BN77" s="23"/>
    </row>
    <row r="78" spans="1:66" x14ac:dyDescent="0.3">
      <c r="B78" s="9" t="s">
        <v>308</v>
      </c>
      <c r="C78" s="712"/>
      <c r="D78" s="146" t="s">
        <v>298</v>
      </c>
      <c r="E78" s="1033">
        <f>+EMD!D104/(EMD!D3*24)</f>
        <v>1.1509148380802339</v>
      </c>
      <c r="F78" s="1230">
        <f>+EMD!E104/(EMD!E3*24)</f>
        <v>0.9605611111111112</v>
      </c>
      <c r="G78" s="1033">
        <f>+EMD!F104/(EMD!F3*24)</f>
        <v>1.1688084860201</v>
      </c>
      <c r="H78" s="1230">
        <f>+EMD!G104/(EMD!G3*24)</f>
        <v>0.56570026881720425</v>
      </c>
      <c r="I78" s="343">
        <f t="shared" si="109"/>
        <v>1.1600083312955758</v>
      </c>
      <c r="J78" s="343">
        <f t="shared" si="109"/>
        <v>0.75989412568306025</v>
      </c>
      <c r="K78" s="1033">
        <f>+EMD!J104/(EMD!J3*24)</f>
        <v>1.0201460239127076</v>
      </c>
      <c r="L78" s="1230">
        <f>+EMD!K104/(EMD!K3*24)</f>
        <v>1.2030890547647561</v>
      </c>
      <c r="M78" s="345">
        <f t="shared" si="110"/>
        <v>1.1138998783122127</v>
      </c>
      <c r="N78" s="345">
        <f t="shared" si="110"/>
        <v>0.90600234406164137</v>
      </c>
      <c r="O78" s="1033">
        <f>+EMD!N104/(EMD!N3*24)</f>
        <v>1.0390801145811881</v>
      </c>
      <c r="P78" s="1230">
        <f>+EMD!O104/(EMD!O3*24)</f>
        <v>1.353272680953324</v>
      </c>
      <c r="Q78" s="343">
        <f t="shared" si="111"/>
        <v>1.0948882990035098</v>
      </c>
      <c r="R78" s="343">
        <f t="shared" si="111"/>
        <v>1.0196530034357574</v>
      </c>
      <c r="S78" s="1033">
        <f>+EMD!R104/(EMD!R3*24)</f>
        <v>1.0390801145811881</v>
      </c>
      <c r="T78" s="1230">
        <f>+EMD!S104/(EMD!S3*24)</f>
        <v>1.1708114928373015</v>
      </c>
      <c r="U78" s="343">
        <f t="shared" si="112"/>
        <v>1.0835807583689216</v>
      </c>
      <c r="V78" s="343">
        <f t="shared" si="112"/>
        <v>1.0502798869092729</v>
      </c>
      <c r="W78" s="1033">
        <f>+EMD!V104/(EMD!V3*24)</f>
        <v>0.47420399336729552</v>
      </c>
      <c r="X78" s="1230">
        <f>+EMD!W104/(EMD!W3*24)</f>
        <v>1.3226972222222222</v>
      </c>
      <c r="Y78" s="345">
        <f t="shared" si="113"/>
        <v>0.85488137940274489</v>
      </c>
      <c r="Z78" s="345">
        <f t="shared" si="113"/>
        <v>1.2818209353714787</v>
      </c>
      <c r="AA78" s="457">
        <f t="shared" si="114"/>
        <v>0.98368292804078628</v>
      </c>
      <c r="AB78" s="457">
        <f t="shared" si="114"/>
        <v>1.0949384664687727</v>
      </c>
      <c r="AC78" s="1033">
        <f>+EMD!AB104/(EMD!AB3*24)</f>
        <v>1.0341033545825422</v>
      </c>
      <c r="AD78" s="1230">
        <f>+EMD!AC104/(EMD!AC3*24)</f>
        <v>1.0375685483870969</v>
      </c>
      <c r="AE78" s="343">
        <f t="shared" si="115"/>
        <v>0.9909868216052462</v>
      </c>
      <c r="AF78" s="343">
        <f t="shared" si="115"/>
        <v>1.0866278708588104</v>
      </c>
      <c r="AG78" s="1033">
        <f>+EMD!AF104/(EMD!AF3*24)</f>
        <v>1.1763046047886021</v>
      </c>
      <c r="AH78" s="1230">
        <f>+EMD!AG104/(EMD!AG3*24)</f>
        <v>1.2722597222222223</v>
      </c>
      <c r="AI78" s="343">
        <f t="shared" si="116"/>
        <v>1.0137717949474623</v>
      </c>
      <c r="AJ78" s="343">
        <f t="shared" si="116"/>
        <v>1.1094514591411972</v>
      </c>
      <c r="AK78" s="1033">
        <f>+EMD!AJ104/(EMD!AJ3*24)</f>
        <v>1.1833756996112235</v>
      </c>
      <c r="AL78" s="1230">
        <f>+EMD!AK104/(EMD!AK3*24)</f>
        <v>1.5853452459054242</v>
      </c>
      <c r="AM78" s="345">
        <f t="shared" si="117"/>
        <v>1.1307716176485303</v>
      </c>
      <c r="AN78" s="345">
        <f t="shared" si="117"/>
        <v>1.2986752096710306</v>
      </c>
      <c r="AO78" s="343">
        <f t="shared" si="118"/>
        <v>1.0328907805641045</v>
      </c>
      <c r="AP78" s="343">
        <f t="shared" si="118"/>
        <v>1.1630976678309828</v>
      </c>
      <c r="AQ78" s="1033">
        <f>+EMD!AP104/(EMD!AP3*24)</f>
        <v>1.1833756996112235</v>
      </c>
      <c r="AR78" s="1230">
        <f>+EMD!AQ104/(EMD!AQ3*24)</f>
        <v>1.7018884408602148</v>
      </c>
      <c r="AS78" s="343">
        <f t="shared" si="119"/>
        <v>1.0481359847812963</v>
      </c>
      <c r="AT78" s="343">
        <f t="shared" si="119"/>
        <v>1.2176810467979964</v>
      </c>
      <c r="AU78" s="1033">
        <f>+EMD!AT104/(EMD!AT3*24)</f>
        <v>1.2170911029943905</v>
      </c>
      <c r="AV78" s="1230">
        <f>+EMD!AU104/(EMD!AU3*24)</f>
        <v>1.2154702380952382</v>
      </c>
      <c r="AW78" s="343">
        <f t="shared" si="120"/>
        <v>1.0622998869069449</v>
      </c>
      <c r="AX78" s="343">
        <f t="shared" si="121"/>
        <v>1.2174957095414778</v>
      </c>
      <c r="AY78" s="1033">
        <f>+EMD!AX104/(EMD!AX3*24)</f>
        <v>1.0852256383920056</v>
      </c>
      <c r="AZ78" s="5021">
        <f>+EMD!AY104/(EMD!AY3*24)</f>
        <v>1.0052688172043009</v>
      </c>
      <c r="BA78" s="345">
        <f>+((AQ78*AQ$2)+(AU78*AU$2)+(AY78*AY$2))/BA$2</f>
        <v>1.1600576929104784</v>
      </c>
      <c r="BB78" s="345">
        <f t="shared" si="122"/>
        <v>1.310611574074074</v>
      </c>
      <c r="BC78" s="457">
        <f t="shared" si="123"/>
        <v>1.1452537427780651</v>
      </c>
      <c r="BD78" s="457">
        <f t="shared" si="123"/>
        <v>1.3045778074527554</v>
      </c>
      <c r="BE78" s="343">
        <f t="shared" si="124"/>
        <v>1.0642470055262241</v>
      </c>
      <c r="BF78" s="343">
        <f t="shared" si="125"/>
        <v>1.199470959781334</v>
      </c>
      <c r="BG78" s="3464"/>
      <c r="BH78" s="3464"/>
      <c r="BI78" s="23"/>
      <c r="BJ78" s="23"/>
      <c r="BK78" s="23"/>
      <c r="BL78" s="23"/>
      <c r="BM78" s="23"/>
      <c r="BN78" s="23"/>
    </row>
    <row r="79" spans="1:66" ht="15" thickBot="1" x14ac:dyDescent="0.35">
      <c r="B79" s="11" t="s">
        <v>309</v>
      </c>
      <c r="C79" s="820"/>
      <c r="D79" s="821" t="s">
        <v>525</v>
      </c>
      <c r="E79" s="178">
        <f>+E56/E70</f>
        <v>137.88244766505636</v>
      </c>
      <c r="F79" s="96">
        <f t="shared" ref="F79:AB79" si="148">+F56/F70</f>
        <v>131.30293988334273</v>
      </c>
      <c r="G79" s="178">
        <f>+G56/G70</f>
        <v>142.91465378421898</v>
      </c>
      <c r="H79" s="96">
        <f t="shared" ref="H79" si="149">+H56/H70</f>
        <v>130.07479589837385</v>
      </c>
      <c r="I79" s="240">
        <f t="shared" si="148"/>
        <v>140.39855072463769</v>
      </c>
      <c r="J79" s="240">
        <f t="shared" si="148"/>
        <v>130.92250546249105</v>
      </c>
      <c r="K79" s="178">
        <f>+K56/K70</f>
        <v>137.30803974706413</v>
      </c>
      <c r="L79" s="96">
        <f t="shared" ref="L79" si="150">+L56/L70</f>
        <v>129.52573430263243</v>
      </c>
      <c r="M79" s="322">
        <f t="shared" ref="M79:N79" si="151">+M56/M70</f>
        <v>139.29287053196305</v>
      </c>
      <c r="N79" s="322">
        <f t="shared" si="151"/>
        <v>130.35214024083706</v>
      </c>
      <c r="O79" s="178">
        <f>+O56/O70</f>
        <v>137.63066202090593</v>
      </c>
      <c r="P79" s="96">
        <f t="shared" ref="P79" si="152">+P56/P70</f>
        <v>140.27690632965184</v>
      </c>
      <c r="Q79" s="240">
        <f t="shared" si="148"/>
        <v>138.84305313280845</v>
      </c>
      <c r="R79" s="240">
        <f t="shared" si="148"/>
        <v>133.43619870303468</v>
      </c>
      <c r="S79" s="178">
        <f>+S56/S70</f>
        <v>137.63066202090593</v>
      </c>
      <c r="T79" s="96">
        <f t="shared" ref="T79" si="153">+T56/T70</f>
        <v>132.17232096184014</v>
      </c>
      <c r="U79" s="240">
        <f t="shared" ref="U79:V79" si="154">+U56/U70</f>
        <v>138.58483915253609</v>
      </c>
      <c r="V79" s="240">
        <f t="shared" si="154"/>
        <v>133.15657671549741</v>
      </c>
      <c r="W79" s="178">
        <f>+W56/W70</f>
        <v>128.72628726287263</v>
      </c>
      <c r="X79" s="96">
        <f t="shared" ref="X79" si="155">+X56/X70</f>
        <v>132.73645138861181</v>
      </c>
      <c r="Y79" s="345">
        <f t="shared" si="148"/>
        <v>135.46473302570863</v>
      </c>
      <c r="Z79" s="345">
        <f t="shared" si="148"/>
        <v>135.21851851856002</v>
      </c>
      <c r="AA79" s="457">
        <f t="shared" si="148"/>
        <v>137.39760451682386</v>
      </c>
      <c r="AB79" s="430">
        <f t="shared" si="148"/>
        <v>133.08035058749098</v>
      </c>
      <c r="AC79" s="178">
        <f>+AC56/AC70</f>
        <v>135.88850174216029</v>
      </c>
      <c r="AD79" s="96">
        <f t="shared" ref="AD79" si="156">+AD56/AD70</f>
        <v>128.85754931714737</v>
      </c>
      <c r="AE79" s="240">
        <f t="shared" ref="AE79:AF79" si="157">+AE56/AE70</f>
        <v>137.1595063357247</v>
      </c>
      <c r="AF79" s="240">
        <f t="shared" si="157"/>
        <v>132.61190954916884</v>
      </c>
      <c r="AG79" s="178">
        <f>+AG56/AG70</f>
        <v>137.30803974706413</v>
      </c>
      <c r="AH79" s="96">
        <f t="shared" ref="AH79" si="158">+AH56/AH70</f>
        <v>128.11234207016528</v>
      </c>
      <c r="AI79" s="240">
        <f t="shared" ref="AI79:AJ79" si="159">+AI56/AI70</f>
        <v>137.179120145052</v>
      </c>
      <c r="AJ79" s="240">
        <f t="shared" si="159"/>
        <v>132.01590451209688</v>
      </c>
      <c r="AK79" s="178">
        <f>+AK56/AK70</f>
        <v>137.63066202090593</v>
      </c>
      <c r="AL79" s="96">
        <f t="shared" ref="AL79" si="160">+AL56/AL70</f>
        <v>135.25398828923409</v>
      </c>
      <c r="AM79" s="345">
        <f t="shared" ref="AM79:AP79" si="161">+AM56/AM70</f>
        <v>136.93799588598296</v>
      </c>
      <c r="AN79" s="345">
        <f t="shared" si="161"/>
        <v>131.09614999306046</v>
      </c>
      <c r="AO79" s="240">
        <f t="shared" si="161"/>
        <v>137.23350679872419</v>
      </c>
      <c r="AP79" s="240">
        <f t="shared" si="161"/>
        <v>132.43058216946551</v>
      </c>
      <c r="AQ79" s="178">
        <f>+AQ56/AQ70</f>
        <v>137.63066202090593</v>
      </c>
      <c r="AR79" s="96">
        <f t="shared" ref="AR79" si="162">+AR56/AR70</f>
        <v>139.70140019537632</v>
      </c>
      <c r="AS79" s="240">
        <f t="shared" ref="AS79:AT79" si="163">+AS56/AS70</f>
        <v>137.27620046445426</v>
      </c>
      <c r="AT79" s="240">
        <f t="shared" si="163"/>
        <v>133.26902668077628</v>
      </c>
      <c r="AU79" s="178">
        <f>+AU56/AU70</f>
        <v>138.4049554781262</v>
      </c>
      <c r="AV79" s="96">
        <f t="shared" ref="AV79" si="164">+AV56/AV70</f>
        <v>136.38732965009225</v>
      </c>
      <c r="AW79" s="240">
        <f t="shared" ref="AW79:AX79" si="165">+AW56/AW70</f>
        <v>137.3757726853591</v>
      </c>
      <c r="AX79" s="240">
        <f t="shared" si="165"/>
        <v>133.55752152581545</v>
      </c>
      <c r="AY79" s="178">
        <f>+AY56/AY70</f>
        <v>139.37282229965157</v>
      </c>
      <c r="AZ79" s="1185">
        <f t="shared" ref="AZ79" si="166">+AZ56/AZ70</f>
        <v>135.77081707724892</v>
      </c>
      <c r="BA79" s="345">
        <f t="shared" ref="BA79:BF79" si="167">+BA56/BA70</f>
        <v>138.47170491409349</v>
      </c>
      <c r="BB79" s="345">
        <f t="shared" si="167"/>
        <v>137.33692126552486</v>
      </c>
      <c r="BC79" s="457">
        <f t="shared" si="167"/>
        <v>137.69644395591337</v>
      </c>
      <c r="BD79" s="457">
        <f t="shared" si="167"/>
        <v>134.41730489221916</v>
      </c>
      <c r="BE79" s="240">
        <f t="shared" si="167"/>
        <v>137.55404186494977</v>
      </c>
      <c r="BF79" s="240">
        <f t="shared" si="167"/>
        <v>133.76219764639535</v>
      </c>
      <c r="BG79" s="3464"/>
      <c r="BH79" s="3464"/>
      <c r="BI79" s="23"/>
      <c r="BJ79" s="23"/>
      <c r="BK79" s="23"/>
      <c r="BL79" s="23"/>
      <c r="BM79" s="23"/>
      <c r="BN79" s="23"/>
    </row>
    <row r="80" spans="1:66" x14ac:dyDescent="0.3">
      <c r="B80" s="142"/>
      <c r="C80" s="142"/>
      <c r="D80" s="142"/>
      <c r="E80" s="536"/>
      <c r="F80" s="536"/>
      <c r="G80" s="536"/>
      <c r="H80" s="536"/>
      <c r="I80" s="536"/>
      <c r="J80" s="536"/>
      <c r="K80" s="536"/>
      <c r="L80" s="536"/>
      <c r="M80" s="536"/>
      <c r="N80" s="536"/>
      <c r="O80" s="536"/>
      <c r="P80" s="536"/>
      <c r="Q80" s="536"/>
      <c r="R80" s="536"/>
      <c r="S80" s="536"/>
      <c r="T80" s="536"/>
      <c r="U80" s="536"/>
      <c r="V80" s="536"/>
      <c r="W80" s="536"/>
      <c r="X80" s="536"/>
      <c r="Y80" s="536"/>
      <c r="Z80" s="536"/>
      <c r="AA80" s="536"/>
      <c r="AB80" s="536"/>
      <c r="AC80" s="536"/>
      <c r="AD80" s="536"/>
      <c r="AE80" s="536"/>
      <c r="AF80" s="536"/>
      <c r="AG80" s="536"/>
      <c r="AH80" s="536"/>
      <c r="AI80" s="536"/>
      <c r="AJ80" s="536"/>
      <c r="AK80" s="536"/>
      <c r="AL80" s="536"/>
      <c r="AM80" s="536"/>
      <c r="AN80" s="536"/>
      <c r="AO80" s="536"/>
      <c r="AP80" s="536"/>
      <c r="AQ80" s="536"/>
      <c r="AR80" s="536"/>
      <c r="AS80" s="536"/>
      <c r="AT80" s="536"/>
      <c r="AU80" s="536"/>
      <c r="AV80" s="536"/>
      <c r="AW80" s="536"/>
      <c r="AX80" s="536"/>
      <c r="AY80" s="536"/>
      <c r="AZ80" s="138"/>
      <c r="BA80" s="536"/>
      <c r="BB80" s="536"/>
      <c r="BC80" s="536"/>
      <c r="BD80" s="536"/>
      <c r="BE80" s="536"/>
      <c r="BF80" s="536"/>
      <c r="BG80" s="3464"/>
      <c r="BH80" s="3464"/>
      <c r="BI80" s="23"/>
      <c r="BJ80" s="23"/>
      <c r="BK80" s="23"/>
      <c r="BL80" s="23"/>
      <c r="BM80" s="23"/>
      <c r="BN80" s="23"/>
    </row>
    <row r="81" spans="2:66" x14ac:dyDescent="0.3">
      <c r="B81" s="243" t="s">
        <v>765</v>
      </c>
      <c r="C81" s="822"/>
      <c r="D81" s="12" t="s">
        <v>50</v>
      </c>
      <c r="E81" s="827"/>
      <c r="F81" s="335">
        <v>173.87999999999991</v>
      </c>
      <c r="G81" s="827"/>
      <c r="H81" s="335">
        <v>57.96</v>
      </c>
      <c r="I81" s="602"/>
      <c r="J81" s="35">
        <f>+F81+H81</f>
        <v>231.83999999999992</v>
      </c>
      <c r="K81" s="827"/>
      <c r="L81" s="335">
        <v>205.53499999999997</v>
      </c>
      <c r="M81" s="601"/>
      <c r="N81" s="717">
        <f>+F81+H81+L81</f>
        <v>437.37499999999989</v>
      </c>
      <c r="O81" s="827"/>
      <c r="P81" s="335">
        <v>211.64</v>
      </c>
      <c r="Q81" s="602"/>
      <c r="R81" s="718">
        <f>+N81+P81</f>
        <v>649.01499999999987</v>
      </c>
      <c r="S81" s="827"/>
      <c r="T81" s="335">
        <v>268.61999999999995</v>
      </c>
      <c r="U81" s="602"/>
      <c r="V81" s="718">
        <f>+R81+T81</f>
        <v>917.63499999999976</v>
      </c>
      <c r="W81" s="827"/>
      <c r="X81" s="335">
        <v>170.94</v>
      </c>
      <c r="Y81" s="717"/>
      <c r="Z81" s="717">
        <f>+P81+T81+X81</f>
        <v>651.19999999999993</v>
      </c>
      <c r="AA81" s="429"/>
      <c r="AB81" s="418">
        <f>+N81+Z81</f>
        <v>1088.5749999999998</v>
      </c>
      <c r="AC81" s="827"/>
      <c r="AD81" s="335">
        <v>128.20499999999998</v>
      </c>
      <c r="AE81" s="602"/>
      <c r="AF81" s="718">
        <f>+AB81+AD81</f>
        <v>1216.7799999999997</v>
      </c>
      <c r="AG81" s="827"/>
      <c r="AH81" s="335">
        <v>209.60499999999999</v>
      </c>
      <c r="AI81" s="602"/>
      <c r="AJ81" s="718">
        <f>+AF81+AH81</f>
        <v>1426.3849999999998</v>
      </c>
      <c r="AK81" s="827"/>
      <c r="AL81" s="335">
        <v>203.49999999999989</v>
      </c>
      <c r="AM81" s="717"/>
      <c r="AN81" s="717">
        <f>+AD81+AH81+AL81</f>
        <v>541.30999999999983</v>
      </c>
      <c r="AO81" s="602"/>
      <c r="AP81" s="718">
        <f t="shared" ref="AP81:AP82" si="168">AJ81+AL81</f>
        <v>1629.8849999999998</v>
      </c>
      <c r="AQ81" s="827"/>
      <c r="AR81" s="335">
        <v>155.24999999999997</v>
      </c>
      <c r="AS81" s="602"/>
      <c r="AT81" s="718">
        <f>+AP81+AR81</f>
        <v>1785.1349999999998</v>
      </c>
      <c r="AU81" s="827"/>
      <c r="AV81" s="335">
        <v>167.67</v>
      </c>
      <c r="AW81" s="602"/>
      <c r="AX81" s="718">
        <f>+AT81+AV81</f>
        <v>1952.8049999999998</v>
      </c>
      <c r="AY81" s="827"/>
      <c r="AZ81" s="320">
        <v>169.73999999999998</v>
      </c>
      <c r="BA81" s="717"/>
      <c r="BB81" s="717">
        <f>+AR81+AV81+AZ81</f>
        <v>492.65999999999997</v>
      </c>
      <c r="BC81" s="429"/>
      <c r="BD81" s="418">
        <f t="shared" ref="BD81:BD82" si="169">+AN81+BB81</f>
        <v>1033.9699999999998</v>
      </c>
      <c r="BE81" s="602"/>
      <c r="BF81" s="718">
        <f>+AX81+AZ81</f>
        <v>2122.5449999999996</v>
      </c>
      <c r="BG81" s="3464"/>
      <c r="BH81" s="3464"/>
      <c r="BI81" s="23"/>
      <c r="BJ81" s="23"/>
      <c r="BK81" s="23"/>
      <c r="BL81" s="23"/>
      <c r="BM81" s="23"/>
      <c r="BN81" s="23"/>
    </row>
    <row r="82" spans="2:66" x14ac:dyDescent="0.3">
      <c r="B82" s="243" t="s">
        <v>763</v>
      </c>
      <c r="C82" s="822"/>
      <c r="D82" s="12" t="s">
        <v>50</v>
      </c>
      <c r="E82" s="827"/>
      <c r="F82" s="335">
        <v>1642.6100000000029</v>
      </c>
      <c r="G82" s="827"/>
      <c r="H82" s="335">
        <v>730.20700000000068</v>
      </c>
      <c r="I82" s="602"/>
      <c r="J82" s="35">
        <f>+F82+H82</f>
        <v>2372.8170000000036</v>
      </c>
      <c r="K82" s="827"/>
      <c r="L82" s="335">
        <v>1191.5699999999988</v>
      </c>
      <c r="M82" s="601"/>
      <c r="N82" s="717">
        <f>+F82+H82+L82</f>
        <v>3564.3870000000024</v>
      </c>
      <c r="O82" s="827"/>
      <c r="P82" s="335">
        <v>1424.8509999999985</v>
      </c>
      <c r="Q82" s="602"/>
      <c r="R82" s="718">
        <f>+N82+P82</f>
        <v>4989.2380000000012</v>
      </c>
      <c r="S82" s="827"/>
      <c r="T82" s="335">
        <v>1228.706999999999</v>
      </c>
      <c r="U82" s="602"/>
      <c r="V82" s="718">
        <f>+R82+T82</f>
        <v>6217.9449999999997</v>
      </c>
      <c r="W82" s="827"/>
      <c r="X82" s="335">
        <v>1236.1709999999982</v>
      </c>
      <c r="Y82" s="601"/>
      <c r="Z82" s="717">
        <f>+P82+T82+X82</f>
        <v>3889.7289999999957</v>
      </c>
      <c r="AA82" s="429"/>
      <c r="AB82" s="418">
        <f>+N82+Z82</f>
        <v>7454.1159999999982</v>
      </c>
      <c r="AC82" s="827"/>
      <c r="AD82" s="335">
        <v>819.2999999999995</v>
      </c>
      <c r="AE82" s="602"/>
      <c r="AF82" s="718">
        <f>+AB82+AD82</f>
        <v>8273.4159999999974</v>
      </c>
      <c r="AG82" s="827"/>
      <c r="AH82" s="335">
        <v>1329.670000000001</v>
      </c>
      <c r="AI82" s="602"/>
      <c r="AJ82" s="718">
        <f>+AF82+AH82</f>
        <v>9603.0859999999993</v>
      </c>
      <c r="AK82" s="827"/>
      <c r="AL82" s="335">
        <v>1781.9890000000025</v>
      </c>
      <c r="AM82" s="601"/>
      <c r="AN82" s="717">
        <f>+AD82+AH82+AL82</f>
        <v>3930.9590000000026</v>
      </c>
      <c r="AO82" s="602"/>
      <c r="AP82" s="718">
        <f t="shared" si="168"/>
        <v>11385.075000000003</v>
      </c>
      <c r="AQ82" s="827"/>
      <c r="AR82" s="335">
        <v>1880.4570000000028</v>
      </c>
      <c r="AS82" s="602"/>
      <c r="AT82" s="718">
        <f>+AP82+AR82</f>
        <v>13265.532000000005</v>
      </c>
      <c r="AU82" s="827"/>
      <c r="AV82" s="335">
        <v>1625.222000000002</v>
      </c>
      <c r="AW82" s="602"/>
      <c r="AX82" s="718">
        <f t="shared" ref="AX82:AX83" si="170">+AT82+AV82</f>
        <v>14890.754000000006</v>
      </c>
      <c r="AY82" s="827"/>
      <c r="AZ82" s="320">
        <v>1835.6710000000032</v>
      </c>
      <c r="BA82" s="601"/>
      <c r="BB82" s="717">
        <f>+AR82+AV82+AZ82</f>
        <v>5341.3500000000076</v>
      </c>
      <c r="BC82" s="429"/>
      <c r="BD82" s="418">
        <f t="shared" si="169"/>
        <v>9272.3090000000102</v>
      </c>
      <c r="BE82" s="602"/>
      <c r="BF82" s="718">
        <f>+AX82+AZ82</f>
        <v>16726.42500000001</v>
      </c>
      <c r="BG82" s="3464"/>
      <c r="BH82" s="3464"/>
      <c r="BI82" s="23"/>
      <c r="BJ82" s="23"/>
      <c r="BK82" s="23"/>
      <c r="BL82" s="23"/>
      <c r="BM82" s="23"/>
      <c r="BN82" s="23"/>
    </row>
    <row r="83" spans="2:66" x14ac:dyDescent="0.3">
      <c r="B83" s="598" t="s">
        <v>785</v>
      </c>
      <c r="C83" s="598"/>
      <c r="D83" s="192" t="s">
        <v>50</v>
      </c>
      <c r="E83" s="827"/>
      <c r="F83" s="335">
        <f>SUM(F81:F82)</f>
        <v>1816.4900000000027</v>
      </c>
      <c r="G83" s="827"/>
      <c r="H83" s="335">
        <f>SUM(H81:H82)</f>
        <v>788.16700000000071</v>
      </c>
      <c r="I83" s="602"/>
      <c r="J83" s="336">
        <f>SUM(J81:J82)</f>
        <v>2604.6570000000038</v>
      </c>
      <c r="K83" s="827"/>
      <c r="L83" s="335">
        <f>SUM(L81:L82)</f>
        <v>1397.1049999999987</v>
      </c>
      <c r="M83" s="601"/>
      <c r="N83" s="411">
        <f>SUM(N81:N82)</f>
        <v>4001.7620000000024</v>
      </c>
      <c r="O83" s="827"/>
      <c r="P83" s="335">
        <f>SUM(P81:P82)</f>
        <v>1636.4909999999986</v>
      </c>
      <c r="Q83" s="602"/>
      <c r="R83" s="336">
        <f>SUM(R81:R82)</f>
        <v>5638.2530000000006</v>
      </c>
      <c r="S83" s="827"/>
      <c r="T83" s="335">
        <f>SUM(T81:T82)</f>
        <v>1497.3269999999989</v>
      </c>
      <c r="U83" s="602"/>
      <c r="V83" s="336">
        <f>SUM(V81:V82)</f>
        <v>7135.58</v>
      </c>
      <c r="W83" s="827"/>
      <c r="X83" s="335">
        <f>SUM(X81:X82)</f>
        <v>1407.1109999999983</v>
      </c>
      <c r="Y83" s="601"/>
      <c r="Z83" s="411">
        <f>SUM(Z81:Z82)</f>
        <v>4540.9289999999955</v>
      </c>
      <c r="AA83" s="771"/>
      <c r="AB83" s="434">
        <f>SUM(AB81:AB82)</f>
        <v>8542.6909999999989</v>
      </c>
      <c r="AC83" s="827"/>
      <c r="AD83" s="335">
        <f>SUM(AD81:AD82)</f>
        <v>947.50499999999943</v>
      </c>
      <c r="AE83" s="602"/>
      <c r="AF83" s="336">
        <f>SUM(AF81:AF82)</f>
        <v>9490.1959999999963</v>
      </c>
      <c r="AG83" s="827"/>
      <c r="AH83" s="335">
        <f>SUM(AH81:AH82)</f>
        <v>1539.275000000001</v>
      </c>
      <c r="AI83" s="602"/>
      <c r="AJ83" s="336">
        <f>SUM(AJ81:AJ82)</f>
        <v>11029.471</v>
      </c>
      <c r="AK83" s="827"/>
      <c r="AL83" s="335">
        <f>SUM(AL81:AL82)</f>
        <v>1985.4890000000023</v>
      </c>
      <c r="AM83" s="601"/>
      <c r="AN83" s="411">
        <f>SUM(AN81:AN82)</f>
        <v>4472.2690000000021</v>
      </c>
      <c r="AO83" s="602"/>
      <c r="AP83" s="336">
        <f>SUM(AP81:AP82)</f>
        <v>13014.960000000003</v>
      </c>
      <c r="AQ83" s="827"/>
      <c r="AR83" s="335">
        <f>SUM(AR81:AR82)</f>
        <v>2035.7070000000028</v>
      </c>
      <c r="AS83" s="602"/>
      <c r="AT83" s="336">
        <f>SUM(AT81:AT82)</f>
        <v>15050.667000000005</v>
      </c>
      <c r="AU83" s="827"/>
      <c r="AV83" s="335">
        <f>SUM(AV81:AV82)</f>
        <v>1792.8920000000021</v>
      </c>
      <c r="AW83" s="602"/>
      <c r="AX83" s="718">
        <f t="shared" si="170"/>
        <v>16843.559000000008</v>
      </c>
      <c r="AY83" s="827"/>
      <c r="AZ83" s="335">
        <f>SUM(AZ81:AZ82)</f>
        <v>2005.4110000000032</v>
      </c>
      <c r="BA83" s="601"/>
      <c r="BB83" s="411">
        <f>SUM(BB81:BB82)</f>
        <v>5834.0100000000075</v>
      </c>
      <c r="BC83" s="771"/>
      <c r="BD83" s="434">
        <f>SUM(BD81:BD82)</f>
        <v>10306.27900000001</v>
      </c>
      <c r="BE83" s="602"/>
      <c r="BF83" s="336">
        <f>SUM(BF81:BF82)</f>
        <v>18848.970000000008</v>
      </c>
      <c r="BG83" s="3464"/>
      <c r="BH83" s="3464"/>
      <c r="BI83" s="23"/>
      <c r="BJ83" s="23"/>
      <c r="BK83" s="23"/>
      <c r="BL83" s="23"/>
      <c r="BM83" s="23"/>
      <c r="BN83" s="23"/>
    </row>
    <row r="84" spans="2:66" x14ac:dyDescent="0.3">
      <c r="B84" s="598" t="s">
        <v>781</v>
      </c>
      <c r="C84" s="598"/>
      <c r="D84" s="192" t="s">
        <v>49</v>
      </c>
      <c r="E84" s="827"/>
      <c r="F84" s="403">
        <f>+F83/F5</f>
        <v>2.3336829658885519E-2</v>
      </c>
      <c r="G84" s="827"/>
      <c r="H84" s="403">
        <f>+H83/H5</f>
        <v>2.2786028671239647E-2</v>
      </c>
      <c r="I84" s="602"/>
      <c r="J84" s="404">
        <f>+J83/J5</f>
        <v>2.3167368379032723E-2</v>
      </c>
      <c r="K84" s="827"/>
      <c r="L84" s="403">
        <f>+L83/L5</f>
        <v>1.829178560234368E-2</v>
      </c>
      <c r="M84" s="601"/>
      <c r="N84" s="410">
        <f>+N83/N5</f>
        <v>2.1195026539636976E-2</v>
      </c>
      <c r="O84" s="827"/>
      <c r="P84" s="403">
        <f>+P83/P5</f>
        <v>1.7925674257982263E-2</v>
      </c>
      <c r="Q84" s="602"/>
      <c r="R84" s="409">
        <f>+R83/R5</f>
        <v>2.0129444082726142E-2</v>
      </c>
      <c r="S84" s="827"/>
      <c r="T84" s="403">
        <f>+T83/T5</f>
        <v>1.9015031750961892E-2</v>
      </c>
      <c r="U84" s="602"/>
      <c r="V84" s="409">
        <f>+V83/V5</f>
        <v>1.988489861865474E-2</v>
      </c>
      <c r="W84" s="827"/>
      <c r="X84" s="403">
        <f>+X83/X5</f>
        <v>1.7772493351565673E-2</v>
      </c>
      <c r="Y84" s="601"/>
      <c r="Z84" s="405">
        <f>+Z83/Z5</f>
        <v>1.8221218594525464E-2</v>
      </c>
      <c r="AA84" s="771"/>
      <c r="AB84" s="619">
        <f>+AB83/AB5</f>
        <v>1.9503072548202799E-2</v>
      </c>
      <c r="AC84" s="827"/>
      <c r="AD84" s="403">
        <f>+AD83/AD5</f>
        <v>1.7929035341433346E-2</v>
      </c>
      <c r="AE84" s="602"/>
      <c r="AF84" s="1480">
        <f>+AF83/AF5</f>
        <v>1.9333608599662482E-2</v>
      </c>
      <c r="AG84" s="827"/>
      <c r="AH84" s="403">
        <f>+AH83/AH5</f>
        <v>2.1213086899768287E-2</v>
      </c>
      <c r="AI84" s="602"/>
      <c r="AJ84" s="1480">
        <f>+AJ83/AJ5</f>
        <v>1.9575662139572059E-2</v>
      </c>
      <c r="AK84" s="827"/>
      <c r="AL84" s="403">
        <f>+AL83/AL5</f>
        <v>2.3321253628336765E-2</v>
      </c>
      <c r="AM84" s="601"/>
      <c r="AN84" s="405">
        <f>+AN83/AN5</f>
        <v>2.1241241649540447E-2</v>
      </c>
      <c r="AO84" s="602"/>
      <c r="AP84" s="1480">
        <f>+AP83/AP5</f>
        <v>2.0067342693602316E-2</v>
      </c>
      <c r="AQ84" s="827"/>
      <c r="AR84" s="403">
        <f>+AR83/AR5</f>
        <v>2.2773731632973665E-2</v>
      </c>
      <c r="AS84" s="602"/>
      <c r="AT84" s="404">
        <f>+AT83/AT5</f>
        <v>2.0395168265134791E-2</v>
      </c>
      <c r="AU84" s="827"/>
      <c r="AV84" s="403">
        <f>+AV83/AV5</f>
        <v>2.323129545843447E-2</v>
      </c>
      <c r="AW84" s="602"/>
      <c r="AX84" s="404">
        <f>+AX83/AX5</f>
        <v>2.0663690611649733E-2</v>
      </c>
      <c r="AY84" s="827"/>
      <c r="AZ84" s="403">
        <f>+AZ83/AZ5</f>
        <v>2.3055424331354706E-2</v>
      </c>
      <c r="BA84" s="601"/>
      <c r="BB84" s="405">
        <f>+BB83/BB5</f>
        <v>2.300964541858001E-2</v>
      </c>
      <c r="BC84" s="771"/>
      <c r="BD84" s="619">
        <f>+BD83/BD5</f>
        <v>2.2207367864739196E-2</v>
      </c>
      <c r="BE84" s="602"/>
      <c r="BF84" s="1480">
        <f>+BF83/BF5</f>
        <v>2.0894303392510104E-2</v>
      </c>
      <c r="BG84" s="3464"/>
      <c r="BH84" s="3464"/>
      <c r="BI84" s="23"/>
      <c r="BJ84" s="23"/>
      <c r="BK84" s="23"/>
      <c r="BL84" s="23"/>
      <c r="BM84" s="23"/>
      <c r="BN84" s="23"/>
    </row>
    <row r="85" spans="2:66" x14ac:dyDescent="0.3">
      <c r="B85" s="598" t="s">
        <v>784</v>
      </c>
      <c r="C85" s="598"/>
      <c r="D85" s="192" t="s">
        <v>50</v>
      </c>
      <c r="E85" s="827"/>
      <c r="F85" s="335">
        <f>+F57</f>
        <v>40.79</v>
      </c>
      <c r="G85" s="827"/>
      <c r="H85" s="335">
        <f>+H57</f>
        <v>21.970000000000002</v>
      </c>
      <c r="I85" s="602"/>
      <c r="J85" s="336">
        <f>+J57</f>
        <v>62.759999999999991</v>
      </c>
      <c r="K85" s="827"/>
      <c r="L85" s="335">
        <f>+L57</f>
        <v>35.289999999999992</v>
      </c>
      <c r="M85" s="601"/>
      <c r="N85" s="411">
        <f>+N57</f>
        <v>98.05</v>
      </c>
      <c r="O85" s="827"/>
      <c r="P85" s="335">
        <f>+P57</f>
        <v>44.150000000000006</v>
      </c>
      <c r="Q85" s="602"/>
      <c r="R85" s="336">
        <f>+R57</f>
        <v>142.19999999999999</v>
      </c>
      <c r="S85" s="827"/>
      <c r="T85" s="335">
        <f>+T57</f>
        <v>50.57</v>
      </c>
      <c r="U85" s="602"/>
      <c r="V85" s="336">
        <f>+V57</f>
        <v>192.77</v>
      </c>
      <c r="W85" s="827"/>
      <c r="X85" s="335">
        <f>+X57</f>
        <v>98.55</v>
      </c>
      <c r="Y85" s="601"/>
      <c r="Z85" s="411">
        <f>+Z57</f>
        <v>193.26999999999998</v>
      </c>
      <c r="AA85" s="771"/>
      <c r="AB85" s="434">
        <f>+AB57</f>
        <v>291.32</v>
      </c>
      <c r="AC85" s="827"/>
      <c r="AD85" s="335">
        <f>+AD57</f>
        <v>50</v>
      </c>
      <c r="AE85" s="602"/>
      <c r="AF85" s="336">
        <f>+AF57</f>
        <v>341.32</v>
      </c>
      <c r="AG85" s="827"/>
      <c r="AH85" s="335">
        <f>+AH57</f>
        <v>68.95</v>
      </c>
      <c r="AI85" s="602"/>
      <c r="AJ85" s="336">
        <f>+AJ57</f>
        <v>410.27000000000004</v>
      </c>
      <c r="AK85" s="827"/>
      <c r="AL85" s="335">
        <f>+AL57</f>
        <v>89.25</v>
      </c>
      <c r="AM85" s="601"/>
      <c r="AN85" s="411">
        <f>+AN57</f>
        <v>208.2</v>
      </c>
      <c r="AO85" s="602"/>
      <c r="AP85" s="336">
        <f>+AP57</f>
        <v>499.52</v>
      </c>
      <c r="AQ85" s="827"/>
      <c r="AR85" s="335">
        <f>+AR57</f>
        <v>32.229999999999997</v>
      </c>
      <c r="AS85" s="602"/>
      <c r="AT85" s="336">
        <f>+AT57</f>
        <v>531.75000000000011</v>
      </c>
      <c r="AU85" s="827"/>
      <c r="AV85" s="335">
        <f>+AV57</f>
        <v>15.78</v>
      </c>
      <c r="AW85" s="602"/>
      <c r="AX85" s="336">
        <f>+AX57</f>
        <v>547.53000000000009</v>
      </c>
      <c r="AY85" s="827"/>
      <c r="AZ85" s="335">
        <f>+AZ57</f>
        <v>108.43</v>
      </c>
      <c r="BA85" s="601"/>
      <c r="BB85" s="411">
        <f>+BB57</f>
        <v>156.44</v>
      </c>
      <c r="BC85" s="771"/>
      <c r="BD85" s="434">
        <f>+BD57</f>
        <v>364.63999999999993</v>
      </c>
      <c r="BE85" s="602"/>
      <c r="BF85" s="336">
        <f>+BF57</f>
        <v>655.96</v>
      </c>
      <c r="BG85" s="3464"/>
      <c r="BH85" s="3464"/>
      <c r="BI85" s="23"/>
      <c r="BJ85" s="23"/>
      <c r="BK85" s="23"/>
      <c r="BL85" s="23"/>
      <c r="BM85" s="23"/>
      <c r="BN85" s="23"/>
    </row>
    <row r="86" spans="2:66" x14ac:dyDescent="0.3">
      <c r="B86" s="243" t="s">
        <v>766</v>
      </c>
      <c r="C86" s="822"/>
      <c r="D86" s="12" t="s">
        <v>50</v>
      </c>
      <c r="E86" s="827"/>
      <c r="F86" s="335">
        <v>1319.5880000000009</v>
      </c>
      <c r="G86" s="827"/>
      <c r="H86" s="335">
        <v>586.86700000000042</v>
      </c>
      <c r="I86" s="602"/>
      <c r="J86" s="35">
        <f>+F86+H86</f>
        <v>1906.4550000000013</v>
      </c>
      <c r="K86" s="827"/>
      <c r="L86" s="335">
        <v>1302.4100000000014</v>
      </c>
      <c r="M86" s="601"/>
      <c r="N86" s="717">
        <f>+F86+H86+L86</f>
        <v>3208.8650000000025</v>
      </c>
      <c r="O86" s="827"/>
      <c r="P86" s="335">
        <v>1556.0040000000015</v>
      </c>
      <c r="Q86" s="602"/>
      <c r="R86" s="718">
        <f>+N86+P86</f>
        <v>4764.8690000000042</v>
      </c>
      <c r="S86" s="827"/>
      <c r="T86" s="335">
        <v>1342.794000000001</v>
      </c>
      <c r="U86" s="602"/>
      <c r="V86" s="718">
        <f>+R86+T86</f>
        <v>6107.663000000005</v>
      </c>
      <c r="W86" s="827"/>
      <c r="X86" s="335">
        <v>1348.8320000000012</v>
      </c>
      <c r="Y86" s="601"/>
      <c r="Z86" s="717">
        <f>+P86+T86+X86</f>
        <v>4247.6300000000037</v>
      </c>
      <c r="AA86" s="429"/>
      <c r="AB86" s="418">
        <f>+N86+Z86</f>
        <v>7456.4950000000063</v>
      </c>
      <c r="AC86" s="827"/>
      <c r="AD86" s="335">
        <v>899.73700000000099</v>
      </c>
      <c r="AE86" s="602"/>
      <c r="AF86" s="718">
        <f>+AB86+AD86</f>
        <v>8356.2320000000072</v>
      </c>
      <c r="AG86" s="827"/>
      <c r="AH86" s="335">
        <v>1233.5280000000007</v>
      </c>
      <c r="AI86" s="602"/>
      <c r="AJ86" s="718">
        <f>+AF86+AH86</f>
        <v>9589.7600000000075</v>
      </c>
      <c r="AK86" s="827"/>
      <c r="AL86" s="335">
        <v>1444.9570000000015</v>
      </c>
      <c r="AM86" s="601"/>
      <c r="AN86" s="717">
        <f>+AD86+AH86+AL86</f>
        <v>3578.2220000000034</v>
      </c>
      <c r="AO86" s="602"/>
      <c r="AP86" s="718">
        <f t="shared" ref="AP86" si="171">AJ86+AL86</f>
        <v>11034.71700000001</v>
      </c>
      <c r="AQ86" s="827"/>
      <c r="AR86" s="335">
        <v>1515.8440000000021</v>
      </c>
      <c r="AS86" s="602"/>
      <c r="AT86" s="718">
        <f>+AP86+AR86</f>
        <v>12550.561000000012</v>
      </c>
      <c r="AU86" s="827"/>
      <c r="AV86" s="335">
        <v>1308.7300000000009</v>
      </c>
      <c r="AW86" s="602"/>
      <c r="AX86" s="718">
        <f>+AT86+AV86</f>
        <v>13859.291000000014</v>
      </c>
      <c r="AY86" s="827"/>
      <c r="AZ86" s="320">
        <v>1475.2410000000009</v>
      </c>
      <c r="BA86" s="601"/>
      <c r="BB86" s="717">
        <f>+AR86+AV86+AZ86</f>
        <v>4299.8150000000041</v>
      </c>
      <c r="BC86" s="429"/>
      <c r="BD86" s="418">
        <f t="shared" ref="BD86" si="172">+AN86+BB86</f>
        <v>7878.0370000000075</v>
      </c>
      <c r="BE86" s="602"/>
      <c r="BF86" s="718">
        <f>+AX86+AZ86</f>
        <v>15334.532000000014</v>
      </c>
      <c r="BG86" s="3464"/>
      <c r="BH86" s="3464"/>
      <c r="BI86" s="23"/>
      <c r="BJ86" s="23"/>
      <c r="BK86" s="23"/>
      <c r="BL86" s="23"/>
      <c r="BM86" s="23"/>
      <c r="BN86" s="23"/>
    </row>
    <row r="87" spans="2:66" x14ac:dyDescent="0.3">
      <c r="B87" s="142"/>
      <c r="C87" s="142"/>
      <c r="D87" s="142"/>
      <c r="E87" s="536"/>
      <c r="F87" s="536"/>
      <c r="G87" s="536"/>
      <c r="H87" s="536"/>
      <c r="I87" s="536"/>
      <c r="J87" s="536"/>
      <c r="K87" s="536"/>
      <c r="L87" s="536"/>
      <c r="M87" s="536"/>
      <c r="N87" s="536"/>
      <c r="O87" s="536"/>
      <c r="P87" s="536"/>
      <c r="Q87" s="536"/>
      <c r="R87" s="536"/>
      <c r="S87" s="536"/>
      <c r="T87" s="536"/>
      <c r="U87" s="536"/>
      <c r="V87" s="536"/>
      <c r="W87" s="536"/>
      <c r="X87" s="536"/>
      <c r="Y87" s="536"/>
      <c r="Z87" s="536"/>
      <c r="AA87" s="536"/>
      <c r="AB87" s="536"/>
      <c r="AC87" s="536"/>
      <c r="AD87" s="536"/>
      <c r="AE87" s="536"/>
      <c r="AF87" s="536"/>
      <c r="AG87" s="536"/>
      <c r="AH87" s="536"/>
      <c r="AI87" s="536"/>
      <c r="AJ87" s="536"/>
      <c r="AK87" s="536"/>
      <c r="AL87" s="536"/>
      <c r="AM87" s="536"/>
      <c r="AN87" s="536"/>
      <c r="AO87" s="536"/>
      <c r="AP87" s="536"/>
      <c r="AQ87" s="536"/>
      <c r="AR87" s="536"/>
      <c r="AS87" s="536"/>
      <c r="AT87" s="536"/>
      <c r="AU87" s="536"/>
      <c r="AV87" s="536"/>
      <c r="AW87" s="536"/>
      <c r="AX87" s="536"/>
      <c r="AY87" s="536"/>
      <c r="AZ87" s="138"/>
      <c r="BA87" s="536"/>
      <c r="BB87" s="536"/>
      <c r="BC87" s="536"/>
      <c r="BD87" s="536"/>
      <c r="BE87" s="536"/>
      <c r="BF87" s="536"/>
      <c r="BG87" s="3464"/>
      <c r="BH87" s="3464"/>
      <c r="BI87" s="23"/>
      <c r="BJ87" s="23"/>
      <c r="BK87" s="23"/>
      <c r="BL87" s="23"/>
      <c r="BM87" s="23"/>
      <c r="BN87" s="23"/>
    </row>
    <row r="88" spans="2:66" ht="18" x14ac:dyDescent="0.35">
      <c r="B88" s="811" t="s">
        <v>786</v>
      </c>
      <c r="C88" s="811"/>
      <c r="D88" s="142"/>
      <c r="E88" s="536"/>
      <c r="F88" s="536"/>
      <c r="G88" s="536"/>
      <c r="H88" s="5474"/>
      <c r="I88" s="536"/>
      <c r="J88" s="5474"/>
      <c r="K88" s="536"/>
      <c r="L88" s="536"/>
      <c r="M88" s="536"/>
      <c r="N88" s="536"/>
      <c r="O88" s="536"/>
      <c r="P88" s="536"/>
      <c r="Q88" s="536"/>
      <c r="R88" s="536"/>
      <c r="S88" s="536"/>
      <c r="T88" s="536"/>
      <c r="U88" s="536"/>
      <c r="V88" s="536"/>
      <c r="W88" s="536"/>
      <c r="X88" s="536"/>
      <c r="Y88" s="536"/>
      <c r="Z88" s="536"/>
      <c r="AA88" s="536"/>
      <c r="AB88" s="536"/>
      <c r="AC88" s="536"/>
      <c r="AD88" s="536"/>
      <c r="AE88" s="536"/>
      <c r="AF88" s="536"/>
      <c r="AG88" s="536"/>
      <c r="AH88" s="536"/>
      <c r="AI88" s="536"/>
      <c r="AJ88" s="536"/>
      <c r="AK88" s="536"/>
      <c r="AL88" s="536"/>
      <c r="AM88" s="536"/>
      <c r="AN88" s="536"/>
      <c r="AO88" s="536"/>
      <c r="AP88" s="536"/>
      <c r="AQ88" s="536"/>
      <c r="AR88" s="536"/>
      <c r="AS88" s="536"/>
      <c r="AT88" s="536"/>
      <c r="AU88" s="536"/>
      <c r="AV88" s="536"/>
      <c r="AW88" s="536"/>
      <c r="AX88" s="536"/>
      <c r="AY88" s="536"/>
      <c r="AZ88" s="138"/>
      <c r="BA88" s="536"/>
      <c r="BB88" s="536"/>
      <c r="BC88" s="536"/>
      <c r="BD88" s="536"/>
      <c r="BE88" s="536"/>
      <c r="BF88" s="536"/>
      <c r="BG88" s="3464"/>
      <c r="BH88" s="3464"/>
      <c r="BI88" s="23"/>
      <c r="BJ88" s="23"/>
      <c r="BK88" s="23"/>
      <c r="BL88" s="23"/>
      <c r="BM88" s="23"/>
      <c r="BN88" s="23"/>
    </row>
    <row r="89" spans="2:66" x14ac:dyDescent="0.3">
      <c r="B89" s="243" t="s">
        <v>787</v>
      </c>
      <c r="C89" s="243"/>
      <c r="D89" s="146" t="s">
        <v>50</v>
      </c>
      <c r="E89" s="732"/>
      <c r="F89" s="335">
        <f>+F5</f>
        <v>77837.90800000001</v>
      </c>
      <c r="G89" s="732"/>
      <c r="H89" s="335">
        <f>+H5</f>
        <v>34589.924000000014</v>
      </c>
      <c r="I89" s="823"/>
      <c r="J89" s="336">
        <f>+J5</f>
        <v>112427.83200000002</v>
      </c>
      <c r="K89" s="732"/>
      <c r="L89" s="335">
        <f>+L5</f>
        <v>76378.819999999949</v>
      </c>
      <c r="M89" s="824"/>
      <c r="N89" s="411">
        <f>+N5</f>
        <v>188806.65199999997</v>
      </c>
      <c r="O89" s="732"/>
      <c r="P89" s="335">
        <f>+P5</f>
        <v>91293.134999999951</v>
      </c>
      <c r="Q89" s="823"/>
      <c r="R89" s="336">
        <f>+R5</f>
        <v>280099.78699999989</v>
      </c>
      <c r="S89" s="732"/>
      <c r="T89" s="335">
        <f>+T5</f>
        <v>78744.385999999984</v>
      </c>
      <c r="U89" s="823"/>
      <c r="V89" s="336">
        <f>+V5</f>
        <v>358844.17299999989</v>
      </c>
      <c r="W89" s="732"/>
      <c r="X89" s="335">
        <f>+X5</f>
        <v>79173.527999999977</v>
      </c>
      <c r="Y89" s="824"/>
      <c r="Z89" s="411">
        <f>+Z5</f>
        <v>249211.04899999994</v>
      </c>
      <c r="AA89" s="825"/>
      <c r="AB89" s="434">
        <f>+AB5</f>
        <v>438017.70099999988</v>
      </c>
      <c r="AC89" s="732"/>
      <c r="AD89" s="335">
        <f>+AD5</f>
        <v>52847.516999999993</v>
      </c>
      <c r="AE89" s="823"/>
      <c r="AF89" s="336">
        <f>+AF5</f>
        <v>490865.21799999988</v>
      </c>
      <c r="AG89" s="732"/>
      <c r="AH89" s="335">
        <f>+AH5</f>
        <v>72562.518000000025</v>
      </c>
      <c r="AI89" s="823"/>
      <c r="AJ89" s="336">
        <f>+AJ5</f>
        <v>563427.73599999992</v>
      </c>
      <c r="AK89" s="732"/>
      <c r="AL89" s="335">
        <f>+AL5</f>
        <v>85136.461000000039</v>
      </c>
      <c r="AM89" s="824"/>
      <c r="AN89" s="411">
        <f>+AN5</f>
        <v>210546.49600000004</v>
      </c>
      <c r="AO89" s="823"/>
      <c r="AP89" s="336">
        <f>+AP5</f>
        <v>648564.19699999993</v>
      </c>
      <c r="AQ89" s="732"/>
      <c r="AR89" s="335">
        <f>+AR5</f>
        <v>89388.381000000038</v>
      </c>
      <c r="AS89" s="823"/>
      <c r="AT89" s="336">
        <f>+AT5</f>
        <v>737952.57799999998</v>
      </c>
      <c r="AU89" s="732"/>
      <c r="AV89" s="335">
        <f>+AV5</f>
        <v>77175.722000000038</v>
      </c>
      <c r="AW89" s="823"/>
      <c r="AX89" s="336">
        <f>+AX5</f>
        <v>815128.3</v>
      </c>
      <c r="AY89" s="732"/>
      <c r="AZ89" s="335">
        <f>+AZ5</f>
        <v>86982.177000000069</v>
      </c>
      <c r="BA89" s="824"/>
      <c r="BB89" s="411">
        <f>+BB5</f>
        <v>253546.28000000014</v>
      </c>
      <c r="BC89" s="825"/>
      <c r="BD89" s="434">
        <f>+BD5</f>
        <v>464092.77600000019</v>
      </c>
      <c r="BE89" s="823"/>
      <c r="BF89" s="336">
        <f>+BF5</f>
        <v>902110.47700000007</v>
      </c>
      <c r="BG89" s="3464"/>
      <c r="BH89" s="3464"/>
      <c r="BI89" s="23"/>
      <c r="BJ89" s="23"/>
      <c r="BK89" s="23"/>
      <c r="BL89" s="23"/>
      <c r="BM89" s="23"/>
      <c r="BN89" s="23"/>
    </row>
    <row r="90" spans="2:66" x14ac:dyDescent="0.3">
      <c r="B90" s="826" t="s">
        <v>792</v>
      </c>
      <c r="C90" s="826"/>
      <c r="D90" s="146" t="s">
        <v>50</v>
      </c>
      <c r="E90" s="732"/>
      <c r="F90" s="335">
        <f>+F83</f>
        <v>1816.4900000000027</v>
      </c>
      <c r="G90" s="732"/>
      <c r="H90" s="335">
        <f>+H83</f>
        <v>788.16700000000071</v>
      </c>
      <c r="I90" s="823"/>
      <c r="J90" s="336">
        <f>+J83</f>
        <v>2604.6570000000038</v>
      </c>
      <c r="K90" s="732"/>
      <c r="L90" s="335">
        <f>+L83</f>
        <v>1397.1049999999987</v>
      </c>
      <c r="M90" s="824"/>
      <c r="N90" s="411">
        <f>+N83</f>
        <v>4001.7620000000024</v>
      </c>
      <c r="O90" s="732"/>
      <c r="P90" s="335">
        <f>+P83</f>
        <v>1636.4909999999986</v>
      </c>
      <c r="Q90" s="823"/>
      <c r="R90" s="336">
        <f>+R83</f>
        <v>5638.2530000000006</v>
      </c>
      <c r="S90" s="732"/>
      <c r="T90" s="335">
        <f>+T83</f>
        <v>1497.3269999999989</v>
      </c>
      <c r="U90" s="823"/>
      <c r="V90" s="336">
        <f>+V83</f>
        <v>7135.58</v>
      </c>
      <c r="W90" s="732"/>
      <c r="X90" s="335">
        <f>+X83</f>
        <v>1407.1109999999983</v>
      </c>
      <c r="Y90" s="824"/>
      <c r="Z90" s="411">
        <f>+Z83</f>
        <v>4540.9289999999955</v>
      </c>
      <c r="AA90" s="825"/>
      <c r="AB90" s="434">
        <f>+AB83</f>
        <v>8542.6909999999989</v>
      </c>
      <c r="AC90" s="732"/>
      <c r="AD90" s="335">
        <f>+AD83</f>
        <v>947.50499999999943</v>
      </c>
      <c r="AE90" s="823"/>
      <c r="AF90" s="336">
        <f>+AF83</f>
        <v>9490.1959999999963</v>
      </c>
      <c r="AG90" s="732"/>
      <c r="AH90" s="335">
        <f>+AH83</f>
        <v>1539.275000000001</v>
      </c>
      <c r="AI90" s="823"/>
      <c r="AJ90" s="336">
        <f>+AJ83</f>
        <v>11029.471</v>
      </c>
      <c r="AK90" s="732"/>
      <c r="AL90" s="335">
        <f>+AL83</f>
        <v>1985.4890000000023</v>
      </c>
      <c r="AM90" s="824"/>
      <c r="AN90" s="411">
        <f>+AN83</f>
        <v>4472.2690000000021</v>
      </c>
      <c r="AO90" s="823"/>
      <c r="AP90" s="336">
        <f>+AP83</f>
        <v>13014.960000000003</v>
      </c>
      <c r="AQ90" s="732"/>
      <c r="AR90" s="335">
        <f>+AR83</f>
        <v>2035.7070000000028</v>
      </c>
      <c r="AS90" s="823"/>
      <c r="AT90" s="336">
        <f>+AT83</f>
        <v>15050.667000000005</v>
      </c>
      <c r="AU90" s="732"/>
      <c r="AV90" s="335">
        <f>+AV83</f>
        <v>1792.8920000000021</v>
      </c>
      <c r="AW90" s="823"/>
      <c r="AX90" s="336">
        <f>+AX83</f>
        <v>16843.559000000008</v>
      </c>
      <c r="AY90" s="732"/>
      <c r="AZ90" s="335">
        <f>+AZ83</f>
        <v>2005.4110000000032</v>
      </c>
      <c r="BA90" s="824"/>
      <c r="BB90" s="411">
        <f>+BB83</f>
        <v>5834.0100000000075</v>
      </c>
      <c r="BC90" s="825"/>
      <c r="BD90" s="434">
        <f>+BD83</f>
        <v>10306.27900000001</v>
      </c>
      <c r="BE90" s="823"/>
      <c r="BF90" s="336">
        <f>+BF83</f>
        <v>18848.970000000008</v>
      </c>
      <c r="BG90" s="3464"/>
      <c r="BH90" s="3464"/>
      <c r="BI90" s="23"/>
      <c r="BJ90" s="23"/>
      <c r="BK90" s="23"/>
      <c r="BL90" s="23"/>
      <c r="BM90" s="23"/>
      <c r="BN90" s="23"/>
    </row>
    <row r="91" spans="2:66" x14ac:dyDescent="0.3">
      <c r="B91" s="243" t="s">
        <v>764</v>
      </c>
      <c r="C91" s="243"/>
      <c r="D91" s="146" t="s">
        <v>50</v>
      </c>
      <c r="E91" s="732"/>
      <c r="F91" s="335">
        <f>+F86</f>
        <v>1319.5880000000009</v>
      </c>
      <c r="G91" s="732"/>
      <c r="H91" s="335">
        <f>+H86</f>
        <v>586.86700000000042</v>
      </c>
      <c r="I91" s="823"/>
      <c r="J91" s="336">
        <f>+J86</f>
        <v>1906.4550000000013</v>
      </c>
      <c r="K91" s="732"/>
      <c r="L91" s="335">
        <f>+L86</f>
        <v>1302.4100000000014</v>
      </c>
      <c r="M91" s="824"/>
      <c r="N91" s="411">
        <f>+N86</f>
        <v>3208.8650000000025</v>
      </c>
      <c r="O91" s="732"/>
      <c r="P91" s="335">
        <f>+P86</f>
        <v>1556.0040000000015</v>
      </c>
      <c r="Q91" s="823"/>
      <c r="R91" s="336">
        <f>+R86</f>
        <v>4764.8690000000042</v>
      </c>
      <c r="S91" s="732"/>
      <c r="T91" s="335">
        <f>+T86</f>
        <v>1342.794000000001</v>
      </c>
      <c r="U91" s="823"/>
      <c r="V91" s="336">
        <f>+V86</f>
        <v>6107.663000000005</v>
      </c>
      <c r="W91" s="732"/>
      <c r="X91" s="335">
        <f>+X86</f>
        <v>1348.8320000000012</v>
      </c>
      <c r="Y91" s="824"/>
      <c r="Z91" s="411">
        <f>+Z86</f>
        <v>4247.6300000000037</v>
      </c>
      <c r="AA91" s="825"/>
      <c r="AB91" s="434">
        <f>+AB86</f>
        <v>7456.4950000000063</v>
      </c>
      <c r="AC91" s="732"/>
      <c r="AD91" s="335">
        <f>+AD86</f>
        <v>899.73700000000099</v>
      </c>
      <c r="AE91" s="823"/>
      <c r="AF91" s="336">
        <f>+AF86</f>
        <v>8356.2320000000072</v>
      </c>
      <c r="AG91" s="732"/>
      <c r="AH91" s="335">
        <f>+AH86</f>
        <v>1233.5280000000007</v>
      </c>
      <c r="AI91" s="823"/>
      <c r="AJ91" s="336">
        <f>+AJ86</f>
        <v>9589.7600000000075</v>
      </c>
      <c r="AK91" s="732"/>
      <c r="AL91" s="335">
        <f>+AL86</f>
        <v>1444.9570000000015</v>
      </c>
      <c r="AM91" s="824"/>
      <c r="AN91" s="411">
        <f>+AN86</f>
        <v>3578.2220000000034</v>
      </c>
      <c r="AO91" s="823"/>
      <c r="AP91" s="336">
        <f>+AP86</f>
        <v>11034.71700000001</v>
      </c>
      <c r="AQ91" s="732"/>
      <c r="AR91" s="335">
        <f>+AR86</f>
        <v>1515.8440000000021</v>
      </c>
      <c r="AS91" s="823"/>
      <c r="AT91" s="336">
        <f>+AT86</f>
        <v>12550.561000000012</v>
      </c>
      <c r="AU91" s="732"/>
      <c r="AV91" s="335">
        <f>+AV86</f>
        <v>1308.7300000000009</v>
      </c>
      <c r="AW91" s="823"/>
      <c r="AX91" s="336">
        <f>+AX86</f>
        <v>13859.291000000014</v>
      </c>
      <c r="AY91" s="732"/>
      <c r="AZ91" s="335">
        <f>+AZ86</f>
        <v>1475.2410000000009</v>
      </c>
      <c r="BA91" s="824"/>
      <c r="BB91" s="411">
        <f>+BB86</f>
        <v>4299.8150000000041</v>
      </c>
      <c r="BC91" s="825"/>
      <c r="BD91" s="434">
        <f>+BD86</f>
        <v>7878.0370000000075</v>
      </c>
      <c r="BE91" s="823"/>
      <c r="BF91" s="336">
        <f>+BF86</f>
        <v>15334.532000000014</v>
      </c>
      <c r="BG91" s="3464"/>
      <c r="BH91" s="3464"/>
      <c r="BI91" s="23"/>
      <c r="BJ91" s="23"/>
      <c r="BK91" s="23"/>
      <c r="BL91" s="23"/>
      <c r="BM91" s="23"/>
      <c r="BN91" s="23"/>
    </row>
    <row r="92" spans="2:66" x14ac:dyDescent="0.3">
      <c r="B92" s="243" t="s">
        <v>790</v>
      </c>
      <c r="C92" s="243"/>
      <c r="D92" s="146" t="s">
        <v>50</v>
      </c>
      <c r="E92" s="732"/>
      <c r="F92" s="335">
        <f>+F55</f>
        <v>74701.83000000006</v>
      </c>
      <c r="G92" s="732"/>
      <c r="H92" s="335">
        <f>+H55</f>
        <v>33214.890000000029</v>
      </c>
      <c r="I92" s="823"/>
      <c r="J92" s="336">
        <f>+J55</f>
        <v>107916.72000000012</v>
      </c>
      <c r="K92" s="732"/>
      <c r="L92" s="335">
        <f>+L55</f>
        <v>73679.305000000051</v>
      </c>
      <c r="M92" s="824"/>
      <c r="N92" s="411">
        <f>+N55</f>
        <v>181596.02500000017</v>
      </c>
      <c r="O92" s="732"/>
      <c r="P92" s="335">
        <f>+P55</f>
        <v>88100.640000000101</v>
      </c>
      <c r="Q92" s="823"/>
      <c r="R92" s="336">
        <f>+R55</f>
        <v>269696.66500000033</v>
      </c>
      <c r="S92" s="732"/>
      <c r="T92" s="335">
        <f>+T55</f>
        <v>75904.265000000043</v>
      </c>
      <c r="U92" s="823"/>
      <c r="V92" s="336">
        <f>+V55</f>
        <v>345600.93000000023</v>
      </c>
      <c r="W92" s="732"/>
      <c r="X92" s="335">
        <f>+X55</f>
        <v>76417.585000000079</v>
      </c>
      <c r="Y92" s="824"/>
      <c r="Z92" s="411">
        <f>+Z55</f>
        <v>240422.49000000025</v>
      </c>
      <c r="AA92" s="825"/>
      <c r="AB92" s="434">
        <f>+AB55</f>
        <v>422018.51500000036</v>
      </c>
      <c r="AC92" s="732"/>
      <c r="AD92" s="335">
        <f>+AD55</f>
        <v>51000.275000000081</v>
      </c>
      <c r="AE92" s="823"/>
      <c r="AF92" s="336">
        <f>+AF55</f>
        <v>473018.79000000033</v>
      </c>
      <c r="AG92" s="732"/>
      <c r="AH92" s="335">
        <f>+AH55</f>
        <v>69789.71500000004</v>
      </c>
      <c r="AI92" s="823"/>
      <c r="AJ92" s="336">
        <f>+AJ55</f>
        <v>542808.50500000047</v>
      </c>
      <c r="AK92" s="732"/>
      <c r="AL92" s="335">
        <f>+AL55</f>
        <v>81706.015000000145</v>
      </c>
      <c r="AM92" s="824"/>
      <c r="AN92" s="411">
        <f>+AN55</f>
        <v>202496.0050000003</v>
      </c>
      <c r="AO92" s="823"/>
      <c r="AP92" s="336">
        <f>+AP55</f>
        <v>624514.52000000048</v>
      </c>
      <c r="AQ92" s="732"/>
      <c r="AR92" s="335">
        <f>+AR55</f>
        <v>85836.830000000118</v>
      </c>
      <c r="AS92" s="823"/>
      <c r="AT92" s="336">
        <f>+AT55</f>
        <v>710351.35000000056</v>
      </c>
      <c r="AU92" s="732"/>
      <c r="AV92" s="335">
        <f>+AV55</f>
        <v>74074.100000000093</v>
      </c>
      <c r="AW92" s="823"/>
      <c r="AX92" s="336">
        <f>+AX55</f>
        <v>784425.45000000077</v>
      </c>
      <c r="AY92" s="732"/>
      <c r="AZ92" s="335">
        <f>+AZ55</f>
        <v>81308.429999999993</v>
      </c>
      <c r="BA92" s="824"/>
      <c r="BB92" s="411">
        <f>+BB55</f>
        <v>241219.36000000028</v>
      </c>
      <c r="BC92" s="825"/>
      <c r="BD92" s="434">
        <f>+BD55</f>
        <v>443715.36500000063</v>
      </c>
      <c r="BE92" s="823"/>
      <c r="BF92" s="336">
        <f>+BF55</f>
        <v>865733.88000000105</v>
      </c>
      <c r="BG92" s="3464"/>
      <c r="BH92" s="3464"/>
      <c r="BI92" s="23"/>
      <c r="BJ92" s="23"/>
      <c r="BK92" s="23"/>
      <c r="BL92" s="23"/>
      <c r="BM92" s="23"/>
      <c r="BN92" s="23"/>
    </row>
    <row r="93" spans="2:66" x14ac:dyDescent="0.3">
      <c r="B93" s="243" t="s">
        <v>788</v>
      </c>
      <c r="C93" s="243"/>
      <c r="D93" s="146" t="s">
        <v>50</v>
      </c>
      <c r="E93" s="732"/>
      <c r="F93" s="335">
        <f>+F57</f>
        <v>40.79</v>
      </c>
      <c r="G93" s="732"/>
      <c r="H93" s="335">
        <f>+H57</f>
        <v>21.970000000000002</v>
      </c>
      <c r="I93" s="823"/>
      <c r="J93" s="336">
        <f>+J57</f>
        <v>62.759999999999991</v>
      </c>
      <c r="K93" s="732"/>
      <c r="L93" s="335">
        <f>+L57</f>
        <v>35.289999999999992</v>
      </c>
      <c r="M93" s="824"/>
      <c r="N93" s="411">
        <f>+N57</f>
        <v>98.05</v>
      </c>
      <c r="O93" s="732"/>
      <c r="P93" s="335">
        <f>+P57</f>
        <v>44.150000000000006</v>
      </c>
      <c r="Q93" s="823"/>
      <c r="R93" s="336">
        <f>+R57</f>
        <v>142.19999999999999</v>
      </c>
      <c r="S93" s="732"/>
      <c r="T93" s="335">
        <f>+T57</f>
        <v>50.57</v>
      </c>
      <c r="U93" s="823"/>
      <c r="V93" s="336">
        <f>+V57</f>
        <v>192.77</v>
      </c>
      <c r="W93" s="732"/>
      <c r="X93" s="335">
        <f>+X57</f>
        <v>98.55</v>
      </c>
      <c r="Y93" s="824"/>
      <c r="Z93" s="411">
        <f>+Z57</f>
        <v>193.26999999999998</v>
      </c>
      <c r="AA93" s="825"/>
      <c r="AB93" s="434">
        <f>+AB57</f>
        <v>291.32</v>
      </c>
      <c r="AC93" s="732"/>
      <c r="AD93" s="335">
        <f>+AD57</f>
        <v>50</v>
      </c>
      <c r="AE93" s="823"/>
      <c r="AF93" s="336">
        <f>+AF57</f>
        <v>341.32</v>
      </c>
      <c r="AG93" s="732"/>
      <c r="AH93" s="335">
        <f>+AH57</f>
        <v>68.95</v>
      </c>
      <c r="AI93" s="823"/>
      <c r="AJ93" s="336">
        <f>+AJ57</f>
        <v>410.27000000000004</v>
      </c>
      <c r="AK93" s="732"/>
      <c r="AL93" s="335">
        <f>+AL57</f>
        <v>89.25</v>
      </c>
      <c r="AM93" s="824"/>
      <c r="AN93" s="411">
        <f>+AN57</f>
        <v>208.2</v>
      </c>
      <c r="AO93" s="823"/>
      <c r="AP93" s="336">
        <f>+AP57</f>
        <v>499.52</v>
      </c>
      <c r="AQ93" s="732"/>
      <c r="AR93" s="335">
        <f>+AR57</f>
        <v>32.229999999999997</v>
      </c>
      <c r="AS93" s="823"/>
      <c r="AT93" s="336">
        <f>+AT57</f>
        <v>531.75000000000011</v>
      </c>
      <c r="AU93" s="732"/>
      <c r="AV93" s="335">
        <f>+AV57</f>
        <v>15.78</v>
      </c>
      <c r="AW93" s="823"/>
      <c r="AX93" s="336">
        <f>+AX57</f>
        <v>547.53000000000009</v>
      </c>
      <c r="AY93" s="732"/>
      <c r="AZ93" s="335">
        <f>+AZ57</f>
        <v>108.43</v>
      </c>
      <c r="BA93" s="824"/>
      <c r="BB93" s="411">
        <f>+BB57</f>
        <v>156.44</v>
      </c>
      <c r="BC93" s="825"/>
      <c r="BD93" s="434">
        <f>+BD57</f>
        <v>364.63999999999993</v>
      </c>
      <c r="BE93" s="823"/>
      <c r="BF93" s="336">
        <f>+BF57</f>
        <v>655.96</v>
      </c>
      <c r="BG93" s="3464"/>
      <c r="BH93" s="3464"/>
      <c r="BI93" s="23"/>
      <c r="BJ93" s="23"/>
      <c r="BK93" s="23"/>
      <c r="BL93" s="23"/>
      <c r="BM93" s="23"/>
      <c r="BN93" s="23"/>
    </row>
    <row r="94" spans="2:66" x14ac:dyDescent="0.3">
      <c r="B94" s="243" t="s">
        <v>789</v>
      </c>
      <c r="C94" s="243"/>
      <c r="D94" s="146" t="s">
        <v>50</v>
      </c>
      <c r="E94" s="732"/>
      <c r="F94" s="335">
        <f>+F92-F93</f>
        <v>74661.040000000066</v>
      </c>
      <c r="G94" s="732"/>
      <c r="H94" s="335">
        <f>+H92-H93</f>
        <v>33192.920000000027</v>
      </c>
      <c r="I94" s="823"/>
      <c r="J94" s="336">
        <f>+J92-J93</f>
        <v>107853.96000000012</v>
      </c>
      <c r="K94" s="732"/>
      <c r="L94" s="335">
        <f>+L92-L93</f>
        <v>73644.015000000058</v>
      </c>
      <c r="M94" s="824"/>
      <c r="N94" s="411">
        <f>+N92-N93</f>
        <v>181497.97500000018</v>
      </c>
      <c r="O94" s="732"/>
      <c r="P94" s="335">
        <f>+P92-P93</f>
        <v>88056.490000000107</v>
      </c>
      <c r="Q94" s="823"/>
      <c r="R94" s="336">
        <f>+R92-R93</f>
        <v>269554.46500000032</v>
      </c>
      <c r="S94" s="732"/>
      <c r="T94" s="335">
        <f>+T92-T93</f>
        <v>75853.695000000036</v>
      </c>
      <c r="U94" s="823"/>
      <c r="V94" s="336">
        <f>+V92-V93</f>
        <v>345408.16000000021</v>
      </c>
      <c r="W94" s="732"/>
      <c r="X94" s="335">
        <f>+X92-X93</f>
        <v>76319.035000000076</v>
      </c>
      <c r="Y94" s="824"/>
      <c r="Z94" s="411">
        <f>+Z92-Z93</f>
        <v>240229.22000000026</v>
      </c>
      <c r="AA94" s="825"/>
      <c r="AB94" s="434">
        <f>+AB92-AB93</f>
        <v>421727.19500000036</v>
      </c>
      <c r="AC94" s="732"/>
      <c r="AD94" s="335">
        <f>+AD92-AD93</f>
        <v>50950.275000000081</v>
      </c>
      <c r="AE94" s="823"/>
      <c r="AF94" s="336">
        <f>+AF92-AF93</f>
        <v>472677.47000000032</v>
      </c>
      <c r="AG94" s="732"/>
      <c r="AH94" s="335">
        <f>+AH92-AH93</f>
        <v>69720.765000000043</v>
      </c>
      <c r="AI94" s="823"/>
      <c r="AJ94" s="336">
        <f>+AJ92-AJ93</f>
        <v>542398.23500000045</v>
      </c>
      <c r="AK94" s="732"/>
      <c r="AL94" s="335">
        <f>+AL92-AL93</f>
        <v>81616.765000000145</v>
      </c>
      <c r="AM94" s="824"/>
      <c r="AN94" s="411">
        <f>+AN92-AN93</f>
        <v>202287.80500000028</v>
      </c>
      <c r="AO94" s="823"/>
      <c r="AP94" s="336">
        <f>+AP92-AP93</f>
        <v>624015.00000000047</v>
      </c>
      <c r="AQ94" s="732"/>
      <c r="AR94" s="335">
        <f>+AR92-AR93</f>
        <v>85804.600000000122</v>
      </c>
      <c r="AS94" s="823"/>
      <c r="AT94" s="336">
        <f>+AT92-AT93</f>
        <v>709819.60000000056</v>
      </c>
      <c r="AU94" s="732"/>
      <c r="AV94" s="335">
        <f>+AV92-AV93</f>
        <v>74058.320000000094</v>
      </c>
      <c r="AW94" s="823"/>
      <c r="AX94" s="336">
        <f>+AX92-AX93</f>
        <v>783877.92000000074</v>
      </c>
      <c r="AY94" s="732"/>
      <c r="AZ94" s="335">
        <f>+AZ92-AZ93</f>
        <v>81200</v>
      </c>
      <c r="BA94" s="824"/>
      <c r="BB94" s="411">
        <f>+BB92-BB93</f>
        <v>241062.92000000027</v>
      </c>
      <c r="BC94" s="825"/>
      <c r="BD94" s="434">
        <f>+BD92-BD93</f>
        <v>443350.72500000062</v>
      </c>
      <c r="BE94" s="823"/>
      <c r="BF94" s="336">
        <f>+BF92-BF93</f>
        <v>865077.92000000109</v>
      </c>
      <c r="BG94" s="3464"/>
      <c r="BH94" s="3464"/>
      <c r="BI94" s="23"/>
      <c r="BJ94" s="23"/>
      <c r="BK94" s="23"/>
      <c r="BL94" s="23"/>
      <c r="BM94" s="23"/>
      <c r="BN94" s="23"/>
    </row>
    <row r="95" spans="2:66" x14ac:dyDescent="0.3">
      <c r="B95" s="142"/>
      <c r="C95" s="142"/>
      <c r="D95" s="142"/>
      <c r="E95" s="536"/>
      <c r="F95" s="536"/>
      <c r="G95" s="536"/>
      <c r="H95" s="536"/>
      <c r="I95" s="536"/>
      <c r="J95" s="536"/>
      <c r="K95" s="536"/>
      <c r="L95" s="536"/>
      <c r="M95" s="536"/>
      <c r="N95" s="536"/>
      <c r="O95" s="536"/>
      <c r="P95" s="536"/>
      <c r="Q95" s="536"/>
      <c r="R95" s="536"/>
      <c r="S95" s="536"/>
      <c r="T95" s="536"/>
      <c r="U95" s="536"/>
      <c r="V95" s="536"/>
      <c r="W95" s="536"/>
      <c r="X95" s="536"/>
      <c r="Y95" s="536"/>
      <c r="Z95" s="536"/>
      <c r="AA95" s="536"/>
      <c r="AB95" s="536"/>
      <c r="AC95" s="536"/>
      <c r="AD95" s="536"/>
      <c r="AE95" s="536"/>
      <c r="AF95" s="536"/>
      <c r="AG95" s="536"/>
      <c r="AH95" s="536"/>
      <c r="AI95" s="536"/>
      <c r="AJ95" s="536"/>
      <c r="AK95" s="536"/>
      <c r="AL95" s="536"/>
      <c r="AM95" s="536"/>
      <c r="AN95" s="536"/>
      <c r="AO95" s="536"/>
      <c r="AP95" s="536"/>
      <c r="AQ95" s="536"/>
      <c r="AR95" s="536"/>
      <c r="AS95" s="536"/>
      <c r="AT95" s="536"/>
      <c r="AU95" s="536"/>
      <c r="AV95" s="536"/>
      <c r="AW95" s="536"/>
      <c r="AX95" s="536"/>
      <c r="AY95" s="536"/>
      <c r="AZ95" s="536"/>
      <c r="BA95" s="536"/>
      <c r="BB95" s="536"/>
      <c r="BC95" s="536"/>
      <c r="BD95" s="536"/>
      <c r="BE95" s="536"/>
      <c r="BF95" s="536"/>
      <c r="BG95" s="3464"/>
      <c r="BH95" s="3464"/>
      <c r="BI95" s="23"/>
      <c r="BJ95" s="23"/>
      <c r="BK95" s="23"/>
      <c r="BL95" s="23"/>
      <c r="BM95" s="23"/>
      <c r="BN95" s="23"/>
    </row>
    <row r="96" spans="2:66" ht="15.6" x14ac:dyDescent="0.3">
      <c r="AZ96" s="5136"/>
      <c r="BG96" s="3464"/>
      <c r="BH96" s="3464"/>
      <c r="BI96" s="23"/>
      <c r="BJ96" s="23"/>
      <c r="BK96" s="23"/>
      <c r="BL96" s="23"/>
      <c r="BM96" s="23"/>
      <c r="BN96" s="23"/>
    </row>
    <row r="97" spans="5:66" ht="15" customHeight="1" x14ac:dyDescent="0.3">
      <c r="E97" s="23">
        <f>E56-'Maj Production Summ'!E31</f>
        <v>0</v>
      </c>
      <c r="F97" s="23">
        <f>F56-'Maj Production Summ'!F31</f>
        <v>0</v>
      </c>
      <c r="G97" s="23">
        <f>G56-'Maj Production Summ'!G31</f>
        <v>0</v>
      </c>
      <c r="H97" s="23">
        <f>H56-'Maj Production Summ'!H31</f>
        <v>0</v>
      </c>
      <c r="I97" s="23">
        <f>I56-'Maj Production Summ'!I31</f>
        <v>0</v>
      </c>
      <c r="J97" s="23">
        <f>J56-'Maj Production Summ'!J31</f>
        <v>0</v>
      </c>
      <c r="K97" s="23">
        <f>K56-'Maj Production Summ'!K31</f>
        <v>0</v>
      </c>
      <c r="L97" s="23">
        <f>L56-'Maj Production Summ'!L31</f>
        <v>0</v>
      </c>
      <c r="M97" s="23">
        <f>M56-'Maj Production Summ'!M31</f>
        <v>0</v>
      </c>
      <c r="N97" s="23">
        <f>N56-'Maj Production Summ'!N31</f>
        <v>0</v>
      </c>
      <c r="O97" s="23">
        <f>O56-'Maj Production Summ'!O31</f>
        <v>0</v>
      </c>
      <c r="P97" s="23">
        <f>P56-'Maj Production Summ'!P31</f>
        <v>0</v>
      </c>
      <c r="Q97" s="23">
        <f>Q56-'Maj Production Summ'!Q31</f>
        <v>0</v>
      </c>
      <c r="R97" s="23">
        <f>R56-'Maj Production Summ'!R31</f>
        <v>0</v>
      </c>
      <c r="S97" s="23">
        <f>S56-'Maj Production Summ'!S31</f>
        <v>0</v>
      </c>
      <c r="T97" s="23">
        <f>T56-'Maj Production Summ'!T31</f>
        <v>0</v>
      </c>
      <c r="U97" s="23">
        <f>U56-'Maj Production Summ'!U31</f>
        <v>0</v>
      </c>
      <c r="V97" s="23">
        <f>V56-'Maj Production Summ'!V31</f>
        <v>0</v>
      </c>
      <c r="W97" s="23">
        <f>W56-'Maj Production Summ'!W31</f>
        <v>0</v>
      </c>
      <c r="X97" s="23">
        <f>X56-'Maj Production Summ'!X31</f>
        <v>0</v>
      </c>
      <c r="Y97" s="23">
        <f>Y56-'Maj Production Summ'!Y31</f>
        <v>0</v>
      </c>
      <c r="Z97" s="23">
        <f>Z56-'Maj Production Summ'!Z31</f>
        <v>0</v>
      </c>
      <c r="AA97" s="23">
        <f>AA56-'Maj Production Summ'!AA31</f>
        <v>0</v>
      </c>
      <c r="AB97" s="23">
        <f>AB56-'Maj Production Summ'!AB31</f>
        <v>0</v>
      </c>
      <c r="AC97" s="23">
        <f>AC56-'Maj Production Summ'!AC31</f>
        <v>0</v>
      </c>
      <c r="AD97" s="23">
        <f>AD56-'Maj Production Summ'!AD31</f>
        <v>0</v>
      </c>
      <c r="AE97" s="23">
        <f>AE56-'Maj Production Summ'!AE31</f>
        <v>0</v>
      </c>
      <c r="AF97" s="23">
        <f>AF56-'Maj Production Summ'!AF31</f>
        <v>0</v>
      </c>
      <c r="AG97" s="23">
        <f>AG56-'Maj Production Summ'!AG31</f>
        <v>0</v>
      </c>
      <c r="AH97" s="23">
        <f>AH56-'Maj Production Summ'!AH31</f>
        <v>0</v>
      </c>
      <c r="AI97" s="23">
        <f>AI56-'Maj Production Summ'!AI31</f>
        <v>0</v>
      </c>
      <c r="AJ97" s="23">
        <f>AJ56-'Maj Production Summ'!AJ31</f>
        <v>0</v>
      </c>
      <c r="AK97" s="23">
        <f>AK56-'Maj Production Summ'!AK31</f>
        <v>0</v>
      </c>
      <c r="AL97" s="23">
        <f>AL56-'Maj Production Summ'!AL31</f>
        <v>0</v>
      </c>
      <c r="AM97" s="23">
        <f>AM56-'Maj Production Summ'!AM31</f>
        <v>0</v>
      </c>
      <c r="AN97" s="23">
        <f>AN56-'Maj Production Summ'!AN31</f>
        <v>0</v>
      </c>
      <c r="AO97" s="23">
        <f>AO56-'Maj Production Summ'!AO31</f>
        <v>0</v>
      </c>
      <c r="AP97" s="23">
        <f>AP56-'Maj Production Summ'!AP31</f>
        <v>0</v>
      </c>
      <c r="AQ97" s="23">
        <f>AQ56-'Maj Production Summ'!AQ31</f>
        <v>0</v>
      </c>
      <c r="AR97" s="23">
        <f>AR56-'Maj Production Summ'!AR31</f>
        <v>0</v>
      </c>
      <c r="AS97" s="23">
        <f>AS56-'Maj Production Summ'!AS31</f>
        <v>0</v>
      </c>
      <c r="AT97" s="23">
        <f>AT56-'Maj Production Summ'!AT31</f>
        <v>0</v>
      </c>
      <c r="AU97" s="23">
        <f>AU56-'Maj Production Summ'!AU31</f>
        <v>0</v>
      </c>
      <c r="AV97" s="23">
        <f>AV56-'Maj Production Summ'!AV31</f>
        <v>0</v>
      </c>
      <c r="AW97" s="23">
        <f>AW56-'Maj Production Summ'!AW31</f>
        <v>0</v>
      </c>
      <c r="AX97" s="23">
        <f>AX56-'Maj Production Summ'!AX31</f>
        <v>0</v>
      </c>
      <c r="AY97" s="23">
        <f>AY56-'Maj Production Summ'!AY31</f>
        <v>0</v>
      </c>
      <c r="AZ97" s="5137">
        <f>AZ56-'Maj Production Summ'!AZ31</f>
        <v>0</v>
      </c>
      <c r="BA97" s="23">
        <f>BA56-'Maj Production Summ'!BA31</f>
        <v>0</v>
      </c>
      <c r="BB97" s="23">
        <f>BB56-'Maj Production Summ'!BB31</f>
        <v>0</v>
      </c>
      <c r="BC97" s="23">
        <f>BC56-'Maj Production Summ'!BC31</f>
        <v>0</v>
      </c>
      <c r="BD97" s="23">
        <f>BD56-'Maj Production Summ'!BD31</f>
        <v>0</v>
      </c>
      <c r="BE97" s="23">
        <f>BE56-'Maj Production Summ'!BE31</f>
        <v>0</v>
      </c>
      <c r="BF97" s="23">
        <f>BF56-'Maj Production Summ'!BF31</f>
        <v>0</v>
      </c>
      <c r="BG97" s="3464"/>
      <c r="BH97" s="3464"/>
      <c r="BI97" s="23"/>
      <c r="BJ97" s="23"/>
      <c r="BK97" s="23"/>
      <c r="BL97" s="23"/>
      <c r="BM97" s="23"/>
      <c r="BN97" s="23"/>
    </row>
    <row r="99" spans="5:66" x14ac:dyDescent="0.3">
      <c r="AQ99" s="23"/>
      <c r="AR99" s="23"/>
      <c r="AS99" s="23"/>
      <c r="AT99" s="23"/>
      <c r="AU99" s="23"/>
      <c r="AV99" s="23"/>
    </row>
    <row r="100" spans="5:66" x14ac:dyDescent="0.3">
      <c r="AZ100" s="23"/>
    </row>
    <row r="101" spans="5:66" x14ac:dyDescent="0.3">
      <c r="AZ101" s="23"/>
    </row>
  </sheetData>
  <mergeCells count="30">
    <mergeCell ref="S3:T3"/>
    <mergeCell ref="U3:V3"/>
    <mergeCell ref="B3:B4"/>
    <mergeCell ref="D3:D4"/>
    <mergeCell ref="E3:F3"/>
    <mergeCell ref="G3:H3"/>
    <mergeCell ref="I3:J3"/>
    <mergeCell ref="K3:L3"/>
    <mergeCell ref="M3:N3"/>
    <mergeCell ref="O3:P3"/>
    <mergeCell ref="Q3:R3"/>
    <mergeCell ref="C3:C4"/>
    <mergeCell ref="W3:X3"/>
    <mergeCell ref="Y3:Z3"/>
    <mergeCell ref="AA3:AB3"/>
    <mergeCell ref="AG3:AH3"/>
    <mergeCell ref="AI3:AJ3"/>
    <mergeCell ref="AC3:AD3"/>
    <mergeCell ref="AE3:AF3"/>
    <mergeCell ref="AQ3:AR3"/>
    <mergeCell ref="AS3:AT3"/>
    <mergeCell ref="AK3:AL3"/>
    <mergeCell ref="AM3:AN3"/>
    <mergeCell ref="AO3:AP3"/>
    <mergeCell ref="AY3:AZ3"/>
    <mergeCell ref="BE3:BF3"/>
    <mergeCell ref="BA3:BB3"/>
    <mergeCell ref="BC3:BD3"/>
    <mergeCell ref="AU3:AV3"/>
    <mergeCell ref="AW3:AX3"/>
  </mergeCells>
  <printOptions horizontalCentered="1" verticalCentered="1"/>
  <pageMargins left="0" right="0" top="0" bottom="0" header="0" footer="0"/>
  <pageSetup scale="39"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6">
    <tabColor rgb="FF92D050"/>
    <pageSetUpPr fitToPage="1"/>
  </sheetPr>
  <dimension ref="A1:BQ170"/>
  <sheetViews>
    <sheetView topLeftCell="A126" zoomScale="90" zoomScaleNormal="90" workbookViewId="0">
      <pane xSplit="5" topLeftCell="F1" activePane="topRight" state="frozen"/>
      <selection pane="topRight" activeCell="A144" sqref="A144"/>
    </sheetView>
  </sheetViews>
  <sheetFormatPr defaultColWidth="9.109375" defaultRowHeight="14.4" x14ac:dyDescent="0.3"/>
  <cols>
    <col min="1" max="1" width="3.5546875" customWidth="1"/>
    <col min="2" max="2" width="32.44140625" bestFit="1" customWidth="1"/>
    <col min="3" max="3" width="13.33203125" bestFit="1" customWidth="1"/>
    <col min="4" max="4" width="12" customWidth="1"/>
    <col min="5" max="5" width="24.33203125" bestFit="1" customWidth="1"/>
    <col min="6" max="7" width="8" bestFit="1" customWidth="1"/>
    <col min="8" max="8" width="8.6640625" customWidth="1"/>
    <col min="9" max="9" width="8.5546875" customWidth="1"/>
    <col min="10" max="10" width="10.33203125" customWidth="1"/>
    <col min="11" max="11" width="9.44140625" customWidth="1"/>
    <col min="12" max="13" width="8.5546875" hidden="1" customWidth="1"/>
    <col min="14" max="15" width="10.33203125" hidden="1" customWidth="1"/>
    <col min="16" max="17" width="8.5546875" hidden="1" customWidth="1"/>
    <col min="18" max="18" width="12.109375" hidden="1" customWidth="1"/>
    <col min="19" max="19" width="9.44140625" hidden="1" customWidth="1"/>
    <col min="20" max="21" width="8.5546875" hidden="1" customWidth="1"/>
    <col min="22" max="22" width="9.6640625" hidden="1" customWidth="1"/>
    <col min="23" max="23" width="12.88671875" hidden="1" customWidth="1"/>
    <col min="24" max="25" width="9.109375" hidden="1" customWidth="1"/>
    <col min="26" max="26" width="11.33203125" hidden="1" customWidth="1"/>
    <col min="27" max="27" width="10.33203125" hidden="1" customWidth="1"/>
    <col min="28" max="29" width="9.6640625" hidden="1" customWidth="1"/>
    <col min="30" max="34" width="9.109375" hidden="1" customWidth="1"/>
    <col min="35" max="35" width="9.5546875" hidden="1" customWidth="1"/>
    <col min="36" max="44" width="9.109375" hidden="1" customWidth="1"/>
    <col min="45" max="45" width="8" hidden="1" customWidth="1"/>
    <col min="46" max="59" width="9.109375" hidden="1" customWidth="1"/>
    <col min="60" max="62" width="9.109375" customWidth="1"/>
    <col min="63" max="63" width="9.5546875" customWidth="1"/>
    <col min="64" max="64" width="9.109375" customWidth="1"/>
    <col min="65" max="65" width="9.5546875" customWidth="1"/>
    <col min="66" max="66" width="32" bestFit="1" customWidth="1"/>
    <col min="67" max="67" width="9.5546875" bestFit="1" customWidth="1"/>
  </cols>
  <sheetData>
    <row r="1" spans="1:69" ht="22.8" x14ac:dyDescent="0.4">
      <c r="A1" s="137"/>
      <c r="B1" s="728" t="s">
        <v>115</v>
      </c>
      <c r="C1" s="728"/>
      <c r="D1" s="728"/>
      <c r="E1" s="486"/>
      <c r="F1" s="486"/>
      <c r="G1" s="486"/>
      <c r="H1" s="486"/>
      <c r="I1" s="486"/>
      <c r="J1" s="486"/>
      <c r="K1" s="486"/>
      <c r="L1" s="142"/>
      <c r="M1" s="142"/>
      <c r="N1" s="142"/>
      <c r="O1" s="142"/>
      <c r="P1" s="142"/>
      <c r="Q1" s="142"/>
      <c r="R1" s="142"/>
      <c r="S1" s="142"/>
      <c r="T1" s="142"/>
      <c r="U1" s="88"/>
      <c r="V1" s="142"/>
      <c r="W1" s="142"/>
      <c r="X1" s="142"/>
      <c r="Y1" s="142"/>
      <c r="Z1" s="142"/>
      <c r="AA1" s="142"/>
      <c r="AB1" s="142"/>
      <c r="AC1" s="142"/>
      <c r="AD1" s="142"/>
      <c r="AE1" s="142"/>
    </row>
    <row r="2" spans="1:69" ht="15" thickBot="1" x14ac:dyDescent="0.35">
      <c r="A2" s="137"/>
      <c r="B2" s="486"/>
      <c r="C2" s="486"/>
      <c r="D2" s="486"/>
      <c r="E2" s="486"/>
      <c r="F2" s="367">
        <v>30</v>
      </c>
      <c r="G2" s="367">
        <v>30</v>
      </c>
      <c r="H2" s="367">
        <v>31</v>
      </c>
      <c r="I2" s="367">
        <v>31</v>
      </c>
      <c r="J2" s="367">
        <f>+F2+H2</f>
        <v>61</v>
      </c>
      <c r="K2" s="367">
        <f>+G2+I2</f>
        <v>61</v>
      </c>
      <c r="L2" s="367">
        <v>30</v>
      </c>
      <c r="M2" s="367">
        <v>30</v>
      </c>
      <c r="N2" s="367">
        <f>+J2+L2</f>
        <v>91</v>
      </c>
      <c r="O2" s="367">
        <f>+K2+M2</f>
        <v>91</v>
      </c>
      <c r="P2" s="367">
        <v>31</v>
      </c>
      <c r="Q2" s="367">
        <v>31</v>
      </c>
      <c r="R2" s="367">
        <f>+N2+P2</f>
        <v>122</v>
      </c>
      <c r="S2" s="367">
        <f>+O2+Q2</f>
        <v>122</v>
      </c>
      <c r="T2" s="367">
        <v>31</v>
      </c>
      <c r="U2" s="91">
        <v>31</v>
      </c>
      <c r="V2" s="367">
        <f>+R2+T2</f>
        <v>153</v>
      </c>
      <c r="W2" s="367">
        <f>+S2+U2</f>
        <v>153</v>
      </c>
      <c r="X2" s="367">
        <v>30</v>
      </c>
      <c r="Y2" s="367">
        <v>30</v>
      </c>
      <c r="Z2" s="367">
        <f>+P2+T2+X2</f>
        <v>92</v>
      </c>
      <c r="AA2" s="367">
        <f>+Q2+U2+Y2</f>
        <v>92</v>
      </c>
      <c r="AB2" s="367">
        <f>+Z2+N2</f>
        <v>183</v>
      </c>
      <c r="AC2" s="367">
        <f>+AA2+O2</f>
        <v>183</v>
      </c>
      <c r="AD2" s="367">
        <v>31</v>
      </c>
      <c r="AE2" s="367">
        <v>31</v>
      </c>
      <c r="AF2" s="367">
        <f>+AB2+AD2</f>
        <v>214</v>
      </c>
      <c r="AG2" s="367">
        <f>+AC2+AE2</f>
        <v>214</v>
      </c>
      <c r="AH2" s="367">
        <v>30</v>
      </c>
      <c r="AI2" s="91">
        <v>30</v>
      </c>
      <c r="AJ2" s="367">
        <f>+AF2+AH2</f>
        <v>244</v>
      </c>
      <c r="AK2" s="367">
        <f>+AG2+AI2</f>
        <v>244</v>
      </c>
      <c r="AL2" s="367">
        <v>31</v>
      </c>
      <c r="AM2" s="91">
        <v>31</v>
      </c>
      <c r="AN2" s="367">
        <f>+AD2+AH2+AL2</f>
        <v>92</v>
      </c>
      <c r="AO2" s="367">
        <f>+AE2+AI2+AM2</f>
        <v>92</v>
      </c>
      <c r="AP2" s="367">
        <f>AJ2+AL2</f>
        <v>275</v>
      </c>
      <c r="AQ2" s="367">
        <f>AK2+AM2</f>
        <v>275</v>
      </c>
      <c r="AR2" s="367">
        <v>31</v>
      </c>
      <c r="AS2" s="91">
        <v>31</v>
      </c>
      <c r="AT2" s="367">
        <f>+AP2+AR2</f>
        <v>306</v>
      </c>
      <c r="AU2" s="367">
        <f>+AQ2+AS2</f>
        <v>306</v>
      </c>
      <c r="AV2" s="367">
        <v>28</v>
      </c>
      <c r="AW2" s="91">
        <v>28</v>
      </c>
      <c r="AX2" s="367">
        <f>+AT2+AV2</f>
        <v>334</v>
      </c>
      <c r="AY2" s="367">
        <f>+AU2+AW2</f>
        <v>334</v>
      </c>
      <c r="AZ2" s="367">
        <v>31</v>
      </c>
      <c r="BA2" s="91">
        <v>31</v>
      </c>
      <c r="BB2" s="367">
        <f>+AR2+AV2+AZ2</f>
        <v>90</v>
      </c>
      <c r="BC2" s="367">
        <f>+AS2+AW2+BA2</f>
        <v>90</v>
      </c>
      <c r="BD2" s="367">
        <f>+AN2+BB2</f>
        <v>182</v>
      </c>
      <c r="BE2" s="367">
        <f>+AO2+BC2</f>
        <v>182</v>
      </c>
      <c r="BF2" s="367">
        <f>+AX2+AZ2</f>
        <v>365</v>
      </c>
      <c r="BG2" s="367">
        <f>+AY2+BA2</f>
        <v>365</v>
      </c>
    </row>
    <row r="3" spans="1:69" ht="15" thickBot="1" x14ac:dyDescent="0.35">
      <c r="B3" s="6223" t="s">
        <v>170</v>
      </c>
      <c r="C3" s="6219" t="s">
        <v>808</v>
      </c>
      <c r="D3" s="6221" t="s">
        <v>809</v>
      </c>
      <c r="E3" s="6225" t="s">
        <v>171</v>
      </c>
      <c r="F3" s="5892" t="s">
        <v>2211</v>
      </c>
      <c r="G3" s="5889"/>
      <c r="H3" s="5892" t="s">
        <v>2260</v>
      </c>
      <c r="I3" s="5889"/>
      <c r="J3" s="5945" t="s">
        <v>14</v>
      </c>
      <c r="K3" s="6227"/>
      <c r="L3" s="5892" t="s">
        <v>1963</v>
      </c>
      <c r="M3" s="5889"/>
      <c r="N3" s="5881" t="s">
        <v>604</v>
      </c>
      <c r="O3" s="5882"/>
      <c r="P3" s="5892" t="s">
        <v>1985</v>
      </c>
      <c r="Q3" s="5889"/>
      <c r="R3" s="5878" t="s">
        <v>17</v>
      </c>
      <c r="S3" s="5879"/>
      <c r="T3" s="5892" t="s">
        <v>1988</v>
      </c>
      <c r="U3" s="5889"/>
      <c r="V3" s="5878" t="s">
        <v>18</v>
      </c>
      <c r="W3" s="5879"/>
      <c r="X3" s="5880" t="s">
        <v>2019</v>
      </c>
      <c r="Y3" s="5880"/>
      <c r="Z3" s="5893" t="s">
        <v>625</v>
      </c>
      <c r="AA3" s="5882"/>
      <c r="AB3" s="5883" t="s">
        <v>623</v>
      </c>
      <c r="AC3" s="5884"/>
      <c r="AD3" s="5880" t="s">
        <v>2043</v>
      </c>
      <c r="AE3" s="5880"/>
      <c r="AF3" s="5878" t="s">
        <v>24</v>
      </c>
      <c r="AG3" s="5879"/>
      <c r="AH3" s="5892" t="s">
        <v>2064</v>
      </c>
      <c r="AI3" s="5889"/>
      <c r="AJ3" s="5878" t="s">
        <v>27</v>
      </c>
      <c r="AK3" s="5879"/>
      <c r="AL3" s="5892" t="s">
        <v>2088</v>
      </c>
      <c r="AM3" s="5889"/>
      <c r="AN3" s="5893" t="s">
        <v>627</v>
      </c>
      <c r="AO3" s="5882"/>
      <c r="AP3" s="5878" t="s">
        <v>1565</v>
      </c>
      <c r="AQ3" s="5879"/>
      <c r="AR3" s="5892" t="s">
        <v>2099</v>
      </c>
      <c r="AS3" s="5889"/>
      <c r="AT3" s="5878" t="s">
        <v>28</v>
      </c>
      <c r="AU3" s="5879"/>
      <c r="AV3" s="5892" t="s">
        <v>2136</v>
      </c>
      <c r="AW3" s="5889"/>
      <c r="AX3" s="5878" t="s">
        <v>30</v>
      </c>
      <c r="AY3" s="5879"/>
      <c r="AZ3" s="5892" t="s">
        <v>2154</v>
      </c>
      <c r="BA3" s="5889"/>
      <c r="BB3" s="5893" t="s">
        <v>628</v>
      </c>
      <c r="BC3" s="5882"/>
      <c r="BD3" s="6217" t="s">
        <v>634</v>
      </c>
      <c r="BE3" s="6218"/>
      <c r="BF3" s="5878" t="s">
        <v>1961</v>
      </c>
      <c r="BG3" s="5879"/>
    </row>
    <row r="4" spans="1:69" x14ac:dyDescent="0.3">
      <c r="B4" s="6224"/>
      <c r="C4" s="6220"/>
      <c r="D4" s="6222"/>
      <c r="E4" s="6226"/>
      <c r="F4" s="3428" t="s">
        <v>172</v>
      </c>
      <c r="G4" s="3429" t="s">
        <v>173</v>
      </c>
      <c r="H4" s="3428" t="s">
        <v>172</v>
      </c>
      <c r="I4" s="3429" t="s">
        <v>173</v>
      </c>
      <c r="J4" s="4552" t="s">
        <v>172</v>
      </c>
      <c r="K4" s="4548" t="s">
        <v>173</v>
      </c>
      <c r="L4" s="3428" t="s">
        <v>172</v>
      </c>
      <c r="M4" s="3429" t="s">
        <v>173</v>
      </c>
      <c r="N4" s="4553" t="s">
        <v>172</v>
      </c>
      <c r="O4" s="4549" t="s">
        <v>173</v>
      </c>
      <c r="P4" s="4554" t="s">
        <v>172</v>
      </c>
      <c r="Q4" s="4550" t="s">
        <v>173</v>
      </c>
      <c r="R4" s="3431" t="s">
        <v>172</v>
      </c>
      <c r="S4" s="3432" t="s">
        <v>173</v>
      </c>
      <c r="T4" s="4554" t="s">
        <v>172</v>
      </c>
      <c r="U4" s="3429" t="s">
        <v>173</v>
      </c>
      <c r="V4" s="3431" t="s">
        <v>172</v>
      </c>
      <c r="W4" s="3432" t="s">
        <v>173</v>
      </c>
      <c r="X4" s="4555" t="s">
        <v>172</v>
      </c>
      <c r="Y4" s="4550" t="s">
        <v>173</v>
      </c>
      <c r="Z4" s="3433" t="s">
        <v>172</v>
      </c>
      <c r="AA4" s="4549" t="s">
        <v>173</v>
      </c>
      <c r="AB4" s="4556" t="s">
        <v>172</v>
      </c>
      <c r="AC4" s="4551" t="s">
        <v>173</v>
      </c>
      <c r="AD4" s="4555" t="s">
        <v>172</v>
      </c>
      <c r="AE4" s="4550" t="s">
        <v>173</v>
      </c>
      <c r="AF4" s="3431" t="s">
        <v>172</v>
      </c>
      <c r="AG4" s="3432" t="s">
        <v>173</v>
      </c>
      <c r="AH4" s="4554" t="s">
        <v>172</v>
      </c>
      <c r="AI4" s="3429" t="s">
        <v>173</v>
      </c>
      <c r="AJ4" s="3431" t="s">
        <v>172</v>
      </c>
      <c r="AK4" s="3432" t="s">
        <v>173</v>
      </c>
      <c r="AL4" s="4554" t="s">
        <v>172</v>
      </c>
      <c r="AM4" s="3429" t="s">
        <v>173</v>
      </c>
      <c r="AN4" s="3433" t="s">
        <v>172</v>
      </c>
      <c r="AO4" s="4549" t="s">
        <v>173</v>
      </c>
      <c r="AP4" s="3431" t="s">
        <v>172</v>
      </c>
      <c r="AQ4" s="3432" t="s">
        <v>173</v>
      </c>
      <c r="AR4" s="4554" t="s">
        <v>172</v>
      </c>
      <c r="AS4" s="3429" t="s">
        <v>173</v>
      </c>
      <c r="AT4" s="3431" t="s">
        <v>172</v>
      </c>
      <c r="AU4" s="3432" t="s">
        <v>173</v>
      </c>
      <c r="AV4" s="4554" t="s">
        <v>172</v>
      </c>
      <c r="AW4" s="3429" t="s">
        <v>173</v>
      </c>
      <c r="AX4" s="3431" t="s">
        <v>172</v>
      </c>
      <c r="AY4" s="3432" t="s">
        <v>173</v>
      </c>
      <c r="AZ4" s="4554" t="s">
        <v>172</v>
      </c>
      <c r="BA4" s="3429" t="s">
        <v>173</v>
      </c>
      <c r="BB4" s="3433" t="s">
        <v>172</v>
      </c>
      <c r="BC4" s="4549" t="s">
        <v>173</v>
      </c>
      <c r="BD4" s="4557" t="s">
        <v>172</v>
      </c>
      <c r="BE4" s="4558" t="s">
        <v>173</v>
      </c>
      <c r="BF4" s="3431" t="s">
        <v>172</v>
      </c>
      <c r="BG4" s="3432" t="s">
        <v>173</v>
      </c>
    </row>
    <row r="5" spans="1:69" hidden="1" x14ac:dyDescent="0.3">
      <c r="B5" s="4560"/>
      <c r="C5" s="4561" t="s">
        <v>2033</v>
      </c>
      <c r="D5" s="4562"/>
      <c r="E5" s="4561"/>
      <c r="F5" s="4561"/>
      <c r="G5" s="4563">
        <f>G7-G6</f>
        <v>55879.292000000009</v>
      </c>
      <c r="H5" s="4561"/>
      <c r="I5" s="4563">
        <f>I7-I6</f>
        <v>11385.485999999997</v>
      </c>
      <c r="J5" s="4564"/>
      <c r="K5" s="4564"/>
      <c r="L5" s="4561"/>
      <c r="M5" s="4563">
        <f>M7-M6</f>
        <v>60087.909999999974</v>
      </c>
      <c r="N5" s="4565"/>
      <c r="O5" s="4566">
        <f t="shared" ref="O5:O6" si="0">+G5+I5+M5</f>
        <v>127352.68799999998</v>
      </c>
      <c r="P5" s="4567"/>
      <c r="Q5" s="4563">
        <f>Q7-Q6</f>
        <v>60960.812000000013</v>
      </c>
      <c r="R5" s="4564"/>
      <c r="S5" s="4564"/>
      <c r="T5" s="4567"/>
      <c r="U5" s="4563">
        <f>U7-U6</f>
        <v>46984.822000000007</v>
      </c>
      <c r="V5" s="4564"/>
      <c r="W5" s="4568">
        <f t="shared" ref="W5:W6" si="1">+S5+U5</f>
        <v>46984.822000000007</v>
      </c>
      <c r="X5" s="4567"/>
      <c r="Y5" s="4563">
        <f>Y7-Y6</f>
        <v>53203.589000000007</v>
      </c>
      <c r="Z5" s="4565"/>
      <c r="AA5" s="4566">
        <f>+Q5+U5+Y5</f>
        <v>161149.22300000003</v>
      </c>
      <c r="AB5" s="4569"/>
      <c r="AC5" s="4569">
        <f t="shared" ref="AC5:AC6" si="2">+AA5+O5</f>
        <v>288501.91100000002</v>
      </c>
      <c r="AD5" s="4567"/>
      <c r="AE5" s="4567"/>
      <c r="AF5" s="4564"/>
      <c r="AG5" s="4564"/>
      <c r="AH5" s="4567"/>
      <c r="AI5" s="4561"/>
      <c r="AJ5" s="4564"/>
      <c r="AK5" s="4564"/>
      <c r="AL5" s="4567"/>
      <c r="AM5" s="4561"/>
      <c r="AN5" s="4565"/>
      <c r="AO5" s="4565"/>
      <c r="AP5" s="4564"/>
      <c r="AQ5" s="4564"/>
      <c r="AR5" s="4567"/>
      <c r="AS5" s="4561"/>
      <c r="AT5" s="4564"/>
      <c r="AU5" s="4564"/>
      <c r="AV5" s="4567"/>
      <c r="AW5" s="4561"/>
      <c r="AX5" s="4564"/>
      <c r="AY5" s="4564"/>
      <c r="AZ5" s="4567"/>
      <c r="BA5" s="4561"/>
      <c r="BB5" s="4565"/>
      <c r="BC5" s="4565"/>
      <c r="BD5" s="4570"/>
      <c r="BE5" s="4570"/>
      <c r="BF5" s="4564"/>
      <c r="BG5" s="4564"/>
    </row>
    <row r="6" spans="1:69" hidden="1" x14ac:dyDescent="0.3">
      <c r="B6" s="4560"/>
      <c r="C6" s="4561" t="s">
        <v>2034</v>
      </c>
      <c r="D6" s="4562"/>
      <c r="E6" s="4561"/>
      <c r="F6" s="4561"/>
      <c r="G6" s="4561"/>
      <c r="H6" s="4561"/>
      <c r="I6" s="4561"/>
      <c r="J6" s="4564"/>
      <c r="K6" s="4564"/>
      <c r="L6" s="4561"/>
      <c r="M6" s="4563">
        <v>2132.9</v>
      </c>
      <c r="N6" s="4565"/>
      <c r="O6" s="4566">
        <f t="shared" si="0"/>
        <v>2132.9</v>
      </c>
      <c r="P6" s="4567"/>
      <c r="Q6" s="4567"/>
      <c r="R6" s="4564"/>
      <c r="S6" s="4564"/>
      <c r="T6" s="4567"/>
      <c r="U6" s="4563">
        <v>535.9</v>
      </c>
      <c r="V6" s="4564"/>
      <c r="W6" s="4568">
        <f t="shared" si="1"/>
        <v>535.9</v>
      </c>
      <c r="X6" s="4567"/>
      <c r="Y6" s="4567"/>
      <c r="Z6" s="4565"/>
      <c r="AA6" s="4566">
        <f>+Q6+U6+Y6</f>
        <v>535.9</v>
      </c>
      <c r="AB6" s="4569"/>
      <c r="AC6" s="4572">
        <f t="shared" si="2"/>
        <v>2668.8</v>
      </c>
      <c r="AD6" s="4567"/>
      <c r="AE6" s="4567"/>
      <c r="AF6" s="4564"/>
      <c r="AG6" s="4564"/>
      <c r="AH6" s="4567"/>
      <c r="AI6" s="4561"/>
      <c r="AJ6" s="4564"/>
      <c r="AK6" s="4564"/>
      <c r="AL6" s="4567"/>
      <c r="AM6" s="4561"/>
      <c r="AN6" s="4565"/>
      <c r="AO6" s="4565"/>
      <c r="AP6" s="4564"/>
      <c r="AQ6" s="4564"/>
      <c r="AR6" s="4567"/>
      <c r="AS6" s="4561"/>
      <c r="AT6" s="4564"/>
      <c r="AU6" s="4564"/>
      <c r="AV6" s="4567"/>
      <c r="AW6" s="4561"/>
      <c r="AX6" s="4564"/>
      <c r="AY6" s="4564"/>
      <c r="AZ6" s="4567"/>
      <c r="BA6" s="4561"/>
      <c r="BB6" s="4565"/>
      <c r="BC6" s="4565"/>
      <c r="BD6" s="4570"/>
      <c r="BE6" s="4570"/>
      <c r="BF6" s="4564"/>
      <c r="BG6" s="4564"/>
    </row>
    <row r="7" spans="1:69" ht="17.100000000000001" customHeight="1" thickBot="1" x14ac:dyDescent="0.35">
      <c r="B7" s="4559" t="s">
        <v>805</v>
      </c>
      <c r="C7" s="2725"/>
      <c r="D7" s="2726"/>
      <c r="E7" s="2727" t="s">
        <v>50</v>
      </c>
      <c r="F7" s="2728">
        <v>59102.902374670186</v>
      </c>
      <c r="G7" s="534">
        <v>55879.292000000009</v>
      </c>
      <c r="H7" s="2728">
        <v>62796.83377308707</v>
      </c>
      <c r="I7" s="534">
        <v>11385.485999999997</v>
      </c>
      <c r="J7" s="814">
        <f>+H7+F7</f>
        <v>121899.73614775726</v>
      </c>
      <c r="K7" s="2729">
        <f>+G7+I7</f>
        <v>67264.778000000006</v>
      </c>
      <c r="L7" s="2728">
        <v>65963.06068601583</v>
      </c>
      <c r="M7" s="534">
        <v>62220.809999999976</v>
      </c>
      <c r="N7" s="1834">
        <f>+F7+H7+L7</f>
        <v>187862.79683377309</v>
      </c>
      <c r="O7" s="1835">
        <f>+G7+I7+M7</f>
        <v>129485.58799999999</v>
      </c>
      <c r="P7" s="2728">
        <v>68601.583113456465</v>
      </c>
      <c r="Q7" s="534">
        <v>60960.812000000013</v>
      </c>
      <c r="R7" s="1843">
        <f>+N7+P7</f>
        <v>256464.37994722955</v>
      </c>
      <c r="S7" s="93">
        <f>+O7+Q7</f>
        <v>190446.4</v>
      </c>
      <c r="T7" s="2728">
        <v>68601.583113456465</v>
      </c>
      <c r="U7" s="534">
        <v>47520.722000000009</v>
      </c>
      <c r="V7" s="1843">
        <f>+R7+T7</f>
        <v>325065.96306068602</v>
      </c>
      <c r="W7" s="93">
        <f>+S7+U7</f>
        <v>237967.122</v>
      </c>
      <c r="X7" s="2728">
        <v>35356.200527704488</v>
      </c>
      <c r="Y7" s="534">
        <v>53203.589000000007</v>
      </c>
      <c r="Z7" s="828">
        <f>+P7+T7+X7</f>
        <v>172559.36675461743</v>
      </c>
      <c r="AA7" s="86">
        <f>+Q7+U7+Y7</f>
        <v>161685.12300000002</v>
      </c>
      <c r="AB7" s="2104">
        <f>+N7+Z7</f>
        <v>360422.16358839051</v>
      </c>
      <c r="AC7" s="432">
        <f>+AA7+O7</f>
        <v>291170.71100000001</v>
      </c>
      <c r="AD7" s="2728">
        <v>70712.401055408976</v>
      </c>
      <c r="AE7" s="534">
        <v>31835.587</v>
      </c>
      <c r="AF7" s="1843">
        <f>+AB7+AD7</f>
        <v>431134.5646437995</v>
      </c>
      <c r="AG7" s="93">
        <f>+AC7+AE7</f>
        <v>323006.29800000001</v>
      </c>
      <c r="AH7" s="2728">
        <v>68601.583113456465</v>
      </c>
      <c r="AI7" s="534">
        <v>52559.118000000009</v>
      </c>
      <c r="AJ7" s="1843">
        <f>+AF7+AH7</f>
        <v>499736.14775725594</v>
      </c>
      <c r="AK7" s="93">
        <f>+AG7+AI7</f>
        <v>375565.41600000003</v>
      </c>
      <c r="AL7" s="2728">
        <v>71240.105540897101</v>
      </c>
      <c r="AM7" s="534">
        <v>56760.718000000001</v>
      </c>
      <c r="AN7" s="828">
        <f>+AD7+AH7+AL7</f>
        <v>210554.08970976254</v>
      </c>
      <c r="AO7" s="86">
        <f>+AE7+AI7+AM7</f>
        <v>141155.42300000001</v>
      </c>
      <c r="AP7" s="1843">
        <f>+AL7+AJ7</f>
        <v>570976.25329815305</v>
      </c>
      <c r="AQ7" s="1843">
        <f>+AM7+AK7</f>
        <v>432326.13400000002</v>
      </c>
      <c r="AR7" s="2728">
        <v>71767.810026385225</v>
      </c>
      <c r="AS7" s="534">
        <v>60241.546999999999</v>
      </c>
      <c r="AT7" s="1843">
        <f>+AP7+AR7</f>
        <v>642744.06332453829</v>
      </c>
      <c r="AU7" s="93">
        <f>+AQ7+AS7</f>
        <v>492567.68100000004</v>
      </c>
      <c r="AV7" s="2728">
        <v>64379.94722955145</v>
      </c>
      <c r="AW7" s="534">
        <v>57535.981999999996</v>
      </c>
      <c r="AX7" s="1843">
        <f>+AT7+AV7</f>
        <v>707124.01055408979</v>
      </c>
      <c r="AY7" s="93">
        <f>+AU7+AW7</f>
        <v>550103.66300000006</v>
      </c>
      <c r="AZ7" s="2728">
        <v>72295.514511873349</v>
      </c>
      <c r="BA7" s="534">
        <v>67044.626999999993</v>
      </c>
      <c r="BB7" s="828">
        <f>+AR7+AV7+AZ7</f>
        <v>208443.27176781005</v>
      </c>
      <c r="BC7" s="86">
        <f>+AS7+AW7+BA7</f>
        <v>184822.15599999999</v>
      </c>
      <c r="BD7" s="829">
        <f>+AN7+BB7</f>
        <v>418997.36147757259</v>
      </c>
      <c r="BE7" s="829">
        <f>+AO7+BC7</f>
        <v>325977.57900000003</v>
      </c>
      <c r="BF7" s="1843">
        <f>+AX7+AZ7</f>
        <v>779419.52506596316</v>
      </c>
      <c r="BG7" s="93">
        <f>+AY7+BA7</f>
        <v>617148.29</v>
      </c>
      <c r="BH7" s="23"/>
      <c r="BI7" s="23"/>
      <c r="BJ7" s="23"/>
      <c r="BK7" s="507"/>
    </row>
    <row r="8" spans="1:69" x14ac:dyDescent="0.3">
      <c r="B8" s="2734" t="s">
        <v>810</v>
      </c>
      <c r="C8" s="2735" t="s">
        <v>901</v>
      </c>
      <c r="D8" s="2736">
        <v>42.24</v>
      </c>
      <c r="E8" s="1216" t="s">
        <v>50</v>
      </c>
      <c r="F8" s="2737"/>
      <c r="G8" s="83">
        <v>561.23400000000004</v>
      </c>
      <c r="H8" s="2737"/>
      <c r="I8" s="83"/>
      <c r="J8" s="2738"/>
      <c r="K8" s="4119">
        <f>+G8+I8</f>
        <v>561.23400000000004</v>
      </c>
      <c r="L8" s="2737"/>
      <c r="M8" s="83"/>
      <c r="N8" s="1836"/>
      <c r="O8" s="65">
        <f>+G8+I8+M8</f>
        <v>561.23400000000004</v>
      </c>
      <c r="P8" s="2737"/>
      <c r="Q8" s="83">
        <v>825.04300000000001</v>
      </c>
      <c r="R8" s="1844"/>
      <c r="S8" s="35">
        <f>+O8+Q8</f>
        <v>1386.277</v>
      </c>
      <c r="T8" s="2737"/>
      <c r="U8" s="83">
        <v>407.125</v>
      </c>
      <c r="V8" s="1844"/>
      <c r="W8" s="35">
        <f>+S8+U8</f>
        <v>1793.402</v>
      </c>
      <c r="X8" s="2737"/>
      <c r="Y8" s="83">
        <v>296.09300000000002</v>
      </c>
      <c r="Z8" s="830"/>
      <c r="AA8" s="717">
        <f>+Q8+U8+Y8</f>
        <v>1528.2610000000002</v>
      </c>
      <c r="AB8" s="3614"/>
      <c r="AC8" s="429">
        <f>+AA8+O8</f>
        <v>2089.4950000000003</v>
      </c>
      <c r="AD8" s="2737"/>
      <c r="AE8" s="83">
        <v>357.71000000000004</v>
      </c>
      <c r="AF8" s="1844"/>
      <c r="AG8" s="35">
        <f>+AC8+AE8</f>
        <v>2447.2050000000004</v>
      </c>
      <c r="AH8" s="2737"/>
      <c r="AI8" s="83">
        <v>499.65499999999997</v>
      </c>
      <c r="AJ8" s="1844"/>
      <c r="AK8" s="35">
        <f>+AG8+AI8</f>
        <v>2946.8600000000006</v>
      </c>
      <c r="AL8" s="2737"/>
      <c r="AM8" s="83">
        <v>269.346</v>
      </c>
      <c r="AN8" s="830"/>
      <c r="AO8" s="717">
        <f>+AE8+AI8+AM8</f>
        <v>1126.711</v>
      </c>
      <c r="AP8" s="1844"/>
      <c r="AQ8" s="35">
        <f>AK8+AM8</f>
        <v>3216.2060000000006</v>
      </c>
      <c r="AR8" s="2737"/>
      <c r="AS8" s="83">
        <v>246.18600000000001</v>
      </c>
      <c r="AT8" s="1844"/>
      <c r="AU8" s="35">
        <f>+AQ8+AS8</f>
        <v>3462.3920000000007</v>
      </c>
      <c r="AV8" s="2737"/>
      <c r="AW8" s="83"/>
      <c r="AX8" s="1844"/>
      <c r="AY8" s="35">
        <f>+AU8+AW8</f>
        <v>3462.3920000000007</v>
      </c>
      <c r="AZ8" s="2737"/>
      <c r="BA8" s="83">
        <v>252.863</v>
      </c>
      <c r="BB8" s="830"/>
      <c r="BC8" s="717">
        <f>+AS8+AW8+BA8</f>
        <v>499.04899999999998</v>
      </c>
      <c r="BD8" s="831"/>
      <c r="BE8" s="645">
        <f>+AO8+BC8</f>
        <v>1625.76</v>
      </c>
      <c r="BF8" s="1844"/>
      <c r="BG8" s="35">
        <f>+AY8+BA8</f>
        <v>3715.2550000000006</v>
      </c>
      <c r="BH8" s="23"/>
      <c r="BI8" s="23"/>
      <c r="BJ8" s="23"/>
      <c r="BK8" s="1111"/>
    </row>
    <row r="9" spans="1:69" x14ac:dyDescent="0.3">
      <c r="B9" s="990" t="s">
        <v>810</v>
      </c>
      <c r="C9" s="2546" t="s">
        <v>966</v>
      </c>
      <c r="D9" s="2547">
        <v>42.24</v>
      </c>
      <c r="E9" s="1277" t="s">
        <v>50</v>
      </c>
      <c r="F9" s="1822"/>
      <c r="G9" s="17">
        <v>3614.0989999999997</v>
      </c>
      <c r="H9" s="1822"/>
      <c r="I9" s="17"/>
      <c r="J9" s="1827"/>
      <c r="K9" s="4119">
        <f t="shared" ref="K9:K97" si="3">+G9+I9</f>
        <v>3614.0989999999997</v>
      </c>
      <c r="L9" s="1822"/>
      <c r="M9" s="17">
        <v>3305.3959999999988</v>
      </c>
      <c r="N9" s="1836"/>
      <c r="O9" s="65">
        <f t="shared" ref="O9:O97" si="4">+G9+I9+M9</f>
        <v>6919.494999999999</v>
      </c>
      <c r="P9" s="1822"/>
      <c r="Q9" s="17">
        <v>3240.4470000000001</v>
      </c>
      <c r="R9" s="1844"/>
      <c r="S9" s="35">
        <f t="shared" ref="S9:S89" si="5">+O9+Q9</f>
        <v>10159.941999999999</v>
      </c>
      <c r="T9" s="1822"/>
      <c r="U9" s="17">
        <v>2545.2549999999997</v>
      </c>
      <c r="V9" s="1844"/>
      <c r="W9" s="35">
        <f t="shared" ref="W9:W97" si="6">+S9+U9</f>
        <v>12705.196999999998</v>
      </c>
      <c r="X9" s="1822"/>
      <c r="Y9" s="17">
        <v>2017.1290000000004</v>
      </c>
      <c r="Z9" s="830"/>
      <c r="AA9" s="717">
        <f t="shared" ref="AA9:AA75" si="7">+Q9+U9+Y9</f>
        <v>7802.8310000000001</v>
      </c>
      <c r="AB9" s="3614"/>
      <c r="AC9" s="429">
        <f t="shared" ref="AC9:AC75" si="8">+AA9+O9</f>
        <v>14722.325999999999</v>
      </c>
      <c r="AD9" s="1822"/>
      <c r="AE9" s="17">
        <v>1647.3190000000004</v>
      </c>
      <c r="AF9" s="1844"/>
      <c r="AG9" s="35">
        <f t="shared" ref="AG9:AG75" si="9">+AC9+AE9</f>
        <v>16369.645</v>
      </c>
      <c r="AH9" s="1822"/>
      <c r="AI9" s="17">
        <v>3532.0330000000004</v>
      </c>
      <c r="AJ9" s="1844"/>
      <c r="AK9" s="35">
        <f t="shared" ref="AK9:AK73" si="10">+AG9+AI9</f>
        <v>19901.678</v>
      </c>
      <c r="AL9" s="1822"/>
      <c r="AM9" s="17">
        <v>5569.344000000001</v>
      </c>
      <c r="AN9" s="830"/>
      <c r="AO9" s="717">
        <f t="shared" ref="AO9:AO73" si="11">+AE9+AI9+AM9</f>
        <v>10748.696000000002</v>
      </c>
      <c r="AP9" s="1844"/>
      <c r="AQ9" s="35">
        <f t="shared" ref="AQ9:AQ73" si="12">AK9+AM9</f>
        <v>25471.022000000001</v>
      </c>
      <c r="AR9" s="1822"/>
      <c r="AS9" s="17">
        <v>3662.1030000000001</v>
      </c>
      <c r="AT9" s="1844"/>
      <c r="AU9" s="35">
        <f t="shared" ref="AU9:AU73" si="13">+AQ9+AS9</f>
        <v>29133.125</v>
      </c>
      <c r="AV9" s="1822"/>
      <c r="AW9" s="17">
        <v>5469.7240000000002</v>
      </c>
      <c r="AX9" s="1844"/>
      <c r="AY9" s="35">
        <f t="shared" ref="AY9:AY73" si="14">+AU9+AW9</f>
        <v>34602.849000000002</v>
      </c>
      <c r="AZ9" s="1822"/>
      <c r="BA9" s="17">
        <v>6512.043999999999</v>
      </c>
      <c r="BB9" s="830"/>
      <c r="BC9" s="717">
        <f t="shared" ref="BC9:BC99" si="15">+AS9+AW9+BA9</f>
        <v>15643.870999999999</v>
      </c>
      <c r="BD9" s="831"/>
      <c r="BE9" s="645">
        <f t="shared" ref="BE9:BE99" si="16">+AO9+BC9</f>
        <v>26392.567000000003</v>
      </c>
      <c r="BF9" s="1844"/>
      <c r="BG9" s="35">
        <f t="shared" ref="BG9:BG73" si="17">+AY9+BA9</f>
        <v>41114.893000000004</v>
      </c>
      <c r="BH9" s="23"/>
      <c r="BI9" s="23"/>
      <c r="BJ9" s="23"/>
      <c r="BK9" s="1111"/>
    </row>
    <row r="10" spans="1:69" x14ac:dyDescent="0.3">
      <c r="B10" s="990" t="s">
        <v>865</v>
      </c>
      <c r="C10" s="2546" t="s">
        <v>901</v>
      </c>
      <c r="D10" s="2547">
        <v>49.32</v>
      </c>
      <c r="E10" s="1277" t="s">
        <v>50</v>
      </c>
      <c r="F10" s="1822"/>
      <c r="G10" s="17">
        <v>101.795</v>
      </c>
      <c r="H10" s="1822"/>
      <c r="I10" s="17"/>
      <c r="J10" s="1827"/>
      <c r="K10" s="4119">
        <f t="shared" si="3"/>
        <v>101.795</v>
      </c>
      <c r="L10" s="1822"/>
      <c r="M10" s="17"/>
      <c r="N10" s="1836"/>
      <c r="O10" s="65">
        <f t="shared" si="4"/>
        <v>101.795</v>
      </c>
      <c r="P10" s="1822"/>
      <c r="Q10" s="17">
        <v>152.68199999999999</v>
      </c>
      <c r="R10" s="1844"/>
      <c r="S10" s="35">
        <f t="shared" si="5"/>
        <v>254.47699999999998</v>
      </c>
      <c r="T10" s="1822"/>
      <c r="U10" s="17">
        <v>94.540999999999997</v>
      </c>
      <c r="V10" s="1844"/>
      <c r="W10" s="35">
        <f t="shared" si="6"/>
        <v>349.01799999999997</v>
      </c>
      <c r="X10" s="1822"/>
      <c r="Y10" s="17"/>
      <c r="Z10" s="830"/>
      <c r="AA10" s="717">
        <f t="shared" si="7"/>
        <v>247.22299999999998</v>
      </c>
      <c r="AB10" s="3614"/>
      <c r="AC10" s="429">
        <f t="shared" si="8"/>
        <v>349.01799999999997</v>
      </c>
      <c r="AD10" s="1822"/>
      <c r="AE10" s="17"/>
      <c r="AF10" s="1844"/>
      <c r="AG10" s="35">
        <f t="shared" si="9"/>
        <v>349.01799999999997</v>
      </c>
      <c r="AH10" s="1822"/>
      <c r="AI10" s="17"/>
      <c r="AJ10" s="1844"/>
      <c r="AK10" s="35">
        <f t="shared" si="10"/>
        <v>349.01799999999997</v>
      </c>
      <c r="AL10" s="1822"/>
      <c r="AM10" s="17">
        <v>360.70300000000003</v>
      </c>
      <c r="AN10" s="830"/>
      <c r="AO10" s="717">
        <f t="shared" si="11"/>
        <v>360.70300000000003</v>
      </c>
      <c r="AP10" s="1844"/>
      <c r="AQ10" s="35">
        <f t="shared" si="12"/>
        <v>709.721</v>
      </c>
      <c r="AR10" s="1822"/>
      <c r="AS10" s="17">
        <v>268.53100000000001</v>
      </c>
      <c r="AT10" s="1844"/>
      <c r="AU10" s="35">
        <f t="shared" si="13"/>
        <v>978.25199999999995</v>
      </c>
      <c r="AV10" s="1822"/>
      <c r="AW10" s="17"/>
      <c r="AX10" s="1844"/>
      <c r="AY10" s="35">
        <f t="shared" si="14"/>
        <v>978.25199999999995</v>
      </c>
      <c r="AZ10" s="1822"/>
      <c r="BA10" s="17"/>
      <c r="BB10" s="830"/>
      <c r="BC10" s="717">
        <f t="shared" si="15"/>
        <v>268.53100000000001</v>
      </c>
      <c r="BD10" s="831"/>
      <c r="BE10" s="645">
        <f t="shared" si="16"/>
        <v>629.23400000000004</v>
      </c>
      <c r="BF10" s="1844"/>
      <c r="BG10" s="35">
        <f t="shared" si="17"/>
        <v>978.25199999999995</v>
      </c>
      <c r="BH10" s="23"/>
      <c r="BI10" s="23"/>
      <c r="BJ10" s="23"/>
      <c r="BK10" s="1111"/>
    </row>
    <row r="11" spans="1:69" x14ac:dyDescent="0.3">
      <c r="B11" s="990" t="s">
        <v>865</v>
      </c>
      <c r="C11" s="2546" t="s">
        <v>966</v>
      </c>
      <c r="D11" s="2547">
        <v>49.32</v>
      </c>
      <c r="E11" s="1277" t="s">
        <v>50</v>
      </c>
      <c r="F11" s="1822"/>
      <c r="G11" s="17">
        <v>1192.4679999999998</v>
      </c>
      <c r="H11" s="1822"/>
      <c r="I11" s="17"/>
      <c r="J11" s="1827"/>
      <c r="K11" s="4119">
        <f t="shared" si="3"/>
        <v>1192.4679999999998</v>
      </c>
      <c r="L11" s="1822"/>
      <c r="M11" s="17">
        <v>559.976</v>
      </c>
      <c r="N11" s="1836"/>
      <c r="O11" s="65">
        <f t="shared" si="4"/>
        <v>1752.444</v>
      </c>
      <c r="P11" s="1822"/>
      <c r="Q11" s="17">
        <v>443.53799999999995</v>
      </c>
      <c r="R11" s="1844"/>
      <c r="S11" s="35">
        <f t="shared" si="5"/>
        <v>2195.982</v>
      </c>
      <c r="T11" s="1822"/>
      <c r="U11" s="17">
        <v>737.06700000000001</v>
      </c>
      <c r="V11" s="1844"/>
      <c r="W11" s="35">
        <f t="shared" si="6"/>
        <v>2933.049</v>
      </c>
      <c r="X11" s="1822"/>
      <c r="Y11" s="17">
        <v>509.07</v>
      </c>
      <c r="Z11" s="830"/>
      <c r="AA11" s="717">
        <f t="shared" si="7"/>
        <v>1689.675</v>
      </c>
      <c r="AB11" s="3614"/>
      <c r="AC11" s="429">
        <f t="shared" si="8"/>
        <v>3442.1189999999997</v>
      </c>
      <c r="AD11" s="1822"/>
      <c r="AE11" s="17">
        <v>254.535</v>
      </c>
      <c r="AF11" s="1844"/>
      <c r="AG11" s="35">
        <f t="shared" si="9"/>
        <v>3696.6539999999995</v>
      </c>
      <c r="AH11" s="1822"/>
      <c r="AI11" s="17">
        <v>909.05399999999997</v>
      </c>
      <c r="AJ11" s="1844"/>
      <c r="AK11" s="35">
        <f t="shared" si="10"/>
        <v>4605.7079999999996</v>
      </c>
      <c r="AL11" s="1822"/>
      <c r="AM11" s="17">
        <v>1751.8299999999995</v>
      </c>
      <c r="AN11" s="830"/>
      <c r="AO11" s="717">
        <f t="shared" si="11"/>
        <v>2915.4189999999994</v>
      </c>
      <c r="AP11" s="1844"/>
      <c r="AQ11" s="35">
        <f t="shared" si="12"/>
        <v>6357.5379999999986</v>
      </c>
      <c r="AR11" s="1822"/>
      <c r="AS11" s="17">
        <v>1156.1099999999999</v>
      </c>
      <c r="AT11" s="1844"/>
      <c r="AU11" s="35">
        <f t="shared" si="13"/>
        <v>7513.6479999999983</v>
      </c>
      <c r="AV11" s="1822"/>
      <c r="AW11" s="17">
        <v>836.245</v>
      </c>
      <c r="AX11" s="1844"/>
      <c r="AY11" s="35">
        <f t="shared" si="14"/>
        <v>8349.8929999999982</v>
      </c>
      <c r="AZ11" s="1822"/>
      <c r="BA11" s="17">
        <v>632.71699999999998</v>
      </c>
      <c r="BB11" s="830"/>
      <c r="BC11" s="717">
        <f t="shared" si="15"/>
        <v>2625.0720000000001</v>
      </c>
      <c r="BD11" s="831"/>
      <c r="BE11" s="645">
        <f t="shared" si="16"/>
        <v>5540.491</v>
      </c>
      <c r="BF11" s="1844"/>
      <c r="BG11" s="35">
        <f t="shared" si="17"/>
        <v>8982.6099999999988</v>
      </c>
      <c r="BH11" s="23"/>
      <c r="BI11" s="23"/>
      <c r="BJ11" s="23"/>
      <c r="BK11" s="1111"/>
    </row>
    <row r="12" spans="1:69" x14ac:dyDescent="0.3">
      <c r="B12" s="990" t="s">
        <v>865</v>
      </c>
      <c r="C12" s="2546" t="s">
        <v>901</v>
      </c>
      <c r="D12" s="2547">
        <v>36.53</v>
      </c>
      <c r="E12" s="1277" t="s">
        <v>50</v>
      </c>
      <c r="F12" s="1822"/>
      <c r="G12" s="17">
        <v>149.00399999999999</v>
      </c>
      <c r="H12" s="1822"/>
      <c r="I12" s="17"/>
      <c r="J12" s="1827"/>
      <c r="K12" s="4119">
        <f t="shared" si="3"/>
        <v>149.00399999999999</v>
      </c>
      <c r="L12" s="1822"/>
      <c r="M12" s="17"/>
      <c r="N12" s="1836"/>
      <c r="O12" s="65">
        <f t="shared" si="4"/>
        <v>149.00399999999999</v>
      </c>
      <c r="P12" s="1822"/>
      <c r="Q12" s="17"/>
      <c r="R12" s="1844"/>
      <c r="S12" s="35">
        <f t="shared" si="5"/>
        <v>149.00399999999999</v>
      </c>
      <c r="T12" s="1822"/>
      <c r="U12" s="17">
        <v>217.69</v>
      </c>
      <c r="V12" s="1844"/>
      <c r="W12" s="35">
        <f t="shared" si="6"/>
        <v>366.69399999999996</v>
      </c>
      <c r="X12" s="1822"/>
      <c r="Y12" s="17">
        <v>579.52300000000002</v>
      </c>
      <c r="Z12" s="2548"/>
      <c r="AA12" s="717">
        <f t="shared" si="7"/>
        <v>797.21299999999997</v>
      </c>
      <c r="AB12" s="3615"/>
      <c r="AC12" s="429">
        <f t="shared" si="8"/>
        <v>946.21699999999998</v>
      </c>
      <c r="AD12" s="1822"/>
      <c r="AE12" s="17">
        <v>270.423</v>
      </c>
      <c r="AF12" s="1844"/>
      <c r="AG12" s="35">
        <f t="shared" si="9"/>
        <v>1216.6399999999999</v>
      </c>
      <c r="AH12" s="1822"/>
      <c r="AI12" s="17"/>
      <c r="AJ12" s="1844"/>
      <c r="AK12" s="35">
        <f t="shared" si="10"/>
        <v>1216.6399999999999</v>
      </c>
      <c r="AL12" s="1822"/>
      <c r="AM12" s="17"/>
      <c r="AN12" s="2548"/>
      <c r="AO12" s="717">
        <f t="shared" si="11"/>
        <v>270.423</v>
      </c>
      <c r="AP12" s="1844"/>
      <c r="AQ12" s="35">
        <f t="shared" si="12"/>
        <v>1216.6399999999999</v>
      </c>
      <c r="AR12" s="1822"/>
      <c r="AS12" s="17"/>
      <c r="AT12" s="1844"/>
      <c r="AU12" s="35">
        <f t="shared" si="13"/>
        <v>1216.6399999999999</v>
      </c>
      <c r="AV12" s="1822"/>
      <c r="AW12" s="17"/>
      <c r="AX12" s="1844"/>
      <c r="AY12" s="35">
        <f t="shared" si="14"/>
        <v>1216.6399999999999</v>
      </c>
      <c r="AZ12" s="1822"/>
      <c r="BA12" s="17"/>
      <c r="BB12" s="2548"/>
      <c r="BC12" s="717">
        <f t="shared" si="15"/>
        <v>0</v>
      </c>
      <c r="BD12" s="2549"/>
      <c r="BE12" s="645">
        <f t="shared" si="16"/>
        <v>270.423</v>
      </c>
      <c r="BF12" s="1844"/>
      <c r="BG12" s="35">
        <f t="shared" si="17"/>
        <v>1216.6399999999999</v>
      </c>
      <c r="BH12" s="23"/>
      <c r="BI12" s="23"/>
      <c r="BJ12" s="23"/>
      <c r="BK12" s="1111"/>
    </row>
    <row r="13" spans="1:69" x14ac:dyDescent="0.3">
      <c r="B13" s="990" t="s">
        <v>810</v>
      </c>
      <c r="C13" s="2546" t="s">
        <v>901</v>
      </c>
      <c r="D13" s="2547">
        <v>36.520000000000003</v>
      </c>
      <c r="E13" s="1277" t="s">
        <v>50</v>
      </c>
      <c r="F13" s="1822"/>
      <c r="G13" s="17"/>
      <c r="H13" s="1822"/>
      <c r="I13" s="17"/>
      <c r="J13" s="1827"/>
      <c r="K13" s="4119">
        <f t="shared" si="3"/>
        <v>0</v>
      </c>
      <c r="L13" s="1822"/>
      <c r="M13" s="17"/>
      <c r="N13" s="1836"/>
      <c r="O13" s="65">
        <f t="shared" si="4"/>
        <v>0</v>
      </c>
      <c r="P13" s="1822"/>
      <c r="Q13" s="17"/>
      <c r="R13" s="1844"/>
      <c r="S13" s="35">
        <f t="shared" si="5"/>
        <v>0</v>
      </c>
      <c r="T13" s="1822"/>
      <c r="U13" s="17"/>
      <c r="V13" s="1844"/>
      <c r="W13" s="35">
        <f t="shared" si="6"/>
        <v>0</v>
      </c>
      <c r="X13" s="1822"/>
      <c r="Y13" s="17"/>
      <c r="Z13" s="830"/>
      <c r="AA13" s="717">
        <f t="shared" si="7"/>
        <v>0</v>
      </c>
      <c r="AB13" s="3614"/>
      <c r="AC13" s="429">
        <f t="shared" si="8"/>
        <v>0</v>
      </c>
      <c r="AD13" s="1822"/>
      <c r="AE13" s="17"/>
      <c r="AF13" s="1844"/>
      <c r="AG13" s="35">
        <f t="shared" si="9"/>
        <v>0</v>
      </c>
      <c r="AH13" s="1822"/>
      <c r="AI13" s="17"/>
      <c r="AJ13" s="1844"/>
      <c r="AK13" s="35">
        <f t="shared" si="10"/>
        <v>0</v>
      </c>
      <c r="AL13" s="1822"/>
      <c r="AM13" s="17"/>
      <c r="AN13" s="830"/>
      <c r="AO13" s="717">
        <f t="shared" si="11"/>
        <v>0</v>
      </c>
      <c r="AP13" s="1844"/>
      <c r="AQ13" s="35">
        <f t="shared" si="12"/>
        <v>0</v>
      </c>
      <c r="AR13" s="1822"/>
      <c r="AS13" s="17"/>
      <c r="AT13" s="1844"/>
      <c r="AU13" s="35">
        <f t="shared" si="13"/>
        <v>0</v>
      </c>
      <c r="AV13" s="1822"/>
      <c r="AW13" s="17"/>
      <c r="AX13" s="1844"/>
      <c r="AY13" s="35">
        <f t="shared" si="14"/>
        <v>0</v>
      </c>
      <c r="AZ13" s="1822"/>
      <c r="BA13" s="17"/>
      <c r="BB13" s="830"/>
      <c r="BC13" s="717">
        <f t="shared" si="15"/>
        <v>0</v>
      </c>
      <c r="BD13" s="831"/>
      <c r="BE13" s="645">
        <f t="shared" si="16"/>
        <v>0</v>
      </c>
      <c r="BF13" s="1844"/>
      <c r="BG13" s="35">
        <f t="shared" si="17"/>
        <v>0</v>
      </c>
      <c r="BH13" s="23"/>
      <c r="BI13" s="23"/>
      <c r="BJ13" s="23"/>
      <c r="BK13" s="1111"/>
    </row>
    <row r="14" spans="1:69" ht="15" thickBot="1" x14ac:dyDescent="0.35">
      <c r="B14" s="2739" t="s">
        <v>810</v>
      </c>
      <c r="C14" s="2740" t="s">
        <v>966</v>
      </c>
      <c r="D14" s="2741">
        <v>36.53</v>
      </c>
      <c r="E14" s="1296" t="s">
        <v>50</v>
      </c>
      <c r="F14" s="2742"/>
      <c r="G14" s="34"/>
      <c r="H14" s="2742"/>
      <c r="I14" s="34"/>
      <c r="J14" s="2743"/>
      <c r="K14" s="4119">
        <f t="shared" si="3"/>
        <v>0</v>
      </c>
      <c r="L14" s="2742"/>
      <c r="M14" s="34"/>
      <c r="N14" s="1836"/>
      <c r="O14" s="65">
        <f t="shared" si="4"/>
        <v>0</v>
      </c>
      <c r="P14" s="2742"/>
      <c r="Q14" s="34">
        <v>894.154</v>
      </c>
      <c r="R14" s="1844"/>
      <c r="S14" s="35">
        <f t="shared" si="5"/>
        <v>894.154</v>
      </c>
      <c r="T14" s="2742"/>
      <c r="U14" s="34">
        <v>441.10100000000006</v>
      </c>
      <c r="V14" s="1844"/>
      <c r="W14" s="35">
        <f t="shared" si="6"/>
        <v>1335.2550000000001</v>
      </c>
      <c r="X14" s="2742"/>
      <c r="Y14" s="34">
        <v>1500.3639999999998</v>
      </c>
      <c r="Z14" s="830"/>
      <c r="AA14" s="717">
        <f t="shared" si="7"/>
        <v>2835.6189999999997</v>
      </c>
      <c r="AB14" s="3614"/>
      <c r="AC14" s="429">
        <f t="shared" si="8"/>
        <v>2835.6189999999997</v>
      </c>
      <c r="AD14" s="2742"/>
      <c r="AE14" s="34">
        <v>1491.1679999999999</v>
      </c>
      <c r="AF14" s="1844"/>
      <c r="AG14" s="35">
        <f t="shared" si="9"/>
        <v>4326.7869999999994</v>
      </c>
      <c r="AH14" s="2742"/>
      <c r="AI14" s="34"/>
      <c r="AJ14" s="1844"/>
      <c r="AK14" s="35">
        <f t="shared" si="10"/>
        <v>4326.7869999999994</v>
      </c>
      <c r="AL14" s="2742"/>
      <c r="AM14" s="34"/>
      <c r="AN14" s="830"/>
      <c r="AO14" s="717">
        <f t="shared" si="11"/>
        <v>1491.1679999999999</v>
      </c>
      <c r="AP14" s="1844"/>
      <c r="AQ14" s="35">
        <f t="shared" si="12"/>
        <v>4326.7869999999994</v>
      </c>
      <c r="AR14" s="2742"/>
      <c r="AS14" s="34">
        <v>331.12</v>
      </c>
      <c r="AT14" s="1844"/>
      <c r="AU14" s="35">
        <f t="shared" si="13"/>
        <v>4657.9069999999992</v>
      </c>
      <c r="AV14" s="2742"/>
      <c r="AW14" s="34"/>
      <c r="AX14" s="1844"/>
      <c r="AY14" s="35">
        <f t="shared" si="14"/>
        <v>4657.9069999999992</v>
      </c>
      <c r="AZ14" s="2742"/>
      <c r="BA14" s="34"/>
      <c r="BB14" s="830"/>
      <c r="BC14" s="717">
        <f t="shared" si="15"/>
        <v>331.12</v>
      </c>
      <c r="BD14" s="831"/>
      <c r="BE14" s="645">
        <f t="shared" si="16"/>
        <v>1822.288</v>
      </c>
      <c r="BF14" s="1844"/>
      <c r="BG14" s="35">
        <f t="shared" si="17"/>
        <v>4657.9069999999992</v>
      </c>
      <c r="BH14" s="23"/>
      <c r="BI14" s="23"/>
      <c r="BJ14" s="23"/>
      <c r="BK14" s="1111"/>
      <c r="BM14" s="23"/>
      <c r="BN14" s="23"/>
      <c r="BO14" s="23"/>
      <c r="BP14" s="251"/>
      <c r="BQ14" s="23"/>
    </row>
    <row r="15" spans="1:69" x14ac:dyDescent="0.3">
      <c r="B15" s="3507" t="s">
        <v>1758</v>
      </c>
      <c r="C15" s="3508" t="s">
        <v>966</v>
      </c>
      <c r="D15" s="3509">
        <v>57.1</v>
      </c>
      <c r="E15" s="3510" t="s">
        <v>50</v>
      </c>
      <c r="F15" s="3511"/>
      <c r="G15" s="3427">
        <v>635.71299999999997</v>
      </c>
      <c r="H15" s="3511"/>
      <c r="I15" s="3427"/>
      <c r="J15" s="3512"/>
      <c r="K15" s="4119">
        <f t="shared" si="3"/>
        <v>635.71299999999997</v>
      </c>
      <c r="L15" s="3511"/>
      <c r="M15" s="3427">
        <v>652.11799999999994</v>
      </c>
      <c r="N15" s="1836"/>
      <c r="O15" s="65">
        <f t="shared" si="4"/>
        <v>1287.8309999999999</v>
      </c>
      <c r="P15" s="3511"/>
      <c r="Q15" s="3427"/>
      <c r="R15" s="1844"/>
      <c r="S15" s="35">
        <f t="shared" si="5"/>
        <v>1287.8309999999999</v>
      </c>
      <c r="T15" s="3511"/>
      <c r="U15" s="3427">
        <v>666.96699999999998</v>
      </c>
      <c r="V15" s="1844"/>
      <c r="W15" s="35">
        <f t="shared" si="6"/>
        <v>1954.7979999999998</v>
      </c>
      <c r="X15" s="3511"/>
      <c r="Y15" s="3427">
        <v>305.96699999999998</v>
      </c>
      <c r="Z15" s="2548"/>
      <c r="AA15" s="717">
        <f t="shared" si="7"/>
        <v>972.93399999999997</v>
      </c>
      <c r="AB15" s="3615"/>
      <c r="AC15" s="429">
        <f t="shared" si="8"/>
        <v>2260.7649999999999</v>
      </c>
      <c r="AD15" s="3511"/>
      <c r="AE15" s="3427"/>
      <c r="AF15" s="1844"/>
      <c r="AG15" s="35">
        <f t="shared" si="9"/>
        <v>2260.7649999999999</v>
      </c>
      <c r="AH15" s="3511"/>
      <c r="AI15" s="3427">
        <v>1531.9640000000002</v>
      </c>
      <c r="AJ15" s="1844"/>
      <c r="AK15" s="35">
        <f t="shared" si="10"/>
        <v>3792.7290000000003</v>
      </c>
      <c r="AL15" s="3511"/>
      <c r="AM15" s="3427">
        <v>966.20300000000009</v>
      </c>
      <c r="AN15" s="2548"/>
      <c r="AO15" s="717">
        <f t="shared" si="11"/>
        <v>2498.1670000000004</v>
      </c>
      <c r="AP15" s="1844"/>
      <c r="AQ15" s="35">
        <f t="shared" si="12"/>
        <v>4758.9320000000007</v>
      </c>
      <c r="AR15" s="3511"/>
      <c r="AS15" s="3427">
        <v>1004.9849999999999</v>
      </c>
      <c r="AT15" s="1844"/>
      <c r="AU15" s="35">
        <f t="shared" si="13"/>
        <v>5763.9170000000004</v>
      </c>
      <c r="AV15" s="3511"/>
      <c r="AW15" s="3427">
        <v>502.74000000000007</v>
      </c>
      <c r="AX15" s="1844"/>
      <c r="AY15" s="35">
        <f t="shared" si="14"/>
        <v>6266.6570000000002</v>
      </c>
      <c r="AZ15" s="3511"/>
      <c r="BA15" s="3427">
        <v>746.58600000000001</v>
      </c>
      <c r="BB15" s="2548"/>
      <c r="BC15" s="717">
        <f t="shared" si="15"/>
        <v>2254.3109999999997</v>
      </c>
      <c r="BD15" s="2549"/>
      <c r="BE15" s="645">
        <f t="shared" si="16"/>
        <v>4752.4780000000001</v>
      </c>
      <c r="BF15" s="1844"/>
      <c r="BG15" s="35">
        <f t="shared" si="17"/>
        <v>7013.2430000000004</v>
      </c>
      <c r="BH15" s="23"/>
      <c r="BI15" s="23"/>
      <c r="BJ15" s="23"/>
      <c r="BK15" s="1111"/>
      <c r="BM15" s="23"/>
      <c r="BN15" s="23"/>
      <c r="BO15" s="23"/>
      <c r="BQ15" s="23"/>
    </row>
    <row r="16" spans="1:69" x14ac:dyDescent="0.3">
      <c r="B16" s="3507" t="s">
        <v>1758</v>
      </c>
      <c r="C16" s="3508" t="s">
        <v>901</v>
      </c>
      <c r="D16" s="3509">
        <v>57.1</v>
      </c>
      <c r="E16" s="3510" t="s">
        <v>50</v>
      </c>
      <c r="F16" s="3511"/>
      <c r="G16" s="3427"/>
      <c r="H16" s="3511"/>
      <c r="I16" s="3427"/>
      <c r="J16" s="3512"/>
      <c r="K16" s="4119">
        <f t="shared" si="3"/>
        <v>0</v>
      </c>
      <c r="L16" s="3511"/>
      <c r="M16" s="3427">
        <v>141.42400000000001</v>
      </c>
      <c r="N16" s="1836"/>
      <c r="O16" s="65">
        <f t="shared" si="4"/>
        <v>141.42400000000001</v>
      </c>
      <c r="P16" s="3511"/>
      <c r="Q16" s="3427"/>
      <c r="R16" s="1844"/>
      <c r="S16" s="35">
        <f t="shared" si="5"/>
        <v>141.42400000000001</v>
      </c>
      <c r="T16" s="3511"/>
      <c r="U16" s="3427"/>
      <c r="V16" s="1844"/>
      <c r="W16" s="35">
        <f t="shared" si="6"/>
        <v>141.42400000000001</v>
      </c>
      <c r="X16" s="3511"/>
      <c r="Y16" s="3427">
        <v>195.041</v>
      </c>
      <c r="Z16" s="3701"/>
      <c r="AA16" s="717">
        <f t="shared" si="7"/>
        <v>195.041</v>
      </c>
      <c r="AB16" s="3702"/>
      <c r="AC16" s="429">
        <f t="shared" si="8"/>
        <v>336.46500000000003</v>
      </c>
      <c r="AD16" s="3511"/>
      <c r="AE16" s="3427"/>
      <c r="AF16" s="1844"/>
      <c r="AG16" s="35">
        <f t="shared" si="9"/>
        <v>336.46500000000003</v>
      </c>
      <c r="AH16" s="3511"/>
      <c r="AI16" s="3427"/>
      <c r="AJ16" s="1844"/>
      <c r="AK16" s="35">
        <f t="shared" si="10"/>
        <v>336.46500000000003</v>
      </c>
      <c r="AL16" s="3511"/>
      <c r="AM16" s="3427"/>
      <c r="AN16" s="3701"/>
      <c r="AO16" s="717">
        <f t="shared" si="11"/>
        <v>0</v>
      </c>
      <c r="AP16" s="1844"/>
      <c r="AQ16" s="35">
        <f t="shared" si="12"/>
        <v>336.46500000000003</v>
      </c>
      <c r="AR16" s="3511"/>
      <c r="AS16" s="3427"/>
      <c r="AT16" s="1844"/>
      <c r="AU16" s="35">
        <f t="shared" si="13"/>
        <v>336.46500000000003</v>
      </c>
      <c r="AV16" s="3511"/>
      <c r="AW16" s="3427"/>
      <c r="AX16" s="1844"/>
      <c r="AY16" s="35">
        <f t="shared" si="14"/>
        <v>336.46500000000003</v>
      </c>
      <c r="AZ16" s="3511"/>
      <c r="BA16" s="3427"/>
      <c r="BB16" s="3701"/>
      <c r="BC16" s="717">
        <f t="shared" si="15"/>
        <v>0</v>
      </c>
      <c r="BD16" s="3703"/>
      <c r="BE16" s="645">
        <f t="shared" si="16"/>
        <v>0</v>
      </c>
      <c r="BF16" s="1844"/>
      <c r="BG16" s="35">
        <f t="shared" si="17"/>
        <v>336.46500000000003</v>
      </c>
      <c r="BH16" s="23"/>
      <c r="BI16" s="23"/>
      <c r="BJ16" s="23"/>
      <c r="BK16" s="1111"/>
      <c r="BM16" s="23"/>
      <c r="BN16" s="23"/>
      <c r="BO16" s="23"/>
      <c r="BP16" s="251"/>
      <c r="BQ16" s="23"/>
    </row>
    <row r="17" spans="2:69" x14ac:dyDescent="0.3">
      <c r="B17" s="3507" t="s">
        <v>1758</v>
      </c>
      <c r="C17" s="3508" t="s">
        <v>966</v>
      </c>
      <c r="D17" s="3509">
        <v>50.22</v>
      </c>
      <c r="E17" s="3510" t="s">
        <v>50</v>
      </c>
      <c r="F17" s="3511"/>
      <c r="G17" s="3427">
        <v>3307.0150000000003</v>
      </c>
      <c r="H17" s="3511"/>
      <c r="I17" s="3427"/>
      <c r="J17" s="3512"/>
      <c r="K17" s="4119">
        <f t="shared" si="3"/>
        <v>3307.0150000000003</v>
      </c>
      <c r="L17" s="3511"/>
      <c r="M17" s="3427">
        <v>2275.6989999999996</v>
      </c>
      <c r="N17" s="1836"/>
      <c r="O17" s="65">
        <f t="shared" si="4"/>
        <v>5582.7139999999999</v>
      </c>
      <c r="P17" s="3511"/>
      <c r="Q17" s="3427"/>
      <c r="R17" s="1844"/>
      <c r="S17" s="35">
        <f t="shared" si="5"/>
        <v>5582.7139999999999</v>
      </c>
      <c r="T17" s="3511"/>
      <c r="U17" s="3427">
        <v>2892.7500000000005</v>
      </c>
      <c r="V17" s="1844"/>
      <c r="W17" s="35">
        <f t="shared" si="6"/>
        <v>8475.4639999999999</v>
      </c>
      <c r="X17" s="3511"/>
      <c r="Y17" s="3427">
        <v>2383.12</v>
      </c>
      <c r="Z17" s="2548"/>
      <c r="AA17" s="717">
        <f t="shared" si="7"/>
        <v>5275.8700000000008</v>
      </c>
      <c r="AB17" s="3615"/>
      <c r="AC17" s="429">
        <f t="shared" si="8"/>
        <v>10858.584000000001</v>
      </c>
      <c r="AD17" s="3511"/>
      <c r="AE17" s="3427"/>
      <c r="AF17" s="1844"/>
      <c r="AG17" s="35">
        <f t="shared" si="9"/>
        <v>10858.584000000001</v>
      </c>
      <c r="AH17" s="3511"/>
      <c r="AI17" s="3427">
        <v>2322.2310000000007</v>
      </c>
      <c r="AJ17" s="1844"/>
      <c r="AK17" s="35">
        <f t="shared" si="10"/>
        <v>13180.815000000002</v>
      </c>
      <c r="AL17" s="3511"/>
      <c r="AM17" s="3427">
        <v>2023.252</v>
      </c>
      <c r="AN17" s="2548"/>
      <c r="AO17" s="717">
        <f t="shared" si="11"/>
        <v>4345.4830000000002</v>
      </c>
      <c r="AP17" s="1844"/>
      <c r="AQ17" s="35">
        <f t="shared" si="12"/>
        <v>15204.067000000003</v>
      </c>
      <c r="AR17" s="3511"/>
      <c r="AS17" s="3427">
        <v>2650.8590000000004</v>
      </c>
      <c r="AT17" s="1844"/>
      <c r="AU17" s="35">
        <f t="shared" si="13"/>
        <v>17854.926000000003</v>
      </c>
      <c r="AV17" s="3511"/>
      <c r="AW17" s="3427">
        <v>3039.0330000000008</v>
      </c>
      <c r="AX17" s="1844"/>
      <c r="AY17" s="35">
        <f t="shared" si="14"/>
        <v>20893.959000000003</v>
      </c>
      <c r="AZ17" s="3511"/>
      <c r="BA17" s="3427">
        <v>3313.8380000000006</v>
      </c>
      <c r="BB17" s="2548"/>
      <c r="BC17" s="717">
        <f t="shared" si="15"/>
        <v>9003.7300000000032</v>
      </c>
      <c r="BD17" s="2549"/>
      <c r="BE17" s="645">
        <f t="shared" si="16"/>
        <v>13349.213000000003</v>
      </c>
      <c r="BF17" s="1844"/>
      <c r="BG17" s="35">
        <f t="shared" si="17"/>
        <v>24207.797000000002</v>
      </c>
      <c r="BH17" s="23"/>
      <c r="BI17" s="23"/>
      <c r="BJ17" s="23"/>
      <c r="BK17" s="1111"/>
      <c r="BM17" s="23"/>
      <c r="BN17" s="23"/>
      <c r="BO17" s="23"/>
      <c r="BQ17" s="23"/>
    </row>
    <row r="18" spans="2:69" ht="15" thickBot="1" x14ac:dyDescent="0.35">
      <c r="B18" s="3507" t="s">
        <v>1758</v>
      </c>
      <c r="C18" s="3508" t="s">
        <v>901</v>
      </c>
      <c r="D18" s="3509">
        <v>50.22</v>
      </c>
      <c r="E18" s="3510" t="s">
        <v>50</v>
      </c>
      <c r="F18" s="3511"/>
      <c r="G18" s="3427"/>
      <c r="H18" s="3511"/>
      <c r="I18" s="3427"/>
      <c r="J18" s="3512"/>
      <c r="K18" s="4119">
        <f t="shared" si="3"/>
        <v>0</v>
      </c>
      <c r="L18" s="3511"/>
      <c r="M18" s="3427"/>
      <c r="N18" s="1836"/>
      <c r="O18" s="65">
        <f t="shared" si="4"/>
        <v>0</v>
      </c>
      <c r="P18" s="3511"/>
      <c r="Q18" s="3427"/>
      <c r="R18" s="1844"/>
      <c r="S18" s="35">
        <f t="shared" si="5"/>
        <v>0</v>
      </c>
      <c r="T18" s="3511"/>
      <c r="U18" s="3427"/>
      <c r="V18" s="1844"/>
      <c r="W18" s="35">
        <f t="shared" si="6"/>
        <v>0</v>
      </c>
      <c r="X18" s="3511"/>
      <c r="Y18" s="3427">
        <v>455.50200000000007</v>
      </c>
      <c r="Z18" s="2548"/>
      <c r="AA18" s="717">
        <f t="shared" si="7"/>
        <v>455.50200000000007</v>
      </c>
      <c r="AB18" s="3615"/>
      <c r="AC18" s="429">
        <f t="shared" si="8"/>
        <v>455.50200000000007</v>
      </c>
      <c r="AD18" s="3511"/>
      <c r="AE18" s="3427"/>
      <c r="AF18" s="1844"/>
      <c r="AG18" s="35">
        <f t="shared" si="9"/>
        <v>455.50200000000007</v>
      </c>
      <c r="AH18" s="3511"/>
      <c r="AI18" s="3427">
        <v>507.77100000000002</v>
      </c>
      <c r="AJ18" s="1844"/>
      <c r="AK18" s="35">
        <f t="shared" si="10"/>
        <v>963.27300000000014</v>
      </c>
      <c r="AL18" s="3511"/>
      <c r="AM18" s="3427"/>
      <c r="AN18" s="2548"/>
      <c r="AO18" s="717">
        <f t="shared" si="11"/>
        <v>507.77100000000002</v>
      </c>
      <c r="AP18" s="1844"/>
      <c r="AQ18" s="35">
        <f t="shared" si="12"/>
        <v>963.27300000000014</v>
      </c>
      <c r="AR18" s="3511"/>
      <c r="AS18" s="3427"/>
      <c r="AT18" s="1844"/>
      <c r="AU18" s="35">
        <f t="shared" si="13"/>
        <v>963.27300000000014</v>
      </c>
      <c r="AV18" s="3511"/>
      <c r="AW18" s="3427">
        <v>403.154</v>
      </c>
      <c r="AX18" s="1844"/>
      <c r="AY18" s="35">
        <f t="shared" si="14"/>
        <v>1366.4270000000001</v>
      </c>
      <c r="AZ18" s="3511"/>
      <c r="BA18" s="3427">
        <v>194.16</v>
      </c>
      <c r="BB18" s="2548"/>
      <c r="BC18" s="717">
        <f t="shared" si="15"/>
        <v>597.31399999999996</v>
      </c>
      <c r="BD18" s="2549"/>
      <c r="BE18" s="645">
        <f t="shared" si="16"/>
        <v>1105.085</v>
      </c>
      <c r="BF18" s="1844"/>
      <c r="BG18" s="35">
        <f t="shared" si="17"/>
        <v>1560.5870000000002</v>
      </c>
      <c r="BH18" s="23"/>
      <c r="BI18" s="23"/>
      <c r="BJ18" s="23"/>
      <c r="BK18" s="1111"/>
    </row>
    <row r="19" spans="2:69" x14ac:dyDescent="0.3">
      <c r="B19" s="2734" t="s">
        <v>811</v>
      </c>
      <c r="C19" s="2735" t="s">
        <v>966</v>
      </c>
      <c r="D19" s="2736">
        <v>66.3</v>
      </c>
      <c r="E19" s="1216" t="s">
        <v>50</v>
      </c>
      <c r="F19" s="2737"/>
      <c r="G19" s="83"/>
      <c r="H19" s="2737"/>
      <c r="I19" s="83"/>
      <c r="J19" s="2738"/>
      <c r="K19" s="4119">
        <f t="shared" si="3"/>
        <v>0</v>
      </c>
      <c r="L19" s="2737"/>
      <c r="M19" s="83"/>
      <c r="N19" s="1836"/>
      <c r="O19" s="65">
        <f t="shared" si="4"/>
        <v>0</v>
      </c>
      <c r="P19" s="2737"/>
      <c r="Q19" s="83"/>
      <c r="R19" s="1844"/>
      <c r="S19" s="35">
        <f t="shared" si="5"/>
        <v>0</v>
      </c>
      <c r="T19" s="2737"/>
      <c r="U19" s="83"/>
      <c r="V19" s="1844"/>
      <c r="W19" s="35">
        <f t="shared" si="6"/>
        <v>0</v>
      </c>
      <c r="X19" s="2737"/>
      <c r="Y19" s="83"/>
      <c r="Z19" s="830"/>
      <c r="AA19" s="717">
        <f t="shared" si="7"/>
        <v>0</v>
      </c>
      <c r="AB19" s="3614"/>
      <c r="AC19" s="429">
        <f t="shared" si="8"/>
        <v>0</v>
      </c>
      <c r="AD19" s="2737"/>
      <c r="AE19" s="83"/>
      <c r="AF19" s="1844"/>
      <c r="AG19" s="35">
        <f t="shared" si="9"/>
        <v>0</v>
      </c>
      <c r="AH19" s="2737"/>
      <c r="AI19" s="83"/>
      <c r="AJ19" s="1844"/>
      <c r="AK19" s="35">
        <f t="shared" si="10"/>
        <v>0</v>
      </c>
      <c r="AL19" s="2737"/>
      <c r="AM19" s="83"/>
      <c r="AN19" s="830"/>
      <c r="AO19" s="717">
        <f t="shared" si="11"/>
        <v>0</v>
      </c>
      <c r="AP19" s="1844"/>
      <c r="AQ19" s="35">
        <f t="shared" si="12"/>
        <v>0</v>
      </c>
      <c r="AR19" s="2737"/>
      <c r="AS19" s="83"/>
      <c r="AT19" s="1844"/>
      <c r="AU19" s="35">
        <f t="shared" si="13"/>
        <v>0</v>
      </c>
      <c r="AV19" s="2737"/>
      <c r="AW19" s="83"/>
      <c r="AX19" s="1844"/>
      <c r="AY19" s="35">
        <f t="shared" si="14"/>
        <v>0</v>
      </c>
      <c r="AZ19" s="2737"/>
      <c r="BA19" s="83"/>
      <c r="BB19" s="830"/>
      <c r="BC19" s="717">
        <f t="shared" si="15"/>
        <v>0</v>
      </c>
      <c r="BD19" s="831"/>
      <c r="BE19" s="645">
        <f t="shared" si="16"/>
        <v>0</v>
      </c>
      <c r="BF19" s="1844"/>
      <c r="BG19" s="35">
        <f t="shared" si="17"/>
        <v>0</v>
      </c>
      <c r="BH19" s="23"/>
      <c r="BI19" s="23"/>
      <c r="BJ19" s="23"/>
      <c r="BK19" s="1111"/>
    </row>
    <row r="20" spans="2:69" x14ac:dyDescent="0.3">
      <c r="B20" s="990" t="s">
        <v>811</v>
      </c>
      <c r="C20" s="2546" t="s">
        <v>901</v>
      </c>
      <c r="D20" s="2547">
        <v>66.3</v>
      </c>
      <c r="E20" s="1277" t="s">
        <v>50</v>
      </c>
      <c r="F20" s="1822"/>
      <c r="G20" s="17"/>
      <c r="H20" s="1822"/>
      <c r="I20" s="17"/>
      <c r="J20" s="1827"/>
      <c r="K20" s="4119">
        <f t="shared" si="3"/>
        <v>0</v>
      </c>
      <c r="L20" s="1822"/>
      <c r="M20" s="17"/>
      <c r="N20" s="1836"/>
      <c r="O20" s="65">
        <f t="shared" si="4"/>
        <v>0</v>
      </c>
      <c r="P20" s="1822"/>
      <c r="Q20" s="17"/>
      <c r="R20" s="1844"/>
      <c r="S20" s="35">
        <f t="shared" si="5"/>
        <v>0</v>
      </c>
      <c r="T20" s="1822"/>
      <c r="U20" s="17"/>
      <c r="V20" s="1844"/>
      <c r="W20" s="35">
        <f t="shared" si="6"/>
        <v>0</v>
      </c>
      <c r="X20" s="1822"/>
      <c r="Y20" s="17"/>
      <c r="Z20" s="830"/>
      <c r="AA20" s="717">
        <f t="shared" si="7"/>
        <v>0</v>
      </c>
      <c r="AB20" s="3614"/>
      <c r="AC20" s="429">
        <f t="shared" si="8"/>
        <v>0</v>
      </c>
      <c r="AD20" s="1822"/>
      <c r="AE20" s="17"/>
      <c r="AF20" s="1844"/>
      <c r="AG20" s="35">
        <f t="shared" si="9"/>
        <v>0</v>
      </c>
      <c r="AH20" s="1822"/>
      <c r="AI20" s="17"/>
      <c r="AJ20" s="1844"/>
      <c r="AK20" s="35">
        <f t="shared" si="10"/>
        <v>0</v>
      </c>
      <c r="AL20" s="1822"/>
      <c r="AM20" s="17"/>
      <c r="AN20" s="830"/>
      <c r="AO20" s="717">
        <f t="shared" si="11"/>
        <v>0</v>
      </c>
      <c r="AP20" s="1844"/>
      <c r="AQ20" s="35">
        <f t="shared" si="12"/>
        <v>0</v>
      </c>
      <c r="AR20" s="1822"/>
      <c r="AS20" s="17"/>
      <c r="AT20" s="1844"/>
      <c r="AU20" s="35">
        <f t="shared" si="13"/>
        <v>0</v>
      </c>
      <c r="AV20" s="1822"/>
      <c r="AW20" s="17"/>
      <c r="AX20" s="1844"/>
      <c r="AY20" s="35">
        <f t="shared" si="14"/>
        <v>0</v>
      </c>
      <c r="AZ20" s="1822"/>
      <c r="BA20" s="17"/>
      <c r="BB20" s="830"/>
      <c r="BC20" s="717">
        <f t="shared" si="15"/>
        <v>0</v>
      </c>
      <c r="BD20" s="831"/>
      <c r="BE20" s="645">
        <f t="shared" si="16"/>
        <v>0</v>
      </c>
      <c r="BF20" s="1844"/>
      <c r="BG20" s="35">
        <f t="shared" si="17"/>
        <v>0</v>
      </c>
      <c r="BH20" s="23"/>
      <c r="BI20" s="23"/>
      <c r="BJ20" s="23"/>
      <c r="BK20" s="1111"/>
    </row>
    <row r="21" spans="2:69" x14ac:dyDescent="0.3">
      <c r="B21" s="4443" t="s">
        <v>811</v>
      </c>
      <c r="C21" s="2546" t="s">
        <v>966</v>
      </c>
      <c r="D21" s="4583">
        <v>75.66</v>
      </c>
      <c r="E21" s="4446" t="s">
        <v>50</v>
      </c>
      <c r="F21" s="4447"/>
      <c r="G21" s="4448"/>
      <c r="H21" s="4447"/>
      <c r="I21" s="4448"/>
      <c r="J21" s="4584"/>
      <c r="K21" s="4119">
        <f t="shared" si="3"/>
        <v>0</v>
      </c>
      <c r="L21" s="4447"/>
      <c r="M21" s="4448"/>
      <c r="N21" s="4436"/>
      <c r="O21" s="4450"/>
      <c r="P21" s="4447"/>
      <c r="Q21" s="4448"/>
      <c r="R21" s="4437"/>
      <c r="S21" s="4063"/>
      <c r="T21" s="4447"/>
      <c r="U21" s="4448"/>
      <c r="V21" s="4437"/>
      <c r="W21" s="4063"/>
      <c r="X21" s="4447"/>
      <c r="Y21" s="4448"/>
      <c r="Z21" s="4535"/>
      <c r="AA21" s="717">
        <f t="shared" si="7"/>
        <v>0</v>
      </c>
      <c r="AB21" s="4585"/>
      <c r="AC21" s="429">
        <f t="shared" si="8"/>
        <v>0</v>
      </c>
      <c r="AD21" s="4447"/>
      <c r="AE21" s="4448">
        <v>321.09199999999998</v>
      </c>
      <c r="AF21" s="4437"/>
      <c r="AG21" s="35">
        <f t="shared" ref="AG21" si="18">+AC21+AE21</f>
        <v>321.09199999999998</v>
      </c>
      <c r="AH21" s="4447"/>
      <c r="AI21" s="4448"/>
      <c r="AJ21" s="1844"/>
      <c r="AK21" s="35">
        <f t="shared" si="10"/>
        <v>321.09199999999998</v>
      </c>
      <c r="AL21" s="4447"/>
      <c r="AM21" s="4448"/>
      <c r="AN21" s="830"/>
      <c r="AO21" s="717">
        <f t="shared" si="11"/>
        <v>321.09199999999998</v>
      </c>
      <c r="AP21" s="1844"/>
      <c r="AQ21" s="35">
        <f t="shared" si="12"/>
        <v>321.09199999999998</v>
      </c>
      <c r="AR21" s="4447"/>
      <c r="AS21" s="4448"/>
      <c r="AT21" s="1844"/>
      <c r="AU21" s="35">
        <f t="shared" si="13"/>
        <v>321.09199999999998</v>
      </c>
      <c r="AV21" s="4447"/>
      <c r="AW21" s="4448"/>
      <c r="AX21" s="1844"/>
      <c r="AY21" s="35">
        <f t="shared" si="14"/>
        <v>321.09199999999998</v>
      </c>
      <c r="AZ21" s="4447"/>
      <c r="BA21" s="4448"/>
      <c r="BB21" s="830"/>
      <c r="BC21" s="717">
        <f t="shared" ref="BC21" si="19">+AS21+AW21+BA21</f>
        <v>0</v>
      </c>
      <c r="BD21" s="831"/>
      <c r="BE21" s="645">
        <f t="shared" ref="BE21" si="20">+AO21+BC21</f>
        <v>321.09199999999998</v>
      </c>
      <c r="BF21" s="1844"/>
      <c r="BG21" s="35">
        <f t="shared" si="17"/>
        <v>321.09199999999998</v>
      </c>
      <c r="BH21" s="23"/>
      <c r="BI21" s="23"/>
      <c r="BJ21" s="23"/>
      <c r="BK21" s="1111"/>
    </row>
    <row r="22" spans="2:69" x14ac:dyDescent="0.3">
      <c r="B22" s="990" t="s">
        <v>811</v>
      </c>
      <c r="C22" s="2546" t="s">
        <v>966</v>
      </c>
      <c r="D22" s="2547">
        <v>66.31</v>
      </c>
      <c r="E22" s="1277" t="s">
        <v>50</v>
      </c>
      <c r="F22" s="1822"/>
      <c r="G22" s="17">
        <v>4208.4969999999994</v>
      </c>
      <c r="H22" s="1822"/>
      <c r="I22" s="17">
        <v>1583.6520000000003</v>
      </c>
      <c r="J22" s="1827"/>
      <c r="K22" s="4119">
        <f t="shared" si="3"/>
        <v>5792.1489999999994</v>
      </c>
      <c r="L22" s="1822"/>
      <c r="M22" s="17">
        <v>5534.0719999999992</v>
      </c>
      <c r="N22" s="1836"/>
      <c r="O22" s="65">
        <f t="shared" si="4"/>
        <v>11326.220999999998</v>
      </c>
      <c r="P22" s="1822"/>
      <c r="Q22" s="17">
        <v>5783.0740000000042</v>
      </c>
      <c r="R22" s="1844"/>
      <c r="S22" s="35">
        <f t="shared" si="5"/>
        <v>17109.295000000002</v>
      </c>
      <c r="T22" s="1822"/>
      <c r="U22" s="17">
        <v>4264.5920000000006</v>
      </c>
      <c r="V22" s="1844"/>
      <c r="W22" s="35">
        <f t="shared" si="6"/>
        <v>21373.887000000002</v>
      </c>
      <c r="X22" s="1822"/>
      <c r="Y22" s="17">
        <v>3508.817</v>
      </c>
      <c r="Z22" s="830"/>
      <c r="AA22" s="717">
        <f t="shared" si="7"/>
        <v>13556.483000000004</v>
      </c>
      <c r="AB22" s="3614"/>
      <c r="AC22" s="429">
        <f t="shared" si="8"/>
        <v>24882.704000000002</v>
      </c>
      <c r="AD22" s="1822"/>
      <c r="AE22" s="17">
        <v>5936.3510000000042</v>
      </c>
      <c r="AF22" s="1844"/>
      <c r="AG22" s="35">
        <f t="shared" si="9"/>
        <v>30819.055000000008</v>
      </c>
      <c r="AH22" s="1822"/>
      <c r="AI22" s="17">
        <v>4493.277</v>
      </c>
      <c r="AJ22" s="1844"/>
      <c r="AK22" s="35">
        <f t="shared" si="10"/>
        <v>35312.332000000009</v>
      </c>
      <c r="AL22" s="1822"/>
      <c r="AM22" s="17">
        <v>5152.2199999999984</v>
      </c>
      <c r="AN22" s="830"/>
      <c r="AO22" s="717">
        <f t="shared" si="11"/>
        <v>15581.848000000002</v>
      </c>
      <c r="AP22" s="1844"/>
      <c r="AQ22" s="35">
        <f t="shared" si="12"/>
        <v>40464.552000000011</v>
      </c>
      <c r="AR22" s="1822"/>
      <c r="AS22" s="17">
        <v>4074.8280000000013</v>
      </c>
      <c r="AT22" s="1844"/>
      <c r="AU22" s="35">
        <f t="shared" si="13"/>
        <v>44539.380000000012</v>
      </c>
      <c r="AV22" s="1822"/>
      <c r="AW22" s="17">
        <v>5929.5550000000048</v>
      </c>
      <c r="AX22" s="1844"/>
      <c r="AY22" s="35">
        <f t="shared" si="14"/>
        <v>50468.935000000019</v>
      </c>
      <c r="AZ22" s="1822"/>
      <c r="BA22" s="17">
        <v>7728.3740000000053</v>
      </c>
      <c r="BB22" s="830"/>
      <c r="BC22" s="717">
        <f t="shared" si="15"/>
        <v>17732.757000000012</v>
      </c>
      <c r="BD22" s="831"/>
      <c r="BE22" s="645">
        <f t="shared" si="16"/>
        <v>33314.60500000001</v>
      </c>
      <c r="BF22" s="1844"/>
      <c r="BG22" s="35">
        <f t="shared" si="17"/>
        <v>58197.309000000023</v>
      </c>
      <c r="BH22" s="23"/>
      <c r="BI22" s="23"/>
      <c r="BJ22" s="23"/>
      <c r="BK22" s="1111"/>
    </row>
    <row r="23" spans="2:69" x14ac:dyDescent="0.3">
      <c r="B23" s="990" t="s">
        <v>811</v>
      </c>
      <c r="C23" s="2546" t="s">
        <v>1536</v>
      </c>
      <c r="D23" s="4031">
        <v>66.31</v>
      </c>
      <c r="E23" s="1277" t="s">
        <v>50</v>
      </c>
      <c r="F23" s="4032"/>
      <c r="G23" s="4033"/>
      <c r="H23" s="4032"/>
      <c r="I23" s="4033"/>
      <c r="J23" s="4034"/>
      <c r="K23" s="4119">
        <f t="shared" si="3"/>
        <v>0</v>
      </c>
      <c r="L23" s="4032"/>
      <c r="M23" s="4033">
        <v>251.41899999999998</v>
      </c>
      <c r="N23" s="4035"/>
      <c r="O23" s="65">
        <f t="shared" si="4"/>
        <v>251.41899999999998</v>
      </c>
      <c r="P23" s="4032"/>
      <c r="Q23" s="4033">
        <v>1317.7949999999998</v>
      </c>
      <c r="R23" s="4036"/>
      <c r="S23" s="35">
        <f t="shared" si="5"/>
        <v>1569.2139999999999</v>
      </c>
      <c r="T23" s="4032"/>
      <c r="U23" s="4033"/>
      <c r="V23" s="4036"/>
      <c r="W23" s="35">
        <f t="shared" si="6"/>
        <v>1569.2139999999999</v>
      </c>
      <c r="X23" s="4032"/>
      <c r="Y23" s="4033"/>
      <c r="Z23" s="4037"/>
      <c r="AA23" s="717">
        <f t="shared" si="7"/>
        <v>1317.7949999999998</v>
      </c>
      <c r="AB23" s="4038"/>
      <c r="AC23" s="429">
        <f t="shared" si="8"/>
        <v>1569.2139999999999</v>
      </c>
      <c r="AD23" s="4032"/>
      <c r="AE23" s="4033">
        <v>369.25</v>
      </c>
      <c r="AF23" s="4036"/>
      <c r="AG23" s="35">
        <f t="shared" si="9"/>
        <v>1938.4639999999999</v>
      </c>
      <c r="AH23" s="4032"/>
      <c r="AI23" s="4033"/>
      <c r="AJ23" s="4036"/>
      <c r="AK23" s="35">
        <f t="shared" si="10"/>
        <v>1938.4639999999999</v>
      </c>
      <c r="AL23" s="4032"/>
      <c r="AM23" s="4033"/>
      <c r="AN23" s="4037"/>
      <c r="AO23" s="717">
        <f t="shared" si="11"/>
        <v>369.25</v>
      </c>
      <c r="AP23" s="4036"/>
      <c r="AQ23" s="35">
        <f t="shared" si="12"/>
        <v>1938.4639999999999</v>
      </c>
      <c r="AR23" s="4032"/>
      <c r="AS23" s="4033"/>
      <c r="AT23" s="4036"/>
      <c r="AU23" s="4025">
        <f t="shared" si="13"/>
        <v>1938.4639999999999</v>
      </c>
      <c r="AV23" s="4032"/>
      <c r="AW23" s="4033"/>
      <c r="AX23" s="4036"/>
      <c r="AY23" s="35">
        <f t="shared" si="14"/>
        <v>1938.4639999999999</v>
      </c>
      <c r="AZ23" s="4032"/>
      <c r="BA23" s="4033"/>
      <c r="BB23" s="4037"/>
      <c r="BC23" s="717">
        <f t="shared" si="15"/>
        <v>0</v>
      </c>
      <c r="BD23" s="4039"/>
      <c r="BE23" s="645">
        <f t="shared" si="16"/>
        <v>369.25</v>
      </c>
      <c r="BF23" s="4036"/>
      <c r="BG23" s="35">
        <f t="shared" si="17"/>
        <v>1938.4639999999999</v>
      </c>
      <c r="BH23" s="23"/>
      <c r="BI23" s="23"/>
      <c r="BJ23" s="23"/>
      <c r="BK23" s="1111"/>
    </row>
    <row r="24" spans="2:69" ht="15" customHeight="1" x14ac:dyDescent="0.3">
      <c r="B24" s="990" t="s">
        <v>811</v>
      </c>
      <c r="C24" s="2546" t="s">
        <v>901</v>
      </c>
      <c r="D24" s="2547">
        <v>66.31</v>
      </c>
      <c r="E24" s="1277" t="s">
        <v>50</v>
      </c>
      <c r="F24" s="1822"/>
      <c r="G24" s="17">
        <v>296.91300000000001</v>
      </c>
      <c r="H24" s="1822"/>
      <c r="I24" s="17"/>
      <c r="J24" s="1827"/>
      <c r="K24" s="4119">
        <f t="shared" si="3"/>
        <v>296.91300000000001</v>
      </c>
      <c r="L24" s="1822"/>
      <c r="M24" s="17">
        <v>1074.116</v>
      </c>
      <c r="N24" s="1836"/>
      <c r="O24" s="65">
        <f t="shared" si="4"/>
        <v>1371.029</v>
      </c>
      <c r="P24" s="1822"/>
      <c r="Q24" s="17"/>
      <c r="R24" s="1844"/>
      <c r="S24" s="35">
        <f t="shared" si="5"/>
        <v>1371.029</v>
      </c>
      <c r="T24" s="1822"/>
      <c r="U24" s="17">
        <v>314.27499999999998</v>
      </c>
      <c r="V24" s="1844"/>
      <c r="W24" s="35">
        <f t="shared" si="6"/>
        <v>1685.3040000000001</v>
      </c>
      <c r="X24" s="1822"/>
      <c r="Y24" s="17">
        <v>1084.9309999999998</v>
      </c>
      <c r="Z24" s="2548"/>
      <c r="AA24" s="717">
        <f t="shared" si="7"/>
        <v>1399.2059999999997</v>
      </c>
      <c r="AB24" s="3615"/>
      <c r="AC24" s="429">
        <f t="shared" si="8"/>
        <v>2770.2349999999997</v>
      </c>
      <c r="AD24" s="1822"/>
      <c r="AE24" s="17">
        <v>1216.867</v>
      </c>
      <c r="AF24" s="1844"/>
      <c r="AG24" s="35">
        <f t="shared" si="9"/>
        <v>3987.1019999999999</v>
      </c>
      <c r="AH24" s="1822"/>
      <c r="AI24" s="17">
        <v>722.73699999999997</v>
      </c>
      <c r="AJ24" s="1844"/>
      <c r="AK24" s="35">
        <f t="shared" si="10"/>
        <v>4709.8389999999999</v>
      </c>
      <c r="AL24" s="1822"/>
      <c r="AM24" s="17">
        <v>33.246000000000002</v>
      </c>
      <c r="AN24" s="2548"/>
      <c r="AO24" s="717">
        <f t="shared" si="11"/>
        <v>1972.85</v>
      </c>
      <c r="AP24" s="1844"/>
      <c r="AQ24" s="35">
        <f t="shared" si="12"/>
        <v>4743.085</v>
      </c>
      <c r="AR24" s="1822"/>
      <c r="AS24" s="17">
        <v>306.387</v>
      </c>
      <c r="AT24" s="1844"/>
      <c r="AU24" s="35">
        <f t="shared" si="13"/>
        <v>5049.4719999999998</v>
      </c>
      <c r="AV24" s="1822"/>
      <c r="AW24" s="17">
        <v>109.94499999999999</v>
      </c>
      <c r="AX24" s="1844"/>
      <c r="AY24" s="35">
        <f t="shared" si="14"/>
        <v>5159.4169999999995</v>
      </c>
      <c r="AZ24" s="1822"/>
      <c r="BA24" s="17"/>
      <c r="BB24" s="2548"/>
      <c r="BC24" s="717">
        <f t="shared" si="15"/>
        <v>416.33199999999999</v>
      </c>
      <c r="BD24" s="2549"/>
      <c r="BE24" s="645">
        <f t="shared" si="16"/>
        <v>2389.1819999999998</v>
      </c>
      <c r="BF24" s="1844"/>
      <c r="BG24" s="35">
        <f t="shared" si="17"/>
        <v>5159.4169999999995</v>
      </c>
      <c r="BH24" s="23"/>
      <c r="BI24" s="23"/>
      <c r="BJ24" s="23"/>
      <c r="BK24" s="1111"/>
    </row>
    <row r="25" spans="2:69" ht="15" customHeight="1" x14ac:dyDescent="0.3">
      <c r="B25" s="990" t="s">
        <v>812</v>
      </c>
      <c r="C25" s="2546" t="s">
        <v>966</v>
      </c>
      <c r="D25" s="2547">
        <v>57.38</v>
      </c>
      <c r="E25" s="1277" t="s">
        <v>50</v>
      </c>
      <c r="F25" s="1023"/>
      <c r="G25" s="17">
        <v>2993.5480000000007</v>
      </c>
      <c r="H25" s="1023"/>
      <c r="I25" s="17">
        <v>1405.4390000000005</v>
      </c>
      <c r="J25" s="402"/>
      <c r="K25" s="4119">
        <f t="shared" si="3"/>
        <v>4398.987000000001</v>
      </c>
      <c r="L25" s="1023"/>
      <c r="M25" s="17">
        <v>2113.4860000000003</v>
      </c>
      <c r="N25" s="68"/>
      <c r="O25" s="65">
        <f t="shared" si="4"/>
        <v>6512.4730000000018</v>
      </c>
      <c r="P25" s="1023"/>
      <c r="Q25" s="17">
        <v>2842.0549999999998</v>
      </c>
      <c r="R25" s="57"/>
      <c r="S25" s="35">
        <f t="shared" si="5"/>
        <v>9354.5280000000021</v>
      </c>
      <c r="T25" s="1023"/>
      <c r="U25" s="17">
        <v>1577.72</v>
      </c>
      <c r="V25" s="57"/>
      <c r="W25" s="35">
        <f t="shared" si="6"/>
        <v>10932.248000000001</v>
      </c>
      <c r="X25" s="1023"/>
      <c r="Y25" s="17">
        <v>1052.1249999999998</v>
      </c>
      <c r="Z25" s="717"/>
      <c r="AA25" s="717">
        <f t="shared" si="7"/>
        <v>5471.9</v>
      </c>
      <c r="AB25" s="429"/>
      <c r="AC25" s="429">
        <f t="shared" si="8"/>
        <v>11984.373000000001</v>
      </c>
      <c r="AD25" s="1023"/>
      <c r="AE25" s="17">
        <v>3354.6460000000002</v>
      </c>
      <c r="AF25" s="1844"/>
      <c r="AG25" s="35">
        <f t="shared" si="9"/>
        <v>15339.019000000002</v>
      </c>
      <c r="AH25" s="1023"/>
      <c r="AI25" s="17">
        <v>2600.0659999999993</v>
      </c>
      <c r="AJ25" s="1844"/>
      <c r="AK25" s="35">
        <f t="shared" si="10"/>
        <v>17939.085000000003</v>
      </c>
      <c r="AL25" s="1023"/>
      <c r="AM25" s="17">
        <v>1917.9859999999999</v>
      </c>
      <c r="AN25" s="717"/>
      <c r="AO25" s="717">
        <f t="shared" si="11"/>
        <v>7872.6979999999994</v>
      </c>
      <c r="AP25" s="1844"/>
      <c r="AQ25" s="35">
        <f t="shared" si="12"/>
        <v>19857.071000000004</v>
      </c>
      <c r="AR25" s="1023"/>
      <c r="AS25" s="17">
        <f>3690.556-277.49</f>
        <v>3413.0659999999998</v>
      </c>
      <c r="AT25" s="1844"/>
      <c r="AU25" s="35">
        <f t="shared" si="13"/>
        <v>23270.137000000002</v>
      </c>
      <c r="AV25" s="1023"/>
      <c r="AW25" s="17">
        <v>4302.5500000000011</v>
      </c>
      <c r="AX25" s="1844"/>
      <c r="AY25" s="35">
        <f t="shared" si="14"/>
        <v>27572.687000000005</v>
      </c>
      <c r="AZ25" s="1023"/>
      <c r="BA25" s="17">
        <v>3338.411000000001</v>
      </c>
      <c r="BB25" s="717"/>
      <c r="BC25" s="717">
        <f t="shared" si="15"/>
        <v>11054.027000000002</v>
      </c>
      <c r="BD25" s="645"/>
      <c r="BE25" s="645">
        <f t="shared" si="16"/>
        <v>18926.725000000002</v>
      </c>
      <c r="BF25" s="1844"/>
      <c r="BG25" s="35">
        <f t="shared" si="17"/>
        <v>30911.098000000005</v>
      </c>
      <c r="BH25" s="23"/>
      <c r="BI25" s="23"/>
      <c r="BJ25" s="23"/>
      <c r="BK25" s="1111"/>
    </row>
    <row r="26" spans="2:69" ht="15" customHeight="1" x14ac:dyDescent="0.3">
      <c r="B26" s="990" t="s">
        <v>811</v>
      </c>
      <c r="C26" s="2546" t="s">
        <v>1536</v>
      </c>
      <c r="D26" s="2547">
        <v>57.38</v>
      </c>
      <c r="E26" s="1277" t="s">
        <v>50</v>
      </c>
      <c r="F26" s="5181"/>
      <c r="G26" s="4463">
        <v>212.09300000000002</v>
      </c>
      <c r="H26" s="5181"/>
      <c r="I26" s="4463"/>
      <c r="J26" s="5182"/>
      <c r="K26" s="4119">
        <f t="shared" si="3"/>
        <v>212.09300000000002</v>
      </c>
      <c r="L26" s="5181"/>
      <c r="M26" s="4463"/>
      <c r="N26" s="4472"/>
      <c r="O26" s="4450"/>
      <c r="P26" s="5181"/>
      <c r="Q26" s="4463"/>
      <c r="R26" s="4471"/>
      <c r="S26" s="4063"/>
      <c r="T26" s="5181"/>
      <c r="U26" s="4463"/>
      <c r="V26" s="4471"/>
      <c r="W26" s="4063"/>
      <c r="X26" s="5181"/>
      <c r="Y26" s="4463"/>
      <c r="Z26" s="4931"/>
      <c r="AA26" s="4931"/>
      <c r="AB26" s="5069"/>
      <c r="AC26" s="5069"/>
      <c r="AD26" s="5181"/>
      <c r="AE26" s="4463"/>
      <c r="AF26" s="4437"/>
      <c r="AG26" s="4063"/>
      <c r="AH26" s="5181"/>
      <c r="AI26" s="4463"/>
      <c r="AJ26" s="4437"/>
      <c r="AK26" s="4063"/>
      <c r="AL26" s="5181"/>
      <c r="AM26" s="4463"/>
      <c r="AN26" s="4931"/>
      <c r="AO26" s="4931"/>
      <c r="AP26" s="4437"/>
      <c r="AQ26" s="4063"/>
      <c r="AR26" s="5181"/>
      <c r="AS26" s="4463"/>
      <c r="AT26" s="4437"/>
      <c r="AU26" s="4063"/>
      <c r="AV26" s="5181"/>
      <c r="AW26" s="4463"/>
      <c r="AX26" s="4437"/>
      <c r="AY26" s="4063"/>
      <c r="AZ26" s="5181"/>
      <c r="BA26" s="4463"/>
      <c r="BB26" s="4931"/>
      <c r="BC26" s="4931"/>
      <c r="BD26" s="5183"/>
      <c r="BE26" s="5183"/>
      <c r="BF26" s="4437"/>
      <c r="BG26" s="4063"/>
      <c r="BH26" s="23"/>
      <c r="BI26" s="23"/>
      <c r="BJ26" s="23"/>
      <c r="BK26" s="1111"/>
    </row>
    <row r="27" spans="2:69" ht="15" customHeight="1" thickBot="1" x14ac:dyDescent="0.35">
      <c r="B27" s="2739" t="s">
        <v>812</v>
      </c>
      <c r="C27" s="2740" t="s">
        <v>901</v>
      </c>
      <c r="D27" s="2741">
        <v>57.38</v>
      </c>
      <c r="E27" s="1296" t="s">
        <v>50</v>
      </c>
      <c r="F27" s="2742"/>
      <c r="G27" s="34">
        <v>3393.6110000000003</v>
      </c>
      <c r="H27" s="2742"/>
      <c r="I27" s="34"/>
      <c r="J27" s="2743"/>
      <c r="K27" s="4119">
        <f t="shared" si="3"/>
        <v>3393.6110000000003</v>
      </c>
      <c r="L27" s="2742"/>
      <c r="M27" s="34">
        <v>3896.5000000000009</v>
      </c>
      <c r="N27" s="1836"/>
      <c r="O27" s="65">
        <f t="shared" si="4"/>
        <v>7290.1110000000008</v>
      </c>
      <c r="P27" s="2742"/>
      <c r="Q27" s="34">
        <v>1135.345</v>
      </c>
      <c r="R27" s="1844"/>
      <c r="S27" s="35">
        <f t="shared" si="5"/>
        <v>8425.4560000000001</v>
      </c>
      <c r="T27" s="2742"/>
      <c r="U27" s="34">
        <v>528.68100000000004</v>
      </c>
      <c r="V27" s="1844"/>
      <c r="W27" s="35">
        <f t="shared" si="6"/>
        <v>8954.1370000000006</v>
      </c>
      <c r="X27" s="2742"/>
      <c r="Y27" s="34"/>
      <c r="Z27" s="830"/>
      <c r="AA27" s="717">
        <f t="shared" si="7"/>
        <v>1664.0260000000001</v>
      </c>
      <c r="AB27" s="3614"/>
      <c r="AC27" s="429">
        <f t="shared" si="8"/>
        <v>8954.1370000000006</v>
      </c>
      <c r="AD27" s="2742"/>
      <c r="AE27" s="34">
        <v>2083.7330000000006</v>
      </c>
      <c r="AF27" s="1844"/>
      <c r="AG27" s="35">
        <f t="shared" si="9"/>
        <v>11037.87</v>
      </c>
      <c r="AH27" s="2742"/>
      <c r="AI27" s="34">
        <v>904.07100000000003</v>
      </c>
      <c r="AJ27" s="1844"/>
      <c r="AK27" s="35">
        <f t="shared" si="10"/>
        <v>11941.941000000001</v>
      </c>
      <c r="AL27" s="2742"/>
      <c r="AM27" s="34">
        <v>746.70900000000006</v>
      </c>
      <c r="AN27" s="830"/>
      <c r="AO27" s="717">
        <f t="shared" si="11"/>
        <v>3734.5130000000008</v>
      </c>
      <c r="AP27" s="1844"/>
      <c r="AQ27" s="35">
        <f t="shared" si="12"/>
        <v>12688.650000000001</v>
      </c>
      <c r="AR27" s="2742"/>
      <c r="AS27" s="34">
        <v>1722.385</v>
      </c>
      <c r="AT27" s="1844"/>
      <c r="AU27" s="35">
        <f t="shared" si="13"/>
        <v>14411.035000000002</v>
      </c>
      <c r="AV27" s="2742"/>
      <c r="AW27" s="34">
        <v>589.14800000000002</v>
      </c>
      <c r="AX27" s="1844"/>
      <c r="AY27" s="35">
        <f t="shared" si="14"/>
        <v>15000.183000000001</v>
      </c>
      <c r="AZ27" s="2742"/>
      <c r="BA27" s="34">
        <v>1138.018</v>
      </c>
      <c r="BB27" s="830"/>
      <c r="BC27" s="717">
        <f t="shared" si="15"/>
        <v>3449.5509999999999</v>
      </c>
      <c r="BD27" s="831"/>
      <c r="BE27" s="645">
        <f t="shared" si="16"/>
        <v>7184.0640000000003</v>
      </c>
      <c r="BF27" s="1844"/>
      <c r="BG27" s="35">
        <f t="shared" si="17"/>
        <v>16138.201000000001</v>
      </c>
      <c r="BH27" s="23"/>
      <c r="BI27" s="23"/>
      <c r="BJ27" s="23"/>
      <c r="BK27" s="1111"/>
    </row>
    <row r="28" spans="2:69" ht="15" customHeight="1" x14ac:dyDescent="0.3">
      <c r="B28" s="2734" t="s">
        <v>874</v>
      </c>
      <c r="C28" s="2735" t="s">
        <v>901</v>
      </c>
      <c r="D28" s="2736">
        <v>77.58</v>
      </c>
      <c r="E28" s="1216" t="s">
        <v>50</v>
      </c>
      <c r="F28" s="2737"/>
      <c r="G28" s="83"/>
      <c r="H28" s="2737"/>
      <c r="I28" s="83"/>
      <c r="J28" s="2738"/>
      <c r="K28" s="4119">
        <f t="shared" si="3"/>
        <v>0</v>
      </c>
      <c r="L28" s="2737"/>
      <c r="M28" s="83">
        <v>452.06</v>
      </c>
      <c r="N28" s="1836"/>
      <c r="O28" s="65">
        <f t="shared" si="4"/>
        <v>452.06</v>
      </c>
      <c r="P28" s="2737"/>
      <c r="Q28" s="83">
        <v>396.56700000000001</v>
      </c>
      <c r="R28" s="1844"/>
      <c r="S28" s="35">
        <f t="shared" si="5"/>
        <v>848.62699999999995</v>
      </c>
      <c r="T28" s="2737"/>
      <c r="U28" s="83">
        <v>479.91899999999998</v>
      </c>
      <c r="V28" s="1844"/>
      <c r="W28" s="35">
        <f t="shared" si="6"/>
        <v>1328.5459999999998</v>
      </c>
      <c r="X28" s="2737"/>
      <c r="Y28" s="83">
        <v>594.05300000000011</v>
      </c>
      <c r="Z28" s="830"/>
      <c r="AA28" s="717">
        <f t="shared" si="7"/>
        <v>1470.5390000000002</v>
      </c>
      <c r="AB28" s="3614"/>
      <c r="AC28" s="429">
        <f t="shared" si="8"/>
        <v>1922.5990000000002</v>
      </c>
      <c r="AD28" s="2737"/>
      <c r="AE28" s="83">
        <v>397.14600000000002</v>
      </c>
      <c r="AF28" s="1844"/>
      <c r="AG28" s="35">
        <f t="shared" si="9"/>
        <v>2319.7450000000003</v>
      </c>
      <c r="AH28" s="2737"/>
      <c r="AI28" s="83">
        <v>206.87700000000001</v>
      </c>
      <c r="AJ28" s="1844"/>
      <c r="AK28" s="35">
        <f t="shared" si="10"/>
        <v>2526.6220000000003</v>
      </c>
      <c r="AL28" s="2737"/>
      <c r="AM28" s="83">
        <v>367.70699999999999</v>
      </c>
      <c r="AN28" s="830"/>
      <c r="AO28" s="717">
        <f t="shared" si="11"/>
        <v>971.73</v>
      </c>
      <c r="AP28" s="1844"/>
      <c r="AQ28" s="35">
        <f t="shared" si="12"/>
        <v>2894.3290000000002</v>
      </c>
      <c r="AR28" s="2737"/>
      <c r="AS28" s="83">
        <v>503.95699999999999</v>
      </c>
      <c r="AT28" s="1844"/>
      <c r="AU28" s="35">
        <f t="shared" si="13"/>
        <v>3398.2860000000001</v>
      </c>
      <c r="AV28" s="2737"/>
      <c r="AW28" s="83">
        <v>97.072000000000003</v>
      </c>
      <c r="AX28" s="1844"/>
      <c r="AY28" s="35">
        <f t="shared" si="14"/>
        <v>3495.3580000000002</v>
      </c>
      <c r="AZ28" s="2737"/>
      <c r="BA28" s="83"/>
      <c r="BB28" s="830"/>
      <c r="BC28" s="717">
        <f t="shared" si="15"/>
        <v>601.029</v>
      </c>
      <c r="BD28" s="831"/>
      <c r="BE28" s="645">
        <f t="shared" si="16"/>
        <v>1572.759</v>
      </c>
      <c r="BF28" s="1844"/>
      <c r="BG28" s="35">
        <f t="shared" si="17"/>
        <v>3495.3580000000002</v>
      </c>
      <c r="BH28" s="23"/>
      <c r="BI28" s="23"/>
      <c r="BJ28" s="23"/>
      <c r="BK28" s="1111"/>
    </row>
    <row r="29" spans="2:69" ht="15" customHeight="1" x14ac:dyDescent="0.3">
      <c r="B29" s="2730" t="s">
        <v>874</v>
      </c>
      <c r="C29" s="3508" t="s">
        <v>1536</v>
      </c>
      <c r="D29" s="2731">
        <v>77.58</v>
      </c>
      <c r="E29" s="1291" t="s">
        <v>50</v>
      </c>
      <c r="F29" s="2732"/>
      <c r="G29" s="25"/>
      <c r="H29" s="2732"/>
      <c r="I29" s="25"/>
      <c r="J29" s="2733"/>
      <c r="K29" s="4119">
        <f t="shared" si="3"/>
        <v>0</v>
      </c>
      <c r="L29" s="2732"/>
      <c r="M29" s="25">
        <v>275.834</v>
      </c>
      <c r="N29" s="4436"/>
      <c r="O29" s="65">
        <f t="shared" si="4"/>
        <v>275.834</v>
      </c>
      <c r="P29" s="2732"/>
      <c r="Q29" s="25"/>
      <c r="R29" s="4437"/>
      <c r="S29" s="35">
        <f t="shared" si="5"/>
        <v>275.834</v>
      </c>
      <c r="T29" s="2732"/>
      <c r="U29" s="25"/>
      <c r="V29" s="4437"/>
      <c r="W29" s="35">
        <f t="shared" si="6"/>
        <v>275.834</v>
      </c>
      <c r="X29" s="2732"/>
      <c r="Y29" s="25"/>
      <c r="Z29" s="4426"/>
      <c r="AA29" s="717">
        <f t="shared" si="7"/>
        <v>0</v>
      </c>
      <c r="AB29" s="3614"/>
      <c r="AC29" s="429">
        <f t="shared" si="8"/>
        <v>275.834</v>
      </c>
      <c r="AD29" s="2732"/>
      <c r="AE29" s="25">
        <v>145.55099999999999</v>
      </c>
      <c r="AF29" s="4437"/>
      <c r="AG29" s="35">
        <f t="shared" si="9"/>
        <v>421.38499999999999</v>
      </c>
      <c r="AH29" s="2732"/>
      <c r="AI29" s="25">
        <v>214.53800000000001</v>
      </c>
      <c r="AJ29" s="4437"/>
      <c r="AK29" s="35">
        <f t="shared" si="10"/>
        <v>635.923</v>
      </c>
      <c r="AL29" s="2732"/>
      <c r="AM29" s="25"/>
      <c r="AN29" s="4426"/>
      <c r="AO29" s="717">
        <f t="shared" si="11"/>
        <v>360.089</v>
      </c>
      <c r="AP29" s="4437"/>
      <c r="AQ29" s="35">
        <f t="shared" si="12"/>
        <v>635.923</v>
      </c>
      <c r="AR29" s="2732"/>
      <c r="AS29" s="25">
        <v>344.72500000000002</v>
      </c>
      <c r="AT29" s="4437"/>
      <c r="AU29" s="4063">
        <f t="shared" si="13"/>
        <v>980.64800000000002</v>
      </c>
      <c r="AV29" s="2732"/>
      <c r="AW29" s="25"/>
      <c r="AX29" s="4437"/>
      <c r="AY29" s="35">
        <f t="shared" si="14"/>
        <v>980.64800000000002</v>
      </c>
      <c r="AZ29" s="2732"/>
      <c r="BA29" s="25"/>
      <c r="BB29" s="4426"/>
      <c r="BC29" s="717">
        <f t="shared" si="15"/>
        <v>344.72500000000002</v>
      </c>
      <c r="BD29" s="4440"/>
      <c r="BE29" s="645">
        <f t="shared" si="16"/>
        <v>704.81400000000008</v>
      </c>
      <c r="BF29" s="4437"/>
      <c r="BG29" s="35">
        <f t="shared" si="17"/>
        <v>980.64800000000002</v>
      </c>
      <c r="BH29" s="23"/>
      <c r="BI29" s="23"/>
      <c r="BJ29" s="23"/>
      <c r="BK29" s="1111"/>
    </row>
    <row r="30" spans="2:69" ht="15" customHeight="1" x14ac:dyDescent="0.3">
      <c r="B30" s="2730" t="s">
        <v>874</v>
      </c>
      <c r="C30" s="3508" t="s">
        <v>1968</v>
      </c>
      <c r="D30" s="2731">
        <v>77.58</v>
      </c>
      <c r="E30" s="1291" t="s">
        <v>50</v>
      </c>
      <c r="F30" s="2732"/>
      <c r="G30" s="25"/>
      <c r="H30" s="2732"/>
      <c r="I30" s="25"/>
      <c r="J30" s="2733"/>
      <c r="K30" s="4119">
        <f t="shared" si="3"/>
        <v>0</v>
      </c>
      <c r="L30" s="2732"/>
      <c r="M30" s="25">
        <v>229.86200000000002</v>
      </c>
      <c r="N30" s="4436"/>
      <c r="O30" s="65">
        <f t="shared" si="4"/>
        <v>229.86200000000002</v>
      </c>
      <c r="P30" s="2732"/>
      <c r="Q30" s="25"/>
      <c r="R30" s="4437"/>
      <c r="S30" s="35">
        <f t="shared" si="5"/>
        <v>229.86200000000002</v>
      </c>
      <c r="T30" s="2732"/>
      <c r="U30" s="25"/>
      <c r="V30" s="4437"/>
      <c r="W30" s="35">
        <f t="shared" si="6"/>
        <v>229.86200000000002</v>
      </c>
      <c r="X30" s="2732"/>
      <c r="Y30" s="25"/>
      <c r="Z30" s="4426"/>
      <c r="AA30" s="717">
        <f t="shared" si="7"/>
        <v>0</v>
      </c>
      <c r="AB30" s="3614"/>
      <c r="AC30" s="429">
        <f t="shared" si="8"/>
        <v>229.86200000000002</v>
      </c>
      <c r="AD30" s="2732"/>
      <c r="AE30" s="25"/>
      <c r="AF30" s="4437"/>
      <c r="AG30" s="35">
        <f t="shared" si="9"/>
        <v>229.86200000000002</v>
      </c>
      <c r="AH30" s="2732"/>
      <c r="AI30" s="25"/>
      <c r="AJ30" s="4437"/>
      <c r="AK30" s="35">
        <f t="shared" si="10"/>
        <v>229.86200000000002</v>
      </c>
      <c r="AL30" s="2732"/>
      <c r="AM30" s="25"/>
      <c r="AN30" s="4426"/>
      <c r="AO30" s="717">
        <f t="shared" si="11"/>
        <v>0</v>
      </c>
      <c r="AP30" s="4437"/>
      <c r="AQ30" s="35">
        <f t="shared" si="12"/>
        <v>229.86200000000002</v>
      </c>
      <c r="AR30" s="2732"/>
      <c r="AS30" s="25"/>
      <c r="AT30" s="4437"/>
      <c r="AU30" s="4063">
        <f t="shared" si="13"/>
        <v>229.86200000000002</v>
      </c>
      <c r="AV30" s="2732"/>
      <c r="AW30" s="25"/>
      <c r="AX30" s="4437"/>
      <c r="AY30" s="35">
        <f t="shared" si="14"/>
        <v>229.86200000000002</v>
      </c>
      <c r="AZ30" s="2732"/>
      <c r="BA30" s="25"/>
      <c r="BB30" s="4426"/>
      <c r="BC30" s="717">
        <f t="shared" si="15"/>
        <v>0</v>
      </c>
      <c r="BD30" s="4440"/>
      <c r="BE30" s="645">
        <f t="shared" si="16"/>
        <v>0</v>
      </c>
      <c r="BF30" s="4437"/>
      <c r="BG30" s="35">
        <f t="shared" si="17"/>
        <v>229.86200000000002</v>
      </c>
      <c r="BH30" s="23"/>
      <c r="BI30" s="23"/>
      <c r="BJ30" s="23"/>
      <c r="BK30" s="1111"/>
    </row>
    <row r="31" spans="2:69" ht="15" customHeight="1" x14ac:dyDescent="0.3">
      <c r="B31" s="2730" t="s">
        <v>874</v>
      </c>
      <c r="C31" s="3508" t="s">
        <v>1537</v>
      </c>
      <c r="D31" s="2731">
        <v>77.58</v>
      </c>
      <c r="E31" s="1291" t="s">
        <v>50</v>
      </c>
      <c r="F31" s="2732"/>
      <c r="G31" s="25"/>
      <c r="H31" s="2732"/>
      <c r="I31" s="25"/>
      <c r="J31" s="2733"/>
      <c r="K31" s="4119">
        <f t="shared" si="3"/>
        <v>0</v>
      </c>
      <c r="L31" s="2732"/>
      <c r="M31" s="25"/>
      <c r="N31" s="4436"/>
      <c r="O31" s="4450"/>
      <c r="P31" s="2732"/>
      <c r="Q31" s="25"/>
      <c r="R31" s="4437"/>
      <c r="S31" s="4063"/>
      <c r="T31" s="2732"/>
      <c r="U31" s="25"/>
      <c r="V31" s="4437"/>
      <c r="W31" s="4063"/>
      <c r="X31" s="2732"/>
      <c r="Y31" s="25"/>
      <c r="Z31" s="4535"/>
      <c r="AA31" s="4515"/>
      <c r="AB31" s="4585"/>
      <c r="AC31" s="429">
        <f t="shared" si="8"/>
        <v>0</v>
      </c>
      <c r="AD31" s="2732"/>
      <c r="AE31" s="25"/>
      <c r="AF31" s="4437"/>
      <c r="AG31" s="35">
        <f t="shared" si="9"/>
        <v>0</v>
      </c>
      <c r="AH31" s="2732"/>
      <c r="AI31" s="25">
        <v>330.005</v>
      </c>
      <c r="AJ31" s="4437"/>
      <c r="AK31" s="35">
        <f t="shared" si="10"/>
        <v>330.005</v>
      </c>
      <c r="AL31" s="2732"/>
      <c r="AM31" s="25"/>
      <c r="AN31" s="4535"/>
      <c r="AO31" s="717">
        <f t="shared" si="11"/>
        <v>330.005</v>
      </c>
      <c r="AP31" s="4437"/>
      <c r="AQ31" s="35">
        <f t="shared" si="12"/>
        <v>330.005</v>
      </c>
      <c r="AR31" s="2732"/>
      <c r="AS31" s="25">
        <v>659.03700000000003</v>
      </c>
      <c r="AT31" s="4437"/>
      <c r="AU31" s="4063">
        <f t="shared" si="13"/>
        <v>989.04200000000003</v>
      </c>
      <c r="AV31" s="2732"/>
      <c r="AW31" s="25"/>
      <c r="AX31" s="4437"/>
      <c r="AY31" s="35">
        <f t="shared" si="14"/>
        <v>989.04200000000003</v>
      </c>
      <c r="AZ31" s="2732"/>
      <c r="BA31" s="25"/>
      <c r="BB31" s="4535"/>
      <c r="BC31" s="717">
        <f t="shared" si="15"/>
        <v>659.03700000000003</v>
      </c>
      <c r="BD31" s="4536"/>
      <c r="BE31" s="645">
        <f t="shared" si="16"/>
        <v>989.04200000000003</v>
      </c>
      <c r="BF31" s="4437"/>
      <c r="BG31" s="35">
        <f t="shared" si="17"/>
        <v>989.04200000000003</v>
      </c>
      <c r="BH31" s="23"/>
      <c r="BI31" s="23"/>
      <c r="BJ31" s="23"/>
      <c r="BK31" s="1111"/>
    </row>
    <row r="32" spans="2:69" ht="15" customHeight="1" x14ac:dyDescent="0.3">
      <c r="B32" s="990" t="s">
        <v>874</v>
      </c>
      <c r="C32" s="2546" t="s">
        <v>966</v>
      </c>
      <c r="D32" s="2547">
        <v>77.58</v>
      </c>
      <c r="E32" s="1277" t="s">
        <v>50</v>
      </c>
      <c r="F32" s="1822"/>
      <c r="G32" s="17"/>
      <c r="H32" s="1822"/>
      <c r="I32" s="17"/>
      <c r="J32" s="1827"/>
      <c r="K32" s="4119">
        <f t="shared" si="3"/>
        <v>0</v>
      </c>
      <c r="L32" s="1822"/>
      <c r="M32" s="17">
        <v>2941.9840000000008</v>
      </c>
      <c r="N32" s="1836"/>
      <c r="O32" s="65">
        <f t="shared" si="4"/>
        <v>2941.9840000000008</v>
      </c>
      <c r="P32" s="1822"/>
      <c r="Q32" s="17">
        <v>3050.1450000000004</v>
      </c>
      <c r="R32" s="1844"/>
      <c r="S32" s="35">
        <f t="shared" si="5"/>
        <v>5992.1290000000008</v>
      </c>
      <c r="T32" s="1822"/>
      <c r="U32" s="17">
        <v>2511.2669999999998</v>
      </c>
      <c r="V32" s="1844"/>
      <c r="W32" s="35">
        <f t="shared" si="6"/>
        <v>8503.3960000000006</v>
      </c>
      <c r="X32" s="1822"/>
      <c r="Y32" s="17">
        <v>2726.049</v>
      </c>
      <c r="Z32" s="830"/>
      <c r="AA32" s="717">
        <f t="shared" si="7"/>
        <v>8287.4609999999993</v>
      </c>
      <c r="AB32" s="3614"/>
      <c r="AC32" s="429">
        <f t="shared" si="8"/>
        <v>11229.445</v>
      </c>
      <c r="AD32" s="1822"/>
      <c r="AE32" s="17">
        <v>3225.1189999999988</v>
      </c>
      <c r="AF32" s="1844"/>
      <c r="AG32" s="35">
        <f t="shared" si="9"/>
        <v>14454.563999999998</v>
      </c>
      <c r="AH32" s="1822"/>
      <c r="AI32" s="17">
        <v>2834.6929999999998</v>
      </c>
      <c r="AJ32" s="1844"/>
      <c r="AK32" s="35">
        <f t="shared" si="10"/>
        <v>17289.256999999998</v>
      </c>
      <c r="AL32" s="1822"/>
      <c r="AM32" s="17">
        <v>1624.4269999999999</v>
      </c>
      <c r="AN32" s="830"/>
      <c r="AO32" s="717">
        <f t="shared" si="11"/>
        <v>7684.2389999999978</v>
      </c>
      <c r="AP32" s="1844"/>
      <c r="AQ32" s="35">
        <f t="shared" si="12"/>
        <v>18913.683999999997</v>
      </c>
      <c r="AR32" s="1822"/>
      <c r="AS32" s="17">
        <v>4819.0960000000005</v>
      </c>
      <c r="AT32" s="1844"/>
      <c r="AU32" s="35">
        <f t="shared" si="13"/>
        <v>23732.78</v>
      </c>
      <c r="AV32" s="1822"/>
      <c r="AW32" s="17">
        <v>4111.9789999999975</v>
      </c>
      <c r="AX32" s="1844"/>
      <c r="AY32" s="35">
        <f t="shared" si="14"/>
        <v>27844.758999999998</v>
      </c>
      <c r="AZ32" s="1822"/>
      <c r="BA32" s="17">
        <v>3432.5459999999998</v>
      </c>
      <c r="BB32" s="830"/>
      <c r="BC32" s="717">
        <f t="shared" si="15"/>
        <v>12363.620999999997</v>
      </c>
      <c r="BD32" s="831"/>
      <c r="BE32" s="645">
        <f t="shared" si="16"/>
        <v>20047.859999999993</v>
      </c>
      <c r="BF32" s="1844"/>
      <c r="BG32" s="35">
        <f t="shared" si="17"/>
        <v>31277.304999999997</v>
      </c>
      <c r="BH32" s="23"/>
      <c r="BI32" s="23"/>
      <c r="BJ32" s="23"/>
      <c r="BK32" s="1111"/>
    </row>
    <row r="33" spans="1:68" ht="15" customHeight="1" x14ac:dyDescent="0.3">
      <c r="B33" s="990" t="s">
        <v>1027</v>
      </c>
      <c r="C33" s="2546" t="s">
        <v>901</v>
      </c>
      <c r="D33" s="2547">
        <v>67.16</v>
      </c>
      <c r="E33" s="1277" t="s">
        <v>50</v>
      </c>
      <c r="F33" s="1822"/>
      <c r="G33" s="17"/>
      <c r="H33" s="1822"/>
      <c r="I33" s="17"/>
      <c r="J33" s="1827"/>
      <c r="K33" s="4119">
        <f t="shared" si="3"/>
        <v>0</v>
      </c>
      <c r="L33" s="1822"/>
      <c r="M33" s="17">
        <v>776.39</v>
      </c>
      <c r="N33" s="1836"/>
      <c r="O33" s="65">
        <f t="shared" si="4"/>
        <v>776.39</v>
      </c>
      <c r="P33" s="1822"/>
      <c r="Q33" s="17">
        <v>1354.7659999999998</v>
      </c>
      <c r="R33" s="1844"/>
      <c r="S33" s="35">
        <f t="shared" si="5"/>
        <v>2131.1559999999999</v>
      </c>
      <c r="T33" s="1822"/>
      <c r="U33" s="17"/>
      <c r="V33" s="1844"/>
      <c r="W33" s="35">
        <f t="shared" si="6"/>
        <v>2131.1559999999999</v>
      </c>
      <c r="X33" s="1822"/>
      <c r="Y33" s="17">
        <v>627.25300000000004</v>
      </c>
      <c r="Z33" s="830"/>
      <c r="AA33" s="717">
        <f t="shared" si="7"/>
        <v>1982.0189999999998</v>
      </c>
      <c r="AB33" s="3614"/>
      <c r="AC33" s="429">
        <f t="shared" si="8"/>
        <v>2758.4089999999997</v>
      </c>
      <c r="AD33" s="1822"/>
      <c r="AE33" s="17">
        <v>143.601</v>
      </c>
      <c r="AF33" s="1844"/>
      <c r="AG33" s="35">
        <f t="shared" si="9"/>
        <v>2902.0099999999998</v>
      </c>
      <c r="AH33" s="1822"/>
      <c r="AI33" s="17"/>
      <c r="AJ33" s="1844"/>
      <c r="AK33" s="35">
        <f t="shared" si="10"/>
        <v>2902.0099999999998</v>
      </c>
      <c r="AL33" s="1822"/>
      <c r="AM33" s="17"/>
      <c r="AN33" s="830"/>
      <c r="AO33" s="717">
        <f t="shared" si="11"/>
        <v>143.601</v>
      </c>
      <c r="AP33" s="1844"/>
      <c r="AQ33" s="35">
        <f t="shared" si="12"/>
        <v>2902.0099999999998</v>
      </c>
      <c r="AR33" s="1822"/>
      <c r="AS33" s="17">
        <v>362.75599999999997</v>
      </c>
      <c r="AT33" s="1844"/>
      <c r="AU33" s="35">
        <f t="shared" si="13"/>
        <v>3264.7659999999996</v>
      </c>
      <c r="AV33" s="1822"/>
      <c r="AW33" s="17">
        <v>507.67700000000002</v>
      </c>
      <c r="AX33" s="1844"/>
      <c r="AY33" s="35">
        <f t="shared" si="14"/>
        <v>3772.4429999999998</v>
      </c>
      <c r="AZ33" s="1822"/>
      <c r="BA33" s="17">
        <v>715.45100000000014</v>
      </c>
      <c r="BB33" s="830"/>
      <c r="BC33" s="717">
        <f t="shared" si="15"/>
        <v>1585.884</v>
      </c>
      <c r="BD33" s="831"/>
      <c r="BE33" s="645">
        <f t="shared" si="16"/>
        <v>1729.4850000000001</v>
      </c>
      <c r="BF33" s="1844"/>
      <c r="BG33" s="35">
        <f t="shared" si="17"/>
        <v>4487.8940000000002</v>
      </c>
      <c r="BH33" s="23"/>
      <c r="BI33" s="23"/>
      <c r="BJ33" s="23"/>
      <c r="BK33" s="1111"/>
    </row>
    <row r="34" spans="1:68" ht="15" customHeight="1" x14ac:dyDescent="0.3">
      <c r="B34" s="990" t="s">
        <v>1027</v>
      </c>
      <c r="C34" s="2546" t="s">
        <v>966</v>
      </c>
      <c r="D34" s="2547">
        <v>67.16</v>
      </c>
      <c r="E34" s="1277" t="s">
        <v>50</v>
      </c>
      <c r="F34" s="1822"/>
      <c r="G34" s="17"/>
      <c r="H34" s="1822"/>
      <c r="I34" s="17"/>
      <c r="J34" s="1827"/>
      <c r="K34" s="4119">
        <f t="shared" si="3"/>
        <v>0</v>
      </c>
      <c r="L34" s="1822"/>
      <c r="M34" s="17">
        <v>1621.7879999999998</v>
      </c>
      <c r="N34" s="1836"/>
      <c r="O34" s="65">
        <f t="shared" si="4"/>
        <v>1621.7879999999998</v>
      </c>
      <c r="P34" s="1822"/>
      <c r="Q34" s="17">
        <v>2443.4170000000004</v>
      </c>
      <c r="R34" s="1844"/>
      <c r="S34" s="35">
        <f t="shared" si="5"/>
        <v>4065.2049999999999</v>
      </c>
      <c r="T34" s="1822"/>
      <c r="U34" s="17">
        <v>610.00199999999995</v>
      </c>
      <c r="V34" s="1844"/>
      <c r="W34" s="35">
        <f t="shared" si="6"/>
        <v>4675.2070000000003</v>
      </c>
      <c r="X34" s="1822"/>
      <c r="Y34" s="17">
        <v>943.14499999999987</v>
      </c>
      <c r="Z34" s="830"/>
      <c r="AA34" s="717">
        <f t="shared" si="7"/>
        <v>3996.5640000000003</v>
      </c>
      <c r="AB34" s="3614"/>
      <c r="AC34" s="429">
        <f t="shared" si="8"/>
        <v>5618.3519999999999</v>
      </c>
      <c r="AD34" s="1822"/>
      <c r="AE34" s="17">
        <v>415.09499999999991</v>
      </c>
      <c r="AF34" s="1844"/>
      <c r="AG34" s="35">
        <f t="shared" si="9"/>
        <v>6033.4470000000001</v>
      </c>
      <c r="AH34" s="1822"/>
      <c r="AI34" s="17">
        <v>72.914000000000001</v>
      </c>
      <c r="AJ34" s="1844"/>
      <c r="AK34" s="35">
        <f t="shared" si="10"/>
        <v>6106.3609999999999</v>
      </c>
      <c r="AL34" s="1822"/>
      <c r="AM34" s="17">
        <v>1893.1450000000002</v>
      </c>
      <c r="AN34" s="830"/>
      <c r="AO34" s="717">
        <f t="shared" si="11"/>
        <v>2381.154</v>
      </c>
      <c r="AP34" s="1844"/>
      <c r="AQ34" s="35">
        <f t="shared" si="12"/>
        <v>7999.5060000000003</v>
      </c>
      <c r="AR34" s="1822"/>
      <c r="AS34" s="17">
        <v>1454.3810000000001</v>
      </c>
      <c r="AT34" s="1844"/>
      <c r="AU34" s="35">
        <f t="shared" si="13"/>
        <v>9453.8870000000006</v>
      </c>
      <c r="AV34" s="1822"/>
      <c r="AW34" s="17">
        <v>1471.5919999999999</v>
      </c>
      <c r="AX34" s="1844"/>
      <c r="AY34" s="35">
        <f t="shared" si="14"/>
        <v>10925.479000000001</v>
      </c>
      <c r="AZ34" s="1822"/>
      <c r="BA34" s="17">
        <v>1130.5889999999999</v>
      </c>
      <c r="BB34" s="830"/>
      <c r="BC34" s="717">
        <f t="shared" si="15"/>
        <v>4056.5619999999999</v>
      </c>
      <c r="BD34" s="831"/>
      <c r="BE34" s="645">
        <f t="shared" si="16"/>
        <v>6437.7160000000003</v>
      </c>
      <c r="BF34" s="1844"/>
      <c r="BG34" s="35">
        <f t="shared" si="17"/>
        <v>12056.068000000001</v>
      </c>
      <c r="BH34" s="23"/>
      <c r="BI34" s="23"/>
      <c r="BJ34" s="23"/>
      <c r="BK34" s="1111"/>
    </row>
    <row r="35" spans="1:68" ht="15" customHeight="1" x14ac:dyDescent="0.3">
      <c r="B35" s="990" t="s">
        <v>874</v>
      </c>
      <c r="C35" s="2546" t="s">
        <v>966</v>
      </c>
      <c r="D35" s="2547">
        <v>92.37</v>
      </c>
      <c r="E35" s="1277" t="s">
        <v>50</v>
      </c>
      <c r="F35" s="1822"/>
      <c r="G35" s="17"/>
      <c r="H35" s="1822"/>
      <c r="I35" s="17"/>
      <c r="J35" s="1827"/>
      <c r="K35" s="4119">
        <f t="shared" si="3"/>
        <v>0</v>
      </c>
      <c r="L35" s="1822"/>
      <c r="M35" s="17"/>
      <c r="N35" s="1836"/>
      <c r="O35" s="65">
        <f t="shared" si="4"/>
        <v>0</v>
      </c>
      <c r="P35" s="1822"/>
      <c r="Q35" s="17"/>
      <c r="R35" s="1844"/>
      <c r="S35" s="35">
        <f t="shared" si="5"/>
        <v>0</v>
      </c>
      <c r="T35" s="1822"/>
      <c r="U35" s="17"/>
      <c r="V35" s="1844"/>
      <c r="W35" s="35">
        <f t="shared" si="6"/>
        <v>0</v>
      </c>
      <c r="X35" s="1822"/>
      <c r="Y35" s="17">
        <v>524.90899999999999</v>
      </c>
      <c r="Z35" s="830"/>
      <c r="AA35" s="717">
        <f t="shared" si="7"/>
        <v>524.90899999999999</v>
      </c>
      <c r="AB35" s="3614"/>
      <c r="AC35" s="429">
        <f t="shared" si="8"/>
        <v>524.90899999999999</v>
      </c>
      <c r="AD35" s="1822"/>
      <c r="AE35" s="17"/>
      <c r="AF35" s="1844"/>
      <c r="AG35" s="35">
        <f t="shared" si="9"/>
        <v>524.90899999999999</v>
      </c>
      <c r="AH35" s="1822"/>
      <c r="AI35" s="17"/>
      <c r="AJ35" s="1844"/>
      <c r="AK35" s="35">
        <f t="shared" si="10"/>
        <v>524.90899999999999</v>
      </c>
      <c r="AL35" s="1822"/>
      <c r="AM35" s="17">
        <v>510.59299999999996</v>
      </c>
      <c r="AN35" s="830"/>
      <c r="AO35" s="717">
        <f t="shared" si="11"/>
        <v>510.59299999999996</v>
      </c>
      <c r="AP35" s="1844"/>
      <c r="AQ35" s="35">
        <f t="shared" si="12"/>
        <v>1035.502</v>
      </c>
      <c r="AR35" s="1822"/>
      <c r="AS35" s="17"/>
      <c r="AT35" s="1844"/>
      <c r="AU35" s="35">
        <f t="shared" si="13"/>
        <v>1035.502</v>
      </c>
      <c r="AV35" s="1822"/>
      <c r="AW35" s="17"/>
      <c r="AX35" s="1844"/>
      <c r="AY35" s="35">
        <f t="shared" si="14"/>
        <v>1035.502</v>
      </c>
      <c r="AZ35" s="1822"/>
      <c r="BA35" s="17"/>
      <c r="BB35" s="830"/>
      <c r="BC35" s="717">
        <f t="shared" si="15"/>
        <v>0</v>
      </c>
      <c r="BD35" s="831"/>
      <c r="BE35" s="645">
        <f t="shared" si="16"/>
        <v>510.59299999999996</v>
      </c>
      <c r="BF35" s="1844"/>
      <c r="BG35" s="35">
        <f t="shared" si="17"/>
        <v>1035.502</v>
      </c>
      <c r="BH35" s="23"/>
      <c r="BI35" s="23"/>
      <c r="BJ35" s="23"/>
      <c r="BK35" s="1111"/>
      <c r="BP35" s="1507"/>
    </row>
    <row r="36" spans="1:68" ht="15" customHeight="1" thickBot="1" x14ac:dyDescent="0.35">
      <c r="B36" s="2739" t="s">
        <v>874</v>
      </c>
      <c r="C36" s="2740" t="s">
        <v>901</v>
      </c>
      <c r="D36" s="2741">
        <v>92.37</v>
      </c>
      <c r="E36" s="1296" t="s">
        <v>50</v>
      </c>
      <c r="F36" s="2742"/>
      <c r="G36" s="34"/>
      <c r="H36" s="2742"/>
      <c r="I36" s="34"/>
      <c r="J36" s="2743"/>
      <c r="K36" s="4119">
        <f t="shared" si="3"/>
        <v>0</v>
      </c>
      <c r="L36" s="2742"/>
      <c r="M36" s="34"/>
      <c r="N36" s="1836"/>
      <c r="O36" s="65">
        <f t="shared" si="4"/>
        <v>0</v>
      </c>
      <c r="P36" s="2742"/>
      <c r="Q36" s="34"/>
      <c r="R36" s="1844"/>
      <c r="S36" s="35">
        <f t="shared" si="5"/>
        <v>0</v>
      </c>
      <c r="T36" s="2742"/>
      <c r="U36" s="34"/>
      <c r="V36" s="1844"/>
      <c r="W36" s="35">
        <f t="shared" si="6"/>
        <v>0</v>
      </c>
      <c r="X36" s="2742"/>
      <c r="Y36" s="34"/>
      <c r="Z36" s="2548"/>
      <c r="AA36" s="717">
        <f t="shared" si="7"/>
        <v>0</v>
      </c>
      <c r="AB36" s="3615"/>
      <c r="AC36" s="429">
        <f t="shared" si="8"/>
        <v>0</v>
      </c>
      <c r="AD36" s="2742"/>
      <c r="AE36" s="34"/>
      <c r="AF36" s="1844"/>
      <c r="AG36" s="35">
        <f t="shared" si="9"/>
        <v>0</v>
      </c>
      <c r="AH36" s="2742"/>
      <c r="AI36" s="34"/>
      <c r="AJ36" s="1844"/>
      <c r="AK36" s="35">
        <f t="shared" si="10"/>
        <v>0</v>
      </c>
      <c r="AL36" s="2742"/>
      <c r="AM36" s="34"/>
      <c r="AN36" s="2548"/>
      <c r="AO36" s="717">
        <f t="shared" si="11"/>
        <v>0</v>
      </c>
      <c r="AP36" s="1844"/>
      <c r="AQ36" s="35">
        <f t="shared" si="12"/>
        <v>0</v>
      </c>
      <c r="AR36" s="2742"/>
      <c r="AS36" s="34"/>
      <c r="AT36" s="1844"/>
      <c r="AU36" s="35">
        <f t="shared" si="13"/>
        <v>0</v>
      </c>
      <c r="AV36" s="2742"/>
      <c r="AW36" s="34"/>
      <c r="AX36" s="1844"/>
      <c r="AY36" s="35">
        <f t="shared" si="14"/>
        <v>0</v>
      </c>
      <c r="AZ36" s="2742"/>
      <c r="BA36" s="34"/>
      <c r="BB36" s="2548"/>
      <c r="BC36" s="717">
        <f t="shared" si="15"/>
        <v>0</v>
      </c>
      <c r="BD36" s="2549"/>
      <c r="BE36" s="645">
        <f t="shared" si="16"/>
        <v>0</v>
      </c>
      <c r="BF36" s="1844"/>
      <c r="BG36" s="35">
        <f t="shared" si="17"/>
        <v>0</v>
      </c>
      <c r="BH36" s="23"/>
      <c r="BI36" s="23"/>
      <c r="BJ36" s="23"/>
      <c r="BK36" s="1111"/>
    </row>
    <row r="37" spans="1:68" ht="15" customHeight="1" x14ac:dyDescent="0.3">
      <c r="B37" s="2734" t="s">
        <v>1229</v>
      </c>
      <c r="C37" s="2735" t="s">
        <v>966</v>
      </c>
      <c r="D37" s="2736">
        <v>79.36</v>
      </c>
      <c r="E37" s="1216" t="s">
        <v>50</v>
      </c>
      <c r="F37" s="2737"/>
      <c r="G37" s="83"/>
      <c r="H37" s="2737"/>
      <c r="I37" s="83"/>
      <c r="J37" s="2738"/>
      <c r="K37" s="4119">
        <f t="shared" si="3"/>
        <v>0</v>
      </c>
      <c r="L37" s="2737"/>
      <c r="M37" s="83">
        <v>432.125</v>
      </c>
      <c r="N37" s="1836"/>
      <c r="O37" s="65">
        <f t="shared" si="4"/>
        <v>432.125</v>
      </c>
      <c r="P37" s="2737"/>
      <c r="Q37" s="83">
        <v>840.68100000000004</v>
      </c>
      <c r="R37" s="1844"/>
      <c r="S37" s="35">
        <f t="shared" si="5"/>
        <v>1272.806</v>
      </c>
      <c r="T37" s="2737"/>
      <c r="U37" s="83">
        <v>963.54099999999994</v>
      </c>
      <c r="V37" s="1844"/>
      <c r="W37" s="35">
        <f t="shared" si="6"/>
        <v>2236.3469999999998</v>
      </c>
      <c r="X37" s="2737"/>
      <c r="Y37" s="83">
        <v>1767.8939999999998</v>
      </c>
      <c r="Z37" s="830"/>
      <c r="AA37" s="717">
        <f t="shared" si="7"/>
        <v>3572.116</v>
      </c>
      <c r="AB37" s="3614"/>
      <c r="AC37" s="429">
        <f t="shared" si="8"/>
        <v>4004.241</v>
      </c>
      <c r="AD37" s="2737"/>
      <c r="AE37" s="83"/>
      <c r="AF37" s="1844"/>
      <c r="AG37" s="35">
        <f t="shared" si="9"/>
        <v>4004.241</v>
      </c>
      <c r="AH37" s="2737"/>
      <c r="AI37" s="83">
        <v>903.40800000000002</v>
      </c>
      <c r="AJ37" s="1844"/>
      <c r="AK37" s="35">
        <f t="shared" si="10"/>
        <v>4907.6490000000003</v>
      </c>
      <c r="AL37" s="2737"/>
      <c r="AM37" s="83">
        <v>471.31899999999996</v>
      </c>
      <c r="AN37" s="830"/>
      <c r="AO37" s="717">
        <f t="shared" si="11"/>
        <v>1374.7269999999999</v>
      </c>
      <c r="AP37" s="1844"/>
      <c r="AQ37" s="35">
        <f t="shared" si="12"/>
        <v>5378.9680000000008</v>
      </c>
      <c r="AR37" s="2737"/>
      <c r="AS37" s="83">
        <v>628.50900000000001</v>
      </c>
      <c r="AT37" s="1844"/>
      <c r="AU37" s="35">
        <f t="shared" si="13"/>
        <v>6007.4770000000008</v>
      </c>
      <c r="AV37" s="2737"/>
      <c r="AW37" s="83">
        <v>1137.2190000000003</v>
      </c>
      <c r="AX37" s="1844"/>
      <c r="AY37" s="35">
        <f t="shared" si="14"/>
        <v>7144.6960000000008</v>
      </c>
      <c r="AZ37" s="2737"/>
      <c r="BA37" s="83">
        <v>972.07199999999978</v>
      </c>
      <c r="BB37" s="830"/>
      <c r="BC37" s="717">
        <f t="shared" si="15"/>
        <v>2737.8</v>
      </c>
      <c r="BD37" s="831"/>
      <c r="BE37" s="645">
        <f t="shared" si="16"/>
        <v>4112.527</v>
      </c>
      <c r="BF37" s="1844"/>
      <c r="BG37" s="35">
        <f t="shared" si="17"/>
        <v>8116.7680000000009</v>
      </c>
      <c r="BH37" s="23"/>
      <c r="BI37" s="23"/>
      <c r="BJ37" s="23"/>
      <c r="BK37" s="1111"/>
    </row>
    <row r="38" spans="1:68" ht="15" customHeight="1" x14ac:dyDescent="0.3">
      <c r="B38" s="990" t="s">
        <v>1229</v>
      </c>
      <c r="C38" s="2546" t="s">
        <v>1523</v>
      </c>
      <c r="D38" s="2547">
        <v>79.36</v>
      </c>
      <c r="E38" s="1277" t="s">
        <v>50</v>
      </c>
      <c r="F38" s="1822"/>
      <c r="G38" s="17"/>
      <c r="H38" s="1822"/>
      <c r="I38" s="17"/>
      <c r="J38" s="1827"/>
      <c r="K38" s="4119">
        <f t="shared" si="3"/>
        <v>0</v>
      </c>
      <c r="L38" s="1822"/>
      <c r="M38" s="17"/>
      <c r="N38" s="1836"/>
      <c r="O38" s="65">
        <f t="shared" si="4"/>
        <v>0</v>
      </c>
      <c r="P38" s="1822"/>
      <c r="Q38" s="17"/>
      <c r="R38" s="1844"/>
      <c r="S38" s="35">
        <f t="shared" si="5"/>
        <v>0</v>
      </c>
      <c r="T38" s="1822"/>
      <c r="U38" s="17"/>
      <c r="V38" s="1844"/>
      <c r="W38" s="35">
        <f t="shared" si="6"/>
        <v>0</v>
      </c>
      <c r="X38" s="1822"/>
      <c r="Y38" s="17"/>
      <c r="Z38" s="2247"/>
      <c r="AA38" s="717">
        <f t="shared" si="7"/>
        <v>0</v>
      </c>
      <c r="AB38" s="3616"/>
      <c r="AC38" s="429">
        <f t="shared" si="8"/>
        <v>0</v>
      </c>
      <c r="AD38" s="1822"/>
      <c r="AE38" s="17"/>
      <c r="AF38" s="1844"/>
      <c r="AG38" s="35">
        <f t="shared" si="9"/>
        <v>0</v>
      </c>
      <c r="AH38" s="1822"/>
      <c r="AI38" s="17"/>
      <c r="AJ38" s="1844"/>
      <c r="AK38" s="35">
        <f t="shared" si="10"/>
        <v>0</v>
      </c>
      <c r="AL38" s="1822"/>
      <c r="AM38" s="17"/>
      <c r="AN38" s="2247"/>
      <c r="AO38" s="717">
        <f t="shared" si="11"/>
        <v>0</v>
      </c>
      <c r="AP38" s="1844"/>
      <c r="AQ38" s="35">
        <f t="shared" si="12"/>
        <v>0</v>
      </c>
      <c r="AR38" s="1822"/>
      <c r="AS38" s="17"/>
      <c r="AT38" s="1844"/>
      <c r="AU38" s="35">
        <f t="shared" si="13"/>
        <v>0</v>
      </c>
      <c r="AV38" s="1822"/>
      <c r="AW38" s="17"/>
      <c r="AX38" s="1844"/>
      <c r="AY38" s="35">
        <f t="shared" si="14"/>
        <v>0</v>
      </c>
      <c r="AZ38" s="1822"/>
      <c r="BA38" s="17"/>
      <c r="BB38" s="2247"/>
      <c r="BC38" s="717">
        <f t="shared" si="15"/>
        <v>0</v>
      </c>
      <c r="BD38" s="2251"/>
      <c r="BE38" s="645">
        <f t="shared" si="16"/>
        <v>0</v>
      </c>
      <c r="BF38" s="1844"/>
      <c r="BG38" s="35">
        <f t="shared" si="17"/>
        <v>0</v>
      </c>
      <c r="BH38" s="23"/>
      <c r="BI38" s="23"/>
      <c r="BJ38" s="23"/>
      <c r="BK38" s="1111"/>
    </row>
    <row r="39" spans="1:68" ht="15" customHeight="1" x14ac:dyDescent="0.3">
      <c r="B39" s="990" t="s">
        <v>1229</v>
      </c>
      <c r="C39" s="2546" t="s">
        <v>901</v>
      </c>
      <c r="D39" s="2547">
        <v>79.36</v>
      </c>
      <c r="E39" s="1277" t="s">
        <v>50</v>
      </c>
      <c r="F39" s="1822"/>
      <c r="G39" s="17"/>
      <c r="H39" s="1822"/>
      <c r="I39" s="17"/>
      <c r="J39" s="1827"/>
      <c r="K39" s="4119">
        <f t="shared" si="3"/>
        <v>0</v>
      </c>
      <c r="L39" s="1822"/>
      <c r="M39" s="17">
        <v>157.137</v>
      </c>
      <c r="N39" s="1836"/>
      <c r="O39" s="65">
        <f t="shared" si="4"/>
        <v>157.137</v>
      </c>
      <c r="P39" s="1822"/>
      <c r="Q39" s="17">
        <v>78.567999999999998</v>
      </c>
      <c r="R39" s="1844"/>
      <c r="S39" s="35">
        <f t="shared" si="5"/>
        <v>235.70499999999998</v>
      </c>
      <c r="T39" s="1822"/>
      <c r="U39" s="17">
        <v>204.27799999999999</v>
      </c>
      <c r="V39" s="1844"/>
      <c r="W39" s="35">
        <f t="shared" si="6"/>
        <v>439.98299999999995</v>
      </c>
      <c r="X39" s="1822"/>
      <c r="Y39" s="17">
        <v>801.346</v>
      </c>
      <c r="Z39" s="830"/>
      <c r="AA39" s="717">
        <f t="shared" si="7"/>
        <v>1084.192</v>
      </c>
      <c r="AB39" s="3614"/>
      <c r="AC39" s="429">
        <f t="shared" si="8"/>
        <v>1241.329</v>
      </c>
      <c r="AD39" s="1822"/>
      <c r="AE39" s="17"/>
      <c r="AF39" s="1844"/>
      <c r="AG39" s="35">
        <f t="shared" si="9"/>
        <v>1241.329</v>
      </c>
      <c r="AH39" s="1822"/>
      <c r="AI39" s="17"/>
      <c r="AJ39" s="1844"/>
      <c r="AK39" s="35">
        <f t="shared" si="10"/>
        <v>1241.329</v>
      </c>
      <c r="AL39" s="1822"/>
      <c r="AM39" s="17"/>
      <c r="AN39" s="830"/>
      <c r="AO39" s="717">
        <f t="shared" si="11"/>
        <v>0</v>
      </c>
      <c r="AP39" s="1844"/>
      <c r="AQ39" s="35">
        <f t="shared" si="12"/>
        <v>1241.329</v>
      </c>
      <c r="AR39" s="1822"/>
      <c r="AS39" s="17"/>
      <c r="AT39" s="1844"/>
      <c r="AU39" s="35">
        <f t="shared" si="13"/>
        <v>1241.329</v>
      </c>
      <c r="AV39" s="1822"/>
      <c r="AW39" s="17"/>
      <c r="AX39" s="1844"/>
      <c r="AY39" s="35">
        <f t="shared" si="14"/>
        <v>1241.329</v>
      </c>
      <c r="AZ39" s="1822"/>
      <c r="BA39" s="17"/>
      <c r="BB39" s="830"/>
      <c r="BC39" s="717">
        <f t="shared" si="15"/>
        <v>0</v>
      </c>
      <c r="BD39" s="831"/>
      <c r="BE39" s="645">
        <f t="shared" si="16"/>
        <v>0</v>
      </c>
      <c r="BF39" s="1844"/>
      <c r="BG39" s="35">
        <f t="shared" si="17"/>
        <v>1241.329</v>
      </c>
      <c r="BH39" s="23"/>
      <c r="BI39" s="23"/>
      <c r="BJ39" s="23"/>
      <c r="BK39" s="1111"/>
    </row>
    <row r="40" spans="1:68" ht="15" customHeight="1" x14ac:dyDescent="0.3">
      <c r="B40" s="990" t="s">
        <v>1229</v>
      </c>
      <c r="C40" s="2546" t="s">
        <v>1536</v>
      </c>
      <c r="D40" s="2547">
        <v>90.69</v>
      </c>
      <c r="E40" s="1277" t="s">
        <v>50</v>
      </c>
      <c r="F40" s="1822"/>
      <c r="G40" s="17"/>
      <c r="H40" s="1822"/>
      <c r="I40" s="17"/>
      <c r="J40" s="1827"/>
      <c r="K40" s="4119">
        <f t="shared" si="3"/>
        <v>0</v>
      </c>
      <c r="L40" s="1822"/>
      <c r="M40" s="17">
        <v>336.87</v>
      </c>
      <c r="N40" s="1836"/>
      <c r="O40" s="65">
        <f t="shared" si="4"/>
        <v>336.87</v>
      </c>
      <c r="P40" s="1822"/>
      <c r="Q40" s="17"/>
      <c r="R40" s="1844"/>
      <c r="S40" s="35">
        <f t="shared" si="5"/>
        <v>336.87</v>
      </c>
      <c r="T40" s="1822"/>
      <c r="U40" s="17"/>
      <c r="V40" s="1844"/>
      <c r="W40" s="35">
        <f t="shared" si="6"/>
        <v>336.87</v>
      </c>
      <c r="X40" s="1822"/>
      <c r="Y40" s="17"/>
      <c r="Z40" s="830"/>
      <c r="AA40" s="717">
        <f t="shared" si="7"/>
        <v>0</v>
      </c>
      <c r="AB40" s="3614"/>
      <c r="AC40" s="429">
        <f t="shared" si="8"/>
        <v>336.87</v>
      </c>
      <c r="AD40" s="1822"/>
      <c r="AE40" s="17"/>
      <c r="AF40" s="1844"/>
      <c r="AG40" s="35">
        <f t="shared" si="9"/>
        <v>336.87</v>
      </c>
      <c r="AH40" s="1822"/>
      <c r="AI40" s="17">
        <v>285.714</v>
      </c>
      <c r="AJ40" s="1844"/>
      <c r="AK40" s="35">
        <f t="shared" si="10"/>
        <v>622.58400000000006</v>
      </c>
      <c r="AL40" s="1822"/>
      <c r="AM40" s="17"/>
      <c r="AN40" s="830"/>
      <c r="AO40" s="717">
        <f t="shared" si="11"/>
        <v>285.714</v>
      </c>
      <c r="AP40" s="1844"/>
      <c r="AQ40" s="35">
        <f t="shared" si="12"/>
        <v>622.58400000000006</v>
      </c>
      <c r="AR40" s="1822"/>
      <c r="AS40" s="17"/>
      <c r="AT40" s="1844"/>
      <c r="AU40" s="35">
        <f t="shared" si="13"/>
        <v>622.58400000000006</v>
      </c>
      <c r="AV40" s="1822"/>
      <c r="AW40" s="17"/>
      <c r="AX40" s="1844"/>
      <c r="AY40" s="35">
        <f t="shared" si="14"/>
        <v>622.58400000000006</v>
      </c>
      <c r="AZ40" s="1822"/>
      <c r="BA40" s="17"/>
      <c r="BB40" s="830"/>
      <c r="BC40" s="717">
        <f t="shared" si="15"/>
        <v>0</v>
      </c>
      <c r="BD40" s="831"/>
      <c r="BE40" s="645">
        <f t="shared" si="16"/>
        <v>285.714</v>
      </c>
      <c r="BF40" s="1844"/>
      <c r="BG40" s="35">
        <f t="shared" si="17"/>
        <v>622.58400000000006</v>
      </c>
      <c r="BH40" s="23"/>
      <c r="BI40" s="23"/>
      <c r="BJ40" s="23"/>
      <c r="BK40" s="1111"/>
    </row>
    <row r="41" spans="1:68" ht="15" customHeight="1" x14ac:dyDescent="0.3">
      <c r="B41" s="990" t="s">
        <v>1229</v>
      </c>
      <c r="C41" s="2546" t="s">
        <v>966</v>
      </c>
      <c r="D41" s="2547">
        <v>90.68</v>
      </c>
      <c r="E41" s="1277" t="s">
        <v>50</v>
      </c>
      <c r="F41" s="1822"/>
      <c r="G41" s="17"/>
      <c r="H41" s="1822"/>
      <c r="I41" s="17"/>
      <c r="J41" s="1827"/>
      <c r="K41" s="4119">
        <f t="shared" si="3"/>
        <v>0</v>
      </c>
      <c r="L41" s="1822"/>
      <c r="M41" s="17"/>
      <c r="N41" s="1836"/>
      <c r="O41" s="65">
        <f t="shared" si="4"/>
        <v>0</v>
      </c>
      <c r="P41" s="1822"/>
      <c r="Q41" s="17"/>
      <c r="R41" s="1844"/>
      <c r="S41" s="35">
        <f t="shared" si="5"/>
        <v>0</v>
      </c>
      <c r="T41" s="1822"/>
      <c r="U41" s="17"/>
      <c r="V41" s="1844"/>
      <c r="W41" s="35">
        <f t="shared" si="6"/>
        <v>0</v>
      </c>
      <c r="X41" s="1822"/>
      <c r="Y41" s="17"/>
      <c r="Z41" s="2548"/>
      <c r="AA41" s="717">
        <f t="shared" si="7"/>
        <v>0</v>
      </c>
      <c r="AB41" s="3615"/>
      <c r="AC41" s="429">
        <f t="shared" si="8"/>
        <v>0</v>
      </c>
      <c r="AD41" s="1822"/>
      <c r="AE41" s="17"/>
      <c r="AF41" s="1844"/>
      <c r="AG41" s="35">
        <f t="shared" si="9"/>
        <v>0</v>
      </c>
      <c r="AH41" s="1822"/>
      <c r="AI41" s="17"/>
      <c r="AJ41" s="1844"/>
      <c r="AK41" s="35">
        <f t="shared" si="10"/>
        <v>0</v>
      </c>
      <c r="AL41" s="1822"/>
      <c r="AM41" s="17"/>
      <c r="AN41" s="2548"/>
      <c r="AO41" s="717">
        <f t="shared" si="11"/>
        <v>0</v>
      </c>
      <c r="AP41" s="1844"/>
      <c r="AQ41" s="35">
        <f t="shared" si="12"/>
        <v>0</v>
      </c>
      <c r="AR41" s="1822"/>
      <c r="AS41" s="17"/>
      <c r="AT41" s="1844"/>
      <c r="AU41" s="35">
        <f t="shared" si="13"/>
        <v>0</v>
      </c>
      <c r="AV41" s="1822"/>
      <c r="AW41" s="17"/>
      <c r="AX41" s="1844"/>
      <c r="AY41" s="35">
        <f t="shared" si="14"/>
        <v>0</v>
      </c>
      <c r="AZ41" s="1822"/>
      <c r="BA41" s="17"/>
      <c r="BB41" s="2548"/>
      <c r="BC41" s="717">
        <f t="shared" si="15"/>
        <v>0</v>
      </c>
      <c r="BD41" s="2549"/>
      <c r="BE41" s="645">
        <f t="shared" si="16"/>
        <v>0</v>
      </c>
      <c r="BF41" s="1844"/>
      <c r="BG41" s="35">
        <f t="shared" si="17"/>
        <v>0</v>
      </c>
      <c r="BH41" s="23"/>
      <c r="BI41" s="23"/>
      <c r="BJ41" s="23"/>
      <c r="BK41" s="1111"/>
    </row>
    <row r="42" spans="1:68" x14ac:dyDescent="0.3">
      <c r="B42" s="990" t="s">
        <v>1229</v>
      </c>
      <c r="C42" s="2546" t="s">
        <v>901</v>
      </c>
      <c r="D42" s="2547">
        <v>90.68</v>
      </c>
      <c r="E42" s="1277" t="s">
        <v>50</v>
      </c>
      <c r="F42" s="1822"/>
      <c r="G42" s="17"/>
      <c r="H42" s="1822"/>
      <c r="I42" s="17"/>
      <c r="J42" s="1827"/>
      <c r="K42" s="4119">
        <f t="shared" si="3"/>
        <v>0</v>
      </c>
      <c r="L42" s="1822"/>
      <c r="M42" s="17"/>
      <c r="N42" s="1836"/>
      <c r="O42" s="65">
        <f t="shared" si="4"/>
        <v>0</v>
      </c>
      <c r="P42" s="1822"/>
      <c r="Q42" s="17"/>
      <c r="R42" s="1844"/>
      <c r="S42" s="35">
        <f t="shared" si="5"/>
        <v>0</v>
      </c>
      <c r="T42" s="1822"/>
      <c r="U42" s="17"/>
      <c r="V42" s="1844"/>
      <c r="W42" s="35">
        <f t="shared" si="6"/>
        <v>0</v>
      </c>
      <c r="X42" s="1822"/>
      <c r="Y42" s="17"/>
      <c r="Z42" s="2548"/>
      <c r="AA42" s="717">
        <f t="shared" si="7"/>
        <v>0</v>
      </c>
      <c r="AB42" s="3615"/>
      <c r="AC42" s="429">
        <f t="shared" si="8"/>
        <v>0</v>
      </c>
      <c r="AD42" s="1822"/>
      <c r="AE42" s="17"/>
      <c r="AF42" s="1844"/>
      <c r="AG42" s="35">
        <f t="shared" si="9"/>
        <v>0</v>
      </c>
      <c r="AH42" s="1822"/>
      <c r="AI42" s="17"/>
      <c r="AJ42" s="1844"/>
      <c r="AK42" s="35">
        <f t="shared" si="10"/>
        <v>0</v>
      </c>
      <c r="AL42" s="1822"/>
      <c r="AM42" s="17"/>
      <c r="AN42" s="2548"/>
      <c r="AO42" s="717">
        <f t="shared" si="11"/>
        <v>0</v>
      </c>
      <c r="AP42" s="1844"/>
      <c r="AQ42" s="35">
        <f t="shared" si="12"/>
        <v>0</v>
      </c>
      <c r="AR42" s="1822"/>
      <c r="AS42" s="17"/>
      <c r="AT42" s="1844"/>
      <c r="AU42" s="35">
        <f t="shared" si="13"/>
        <v>0</v>
      </c>
      <c r="AV42" s="1822"/>
      <c r="AW42" s="17"/>
      <c r="AX42" s="1844"/>
      <c r="AY42" s="35">
        <f t="shared" si="14"/>
        <v>0</v>
      </c>
      <c r="AZ42" s="1822"/>
      <c r="BA42" s="17"/>
      <c r="BB42" s="2548"/>
      <c r="BC42" s="717">
        <f t="shared" si="15"/>
        <v>0</v>
      </c>
      <c r="BD42" s="2549"/>
      <c r="BE42" s="645">
        <f t="shared" si="16"/>
        <v>0</v>
      </c>
      <c r="BF42" s="1844"/>
      <c r="BG42" s="35">
        <f t="shared" si="17"/>
        <v>0</v>
      </c>
      <c r="BH42" s="23"/>
      <c r="BI42" s="23"/>
      <c r="BJ42" s="23"/>
      <c r="BK42" s="1111"/>
    </row>
    <row r="43" spans="1:68" ht="15" customHeight="1" x14ac:dyDescent="0.3">
      <c r="A43" s="137"/>
      <c r="B43" s="990" t="s">
        <v>813</v>
      </c>
      <c r="C43" s="2546" t="s">
        <v>966</v>
      </c>
      <c r="D43" s="2547">
        <v>90.69</v>
      </c>
      <c r="E43" s="1277" t="s">
        <v>50</v>
      </c>
      <c r="F43" s="1822"/>
      <c r="G43" s="17">
        <v>5470.0340000000006</v>
      </c>
      <c r="H43" s="1822"/>
      <c r="I43" s="17"/>
      <c r="J43" s="1827"/>
      <c r="K43" s="4119">
        <f t="shared" si="3"/>
        <v>5470.0340000000006</v>
      </c>
      <c r="L43" s="1822"/>
      <c r="M43" s="17">
        <v>3362.2630000000004</v>
      </c>
      <c r="N43" s="1836"/>
      <c r="O43" s="65">
        <f t="shared" si="4"/>
        <v>8832.2970000000005</v>
      </c>
      <c r="P43" s="1822"/>
      <c r="Q43" s="17">
        <v>3594.0209999999993</v>
      </c>
      <c r="R43" s="1844"/>
      <c r="S43" s="35">
        <f t="shared" si="5"/>
        <v>12426.317999999999</v>
      </c>
      <c r="T43" s="1822"/>
      <c r="U43" s="17">
        <v>4017.3620000000005</v>
      </c>
      <c r="V43" s="1844"/>
      <c r="W43" s="35">
        <f t="shared" si="6"/>
        <v>16443.68</v>
      </c>
      <c r="X43" s="1822"/>
      <c r="Y43" s="17">
        <v>5758.3259999999973</v>
      </c>
      <c r="Z43" s="830"/>
      <c r="AA43" s="717">
        <f t="shared" si="7"/>
        <v>13369.708999999997</v>
      </c>
      <c r="AB43" s="3614"/>
      <c r="AC43" s="429">
        <f t="shared" si="8"/>
        <v>22202.005999999998</v>
      </c>
      <c r="AD43" s="1822"/>
      <c r="AE43" s="17"/>
      <c r="AF43" s="1844"/>
      <c r="AG43" s="35">
        <f t="shared" si="9"/>
        <v>22202.005999999998</v>
      </c>
      <c r="AH43" s="1822"/>
      <c r="AI43" s="17">
        <v>4019.1859999999992</v>
      </c>
      <c r="AJ43" s="1844"/>
      <c r="AK43" s="35">
        <f t="shared" si="10"/>
        <v>26221.191999999995</v>
      </c>
      <c r="AL43" s="1822"/>
      <c r="AM43" s="17">
        <v>4454.3940000000002</v>
      </c>
      <c r="AN43" s="830"/>
      <c r="AO43" s="717">
        <f t="shared" si="11"/>
        <v>8473.58</v>
      </c>
      <c r="AP43" s="1844"/>
      <c r="AQ43" s="35">
        <f t="shared" si="12"/>
        <v>30675.585999999996</v>
      </c>
      <c r="AR43" s="1822"/>
      <c r="AS43" s="17">
        <v>4566.1349999999975</v>
      </c>
      <c r="AT43" s="1844"/>
      <c r="AU43" s="35">
        <f t="shared" si="13"/>
        <v>35241.72099999999</v>
      </c>
      <c r="AV43" s="1822"/>
      <c r="AW43" s="17">
        <v>5790.3700000000008</v>
      </c>
      <c r="AX43" s="1844"/>
      <c r="AY43" s="35">
        <f t="shared" si="14"/>
        <v>41032.090999999993</v>
      </c>
      <c r="AZ43" s="1822"/>
      <c r="BA43" s="17">
        <v>5759.1549999999952</v>
      </c>
      <c r="BB43" s="830"/>
      <c r="BC43" s="717">
        <f t="shared" si="15"/>
        <v>16115.659999999993</v>
      </c>
      <c r="BD43" s="831"/>
      <c r="BE43" s="645">
        <f t="shared" si="16"/>
        <v>24589.239999999991</v>
      </c>
      <c r="BF43" s="1844"/>
      <c r="BG43" s="35">
        <f t="shared" si="17"/>
        <v>46791.245999999985</v>
      </c>
      <c r="BH43" s="23"/>
      <c r="BI43" s="23"/>
      <c r="BJ43" s="23"/>
      <c r="BK43" s="1111"/>
    </row>
    <row r="44" spans="1:68" x14ac:dyDescent="0.3">
      <c r="B44" s="990" t="s">
        <v>813</v>
      </c>
      <c r="C44" s="2546" t="s">
        <v>901</v>
      </c>
      <c r="D44" s="2547">
        <v>90.69</v>
      </c>
      <c r="E44" s="1277" t="s">
        <v>50</v>
      </c>
      <c r="F44" s="1822"/>
      <c r="G44" s="17">
        <v>910.16899999999998</v>
      </c>
      <c r="H44" s="1822"/>
      <c r="I44" s="17"/>
      <c r="J44" s="1827"/>
      <c r="K44" s="4119">
        <f t="shared" si="3"/>
        <v>910.16899999999998</v>
      </c>
      <c r="L44" s="1822"/>
      <c r="M44" s="17">
        <v>980.73599999999988</v>
      </c>
      <c r="N44" s="1836"/>
      <c r="O44" s="65">
        <f t="shared" si="4"/>
        <v>1890.9049999999997</v>
      </c>
      <c r="P44" s="1822"/>
      <c r="Q44" s="17">
        <v>429.07400000000001</v>
      </c>
      <c r="R44" s="1844"/>
      <c r="S44" s="35">
        <f t="shared" si="5"/>
        <v>2319.9789999999998</v>
      </c>
      <c r="T44" s="1822"/>
      <c r="U44" s="17">
        <v>330.83199999999999</v>
      </c>
      <c r="V44" s="1844"/>
      <c r="W44" s="35">
        <f t="shared" si="6"/>
        <v>2650.8109999999997</v>
      </c>
      <c r="X44" s="1822"/>
      <c r="Y44" s="17">
        <v>508.70600000000002</v>
      </c>
      <c r="Z44" s="830"/>
      <c r="AA44" s="717">
        <f t="shared" si="7"/>
        <v>1268.6120000000001</v>
      </c>
      <c r="AB44" s="3614"/>
      <c r="AC44" s="429">
        <f t="shared" si="8"/>
        <v>3159.5169999999998</v>
      </c>
      <c r="AD44" s="1822"/>
      <c r="AE44" s="17"/>
      <c r="AF44" s="1844"/>
      <c r="AG44" s="35">
        <f t="shared" si="9"/>
        <v>3159.5169999999998</v>
      </c>
      <c r="AH44" s="1822"/>
      <c r="AI44" s="17">
        <v>337.12900000000002</v>
      </c>
      <c r="AJ44" s="1844"/>
      <c r="AK44" s="35">
        <f t="shared" si="10"/>
        <v>3496.6459999999997</v>
      </c>
      <c r="AL44" s="1822"/>
      <c r="AM44" s="17">
        <v>112.729</v>
      </c>
      <c r="AN44" s="830"/>
      <c r="AO44" s="717">
        <f t="shared" si="11"/>
        <v>449.858</v>
      </c>
      <c r="AP44" s="1844"/>
      <c r="AQ44" s="35">
        <f t="shared" si="12"/>
        <v>3609.3749999999995</v>
      </c>
      <c r="AR44" s="1822"/>
      <c r="AS44" s="17">
        <v>382.01400000000001</v>
      </c>
      <c r="AT44" s="1844"/>
      <c r="AU44" s="35">
        <f t="shared" si="13"/>
        <v>3991.3889999999997</v>
      </c>
      <c r="AV44" s="1822"/>
      <c r="AW44" s="17">
        <v>467.29400000000004</v>
      </c>
      <c r="AX44" s="1844"/>
      <c r="AY44" s="35">
        <f t="shared" si="14"/>
        <v>4458.683</v>
      </c>
      <c r="AZ44" s="1822"/>
      <c r="BA44" s="17"/>
      <c r="BB44" s="830"/>
      <c r="BC44" s="717">
        <f t="shared" si="15"/>
        <v>849.30799999999999</v>
      </c>
      <c r="BD44" s="831"/>
      <c r="BE44" s="645">
        <f t="shared" si="16"/>
        <v>1299.1659999999999</v>
      </c>
      <c r="BF44" s="1844"/>
      <c r="BG44" s="35">
        <f t="shared" si="17"/>
        <v>4458.683</v>
      </c>
      <c r="BH44" s="23"/>
      <c r="BI44" s="23"/>
      <c r="BJ44" s="23"/>
      <c r="BK44" s="1111"/>
    </row>
    <row r="45" spans="1:68" x14ac:dyDescent="0.3">
      <c r="B45" s="990" t="s">
        <v>813</v>
      </c>
      <c r="C45" s="2546" t="s">
        <v>901</v>
      </c>
      <c r="D45" s="2547">
        <v>107.32</v>
      </c>
      <c r="E45" s="1277" t="s">
        <v>50</v>
      </c>
      <c r="F45" s="1822"/>
      <c r="G45" s="17"/>
      <c r="H45" s="1822"/>
      <c r="I45" s="17"/>
      <c r="J45" s="1827"/>
      <c r="K45" s="4119">
        <f t="shared" si="3"/>
        <v>0</v>
      </c>
      <c r="L45" s="1822"/>
      <c r="M45" s="17">
        <v>432.12599999999998</v>
      </c>
      <c r="N45" s="1836"/>
      <c r="O45" s="65">
        <f t="shared" si="4"/>
        <v>432.12599999999998</v>
      </c>
      <c r="P45" s="1822"/>
      <c r="Q45" s="17">
        <v>157.137</v>
      </c>
      <c r="R45" s="1844"/>
      <c r="S45" s="35">
        <f t="shared" si="5"/>
        <v>589.26299999999992</v>
      </c>
      <c r="T45" s="1822"/>
      <c r="U45" s="17"/>
      <c r="V45" s="1844"/>
      <c r="W45" s="35">
        <f t="shared" si="6"/>
        <v>589.26299999999992</v>
      </c>
      <c r="X45" s="1822"/>
      <c r="Y45" s="17"/>
      <c r="Z45" s="830"/>
      <c r="AA45" s="717">
        <f t="shared" si="7"/>
        <v>157.137</v>
      </c>
      <c r="AB45" s="3614"/>
      <c r="AC45" s="429">
        <f t="shared" si="8"/>
        <v>589.26299999999992</v>
      </c>
      <c r="AD45" s="1822"/>
      <c r="AE45" s="17"/>
      <c r="AF45" s="1844"/>
      <c r="AG45" s="35">
        <f t="shared" si="9"/>
        <v>589.26299999999992</v>
      </c>
      <c r="AH45" s="1822"/>
      <c r="AI45" s="17"/>
      <c r="AJ45" s="1844"/>
      <c r="AK45" s="35">
        <f t="shared" si="10"/>
        <v>589.26299999999992</v>
      </c>
      <c r="AL45" s="1822"/>
      <c r="AM45" s="17"/>
      <c r="AN45" s="830"/>
      <c r="AO45" s="717">
        <f t="shared" si="11"/>
        <v>0</v>
      </c>
      <c r="AP45" s="1844"/>
      <c r="AQ45" s="35">
        <f t="shared" si="12"/>
        <v>589.26299999999992</v>
      </c>
      <c r="AR45" s="1822"/>
      <c r="AS45" s="17"/>
      <c r="AT45" s="1844"/>
      <c r="AU45" s="35">
        <f t="shared" si="13"/>
        <v>589.26299999999992</v>
      </c>
      <c r="AV45" s="1822"/>
      <c r="AW45" s="17"/>
      <c r="AX45" s="1844"/>
      <c r="AY45" s="35">
        <f t="shared" si="14"/>
        <v>589.26299999999992</v>
      </c>
      <c r="AZ45" s="1822"/>
      <c r="BA45" s="17"/>
      <c r="BB45" s="830"/>
      <c r="BC45" s="717">
        <f t="shared" si="15"/>
        <v>0</v>
      </c>
      <c r="BD45" s="831"/>
      <c r="BE45" s="645">
        <f t="shared" si="16"/>
        <v>0</v>
      </c>
      <c r="BF45" s="1844"/>
      <c r="BG45" s="35">
        <f t="shared" si="17"/>
        <v>589.26299999999992</v>
      </c>
      <c r="BH45" s="23"/>
      <c r="BI45" s="23"/>
      <c r="BJ45" s="23"/>
      <c r="BK45" s="1111"/>
    </row>
    <row r="46" spans="1:68" ht="15" customHeight="1" x14ac:dyDescent="0.3">
      <c r="A46" s="137"/>
      <c r="B46" s="990" t="s">
        <v>813</v>
      </c>
      <c r="C46" s="2546" t="s">
        <v>966</v>
      </c>
      <c r="D46" s="2547">
        <v>107.31</v>
      </c>
      <c r="E46" s="1277" t="s">
        <v>50</v>
      </c>
      <c r="F46" s="1822"/>
      <c r="G46" s="17"/>
      <c r="H46" s="1822"/>
      <c r="I46" s="17"/>
      <c r="J46" s="1827"/>
      <c r="K46" s="4119">
        <f t="shared" si="3"/>
        <v>0</v>
      </c>
      <c r="L46" s="1822"/>
      <c r="M46" s="17"/>
      <c r="N46" s="1836"/>
      <c r="O46" s="65">
        <f t="shared" si="4"/>
        <v>0</v>
      </c>
      <c r="P46" s="1822"/>
      <c r="Q46" s="17"/>
      <c r="R46" s="1844"/>
      <c r="S46" s="35">
        <f t="shared" si="5"/>
        <v>0</v>
      </c>
      <c r="T46" s="1822"/>
      <c r="U46" s="17"/>
      <c r="V46" s="1844"/>
      <c r="W46" s="35">
        <f t="shared" si="6"/>
        <v>0</v>
      </c>
      <c r="X46" s="1822"/>
      <c r="Y46" s="17"/>
      <c r="Z46" s="830"/>
      <c r="AA46" s="717">
        <f t="shared" si="7"/>
        <v>0</v>
      </c>
      <c r="AB46" s="3614"/>
      <c r="AC46" s="429">
        <f t="shared" si="8"/>
        <v>0</v>
      </c>
      <c r="AD46" s="1822"/>
      <c r="AE46" s="17"/>
      <c r="AF46" s="1844"/>
      <c r="AG46" s="35">
        <f t="shared" si="9"/>
        <v>0</v>
      </c>
      <c r="AH46" s="1822"/>
      <c r="AI46" s="17"/>
      <c r="AJ46" s="1844"/>
      <c r="AK46" s="35">
        <f t="shared" si="10"/>
        <v>0</v>
      </c>
      <c r="AL46" s="1822"/>
      <c r="AM46" s="17"/>
      <c r="AN46" s="830"/>
      <c r="AO46" s="717">
        <f t="shared" si="11"/>
        <v>0</v>
      </c>
      <c r="AP46" s="1844"/>
      <c r="AQ46" s="35">
        <f t="shared" si="12"/>
        <v>0</v>
      </c>
      <c r="AR46" s="1822"/>
      <c r="AS46" s="17"/>
      <c r="AT46" s="1844"/>
      <c r="AU46" s="35">
        <f t="shared" si="13"/>
        <v>0</v>
      </c>
      <c r="AV46" s="1822"/>
      <c r="AW46" s="17"/>
      <c r="AX46" s="1844"/>
      <c r="AY46" s="35">
        <f t="shared" si="14"/>
        <v>0</v>
      </c>
      <c r="AZ46" s="1822"/>
      <c r="BA46" s="17"/>
      <c r="BB46" s="830"/>
      <c r="BC46" s="717">
        <f t="shared" si="15"/>
        <v>0</v>
      </c>
      <c r="BD46" s="831"/>
      <c r="BE46" s="645">
        <f t="shared" si="16"/>
        <v>0</v>
      </c>
      <c r="BF46" s="1844"/>
      <c r="BG46" s="35">
        <f t="shared" si="17"/>
        <v>0</v>
      </c>
      <c r="BH46" s="23"/>
      <c r="BI46" s="23"/>
      <c r="BJ46" s="23"/>
      <c r="BK46" s="1111"/>
    </row>
    <row r="47" spans="1:68" ht="15" customHeight="1" thickBot="1" x14ac:dyDescent="0.35">
      <c r="B47" s="990" t="s">
        <v>813</v>
      </c>
      <c r="C47" s="2546" t="s">
        <v>966</v>
      </c>
      <c r="D47" s="2547">
        <v>107.32</v>
      </c>
      <c r="E47" s="1277" t="s">
        <v>50</v>
      </c>
      <c r="F47" s="1822"/>
      <c r="G47" s="17"/>
      <c r="H47" s="1822"/>
      <c r="I47" s="17"/>
      <c r="J47" s="1827"/>
      <c r="K47" s="4119">
        <f t="shared" si="3"/>
        <v>0</v>
      </c>
      <c r="L47" s="1822"/>
      <c r="M47" s="17">
        <v>265.75700000000001</v>
      </c>
      <c r="N47" s="1836"/>
      <c r="O47" s="65">
        <f t="shared" si="4"/>
        <v>265.75700000000001</v>
      </c>
      <c r="P47" s="1822"/>
      <c r="Q47" s="17">
        <v>487.12199999999996</v>
      </c>
      <c r="R47" s="1844"/>
      <c r="S47" s="35">
        <f t="shared" si="5"/>
        <v>752.87899999999991</v>
      </c>
      <c r="T47" s="1822"/>
      <c r="U47" s="17">
        <v>172.876</v>
      </c>
      <c r="V47" s="1844"/>
      <c r="W47" s="35">
        <f t="shared" si="6"/>
        <v>925.75499999999988</v>
      </c>
      <c r="X47" s="1822"/>
      <c r="Y47" s="17">
        <v>290.64499999999998</v>
      </c>
      <c r="Z47" s="2548"/>
      <c r="AA47" s="717">
        <f t="shared" si="7"/>
        <v>950.64299999999992</v>
      </c>
      <c r="AB47" s="3615"/>
      <c r="AC47" s="429">
        <f t="shared" si="8"/>
        <v>1216.3999999999999</v>
      </c>
      <c r="AD47" s="1822"/>
      <c r="AE47" s="17"/>
      <c r="AF47" s="1844"/>
      <c r="AG47" s="35">
        <f t="shared" si="9"/>
        <v>1216.3999999999999</v>
      </c>
      <c r="AH47" s="1822"/>
      <c r="AI47" s="17">
        <v>219.947</v>
      </c>
      <c r="AJ47" s="1844"/>
      <c r="AK47" s="35">
        <f t="shared" si="10"/>
        <v>1436.3469999999998</v>
      </c>
      <c r="AL47" s="1822"/>
      <c r="AM47" s="17">
        <v>285.90800000000002</v>
      </c>
      <c r="AN47" s="2548"/>
      <c r="AO47" s="717">
        <f t="shared" si="11"/>
        <v>505.85500000000002</v>
      </c>
      <c r="AP47" s="1844"/>
      <c r="AQ47" s="35">
        <f t="shared" si="12"/>
        <v>1722.2549999999997</v>
      </c>
      <c r="AR47" s="1822"/>
      <c r="AS47" s="17"/>
      <c r="AT47" s="1844"/>
      <c r="AU47" s="35">
        <f t="shared" si="13"/>
        <v>1722.2549999999997</v>
      </c>
      <c r="AV47" s="1822"/>
      <c r="AW47" s="17"/>
      <c r="AX47" s="1844"/>
      <c r="AY47" s="35">
        <f t="shared" si="14"/>
        <v>1722.2549999999997</v>
      </c>
      <c r="AZ47" s="1822"/>
      <c r="BA47" s="17"/>
      <c r="BB47" s="2548"/>
      <c r="BC47" s="717">
        <f t="shared" si="15"/>
        <v>0</v>
      </c>
      <c r="BD47" s="2549"/>
      <c r="BE47" s="645">
        <f t="shared" si="16"/>
        <v>505.85500000000002</v>
      </c>
      <c r="BF47" s="1844"/>
      <c r="BG47" s="35">
        <f t="shared" si="17"/>
        <v>1722.2549999999997</v>
      </c>
      <c r="BH47" s="23"/>
      <c r="BI47" s="23"/>
      <c r="BJ47" s="23"/>
      <c r="BK47" s="1111"/>
    </row>
    <row r="48" spans="1:68" ht="15" customHeight="1" x14ac:dyDescent="0.3">
      <c r="B48" s="2734" t="s">
        <v>814</v>
      </c>
      <c r="C48" s="2735" t="s">
        <v>966</v>
      </c>
      <c r="D48" s="2745">
        <v>107.57</v>
      </c>
      <c r="E48" s="1216" t="s">
        <v>50</v>
      </c>
      <c r="F48" s="2737"/>
      <c r="G48" s="83"/>
      <c r="H48" s="2737"/>
      <c r="I48" s="83"/>
      <c r="J48" s="2738"/>
      <c r="K48" s="4119">
        <f t="shared" si="3"/>
        <v>0</v>
      </c>
      <c r="L48" s="2737"/>
      <c r="M48" s="83">
        <v>1189.4670000000001</v>
      </c>
      <c r="N48" s="1836"/>
      <c r="O48" s="65">
        <f t="shared" si="4"/>
        <v>1189.4670000000001</v>
      </c>
      <c r="P48" s="2737"/>
      <c r="Q48" s="83">
        <v>1186.8310000000001</v>
      </c>
      <c r="R48" s="1844"/>
      <c r="S48" s="35">
        <f t="shared" si="5"/>
        <v>2376.2980000000002</v>
      </c>
      <c r="T48" s="2737"/>
      <c r="U48" s="83"/>
      <c r="V48" s="1844"/>
      <c r="W48" s="35">
        <f t="shared" si="6"/>
        <v>2376.2980000000002</v>
      </c>
      <c r="X48" s="2737"/>
      <c r="Y48" s="83"/>
      <c r="Z48" s="2247"/>
      <c r="AA48" s="717">
        <f t="shared" si="7"/>
        <v>1186.8310000000001</v>
      </c>
      <c r="AB48" s="3616"/>
      <c r="AC48" s="429">
        <f t="shared" si="8"/>
        <v>2376.2980000000002</v>
      </c>
      <c r="AD48" s="2737"/>
      <c r="AE48" s="83">
        <v>285.798</v>
      </c>
      <c r="AF48" s="1844"/>
      <c r="AG48" s="35">
        <f t="shared" si="9"/>
        <v>2662.0960000000005</v>
      </c>
      <c r="AH48" s="2737"/>
      <c r="AI48" s="83">
        <v>746.78899999999999</v>
      </c>
      <c r="AJ48" s="1844"/>
      <c r="AK48" s="35">
        <f t="shared" si="10"/>
        <v>3408.8850000000002</v>
      </c>
      <c r="AL48" s="2737"/>
      <c r="AM48" s="83"/>
      <c r="AN48" s="2247"/>
      <c r="AO48" s="717">
        <f t="shared" si="11"/>
        <v>1032.587</v>
      </c>
      <c r="AP48" s="1844"/>
      <c r="AQ48" s="35">
        <f t="shared" si="12"/>
        <v>3408.8850000000002</v>
      </c>
      <c r="AR48" s="2737"/>
      <c r="AS48" s="83"/>
      <c r="AT48" s="1844"/>
      <c r="AU48" s="35">
        <f t="shared" si="13"/>
        <v>3408.8850000000002</v>
      </c>
      <c r="AV48" s="2737"/>
      <c r="AW48" s="83">
        <v>932.22500000000002</v>
      </c>
      <c r="AX48" s="1844"/>
      <c r="AY48" s="35">
        <f t="shared" si="14"/>
        <v>4341.1100000000006</v>
      </c>
      <c r="AZ48" s="2737"/>
      <c r="BA48" s="83">
        <v>202.82400000000001</v>
      </c>
      <c r="BB48" s="2247"/>
      <c r="BC48" s="717">
        <f t="shared" si="15"/>
        <v>1135.049</v>
      </c>
      <c r="BD48" s="2251"/>
      <c r="BE48" s="645">
        <f t="shared" si="16"/>
        <v>2167.636</v>
      </c>
      <c r="BF48" s="1844"/>
      <c r="BG48" s="35">
        <f t="shared" si="17"/>
        <v>4543.9340000000002</v>
      </c>
      <c r="BH48" s="23"/>
      <c r="BI48" s="23"/>
      <c r="BJ48" s="23"/>
      <c r="BK48" s="1111"/>
    </row>
    <row r="49" spans="2:67" ht="15" customHeight="1" x14ac:dyDescent="0.3">
      <c r="B49" s="990" t="s">
        <v>814</v>
      </c>
      <c r="C49" s="2546" t="s">
        <v>901</v>
      </c>
      <c r="D49" s="2744">
        <v>107.57</v>
      </c>
      <c r="E49" s="1277" t="s">
        <v>50</v>
      </c>
      <c r="F49" s="1822"/>
      <c r="G49" s="17"/>
      <c r="H49" s="1822"/>
      <c r="I49" s="17"/>
      <c r="J49" s="1827"/>
      <c r="K49" s="4119">
        <f t="shared" si="3"/>
        <v>0</v>
      </c>
      <c r="L49" s="1822"/>
      <c r="M49" s="17">
        <v>562.46300000000008</v>
      </c>
      <c r="N49" s="1836"/>
      <c r="O49" s="65">
        <f t="shared" si="4"/>
        <v>562.46300000000008</v>
      </c>
      <c r="P49" s="1822"/>
      <c r="Q49" s="17">
        <v>359.55200000000002</v>
      </c>
      <c r="R49" s="1844"/>
      <c r="S49" s="35">
        <f t="shared" si="5"/>
        <v>922.0150000000001</v>
      </c>
      <c r="T49" s="1822"/>
      <c r="U49" s="17"/>
      <c r="V49" s="1844"/>
      <c r="W49" s="35">
        <f t="shared" si="6"/>
        <v>922.0150000000001</v>
      </c>
      <c r="X49" s="1822"/>
      <c r="Y49" s="17"/>
      <c r="Z49" s="830"/>
      <c r="AA49" s="717">
        <f t="shared" si="7"/>
        <v>359.55200000000002</v>
      </c>
      <c r="AB49" s="3614"/>
      <c r="AC49" s="429">
        <f t="shared" si="8"/>
        <v>922.0150000000001</v>
      </c>
      <c r="AD49" s="1822"/>
      <c r="AE49" s="17">
        <v>221.26299999999998</v>
      </c>
      <c r="AF49" s="1844"/>
      <c r="AG49" s="35">
        <f t="shared" si="9"/>
        <v>1143.278</v>
      </c>
      <c r="AH49" s="1822"/>
      <c r="AI49" s="17"/>
      <c r="AJ49" s="1844"/>
      <c r="AK49" s="35">
        <f t="shared" si="10"/>
        <v>1143.278</v>
      </c>
      <c r="AL49" s="1822"/>
      <c r="AM49" s="17"/>
      <c r="AN49" s="830"/>
      <c r="AO49" s="717">
        <f t="shared" si="11"/>
        <v>221.26299999999998</v>
      </c>
      <c r="AP49" s="1844"/>
      <c r="AQ49" s="35">
        <f t="shared" si="12"/>
        <v>1143.278</v>
      </c>
      <c r="AR49" s="1822"/>
      <c r="AS49" s="17"/>
      <c r="AT49" s="1844"/>
      <c r="AU49" s="35">
        <f t="shared" si="13"/>
        <v>1143.278</v>
      </c>
      <c r="AV49" s="1822"/>
      <c r="AW49" s="17"/>
      <c r="AX49" s="1844"/>
      <c r="AY49" s="35">
        <f t="shared" si="14"/>
        <v>1143.278</v>
      </c>
      <c r="AZ49" s="1822"/>
      <c r="BA49" s="17"/>
      <c r="BB49" s="830"/>
      <c r="BC49" s="717">
        <f t="shared" si="15"/>
        <v>0</v>
      </c>
      <c r="BD49" s="831"/>
      <c r="BE49" s="645">
        <f t="shared" si="16"/>
        <v>221.26299999999998</v>
      </c>
      <c r="BF49" s="1844"/>
      <c r="BG49" s="35">
        <f t="shared" si="17"/>
        <v>1143.278</v>
      </c>
      <c r="BH49" s="23"/>
      <c r="BI49" s="23"/>
      <c r="BJ49" s="23"/>
      <c r="BK49" s="1111"/>
    </row>
    <row r="50" spans="2:67" ht="15" customHeight="1" x14ac:dyDescent="0.3">
      <c r="B50" s="4443" t="s">
        <v>814</v>
      </c>
      <c r="C50" s="4444" t="s">
        <v>1536</v>
      </c>
      <c r="D50" s="4445">
        <v>107.57</v>
      </c>
      <c r="E50" s="4446" t="s">
        <v>50</v>
      </c>
      <c r="F50" s="4447"/>
      <c r="G50" s="4448"/>
      <c r="H50" s="4447"/>
      <c r="I50" s="4448"/>
      <c r="J50" s="4449"/>
      <c r="K50" s="4119">
        <f t="shared" si="3"/>
        <v>0</v>
      </c>
      <c r="L50" s="4447"/>
      <c r="M50" s="4448">
        <v>414.93200000000002</v>
      </c>
      <c r="N50" s="4436"/>
      <c r="O50" s="65">
        <f t="shared" si="4"/>
        <v>414.93200000000002</v>
      </c>
      <c r="P50" s="4447"/>
      <c r="Q50" s="4448">
        <v>560.03899999999999</v>
      </c>
      <c r="R50" s="4437"/>
      <c r="S50" s="35">
        <f t="shared" si="5"/>
        <v>974.971</v>
      </c>
      <c r="T50" s="4447"/>
      <c r="U50" s="4448"/>
      <c r="V50" s="4437"/>
      <c r="W50" s="35">
        <f t="shared" si="6"/>
        <v>974.971</v>
      </c>
      <c r="X50" s="4447"/>
      <c r="Y50" s="4448"/>
      <c r="Z50" s="4426"/>
      <c r="AA50" s="717">
        <f t="shared" si="7"/>
        <v>560.03899999999999</v>
      </c>
      <c r="AB50" s="4438"/>
      <c r="AC50" s="429">
        <f t="shared" si="8"/>
        <v>974.971</v>
      </c>
      <c r="AD50" s="4447"/>
      <c r="AE50" s="4448">
        <v>1244.6099999999999</v>
      </c>
      <c r="AF50" s="4437"/>
      <c r="AG50" s="35">
        <f t="shared" si="9"/>
        <v>2219.5810000000001</v>
      </c>
      <c r="AH50" s="4447"/>
      <c r="AI50" s="4448"/>
      <c r="AJ50" s="4437"/>
      <c r="AK50" s="35">
        <f t="shared" si="10"/>
        <v>2219.5810000000001</v>
      </c>
      <c r="AL50" s="4447"/>
      <c r="AM50" s="4448"/>
      <c r="AN50" s="4426"/>
      <c r="AO50" s="717">
        <f t="shared" si="11"/>
        <v>1244.6099999999999</v>
      </c>
      <c r="AP50" s="4437"/>
      <c r="AQ50" s="35">
        <f t="shared" si="12"/>
        <v>2219.5810000000001</v>
      </c>
      <c r="AR50" s="4447"/>
      <c r="AS50" s="4448"/>
      <c r="AT50" s="4437"/>
      <c r="AU50" s="4063">
        <f t="shared" si="13"/>
        <v>2219.5810000000001</v>
      </c>
      <c r="AV50" s="4447"/>
      <c r="AW50" s="4448"/>
      <c r="AX50" s="4437"/>
      <c r="AY50" s="35">
        <f t="shared" si="14"/>
        <v>2219.5810000000001</v>
      </c>
      <c r="AZ50" s="4447"/>
      <c r="BA50" s="4448">
        <v>156.90700000000001</v>
      </c>
      <c r="BB50" s="4426"/>
      <c r="BC50" s="717">
        <f t="shared" si="15"/>
        <v>156.90700000000001</v>
      </c>
      <c r="BD50" s="4440"/>
      <c r="BE50" s="645">
        <f t="shared" si="16"/>
        <v>1401.5169999999998</v>
      </c>
      <c r="BF50" s="4437"/>
      <c r="BG50" s="35">
        <f t="shared" si="17"/>
        <v>2376.4880000000003</v>
      </c>
      <c r="BH50" s="23"/>
      <c r="BI50" s="23"/>
      <c r="BJ50" s="23"/>
      <c r="BK50" s="1111"/>
    </row>
    <row r="51" spans="2:67" x14ac:dyDescent="0.3">
      <c r="B51" s="990" t="s">
        <v>814</v>
      </c>
      <c r="C51" s="2546" t="s">
        <v>966</v>
      </c>
      <c r="D51" s="2744">
        <v>122.45</v>
      </c>
      <c r="E51" s="1277" t="s">
        <v>50</v>
      </c>
      <c r="F51" s="1822"/>
      <c r="G51" s="17">
        <v>7884.1470000000027</v>
      </c>
      <c r="H51" s="1822"/>
      <c r="I51" s="17">
        <v>7.5189999999999992</v>
      </c>
      <c r="J51" s="1827"/>
      <c r="K51" s="4119">
        <f t="shared" si="3"/>
        <v>7891.6660000000029</v>
      </c>
      <c r="L51" s="1822"/>
      <c r="M51" s="17">
        <v>5188.1899999999996</v>
      </c>
      <c r="N51" s="1836"/>
      <c r="O51" s="65">
        <f t="shared" si="4"/>
        <v>13079.856000000003</v>
      </c>
      <c r="P51" s="1822"/>
      <c r="Q51" s="17">
        <v>3564.9350000000004</v>
      </c>
      <c r="R51" s="1844"/>
      <c r="S51" s="35">
        <f t="shared" si="5"/>
        <v>16644.791000000005</v>
      </c>
      <c r="T51" s="1822"/>
      <c r="U51" s="17">
        <v>4417.7129999999988</v>
      </c>
      <c r="V51" s="1844"/>
      <c r="W51" s="35">
        <f t="shared" si="6"/>
        <v>21062.504000000004</v>
      </c>
      <c r="X51" s="1822"/>
      <c r="Y51" s="17">
        <v>3831.5859999999998</v>
      </c>
      <c r="Z51" s="830"/>
      <c r="AA51" s="717">
        <f t="shared" si="7"/>
        <v>11814.233999999999</v>
      </c>
      <c r="AB51" s="3614"/>
      <c r="AC51" s="429">
        <f t="shared" si="8"/>
        <v>24894.090000000004</v>
      </c>
      <c r="AD51" s="1822"/>
      <c r="AE51" s="17">
        <v>1555.4109999999996</v>
      </c>
      <c r="AF51" s="1844"/>
      <c r="AG51" s="35">
        <f t="shared" si="9"/>
        <v>26449.501000000004</v>
      </c>
      <c r="AH51" s="1822"/>
      <c r="AI51" s="17">
        <v>4980.9279999999999</v>
      </c>
      <c r="AJ51" s="1844"/>
      <c r="AK51" s="35">
        <f t="shared" si="10"/>
        <v>31430.429000000004</v>
      </c>
      <c r="AL51" s="1822"/>
      <c r="AM51" s="17">
        <v>5542.5880000000006</v>
      </c>
      <c r="AN51" s="830"/>
      <c r="AO51" s="717">
        <f t="shared" si="11"/>
        <v>12078.927</v>
      </c>
      <c r="AP51" s="1844"/>
      <c r="AQ51" s="35">
        <f t="shared" si="12"/>
        <v>36973.017000000007</v>
      </c>
      <c r="AR51" s="1822"/>
      <c r="AS51" s="17">
        <v>1855.961</v>
      </c>
      <c r="AT51" s="1844"/>
      <c r="AU51" s="35">
        <f t="shared" si="13"/>
        <v>38828.97800000001</v>
      </c>
      <c r="AV51" s="1822"/>
      <c r="AW51" s="17">
        <v>5896.8679999999977</v>
      </c>
      <c r="AX51" s="1844"/>
      <c r="AY51" s="35">
        <f t="shared" si="14"/>
        <v>44725.846000000005</v>
      </c>
      <c r="AZ51" s="1822"/>
      <c r="BA51" s="17">
        <v>11954.937999999993</v>
      </c>
      <c r="BB51" s="830"/>
      <c r="BC51" s="717">
        <f t="shared" si="15"/>
        <v>19707.766999999993</v>
      </c>
      <c r="BD51" s="831"/>
      <c r="BE51" s="645">
        <f t="shared" si="16"/>
        <v>31786.693999999992</v>
      </c>
      <c r="BF51" s="1844"/>
      <c r="BG51" s="35">
        <f t="shared" si="17"/>
        <v>56680.784</v>
      </c>
      <c r="BH51" s="23"/>
      <c r="BI51" s="23"/>
      <c r="BJ51" s="23"/>
      <c r="BK51" s="1111"/>
    </row>
    <row r="52" spans="2:67" ht="15" customHeight="1" x14ac:dyDescent="0.3">
      <c r="B52" s="990" t="s">
        <v>1547</v>
      </c>
      <c r="C52" s="2546" t="s">
        <v>1291</v>
      </c>
      <c r="D52" s="2547">
        <v>122.45</v>
      </c>
      <c r="E52" s="1277" t="s">
        <v>50</v>
      </c>
      <c r="F52" s="1822"/>
      <c r="G52" s="17"/>
      <c r="H52" s="1822"/>
      <c r="I52" s="17"/>
      <c r="J52" s="1827"/>
      <c r="K52" s="4119">
        <f t="shared" si="3"/>
        <v>0</v>
      </c>
      <c r="L52" s="1822"/>
      <c r="M52" s="17">
        <v>146.47999999999999</v>
      </c>
      <c r="N52" s="1836"/>
      <c r="O52" s="65">
        <f t="shared" si="4"/>
        <v>146.47999999999999</v>
      </c>
      <c r="P52" s="1822"/>
      <c r="Q52" s="17">
        <v>281.392</v>
      </c>
      <c r="R52" s="1844"/>
      <c r="S52" s="35">
        <f t="shared" si="5"/>
        <v>427.87199999999996</v>
      </c>
      <c r="T52" s="1822"/>
      <c r="U52" s="17"/>
      <c r="V52" s="1844"/>
      <c r="W52" s="35">
        <f t="shared" si="6"/>
        <v>427.87199999999996</v>
      </c>
      <c r="X52" s="1822"/>
      <c r="Y52" s="17"/>
      <c r="Z52" s="830"/>
      <c r="AA52" s="717">
        <f t="shared" si="7"/>
        <v>281.392</v>
      </c>
      <c r="AB52" s="3614"/>
      <c r="AC52" s="429">
        <f t="shared" si="8"/>
        <v>427.87199999999996</v>
      </c>
      <c r="AD52" s="1822"/>
      <c r="AE52" s="17">
        <v>215.73599999999999</v>
      </c>
      <c r="AF52" s="1844"/>
      <c r="AG52" s="35">
        <f t="shared" si="9"/>
        <v>643.60799999999995</v>
      </c>
      <c r="AH52" s="1822"/>
      <c r="AI52" s="17"/>
      <c r="AJ52" s="1844"/>
      <c r="AK52" s="35">
        <f t="shared" si="10"/>
        <v>643.60799999999995</v>
      </c>
      <c r="AL52" s="1822"/>
      <c r="AM52" s="17"/>
      <c r="AN52" s="830"/>
      <c r="AO52" s="717">
        <f t="shared" si="11"/>
        <v>215.73599999999999</v>
      </c>
      <c r="AP52" s="1844"/>
      <c r="AQ52" s="35">
        <f t="shared" si="12"/>
        <v>643.60799999999995</v>
      </c>
      <c r="AR52" s="1822"/>
      <c r="AS52" s="17">
        <v>909.96100000000001</v>
      </c>
      <c r="AT52" s="1844"/>
      <c r="AU52" s="35">
        <f t="shared" si="13"/>
        <v>1553.569</v>
      </c>
      <c r="AV52" s="1822"/>
      <c r="AW52" s="17"/>
      <c r="AX52" s="1844"/>
      <c r="AY52" s="35">
        <f t="shared" si="14"/>
        <v>1553.569</v>
      </c>
      <c r="AZ52" s="1822"/>
      <c r="BA52" s="17"/>
      <c r="BB52" s="830"/>
      <c r="BC52" s="717">
        <f t="shared" si="15"/>
        <v>909.96100000000001</v>
      </c>
      <c r="BD52" s="831"/>
      <c r="BE52" s="645">
        <f t="shared" si="16"/>
        <v>1125.6970000000001</v>
      </c>
      <c r="BF52" s="1844"/>
      <c r="BG52" s="35">
        <f t="shared" si="17"/>
        <v>1553.569</v>
      </c>
      <c r="BH52" s="23"/>
      <c r="BI52" s="23"/>
      <c r="BJ52" s="23"/>
      <c r="BK52" s="1111"/>
    </row>
    <row r="53" spans="2:67" ht="15" customHeight="1" x14ac:dyDescent="0.3">
      <c r="B53" s="990" t="s">
        <v>814</v>
      </c>
      <c r="C53" s="2546" t="s">
        <v>901</v>
      </c>
      <c r="D53" s="2547">
        <v>122.45</v>
      </c>
      <c r="E53" s="1277" t="s">
        <v>50</v>
      </c>
      <c r="F53" s="1822"/>
      <c r="G53" s="17">
        <v>493.84399999999999</v>
      </c>
      <c r="H53" s="1822"/>
      <c r="I53" s="17"/>
      <c r="J53" s="1827"/>
      <c r="K53" s="4119">
        <f t="shared" si="3"/>
        <v>493.84399999999999</v>
      </c>
      <c r="L53" s="1822"/>
      <c r="M53" s="17">
        <v>1387.52</v>
      </c>
      <c r="N53" s="1836"/>
      <c r="O53" s="65">
        <f t="shared" si="4"/>
        <v>1881.364</v>
      </c>
      <c r="P53" s="1822"/>
      <c r="Q53" s="17">
        <v>1353.086</v>
      </c>
      <c r="R53" s="1844"/>
      <c r="S53" s="35">
        <f t="shared" si="5"/>
        <v>3234.45</v>
      </c>
      <c r="T53" s="1822"/>
      <c r="U53" s="17">
        <v>431.04700000000003</v>
      </c>
      <c r="V53" s="1844"/>
      <c r="W53" s="35">
        <f t="shared" si="6"/>
        <v>3665.4969999999998</v>
      </c>
      <c r="X53" s="1822"/>
      <c r="Y53" s="17"/>
      <c r="Z53" s="830"/>
      <c r="AA53" s="717">
        <f t="shared" si="7"/>
        <v>1784.133</v>
      </c>
      <c r="AB53" s="3614"/>
      <c r="AC53" s="429">
        <f t="shared" si="8"/>
        <v>3665.4970000000003</v>
      </c>
      <c r="AD53" s="1822"/>
      <c r="AE53" s="17">
        <v>278.83000000000004</v>
      </c>
      <c r="AF53" s="1844"/>
      <c r="AG53" s="35">
        <f t="shared" si="9"/>
        <v>3944.3270000000002</v>
      </c>
      <c r="AH53" s="1822"/>
      <c r="AI53" s="17"/>
      <c r="AJ53" s="1844"/>
      <c r="AK53" s="35">
        <f t="shared" si="10"/>
        <v>3944.3270000000002</v>
      </c>
      <c r="AL53" s="1822"/>
      <c r="AM53" s="17"/>
      <c r="AN53" s="830"/>
      <c r="AO53" s="717">
        <f t="shared" si="11"/>
        <v>278.83000000000004</v>
      </c>
      <c r="AP53" s="1844"/>
      <c r="AQ53" s="35">
        <f t="shared" si="12"/>
        <v>3944.3270000000002</v>
      </c>
      <c r="AR53" s="1822"/>
      <c r="AS53" s="17"/>
      <c r="AT53" s="1844"/>
      <c r="AU53" s="35">
        <f t="shared" si="13"/>
        <v>3944.3270000000002</v>
      </c>
      <c r="AV53" s="1822"/>
      <c r="AW53" s="17">
        <v>1089.6470000000002</v>
      </c>
      <c r="AX53" s="1844"/>
      <c r="AY53" s="35">
        <f t="shared" si="14"/>
        <v>5033.9740000000002</v>
      </c>
      <c r="AZ53" s="1822"/>
      <c r="BA53" s="17">
        <v>601.59099999999989</v>
      </c>
      <c r="BB53" s="830"/>
      <c r="BC53" s="717">
        <f t="shared" si="15"/>
        <v>1691.2380000000001</v>
      </c>
      <c r="BD53" s="831"/>
      <c r="BE53" s="645">
        <f t="shared" si="16"/>
        <v>1970.0680000000002</v>
      </c>
      <c r="BF53" s="1844"/>
      <c r="BG53" s="35">
        <f t="shared" si="17"/>
        <v>5635.5650000000005</v>
      </c>
      <c r="BH53" s="23"/>
      <c r="BI53" s="23"/>
      <c r="BJ53" s="23"/>
      <c r="BK53" s="1111"/>
    </row>
    <row r="54" spans="2:67" x14ac:dyDescent="0.3">
      <c r="B54" s="990" t="s">
        <v>814</v>
      </c>
      <c r="C54" s="2546" t="s">
        <v>1536</v>
      </c>
      <c r="D54" s="2547">
        <v>122.45</v>
      </c>
      <c r="E54" s="1277" t="s">
        <v>50</v>
      </c>
      <c r="F54" s="1822"/>
      <c r="G54" s="17"/>
      <c r="H54" s="1822"/>
      <c r="I54" s="17"/>
      <c r="J54" s="1827"/>
      <c r="K54" s="4119">
        <f t="shared" si="3"/>
        <v>0</v>
      </c>
      <c r="L54" s="1822"/>
      <c r="M54" s="17"/>
      <c r="N54" s="1836"/>
      <c r="O54" s="65">
        <f t="shared" si="4"/>
        <v>0</v>
      </c>
      <c r="P54" s="1822"/>
      <c r="Q54" s="17">
        <v>269.37200000000001</v>
      </c>
      <c r="R54" s="1844"/>
      <c r="S54" s="35">
        <f t="shared" si="5"/>
        <v>269.37200000000001</v>
      </c>
      <c r="T54" s="1822"/>
      <c r="U54" s="17"/>
      <c r="V54" s="1844"/>
      <c r="W54" s="35">
        <f t="shared" si="6"/>
        <v>269.37200000000001</v>
      </c>
      <c r="X54" s="1822"/>
      <c r="Y54" s="17"/>
      <c r="Z54" s="830"/>
      <c r="AA54" s="717">
        <f t="shared" si="7"/>
        <v>269.37200000000001</v>
      </c>
      <c r="AB54" s="3614"/>
      <c r="AC54" s="429">
        <f t="shared" si="8"/>
        <v>269.37200000000001</v>
      </c>
      <c r="AD54" s="1822"/>
      <c r="AE54" s="17">
        <v>287.36099999999999</v>
      </c>
      <c r="AF54" s="1844"/>
      <c r="AG54" s="35">
        <f t="shared" si="9"/>
        <v>556.73299999999995</v>
      </c>
      <c r="AH54" s="1822"/>
      <c r="AI54" s="17"/>
      <c r="AJ54" s="1844"/>
      <c r="AK54" s="35">
        <f t="shared" si="10"/>
        <v>556.73299999999995</v>
      </c>
      <c r="AL54" s="1822"/>
      <c r="AM54" s="17">
        <v>134.703</v>
      </c>
      <c r="AN54" s="830"/>
      <c r="AO54" s="717">
        <f t="shared" si="11"/>
        <v>422.06399999999996</v>
      </c>
      <c r="AP54" s="1844"/>
      <c r="AQ54" s="35">
        <f t="shared" si="12"/>
        <v>691.43599999999992</v>
      </c>
      <c r="AR54" s="1822"/>
      <c r="AS54" s="17"/>
      <c r="AT54" s="1844"/>
      <c r="AU54" s="35">
        <f t="shared" si="13"/>
        <v>691.43599999999992</v>
      </c>
      <c r="AV54" s="1822"/>
      <c r="AW54" s="17"/>
      <c r="AX54" s="1844"/>
      <c r="AY54" s="35">
        <f t="shared" si="14"/>
        <v>691.43599999999992</v>
      </c>
      <c r="AZ54" s="1822"/>
      <c r="BA54" s="17"/>
      <c r="BB54" s="830"/>
      <c r="BC54" s="717">
        <f t="shared" si="15"/>
        <v>0</v>
      </c>
      <c r="BD54" s="831"/>
      <c r="BE54" s="645">
        <f t="shared" si="16"/>
        <v>422.06399999999996</v>
      </c>
      <c r="BF54" s="1844"/>
      <c r="BG54" s="35">
        <f t="shared" si="17"/>
        <v>691.43599999999992</v>
      </c>
      <c r="BH54" s="23"/>
      <c r="BI54" s="23"/>
      <c r="BJ54" s="23"/>
      <c r="BK54" s="1111"/>
    </row>
    <row r="55" spans="2:67" ht="15" customHeight="1" x14ac:dyDescent="0.3">
      <c r="B55" s="2730" t="s">
        <v>1547</v>
      </c>
      <c r="C55" s="2546" t="s">
        <v>1537</v>
      </c>
      <c r="D55" s="2731">
        <v>122.45</v>
      </c>
      <c r="E55" s="1291" t="s">
        <v>50</v>
      </c>
      <c r="F55" s="2732"/>
      <c r="G55" s="25"/>
      <c r="H55" s="2732"/>
      <c r="I55" s="25"/>
      <c r="J55" s="2733"/>
      <c r="K55" s="4119">
        <f t="shared" si="3"/>
        <v>0</v>
      </c>
      <c r="L55" s="2732"/>
      <c r="M55" s="25"/>
      <c r="N55" s="1836"/>
      <c r="O55" s="65">
        <f t="shared" si="4"/>
        <v>0</v>
      </c>
      <c r="P55" s="2732"/>
      <c r="Q55" s="25">
        <v>300.69599999999997</v>
      </c>
      <c r="R55" s="1844"/>
      <c r="S55" s="35">
        <f t="shared" si="5"/>
        <v>300.69599999999997</v>
      </c>
      <c r="T55" s="2732"/>
      <c r="U55" s="25">
        <v>792.84600000000012</v>
      </c>
      <c r="V55" s="1844"/>
      <c r="W55" s="35">
        <f t="shared" si="6"/>
        <v>1093.5420000000001</v>
      </c>
      <c r="X55" s="2732"/>
      <c r="Y55" s="25"/>
      <c r="Z55" s="830"/>
      <c r="AA55" s="717">
        <f t="shared" si="7"/>
        <v>1093.5420000000001</v>
      </c>
      <c r="AB55" s="3614"/>
      <c r="AC55" s="429">
        <f t="shared" si="8"/>
        <v>1093.5420000000001</v>
      </c>
      <c r="AD55" s="2732"/>
      <c r="AE55" s="25"/>
      <c r="AF55" s="1844"/>
      <c r="AG55" s="35">
        <f t="shared" si="9"/>
        <v>1093.5420000000001</v>
      </c>
      <c r="AH55" s="2732"/>
      <c r="AI55" s="25"/>
      <c r="AJ55" s="1844"/>
      <c r="AK55" s="35">
        <f t="shared" si="10"/>
        <v>1093.5420000000001</v>
      </c>
      <c r="AL55" s="2732"/>
      <c r="AM55" s="25">
        <f>805.246-1.22</f>
        <v>804.02599999999995</v>
      </c>
      <c r="AN55" s="830"/>
      <c r="AO55" s="717">
        <f t="shared" si="11"/>
        <v>804.02599999999995</v>
      </c>
      <c r="AP55" s="1844"/>
      <c r="AQ55" s="35">
        <f t="shared" si="12"/>
        <v>1897.5680000000002</v>
      </c>
      <c r="AR55" s="2732"/>
      <c r="AS55" s="25"/>
      <c r="AT55" s="1844"/>
      <c r="AU55" s="35">
        <f t="shared" si="13"/>
        <v>1897.5680000000002</v>
      </c>
      <c r="AV55" s="2732"/>
      <c r="AW55" s="25"/>
      <c r="AX55" s="1844"/>
      <c r="AY55" s="35">
        <f t="shared" si="14"/>
        <v>1897.5680000000002</v>
      </c>
      <c r="AZ55" s="2732"/>
      <c r="BA55" s="25"/>
      <c r="BB55" s="830"/>
      <c r="BC55" s="717">
        <f t="shared" si="15"/>
        <v>0</v>
      </c>
      <c r="BD55" s="831"/>
      <c r="BE55" s="645">
        <f t="shared" si="16"/>
        <v>804.02599999999995</v>
      </c>
      <c r="BF55" s="1844"/>
      <c r="BG55" s="35">
        <f t="shared" si="17"/>
        <v>1897.5680000000002</v>
      </c>
      <c r="BH55" s="23"/>
      <c r="BI55" s="23"/>
      <c r="BJ55" s="23"/>
      <c r="BK55" s="1111"/>
    </row>
    <row r="56" spans="2:67" ht="15" customHeight="1" x14ac:dyDescent="0.3">
      <c r="B56" s="990" t="s">
        <v>814</v>
      </c>
      <c r="C56" s="2546" t="s">
        <v>966</v>
      </c>
      <c r="D56" s="2744">
        <v>154.47</v>
      </c>
      <c r="E56" s="1277" t="s">
        <v>50</v>
      </c>
      <c r="F56" s="1822"/>
      <c r="G56" s="17">
        <v>413.07100000000003</v>
      </c>
      <c r="H56" s="1822"/>
      <c r="I56" s="17"/>
      <c r="J56" s="1827"/>
      <c r="K56" s="4119">
        <f t="shared" si="3"/>
        <v>413.07100000000003</v>
      </c>
      <c r="L56" s="1822"/>
      <c r="M56" s="17">
        <v>484.11500000000007</v>
      </c>
      <c r="N56" s="1836"/>
      <c r="O56" s="65">
        <f t="shared" si="4"/>
        <v>897.18600000000015</v>
      </c>
      <c r="P56" s="1822"/>
      <c r="Q56" s="17">
        <v>1501.0829999999999</v>
      </c>
      <c r="R56" s="1844"/>
      <c r="S56" s="35">
        <f t="shared" si="5"/>
        <v>2398.2690000000002</v>
      </c>
      <c r="T56" s="1822"/>
      <c r="U56" s="17">
        <v>333.37399999999997</v>
      </c>
      <c r="V56" s="1844"/>
      <c r="W56" s="35">
        <f t="shared" si="6"/>
        <v>2731.643</v>
      </c>
      <c r="X56" s="1822"/>
      <c r="Y56" s="17"/>
      <c r="Z56" s="830"/>
      <c r="AA56" s="717">
        <f t="shared" si="7"/>
        <v>1834.4569999999999</v>
      </c>
      <c r="AB56" s="3614"/>
      <c r="AC56" s="429">
        <f t="shared" si="8"/>
        <v>2731.643</v>
      </c>
      <c r="AD56" s="1822"/>
      <c r="AE56" s="17">
        <v>628.44400000000007</v>
      </c>
      <c r="AF56" s="1844"/>
      <c r="AG56" s="35">
        <f t="shared" si="9"/>
        <v>3360.087</v>
      </c>
      <c r="AH56" s="1822"/>
      <c r="AI56" s="17"/>
      <c r="AJ56" s="1844"/>
      <c r="AK56" s="35">
        <f t="shared" si="10"/>
        <v>3360.087</v>
      </c>
      <c r="AL56" s="1822"/>
      <c r="AM56" s="17"/>
      <c r="AN56" s="830"/>
      <c r="AO56" s="717">
        <f t="shared" si="11"/>
        <v>628.44400000000007</v>
      </c>
      <c r="AP56" s="1844"/>
      <c r="AQ56" s="35">
        <f t="shared" si="12"/>
        <v>3360.087</v>
      </c>
      <c r="AR56" s="1822"/>
      <c r="AS56" s="17">
        <v>506.57500000000005</v>
      </c>
      <c r="AT56" s="1844"/>
      <c r="AU56" s="35">
        <f t="shared" si="13"/>
        <v>3866.6620000000003</v>
      </c>
      <c r="AV56" s="1822"/>
      <c r="AW56" s="17">
        <v>497.19400000000007</v>
      </c>
      <c r="AX56" s="1844"/>
      <c r="AY56" s="35">
        <f t="shared" si="14"/>
        <v>4363.8560000000007</v>
      </c>
      <c r="AZ56" s="1822"/>
      <c r="BA56" s="17">
        <v>1030.8150000000001</v>
      </c>
      <c r="BB56" s="830"/>
      <c r="BC56" s="717">
        <f t="shared" si="15"/>
        <v>2034.5840000000003</v>
      </c>
      <c r="BD56" s="831"/>
      <c r="BE56" s="645">
        <f t="shared" si="16"/>
        <v>2663.0280000000002</v>
      </c>
      <c r="BF56" s="1844"/>
      <c r="BG56" s="35">
        <f t="shared" si="17"/>
        <v>5394.6710000000003</v>
      </c>
      <c r="BH56" s="23"/>
      <c r="BI56" s="23"/>
      <c r="BJ56" s="23"/>
      <c r="BK56" s="1111"/>
    </row>
    <row r="57" spans="2:67" ht="15" customHeight="1" thickBot="1" x14ac:dyDescent="0.35">
      <c r="B57" s="2739" t="s">
        <v>814</v>
      </c>
      <c r="C57" s="2740" t="s">
        <v>901</v>
      </c>
      <c r="D57" s="2741">
        <v>154.47</v>
      </c>
      <c r="E57" s="1296" t="s">
        <v>50</v>
      </c>
      <c r="F57" s="2742"/>
      <c r="G57" s="34"/>
      <c r="H57" s="2742"/>
      <c r="I57" s="34">
        <v>262.63400000000001</v>
      </c>
      <c r="J57" s="2743"/>
      <c r="K57" s="4119">
        <f t="shared" si="3"/>
        <v>262.63400000000001</v>
      </c>
      <c r="L57" s="2742"/>
      <c r="M57" s="34">
        <v>234.52600000000001</v>
      </c>
      <c r="N57" s="1836"/>
      <c r="O57" s="65">
        <f t="shared" si="4"/>
        <v>497.16</v>
      </c>
      <c r="P57" s="2742"/>
      <c r="Q57" s="34">
        <v>663.11099999999999</v>
      </c>
      <c r="R57" s="1844"/>
      <c r="S57" s="35">
        <f t="shared" si="5"/>
        <v>1160.271</v>
      </c>
      <c r="T57" s="2742"/>
      <c r="U57" s="34">
        <v>108.857</v>
      </c>
      <c r="V57" s="1844"/>
      <c r="W57" s="35">
        <f t="shared" si="6"/>
        <v>1269.1279999999999</v>
      </c>
      <c r="X57" s="2742"/>
      <c r="Y57" s="34"/>
      <c r="Z57" s="830"/>
      <c r="AA57" s="717">
        <f t="shared" si="7"/>
        <v>771.96799999999996</v>
      </c>
      <c r="AB57" s="3614"/>
      <c r="AC57" s="429">
        <f t="shared" si="8"/>
        <v>1269.1279999999999</v>
      </c>
      <c r="AD57" s="2742"/>
      <c r="AE57" s="34"/>
      <c r="AF57" s="1844"/>
      <c r="AG57" s="35">
        <f t="shared" si="9"/>
        <v>1269.1279999999999</v>
      </c>
      <c r="AH57" s="2742"/>
      <c r="AI57" s="34"/>
      <c r="AJ57" s="1844"/>
      <c r="AK57" s="35">
        <f t="shared" si="10"/>
        <v>1269.1279999999999</v>
      </c>
      <c r="AL57" s="2742"/>
      <c r="AM57" s="34"/>
      <c r="AN57" s="830"/>
      <c r="AO57" s="717">
        <f t="shared" si="11"/>
        <v>0</v>
      </c>
      <c r="AP57" s="1844"/>
      <c r="AQ57" s="35">
        <f t="shared" si="12"/>
        <v>1269.1279999999999</v>
      </c>
      <c r="AR57" s="2742"/>
      <c r="AS57" s="34"/>
      <c r="AT57" s="1844"/>
      <c r="AU57" s="35">
        <f t="shared" si="13"/>
        <v>1269.1279999999999</v>
      </c>
      <c r="AV57" s="2742"/>
      <c r="AW57" s="34">
        <v>178.24</v>
      </c>
      <c r="AX57" s="1844"/>
      <c r="AY57" s="35">
        <f t="shared" si="14"/>
        <v>1447.3679999999999</v>
      </c>
      <c r="AZ57" s="2742"/>
      <c r="BA57" s="34">
        <v>234.494</v>
      </c>
      <c r="BB57" s="830"/>
      <c r="BC57" s="717">
        <f t="shared" si="15"/>
        <v>412.73400000000004</v>
      </c>
      <c r="BD57" s="831"/>
      <c r="BE57" s="645">
        <f t="shared" si="16"/>
        <v>412.73400000000004</v>
      </c>
      <c r="BF57" s="1844"/>
      <c r="BG57" s="35">
        <f t="shared" si="17"/>
        <v>1681.8619999999999</v>
      </c>
      <c r="BH57" s="23"/>
      <c r="BI57" s="23"/>
      <c r="BJ57" s="23"/>
      <c r="BK57" s="1111"/>
    </row>
    <row r="58" spans="2:67" ht="15" customHeight="1" x14ac:dyDescent="0.3">
      <c r="B58" s="2734" t="s">
        <v>1538</v>
      </c>
      <c r="C58" s="2735" t="s">
        <v>901</v>
      </c>
      <c r="D58" s="2745">
        <v>202.48</v>
      </c>
      <c r="E58" s="1216" t="s">
        <v>50</v>
      </c>
      <c r="F58" s="2737"/>
      <c r="G58" s="83"/>
      <c r="H58" s="2737"/>
      <c r="I58" s="83"/>
      <c r="J58" s="2738"/>
      <c r="K58" s="4119">
        <f t="shared" si="3"/>
        <v>0</v>
      </c>
      <c r="L58" s="2737"/>
      <c r="M58" s="83"/>
      <c r="N58" s="1836"/>
      <c r="O58" s="65">
        <f t="shared" si="4"/>
        <v>0</v>
      </c>
      <c r="P58" s="2737"/>
      <c r="Q58" s="83"/>
      <c r="R58" s="1844"/>
      <c r="S58" s="35">
        <f t="shared" si="5"/>
        <v>0</v>
      </c>
      <c r="T58" s="2737"/>
      <c r="U58" s="83"/>
      <c r="V58" s="1844"/>
      <c r="W58" s="35">
        <f t="shared" si="6"/>
        <v>0</v>
      </c>
      <c r="X58" s="2737"/>
      <c r="Y58" s="83"/>
      <c r="Z58" s="830"/>
      <c r="AA58" s="717">
        <f t="shared" si="7"/>
        <v>0</v>
      </c>
      <c r="AB58" s="3614"/>
      <c r="AC58" s="429">
        <f t="shared" si="8"/>
        <v>0</v>
      </c>
      <c r="AD58" s="2737"/>
      <c r="AE58" s="83"/>
      <c r="AF58" s="1844"/>
      <c r="AG58" s="35">
        <f t="shared" si="9"/>
        <v>0</v>
      </c>
      <c r="AH58" s="2737"/>
      <c r="AI58" s="83"/>
      <c r="AJ58" s="1844"/>
      <c r="AK58" s="35">
        <f t="shared" si="10"/>
        <v>0</v>
      </c>
      <c r="AL58" s="2737"/>
      <c r="AM58" s="83"/>
      <c r="AN58" s="830"/>
      <c r="AO58" s="717">
        <f t="shared" si="11"/>
        <v>0</v>
      </c>
      <c r="AP58" s="1844"/>
      <c r="AQ58" s="35">
        <f t="shared" si="12"/>
        <v>0</v>
      </c>
      <c r="AR58" s="2737"/>
      <c r="AS58" s="83"/>
      <c r="AT58" s="1844"/>
      <c r="AU58" s="35">
        <f t="shared" si="13"/>
        <v>0</v>
      </c>
      <c r="AV58" s="2737"/>
      <c r="AW58" s="83"/>
      <c r="AX58" s="1844"/>
      <c r="AY58" s="35">
        <f t="shared" si="14"/>
        <v>0</v>
      </c>
      <c r="AZ58" s="2737"/>
      <c r="BA58" s="83"/>
      <c r="BB58" s="830"/>
      <c r="BC58" s="717">
        <f t="shared" si="15"/>
        <v>0</v>
      </c>
      <c r="BD58" s="831"/>
      <c r="BE58" s="645">
        <f t="shared" si="16"/>
        <v>0</v>
      </c>
      <c r="BF58" s="1844"/>
      <c r="BG58" s="35">
        <f t="shared" si="17"/>
        <v>0</v>
      </c>
      <c r="BH58" s="23"/>
      <c r="BI58" s="23"/>
      <c r="BJ58" s="23"/>
      <c r="BK58" s="1111"/>
    </row>
    <row r="59" spans="2:67" ht="15" customHeight="1" x14ac:dyDescent="0.3">
      <c r="B59" s="990" t="s">
        <v>1538</v>
      </c>
      <c r="C59" s="2546" t="s">
        <v>901</v>
      </c>
      <c r="D59" s="2744">
        <v>174.54</v>
      </c>
      <c r="E59" s="1277" t="s">
        <v>50</v>
      </c>
      <c r="F59" s="1822"/>
      <c r="G59" s="17"/>
      <c r="H59" s="1822"/>
      <c r="I59" s="17"/>
      <c r="J59" s="1827"/>
      <c r="K59" s="4119">
        <f t="shared" si="3"/>
        <v>0</v>
      </c>
      <c r="L59" s="1822"/>
      <c r="M59" s="17"/>
      <c r="N59" s="1836"/>
      <c r="O59" s="65">
        <f t="shared" si="4"/>
        <v>0</v>
      </c>
      <c r="P59" s="1822"/>
      <c r="Q59" s="17"/>
      <c r="R59" s="1844"/>
      <c r="S59" s="35">
        <f t="shared" si="5"/>
        <v>0</v>
      </c>
      <c r="T59" s="1822"/>
      <c r="U59" s="17"/>
      <c r="V59" s="1844"/>
      <c r="W59" s="35">
        <f t="shared" si="6"/>
        <v>0</v>
      </c>
      <c r="X59" s="1822"/>
      <c r="Y59" s="17"/>
      <c r="Z59" s="830"/>
      <c r="AA59" s="717">
        <f t="shared" si="7"/>
        <v>0</v>
      </c>
      <c r="AB59" s="3614"/>
      <c r="AC59" s="429">
        <f t="shared" si="8"/>
        <v>0</v>
      </c>
      <c r="AD59" s="1822"/>
      <c r="AE59" s="17"/>
      <c r="AF59" s="1844"/>
      <c r="AG59" s="35">
        <f t="shared" si="9"/>
        <v>0</v>
      </c>
      <c r="AH59" s="1822"/>
      <c r="AI59" s="17"/>
      <c r="AJ59" s="1844"/>
      <c r="AK59" s="35">
        <f t="shared" si="10"/>
        <v>0</v>
      </c>
      <c r="AL59" s="1822"/>
      <c r="AM59" s="17"/>
      <c r="AN59" s="830"/>
      <c r="AO59" s="717">
        <f t="shared" si="11"/>
        <v>0</v>
      </c>
      <c r="AP59" s="1844"/>
      <c r="AQ59" s="35">
        <f t="shared" si="12"/>
        <v>0</v>
      </c>
      <c r="AR59" s="1822"/>
      <c r="AS59" s="17"/>
      <c r="AT59" s="1844"/>
      <c r="AU59" s="35">
        <f t="shared" si="13"/>
        <v>0</v>
      </c>
      <c r="AV59" s="1822"/>
      <c r="AW59" s="17"/>
      <c r="AX59" s="1844"/>
      <c r="AY59" s="35">
        <f t="shared" si="14"/>
        <v>0</v>
      </c>
      <c r="AZ59" s="1822"/>
      <c r="BA59" s="17"/>
      <c r="BB59" s="830"/>
      <c r="BC59" s="717">
        <f t="shared" si="15"/>
        <v>0</v>
      </c>
      <c r="BD59" s="831"/>
      <c r="BE59" s="645">
        <f t="shared" si="16"/>
        <v>0</v>
      </c>
      <c r="BF59" s="1844"/>
      <c r="BG59" s="35">
        <f t="shared" si="17"/>
        <v>0</v>
      </c>
      <c r="BH59" s="23"/>
      <c r="BI59" s="23"/>
      <c r="BJ59" s="23"/>
      <c r="BK59" s="1111"/>
    </row>
    <row r="60" spans="2:67" ht="15" customHeight="1" thickBot="1" x14ac:dyDescent="0.35">
      <c r="B60" s="2739" t="s">
        <v>1538</v>
      </c>
      <c r="C60" s="2740" t="s">
        <v>901</v>
      </c>
      <c r="D60" s="2741">
        <v>145.29</v>
      </c>
      <c r="E60" s="1296" t="s">
        <v>50</v>
      </c>
      <c r="F60" s="2742"/>
      <c r="G60" s="34"/>
      <c r="H60" s="2742"/>
      <c r="I60" s="34"/>
      <c r="J60" s="2743"/>
      <c r="K60" s="4119">
        <f t="shared" si="3"/>
        <v>0</v>
      </c>
      <c r="L60" s="2742"/>
      <c r="M60" s="34"/>
      <c r="N60" s="1836"/>
      <c r="O60" s="65">
        <f t="shared" si="4"/>
        <v>0</v>
      </c>
      <c r="P60" s="2742"/>
      <c r="Q60" s="34"/>
      <c r="R60" s="1844"/>
      <c r="S60" s="35">
        <f t="shared" si="5"/>
        <v>0</v>
      </c>
      <c r="T60" s="2742"/>
      <c r="U60" s="34"/>
      <c r="V60" s="1844"/>
      <c r="W60" s="35">
        <f t="shared" si="6"/>
        <v>0</v>
      </c>
      <c r="X60" s="2742"/>
      <c r="Y60" s="34"/>
      <c r="Z60" s="830"/>
      <c r="AA60" s="717">
        <f t="shared" si="7"/>
        <v>0</v>
      </c>
      <c r="AB60" s="3614"/>
      <c r="AC60" s="429">
        <f t="shared" si="8"/>
        <v>0</v>
      </c>
      <c r="AD60" s="2742"/>
      <c r="AE60" s="34"/>
      <c r="AF60" s="1844"/>
      <c r="AG60" s="35">
        <f t="shared" si="9"/>
        <v>0</v>
      </c>
      <c r="AH60" s="2742"/>
      <c r="AI60" s="34"/>
      <c r="AJ60" s="1844"/>
      <c r="AK60" s="35">
        <f t="shared" si="10"/>
        <v>0</v>
      </c>
      <c r="AL60" s="2742"/>
      <c r="AM60" s="34"/>
      <c r="AN60" s="830"/>
      <c r="AO60" s="717">
        <f t="shared" si="11"/>
        <v>0</v>
      </c>
      <c r="AP60" s="1844"/>
      <c r="AQ60" s="35">
        <f t="shared" si="12"/>
        <v>0</v>
      </c>
      <c r="AR60" s="2742"/>
      <c r="AS60" s="34"/>
      <c r="AT60" s="1844"/>
      <c r="AU60" s="35">
        <f t="shared" si="13"/>
        <v>0</v>
      </c>
      <c r="AV60" s="2742"/>
      <c r="AW60" s="34"/>
      <c r="AX60" s="1844"/>
      <c r="AY60" s="35">
        <f t="shared" si="14"/>
        <v>0</v>
      </c>
      <c r="AZ60" s="2742"/>
      <c r="BA60" s="34"/>
      <c r="BB60" s="830"/>
      <c r="BC60" s="717">
        <f t="shared" si="15"/>
        <v>0</v>
      </c>
      <c r="BD60" s="831"/>
      <c r="BE60" s="645">
        <f t="shared" si="16"/>
        <v>0</v>
      </c>
      <c r="BF60" s="1844"/>
      <c r="BG60" s="35">
        <f t="shared" si="17"/>
        <v>0</v>
      </c>
      <c r="BH60" s="23"/>
      <c r="BI60" s="23"/>
      <c r="BJ60" s="23"/>
      <c r="BK60" s="1111"/>
    </row>
    <row r="61" spans="2:67" ht="15" customHeight="1" thickBot="1" x14ac:dyDescent="0.35">
      <c r="B61" s="2734" t="s">
        <v>1056</v>
      </c>
      <c r="C61" s="2735" t="s">
        <v>966</v>
      </c>
      <c r="D61" s="2745">
        <v>37.340000000000003</v>
      </c>
      <c r="E61" s="1216" t="s">
        <v>50</v>
      </c>
      <c r="F61" s="2737"/>
      <c r="G61" s="83"/>
      <c r="H61" s="2737"/>
      <c r="I61" s="83"/>
      <c r="J61" s="2738"/>
      <c r="K61" s="4119">
        <f t="shared" si="3"/>
        <v>0</v>
      </c>
      <c r="L61" s="2737"/>
      <c r="M61" s="83"/>
      <c r="N61" s="1836"/>
      <c r="O61" s="65">
        <f t="shared" si="4"/>
        <v>0</v>
      </c>
      <c r="P61" s="2737"/>
      <c r="Q61" s="83"/>
      <c r="R61" s="1844"/>
      <c r="S61" s="35">
        <f t="shared" si="5"/>
        <v>0</v>
      </c>
      <c r="T61" s="2737"/>
      <c r="U61" s="83"/>
      <c r="V61" s="1844"/>
      <c r="W61" s="35">
        <f t="shared" si="6"/>
        <v>0</v>
      </c>
      <c r="X61" s="2737"/>
      <c r="Y61" s="83"/>
      <c r="Z61" s="830"/>
      <c r="AA61" s="717">
        <f t="shared" si="7"/>
        <v>0</v>
      </c>
      <c r="AB61" s="3614"/>
      <c r="AC61" s="429">
        <f t="shared" si="8"/>
        <v>0</v>
      </c>
      <c r="AD61" s="2737"/>
      <c r="AE61" s="83"/>
      <c r="AF61" s="1844"/>
      <c r="AG61" s="35">
        <f t="shared" si="9"/>
        <v>0</v>
      </c>
      <c r="AH61" s="2737"/>
      <c r="AI61" s="83">
        <v>520.62200000000007</v>
      </c>
      <c r="AJ61" s="1844"/>
      <c r="AK61" s="35">
        <f t="shared" si="10"/>
        <v>520.62200000000007</v>
      </c>
      <c r="AL61" s="2737"/>
      <c r="AM61" s="83"/>
      <c r="AN61" s="830"/>
      <c r="AO61" s="717">
        <f t="shared" si="11"/>
        <v>520.62200000000007</v>
      </c>
      <c r="AP61" s="1844"/>
      <c r="AQ61" s="35">
        <f t="shared" si="12"/>
        <v>520.62200000000007</v>
      </c>
      <c r="AR61" s="2737"/>
      <c r="AS61" s="83">
        <v>338.33799999999997</v>
      </c>
      <c r="AT61" s="1844"/>
      <c r="AU61" s="35">
        <f t="shared" si="13"/>
        <v>858.96</v>
      </c>
      <c r="AV61" s="2737"/>
      <c r="AW61" s="83"/>
      <c r="AX61" s="1844"/>
      <c r="AY61" s="35">
        <f t="shared" si="14"/>
        <v>858.96</v>
      </c>
      <c r="AZ61" s="2737"/>
      <c r="BA61" s="83"/>
      <c r="BB61" s="830"/>
      <c r="BC61" s="717">
        <f t="shared" si="15"/>
        <v>338.33799999999997</v>
      </c>
      <c r="BD61" s="831"/>
      <c r="BE61" s="645">
        <f t="shared" si="16"/>
        <v>858.96</v>
      </c>
      <c r="BF61" s="1844"/>
      <c r="BG61" s="35">
        <f t="shared" si="17"/>
        <v>858.96</v>
      </c>
      <c r="BH61" s="23"/>
      <c r="BI61" s="23"/>
      <c r="BJ61" s="23"/>
      <c r="BK61" s="1111"/>
      <c r="BO61" s="23"/>
    </row>
    <row r="62" spans="2:67" ht="15" customHeight="1" x14ac:dyDescent="0.3">
      <c r="B62" s="990" t="s">
        <v>1056</v>
      </c>
      <c r="C62" s="2546" t="s">
        <v>1291</v>
      </c>
      <c r="D62" s="2744">
        <v>37.340000000000003</v>
      </c>
      <c r="E62" s="1277" t="s">
        <v>50</v>
      </c>
      <c r="F62" s="1822"/>
      <c r="G62" s="83">
        <v>2426.3939999999998</v>
      </c>
      <c r="H62" s="1822"/>
      <c r="I62" s="17">
        <v>2879.5259999999994</v>
      </c>
      <c r="J62" s="1827"/>
      <c r="K62" s="4119">
        <f t="shared" si="3"/>
        <v>5305.9199999999992</v>
      </c>
      <c r="L62" s="1822"/>
      <c r="M62" s="17">
        <v>2371.7069999999999</v>
      </c>
      <c r="N62" s="1836"/>
      <c r="O62" s="65">
        <f t="shared" si="4"/>
        <v>7677.6269999999986</v>
      </c>
      <c r="P62" s="1822"/>
      <c r="Q62" s="17">
        <v>2574.5839999999994</v>
      </c>
      <c r="R62" s="1844"/>
      <c r="S62" s="35">
        <f t="shared" si="5"/>
        <v>10252.210999999998</v>
      </c>
      <c r="T62" s="1822"/>
      <c r="U62" s="17">
        <v>1438.2529999999997</v>
      </c>
      <c r="V62" s="1844"/>
      <c r="W62" s="35">
        <f t="shared" si="6"/>
        <v>11690.463999999996</v>
      </c>
      <c r="X62" s="1822"/>
      <c r="Y62" s="17"/>
      <c r="Z62" s="830"/>
      <c r="AA62" s="717">
        <f t="shared" si="7"/>
        <v>4012.8369999999991</v>
      </c>
      <c r="AB62" s="3614"/>
      <c r="AC62" s="429">
        <f t="shared" si="8"/>
        <v>11690.463999999998</v>
      </c>
      <c r="AD62" s="1822"/>
      <c r="AE62" s="17"/>
      <c r="AF62" s="1844"/>
      <c r="AG62" s="35">
        <f t="shared" si="9"/>
        <v>11690.463999999998</v>
      </c>
      <c r="AH62" s="1822"/>
      <c r="AI62" s="17">
        <v>2468.989</v>
      </c>
      <c r="AJ62" s="1844"/>
      <c r="AK62" s="35">
        <f t="shared" si="10"/>
        <v>14159.452999999998</v>
      </c>
      <c r="AL62" s="1822"/>
      <c r="AM62" s="17"/>
      <c r="AN62" s="830"/>
      <c r="AO62" s="717">
        <f t="shared" si="11"/>
        <v>2468.989</v>
      </c>
      <c r="AP62" s="1844"/>
      <c r="AQ62" s="35">
        <f t="shared" si="12"/>
        <v>14159.452999999998</v>
      </c>
      <c r="AR62" s="1822"/>
      <c r="AS62" s="83">
        <v>2885.9890000000009</v>
      </c>
      <c r="AT62" s="1844"/>
      <c r="AU62" s="35">
        <f t="shared" si="13"/>
        <v>17045.441999999999</v>
      </c>
      <c r="AV62" s="1822"/>
      <c r="AW62" s="83"/>
      <c r="AX62" s="1844"/>
      <c r="AY62" s="35">
        <f t="shared" si="14"/>
        <v>17045.441999999999</v>
      </c>
      <c r="AZ62" s="1822"/>
      <c r="BA62" s="83">
        <v>1738.6020000000001</v>
      </c>
      <c r="BB62" s="830"/>
      <c r="BC62" s="717">
        <f t="shared" si="15"/>
        <v>4624.5910000000013</v>
      </c>
      <c r="BD62" s="831"/>
      <c r="BE62" s="645">
        <f t="shared" si="16"/>
        <v>7093.5800000000017</v>
      </c>
      <c r="BF62" s="1844"/>
      <c r="BG62" s="35">
        <f t="shared" si="17"/>
        <v>18784.043999999998</v>
      </c>
      <c r="BH62" s="23"/>
      <c r="BI62" s="23"/>
      <c r="BJ62" s="23"/>
      <c r="BK62" s="1111"/>
      <c r="BO62" s="23"/>
    </row>
    <row r="63" spans="2:67" ht="15" customHeight="1" x14ac:dyDescent="0.3">
      <c r="B63" s="4443" t="s">
        <v>1602</v>
      </c>
      <c r="C63" s="4444" t="s">
        <v>966</v>
      </c>
      <c r="D63" s="4445">
        <v>42.26</v>
      </c>
      <c r="E63" s="4446" t="s">
        <v>50</v>
      </c>
      <c r="F63" s="4447"/>
      <c r="G63" s="4448"/>
      <c r="H63" s="4447"/>
      <c r="I63" s="4448"/>
      <c r="J63" s="4449"/>
      <c r="K63" s="4119">
        <f t="shared" si="3"/>
        <v>0</v>
      </c>
      <c r="L63" s="4447"/>
      <c r="M63" s="4448">
        <v>308.62299999999999</v>
      </c>
      <c r="N63" s="4436"/>
      <c r="O63" s="65">
        <f t="shared" si="4"/>
        <v>308.62299999999999</v>
      </c>
      <c r="P63" s="4447"/>
      <c r="Q63" s="4448">
        <v>393.77</v>
      </c>
      <c r="R63" s="4437"/>
      <c r="S63" s="35">
        <f t="shared" si="5"/>
        <v>702.39300000000003</v>
      </c>
      <c r="T63" s="4447"/>
      <c r="U63" s="4448"/>
      <c r="V63" s="4437"/>
      <c r="W63" s="35">
        <f t="shared" si="6"/>
        <v>702.39300000000003</v>
      </c>
      <c r="X63" s="4447"/>
      <c r="Y63" s="4448">
        <v>618.15800000000002</v>
      </c>
      <c r="Z63" s="4426"/>
      <c r="AA63" s="717">
        <f t="shared" si="7"/>
        <v>1011.928</v>
      </c>
      <c r="AB63" s="3614"/>
      <c r="AC63" s="429">
        <f t="shared" si="8"/>
        <v>1320.5509999999999</v>
      </c>
      <c r="AD63" s="4447"/>
      <c r="AE63" s="4448"/>
      <c r="AF63" s="4437"/>
      <c r="AG63" s="35">
        <f t="shared" si="9"/>
        <v>1320.5509999999999</v>
      </c>
      <c r="AH63" s="4447"/>
      <c r="AI63" s="4448"/>
      <c r="AJ63" s="4437"/>
      <c r="AK63" s="35">
        <f t="shared" si="10"/>
        <v>1320.5509999999999</v>
      </c>
      <c r="AL63" s="4447"/>
      <c r="AM63" s="4448">
        <v>121.828</v>
      </c>
      <c r="AN63" s="4426"/>
      <c r="AO63" s="717">
        <f t="shared" si="11"/>
        <v>121.828</v>
      </c>
      <c r="AP63" s="4437"/>
      <c r="AQ63" s="35">
        <f t="shared" si="12"/>
        <v>1442.3789999999999</v>
      </c>
      <c r="AR63" s="4447"/>
      <c r="AS63" s="4448"/>
      <c r="AT63" s="4437"/>
      <c r="AU63" s="4063">
        <f t="shared" si="13"/>
        <v>1442.3789999999999</v>
      </c>
      <c r="AV63" s="4447"/>
      <c r="AW63" s="4448"/>
      <c r="AX63" s="4437"/>
      <c r="AY63" s="35">
        <f t="shared" si="14"/>
        <v>1442.3789999999999</v>
      </c>
      <c r="AZ63" s="4447"/>
      <c r="BA63" s="4448"/>
      <c r="BB63" s="4426"/>
      <c r="BC63" s="717">
        <f t="shared" si="15"/>
        <v>0</v>
      </c>
      <c r="BD63" s="4440"/>
      <c r="BE63" s="645">
        <f t="shared" si="16"/>
        <v>121.828</v>
      </c>
      <c r="BF63" s="4437"/>
      <c r="BG63" s="35">
        <f t="shared" si="17"/>
        <v>1442.3789999999999</v>
      </c>
      <c r="BH63" s="23"/>
      <c r="BI63" s="23"/>
      <c r="BJ63" s="23"/>
      <c r="BK63" s="1111"/>
      <c r="BO63" s="23"/>
    </row>
    <row r="64" spans="2:67" ht="15" customHeight="1" x14ac:dyDescent="0.3">
      <c r="B64" s="990" t="s">
        <v>1602</v>
      </c>
      <c r="C64" s="2546" t="s">
        <v>901</v>
      </c>
      <c r="D64" s="2744">
        <v>42.26</v>
      </c>
      <c r="E64" s="1277" t="s">
        <v>50</v>
      </c>
      <c r="F64" s="1822"/>
      <c r="G64" s="17"/>
      <c r="H64" s="1822"/>
      <c r="I64" s="17"/>
      <c r="J64" s="1827"/>
      <c r="K64" s="4119">
        <f t="shared" si="3"/>
        <v>0</v>
      </c>
      <c r="L64" s="1822"/>
      <c r="M64" s="17">
        <v>1171.0029999999999</v>
      </c>
      <c r="N64" s="1836"/>
      <c r="O64" s="65">
        <f t="shared" si="4"/>
        <v>1171.0029999999999</v>
      </c>
      <c r="P64" s="1822"/>
      <c r="Q64" s="17">
        <v>801.71400000000017</v>
      </c>
      <c r="R64" s="1844"/>
      <c r="S64" s="35">
        <f t="shared" si="5"/>
        <v>1972.7170000000001</v>
      </c>
      <c r="T64" s="1822"/>
      <c r="U64" s="17"/>
      <c r="V64" s="1844"/>
      <c r="W64" s="35">
        <f t="shared" si="6"/>
        <v>1972.7170000000001</v>
      </c>
      <c r="X64" s="1822"/>
      <c r="Y64" s="17">
        <v>683.31399999999985</v>
      </c>
      <c r="Z64" s="2247"/>
      <c r="AA64" s="717">
        <f t="shared" si="7"/>
        <v>1485.028</v>
      </c>
      <c r="AB64" s="3614"/>
      <c r="AC64" s="429">
        <f t="shared" si="8"/>
        <v>2656.0309999999999</v>
      </c>
      <c r="AD64" s="1822"/>
      <c r="AE64" s="17"/>
      <c r="AF64" s="1844"/>
      <c r="AG64" s="35">
        <f t="shared" si="9"/>
        <v>2656.0309999999999</v>
      </c>
      <c r="AH64" s="1822"/>
      <c r="AI64" s="17"/>
      <c r="AJ64" s="1844"/>
      <c r="AK64" s="35">
        <f t="shared" si="10"/>
        <v>2656.0309999999999</v>
      </c>
      <c r="AL64" s="1822"/>
      <c r="AM64" s="17">
        <v>595.44600000000003</v>
      </c>
      <c r="AN64" s="2247"/>
      <c r="AO64" s="717">
        <f t="shared" si="11"/>
        <v>595.44600000000003</v>
      </c>
      <c r="AP64" s="1844"/>
      <c r="AQ64" s="35">
        <f t="shared" si="12"/>
        <v>3251.4769999999999</v>
      </c>
      <c r="AR64" s="1822"/>
      <c r="AS64" s="17"/>
      <c r="AT64" s="1844"/>
      <c r="AU64" s="35">
        <f t="shared" si="13"/>
        <v>3251.4769999999999</v>
      </c>
      <c r="AV64" s="1822"/>
      <c r="AW64" s="17"/>
      <c r="AX64" s="1844"/>
      <c r="AY64" s="35">
        <f t="shared" si="14"/>
        <v>3251.4769999999999</v>
      </c>
      <c r="AZ64" s="1822"/>
      <c r="BA64" s="17"/>
      <c r="BB64" s="2247"/>
      <c r="BC64" s="717">
        <f t="shared" si="15"/>
        <v>0</v>
      </c>
      <c r="BD64" s="2251"/>
      <c r="BE64" s="645">
        <f t="shared" si="16"/>
        <v>595.44600000000003</v>
      </c>
      <c r="BF64" s="1844"/>
      <c r="BG64" s="35">
        <f t="shared" si="17"/>
        <v>3251.4769999999999</v>
      </c>
      <c r="BH64" s="23"/>
      <c r="BI64" s="23"/>
      <c r="BJ64" s="23"/>
      <c r="BK64" s="1111"/>
      <c r="BO64" s="23"/>
    </row>
    <row r="65" spans="2:67" ht="15" customHeight="1" x14ac:dyDescent="0.3">
      <c r="B65" s="990" t="s">
        <v>1057</v>
      </c>
      <c r="C65" s="2546" t="s">
        <v>901</v>
      </c>
      <c r="D65" s="2744">
        <v>61.3</v>
      </c>
      <c r="E65" s="1277" t="s">
        <v>50</v>
      </c>
      <c r="F65" s="1822"/>
      <c r="G65" s="17"/>
      <c r="H65" s="1822"/>
      <c r="I65" s="17"/>
      <c r="J65" s="1827"/>
      <c r="K65" s="4119">
        <f t="shared" si="3"/>
        <v>0</v>
      </c>
      <c r="L65" s="1822"/>
      <c r="M65" s="17">
        <v>522.70600000000002</v>
      </c>
      <c r="N65" s="1836"/>
      <c r="O65" s="65">
        <f t="shared" si="4"/>
        <v>522.70600000000002</v>
      </c>
      <c r="P65" s="1822"/>
      <c r="Q65" s="17"/>
      <c r="R65" s="1844"/>
      <c r="S65" s="35">
        <f t="shared" si="5"/>
        <v>522.70600000000002</v>
      </c>
      <c r="T65" s="1822"/>
      <c r="U65" s="17"/>
      <c r="V65" s="1844"/>
      <c r="W65" s="35">
        <f t="shared" si="6"/>
        <v>522.70600000000002</v>
      </c>
      <c r="X65" s="1822"/>
      <c r="Y65" s="17">
        <v>485.31799999999998</v>
      </c>
      <c r="Z65" s="830"/>
      <c r="AA65" s="717">
        <f t="shared" si="7"/>
        <v>485.31799999999998</v>
      </c>
      <c r="AB65" s="3614"/>
      <c r="AC65" s="429">
        <f t="shared" si="8"/>
        <v>1008.024</v>
      </c>
      <c r="AD65" s="1822"/>
      <c r="AE65" s="17"/>
      <c r="AF65" s="1844"/>
      <c r="AG65" s="35">
        <f t="shared" si="9"/>
        <v>1008.024</v>
      </c>
      <c r="AH65" s="1822"/>
      <c r="AI65" s="17"/>
      <c r="AJ65" s="1844"/>
      <c r="AK65" s="35">
        <f t="shared" si="10"/>
        <v>1008.024</v>
      </c>
      <c r="AL65" s="1822"/>
      <c r="AM65" s="17">
        <v>1037.3899999999996</v>
      </c>
      <c r="AN65" s="830"/>
      <c r="AO65" s="717">
        <f t="shared" si="11"/>
        <v>1037.3899999999996</v>
      </c>
      <c r="AP65" s="1844"/>
      <c r="AQ65" s="35">
        <f t="shared" si="12"/>
        <v>2045.4139999999998</v>
      </c>
      <c r="AR65" s="1822"/>
      <c r="AS65" s="17"/>
      <c r="AT65" s="1844"/>
      <c r="AU65" s="35">
        <f t="shared" si="13"/>
        <v>2045.4139999999998</v>
      </c>
      <c r="AV65" s="1822"/>
      <c r="AW65" s="17"/>
      <c r="AX65" s="1844"/>
      <c r="AY65" s="35">
        <f t="shared" si="14"/>
        <v>2045.4139999999998</v>
      </c>
      <c r="AZ65" s="1822"/>
      <c r="BA65" s="17"/>
      <c r="BB65" s="830"/>
      <c r="BC65" s="717">
        <f t="shared" si="15"/>
        <v>0</v>
      </c>
      <c r="BD65" s="831"/>
      <c r="BE65" s="645">
        <f t="shared" si="16"/>
        <v>1037.3899999999996</v>
      </c>
      <c r="BF65" s="1844"/>
      <c r="BG65" s="35">
        <f t="shared" si="17"/>
        <v>2045.4139999999998</v>
      </c>
      <c r="BH65" s="23"/>
      <c r="BI65" s="23"/>
      <c r="BJ65" s="23"/>
      <c r="BK65" s="1111"/>
      <c r="BO65" s="23"/>
    </row>
    <row r="66" spans="2:67" ht="15" customHeight="1" thickBot="1" x14ac:dyDescent="0.35">
      <c r="B66" s="2739" t="s">
        <v>1057</v>
      </c>
      <c r="C66" s="2740" t="s">
        <v>966</v>
      </c>
      <c r="D66" s="2741">
        <v>61.3</v>
      </c>
      <c r="E66" s="1296" t="s">
        <v>50</v>
      </c>
      <c r="F66" s="2742"/>
      <c r="G66" s="34"/>
      <c r="H66" s="2742"/>
      <c r="I66" s="34"/>
      <c r="J66" s="2743"/>
      <c r="K66" s="4119">
        <f t="shared" si="3"/>
        <v>0</v>
      </c>
      <c r="L66" s="2742"/>
      <c r="M66" s="34">
        <v>261.35300000000001</v>
      </c>
      <c r="N66" s="1836"/>
      <c r="O66" s="65">
        <f t="shared" si="4"/>
        <v>261.35300000000001</v>
      </c>
      <c r="P66" s="2742"/>
      <c r="Q66" s="34">
        <v>157.666</v>
      </c>
      <c r="R66" s="1844"/>
      <c r="S66" s="35">
        <f t="shared" si="5"/>
        <v>419.01900000000001</v>
      </c>
      <c r="T66" s="2742"/>
      <c r="U66" s="34"/>
      <c r="V66" s="1844"/>
      <c r="W66" s="35">
        <f t="shared" si="6"/>
        <v>419.01900000000001</v>
      </c>
      <c r="X66" s="2742"/>
      <c r="Y66" s="34">
        <v>326.85000000000002</v>
      </c>
      <c r="Z66" s="830"/>
      <c r="AA66" s="717">
        <f t="shared" si="7"/>
        <v>484.51600000000002</v>
      </c>
      <c r="AB66" s="3614"/>
      <c r="AC66" s="429">
        <f t="shared" si="8"/>
        <v>745.86900000000003</v>
      </c>
      <c r="AD66" s="2742"/>
      <c r="AE66" s="34"/>
      <c r="AF66" s="1844"/>
      <c r="AG66" s="35">
        <f t="shared" si="9"/>
        <v>745.86900000000003</v>
      </c>
      <c r="AH66" s="2742"/>
      <c r="AI66" s="34"/>
      <c r="AJ66" s="1844"/>
      <c r="AK66" s="35">
        <f t="shared" si="10"/>
        <v>745.86900000000003</v>
      </c>
      <c r="AL66" s="2742"/>
      <c r="AM66" s="34">
        <v>306.09900000000005</v>
      </c>
      <c r="AN66" s="830"/>
      <c r="AO66" s="717">
        <f t="shared" si="11"/>
        <v>306.09900000000005</v>
      </c>
      <c r="AP66" s="1844"/>
      <c r="AQ66" s="35">
        <f t="shared" si="12"/>
        <v>1051.9680000000001</v>
      </c>
      <c r="AR66" s="2742"/>
      <c r="AS66" s="34"/>
      <c r="AT66" s="1844"/>
      <c r="AU66" s="35">
        <f t="shared" si="13"/>
        <v>1051.9680000000001</v>
      </c>
      <c r="AV66" s="2742"/>
      <c r="AW66" s="34"/>
      <c r="AX66" s="1844"/>
      <c r="AY66" s="35">
        <f t="shared" si="14"/>
        <v>1051.9680000000001</v>
      </c>
      <c r="AZ66" s="2742"/>
      <c r="BA66" s="34"/>
      <c r="BB66" s="830"/>
      <c r="BC66" s="717">
        <f t="shared" si="15"/>
        <v>0</v>
      </c>
      <c r="BD66" s="831"/>
      <c r="BE66" s="645">
        <f t="shared" si="16"/>
        <v>306.09900000000005</v>
      </c>
      <c r="BF66" s="1844"/>
      <c r="BG66" s="35">
        <f t="shared" si="17"/>
        <v>1051.9680000000001</v>
      </c>
      <c r="BH66" s="23"/>
      <c r="BI66" s="23"/>
      <c r="BJ66" s="23"/>
      <c r="BK66" s="1111"/>
    </row>
    <row r="67" spans="2:67" ht="15" customHeight="1" thickBot="1" x14ac:dyDescent="0.35">
      <c r="B67" s="2734" t="s">
        <v>1208</v>
      </c>
      <c r="C67" s="2735" t="s">
        <v>901</v>
      </c>
      <c r="D67" s="2745">
        <v>83.2</v>
      </c>
      <c r="E67" s="1216" t="s">
        <v>50</v>
      </c>
      <c r="F67" s="2737"/>
      <c r="G67" s="83">
        <v>974.64199999999994</v>
      </c>
      <c r="H67" s="2737"/>
      <c r="I67" s="83"/>
      <c r="J67" s="2738"/>
      <c r="K67" s="4119">
        <f t="shared" si="3"/>
        <v>974.64199999999994</v>
      </c>
      <c r="L67" s="2737"/>
      <c r="M67" s="83">
        <v>536.84500000000003</v>
      </c>
      <c r="N67" s="1836"/>
      <c r="O67" s="65">
        <f t="shared" si="4"/>
        <v>1511.4870000000001</v>
      </c>
      <c r="P67" s="2737"/>
      <c r="Q67" s="83"/>
      <c r="R67" s="1844"/>
      <c r="S67" s="35">
        <f t="shared" si="5"/>
        <v>1511.4870000000001</v>
      </c>
      <c r="T67" s="2737"/>
      <c r="U67" s="83"/>
      <c r="V67" s="1844"/>
      <c r="W67" s="35">
        <f t="shared" si="6"/>
        <v>1511.4870000000001</v>
      </c>
      <c r="X67" s="2737"/>
      <c r="Y67" s="83">
        <v>1363.2589999999998</v>
      </c>
      <c r="Z67" s="830"/>
      <c r="AA67" s="717">
        <f t="shared" si="7"/>
        <v>1363.2589999999998</v>
      </c>
      <c r="AB67" s="3614"/>
      <c r="AC67" s="429">
        <f t="shared" si="8"/>
        <v>2874.7460000000001</v>
      </c>
      <c r="AD67" s="2737"/>
      <c r="AE67" s="83"/>
      <c r="AF67" s="1844"/>
      <c r="AG67" s="35">
        <f t="shared" si="9"/>
        <v>2874.7460000000001</v>
      </c>
      <c r="AH67" s="2737"/>
      <c r="AI67" s="83"/>
      <c r="AJ67" s="1844"/>
      <c r="AK67" s="35">
        <f t="shared" si="10"/>
        <v>2874.7460000000001</v>
      </c>
      <c r="AL67" s="2737"/>
      <c r="AM67" s="83">
        <v>783.12400000000002</v>
      </c>
      <c r="AN67" s="830"/>
      <c r="AO67" s="717">
        <f t="shared" si="11"/>
        <v>783.12400000000002</v>
      </c>
      <c r="AP67" s="1844"/>
      <c r="AQ67" s="35">
        <f t="shared" si="12"/>
        <v>3657.87</v>
      </c>
      <c r="AR67" s="2737"/>
      <c r="AS67" s="83"/>
      <c r="AT67" s="1844"/>
      <c r="AU67" s="35">
        <f t="shared" si="13"/>
        <v>3657.87</v>
      </c>
      <c r="AV67" s="2737"/>
      <c r="AW67" s="83"/>
      <c r="AX67" s="1844"/>
      <c r="AY67" s="35">
        <f t="shared" si="14"/>
        <v>3657.87</v>
      </c>
      <c r="AZ67" s="2737"/>
      <c r="BA67" s="83"/>
      <c r="BB67" s="830"/>
      <c r="BC67" s="717">
        <f t="shared" si="15"/>
        <v>0</v>
      </c>
      <c r="BD67" s="831"/>
      <c r="BE67" s="645">
        <f t="shared" si="16"/>
        <v>783.12400000000002</v>
      </c>
      <c r="BF67" s="1844"/>
      <c r="BG67" s="35">
        <f t="shared" si="17"/>
        <v>3657.87</v>
      </c>
      <c r="BH67" s="23"/>
      <c r="BI67" s="23"/>
      <c r="BJ67" s="23"/>
      <c r="BK67" s="1111"/>
    </row>
    <row r="68" spans="2:67" ht="15" customHeight="1" x14ac:dyDescent="0.3">
      <c r="B68" s="2734" t="s">
        <v>1208</v>
      </c>
      <c r="C68" s="2735" t="s">
        <v>901</v>
      </c>
      <c r="D68" s="3509">
        <v>47.4</v>
      </c>
      <c r="E68" s="1216" t="s">
        <v>50</v>
      </c>
      <c r="F68" s="3511"/>
      <c r="G68" s="3427"/>
      <c r="H68" s="3511"/>
      <c r="I68" s="3427"/>
      <c r="J68" s="3512"/>
      <c r="K68" s="4119">
        <f t="shared" si="3"/>
        <v>0</v>
      </c>
      <c r="L68" s="3511"/>
      <c r="M68" s="3427"/>
      <c r="N68" s="1836"/>
      <c r="O68" s="65">
        <f t="shared" si="4"/>
        <v>0</v>
      </c>
      <c r="P68" s="3511"/>
      <c r="Q68" s="3427"/>
      <c r="R68" s="1844"/>
      <c r="S68" s="35">
        <f t="shared" si="5"/>
        <v>0</v>
      </c>
      <c r="T68" s="3511"/>
      <c r="U68" s="3427"/>
      <c r="V68" s="1844"/>
      <c r="W68" s="35">
        <f t="shared" si="6"/>
        <v>0</v>
      </c>
      <c r="X68" s="3511"/>
      <c r="Y68" s="3427"/>
      <c r="Z68" s="3984"/>
      <c r="AA68" s="717">
        <f t="shared" si="7"/>
        <v>0</v>
      </c>
      <c r="AB68" s="3614"/>
      <c r="AC68" s="429">
        <f t="shared" si="8"/>
        <v>0</v>
      </c>
      <c r="AD68" s="3511"/>
      <c r="AE68" s="3427"/>
      <c r="AF68" s="1844"/>
      <c r="AG68" s="35">
        <f t="shared" si="9"/>
        <v>0</v>
      </c>
      <c r="AH68" s="3511"/>
      <c r="AI68" s="3427"/>
      <c r="AJ68" s="1844"/>
      <c r="AK68" s="35">
        <f t="shared" si="10"/>
        <v>0</v>
      </c>
      <c r="AL68" s="3511"/>
      <c r="AM68" s="3427">
        <v>9.5749999999999993</v>
      </c>
      <c r="AN68" s="3984"/>
      <c r="AO68" s="717">
        <f t="shared" si="11"/>
        <v>9.5749999999999993</v>
      </c>
      <c r="AP68" s="1844"/>
      <c r="AQ68" s="35">
        <f t="shared" si="12"/>
        <v>9.5749999999999993</v>
      </c>
      <c r="AR68" s="3511"/>
      <c r="AS68" s="3427"/>
      <c r="AT68" s="1844"/>
      <c r="AU68" s="35">
        <f t="shared" si="13"/>
        <v>9.5749999999999993</v>
      </c>
      <c r="AV68" s="3511"/>
      <c r="AW68" s="3427"/>
      <c r="AX68" s="1844"/>
      <c r="AY68" s="35">
        <f t="shared" si="14"/>
        <v>9.5749999999999993</v>
      </c>
      <c r="AZ68" s="3511"/>
      <c r="BA68" s="3427"/>
      <c r="BB68" s="3984"/>
      <c r="BC68" s="717">
        <f t="shared" si="15"/>
        <v>0</v>
      </c>
      <c r="BD68" s="3987"/>
      <c r="BE68" s="645">
        <f t="shared" si="16"/>
        <v>9.5749999999999993</v>
      </c>
      <c r="BF68" s="1844"/>
      <c r="BG68" s="35">
        <f t="shared" si="17"/>
        <v>9.5749999999999993</v>
      </c>
      <c r="BH68" s="23"/>
      <c r="BI68" s="23"/>
      <c r="BJ68" s="23"/>
      <c r="BK68" s="1111"/>
    </row>
    <row r="69" spans="2:67" ht="15" customHeight="1" thickBot="1" x14ac:dyDescent="0.35">
      <c r="B69" s="2739" t="s">
        <v>1208</v>
      </c>
      <c r="C69" s="2740" t="s">
        <v>901</v>
      </c>
      <c r="D69" s="2741">
        <v>60.32</v>
      </c>
      <c r="E69" s="1296" t="s">
        <v>50</v>
      </c>
      <c r="F69" s="2742"/>
      <c r="G69" s="34">
        <v>1724.9249999999997</v>
      </c>
      <c r="H69" s="2742"/>
      <c r="I69" s="34"/>
      <c r="J69" s="2743"/>
      <c r="K69" s="4119">
        <f t="shared" si="3"/>
        <v>1724.9249999999997</v>
      </c>
      <c r="L69" s="2742"/>
      <c r="M69" s="34">
        <v>791.52800000000002</v>
      </c>
      <c r="N69" s="1836"/>
      <c r="O69" s="65">
        <f t="shared" si="4"/>
        <v>2516.4529999999995</v>
      </c>
      <c r="P69" s="2742"/>
      <c r="Q69" s="34"/>
      <c r="R69" s="1844"/>
      <c r="S69" s="35">
        <f t="shared" si="5"/>
        <v>2516.4529999999995</v>
      </c>
      <c r="T69" s="2742"/>
      <c r="U69" s="34"/>
      <c r="V69" s="1844"/>
      <c r="W69" s="35">
        <f t="shared" si="6"/>
        <v>2516.4529999999995</v>
      </c>
      <c r="X69" s="2742"/>
      <c r="Y69" s="34">
        <v>336.02599999999995</v>
      </c>
      <c r="Z69" s="830"/>
      <c r="AA69" s="717">
        <f t="shared" si="7"/>
        <v>336.02599999999995</v>
      </c>
      <c r="AB69" s="3614"/>
      <c r="AC69" s="429">
        <f t="shared" si="8"/>
        <v>2852.4789999999994</v>
      </c>
      <c r="AD69" s="2742"/>
      <c r="AE69" s="34"/>
      <c r="AF69" s="1844"/>
      <c r="AG69" s="35">
        <f t="shared" si="9"/>
        <v>2852.4789999999994</v>
      </c>
      <c r="AH69" s="2742"/>
      <c r="AI69" s="34"/>
      <c r="AJ69" s="1844"/>
      <c r="AK69" s="35">
        <f t="shared" si="10"/>
        <v>2852.4789999999994</v>
      </c>
      <c r="AL69" s="2742"/>
      <c r="AM69" s="34">
        <v>1219.3609999999999</v>
      </c>
      <c r="AN69" s="830"/>
      <c r="AO69" s="717">
        <f t="shared" si="11"/>
        <v>1219.3609999999999</v>
      </c>
      <c r="AP69" s="1844"/>
      <c r="AQ69" s="35">
        <f t="shared" si="12"/>
        <v>4071.8399999999992</v>
      </c>
      <c r="AR69" s="2742"/>
      <c r="AS69" s="34"/>
      <c r="AT69" s="1844"/>
      <c r="AU69" s="35">
        <f t="shared" si="13"/>
        <v>4071.8399999999992</v>
      </c>
      <c r="AV69" s="2742"/>
      <c r="AW69" s="34"/>
      <c r="AX69" s="1844"/>
      <c r="AY69" s="35">
        <f t="shared" si="14"/>
        <v>4071.8399999999992</v>
      </c>
      <c r="AZ69" s="2742"/>
      <c r="BA69" s="34"/>
      <c r="BB69" s="830"/>
      <c r="BC69" s="717">
        <f t="shared" si="15"/>
        <v>0</v>
      </c>
      <c r="BD69" s="831"/>
      <c r="BE69" s="645">
        <f t="shared" si="16"/>
        <v>1219.3609999999999</v>
      </c>
      <c r="BF69" s="1844"/>
      <c r="BG69" s="35">
        <f t="shared" si="17"/>
        <v>4071.8399999999992</v>
      </c>
      <c r="BH69" s="23"/>
      <c r="BI69" s="23"/>
      <c r="BJ69" s="23"/>
      <c r="BK69" s="1111"/>
    </row>
    <row r="70" spans="2:67" ht="15" customHeight="1" x14ac:dyDescent="0.3">
      <c r="B70" s="2734" t="s">
        <v>1149</v>
      </c>
      <c r="C70" s="2735" t="s">
        <v>901</v>
      </c>
      <c r="D70" s="2745">
        <v>100.85</v>
      </c>
      <c r="E70" s="1216" t="s">
        <v>50</v>
      </c>
      <c r="F70" s="2737"/>
      <c r="G70" s="83"/>
      <c r="H70" s="2737"/>
      <c r="I70" s="83"/>
      <c r="J70" s="2738"/>
      <c r="K70" s="4119">
        <f t="shared" si="3"/>
        <v>0</v>
      </c>
      <c r="L70" s="2737"/>
      <c r="M70" s="83"/>
      <c r="N70" s="1836"/>
      <c r="O70" s="65">
        <f t="shared" si="4"/>
        <v>0</v>
      </c>
      <c r="P70" s="2737"/>
      <c r="Q70" s="83">
        <v>754.33100000000002</v>
      </c>
      <c r="R70" s="1844"/>
      <c r="S70" s="35">
        <f t="shared" si="5"/>
        <v>754.33100000000002</v>
      </c>
      <c r="T70" s="2737"/>
      <c r="U70" s="83"/>
      <c r="V70" s="1844"/>
      <c r="W70" s="35">
        <f t="shared" si="6"/>
        <v>754.33100000000002</v>
      </c>
      <c r="X70" s="2737"/>
      <c r="Y70" s="83">
        <v>440.56799999999998</v>
      </c>
      <c r="Z70" s="830"/>
      <c r="AA70" s="717">
        <f t="shared" si="7"/>
        <v>1194.8989999999999</v>
      </c>
      <c r="AB70" s="3614"/>
      <c r="AC70" s="429">
        <f t="shared" si="8"/>
        <v>1194.8989999999999</v>
      </c>
      <c r="AD70" s="2737"/>
      <c r="AE70" s="83"/>
      <c r="AF70" s="1844"/>
      <c r="AG70" s="35">
        <f t="shared" si="9"/>
        <v>1194.8989999999999</v>
      </c>
      <c r="AH70" s="2737"/>
      <c r="AI70" s="83">
        <v>1510.2550000000001</v>
      </c>
      <c r="AJ70" s="1844"/>
      <c r="AK70" s="35">
        <f t="shared" si="10"/>
        <v>2705.154</v>
      </c>
      <c r="AL70" s="2737"/>
      <c r="AM70" s="83"/>
      <c r="AN70" s="830"/>
      <c r="AO70" s="717">
        <f t="shared" si="11"/>
        <v>1510.2550000000001</v>
      </c>
      <c r="AP70" s="1844"/>
      <c r="AQ70" s="35">
        <f t="shared" si="12"/>
        <v>2705.154</v>
      </c>
      <c r="AR70" s="2737"/>
      <c r="AS70" s="83">
        <v>895.97500000000002</v>
      </c>
      <c r="AT70" s="1844"/>
      <c r="AU70" s="35">
        <f t="shared" si="13"/>
        <v>3601.1289999999999</v>
      </c>
      <c r="AV70" s="2737"/>
      <c r="AW70" s="83">
        <v>843.72800000000007</v>
      </c>
      <c r="AX70" s="1844"/>
      <c r="AY70" s="35">
        <f t="shared" si="14"/>
        <v>4444.857</v>
      </c>
      <c r="AZ70" s="2737"/>
      <c r="BA70" s="83">
        <v>1022.9659999999999</v>
      </c>
      <c r="BB70" s="830"/>
      <c r="BC70" s="717">
        <f t="shared" si="15"/>
        <v>2762.6689999999999</v>
      </c>
      <c r="BD70" s="831"/>
      <c r="BE70" s="645">
        <f t="shared" si="16"/>
        <v>4272.924</v>
      </c>
      <c r="BF70" s="1844"/>
      <c r="BG70" s="35">
        <f t="shared" si="17"/>
        <v>5467.8230000000003</v>
      </c>
      <c r="BH70" s="23"/>
      <c r="BI70" s="23"/>
      <c r="BJ70" s="23"/>
      <c r="BK70" s="1111"/>
    </row>
    <row r="71" spans="2:67" ht="15" customHeight="1" x14ac:dyDescent="0.3">
      <c r="B71" s="2730" t="s">
        <v>1149</v>
      </c>
      <c r="C71" s="3508" t="s">
        <v>1536</v>
      </c>
      <c r="D71" s="3509">
        <v>100.85</v>
      </c>
      <c r="E71" s="1291" t="s">
        <v>50</v>
      </c>
      <c r="F71" s="2732"/>
      <c r="G71" s="25">
        <v>1096.3129999999999</v>
      </c>
      <c r="H71" s="2732"/>
      <c r="I71" s="25"/>
      <c r="J71" s="2733"/>
      <c r="K71" s="4119">
        <f t="shared" si="3"/>
        <v>1096.3129999999999</v>
      </c>
      <c r="L71" s="2732"/>
      <c r="M71" s="25"/>
      <c r="N71" s="4436"/>
      <c r="O71" s="65">
        <f t="shared" si="4"/>
        <v>1096.3129999999999</v>
      </c>
      <c r="P71" s="2732"/>
      <c r="Q71" s="25">
        <v>813.78700000000003</v>
      </c>
      <c r="R71" s="4437"/>
      <c r="S71" s="35">
        <f t="shared" si="5"/>
        <v>1910.1</v>
      </c>
      <c r="T71" s="2732"/>
      <c r="U71" s="25"/>
      <c r="V71" s="4437"/>
      <c r="W71" s="35">
        <f t="shared" si="6"/>
        <v>1910.1</v>
      </c>
      <c r="X71" s="2732"/>
      <c r="Y71" s="25">
        <v>485.36</v>
      </c>
      <c r="Z71" s="4426"/>
      <c r="AA71" s="717">
        <f t="shared" si="7"/>
        <v>1299.1469999999999</v>
      </c>
      <c r="AB71" s="3614"/>
      <c r="AC71" s="429">
        <f t="shared" si="8"/>
        <v>2395.46</v>
      </c>
      <c r="AD71" s="2732"/>
      <c r="AE71" s="25"/>
      <c r="AF71" s="4437"/>
      <c r="AG71" s="35">
        <f t="shared" si="9"/>
        <v>2395.46</v>
      </c>
      <c r="AH71" s="2732"/>
      <c r="AI71" s="25">
        <v>211.917</v>
      </c>
      <c r="AJ71" s="4437"/>
      <c r="AK71" s="35">
        <f t="shared" si="10"/>
        <v>2607.377</v>
      </c>
      <c r="AL71" s="2732"/>
      <c r="AM71" s="25"/>
      <c r="AN71" s="4426"/>
      <c r="AO71" s="717">
        <f t="shared" si="11"/>
        <v>211.917</v>
      </c>
      <c r="AP71" s="4437"/>
      <c r="AQ71" s="35">
        <f t="shared" si="12"/>
        <v>2607.377</v>
      </c>
      <c r="AR71" s="2732"/>
      <c r="AS71" s="25"/>
      <c r="AT71" s="4437"/>
      <c r="AU71" s="4063">
        <f t="shared" si="13"/>
        <v>2607.377</v>
      </c>
      <c r="AV71" s="2732"/>
      <c r="AW71" s="25"/>
      <c r="AX71" s="4437"/>
      <c r="AY71" s="35">
        <f t="shared" si="14"/>
        <v>2607.377</v>
      </c>
      <c r="AZ71" s="2732"/>
      <c r="BA71" s="25"/>
      <c r="BB71" s="4426"/>
      <c r="BC71" s="717">
        <f t="shared" si="15"/>
        <v>0</v>
      </c>
      <c r="BD71" s="4440"/>
      <c r="BE71" s="645">
        <f t="shared" si="16"/>
        <v>211.917</v>
      </c>
      <c r="BF71" s="4437"/>
      <c r="BG71" s="35">
        <f t="shared" si="17"/>
        <v>2607.377</v>
      </c>
      <c r="BH71" s="23"/>
      <c r="BI71" s="23"/>
      <c r="BJ71" s="23"/>
      <c r="BK71" s="1111"/>
    </row>
    <row r="72" spans="2:67" ht="15" customHeight="1" x14ac:dyDescent="0.3">
      <c r="B72" s="2730" t="s">
        <v>1149</v>
      </c>
      <c r="C72" s="3508" t="s">
        <v>1536</v>
      </c>
      <c r="D72" s="3509">
        <v>117.03</v>
      </c>
      <c r="E72" s="1291" t="s">
        <v>50</v>
      </c>
      <c r="F72" s="2732"/>
      <c r="G72" s="25"/>
      <c r="H72" s="2732"/>
      <c r="I72" s="25"/>
      <c r="J72" s="2733"/>
      <c r="K72" s="4119">
        <f t="shared" si="3"/>
        <v>0</v>
      </c>
      <c r="L72" s="2732"/>
      <c r="M72" s="25"/>
      <c r="N72" s="4436"/>
      <c r="O72" s="65">
        <f t="shared" si="4"/>
        <v>0</v>
      </c>
      <c r="P72" s="2732"/>
      <c r="Q72" s="25">
        <v>814.37</v>
      </c>
      <c r="R72" s="4437"/>
      <c r="S72" s="35">
        <f t="shared" si="5"/>
        <v>814.37</v>
      </c>
      <c r="T72" s="2732"/>
      <c r="U72" s="25"/>
      <c r="V72" s="4437"/>
      <c r="W72" s="35">
        <f t="shared" si="6"/>
        <v>814.37</v>
      </c>
      <c r="X72" s="2732"/>
      <c r="Y72" s="25">
        <v>807.49199999999996</v>
      </c>
      <c r="Z72" s="4426"/>
      <c r="AA72" s="717">
        <f t="shared" si="7"/>
        <v>1621.8620000000001</v>
      </c>
      <c r="AB72" s="3614"/>
      <c r="AC72" s="429">
        <f t="shared" si="8"/>
        <v>1621.8620000000001</v>
      </c>
      <c r="AD72" s="2732"/>
      <c r="AE72" s="25"/>
      <c r="AF72" s="4437"/>
      <c r="AG72" s="35">
        <f t="shared" si="9"/>
        <v>1621.8620000000001</v>
      </c>
      <c r="AH72" s="2732"/>
      <c r="AI72" s="25">
        <v>1458.7530000000002</v>
      </c>
      <c r="AJ72" s="4437"/>
      <c r="AK72" s="35">
        <f t="shared" si="10"/>
        <v>3080.6150000000002</v>
      </c>
      <c r="AL72" s="2732"/>
      <c r="AM72" s="25"/>
      <c r="AN72" s="4426"/>
      <c r="AO72" s="717">
        <f t="shared" si="11"/>
        <v>1458.7530000000002</v>
      </c>
      <c r="AP72" s="4437"/>
      <c r="AQ72" s="35">
        <f t="shared" si="12"/>
        <v>3080.6150000000002</v>
      </c>
      <c r="AR72" s="2732"/>
      <c r="AS72" s="25"/>
      <c r="AT72" s="4437"/>
      <c r="AU72" s="4063">
        <f t="shared" si="13"/>
        <v>3080.6150000000002</v>
      </c>
      <c r="AV72" s="2732"/>
      <c r="AW72" s="25"/>
      <c r="AX72" s="4437"/>
      <c r="AY72" s="35">
        <f t="shared" si="14"/>
        <v>3080.6150000000002</v>
      </c>
      <c r="AZ72" s="2732"/>
      <c r="BA72" s="25"/>
      <c r="BB72" s="4426"/>
      <c r="BC72" s="717">
        <f t="shared" si="15"/>
        <v>0</v>
      </c>
      <c r="BD72" s="4440"/>
      <c r="BE72" s="645">
        <f t="shared" si="16"/>
        <v>1458.7530000000002</v>
      </c>
      <c r="BF72" s="4437"/>
      <c r="BG72" s="35">
        <f t="shared" si="17"/>
        <v>3080.6150000000002</v>
      </c>
      <c r="BH72" s="23"/>
      <c r="BI72" s="23"/>
      <c r="BJ72" s="23"/>
      <c r="BK72" s="1111"/>
    </row>
    <row r="73" spans="2:67" ht="15" customHeight="1" x14ac:dyDescent="0.3">
      <c r="B73" s="990" t="s">
        <v>1149</v>
      </c>
      <c r="C73" s="2546" t="s">
        <v>901</v>
      </c>
      <c r="D73" s="2744">
        <v>117.03</v>
      </c>
      <c r="E73" s="1277" t="s">
        <v>50</v>
      </c>
      <c r="F73" s="1822"/>
      <c r="G73" s="17">
        <v>1914.2519999999995</v>
      </c>
      <c r="H73" s="1822"/>
      <c r="I73" s="17"/>
      <c r="J73" s="1827"/>
      <c r="K73" s="4119">
        <f t="shared" si="3"/>
        <v>1914.2519999999995</v>
      </c>
      <c r="L73" s="1822"/>
      <c r="M73" s="17"/>
      <c r="N73" s="1836"/>
      <c r="O73" s="65">
        <f t="shared" si="4"/>
        <v>1914.2519999999995</v>
      </c>
      <c r="P73" s="1822"/>
      <c r="Q73" s="17">
        <v>538.16100000000006</v>
      </c>
      <c r="R73" s="1844"/>
      <c r="S73" s="35">
        <f t="shared" si="5"/>
        <v>2452.4129999999996</v>
      </c>
      <c r="T73" s="1822"/>
      <c r="U73" s="17"/>
      <c r="V73" s="1844"/>
      <c r="W73" s="35">
        <f t="shared" si="6"/>
        <v>2452.4129999999996</v>
      </c>
      <c r="X73" s="1822"/>
      <c r="Y73" s="17">
        <v>174.53800000000001</v>
      </c>
      <c r="Z73" s="830"/>
      <c r="AA73" s="717">
        <f t="shared" si="7"/>
        <v>712.69900000000007</v>
      </c>
      <c r="AB73" s="3614"/>
      <c r="AC73" s="429">
        <f t="shared" si="8"/>
        <v>2626.9509999999996</v>
      </c>
      <c r="AD73" s="1822"/>
      <c r="AE73" s="17"/>
      <c r="AF73" s="1844"/>
      <c r="AG73" s="35">
        <f t="shared" si="9"/>
        <v>2626.9509999999996</v>
      </c>
      <c r="AH73" s="1822"/>
      <c r="AI73" s="17"/>
      <c r="AJ73" s="1844"/>
      <c r="AK73" s="35">
        <f t="shared" si="10"/>
        <v>2626.9509999999996</v>
      </c>
      <c r="AL73" s="1822"/>
      <c r="AM73" s="17"/>
      <c r="AN73" s="830"/>
      <c r="AO73" s="717">
        <f t="shared" si="11"/>
        <v>0</v>
      </c>
      <c r="AP73" s="1844"/>
      <c r="AQ73" s="35">
        <f t="shared" si="12"/>
        <v>2626.9509999999996</v>
      </c>
      <c r="AR73" s="1822"/>
      <c r="AS73" s="17">
        <v>1476.0909999999999</v>
      </c>
      <c r="AT73" s="1844"/>
      <c r="AU73" s="35">
        <f t="shared" si="13"/>
        <v>4103.0419999999995</v>
      </c>
      <c r="AV73" s="1822"/>
      <c r="AW73" s="17">
        <v>2230.1320000000001</v>
      </c>
      <c r="AX73" s="1844"/>
      <c r="AY73" s="35">
        <f t="shared" si="14"/>
        <v>6333.1739999999991</v>
      </c>
      <c r="AZ73" s="1822"/>
      <c r="BA73" s="17">
        <v>2014.3009999999997</v>
      </c>
      <c r="BB73" s="830"/>
      <c r="BC73" s="717">
        <f t="shared" si="15"/>
        <v>5720.5239999999994</v>
      </c>
      <c r="BD73" s="831"/>
      <c r="BE73" s="645">
        <f t="shared" si="16"/>
        <v>5720.5239999999994</v>
      </c>
      <c r="BF73" s="1844"/>
      <c r="BG73" s="35">
        <f t="shared" si="17"/>
        <v>8347.4749999999985</v>
      </c>
      <c r="BH73" s="23"/>
      <c r="BI73" s="23"/>
      <c r="BJ73" s="23"/>
      <c r="BK73" s="1111"/>
    </row>
    <row r="74" spans="2:67" ht="15" customHeight="1" thickBot="1" x14ac:dyDescent="0.35">
      <c r="B74" s="2739" t="s">
        <v>1149</v>
      </c>
      <c r="C74" s="2740" t="s">
        <v>901</v>
      </c>
      <c r="D74" s="2741">
        <v>237.92</v>
      </c>
      <c r="E74" s="1296" t="s">
        <v>50</v>
      </c>
      <c r="F74" s="2742"/>
      <c r="G74" s="34"/>
      <c r="H74" s="2742"/>
      <c r="I74" s="34"/>
      <c r="J74" s="2743"/>
      <c r="K74" s="4119">
        <f t="shared" si="3"/>
        <v>0</v>
      </c>
      <c r="L74" s="2742"/>
      <c r="M74" s="34"/>
      <c r="N74" s="1836"/>
      <c r="O74" s="65">
        <f t="shared" si="4"/>
        <v>0</v>
      </c>
      <c r="P74" s="2742"/>
      <c r="Q74" s="34"/>
      <c r="R74" s="1844"/>
      <c r="S74" s="35">
        <f t="shared" si="5"/>
        <v>0</v>
      </c>
      <c r="T74" s="2742"/>
      <c r="U74" s="34"/>
      <c r="V74" s="1844"/>
      <c r="W74" s="35">
        <f t="shared" si="6"/>
        <v>0</v>
      </c>
      <c r="X74" s="2742"/>
      <c r="Y74" s="34"/>
      <c r="Z74" s="830"/>
      <c r="AA74" s="717">
        <f t="shared" si="7"/>
        <v>0</v>
      </c>
      <c r="AB74" s="3614"/>
      <c r="AC74" s="429">
        <f t="shared" si="8"/>
        <v>0</v>
      </c>
      <c r="AD74" s="2742"/>
      <c r="AE74" s="34"/>
      <c r="AF74" s="1844"/>
      <c r="AG74" s="35">
        <f t="shared" si="9"/>
        <v>0</v>
      </c>
      <c r="AH74" s="2742"/>
      <c r="AI74" s="34"/>
      <c r="AJ74" s="1844"/>
      <c r="AK74" s="35">
        <f t="shared" ref="AK74:AK119" si="21">+AG74+AI74</f>
        <v>0</v>
      </c>
      <c r="AL74" s="2742"/>
      <c r="AM74" s="34"/>
      <c r="AN74" s="830"/>
      <c r="AO74" s="717">
        <f t="shared" ref="AO74:AO117" si="22">+AE74+AI74+AM74</f>
        <v>0</v>
      </c>
      <c r="AP74" s="1844"/>
      <c r="AQ74" s="35">
        <f t="shared" ref="AQ74:AQ118" si="23">AK74+AM74</f>
        <v>0</v>
      </c>
      <c r="AR74" s="2742"/>
      <c r="AS74" s="34"/>
      <c r="AT74" s="1844"/>
      <c r="AU74" s="35">
        <f t="shared" ref="AU74:AU119" si="24">+AQ74+AS74</f>
        <v>0</v>
      </c>
      <c r="AV74" s="2742"/>
      <c r="AW74" s="34"/>
      <c r="AX74" s="1844"/>
      <c r="AY74" s="35">
        <f t="shared" ref="AY74:AY103" si="25">+AU74+AW74</f>
        <v>0</v>
      </c>
      <c r="AZ74" s="2742"/>
      <c r="BA74" s="34"/>
      <c r="BB74" s="830"/>
      <c r="BC74" s="717">
        <f t="shared" si="15"/>
        <v>0</v>
      </c>
      <c r="BD74" s="831"/>
      <c r="BE74" s="645">
        <f t="shared" si="16"/>
        <v>0</v>
      </c>
      <c r="BF74" s="1844"/>
      <c r="BG74" s="35">
        <f t="shared" ref="BG74:BG119" si="26">+AY74+BA74</f>
        <v>0</v>
      </c>
      <c r="BH74" s="23"/>
      <c r="BI74" s="23"/>
      <c r="BJ74" s="23"/>
      <c r="BK74" s="1111"/>
    </row>
    <row r="75" spans="2:67" ht="15" customHeight="1" thickBot="1" x14ac:dyDescent="0.35">
      <c r="B75" s="4451" t="s">
        <v>1969</v>
      </c>
      <c r="C75" s="4452" t="s">
        <v>966</v>
      </c>
      <c r="D75" s="4453">
        <v>46.1</v>
      </c>
      <c r="E75" s="1296" t="s">
        <v>50</v>
      </c>
      <c r="F75" s="4455"/>
      <c r="G75" s="4456"/>
      <c r="H75" s="4455"/>
      <c r="I75" s="4456"/>
      <c r="J75" s="4457"/>
      <c r="K75" s="4119">
        <f t="shared" si="3"/>
        <v>0</v>
      </c>
      <c r="L75" s="4455"/>
      <c r="M75" s="4456"/>
      <c r="N75" s="4436"/>
      <c r="O75" s="4450"/>
      <c r="P75" s="4455"/>
      <c r="Q75" s="4456"/>
      <c r="R75" s="4437"/>
      <c r="S75" s="35">
        <f t="shared" si="5"/>
        <v>0</v>
      </c>
      <c r="T75" s="4455"/>
      <c r="U75" s="4456">
        <v>132.46199999999999</v>
      </c>
      <c r="V75" s="4437"/>
      <c r="W75" s="35">
        <f t="shared" si="6"/>
        <v>132.46199999999999</v>
      </c>
      <c r="X75" s="4455"/>
      <c r="Y75" s="4456">
        <v>186.41899999999998</v>
      </c>
      <c r="Z75" s="4426"/>
      <c r="AA75" s="717">
        <f t="shared" si="7"/>
        <v>318.88099999999997</v>
      </c>
      <c r="AB75" s="3614"/>
      <c r="AC75" s="429">
        <f t="shared" si="8"/>
        <v>318.88099999999997</v>
      </c>
      <c r="AD75" s="4455"/>
      <c r="AE75" s="4456"/>
      <c r="AF75" s="4437"/>
      <c r="AG75" s="35">
        <f t="shared" si="9"/>
        <v>318.88099999999997</v>
      </c>
      <c r="AH75" s="4455"/>
      <c r="AI75" s="4456"/>
      <c r="AJ75" s="4437"/>
      <c r="AK75" s="35">
        <f t="shared" si="21"/>
        <v>318.88099999999997</v>
      </c>
      <c r="AL75" s="4455"/>
      <c r="AM75" s="4456"/>
      <c r="AN75" s="4426"/>
      <c r="AO75" s="717">
        <f t="shared" si="22"/>
        <v>0</v>
      </c>
      <c r="AP75" s="4437"/>
      <c r="AQ75" s="35">
        <f t="shared" si="23"/>
        <v>318.88099999999997</v>
      </c>
      <c r="AR75" s="4455"/>
      <c r="AS75" s="4456"/>
      <c r="AT75" s="4437"/>
      <c r="AU75" s="4063">
        <f t="shared" si="24"/>
        <v>318.88099999999997</v>
      </c>
      <c r="AV75" s="4455"/>
      <c r="AW75" s="4456"/>
      <c r="AX75" s="4437"/>
      <c r="AY75" s="35">
        <f t="shared" si="25"/>
        <v>318.88099999999997</v>
      </c>
      <c r="AZ75" s="4455"/>
      <c r="BA75" s="4456"/>
      <c r="BB75" s="4426"/>
      <c r="BC75" s="717">
        <f t="shared" si="15"/>
        <v>0</v>
      </c>
      <c r="BD75" s="4440"/>
      <c r="BE75" s="645">
        <f t="shared" si="16"/>
        <v>0</v>
      </c>
      <c r="BF75" s="4437"/>
      <c r="BG75" s="35">
        <f t="shared" si="26"/>
        <v>318.88099999999997</v>
      </c>
      <c r="BH75" s="23"/>
      <c r="BI75" s="23"/>
      <c r="BJ75" s="23"/>
      <c r="BK75" s="1111"/>
    </row>
    <row r="76" spans="2:67" ht="15" customHeight="1" thickBot="1" x14ac:dyDescent="0.35">
      <c r="B76" s="4451" t="s">
        <v>1969</v>
      </c>
      <c r="C76" s="4452" t="s">
        <v>901</v>
      </c>
      <c r="D76" s="4453">
        <v>46.1</v>
      </c>
      <c r="E76" s="4454" t="s">
        <v>50</v>
      </c>
      <c r="F76" s="4455"/>
      <c r="G76" s="4456"/>
      <c r="H76" s="4455"/>
      <c r="I76" s="4456"/>
      <c r="J76" s="4457"/>
      <c r="K76" s="4119">
        <f t="shared" si="3"/>
        <v>0</v>
      </c>
      <c r="L76" s="4455"/>
      <c r="M76" s="4456">
        <v>1589.9769999999999</v>
      </c>
      <c r="N76" s="4436"/>
      <c r="O76" s="65">
        <f t="shared" si="4"/>
        <v>1589.9769999999999</v>
      </c>
      <c r="P76" s="4455"/>
      <c r="Q76" s="4456">
        <v>1547.614</v>
      </c>
      <c r="R76" s="4437"/>
      <c r="S76" s="35">
        <f t="shared" si="5"/>
        <v>3137.5909999999999</v>
      </c>
      <c r="T76" s="4455"/>
      <c r="U76" s="4456">
        <v>1639.5419999999999</v>
      </c>
      <c r="V76" s="4437"/>
      <c r="W76" s="35">
        <f t="shared" si="6"/>
        <v>4777.1329999999998</v>
      </c>
      <c r="X76" s="4455"/>
      <c r="Y76" s="4456">
        <v>858.66999999999985</v>
      </c>
      <c r="Z76" s="4426"/>
      <c r="AA76" s="717">
        <f t="shared" ref="AA76:AA119" si="27">+Q76+U76+Y76</f>
        <v>4045.826</v>
      </c>
      <c r="AB76" s="3614"/>
      <c r="AC76" s="429">
        <f t="shared" ref="AC76:AC119" si="28">+AA76+O76</f>
        <v>5635.8029999999999</v>
      </c>
      <c r="AD76" s="4455"/>
      <c r="AE76" s="4456"/>
      <c r="AF76" s="4437"/>
      <c r="AG76" s="35">
        <f t="shared" ref="AG76:AG118" si="29">+AC76+AE76</f>
        <v>5635.8029999999999</v>
      </c>
      <c r="AH76" s="4455"/>
      <c r="AI76" s="4456">
        <v>725.79800000000012</v>
      </c>
      <c r="AJ76" s="4437"/>
      <c r="AK76" s="35">
        <f t="shared" si="21"/>
        <v>6361.6009999999997</v>
      </c>
      <c r="AL76" s="4455"/>
      <c r="AM76" s="4456"/>
      <c r="AN76" s="4426"/>
      <c r="AO76" s="717">
        <f t="shared" si="22"/>
        <v>725.79800000000012</v>
      </c>
      <c r="AP76" s="4437"/>
      <c r="AQ76" s="35">
        <f t="shared" si="23"/>
        <v>6361.6009999999997</v>
      </c>
      <c r="AR76" s="4455"/>
      <c r="AS76" s="4456">
        <v>1445.3230000000001</v>
      </c>
      <c r="AT76" s="4437"/>
      <c r="AU76" s="4063">
        <f t="shared" si="24"/>
        <v>7806.924</v>
      </c>
      <c r="AV76" s="4455"/>
      <c r="AW76" s="4456"/>
      <c r="AX76" s="4437"/>
      <c r="AY76" s="35">
        <f t="shared" si="25"/>
        <v>7806.924</v>
      </c>
      <c r="AZ76" s="4455"/>
      <c r="BA76" s="4456">
        <v>1563.941</v>
      </c>
      <c r="BB76" s="4426"/>
      <c r="BC76" s="717">
        <f t="shared" si="15"/>
        <v>3009.2640000000001</v>
      </c>
      <c r="BD76" s="4440"/>
      <c r="BE76" s="645">
        <f t="shared" si="16"/>
        <v>3735.0620000000004</v>
      </c>
      <c r="BF76" s="4437"/>
      <c r="BG76" s="35">
        <f t="shared" si="26"/>
        <v>9370.8649999999998</v>
      </c>
      <c r="BH76" s="23"/>
      <c r="BI76" s="23"/>
      <c r="BJ76" s="23"/>
      <c r="BK76" s="1111"/>
    </row>
    <row r="77" spans="2:67" ht="15" customHeight="1" thickBot="1" x14ac:dyDescent="0.35">
      <c r="B77" s="4451" t="s">
        <v>1969</v>
      </c>
      <c r="C77" s="4452" t="s">
        <v>901</v>
      </c>
      <c r="D77" s="4453">
        <v>52</v>
      </c>
      <c r="E77" s="4454" t="s">
        <v>50</v>
      </c>
      <c r="F77" s="4455"/>
      <c r="G77" s="4456">
        <v>191.33199999999999</v>
      </c>
      <c r="H77" s="4455"/>
      <c r="I77" s="4456"/>
      <c r="J77" s="4457"/>
      <c r="K77" s="4119">
        <f t="shared" si="3"/>
        <v>191.33199999999999</v>
      </c>
      <c r="L77" s="4455"/>
      <c r="M77" s="4456">
        <v>566.86</v>
      </c>
      <c r="N77" s="4436"/>
      <c r="O77" s="65">
        <f t="shared" si="4"/>
        <v>758.19200000000001</v>
      </c>
      <c r="P77" s="4455"/>
      <c r="Q77" s="4456">
        <v>444.13799999999998</v>
      </c>
      <c r="R77" s="4437"/>
      <c r="S77" s="35">
        <f t="shared" si="5"/>
        <v>1202.33</v>
      </c>
      <c r="T77" s="4455"/>
      <c r="U77" s="4456">
        <v>550.67099999999994</v>
      </c>
      <c r="V77" s="4437"/>
      <c r="W77" s="35">
        <f t="shared" si="6"/>
        <v>1753.0009999999997</v>
      </c>
      <c r="X77" s="4455"/>
      <c r="Y77" s="4456">
        <v>325.86299999999994</v>
      </c>
      <c r="Z77" s="4426"/>
      <c r="AA77" s="717">
        <f t="shared" si="27"/>
        <v>1320.672</v>
      </c>
      <c r="AB77" s="3614"/>
      <c r="AC77" s="429">
        <f t="shared" si="28"/>
        <v>2078.864</v>
      </c>
      <c r="AD77" s="4455"/>
      <c r="AE77" s="4456"/>
      <c r="AF77" s="4437"/>
      <c r="AG77" s="35">
        <f t="shared" si="29"/>
        <v>2078.864</v>
      </c>
      <c r="AH77" s="4455"/>
      <c r="AI77" s="4456">
        <v>616.17699999999991</v>
      </c>
      <c r="AJ77" s="4437"/>
      <c r="AK77" s="35">
        <f t="shared" si="21"/>
        <v>2695.0410000000002</v>
      </c>
      <c r="AL77" s="4455"/>
      <c r="AM77" s="4456"/>
      <c r="AN77" s="4426"/>
      <c r="AO77" s="717">
        <f t="shared" si="22"/>
        <v>616.17699999999991</v>
      </c>
      <c r="AP77" s="4437"/>
      <c r="AQ77" s="35">
        <f t="shared" si="23"/>
        <v>2695.0410000000002</v>
      </c>
      <c r="AR77" s="4455"/>
      <c r="AS77" s="4456">
        <v>733.93499999999995</v>
      </c>
      <c r="AT77" s="4437"/>
      <c r="AU77" s="4063">
        <f t="shared" si="24"/>
        <v>3428.9760000000001</v>
      </c>
      <c r="AV77" s="4455"/>
      <c r="AW77" s="4456"/>
      <c r="AX77" s="4437"/>
      <c r="AY77" s="35">
        <f t="shared" si="25"/>
        <v>3428.9760000000001</v>
      </c>
      <c r="AZ77" s="4455"/>
      <c r="BA77" s="4456"/>
      <c r="BB77" s="4426"/>
      <c r="BC77" s="717">
        <f t="shared" si="15"/>
        <v>733.93499999999995</v>
      </c>
      <c r="BD77" s="4440"/>
      <c r="BE77" s="645">
        <f t="shared" si="16"/>
        <v>1350.1119999999999</v>
      </c>
      <c r="BF77" s="4437"/>
      <c r="BG77" s="35">
        <f t="shared" si="26"/>
        <v>3428.9760000000001</v>
      </c>
      <c r="BH77" s="23"/>
      <c r="BI77" s="23"/>
      <c r="BJ77" s="23"/>
      <c r="BK77" s="1111"/>
    </row>
    <row r="78" spans="2:67" ht="15" customHeight="1" thickBot="1" x14ac:dyDescent="0.35">
      <c r="B78" s="4451" t="s">
        <v>1969</v>
      </c>
      <c r="C78" s="4452" t="s">
        <v>901</v>
      </c>
      <c r="D78" s="4453">
        <v>60</v>
      </c>
      <c r="E78" s="4454" t="s">
        <v>50</v>
      </c>
      <c r="F78" s="4455"/>
      <c r="G78" s="4456">
        <v>763.38599999999985</v>
      </c>
      <c r="H78" s="4455"/>
      <c r="I78" s="4456"/>
      <c r="J78" s="4457"/>
      <c r="K78" s="4119">
        <f t="shared" si="3"/>
        <v>763.38599999999985</v>
      </c>
      <c r="L78" s="4455"/>
      <c r="M78" s="4456">
        <v>492.83800000000002</v>
      </c>
      <c r="N78" s="4436"/>
      <c r="O78" s="65">
        <f t="shared" si="4"/>
        <v>1256.2239999999999</v>
      </c>
      <c r="P78" s="4455"/>
      <c r="Q78" s="4456">
        <v>839.24199999999985</v>
      </c>
      <c r="R78" s="4437"/>
      <c r="S78" s="35">
        <f t="shared" si="5"/>
        <v>2095.4659999999999</v>
      </c>
      <c r="T78" s="4455"/>
      <c r="U78" s="4456">
        <v>289.98299999999995</v>
      </c>
      <c r="V78" s="4437"/>
      <c r="W78" s="35">
        <f t="shared" si="6"/>
        <v>2385.4489999999996</v>
      </c>
      <c r="X78" s="4455"/>
      <c r="Y78" s="4456">
        <v>172.85</v>
      </c>
      <c r="Z78" s="4426"/>
      <c r="AA78" s="717">
        <f t="shared" si="27"/>
        <v>1302.0749999999998</v>
      </c>
      <c r="AB78" s="3614"/>
      <c r="AC78" s="429">
        <f t="shared" si="28"/>
        <v>2558.299</v>
      </c>
      <c r="AD78" s="4455"/>
      <c r="AE78" s="4456"/>
      <c r="AF78" s="4437"/>
      <c r="AG78" s="35">
        <f t="shared" si="29"/>
        <v>2558.299</v>
      </c>
      <c r="AH78" s="4455"/>
      <c r="AI78" s="4456"/>
      <c r="AJ78" s="4437"/>
      <c r="AK78" s="35">
        <f t="shared" si="21"/>
        <v>2558.299</v>
      </c>
      <c r="AL78" s="4455"/>
      <c r="AM78" s="4456"/>
      <c r="AN78" s="4426"/>
      <c r="AO78" s="717">
        <f t="shared" si="22"/>
        <v>0</v>
      </c>
      <c r="AP78" s="4437"/>
      <c r="AQ78" s="35">
        <f t="shared" si="23"/>
        <v>2558.299</v>
      </c>
      <c r="AR78" s="4455"/>
      <c r="AS78" s="4456">
        <v>2119.3679999999999</v>
      </c>
      <c r="AT78" s="4437"/>
      <c r="AU78" s="4063">
        <f t="shared" si="24"/>
        <v>4677.6669999999995</v>
      </c>
      <c r="AV78" s="4455"/>
      <c r="AW78" s="4456"/>
      <c r="AX78" s="4437"/>
      <c r="AY78" s="35">
        <f t="shared" si="25"/>
        <v>4677.6669999999995</v>
      </c>
      <c r="AZ78" s="4455"/>
      <c r="BA78" s="4456">
        <v>667.8119999999999</v>
      </c>
      <c r="BB78" s="4426"/>
      <c r="BC78" s="717">
        <f t="shared" si="15"/>
        <v>2787.18</v>
      </c>
      <c r="BD78" s="4440"/>
      <c r="BE78" s="645">
        <f t="shared" si="16"/>
        <v>2787.18</v>
      </c>
      <c r="BF78" s="4437"/>
      <c r="BG78" s="35">
        <f t="shared" si="26"/>
        <v>5345.4789999999994</v>
      </c>
      <c r="BH78" s="23"/>
      <c r="BI78" s="23"/>
      <c r="BJ78" s="23"/>
      <c r="BK78" s="1111"/>
    </row>
    <row r="79" spans="2:67" ht="15" customHeight="1" thickBot="1" x14ac:dyDescent="0.35">
      <c r="B79" s="4451" t="s">
        <v>1987</v>
      </c>
      <c r="C79" s="4452" t="s">
        <v>966</v>
      </c>
      <c r="D79" s="4453">
        <v>67.16</v>
      </c>
      <c r="E79" s="4454" t="s">
        <v>50</v>
      </c>
      <c r="F79" s="4455"/>
      <c r="G79" s="4456"/>
      <c r="H79" s="4455"/>
      <c r="I79" s="4456"/>
      <c r="J79" s="4457"/>
      <c r="K79" s="4119">
        <f t="shared" si="3"/>
        <v>0</v>
      </c>
      <c r="L79" s="4455"/>
      <c r="M79" s="4456"/>
      <c r="N79" s="4436"/>
      <c r="O79" s="65">
        <f t="shared" si="4"/>
        <v>0</v>
      </c>
      <c r="P79" s="4455"/>
      <c r="Q79" s="4456">
        <v>15.712999999999999</v>
      </c>
      <c r="R79" s="4437"/>
      <c r="S79" s="35">
        <f t="shared" si="5"/>
        <v>15.712999999999999</v>
      </c>
      <c r="T79" s="4455"/>
      <c r="U79" s="4456"/>
      <c r="V79" s="4437"/>
      <c r="W79" s="35">
        <f t="shared" si="6"/>
        <v>15.712999999999999</v>
      </c>
      <c r="X79" s="4455"/>
      <c r="Y79" s="4456"/>
      <c r="Z79" s="4426"/>
      <c r="AA79" s="717">
        <f t="shared" si="27"/>
        <v>15.712999999999999</v>
      </c>
      <c r="AB79" s="3614"/>
      <c r="AC79" s="429">
        <f t="shared" si="28"/>
        <v>15.712999999999999</v>
      </c>
      <c r="AD79" s="4455"/>
      <c r="AE79" s="4456"/>
      <c r="AF79" s="4437"/>
      <c r="AG79" s="35">
        <f t="shared" si="29"/>
        <v>15.712999999999999</v>
      </c>
      <c r="AH79" s="4455"/>
      <c r="AI79" s="4456"/>
      <c r="AJ79" s="4437"/>
      <c r="AK79" s="35">
        <f t="shared" si="21"/>
        <v>15.712999999999999</v>
      </c>
      <c r="AL79" s="4455"/>
      <c r="AM79" s="4456"/>
      <c r="AN79" s="4426"/>
      <c r="AO79" s="717">
        <f t="shared" si="22"/>
        <v>0</v>
      </c>
      <c r="AP79" s="4437"/>
      <c r="AQ79" s="35">
        <f t="shared" si="23"/>
        <v>15.712999999999999</v>
      </c>
      <c r="AR79" s="4455"/>
      <c r="AS79" s="4456"/>
      <c r="AT79" s="4437"/>
      <c r="AU79" s="4063">
        <f t="shared" si="24"/>
        <v>15.712999999999999</v>
      </c>
      <c r="AV79" s="4455"/>
      <c r="AW79" s="4456"/>
      <c r="AX79" s="4437"/>
      <c r="AY79" s="35">
        <f t="shared" si="25"/>
        <v>15.712999999999999</v>
      </c>
      <c r="AZ79" s="4455"/>
      <c r="BA79" s="4456"/>
      <c r="BB79" s="4426"/>
      <c r="BC79" s="717">
        <f t="shared" si="15"/>
        <v>0</v>
      </c>
      <c r="BD79" s="4440"/>
      <c r="BE79" s="645">
        <f t="shared" si="16"/>
        <v>0</v>
      </c>
      <c r="BF79" s="4437"/>
      <c r="BG79" s="35">
        <f t="shared" si="26"/>
        <v>15.712999999999999</v>
      </c>
      <c r="BH79" s="23"/>
      <c r="BI79" s="23"/>
      <c r="BJ79" s="23"/>
      <c r="BK79" s="1111"/>
    </row>
    <row r="80" spans="2:67" ht="15" customHeight="1" thickBot="1" x14ac:dyDescent="0.35">
      <c r="B80" s="4451" t="s">
        <v>2068</v>
      </c>
      <c r="C80" s="4452" t="s">
        <v>966</v>
      </c>
      <c r="D80" s="4453"/>
      <c r="E80" s="4454" t="s">
        <v>50</v>
      </c>
      <c r="F80" s="4455"/>
      <c r="G80" s="4456"/>
      <c r="H80" s="4455"/>
      <c r="I80" s="4456"/>
      <c r="J80" s="4457"/>
      <c r="K80" s="4119">
        <f t="shared" si="3"/>
        <v>0</v>
      </c>
      <c r="L80" s="4455"/>
      <c r="M80" s="4456"/>
      <c r="N80" s="4436"/>
      <c r="O80" s="4450"/>
      <c r="P80" s="4455"/>
      <c r="Q80" s="4456"/>
      <c r="R80" s="4437"/>
      <c r="S80" s="4063"/>
      <c r="T80" s="4455"/>
      <c r="U80" s="4456"/>
      <c r="V80" s="4437"/>
      <c r="W80" s="4063"/>
      <c r="X80" s="4455"/>
      <c r="Y80" s="4456"/>
      <c r="Z80" s="4535"/>
      <c r="AA80" s="4515"/>
      <c r="AB80" s="4585"/>
      <c r="AC80" s="4651"/>
      <c r="AD80" s="4455"/>
      <c r="AE80" s="4456"/>
      <c r="AF80" s="4437"/>
      <c r="AG80" s="35">
        <f t="shared" si="29"/>
        <v>0</v>
      </c>
      <c r="AH80" s="4455"/>
      <c r="AI80" s="4456">
        <v>891.81900000000007</v>
      </c>
      <c r="AJ80" s="4437"/>
      <c r="AK80" s="35">
        <f t="shared" si="21"/>
        <v>891.81900000000007</v>
      </c>
      <c r="AL80" s="4455"/>
      <c r="AM80" s="4456"/>
      <c r="AN80" s="4535"/>
      <c r="AO80" s="717">
        <f t="shared" si="22"/>
        <v>891.81900000000007</v>
      </c>
      <c r="AP80" s="4437"/>
      <c r="AQ80" s="35">
        <f t="shared" si="23"/>
        <v>891.81900000000007</v>
      </c>
      <c r="AR80" s="4455"/>
      <c r="AS80" s="4456"/>
      <c r="AT80" s="4437"/>
      <c r="AU80" s="4063">
        <f t="shared" si="24"/>
        <v>891.81900000000007</v>
      </c>
      <c r="AV80" s="4455"/>
      <c r="AW80" s="4456"/>
      <c r="AX80" s="4437"/>
      <c r="AY80" s="35">
        <f t="shared" si="25"/>
        <v>891.81900000000007</v>
      </c>
      <c r="AZ80" s="4455"/>
      <c r="BA80" s="4456"/>
      <c r="BB80" s="4535"/>
      <c r="BC80" s="717">
        <f t="shared" si="15"/>
        <v>0</v>
      </c>
      <c r="BD80" s="4536"/>
      <c r="BE80" s="645">
        <f t="shared" si="16"/>
        <v>891.81900000000007</v>
      </c>
      <c r="BF80" s="4437"/>
      <c r="BG80" s="35">
        <f t="shared" si="26"/>
        <v>891.81900000000007</v>
      </c>
      <c r="BH80" s="23"/>
      <c r="BI80" s="23"/>
      <c r="BJ80" s="23"/>
      <c r="BK80" s="1111"/>
    </row>
    <row r="81" spans="2:63" ht="15" customHeight="1" thickBot="1" x14ac:dyDescent="0.35">
      <c r="B81" s="4451" t="s">
        <v>2069</v>
      </c>
      <c r="C81" s="4452" t="s">
        <v>966</v>
      </c>
      <c r="D81" s="4453"/>
      <c r="E81" s="4454" t="s">
        <v>50</v>
      </c>
      <c r="F81" s="4455"/>
      <c r="G81" s="4456"/>
      <c r="H81" s="4455"/>
      <c r="I81" s="4456"/>
      <c r="J81" s="4457"/>
      <c r="K81" s="4119">
        <f t="shared" si="3"/>
        <v>0</v>
      </c>
      <c r="L81" s="4455"/>
      <c r="M81" s="4456"/>
      <c r="N81" s="4436"/>
      <c r="O81" s="4450"/>
      <c r="P81" s="4455"/>
      <c r="Q81" s="4456"/>
      <c r="R81" s="4437"/>
      <c r="S81" s="4063"/>
      <c r="T81" s="4455"/>
      <c r="U81" s="4456"/>
      <c r="V81" s="4437"/>
      <c r="W81" s="4063"/>
      <c r="X81" s="4455"/>
      <c r="Y81" s="4456"/>
      <c r="Z81" s="4535"/>
      <c r="AA81" s="4515"/>
      <c r="AB81" s="4585"/>
      <c r="AC81" s="4651"/>
      <c r="AD81" s="4455"/>
      <c r="AE81" s="4456"/>
      <c r="AF81" s="4437"/>
      <c r="AG81" s="35">
        <f t="shared" si="29"/>
        <v>0</v>
      </c>
      <c r="AH81" s="4455"/>
      <c r="AI81" s="4456">
        <v>491.40199999999993</v>
      </c>
      <c r="AJ81" s="4437"/>
      <c r="AK81" s="35">
        <f t="shared" si="21"/>
        <v>491.40199999999993</v>
      </c>
      <c r="AL81" s="4455"/>
      <c r="AM81" s="4456"/>
      <c r="AN81" s="4535"/>
      <c r="AO81" s="717">
        <f t="shared" si="22"/>
        <v>491.40199999999993</v>
      </c>
      <c r="AP81" s="4437"/>
      <c r="AQ81" s="35">
        <f t="shared" si="23"/>
        <v>491.40199999999993</v>
      </c>
      <c r="AR81" s="4455"/>
      <c r="AS81" s="4456"/>
      <c r="AT81" s="4437"/>
      <c r="AU81" s="4063">
        <f t="shared" si="24"/>
        <v>491.40199999999993</v>
      </c>
      <c r="AV81" s="4455"/>
      <c r="AW81" s="4456"/>
      <c r="AX81" s="4437"/>
      <c r="AY81" s="35">
        <f t="shared" si="25"/>
        <v>491.40199999999993</v>
      </c>
      <c r="AZ81" s="4455"/>
      <c r="BA81" s="4456"/>
      <c r="BB81" s="4535"/>
      <c r="BC81" s="717">
        <f t="shared" si="15"/>
        <v>0</v>
      </c>
      <c r="BD81" s="4536"/>
      <c r="BE81" s="645">
        <f t="shared" si="16"/>
        <v>491.40199999999993</v>
      </c>
      <c r="BF81" s="4437"/>
      <c r="BG81" s="35">
        <f t="shared" si="26"/>
        <v>491.40199999999993</v>
      </c>
      <c r="BH81" s="23"/>
      <c r="BI81" s="23"/>
      <c r="BJ81" s="23"/>
      <c r="BK81" s="1111"/>
    </row>
    <row r="82" spans="2:63" ht="15" customHeight="1" thickBot="1" x14ac:dyDescent="0.35">
      <c r="B82" s="4451" t="s">
        <v>2093</v>
      </c>
      <c r="C82" s="4452" t="s">
        <v>901</v>
      </c>
      <c r="D82" s="4453"/>
      <c r="E82" s="4454"/>
      <c r="F82" s="4455"/>
      <c r="G82" s="4456"/>
      <c r="H82" s="4455"/>
      <c r="I82" s="4456"/>
      <c r="J82" s="4457"/>
      <c r="K82" s="4119">
        <f t="shared" si="3"/>
        <v>0</v>
      </c>
      <c r="L82" s="4455"/>
      <c r="M82" s="4456"/>
      <c r="N82" s="4035"/>
      <c r="O82" s="4802"/>
      <c r="P82" s="4455"/>
      <c r="Q82" s="4456"/>
      <c r="R82" s="4036"/>
      <c r="S82" s="4025"/>
      <c r="T82" s="4455"/>
      <c r="U82" s="4456"/>
      <c r="V82" s="4036"/>
      <c r="W82" s="4025"/>
      <c r="X82" s="4455"/>
      <c r="Y82" s="4456"/>
      <c r="Z82" s="4037"/>
      <c r="AA82" s="4026"/>
      <c r="AB82" s="4038"/>
      <c r="AC82" s="4736"/>
      <c r="AD82" s="4455"/>
      <c r="AE82" s="4456"/>
      <c r="AF82" s="4036"/>
      <c r="AG82" s="35">
        <f t="shared" si="29"/>
        <v>0</v>
      </c>
      <c r="AH82" s="4455"/>
      <c r="AI82" s="4456"/>
      <c r="AJ82" s="4036"/>
      <c r="AK82" s="4025"/>
      <c r="AL82" s="4455"/>
      <c r="AM82" s="4456">
        <v>701.79300000000001</v>
      </c>
      <c r="AN82" s="4037"/>
      <c r="AO82" s="717">
        <f t="shared" si="22"/>
        <v>701.79300000000001</v>
      </c>
      <c r="AP82" s="4437"/>
      <c r="AQ82" s="35">
        <f t="shared" si="23"/>
        <v>701.79300000000001</v>
      </c>
      <c r="AR82" s="4455"/>
      <c r="AS82" s="4456"/>
      <c r="AT82" s="4437"/>
      <c r="AU82" s="4063">
        <f t="shared" si="24"/>
        <v>701.79300000000001</v>
      </c>
      <c r="AV82" s="4455"/>
      <c r="AW82" s="4456"/>
      <c r="AX82" s="4437"/>
      <c r="AY82" s="35">
        <f t="shared" si="25"/>
        <v>701.79300000000001</v>
      </c>
      <c r="AZ82" s="4455"/>
      <c r="BA82" s="4456"/>
      <c r="BB82" s="4535"/>
      <c r="BC82" s="717">
        <f t="shared" si="15"/>
        <v>0</v>
      </c>
      <c r="BD82" s="4536"/>
      <c r="BE82" s="645">
        <f t="shared" si="16"/>
        <v>701.79300000000001</v>
      </c>
      <c r="BF82" s="4437"/>
      <c r="BG82" s="35">
        <f t="shared" si="26"/>
        <v>701.79300000000001</v>
      </c>
      <c r="BH82" s="23"/>
      <c r="BI82" s="23"/>
      <c r="BJ82" s="23"/>
      <c r="BK82" s="1111"/>
    </row>
    <row r="83" spans="2:63" ht="15" customHeight="1" thickBot="1" x14ac:dyDescent="0.35">
      <c r="B83" s="4451" t="s">
        <v>2024</v>
      </c>
      <c r="C83" s="4452" t="s">
        <v>901</v>
      </c>
      <c r="D83" s="4453"/>
      <c r="E83" s="4454" t="s">
        <v>50</v>
      </c>
      <c r="F83" s="4455"/>
      <c r="G83" s="4456">
        <v>604.125</v>
      </c>
      <c r="H83" s="4455"/>
      <c r="I83" s="4456"/>
      <c r="J83" s="4457"/>
      <c r="K83" s="4119">
        <f t="shared" si="3"/>
        <v>604.125</v>
      </c>
      <c r="L83" s="4455"/>
      <c r="M83" s="4456"/>
      <c r="N83" s="4436"/>
      <c r="O83" s="4450"/>
      <c r="P83" s="4455"/>
      <c r="Q83" s="4456"/>
      <c r="R83" s="4437"/>
      <c r="S83" s="4063"/>
      <c r="T83" s="4455"/>
      <c r="U83" s="4456"/>
      <c r="V83" s="4437"/>
      <c r="W83" s="4063"/>
      <c r="X83" s="4455"/>
      <c r="Y83" s="4456">
        <f>395.763-11.63</f>
        <v>384.13299999999998</v>
      </c>
      <c r="Z83" s="4535"/>
      <c r="AA83" s="717">
        <f t="shared" si="27"/>
        <v>384.13299999999998</v>
      </c>
      <c r="AB83" s="3614"/>
      <c r="AC83" s="429">
        <f t="shared" si="28"/>
        <v>384.13299999999998</v>
      </c>
      <c r="AD83" s="4455"/>
      <c r="AE83" s="4456"/>
      <c r="AF83" s="4437"/>
      <c r="AG83" s="35">
        <f t="shared" si="29"/>
        <v>384.13299999999998</v>
      </c>
      <c r="AH83" s="4455"/>
      <c r="AI83" s="4456"/>
      <c r="AJ83" s="4437"/>
      <c r="AK83" s="35">
        <f t="shared" si="21"/>
        <v>384.13299999999998</v>
      </c>
      <c r="AL83" s="4455"/>
      <c r="AM83" s="4456">
        <v>328.62299999999999</v>
      </c>
      <c r="AN83" s="4535"/>
      <c r="AO83" s="717">
        <f t="shared" si="22"/>
        <v>328.62299999999999</v>
      </c>
      <c r="AP83" s="4437"/>
      <c r="AQ83" s="35">
        <f t="shared" si="23"/>
        <v>712.75599999999997</v>
      </c>
      <c r="AR83" s="4455"/>
      <c r="AS83" s="4456">
        <v>664.21900000000005</v>
      </c>
      <c r="AT83" s="4437"/>
      <c r="AU83" s="4063">
        <f t="shared" si="24"/>
        <v>1376.9749999999999</v>
      </c>
      <c r="AV83" s="4455"/>
      <c r="AW83" s="4456"/>
      <c r="AX83" s="4437"/>
      <c r="AY83" s="35">
        <f t="shared" si="25"/>
        <v>1376.9749999999999</v>
      </c>
      <c r="AZ83" s="4455"/>
      <c r="BA83" s="4456"/>
      <c r="BB83" s="4535"/>
      <c r="BC83" s="717">
        <f t="shared" si="15"/>
        <v>664.21900000000005</v>
      </c>
      <c r="BD83" s="4536"/>
      <c r="BE83" s="645">
        <f t="shared" si="16"/>
        <v>992.8420000000001</v>
      </c>
      <c r="BF83" s="4437"/>
      <c r="BG83" s="35">
        <f t="shared" si="26"/>
        <v>1376.9749999999999</v>
      </c>
      <c r="BH83" s="23"/>
      <c r="BI83" s="23"/>
      <c r="BJ83" s="23"/>
      <c r="BK83" s="1111"/>
    </row>
    <row r="84" spans="2:63" ht="15" customHeight="1" thickBot="1" x14ac:dyDescent="0.35">
      <c r="B84" s="4451" t="s">
        <v>2025</v>
      </c>
      <c r="C84" s="4452" t="s">
        <v>966</v>
      </c>
      <c r="D84" s="4453"/>
      <c r="E84" s="4454" t="s">
        <v>50</v>
      </c>
      <c r="F84" s="4455"/>
      <c r="G84" s="4456"/>
      <c r="H84" s="4455"/>
      <c r="I84" s="4456"/>
      <c r="J84" s="4457"/>
      <c r="K84" s="4119">
        <f t="shared" si="3"/>
        <v>0</v>
      </c>
      <c r="L84" s="4455"/>
      <c r="M84" s="4456"/>
      <c r="N84" s="4436"/>
      <c r="O84" s="4450"/>
      <c r="P84" s="4455"/>
      <c r="Q84" s="4456"/>
      <c r="R84" s="4437"/>
      <c r="S84" s="4063"/>
      <c r="T84" s="4455"/>
      <c r="U84" s="4456"/>
      <c r="V84" s="4437"/>
      <c r="W84" s="4063"/>
      <c r="X84" s="4455"/>
      <c r="Y84" s="4456">
        <v>196.38299999999998</v>
      </c>
      <c r="Z84" s="4535"/>
      <c r="AA84" s="717">
        <f t="shared" si="27"/>
        <v>196.38299999999998</v>
      </c>
      <c r="AB84" s="3614"/>
      <c r="AC84" s="429">
        <f t="shared" si="28"/>
        <v>196.38299999999998</v>
      </c>
      <c r="AD84" s="4455"/>
      <c r="AE84" s="4456"/>
      <c r="AF84" s="4437"/>
      <c r="AG84" s="35">
        <f t="shared" si="29"/>
        <v>196.38299999999998</v>
      </c>
      <c r="AH84" s="4455"/>
      <c r="AI84" s="4456"/>
      <c r="AJ84" s="4437"/>
      <c r="AK84" s="35">
        <f t="shared" si="21"/>
        <v>196.38299999999998</v>
      </c>
      <c r="AL84" s="4455"/>
      <c r="AM84" s="4456"/>
      <c r="AN84" s="4535"/>
      <c r="AO84" s="717">
        <f t="shared" si="22"/>
        <v>0</v>
      </c>
      <c r="AP84" s="4437"/>
      <c r="AQ84" s="35">
        <f t="shared" si="23"/>
        <v>196.38299999999998</v>
      </c>
      <c r="AR84" s="4455"/>
      <c r="AS84" s="4456"/>
      <c r="AT84" s="4437"/>
      <c r="AU84" s="4063">
        <f t="shared" si="24"/>
        <v>196.38299999999998</v>
      </c>
      <c r="AV84" s="4455"/>
      <c r="AW84" s="4456"/>
      <c r="AX84" s="4437"/>
      <c r="AY84" s="35">
        <f t="shared" si="25"/>
        <v>196.38299999999998</v>
      </c>
      <c r="AZ84" s="4455"/>
      <c r="BA84" s="4456"/>
      <c r="BB84" s="4535"/>
      <c r="BC84" s="717">
        <f t="shared" si="15"/>
        <v>0</v>
      </c>
      <c r="BD84" s="4536"/>
      <c r="BE84" s="645">
        <f t="shared" si="16"/>
        <v>0</v>
      </c>
      <c r="BF84" s="4437"/>
      <c r="BG84" s="35">
        <f t="shared" si="26"/>
        <v>196.38299999999998</v>
      </c>
      <c r="BH84" s="23"/>
      <c r="BI84" s="23"/>
      <c r="BJ84" s="23"/>
      <c r="BK84" s="1111"/>
    </row>
    <row r="85" spans="2:63" ht="15" customHeight="1" thickBot="1" x14ac:dyDescent="0.35">
      <c r="B85" s="4451" t="s">
        <v>2025</v>
      </c>
      <c r="C85" s="4452" t="s">
        <v>901</v>
      </c>
      <c r="D85" s="4453"/>
      <c r="E85" s="4454" t="s">
        <v>50</v>
      </c>
      <c r="F85" s="4455"/>
      <c r="G85" s="4456">
        <v>1013.3359999999999</v>
      </c>
      <c r="H85" s="4455"/>
      <c r="I85" s="4456"/>
      <c r="J85" s="4457"/>
      <c r="K85" s="4119">
        <f t="shared" si="3"/>
        <v>1013.3359999999999</v>
      </c>
      <c r="L85" s="4455"/>
      <c r="M85" s="4456"/>
      <c r="N85" s="4436"/>
      <c r="O85" s="4450"/>
      <c r="P85" s="4455"/>
      <c r="Q85" s="4456"/>
      <c r="R85" s="4437"/>
      <c r="S85" s="4063"/>
      <c r="T85" s="4455"/>
      <c r="U85" s="4456"/>
      <c r="V85" s="4437"/>
      <c r="W85" s="4063"/>
      <c r="X85" s="4455"/>
      <c r="Y85" s="4456">
        <f>620.571-2.04</f>
        <v>618.53100000000006</v>
      </c>
      <c r="Z85" s="4535"/>
      <c r="AA85" s="717">
        <f t="shared" si="27"/>
        <v>618.53100000000006</v>
      </c>
      <c r="AB85" s="3614"/>
      <c r="AC85" s="429">
        <f t="shared" si="28"/>
        <v>618.53100000000006</v>
      </c>
      <c r="AD85" s="4455"/>
      <c r="AE85" s="4456"/>
      <c r="AF85" s="4437"/>
      <c r="AG85" s="35">
        <f t="shared" si="29"/>
        <v>618.53100000000006</v>
      </c>
      <c r="AH85" s="4455"/>
      <c r="AI85" s="4456"/>
      <c r="AJ85" s="4437"/>
      <c r="AK85" s="35">
        <f t="shared" si="21"/>
        <v>618.53100000000006</v>
      </c>
      <c r="AL85" s="4455"/>
      <c r="AM85" s="4456">
        <v>612.71299999999997</v>
      </c>
      <c r="AN85" s="4535"/>
      <c r="AO85" s="717">
        <f t="shared" si="22"/>
        <v>612.71299999999997</v>
      </c>
      <c r="AP85" s="4437"/>
      <c r="AQ85" s="35">
        <f t="shared" si="23"/>
        <v>1231.2440000000001</v>
      </c>
      <c r="AR85" s="4455"/>
      <c r="AS85" s="4456">
        <v>314.30399999999997</v>
      </c>
      <c r="AT85" s="4437"/>
      <c r="AU85" s="4063">
        <f t="shared" si="24"/>
        <v>1545.5480000000002</v>
      </c>
      <c r="AV85" s="4455"/>
      <c r="AW85" s="4456"/>
      <c r="AX85" s="4437"/>
      <c r="AY85" s="35">
        <f t="shared" si="25"/>
        <v>1545.5480000000002</v>
      </c>
      <c r="AZ85" s="4455"/>
      <c r="BA85" s="4456"/>
      <c r="BB85" s="4535"/>
      <c r="BC85" s="717">
        <f t="shared" si="15"/>
        <v>314.30399999999997</v>
      </c>
      <c r="BD85" s="4536"/>
      <c r="BE85" s="645">
        <f t="shared" si="16"/>
        <v>927.01699999999994</v>
      </c>
      <c r="BF85" s="4437"/>
      <c r="BG85" s="35">
        <f t="shared" si="26"/>
        <v>1545.5480000000002</v>
      </c>
      <c r="BH85" s="23"/>
      <c r="BI85" s="23"/>
      <c r="BJ85" s="23"/>
      <c r="BK85" s="1111"/>
    </row>
    <row r="86" spans="2:63" ht="15" customHeight="1" thickBot="1" x14ac:dyDescent="0.35">
      <c r="B86" s="4451" t="s">
        <v>2045</v>
      </c>
      <c r="C86" s="4452" t="s">
        <v>901</v>
      </c>
      <c r="D86" s="4453"/>
      <c r="E86" s="4454" t="s">
        <v>50</v>
      </c>
      <c r="F86" s="4455"/>
      <c r="G86" s="4456"/>
      <c r="H86" s="4455"/>
      <c r="I86" s="4456"/>
      <c r="J86" s="4457"/>
      <c r="K86" s="4119">
        <f t="shared" si="3"/>
        <v>0</v>
      </c>
      <c r="L86" s="4455"/>
      <c r="M86" s="4456"/>
      <c r="N86" s="4436"/>
      <c r="O86" s="4450"/>
      <c r="P86" s="4455"/>
      <c r="Q86" s="4456"/>
      <c r="R86" s="4437"/>
      <c r="S86" s="4063"/>
      <c r="T86" s="4455"/>
      <c r="U86" s="4456"/>
      <c r="V86" s="4437"/>
      <c r="W86" s="4063"/>
      <c r="X86" s="4455"/>
      <c r="Y86" s="4456"/>
      <c r="Z86" s="4535"/>
      <c r="AA86" s="717">
        <f t="shared" si="27"/>
        <v>0</v>
      </c>
      <c r="AB86" s="4585"/>
      <c r="AC86" s="429">
        <f t="shared" si="28"/>
        <v>0</v>
      </c>
      <c r="AD86" s="4455"/>
      <c r="AE86" s="4456">
        <v>507.67699999999991</v>
      </c>
      <c r="AF86" s="4437"/>
      <c r="AG86" s="35">
        <f t="shared" si="29"/>
        <v>507.67699999999991</v>
      </c>
      <c r="AH86" s="4455"/>
      <c r="AI86" s="4456"/>
      <c r="AJ86" s="4437"/>
      <c r="AK86" s="35">
        <f t="shared" si="21"/>
        <v>507.67699999999991</v>
      </c>
      <c r="AL86" s="4455"/>
      <c r="AM86" s="4456">
        <v>664.58400000000006</v>
      </c>
      <c r="AN86" s="4535"/>
      <c r="AO86" s="717">
        <f t="shared" si="22"/>
        <v>1172.261</v>
      </c>
      <c r="AP86" s="4437"/>
      <c r="AQ86" s="35">
        <f t="shared" si="23"/>
        <v>1172.261</v>
      </c>
      <c r="AR86" s="4455"/>
      <c r="AS86" s="4456">
        <v>495.43400000000003</v>
      </c>
      <c r="AT86" s="4437"/>
      <c r="AU86" s="4063">
        <f t="shared" si="24"/>
        <v>1667.6949999999999</v>
      </c>
      <c r="AV86" s="4455"/>
      <c r="AW86" s="4456"/>
      <c r="AX86" s="4437"/>
      <c r="AY86" s="35">
        <f t="shared" si="25"/>
        <v>1667.6949999999999</v>
      </c>
      <c r="AZ86" s="4455"/>
      <c r="BA86" s="4456">
        <v>1015.355</v>
      </c>
      <c r="BB86" s="4535"/>
      <c r="BC86" s="717">
        <f t="shared" si="15"/>
        <v>1510.789</v>
      </c>
      <c r="BD86" s="4536"/>
      <c r="BE86" s="645">
        <f t="shared" si="16"/>
        <v>2683.05</v>
      </c>
      <c r="BF86" s="4437"/>
      <c r="BG86" s="35">
        <f t="shared" si="26"/>
        <v>2683.05</v>
      </c>
      <c r="BH86" s="23"/>
      <c r="BI86" s="23"/>
      <c r="BJ86" s="23"/>
      <c r="BK86" s="1111"/>
    </row>
    <row r="87" spans="2:63" ht="15" customHeight="1" thickBot="1" x14ac:dyDescent="0.35">
      <c r="B87" s="4451" t="s">
        <v>2094</v>
      </c>
      <c r="C87" s="4452" t="s">
        <v>901</v>
      </c>
      <c r="D87" s="4453"/>
      <c r="E87" s="4454"/>
      <c r="F87" s="4455"/>
      <c r="G87" s="4456"/>
      <c r="H87" s="4455"/>
      <c r="I87" s="4456"/>
      <c r="J87" s="4457"/>
      <c r="K87" s="4119">
        <f t="shared" si="3"/>
        <v>0</v>
      </c>
      <c r="L87" s="4455"/>
      <c r="M87" s="4456"/>
      <c r="N87" s="4035"/>
      <c r="O87" s="4802"/>
      <c r="P87" s="4455"/>
      <c r="Q87" s="4456"/>
      <c r="R87" s="4036"/>
      <c r="S87" s="4025"/>
      <c r="T87" s="4455"/>
      <c r="U87" s="4456"/>
      <c r="V87" s="4036"/>
      <c r="W87" s="4025"/>
      <c r="X87" s="4455"/>
      <c r="Y87" s="4456"/>
      <c r="Z87" s="4037"/>
      <c r="AA87" s="4026"/>
      <c r="AB87" s="4038"/>
      <c r="AC87" s="4736"/>
      <c r="AD87" s="4455"/>
      <c r="AE87" s="4456"/>
      <c r="AF87" s="4036"/>
      <c r="AG87" s="4025"/>
      <c r="AH87" s="4455"/>
      <c r="AI87" s="4456"/>
      <c r="AJ87" s="4036"/>
      <c r="AK87" s="4025"/>
      <c r="AL87" s="4455"/>
      <c r="AM87" s="4456">
        <v>791.52200000000005</v>
      </c>
      <c r="AN87" s="4037"/>
      <c r="AO87" s="717">
        <f t="shared" si="22"/>
        <v>791.52200000000005</v>
      </c>
      <c r="AP87" s="4437"/>
      <c r="AQ87" s="35">
        <f t="shared" si="23"/>
        <v>791.52200000000005</v>
      </c>
      <c r="AR87" s="4455"/>
      <c r="AS87" s="4456">
        <v>447.64699999999999</v>
      </c>
      <c r="AT87" s="4437"/>
      <c r="AU87" s="4063">
        <f t="shared" si="24"/>
        <v>1239.1690000000001</v>
      </c>
      <c r="AV87" s="4455"/>
      <c r="AW87" s="4456"/>
      <c r="AX87" s="4437"/>
      <c r="AY87" s="35">
        <f t="shared" si="25"/>
        <v>1239.1690000000001</v>
      </c>
      <c r="AZ87" s="4455"/>
      <c r="BA87" s="4456">
        <v>510.62900000000002</v>
      </c>
      <c r="BB87" s="4535"/>
      <c r="BC87" s="717">
        <f t="shared" si="15"/>
        <v>958.27600000000007</v>
      </c>
      <c r="BD87" s="4536"/>
      <c r="BE87" s="645">
        <f t="shared" si="16"/>
        <v>1749.7980000000002</v>
      </c>
      <c r="BF87" s="4437"/>
      <c r="BG87" s="35">
        <f t="shared" si="26"/>
        <v>1749.7980000000002</v>
      </c>
      <c r="BH87" s="23"/>
      <c r="BI87" s="23"/>
      <c r="BJ87" s="23"/>
      <c r="BK87" s="1111"/>
    </row>
    <row r="88" spans="2:63" ht="15" customHeight="1" thickBot="1" x14ac:dyDescent="0.35">
      <c r="B88" s="4451" t="s">
        <v>2046</v>
      </c>
      <c r="C88" s="4452" t="s">
        <v>901</v>
      </c>
      <c r="D88" s="4453"/>
      <c r="E88" s="4454" t="s">
        <v>50</v>
      </c>
      <c r="F88" s="4455"/>
      <c r="G88" s="4456"/>
      <c r="H88" s="4455"/>
      <c r="I88" s="4456"/>
      <c r="J88" s="4457"/>
      <c r="K88" s="4119">
        <f t="shared" si="3"/>
        <v>0</v>
      </c>
      <c r="L88" s="4455"/>
      <c r="M88" s="4456"/>
      <c r="N88" s="4436"/>
      <c r="O88" s="4450"/>
      <c r="P88" s="4455"/>
      <c r="Q88" s="4456"/>
      <c r="R88" s="4437"/>
      <c r="S88" s="4063"/>
      <c r="T88" s="4455"/>
      <c r="U88" s="4456"/>
      <c r="V88" s="4437"/>
      <c r="W88" s="4063"/>
      <c r="X88" s="4455"/>
      <c r="Y88" s="4456"/>
      <c r="Z88" s="4535"/>
      <c r="AA88" s="717">
        <f t="shared" si="27"/>
        <v>0</v>
      </c>
      <c r="AB88" s="4585"/>
      <c r="AC88" s="429">
        <f t="shared" si="28"/>
        <v>0</v>
      </c>
      <c r="AD88" s="4455"/>
      <c r="AE88" s="4456">
        <v>484.55900000000003</v>
      </c>
      <c r="AF88" s="4437"/>
      <c r="AG88" s="35">
        <f t="shared" si="29"/>
        <v>484.55900000000003</v>
      </c>
      <c r="AH88" s="4455"/>
      <c r="AI88" s="4456"/>
      <c r="AJ88" s="4437"/>
      <c r="AK88" s="35">
        <f t="shared" si="21"/>
        <v>484.55900000000003</v>
      </c>
      <c r="AL88" s="4455"/>
      <c r="AM88" s="4456">
        <v>658.78499999999997</v>
      </c>
      <c r="AN88" s="4535"/>
      <c r="AO88" s="717">
        <f t="shared" si="22"/>
        <v>1143.3440000000001</v>
      </c>
      <c r="AP88" s="4437"/>
      <c r="AQ88" s="35">
        <f t="shared" si="23"/>
        <v>1143.3440000000001</v>
      </c>
      <c r="AR88" s="4455"/>
      <c r="AS88" s="4456">
        <v>700.7360000000001</v>
      </c>
      <c r="AT88" s="4437"/>
      <c r="AU88" s="4063">
        <f t="shared" si="24"/>
        <v>1844.0800000000002</v>
      </c>
      <c r="AV88" s="4455"/>
      <c r="AW88" s="4456"/>
      <c r="AX88" s="4437"/>
      <c r="AY88" s="35">
        <f t="shared" si="25"/>
        <v>1844.0800000000002</v>
      </c>
      <c r="AZ88" s="4455"/>
      <c r="BA88" s="4456">
        <v>224.017</v>
      </c>
      <c r="BB88" s="4535"/>
      <c r="BC88" s="717">
        <f t="shared" si="15"/>
        <v>924.75300000000016</v>
      </c>
      <c r="BD88" s="4536"/>
      <c r="BE88" s="645">
        <f t="shared" si="16"/>
        <v>2068.0970000000002</v>
      </c>
      <c r="BF88" s="4437"/>
      <c r="BG88" s="35">
        <f t="shared" si="26"/>
        <v>2068.0970000000002</v>
      </c>
      <c r="BH88" s="23"/>
      <c r="BI88" s="23"/>
      <c r="BJ88" s="23"/>
      <c r="BK88" s="1111"/>
    </row>
    <row r="89" spans="2:63" ht="15" customHeight="1" thickBot="1" x14ac:dyDescent="0.35">
      <c r="B89" s="2746" t="s">
        <v>1242</v>
      </c>
      <c r="C89" s="2747" t="s">
        <v>966</v>
      </c>
      <c r="D89" s="2748">
        <v>27.3</v>
      </c>
      <c r="E89" s="2749" t="s">
        <v>50</v>
      </c>
      <c r="F89" s="2750"/>
      <c r="G89" s="1798"/>
      <c r="H89" s="2750"/>
      <c r="I89" s="1798"/>
      <c r="J89" s="2751"/>
      <c r="K89" s="4119">
        <f t="shared" si="3"/>
        <v>0</v>
      </c>
      <c r="L89" s="2750"/>
      <c r="M89" s="1798"/>
      <c r="N89" s="1836"/>
      <c r="O89" s="65">
        <f t="shared" si="4"/>
        <v>0</v>
      </c>
      <c r="P89" s="2750"/>
      <c r="Q89" s="1798"/>
      <c r="R89" s="1844"/>
      <c r="S89" s="35">
        <f t="shared" si="5"/>
        <v>0</v>
      </c>
      <c r="T89" s="2750"/>
      <c r="U89" s="1798">
        <v>468.21000000000004</v>
      </c>
      <c r="V89" s="1844"/>
      <c r="W89" s="35">
        <f t="shared" si="6"/>
        <v>468.21000000000004</v>
      </c>
      <c r="X89" s="2750"/>
      <c r="Y89" s="1798"/>
      <c r="Z89" s="830"/>
      <c r="AA89" s="717">
        <f t="shared" si="27"/>
        <v>468.21000000000004</v>
      </c>
      <c r="AB89" s="3614"/>
      <c r="AC89" s="429">
        <f t="shared" si="28"/>
        <v>468.21000000000004</v>
      </c>
      <c r="AD89" s="2750"/>
      <c r="AE89" s="1798"/>
      <c r="AF89" s="1844"/>
      <c r="AG89" s="35">
        <f t="shared" si="29"/>
        <v>468.21000000000004</v>
      </c>
      <c r="AH89" s="2750"/>
      <c r="AI89" s="1798"/>
      <c r="AJ89" s="1844"/>
      <c r="AK89" s="35">
        <f t="shared" si="21"/>
        <v>468.21000000000004</v>
      </c>
      <c r="AL89" s="2750"/>
      <c r="AM89" s="1798"/>
      <c r="AN89" s="830"/>
      <c r="AO89" s="717">
        <f t="shared" si="22"/>
        <v>0</v>
      </c>
      <c r="AP89" s="1844"/>
      <c r="AQ89" s="35">
        <f t="shared" si="23"/>
        <v>468.21000000000004</v>
      </c>
      <c r="AR89" s="2750"/>
      <c r="AS89" s="1798"/>
      <c r="AT89" s="1844"/>
      <c r="AU89" s="35">
        <f t="shared" si="24"/>
        <v>468.21000000000004</v>
      </c>
      <c r="AV89" s="2750"/>
      <c r="AW89" s="1798"/>
      <c r="AX89" s="1844"/>
      <c r="AY89" s="35">
        <f t="shared" si="25"/>
        <v>468.21000000000004</v>
      </c>
      <c r="AZ89" s="2750"/>
      <c r="BA89" s="1798"/>
      <c r="BB89" s="830"/>
      <c r="BC89" s="717">
        <f t="shared" si="15"/>
        <v>0</v>
      </c>
      <c r="BD89" s="831"/>
      <c r="BE89" s="645">
        <f t="shared" si="16"/>
        <v>0</v>
      </c>
      <c r="BF89" s="1844"/>
      <c r="BG89" s="35">
        <f t="shared" si="26"/>
        <v>468.21000000000004</v>
      </c>
      <c r="BH89" s="23"/>
      <c r="BI89" s="23"/>
      <c r="BJ89" s="23"/>
      <c r="BK89" s="1111"/>
    </row>
    <row r="90" spans="2:63" ht="15" customHeight="1" thickBot="1" x14ac:dyDescent="0.35">
      <c r="B90" s="4195" t="s">
        <v>1795</v>
      </c>
      <c r="C90" s="2735" t="s">
        <v>966</v>
      </c>
      <c r="D90" s="2745"/>
      <c r="E90" s="3704" t="s">
        <v>50</v>
      </c>
      <c r="F90" s="3705"/>
      <c r="G90" s="3706">
        <v>2238.9240000000004</v>
      </c>
      <c r="H90" s="3705"/>
      <c r="I90" s="3706"/>
      <c r="J90" s="3707"/>
      <c r="K90" s="4119">
        <f t="shared" si="3"/>
        <v>2238.9240000000004</v>
      </c>
      <c r="L90" s="3705"/>
      <c r="M90" s="3706">
        <v>1992.848</v>
      </c>
      <c r="N90" s="4196"/>
      <c r="O90" s="4197">
        <f t="shared" si="4"/>
        <v>4231.7720000000008</v>
      </c>
      <c r="P90" s="3705"/>
      <c r="Q90" s="3706"/>
      <c r="R90" s="4198"/>
      <c r="S90" s="35">
        <f t="shared" ref="S90" si="30">+O90+Q90</f>
        <v>4231.7720000000008</v>
      </c>
      <c r="T90" s="3705"/>
      <c r="U90" s="3706"/>
      <c r="V90" s="4198"/>
      <c r="W90" s="4199">
        <f t="shared" si="6"/>
        <v>4231.7720000000008</v>
      </c>
      <c r="X90" s="3705"/>
      <c r="Y90" s="3706"/>
      <c r="Z90" s="4200"/>
      <c r="AA90" s="717">
        <f t="shared" si="27"/>
        <v>0</v>
      </c>
      <c r="AB90" s="3614"/>
      <c r="AC90" s="429">
        <f t="shared" si="28"/>
        <v>4231.7720000000008</v>
      </c>
      <c r="AD90" s="3705"/>
      <c r="AE90" s="3706"/>
      <c r="AF90" s="4198"/>
      <c r="AG90" s="35">
        <f t="shared" si="29"/>
        <v>4231.7720000000008</v>
      </c>
      <c r="AH90" s="3705"/>
      <c r="AI90" s="3706"/>
      <c r="AJ90" s="4198"/>
      <c r="AK90" s="35">
        <f t="shared" si="21"/>
        <v>4231.7720000000008</v>
      </c>
      <c r="AL90" s="3705"/>
      <c r="AM90" s="3706"/>
      <c r="AN90" s="4200"/>
      <c r="AO90" s="717">
        <f t="shared" si="22"/>
        <v>0</v>
      </c>
      <c r="AP90" s="4198"/>
      <c r="AQ90" s="35">
        <f t="shared" si="23"/>
        <v>4231.7720000000008</v>
      </c>
      <c r="AR90" s="3705"/>
      <c r="AS90" s="3706"/>
      <c r="AT90" s="4198"/>
      <c r="AU90" s="4199">
        <f t="shared" si="24"/>
        <v>4231.7720000000008</v>
      </c>
      <c r="AV90" s="3705"/>
      <c r="AW90" s="3706"/>
      <c r="AX90" s="4198"/>
      <c r="AY90" s="35">
        <f t="shared" si="25"/>
        <v>4231.7720000000008</v>
      </c>
      <c r="AZ90" s="3705"/>
      <c r="BA90" s="3706"/>
      <c r="BB90" s="4200"/>
      <c r="BC90" s="4201">
        <f t="shared" si="15"/>
        <v>0</v>
      </c>
      <c r="BD90" s="4202"/>
      <c r="BE90" s="4203">
        <f t="shared" si="16"/>
        <v>0</v>
      </c>
      <c r="BF90" s="4198"/>
      <c r="BG90" s="35">
        <f t="shared" si="26"/>
        <v>4231.7720000000008</v>
      </c>
      <c r="BH90" s="23"/>
      <c r="BI90" s="23"/>
      <c r="BJ90" s="23"/>
      <c r="BK90" s="1111"/>
    </row>
    <row r="91" spans="2:63" ht="15" customHeight="1" x14ac:dyDescent="0.3">
      <c r="B91" s="3532" t="s">
        <v>1026</v>
      </c>
      <c r="C91" s="2685" t="s">
        <v>966</v>
      </c>
      <c r="D91" s="3533">
        <v>34.200000000000003</v>
      </c>
      <c r="E91" s="750" t="s">
        <v>50</v>
      </c>
      <c r="F91" s="3142"/>
      <c r="G91" s="145">
        <v>2476.9139999999993</v>
      </c>
      <c r="H91" s="3142"/>
      <c r="I91" s="145">
        <v>742.34199999999998</v>
      </c>
      <c r="J91" s="2574"/>
      <c r="K91" s="4119">
        <f t="shared" si="3"/>
        <v>3219.2559999999994</v>
      </c>
      <c r="L91" s="3142"/>
      <c r="M91" s="145">
        <v>2598.3209999999985</v>
      </c>
      <c r="N91" s="3143"/>
      <c r="O91" s="574">
        <f t="shared" si="4"/>
        <v>5817.5769999999975</v>
      </c>
      <c r="P91" s="3142"/>
      <c r="Q91" s="145">
        <v>7076.3909999999969</v>
      </c>
      <c r="R91" s="2574"/>
      <c r="S91" s="35">
        <f t="shared" ref="S91:S117" si="31">+O91+Q91</f>
        <v>12893.967999999993</v>
      </c>
      <c r="T91" s="3142"/>
      <c r="U91" s="145">
        <v>4634.2519999999986</v>
      </c>
      <c r="V91" s="2574"/>
      <c r="W91" s="341">
        <f t="shared" si="6"/>
        <v>17528.219999999994</v>
      </c>
      <c r="X91" s="3142"/>
      <c r="Y91" s="145">
        <v>5204.7959999999994</v>
      </c>
      <c r="Z91" s="3143"/>
      <c r="AA91" s="717">
        <f t="shared" si="27"/>
        <v>16915.438999999995</v>
      </c>
      <c r="AB91" s="3614"/>
      <c r="AC91" s="429">
        <f t="shared" si="28"/>
        <v>22733.015999999992</v>
      </c>
      <c r="AD91" s="3142"/>
      <c r="AE91" s="145"/>
      <c r="AF91" s="2574"/>
      <c r="AG91" s="35">
        <f t="shared" si="29"/>
        <v>22733.015999999992</v>
      </c>
      <c r="AH91" s="3142"/>
      <c r="AI91" s="145">
        <v>3990.779</v>
      </c>
      <c r="AJ91" s="2574"/>
      <c r="AK91" s="35">
        <f t="shared" si="21"/>
        <v>26723.794999999991</v>
      </c>
      <c r="AL91" s="3142"/>
      <c r="AM91" s="145">
        <v>3233.3550000000009</v>
      </c>
      <c r="AN91" s="3143"/>
      <c r="AO91" s="717">
        <f t="shared" si="22"/>
        <v>7224.1340000000009</v>
      </c>
      <c r="AP91" s="2574"/>
      <c r="AQ91" s="35">
        <f t="shared" si="23"/>
        <v>29957.149999999991</v>
      </c>
      <c r="AR91" s="3142"/>
      <c r="AS91" s="145">
        <v>4912.0760000000028</v>
      </c>
      <c r="AT91" s="2574"/>
      <c r="AU91" s="341">
        <f t="shared" si="24"/>
        <v>34869.225999999995</v>
      </c>
      <c r="AV91" s="3142"/>
      <c r="AW91" s="145">
        <v>4893.665</v>
      </c>
      <c r="AX91" s="2574"/>
      <c r="AY91" s="35">
        <f t="shared" si="25"/>
        <v>39762.890999999996</v>
      </c>
      <c r="AZ91" s="3142"/>
      <c r="BA91" s="145">
        <v>3953.2599999999993</v>
      </c>
      <c r="BB91" s="3143"/>
      <c r="BC91" s="574">
        <f t="shared" si="15"/>
        <v>13759.001</v>
      </c>
      <c r="BD91" s="4218"/>
      <c r="BE91" s="4219">
        <f t="shared" si="16"/>
        <v>20983.135000000002</v>
      </c>
      <c r="BF91" s="2574"/>
      <c r="BG91" s="35">
        <f t="shared" si="26"/>
        <v>43716.150999999998</v>
      </c>
      <c r="BH91" s="23"/>
      <c r="BI91" s="23"/>
      <c r="BJ91" s="23"/>
      <c r="BK91" s="1111"/>
    </row>
    <row r="92" spans="2:63" ht="15" customHeight="1" x14ac:dyDescent="0.3">
      <c r="B92" s="4220" t="s">
        <v>1026</v>
      </c>
      <c r="C92" s="4208" t="s">
        <v>1523</v>
      </c>
      <c r="D92" s="4209">
        <v>34.200000000000003</v>
      </c>
      <c r="E92" s="4060" t="s">
        <v>50</v>
      </c>
      <c r="F92" s="4210"/>
      <c r="G92" s="4125"/>
      <c r="H92" s="4210"/>
      <c r="I92" s="4125"/>
      <c r="J92" s="4211"/>
      <c r="K92" s="4119">
        <f t="shared" si="3"/>
        <v>0</v>
      </c>
      <c r="L92" s="4210"/>
      <c r="M92" s="4125">
        <v>700.48399999999992</v>
      </c>
      <c r="N92" s="4212"/>
      <c r="O92" s="4126">
        <f t="shared" si="4"/>
        <v>700.48399999999992</v>
      </c>
      <c r="P92" s="4210"/>
      <c r="Q92" s="4125">
        <v>934.69800000000009</v>
      </c>
      <c r="R92" s="4211"/>
      <c r="S92" s="35">
        <f t="shared" si="31"/>
        <v>1635.182</v>
      </c>
      <c r="T92" s="4210"/>
      <c r="U92" s="4125"/>
      <c r="V92" s="4211"/>
      <c r="W92" s="4119">
        <f t="shared" si="6"/>
        <v>1635.182</v>
      </c>
      <c r="X92" s="4210"/>
      <c r="Y92" s="4125">
        <v>471.18099999999998</v>
      </c>
      <c r="Z92" s="4212"/>
      <c r="AA92" s="717">
        <f t="shared" si="27"/>
        <v>1405.8790000000001</v>
      </c>
      <c r="AB92" s="3614"/>
      <c r="AC92" s="429">
        <f t="shared" si="28"/>
        <v>2106.3630000000003</v>
      </c>
      <c r="AD92" s="4210"/>
      <c r="AE92" s="4125"/>
      <c r="AF92" s="4211"/>
      <c r="AG92" s="35">
        <f t="shared" si="29"/>
        <v>2106.3630000000003</v>
      </c>
      <c r="AH92" s="4210"/>
      <c r="AI92" s="4125">
        <v>368.22899999999998</v>
      </c>
      <c r="AJ92" s="4211"/>
      <c r="AK92" s="35">
        <f t="shared" si="21"/>
        <v>2474.5920000000001</v>
      </c>
      <c r="AL92" s="4210"/>
      <c r="AM92" s="4125">
        <v>34.414000000000001</v>
      </c>
      <c r="AN92" s="4212"/>
      <c r="AO92" s="717">
        <f t="shared" si="22"/>
        <v>402.64299999999997</v>
      </c>
      <c r="AP92" s="4211"/>
      <c r="AQ92" s="35">
        <f t="shared" si="23"/>
        <v>2509.0060000000003</v>
      </c>
      <c r="AR92" s="4210"/>
      <c r="AS92" s="4125"/>
      <c r="AT92" s="4211"/>
      <c r="AU92" s="4119">
        <f t="shared" si="24"/>
        <v>2509.0060000000003</v>
      </c>
      <c r="AV92" s="4210"/>
      <c r="AW92" s="4125">
        <v>112.935</v>
      </c>
      <c r="AX92" s="4211"/>
      <c r="AY92" s="35">
        <f t="shared" si="25"/>
        <v>2621.9410000000003</v>
      </c>
      <c r="AZ92" s="4210"/>
      <c r="BA92" s="4125">
        <v>360.86999999999995</v>
      </c>
      <c r="BB92" s="4212"/>
      <c r="BC92" s="4126">
        <f t="shared" si="15"/>
        <v>473.80499999999995</v>
      </c>
      <c r="BD92" s="4215"/>
      <c r="BE92" s="4216">
        <f t="shared" si="16"/>
        <v>876.44799999999987</v>
      </c>
      <c r="BF92" s="4211"/>
      <c r="BG92" s="35">
        <f t="shared" si="26"/>
        <v>2982.8110000000001</v>
      </c>
      <c r="BH92" s="23"/>
      <c r="BI92" s="23"/>
      <c r="BJ92" s="23"/>
      <c r="BK92" s="1111"/>
    </row>
    <row r="93" spans="2:63" ht="15" customHeight="1" thickBot="1" x14ac:dyDescent="0.35">
      <c r="B93" s="4221" t="s">
        <v>1026</v>
      </c>
      <c r="C93" s="4222" t="s">
        <v>901</v>
      </c>
      <c r="D93" s="4223">
        <v>34.200000000000003</v>
      </c>
      <c r="E93" s="4073" t="s">
        <v>50</v>
      </c>
      <c r="F93" s="4224"/>
      <c r="G93" s="4132"/>
      <c r="H93" s="4224"/>
      <c r="I93" s="4132"/>
      <c r="J93" s="4225"/>
      <c r="K93" s="4119">
        <f t="shared" si="3"/>
        <v>0</v>
      </c>
      <c r="L93" s="4224"/>
      <c r="M93" s="4132"/>
      <c r="N93" s="4226"/>
      <c r="O93" s="4135">
        <f t="shared" si="4"/>
        <v>0</v>
      </c>
      <c r="P93" s="4224"/>
      <c r="Q93" s="4132">
        <v>115.48</v>
      </c>
      <c r="R93" s="4225"/>
      <c r="S93" s="35">
        <f t="shared" si="31"/>
        <v>115.48</v>
      </c>
      <c r="T93" s="4224"/>
      <c r="U93" s="4132"/>
      <c r="V93" s="4225"/>
      <c r="W93" s="4133">
        <f t="shared" si="6"/>
        <v>115.48</v>
      </c>
      <c r="X93" s="4224"/>
      <c r="Y93" s="4132"/>
      <c r="Z93" s="4226"/>
      <c r="AA93" s="717">
        <f t="shared" si="27"/>
        <v>115.48</v>
      </c>
      <c r="AB93" s="3614"/>
      <c r="AC93" s="429">
        <f t="shared" si="28"/>
        <v>115.48</v>
      </c>
      <c r="AD93" s="4224"/>
      <c r="AE93" s="4132"/>
      <c r="AF93" s="4225"/>
      <c r="AG93" s="35">
        <f t="shared" si="29"/>
        <v>115.48</v>
      </c>
      <c r="AH93" s="4224"/>
      <c r="AI93" s="4132"/>
      <c r="AJ93" s="4225"/>
      <c r="AK93" s="35">
        <f t="shared" si="21"/>
        <v>115.48</v>
      </c>
      <c r="AL93" s="4224"/>
      <c r="AM93" s="4132"/>
      <c r="AN93" s="4226"/>
      <c r="AO93" s="717">
        <f t="shared" si="22"/>
        <v>0</v>
      </c>
      <c r="AP93" s="4225"/>
      <c r="AQ93" s="35">
        <f t="shared" si="23"/>
        <v>115.48</v>
      </c>
      <c r="AR93" s="4224"/>
      <c r="AS93" s="4132"/>
      <c r="AT93" s="4225"/>
      <c r="AU93" s="4133">
        <f t="shared" si="24"/>
        <v>115.48</v>
      </c>
      <c r="AV93" s="4224"/>
      <c r="AW93" s="4132"/>
      <c r="AX93" s="4225"/>
      <c r="AY93" s="35">
        <f t="shared" si="25"/>
        <v>115.48</v>
      </c>
      <c r="AZ93" s="4224"/>
      <c r="BA93" s="4132"/>
      <c r="BB93" s="4226"/>
      <c r="BC93" s="4135">
        <f t="shared" si="15"/>
        <v>0</v>
      </c>
      <c r="BD93" s="4229"/>
      <c r="BE93" s="4230">
        <f t="shared" si="16"/>
        <v>0</v>
      </c>
      <c r="BF93" s="4225"/>
      <c r="BG93" s="35">
        <f t="shared" si="26"/>
        <v>115.48</v>
      </c>
      <c r="BH93" s="23"/>
      <c r="BI93" s="23"/>
      <c r="BJ93" s="23"/>
      <c r="BK93" s="1111"/>
    </row>
    <row r="94" spans="2:63" ht="15" customHeight="1" x14ac:dyDescent="0.3">
      <c r="B94" s="4204" t="s">
        <v>894</v>
      </c>
      <c r="C94" s="2683" t="s">
        <v>901</v>
      </c>
      <c r="D94" s="4205">
        <v>36.299999999999997</v>
      </c>
      <c r="E94" s="3510" t="s">
        <v>50</v>
      </c>
      <c r="F94" s="3146"/>
      <c r="G94" s="1095"/>
      <c r="H94" s="3146"/>
      <c r="I94" s="1095"/>
      <c r="J94" s="3147"/>
      <c r="K94" s="4119">
        <f t="shared" si="3"/>
        <v>0</v>
      </c>
      <c r="L94" s="3146"/>
      <c r="M94" s="1095"/>
      <c r="N94" s="3148"/>
      <c r="O94" s="79">
        <f t="shared" si="4"/>
        <v>0</v>
      </c>
      <c r="P94" s="3146"/>
      <c r="Q94" s="1095"/>
      <c r="R94" s="3147"/>
      <c r="S94" s="35">
        <f t="shared" si="31"/>
        <v>0</v>
      </c>
      <c r="T94" s="3146"/>
      <c r="U94" s="1095"/>
      <c r="V94" s="3147"/>
      <c r="W94" s="58">
        <f t="shared" si="6"/>
        <v>0</v>
      </c>
      <c r="X94" s="3146"/>
      <c r="Y94" s="1095"/>
      <c r="Z94" s="3148"/>
      <c r="AA94" s="717">
        <f t="shared" si="27"/>
        <v>0</v>
      </c>
      <c r="AB94" s="3614"/>
      <c r="AC94" s="429">
        <f t="shared" si="28"/>
        <v>0</v>
      </c>
      <c r="AD94" s="3146"/>
      <c r="AE94" s="1095"/>
      <c r="AF94" s="3531"/>
      <c r="AG94" s="35">
        <f t="shared" si="29"/>
        <v>0</v>
      </c>
      <c r="AH94" s="3146"/>
      <c r="AI94" s="1095"/>
      <c r="AJ94" s="3531"/>
      <c r="AK94" s="35">
        <f t="shared" si="21"/>
        <v>0</v>
      </c>
      <c r="AL94" s="3146"/>
      <c r="AM94" s="1095"/>
      <c r="AN94" s="3148"/>
      <c r="AO94" s="717">
        <f t="shared" si="22"/>
        <v>0</v>
      </c>
      <c r="AP94" s="3531"/>
      <c r="AQ94" s="35">
        <f t="shared" si="23"/>
        <v>0</v>
      </c>
      <c r="AR94" s="3146"/>
      <c r="AS94" s="1095"/>
      <c r="AT94" s="3531"/>
      <c r="AU94" s="58">
        <f t="shared" si="24"/>
        <v>0</v>
      </c>
      <c r="AV94" s="3146"/>
      <c r="AW94" s="1095"/>
      <c r="AX94" s="3531"/>
      <c r="AY94" s="35">
        <f t="shared" si="25"/>
        <v>0</v>
      </c>
      <c r="AZ94" s="3146"/>
      <c r="BA94" s="1095"/>
      <c r="BB94" s="3148"/>
      <c r="BC94" s="451">
        <f t="shared" si="15"/>
        <v>0</v>
      </c>
      <c r="BD94" s="4206"/>
      <c r="BE94" s="4207">
        <f t="shared" si="16"/>
        <v>0</v>
      </c>
      <c r="BF94" s="3531"/>
      <c r="BG94" s="35">
        <f t="shared" si="26"/>
        <v>0</v>
      </c>
      <c r="BH94" s="23"/>
      <c r="BI94" s="23"/>
      <c r="BJ94" s="23"/>
      <c r="BK94" s="1111"/>
    </row>
    <row r="95" spans="2:63" ht="15" customHeight="1" x14ac:dyDescent="0.3">
      <c r="B95" s="4204" t="s">
        <v>894</v>
      </c>
      <c r="C95" s="4030" t="s">
        <v>1536</v>
      </c>
      <c r="D95" s="4205">
        <v>36.299999999999997</v>
      </c>
      <c r="E95" s="3510" t="s">
        <v>50</v>
      </c>
      <c r="F95" s="3151"/>
      <c r="G95" s="3152"/>
      <c r="H95" s="3151"/>
      <c r="I95" s="3152"/>
      <c r="J95" s="3153"/>
      <c r="K95" s="4119">
        <f t="shared" si="3"/>
        <v>0</v>
      </c>
      <c r="L95" s="3151"/>
      <c r="M95" s="3152"/>
      <c r="N95" s="3154"/>
      <c r="O95" s="79"/>
      <c r="P95" s="3151"/>
      <c r="Q95" s="3152"/>
      <c r="R95" s="3153"/>
      <c r="S95" s="4063"/>
      <c r="T95" s="3151"/>
      <c r="U95" s="3152"/>
      <c r="V95" s="3153"/>
      <c r="W95" s="58"/>
      <c r="X95" s="3151"/>
      <c r="Y95" s="3152"/>
      <c r="Z95" s="3148"/>
      <c r="AA95" s="4659"/>
      <c r="AB95" s="4888"/>
      <c r="AC95" s="4889"/>
      <c r="AD95" s="3151"/>
      <c r="AE95" s="3152"/>
      <c r="AF95" s="3531"/>
      <c r="AG95" s="35">
        <f t="shared" si="29"/>
        <v>0</v>
      </c>
      <c r="AH95" s="3151"/>
      <c r="AI95" s="3152"/>
      <c r="AJ95" s="3531"/>
      <c r="AK95" s="4063"/>
      <c r="AL95" s="3151"/>
      <c r="AM95" s="3152"/>
      <c r="AN95" s="3148"/>
      <c r="AO95" s="4659"/>
      <c r="AP95" s="3531"/>
      <c r="AQ95" s="4063"/>
      <c r="AR95" s="3151"/>
      <c r="AS95" s="3152"/>
      <c r="AT95" s="3531"/>
      <c r="AU95" s="58"/>
      <c r="AV95" s="3151"/>
      <c r="AW95" s="3152">
        <v>518.30800000000011</v>
      </c>
      <c r="AX95" s="3531"/>
      <c r="AY95" s="35">
        <f t="shared" si="25"/>
        <v>518.30800000000011</v>
      </c>
      <c r="AZ95" s="3151"/>
      <c r="BA95" s="3152"/>
      <c r="BB95" s="3148"/>
      <c r="BC95" s="717">
        <f t="shared" si="15"/>
        <v>518.30800000000011</v>
      </c>
      <c r="BD95" s="4206"/>
      <c r="BE95" s="645">
        <f t="shared" si="16"/>
        <v>518.30800000000011</v>
      </c>
      <c r="BF95" s="3531"/>
      <c r="BG95" s="35">
        <f t="shared" si="26"/>
        <v>518.30800000000011</v>
      </c>
      <c r="BH95" s="23"/>
      <c r="BI95" s="23"/>
      <c r="BJ95" s="23"/>
      <c r="BK95" s="1111"/>
    </row>
    <row r="96" spans="2:63" ht="15" customHeight="1" x14ac:dyDescent="0.3">
      <c r="B96" s="4511" t="s">
        <v>894</v>
      </c>
      <c r="C96" s="4030" t="s">
        <v>1523</v>
      </c>
      <c r="D96" s="4512">
        <v>36.299999999999997</v>
      </c>
      <c r="E96" s="189" t="s">
        <v>50</v>
      </c>
      <c r="F96" s="3151"/>
      <c r="G96" s="3152"/>
      <c r="H96" s="3151"/>
      <c r="I96" s="3152"/>
      <c r="J96" s="3153"/>
      <c r="K96" s="4119">
        <f t="shared" si="3"/>
        <v>0</v>
      </c>
      <c r="L96" s="3151"/>
      <c r="M96" s="3152"/>
      <c r="N96" s="3154"/>
      <c r="O96" s="79"/>
      <c r="P96" s="3151"/>
      <c r="Q96" s="3152"/>
      <c r="R96" s="3153"/>
      <c r="S96" s="35">
        <f t="shared" si="31"/>
        <v>0</v>
      </c>
      <c r="T96" s="3151"/>
      <c r="U96" s="3152">
        <v>84.19</v>
      </c>
      <c r="V96" s="3153"/>
      <c r="W96" s="58">
        <f t="shared" si="6"/>
        <v>84.19</v>
      </c>
      <c r="X96" s="3151"/>
      <c r="Y96" s="3152"/>
      <c r="Z96" s="3148"/>
      <c r="AA96" s="717">
        <f t="shared" si="27"/>
        <v>84.19</v>
      </c>
      <c r="AB96" s="3614"/>
      <c r="AC96" s="429">
        <f t="shared" si="28"/>
        <v>84.19</v>
      </c>
      <c r="AD96" s="3151"/>
      <c r="AE96" s="3152"/>
      <c r="AF96" s="3531"/>
      <c r="AG96" s="35">
        <f t="shared" si="29"/>
        <v>84.19</v>
      </c>
      <c r="AH96" s="3151"/>
      <c r="AI96" s="3152"/>
      <c r="AJ96" s="3531"/>
      <c r="AK96" s="35">
        <f t="shared" si="21"/>
        <v>84.19</v>
      </c>
      <c r="AL96" s="3151"/>
      <c r="AM96" s="3152"/>
      <c r="AN96" s="3148"/>
      <c r="AO96" s="717">
        <f t="shared" si="22"/>
        <v>0</v>
      </c>
      <c r="AP96" s="3531"/>
      <c r="AQ96" s="35">
        <f t="shared" si="23"/>
        <v>84.19</v>
      </c>
      <c r="AR96" s="3151"/>
      <c r="AS96" s="3152"/>
      <c r="AT96" s="3531"/>
      <c r="AU96" s="58">
        <f t="shared" si="24"/>
        <v>84.19</v>
      </c>
      <c r="AV96" s="3151"/>
      <c r="AW96" s="3152"/>
      <c r="AX96" s="3531"/>
      <c r="AY96" s="35">
        <f t="shared" si="25"/>
        <v>84.19</v>
      </c>
      <c r="AZ96" s="3151"/>
      <c r="BA96" s="3152"/>
      <c r="BB96" s="3148"/>
      <c r="BC96" s="717">
        <f t="shared" si="15"/>
        <v>0</v>
      </c>
      <c r="BD96" s="4206"/>
      <c r="BE96" s="645">
        <f t="shared" si="16"/>
        <v>0</v>
      </c>
      <c r="BF96" s="3531"/>
      <c r="BG96" s="35">
        <f t="shared" si="26"/>
        <v>84.19</v>
      </c>
      <c r="BH96" s="23"/>
      <c r="BI96" s="23"/>
      <c r="BJ96" s="23"/>
      <c r="BK96" s="1111"/>
    </row>
    <row r="97" spans="1:63" ht="15" customHeight="1" thickBot="1" x14ac:dyDescent="0.35">
      <c r="B97" s="3534" t="s">
        <v>894</v>
      </c>
      <c r="C97" s="2690" t="s">
        <v>966</v>
      </c>
      <c r="D97" s="3535">
        <v>36.299999999999997</v>
      </c>
      <c r="E97" s="821" t="s">
        <v>50</v>
      </c>
      <c r="F97" s="3140"/>
      <c r="G97" s="103"/>
      <c r="H97" s="3140"/>
      <c r="I97" s="103"/>
      <c r="J97" s="2577"/>
      <c r="K97" s="4119">
        <f t="shared" si="3"/>
        <v>0</v>
      </c>
      <c r="L97" s="3140"/>
      <c r="M97" s="103"/>
      <c r="N97" s="3141"/>
      <c r="O97" s="65">
        <f t="shared" si="4"/>
        <v>0</v>
      </c>
      <c r="P97" s="3140"/>
      <c r="Q97" s="103"/>
      <c r="R97" s="2577"/>
      <c r="S97" s="35">
        <f t="shared" si="31"/>
        <v>0</v>
      </c>
      <c r="T97" s="3140"/>
      <c r="U97" s="103">
        <v>2684.4930000000008</v>
      </c>
      <c r="V97" s="2577"/>
      <c r="W97" s="58">
        <f t="shared" si="6"/>
        <v>2684.4930000000008</v>
      </c>
      <c r="X97" s="3140"/>
      <c r="Y97" s="103"/>
      <c r="Z97" s="830"/>
      <c r="AA97" s="717">
        <f t="shared" si="27"/>
        <v>2684.4930000000008</v>
      </c>
      <c r="AB97" s="3614"/>
      <c r="AC97" s="429">
        <f t="shared" si="28"/>
        <v>2684.4930000000008</v>
      </c>
      <c r="AD97" s="3140"/>
      <c r="AE97" s="103"/>
      <c r="AF97" s="1844"/>
      <c r="AG97" s="35">
        <f t="shared" si="29"/>
        <v>2684.4930000000008</v>
      </c>
      <c r="AH97" s="3140"/>
      <c r="AI97" s="103"/>
      <c r="AJ97" s="1844"/>
      <c r="AK97" s="35">
        <f t="shared" si="21"/>
        <v>2684.4930000000008</v>
      </c>
      <c r="AL97" s="3140"/>
      <c r="AM97" s="103">
        <v>2853.5940000000005</v>
      </c>
      <c r="AN97" s="830"/>
      <c r="AO97" s="717">
        <f t="shared" si="22"/>
        <v>2853.5940000000005</v>
      </c>
      <c r="AP97" s="1844"/>
      <c r="AQ97" s="35">
        <f t="shared" si="23"/>
        <v>5538.0870000000014</v>
      </c>
      <c r="AR97" s="3140"/>
      <c r="AS97" s="103"/>
      <c r="AT97" s="1844"/>
      <c r="AU97" s="35">
        <f t="shared" si="24"/>
        <v>5538.0870000000014</v>
      </c>
      <c r="AV97" s="3140"/>
      <c r="AW97" s="103">
        <v>2321.1590000000001</v>
      </c>
      <c r="AX97" s="1844"/>
      <c r="AY97" s="35">
        <f t="shared" si="25"/>
        <v>7859.246000000001</v>
      </c>
      <c r="AZ97" s="3140"/>
      <c r="BA97" s="103"/>
      <c r="BB97" s="830"/>
      <c r="BC97" s="717">
        <f t="shared" si="15"/>
        <v>2321.1590000000001</v>
      </c>
      <c r="BD97" s="831"/>
      <c r="BE97" s="645">
        <f t="shared" si="16"/>
        <v>5174.7530000000006</v>
      </c>
      <c r="BF97" s="1844"/>
      <c r="BG97" s="35">
        <f t="shared" si="26"/>
        <v>7859.246000000001</v>
      </c>
      <c r="BH97" s="23"/>
      <c r="BI97" s="23"/>
      <c r="BJ97" s="23"/>
      <c r="BK97" s="1111"/>
    </row>
    <row r="98" spans="1:63" ht="15" customHeight="1" x14ac:dyDescent="0.3">
      <c r="B98" s="3507" t="s">
        <v>1311</v>
      </c>
      <c r="C98" s="3508" t="s">
        <v>1291</v>
      </c>
      <c r="D98" s="3509">
        <v>50.1</v>
      </c>
      <c r="E98" s="3510" t="s">
        <v>50</v>
      </c>
      <c r="F98" s="3511"/>
      <c r="G98" s="3427"/>
      <c r="H98" s="3511"/>
      <c r="I98" s="3427"/>
      <c r="J98" s="3512"/>
      <c r="K98" s="4119">
        <f t="shared" ref="K98:K119" si="32">+G98+I98</f>
        <v>0</v>
      </c>
      <c r="L98" s="3511"/>
      <c r="M98" s="3427"/>
      <c r="N98" s="3530"/>
      <c r="O98" s="65">
        <f t="shared" ref="O98:O119" si="33">+G98+I98+M98</f>
        <v>0</v>
      </c>
      <c r="P98" s="3511"/>
      <c r="Q98" s="3427"/>
      <c r="R98" s="3531"/>
      <c r="S98" s="35">
        <f t="shared" si="31"/>
        <v>0</v>
      </c>
      <c r="T98" s="3511"/>
      <c r="U98" s="3427"/>
      <c r="V98" s="3531"/>
      <c r="W98" s="35">
        <f t="shared" ref="W98:W117" si="34">+S98+U98</f>
        <v>0</v>
      </c>
      <c r="X98" s="3511"/>
      <c r="Y98" s="3427">
        <v>57.984000000000009</v>
      </c>
      <c r="Z98" s="2548"/>
      <c r="AA98" s="717">
        <f t="shared" si="27"/>
        <v>57.984000000000009</v>
      </c>
      <c r="AB98" s="3614"/>
      <c r="AC98" s="429">
        <f t="shared" si="28"/>
        <v>57.984000000000009</v>
      </c>
      <c r="AD98" s="3511"/>
      <c r="AE98" s="3427"/>
      <c r="AF98" s="1844"/>
      <c r="AG98" s="35">
        <f t="shared" si="29"/>
        <v>57.984000000000009</v>
      </c>
      <c r="AH98" s="3511"/>
      <c r="AI98" s="3427">
        <v>80.192000000000007</v>
      </c>
      <c r="AJ98" s="1844"/>
      <c r="AK98" s="35">
        <f t="shared" si="21"/>
        <v>138.17600000000002</v>
      </c>
      <c r="AL98" s="3511"/>
      <c r="AM98" s="3427"/>
      <c r="AN98" s="2548"/>
      <c r="AO98" s="717">
        <f t="shared" si="22"/>
        <v>80.192000000000007</v>
      </c>
      <c r="AP98" s="1844"/>
      <c r="AQ98" s="35">
        <f t="shared" si="23"/>
        <v>138.17600000000002</v>
      </c>
      <c r="AR98" s="3511"/>
      <c r="AS98" s="3427"/>
      <c r="AT98" s="1844"/>
      <c r="AU98" s="35">
        <f t="shared" si="24"/>
        <v>138.17600000000002</v>
      </c>
      <c r="AV98" s="3511"/>
      <c r="AW98" s="3427"/>
      <c r="AX98" s="1844"/>
      <c r="AY98" s="35">
        <f t="shared" si="25"/>
        <v>138.17600000000002</v>
      </c>
      <c r="AZ98" s="3511"/>
      <c r="BA98" s="3427"/>
      <c r="BB98" s="2548"/>
      <c r="BC98" s="717">
        <f t="shared" ref="BC98:BC116" si="35">+AS98+AW98+BA98</f>
        <v>0</v>
      </c>
      <c r="BD98" s="2549"/>
      <c r="BE98" s="645">
        <f t="shared" ref="BE98:BE116" si="36">+AO98+BC98</f>
        <v>80.192000000000007</v>
      </c>
      <c r="BF98" s="1844"/>
      <c r="BG98" s="35">
        <f t="shared" si="26"/>
        <v>138.17600000000002</v>
      </c>
      <c r="BH98" s="23"/>
      <c r="BI98" s="23"/>
      <c r="BJ98" s="23"/>
      <c r="BK98" s="1111"/>
    </row>
    <row r="99" spans="1:63" ht="15" customHeight="1" x14ac:dyDescent="0.3">
      <c r="B99" s="3507" t="s">
        <v>1311</v>
      </c>
      <c r="C99" s="3508" t="s">
        <v>1536</v>
      </c>
      <c r="D99" s="3509">
        <v>50.1</v>
      </c>
      <c r="E99" s="3510" t="s">
        <v>50</v>
      </c>
      <c r="F99" s="3511"/>
      <c r="G99" s="3427"/>
      <c r="H99" s="3511"/>
      <c r="I99" s="3427"/>
      <c r="J99" s="3512"/>
      <c r="K99" s="4119">
        <f t="shared" si="32"/>
        <v>0</v>
      </c>
      <c r="L99" s="3511"/>
      <c r="M99" s="3427"/>
      <c r="N99" s="3530"/>
      <c r="O99" s="4450"/>
      <c r="P99" s="3511"/>
      <c r="Q99" s="3427"/>
      <c r="R99" s="3531"/>
      <c r="S99" s="4063"/>
      <c r="T99" s="3511"/>
      <c r="U99" s="3427"/>
      <c r="V99" s="3531"/>
      <c r="W99" s="4063"/>
      <c r="X99" s="3511"/>
      <c r="Y99" s="3427"/>
      <c r="Z99" s="4535"/>
      <c r="AA99" s="717">
        <f t="shared" ref="AA99" si="37">+Q99+U99+Y99</f>
        <v>0</v>
      </c>
      <c r="AB99" s="3614"/>
      <c r="AC99" s="429">
        <f t="shared" ref="AC99" si="38">+AA99+O99</f>
        <v>0</v>
      </c>
      <c r="AD99" s="3511"/>
      <c r="AE99" s="3427">
        <v>37.005000000000003</v>
      </c>
      <c r="AF99" s="4437"/>
      <c r="AG99" s="35">
        <f t="shared" si="29"/>
        <v>37.005000000000003</v>
      </c>
      <c r="AH99" s="3511"/>
      <c r="AI99" s="3427">
        <v>715.495</v>
      </c>
      <c r="AJ99" s="4437"/>
      <c r="AK99" s="35">
        <f t="shared" si="21"/>
        <v>752.5</v>
      </c>
      <c r="AL99" s="3511"/>
      <c r="AM99" s="3427"/>
      <c r="AN99" s="4535"/>
      <c r="AO99" s="717">
        <f t="shared" si="22"/>
        <v>752.5</v>
      </c>
      <c r="AP99" s="4437"/>
      <c r="AQ99" s="35">
        <f t="shared" si="23"/>
        <v>752.5</v>
      </c>
      <c r="AR99" s="3511"/>
      <c r="AS99" s="3427"/>
      <c r="AT99" s="4437"/>
      <c r="AU99" s="4063">
        <f t="shared" si="24"/>
        <v>752.5</v>
      </c>
      <c r="AV99" s="3511"/>
      <c r="AW99" s="3427"/>
      <c r="AX99" s="4437"/>
      <c r="AY99" s="35">
        <f t="shared" si="25"/>
        <v>752.5</v>
      </c>
      <c r="AZ99" s="3511"/>
      <c r="BA99" s="3427"/>
      <c r="BB99" s="4535"/>
      <c r="BC99" s="717">
        <f t="shared" si="15"/>
        <v>0</v>
      </c>
      <c r="BD99" s="4536"/>
      <c r="BE99" s="645">
        <f t="shared" si="16"/>
        <v>752.5</v>
      </c>
      <c r="BF99" s="4437"/>
      <c r="BG99" s="35">
        <f t="shared" si="26"/>
        <v>752.5</v>
      </c>
      <c r="BH99" s="23"/>
      <c r="BI99" s="23"/>
      <c r="BJ99" s="23"/>
      <c r="BK99" s="1111"/>
    </row>
    <row r="100" spans="1:63" ht="15" customHeight="1" x14ac:dyDescent="0.3">
      <c r="B100" s="3507" t="s">
        <v>1311</v>
      </c>
      <c r="C100" s="3508" t="s">
        <v>966</v>
      </c>
      <c r="D100" s="3509">
        <v>50.1</v>
      </c>
      <c r="E100" s="3510" t="s">
        <v>50</v>
      </c>
      <c r="F100" s="3511"/>
      <c r="G100" s="3427">
        <v>1258.2559999999999</v>
      </c>
      <c r="H100" s="3511"/>
      <c r="I100" s="3427">
        <v>3654.806</v>
      </c>
      <c r="J100" s="3512"/>
      <c r="K100" s="4119">
        <f t="shared" si="32"/>
        <v>4913.0619999999999</v>
      </c>
      <c r="L100" s="3511"/>
      <c r="M100" s="3427"/>
      <c r="N100" s="3530"/>
      <c r="O100" s="65">
        <f t="shared" si="33"/>
        <v>4913.0619999999999</v>
      </c>
      <c r="P100" s="3511"/>
      <c r="Q100" s="3427"/>
      <c r="R100" s="3531"/>
      <c r="S100" s="4063"/>
      <c r="T100" s="3511"/>
      <c r="U100" s="3427"/>
      <c r="V100" s="3531"/>
      <c r="W100" s="4063"/>
      <c r="X100" s="3511"/>
      <c r="Y100" s="3427"/>
      <c r="Z100" s="4535"/>
      <c r="AA100" s="717">
        <f t="shared" si="27"/>
        <v>0</v>
      </c>
      <c r="AB100" s="4585"/>
      <c r="AC100" s="429">
        <f t="shared" si="28"/>
        <v>4913.0619999999999</v>
      </c>
      <c r="AD100" s="3511"/>
      <c r="AE100" s="3427">
        <v>2283.5970000000002</v>
      </c>
      <c r="AF100" s="4437"/>
      <c r="AG100" s="35">
        <f t="shared" si="29"/>
        <v>7196.6589999999997</v>
      </c>
      <c r="AH100" s="3511"/>
      <c r="AI100" s="3427">
        <v>1834.63</v>
      </c>
      <c r="AJ100" s="4437"/>
      <c r="AK100" s="35">
        <f t="shared" si="21"/>
        <v>9031.2890000000007</v>
      </c>
      <c r="AL100" s="3511"/>
      <c r="AM100" s="3427">
        <v>4042.5960000000005</v>
      </c>
      <c r="AN100" s="4535"/>
      <c r="AO100" s="717">
        <f t="shared" si="22"/>
        <v>8160.8230000000012</v>
      </c>
      <c r="AP100" s="4437"/>
      <c r="AQ100" s="35">
        <f t="shared" si="23"/>
        <v>13073.885000000002</v>
      </c>
      <c r="AR100" s="3511"/>
      <c r="AS100" s="3427">
        <v>2910.8760000000002</v>
      </c>
      <c r="AT100" s="4437"/>
      <c r="AU100" s="4063">
        <f t="shared" si="24"/>
        <v>15984.761000000002</v>
      </c>
      <c r="AV100" s="3511"/>
      <c r="AW100" s="3427"/>
      <c r="AX100" s="4437"/>
      <c r="AY100" s="35">
        <f t="shared" si="25"/>
        <v>15984.761000000002</v>
      </c>
      <c r="AZ100" s="3511"/>
      <c r="BA100" s="3427"/>
      <c r="BB100" s="4535"/>
      <c r="BC100" s="717">
        <f t="shared" ref="BC100:BC101" si="39">+AS100+AW100+BA100</f>
        <v>2910.8760000000002</v>
      </c>
      <c r="BD100" s="4536"/>
      <c r="BE100" s="645">
        <f t="shared" ref="BE100:BE101" si="40">+AO100+BC100</f>
        <v>11071.699000000001</v>
      </c>
      <c r="BF100" s="4437"/>
      <c r="BG100" s="35">
        <f t="shared" si="26"/>
        <v>15984.761000000002</v>
      </c>
      <c r="BH100" s="23"/>
      <c r="BI100" s="23"/>
      <c r="BJ100" s="23"/>
      <c r="BK100" s="1111"/>
    </row>
    <row r="101" spans="1:63" ht="15" customHeight="1" thickBot="1" x14ac:dyDescent="0.35">
      <c r="B101" s="3507" t="s">
        <v>1311</v>
      </c>
      <c r="C101" s="3508" t="s">
        <v>901</v>
      </c>
      <c r="D101" s="3509">
        <v>50.1</v>
      </c>
      <c r="E101" s="3510" t="s">
        <v>50</v>
      </c>
      <c r="F101" s="3511"/>
      <c r="G101" s="3427"/>
      <c r="H101" s="3511"/>
      <c r="I101" s="3427"/>
      <c r="J101" s="3512"/>
      <c r="K101" s="4119">
        <f t="shared" si="32"/>
        <v>0</v>
      </c>
      <c r="L101" s="3511"/>
      <c r="M101" s="3427"/>
      <c r="N101" s="3530"/>
      <c r="O101" s="65">
        <f t="shared" si="33"/>
        <v>0</v>
      </c>
      <c r="P101" s="3511"/>
      <c r="Q101" s="3427"/>
      <c r="R101" s="3531"/>
      <c r="S101" s="35">
        <f t="shared" si="31"/>
        <v>0</v>
      </c>
      <c r="T101" s="3511"/>
      <c r="U101" s="3427">
        <v>203.56399999999999</v>
      </c>
      <c r="V101" s="3531"/>
      <c r="W101" s="35">
        <f t="shared" si="34"/>
        <v>203.56399999999999</v>
      </c>
      <c r="X101" s="3511"/>
      <c r="Y101" s="3427">
        <v>491.08599999999996</v>
      </c>
      <c r="Z101" s="4426"/>
      <c r="AA101" s="717">
        <f t="shared" si="27"/>
        <v>694.65</v>
      </c>
      <c r="AB101" s="3614"/>
      <c r="AC101" s="429">
        <f t="shared" si="28"/>
        <v>694.65</v>
      </c>
      <c r="AD101" s="3511"/>
      <c r="AE101" s="3427"/>
      <c r="AF101" s="4437"/>
      <c r="AG101" s="35">
        <f t="shared" si="29"/>
        <v>694.65</v>
      </c>
      <c r="AH101" s="3511"/>
      <c r="AI101" s="3427"/>
      <c r="AJ101" s="4437"/>
      <c r="AK101" s="35">
        <f t="shared" si="21"/>
        <v>694.65</v>
      </c>
      <c r="AL101" s="3511"/>
      <c r="AM101" s="3427"/>
      <c r="AN101" s="4426"/>
      <c r="AO101" s="717">
        <f t="shared" si="22"/>
        <v>0</v>
      </c>
      <c r="AP101" s="4437"/>
      <c r="AQ101" s="35">
        <f t="shared" si="23"/>
        <v>694.65</v>
      </c>
      <c r="AR101" s="3511"/>
      <c r="AS101" s="3427"/>
      <c r="AT101" s="4437"/>
      <c r="AU101" s="4063">
        <f t="shared" si="24"/>
        <v>694.65</v>
      </c>
      <c r="AV101" s="3511"/>
      <c r="AW101" s="3427"/>
      <c r="AX101" s="4437"/>
      <c r="AY101" s="35">
        <f t="shared" si="25"/>
        <v>694.65</v>
      </c>
      <c r="AZ101" s="3511"/>
      <c r="BA101" s="3427"/>
      <c r="BB101" s="4426"/>
      <c r="BC101" s="717">
        <f t="shared" si="39"/>
        <v>0</v>
      </c>
      <c r="BD101" s="4440"/>
      <c r="BE101" s="645">
        <f t="shared" si="40"/>
        <v>0</v>
      </c>
      <c r="BF101" s="4437"/>
      <c r="BG101" s="35">
        <f t="shared" si="26"/>
        <v>694.65</v>
      </c>
      <c r="BH101" s="23"/>
      <c r="BI101" s="23"/>
      <c r="BJ101" s="23"/>
      <c r="BK101" s="1111"/>
    </row>
    <row r="102" spans="1:63" ht="15" customHeight="1" x14ac:dyDescent="0.3">
      <c r="B102" s="2734" t="s">
        <v>1311</v>
      </c>
      <c r="C102" s="2735" t="s">
        <v>1536</v>
      </c>
      <c r="D102" s="2736">
        <v>50.1</v>
      </c>
      <c r="E102" s="1216" t="s">
        <v>50</v>
      </c>
      <c r="F102" s="2737"/>
      <c r="G102" s="83"/>
      <c r="H102" s="2737"/>
      <c r="I102" s="83"/>
      <c r="J102" s="2738"/>
      <c r="K102" s="4119">
        <f t="shared" si="32"/>
        <v>0</v>
      </c>
      <c r="L102" s="2737"/>
      <c r="M102" s="83">
        <v>589.17300000000012</v>
      </c>
      <c r="N102" s="1836"/>
      <c r="O102" s="65">
        <f t="shared" si="33"/>
        <v>589.17300000000012</v>
      </c>
      <c r="P102" s="2737"/>
      <c r="Q102" s="83"/>
      <c r="R102" s="1844"/>
      <c r="S102" s="35">
        <f t="shared" si="31"/>
        <v>589.17300000000012</v>
      </c>
      <c r="T102" s="2737"/>
      <c r="U102" s="83">
        <v>225.51100000000002</v>
      </c>
      <c r="V102" s="1844"/>
      <c r="W102" s="35">
        <f t="shared" si="34"/>
        <v>814.6840000000002</v>
      </c>
      <c r="X102" s="2737"/>
      <c r="Y102" s="83">
        <v>670.73500000000001</v>
      </c>
      <c r="Z102" s="2247"/>
      <c r="AA102" s="717">
        <f t="shared" si="27"/>
        <v>896.24600000000009</v>
      </c>
      <c r="AB102" s="3614"/>
      <c r="AC102" s="429">
        <f t="shared" si="28"/>
        <v>1485.4190000000003</v>
      </c>
      <c r="AD102" s="2737"/>
      <c r="AE102" s="83"/>
      <c r="AF102" s="1844"/>
      <c r="AG102" s="35">
        <f t="shared" si="29"/>
        <v>1485.4190000000003</v>
      </c>
      <c r="AH102" s="2737"/>
      <c r="AI102" s="83"/>
      <c r="AJ102" s="1844"/>
      <c r="AK102" s="35">
        <f t="shared" si="21"/>
        <v>1485.4190000000003</v>
      </c>
      <c r="AL102" s="2737"/>
      <c r="AM102" s="83"/>
      <c r="AN102" s="2247"/>
      <c r="AO102" s="717">
        <f t="shared" si="22"/>
        <v>0</v>
      </c>
      <c r="AP102" s="1844"/>
      <c r="AQ102" s="35">
        <f t="shared" si="23"/>
        <v>1485.4190000000003</v>
      </c>
      <c r="AR102" s="2737"/>
      <c r="AS102" s="83"/>
      <c r="AT102" s="1844"/>
      <c r="AU102" s="35">
        <f t="shared" si="24"/>
        <v>1485.4190000000003</v>
      </c>
      <c r="AV102" s="2737"/>
      <c r="AW102" s="83"/>
      <c r="AX102" s="1844"/>
      <c r="AY102" s="35">
        <f t="shared" si="25"/>
        <v>1485.4190000000003</v>
      </c>
      <c r="AZ102" s="2737"/>
      <c r="BA102" s="83"/>
      <c r="BB102" s="2247"/>
      <c r="BC102" s="717">
        <f t="shared" si="35"/>
        <v>0</v>
      </c>
      <c r="BD102" s="2251"/>
      <c r="BE102" s="645">
        <f t="shared" si="36"/>
        <v>0</v>
      </c>
      <c r="BF102" s="1844"/>
      <c r="BG102" s="35">
        <f t="shared" si="26"/>
        <v>1485.4190000000003</v>
      </c>
      <c r="BH102" s="23"/>
      <c r="BI102" s="23"/>
      <c r="BJ102" s="23"/>
      <c r="BK102" s="1111"/>
    </row>
    <row r="103" spans="1:63" ht="15" customHeight="1" thickBot="1" x14ac:dyDescent="0.35">
      <c r="A103" s="490"/>
      <c r="B103" s="2739" t="s">
        <v>1311</v>
      </c>
      <c r="C103" s="2740" t="s">
        <v>966</v>
      </c>
      <c r="D103" s="2741">
        <v>50.1</v>
      </c>
      <c r="E103" s="1296" t="s">
        <v>50</v>
      </c>
      <c r="F103" s="2742"/>
      <c r="G103" s="34"/>
      <c r="H103" s="2742"/>
      <c r="I103" s="34"/>
      <c r="J103" s="2743"/>
      <c r="K103" s="4119">
        <f t="shared" si="32"/>
        <v>0</v>
      </c>
      <c r="L103" s="2742"/>
      <c r="M103" s="34">
        <v>2503.5359999999991</v>
      </c>
      <c r="N103" s="1836"/>
      <c r="O103" s="65">
        <f t="shared" si="33"/>
        <v>2503.5359999999991</v>
      </c>
      <c r="P103" s="2742"/>
      <c r="Q103" s="34"/>
      <c r="R103" s="1844"/>
      <c r="S103" s="35">
        <f t="shared" si="31"/>
        <v>2503.5359999999991</v>
      </c>
      <c r="T103" s="2742"/>
      <c r="U103" s="34">
        <v>1993.4839999999992</v>
      </c>
      <c r="V103" s="1844"/>
      <c r="W103" s="35">
        <f t="shared" si="34"/>
        <v>4497.0199999999986</v>
      </c>
      <c r="X103" s="2742"/>
      <c r="Y103" s="34">
        <v>2375.6079999999997</v>
      </c>
      <c r="Z103" s="830"/>
      <c r="AA103" s="717">
        <f t="shared" si="27"/>
        <v>4369.0919999999987</v>
      </c>
      <c r="AB103" s="3614"/>
      <c r="AC103" s="429">
        <f t="shared" si="28"/>
        <v>6872.6279999999979</v>
      </c>
      <c r="AD103" s="2742"/>
      <c r="AE103" s="34"/>
      <c r="AF103" s="1844"/>
      <c r="AG103" s="35">
        <f t="shared" si="29"/>
        <v>6872.6279999999979</v>
      </c>
      <c r="AH103" s="2742"/>
      <c r="AI103" s="34"/>
      <c r="AJ103" s="1844"/>
      <c r="AK103" s="35">
        <f t="shared" si="21"/>
        <v>6872.6279999999979</v>
      </c>
      <c r="AL103" s="2742"/>
      <c r="AM103" s="34"/>
      <c r="AN103" s="830"/>
      <c r="AO103" s="717">
        <f t="shared" si="22"/>
        <v>0</v>
      </c>
      <c r="AP103" s="1844"/>
      <c r="AQ103" s="35">
        <f t="shared" si="23"/>
        <v>6872.6279999999979</v>
      </c>
      <c r="AR103" s="2742"/>
      <c r="AS103" s="34"/>
      <c r="AT103" s="1844"/>
      <c r="AU103" s="35">
        <f t="shared" si="24"/>
        <v>6872.6279999999979</v>
      </c>
      <c r="AV103" s="2742"/>
      <c r="AW103" s="34"/>
      <c r="AX103" s="1844"/>
      <c r="AY103" s="35">
        <f t="shared" si="25"/>
        <v>6872.6279999999979</v>
      </c>
      <c r="AZ103" s="2742"/>
      <c r="BA103" s="34"/>
      <c r="BB103" s="830"/>
      <c r="BC103" s="717">
        <f t="shared" si="35"/>
        <v>0</v>
      </c>
      <c r="BD103" s="831"/>
      <c r="BE103" s="645">
        <f t="shared" si="36"/>
        <v>0</v>
      </c>
      <c r="BF103" s="1844"/>
      <c r="BG103" s="35">
        <f t="shared" si="26"/>
        <v>6872.6279999999979</v>
      </c>
      <c r="BH103" s="23"/>
      <c r="BI103" s="23"/>
      <c r="BJ103" s="23"/>
      <c r="BK103" s="1111"/>
    </row>
    <row r="104" spans="1:63" ht="15" customHeight="1" thickBot="1" x14ac:dyDescent="0.35">
      <c r="A104" s="490"/>
      <c r="B104" s="2757" t="s">
        <v>866</v>
      </c>
      <c r="C104" s="2758"/>
      <c r="D104" s="2759"/>
      <c r="E104" s="2760" t="s">
        <v>50</v>
      </c>
      <c r="F104" s="2761"/>
      <c r="G104" s="89"/>
      <c r="H104" s="2761"/>
      <c r="I104" s="83"/>
      <c r="J104" s="2762"/>
      <c r="K104" s="4119">
        <f t="shared" si="32"/>
        <v>0</v>
      </c>
      <c r="L104" s="2761"/>
      <c r="M104" s="83">
        <v>0.51</v>
      </c>
      <c r="N104" s="1837"/>
      <c r="O104" s="65">
        <f t="shared" si="33"/>
        <v>0.51</v>
      </c>
      <c r="P104" s="2761"/>
      <c r="Q104" s="83"/>
      <c r="R104" s="1845"/>
      <c r="S104" s="35">
        <f t="shared" si="31"/>
        <v>0.51</v>
      </c>
      <c r="T104" s="2761"/>
      <c r="U104" s="83">
        <v>15.84</v>
      </c>
      <c r="V104" s="1845"/>
      <c r="W104" s="35">
        <f t="shared" si="34"/>
        <v>16.350000000000001</v>
      </c>
      <c r="X104" s="2761"/>
      <c r="Y104" s="83">
        <v>0.88</v>
      </c>
      <c r="Z104" s="832"/>
      <c r="AA104" s="717">
        <f t="shared" si="27"/>
        <v>16.72</v>
      </c>
      <c r="AB104" s="3614"/>
      <c r="AC104" s="429">
        <f t="shared" si="28"/>
        <v>17.23</v>
      </c>
      <c r="AD104" s="2761"/>
      <c r="AE104" s="83">
        <v>94.53</v>
      </c>
      <c r="AF104" s="1845"/>
      <c r="AG104" s="35">
        <f t="shared" si="29"/>
        <v>111.76</v>
      </c>
      <c r="AH104" s="2761"/>
      <c r="AI104" s="83">
        <v>0.5</v>
      </c>
      <c r="AJ104" s="1845"/>
      <c r="AK104" s="35">
        <f t="shared" si="21"/>
        <v>112.26</v>
      </c>
      <c r="AL104" s="2761"/>
      <c r="AM104" s="83">
        <v>14.77</v>
      </c>
      <c r="AN104" s="832"/>
      <c r="AO104" s="717">
        <f t="shared" si="22"/>
        <v>109.8</v>
      </c>
      <c r="AP104" s="1845"/>
      <c r="AQ104" s="35">
        <f t="shared" si="23"/>
        <v>127.03</v>
      </c>
      <c r="AR104" s="2761"/>
      <c r="AS104" s="89">
        <v>7.09</v>
      </c>
      <c r="AT104" s="1845"/>
      <c r="AU104" s="35">
        <f t="shared" si="24"/>
        <v>134.12</v>
      </c>
      <c r="AV104" s="2761"/>
      <c r="AW104" s="89">
        <v>7.1</v>
      </c>
      <c r="AX104" s="1845"/>
      <c r="AY104" s="35">
        <f t="shared" ref="AY104:AY119" si="41">+AU104+AW104</f>
        <v>141.22</v>
      </c>
      <c r="AZ104" s="2761"/>
      <c r="BA104" s="89">
        <v>2.0300000000000002</v>
      </c>
      <c r="BB104" s="832"/>
      <c r="BC104" s="717">
        <f t="shared" si="35"/>
        <v>16.22</v>
      </c>
      <c r="BD104" s="833"/>
      <c r="BE104" s="645">
        <f t="shared" si="36"/>
        <v>126.02</v>
      </c>
      <c r="BF104" s="1845"/>
      <c r="BG104" s="35">
        <f t="shared" si="26"/>
        <v>143.25</v>
      </c>
      <c r="BH104" s="23"/>
      <c r="BI104" s="23"/>
      <c r="BJ104" s="23"/>
      <c r="BK104" s="1111"/>
    </row>
    <row r="105" spans="1:63" ht="15" customHeight="1" x14ac:dyDescent="0.3">
      <c r="A105" s="490"/>
      <c r="B105" s="2757" t="s">
        <v>1759</v>
      </c>
      <c r="C105" s="3513"/>
      <c r="D105" s="3514"/>
      <c r="E105" s="2760" t="s">
        <v>50</v>
      </c>
      <c r="F105" s="3515"/>
      <c r="G105" s="508">
        <v>0.69</v>
      </c>
      <c r="H105" s="3515"/>
      <c r="I105" s="25"/>
      <c r="J105" s="3516"/>
      <c r="K105" s="4119">
        <f t="shared" si="32"/>
        <v>0.69</v>
      </c>
      <c r="L105" s="3515"/>
      <c r="M105" s="25">
        <v>1.81</v>
      </c>
      <c r="N105" s="1837"/>
      <c r="O105" s="65">
        <f t="shared" si="33"/>
        <v>2.5</v>
      </c>
      <c r="P105" s="3515"/>
      <c r="Q105" s="25"/>
      <c r="R105" s="1845"/>
      <c r="S105" s="35">
        <f t="shared" si="31"/>
        <v>2.5</v>
      </c>
      <c r="T105" s="3515"/>
      <c r="U105" s="25">
        <v>12.69</v>
      </c>
      <c r="V105" s="1845"/>
      <c r="W105" s="35">
        <f t="shared" si="34"/>
        <v>15.19</v>
      </c>
      <c r="X105" s="3515"/>
      <c r="Y105" s="25">
        <v>15.24</v>
      </c>
      <c r="Z105" s="3517"/>
      <c r="AA105" s="717">
        <f t="shared" si="27"/>
        <v>27.93</v>
      </c>
      <c r="AB105" s="3618"/>
      <c r="AC105" s="429">
        <f t="shared" si="28"/>
        <v>30.43</v>
      </c>
      <c r="AD105" s="3515"/>
      <c r="AE105" s="25"/>
      <c r="AF105" s="1845"/>
      <c r="AG105" s="35">
        <f t="shared" si="29"/>
        <v>30.43</v>
      </c>
      <c r="AH105" s="3515"/>
      <c r="AI105" s="25"/>
      <c r="AJ105" s="1845"/>
      <c r="AK105" s="35">
        <f t="shared" si="21"/>
        <v>30.43</v>
      </c>
      <c r="AL105" s="3515"/>
      <c r="AM105" s="25"/>
      <c r="AN105" s="3517"/>
      <c r="AO105" s="717">
        <f t="shared" si="22"/>
        <v>0</v>
      </c>
      <c r="AP105" s="1845"/>
      <c r="AQ105" s="35">
        <f t="shared" si="23"/>
        <v>30.43</v>
      </c>
      <c r="AR105" s="3515"/>
      <c r="AS105" s="508">
        <v>0.69</v>
      </c>
      <c r="AT105" s="1845"/>
      <c r="AU105" s="35">
        <f t="shared" si="24"/>
        <v>31.12</v>
      </c>
      <c r="AV105" s="3515"/>
      <c r="AW105" s="508"/>
      <c r="AX105" s="1845"/>
      <c r="AY105" s="35">
        <f t="shared" si="41"/>
        <v>31.12</v>
      </c>
      <c r="AZ105" s="3515"/>
      <c r="BA105" s="508">
        <v>9.0300000000000011</v>
      </c>
      <c r="BB105" s="3517"/>
      <c r="BC105" s="717">
        <f t="shared" si="35"/>
        <v>9.7200000000000006</v>
      </c>
      <c r="BD105" s="3518"/>
      <c r="BE105" s="645">
        <f t="shared" si="36"/>
        <v>9.7200000000000006</v>
      </c>
      <c r="BF105" s="1845"/>
      <c r="BG105" s="35">
        <f t="shared" si="26"/>
        <v>40.150000000000006</v>
      </c>
      <c r="BH105" s="23"/>
      <c r="BI105" s="23"/>
      <c r="BJ105" s="23"/>
      <c r="BK105" s="1111"/>
    </row>
    <row r="106" spans="1:63" ht="15" customHeight="1" x14ac:dyDescent="0.3">
      <c r="A106" s="490"/>
      <c r="B106" s="1504" t="s">
        <v>867</v>
      </c>
      <c r="C106" s="1505"/>
      <c r="D106" s="2763"/>
      <c r="E106" s="1857" t="s">
        <v>50</v>
      </c>
      <c r="F106" s="1823"/>
      <c r="G106" s="77">
        <v>113.87</v>
      </c>
      <c r="H106" s="1823"/>
      <c r="I106" s="17">
        <v>13.06</v>
      </c>
      <c r="J106" s="1828"/>
      <c r="K106" s="4119">
        <f t="shared" si="32"/>
        <v>126.93</v>
      </c>
      <c r="L106" s="1823"/>
      <c r="M106" s="17">
        <v>5.03</v>
      </c>
      <c r="N106" s="1837"/>
      <c r="O106" s="65">
        <f t="shared" si="33"/>
        <v>131.96</v>
      </c>
      <c r="P106" s="1823"/>
      <c r="Q106" s="17">
        <v>133.46</v>
      </c>
      <c r="R106" s="1845"/>
      <c r="S106" s="35">
        <f t="shared" si="31"/>
        <v>265.42</v>
      </c>
      <c r="T106" s="1823"/>
      <c r="U106" s="17">
        <v>85.7</v>
      </c>
      <c r="V106" s="1845"/>
      <c r="W106" s="35">
        <f t="shared" si="34"/>
        <v>351.12</v>
      </c>
      <c r="X106" s="1823"/>
      <c r="Y106" s="17">
        <v>11.05</v>
      </c>
      <c r="Z106" s="832"/>
      <c r="AA106" s="717">
        <f t="shared" si="27"/>
        <v>230.21000000000004</v>
      </c>
      <c r="AB106" s="3617"/>
      <c r="AC106" s="429">
        <f t="shared" si="28"/>
        <v>362.17000000000007</v>
      </c>
      <c r="AD106" s="1823"/>
      <c r="AE106" s="17">
        <v>49.15</v>
      </c>
      <c r="AF106" s="1845"/>
      <c r="AG106" s="35">
        <f t="shared" si="29"/>
        <v>411.32000000000005</v>
      </c>
      <c r="AH106" s="1823"/>
      <c r="AI106" s="17">
        <v>46.77</v>
      </c>
      <c r="AJ106" s="1845"/>
      <c r="AK106" s="35">
        <f t="shared" si="21"/>
        <v>458.09000000000003</v>
      </c>
      <c r="AL106" s="1823"/>
      <c r="AM106" s="17">
        <v>16.05</v>
      </c>
      <c r="AN106" s="832"/>
      <c r="AO106" s="717">
        <f t="shared" si="22"/>
        <v>111.97</v>
      </c>
      <c r="AP106" s="1845"/>
      <c r="AQ106" s="35">
        <f t="shared" si="23"/>
        <v>474.14000000000004</v>
      </c>
      <c r="AR106" s="1823"/>
      <c r="AS106" s="77">
        <f>214.13+277.49</f>
        <v>491.62</v>
      </c>
      <c r="AT106" s="1845"/>
      <c r="AU106" s="35">
        <f t="shared" si="24"/>
        <v>965.76</v>
      </c>
      <c r="AV106" s="1823"/>
      <c r="AW106" s="77">
        <v>11.51</v>
      </c>
      <c r="AX106" s="1845"/>
      <c r="AY106" s="35">
        <f t="shared" si="41"/>
        <v>977.27</v>
      </c>
      <c r="AZ106" s="1823"/>
      <c r="BA106" s="77">
        <v>26.5</v>
      </c>
      <c r="BB106" s="832"/>
      <c r="BC106" s="717">
        <f t="shared" si="35"/>
        <v>529.63</v>
      </c>
      <c r="BD106" s="833"/>
      <c r="BE106" s="645">
        <f t="shared" si="36"/>
        <v>641.6</v>
      </c>
      <c r="BF106" s="1845"/>
      <c r="BG106" s="35">
        <f t="shared" si="26"/>
        <v>1003.77</v>
      </c>
      <c r="BH106" s="23"/>
      <c r="BI106" s="23"/>
      <c r="BJ106" s="23"/>
      <c r="BK106" s="1111"/>
    </row>
    <row r="107" spans="1:63" ht="15" customHeight="1" x14ac:dyDescent="0.3">
      <c r="A107" s="490"/>
      <c r="B107" s="1504" t="s">
        <v>967</v>
      </c>
      <c r="C107" s="1505"/>
      <c r="D107" s="2763"/>
      <c r="E107" s="1857" t="s">
        <v>50</v>
      </c>
      <c r="F107" s="1823"/>
      <c r="G107" s="77"/>
      <c r="H107" s="1823"/>
      <c r="I107" s="17"/>
      <c r="J107" s="1828"/>
      <c r="K107" s="4119">
        <f t="shared" si="32"/>
        <v>0</v>
      </c>
      <c r="L107" s="1823"/>
      <c r="M107" s="17">
        <v>2.42</v>
      </c>
      <c r="N107" s="1837"/>
      <c r="O107" s="65">
        <f t="shared" si="33"/>
        <v>2.42</v>
      </c>
      <c r="P107" s="1823"/>
      <c r="Q107" s="17">
        <v>45.37</v>
      </c>
      <c r="R107" s="1845"/>
      <c r="S107" s="35">
        <f t="shared" si="31"/>
        <v>47.79</v>
      </c>
      <c r="T107" s="1823"/>
      <c r="U107" s="17">
        <v>86.05</v>
      </c>
      <c r="V107" s="1845"/>
      <c r="W107" s="35">
        <f t="shared" si="34"/>
        <v>133.84</v>
      </c>
      <c r="X107" s="1823"/>
      <c r="Y107" s="17">
        <v>39.659999999999997</v>
      </c>
      <c r="Z107" s="832"/>
      <c r="AA107" s="717">
        <f t="shared" si="27"/>
        <v>171.07999999999998</v>
      </c>
      <c r="AB107" s="3617"/>
      <c r="AC107" s="429">
        <f t="shared" si="28"/>
        <v>173.49999999999997</v>
      </c>
      <c r="AD107" s="1823"/>
      <c r="AE107" s="17">
        <v>115.23</v>
      </c>
      <c r="AF107" s="1845"/>
      <c r="AG107" s="35">
        <f t="shared" si="29"/>
        <v>288.72999999999996</v>
      </c>
      <c r="AH107" s="1823"/>
      <c r="AI107" s="17">
        <v>5.64</v>
      </c>
      <c r="AJ107" s="1845"/>
      <c r="AK107" s="35">
        <f t="shared" si="21"/>
        <v>294.36999999999995</v>
      </c>
      <c r="AL107" s="1823"/>
      <c r="AM107" s="17"/>
      <c r="AN107" s="832"/>
      <c r="AO107" s="717">
        <f t="shared" si="22"/>
        <v>120.87</v>
      </c>
      <c r="AP107" s="1845"/>
      <c r="AQ107" s="35">
        <f t="shared" si="23"/>
        <v>294.36999999999995</v>
      </c>
      <c r="AR107" s="1823"/>
      <c r="AS107" s="77">
        <v>93.48</v>
      </c>
      <c r="AT107" s="1845"/>
      <c r="AU107" s="35">
        <f t="shared" si="24"/>
        <v>387.84999999999997</v>
      </c>
      <c r="AV107" s="1823"/>
      <c r="AW107" s="77">
        <v>23.62</v>
      </c>
      <c r="AX107" s="1845"/>
      <c r="AY107" s="35">
        <f t="shared" si="41"/>
        <v>411.46999999999997</v>
      </c>
      <c r="AZ107" s="1823"/>
      <c r="BA107" s="77">
        <v>34.659999999999997</v>
      </c>
      <c r="BB107" s="832"/>
      <c r="BC107" s="717">
        <f t="shared" si="35"/>
        <v>151.76</v>
      </c>
      <c r="BD107" s="833"/>
      <c r="BE107" s="645">
        <f t="shared" si="36"/>
        <v>272.63</v>
      </c>
      <c r="BF107" s="1845"/>
      <c r="BG107" s="35">
        <f t="shared" si="26"/>
        <v>446.13</v>
      </c>
      <c r="BH107" s="23"/>
      <c r="BI107" s="23"/>
      <c r="BJ107" s="23"/>
      <c r="BK107" s="1111"/>
    </row>
    <row r="108" spans="1:63" ht="15" customHeight="1" x14ac:dyDescent="0.3">
      <c r="A108" s="490"/>
      <c r="B108" s="1504" t="s">
        <v>1217</v>
      </c>
      <c r="C108" s="1505"/>
      <c r="D108" s="2763"/>
      <c r="E108" s="1857" t="s">
        <v>50</v>
      </c>
      <c r="F108" s="1823"/>
      <c r="G108" s="77">
        <v>1.0900000000000001</v>
      </c>
      <c r="H108" s="1823"/>
      <c r="I108" s="17"/>
      <c r="J108" s="1828"/>
      <c r="K108" s="4119">
        <f t="shared" si="32"/>
        <v>1.0900000000000001</v>
      </c>
      <c r="L108" s="1823"/>
      <c r="M108" s="17">
        <v>8.6999999999999993</v>
      </c>
      <c r="N108" s="1837"/>
      <c r="O108" s="65">
        <f t="shared" si="33"/>
        <v>9.7899999999999991</v>
      </c>
      <c r="P108" s="1823"/>
      <c r="Q108" s="17"/>
      <c r="R108" s="1845"/>
      <c r="S108" s="35">
        <f t="shared" si="31"/>
        <v>9.7899999999999991</v>
      </c>
      <c r="T108" s="1823"/>
      <c r="U108" s="17">
        <v>20.239999999999998</v>
      </c>
      <c r="V108" s="1845"/>
      <c r="W108" s="35">
        <f t="shared" si="34"/>
        <v>30.029999999999998</v>
      </c>
      <c r="X108" s="1823"/>
      <c r="Y108" s="17">
        <v>22.31</v>
      </c>
      <c r="Z108" s="832"/>
      <c r="AA108" s="717">
        <f t="shared" si="27"/>
        <v>42.55</v>
      </c>
      <c r="AB108" s="3617"/>
      <c r="AC108" s="429">
        <f t="shared" si="28"/>
        <v>52.339999999999996</v>
      </c>
      <c r="AD108" s="1823"/>
      <c r="AE108" s="17"/>
      <c r="AF108" s="1845"/>
      <c r="AG108" s="35">
        <f t="shared" si="29"/>
        <v>52.339999999999996</v>
      </c>
      <c r="AH108" s="1823"/>
      <c r="AI108" s="17">
        <v>75.069999999999993</v>
      </c>
      <c r="AJ108" s="1845"/>
      <c r="AK108" s="35">
        <f t="shared" si="21"/>
        <v>127.41</v>
      </c>
      <c r="AL108" s="1823"/>
      <c r="AM108" s="17">
        <v>29.37</v>
      </c>
      <c r="AN108" s="832"/>
      <c r="AO108" s="717">
        <f t="shared" si="22"/>
        <v>104.44</v>
      </c>
      <c r="AP108" s="1845"/>
      <c r="AQ108" s="35">
        <f t="shared" si="23"/>
        <v>156.78</v>
      </c>
      <c r="AR108" s="1823"/>
      <c r="AS108" s="77">
        <v>2.1800000000000002</v>
      </c>
      <c r="AT108" s="1845"/>
      <c r="AU108" s="35">
        <f t="shared" si="24"/>
        <v>158.96</v>
      </c>
      <c r="AV108" s="1823"/>
      <c r="AW108" s="77">
        <v>2.99</v>
      </c>
      <c r="AX108" s="1845"/>
      <c r="AY108" s="35">
        <f t="shared" si="41"/>
        <v>161.95000000000002</v>
      </c>
      <c r="AZ108" s="1823"/>
      <c r="BA108" s="77">
        <v>57.13</v>
      </c>
      <c r="BB108" s="832"/>
      <c r="BC108" s="717">
        <f t="shared" si="35"/>
        <v>62.300000000000004</v>
      </c>
      <c r="BD108" s="833"/>
      <c r="BE108" s="645">
        <f t="shared" si="36"/>
        <v>166.74</v>
      </c>
      <c r="BF108" s="1845"/>
      <c r="BG108" s="35">
        <f t="shared" si="26"/>
        <v>219.08</v>
      </c>
      <c r="BH108" s="23"/>
      <c r="BI108" s="23"/>
      <c r="BJ108" s="23"/>
      <c r="BK108" s="1111"/>
    </row>
    <row r="109" spans="1:63" ht="15" customHeight="1" x14ac:dyDescent="0.3">
      <c r="A109" s="490"/>
      <c r="B109" s="1504" t="s">
        <v>1243</v>
      </c>
      <c r="C109" s="1505"/>
      <c r="D109" s="2763"/>
      <c r="E109" s="1857" t="s">
        <v>50</v>
      </c>
      <c r="F109" s="1823"/>
      <c r="G109" s="77">
        <v>20</v>
      </c>
      <c r="H109" s="1823"/>
      <c r="I109" s="17">
        <v>1.46</v>
      </c>
      <c r="J109" s="1828"/>
      <c r="K109" s="4119">
        <f t="shared" si="32"/>
        <v>21.46</v>
      </c>
      <c r="L109" s="1823"/>
      <c r="M109" s="17">
        <v>37.58</v>
      </c>
      <c r="N109" s="1837"/>
      <c r="O109" s="65">
        <f t="shared" si="33"/>
        <v>59.04</v>
      </c>
      <c r="P109" s="1823"/>
      <c r="Q109" s="17">
        <v>9.5399999999999991</v>
      </c>
      <c r="R109" s="1845"/>
      <c r="S109" s="35">
        <f t="shared" si="31"/>
        <v>68.58</v>
      </c>
      <c r="T109" s="1823"/>
      <c r="U109" s="17">
        <v>24.71</v>
      </c>
      <c r="V109" s="1845"/>
      <c r="W109" s="35">
        <f t="shared" si="34"/>
        <v>93.289999999999992</v>
      </c>
      <c r="X109" s="1823"/>
      <c r="Y109" s="17">
        <v>2.94</v>
      </c>
      <c r="Z109" s="832"/>
      <c r="AA109" s="717">
        <f t="shared" si="27"/>
        <v>37.19</v>
      </c>
      <c r="AB109" s="3617"/>
      <c r="AC109" s="429">
        <f t="shared" si="28"/>
        <v>96.22999999999999</v>
      </c>
      <c r="AD109" s="1823"/>
      <c r="AE109" s="17"/>
      <c r="AF109" s="1845"/>
      <c r="AG109" s="35">
        <f t="shared" si="29"/>
        <v>96.22999999999999</v>
      </c>
      <c r="AH109" s="1823"/>
      <c r="AI109" s="17">
        <v>2.94</v>
      </c>
      <c r="AJ109" s="1845"/>
      <c r="AK109" s="35">
        <f t="shared" si="21"/>
        <v>99.169999999999987</v>
      </c>
      <c r="AL109" s="1823"/>
      <c r="AM109" s="17">
        <v>1.22</v>
      </c>
      <c r="AN109" s="832"/>
      <c r="AO109" s="717">
        <f t="shared" si="22"/>
        <v>4.16</v>
      </c>
      <c r="AP109" s="1845"/>
      <c r="AQ109" s="35">
        <f t="shared" si="23"/>
        <v>100.38999999999999</v>
      </c>
      <c r="AR109" s="1823"/>
      <c r="AS109" s="77">
        <v>2.93</v>
      </c>
      <c r="AT109" s="1845"/>
      <c r="AU109" s="35">
        <f t="shared" si="24"/>
        <v>103.32</v>
      </c>
      <c r="AV109" s="1823"/>
      <c r="AW109" s="77">
        <v>2.8</v>
      </c>
      <c r="AX109" s="1845"/>
      <c r="AY109" s="35">
        <f t="shared" si="41"/>
        <v>106.11999999999999</v>
      </c>
      <c r="AZ109" s="1823"/>
      <c r="BA109" s="77">
        <v>9.0399999999999991</v>
      </c>
      <c r="BB109" s="832"/>
      <c r="BC109" s="717">
        <f t="shared" si="35"/>
        <v>14.77</v>
      </c>
      <c r="BD109" s="833"/>
      <c r="BE109" s="645">
        <f t="shared" si="36"/>
        <v>18.93</v>
      </c>
      <c r="BF109" s="1845"/>
      <c r="BG109" s="35">
        <f t="shared" si="26"/>
        <v>115.16</v>
      </c>
      <c r="BH109" s="23"/>
      <c r="BI109" s="23"/>
      <c r="BJ109" s="23"/>
      <c r="BK109" s="1111"/>
    </row>
    <row r="110" spans="1:63" ht="15" customHeight="1" x14ac:dyDescent="0.3">
      <c r="A110" s="490"/>
      <c r="B110" s="1504" t="s">
        <v>1558</v>
      </c>
      <c r="C110" s="1505"/>
      <c r="D110" s="2763"/>
      <c r="E110" s="1857" t="s">
        <v>50</v>
      </c>
      <c r="F110" s="1823"/>
      <c r="G110" s="77"/>
      <c r="H110" s="1823"/>
      <c r="I110" s="17"/>
      <c r="J110" s="1828"/>
      <c r="K110" s="4119">
        <f t="shared" si="32"/>
        <v>0</v>
      </c>
      <c r="L110" s="1823"/>
      <c r="M110" s="17"/>
      <c r="N110" s="1837"/>
      <c r="O110" s="65">
        <f t="shared" si="33"/>
        <v>0</v>
      </c>
      <c r="P110" s="1823"/>
      <c r="Q110" s="17"/>
      <c r="R110" s="1845"/>
      <c r="S110" s="35">
        <f t="shared" si="31"/>
        <v>0</v>
      </c>
      <c r="T110" s="1823"/>
      <c r="U110" s="17"/>
      <c r="V110" s="1845"/>
      <c r="W110" s="35">
        <f t="shared" si="34"/>
        <v>0</v>
      </c>
      <c r="X110" s="1823"/>
      <c r="Y110" s="17"/>
      <c r="Z110" s="832"/>
      <c r="AA110" s="717">
        <f t="shared" si="27"/>
        <v>0</v>
      </c>
      <c r="AB110" s="3617"/>
      <c r="AC110" s="429">
        <f t="shared" si="28"/>
        <v>0</v>
      </c>
      <c r="AD110" s="1823"/>
      <c r="AE110" s="17"/>
      <c r="AF110" s="1845"/>
      <c r="AG110" s="35">
        <f t="shared" si="29"/>
        <v>0</v>
      </c>
      <c r="AH110" s="1823"/>
      <c r="AI110" s="17"/>
      <c r="AJ110" s="1845"/>
      <c r="AK110" s="35">
        <f t="shared" si="21"/>
        <v>0</v>
      </c>
      <c r="AL110" s="1823"/>
      <c r="AM110" s="17"/>
      <c r="AN110" s="832"/>
      <c r="AO110" s="717">
        <f t="shared" si="22"/>
        <v>0</v>
      </c>
      <c r="AP110" s="1845"/>
      <c r="AQ110" s="35">
        <f t="shared" si="23"/>
        <v>0</v>
      </c>
      <c r="AR110" s="1823"/>
      <c r="AS110" s="77"/>
      <c r="AT110" s="1845"/>
      <c r="AU110" s="35">
        <f t="shared" si="24"/>
        <v>0</v>
      </c>
      <c r="AV110" s="1823"/>
      <c r="AW110" s="77"/>
      <c r="AX110" s="1845"/>
      <c r="AY110" s="35">
        <f t="shared" si="41"/>
        <v>0</v>
      </c>
      <c r="AZ110" s="1823"/>
      <c r="BA110" s="77"/>
      <c r="BB110" s="832"/>
      <c r="BC110" s="717">
        <f t="shared" si="35"/>
        <v>0</v>
      </c>
      <c r="BD110" s="833"/>
      <c r="BE110" s="645">
        <f t="shared" si="36"/>
        <v>0</v>
      </c>
      <c r="BF110" s="1845"/>
      <c r="BG110" s="35">
        <f t="shared" si="26"/>
        <v>0</v>
      </c>
      <c r="BH110" s="23"/>
      <c r="BI110" s="23"/>
      <c r="BJ110" s="23"/>
      <c r="BK110" s="1111"/>
    </row>
    <row r="111" spans="1:63" ht="15" customHeight="1" x14ac:dyDescent="0.3">
      <c r="A111" s="490"/>
      <c r="B111" s="1504" t="s">
        <v>1390</v>
      </c>
      <c r="C111" s="1505"/>
      <c r="D111" s="2763"/>
      <c r="E111" s="1857" t="s">
        <v>50</v>
      </c>
      <c r="F111" s="1823"/>
      <c r="G111" s="77"/>
      <c r="H111" s="1823"/>
      <c r="I111" s="17">
        <v>21.02</v>
      </c>
      <c r="J111" s="1828"/>
      <c r="K111" s="4119">
        <f t="shared" si="32"/>
        <v>21.02</v>
      </c>
      <c r="L111" s="1823"/>
      <c r="M111" s="17">
        <v>49.29</v>
      </c>
      <c r="N111" s="1837"/>
      <c r="O111" s="65">
        <f t="shared" si="33"/>
        <v>70.31</v>
      </c>
      <c r="P111" s="1823"/>
      <c r="Q111" s="17"/>
      <c r="R111" s="1845"/>
      <c r="S111" s="35">
        <f t="shared" si="31"/>
        <v>70.31</v>
      </c>
      <c r="T111" s="1823"/>
      <c r="U111" s="17"/>
      <c r="V111" s="1845"/>
      <c r="W111" s="35">
        <f t="shared" si="34"/>
        <v>70.31</v>
      </c>
      <c r="X111" s="1823"/>
      <c r="Y111" s="17">
        <v>27.44</v>
      </c>
      <c r="Z111" s="832"/>
      <c r="AA111" s="717">
        <f t="shared" si="27"/>
        <v>27.44</v>
      </c>
      <c r="AB111" s="3617"/>
      <c r="AC111" s="429">
        <f t="shared" si="28"/>
        <v>97.75</v>
      </c>
      <c r="AD111" s="1823"/>
      <c r="AE111" s="17"/>
      <c r="AF111" s="1845"/>
      <c r="AG111" s="35">
        <f t="shared" si="29"/>
        <v>97.75</v>
      </c>
      <c r="AH111" s="1823"/>
      <c r="AI111" s="17">
        <v>151.5</v>
      </c>
      <c r="AJ111" s="1845"/>
      <c r="AK111" s="35">
        <f t="shared" si="21"/>
        <v>249.25</v>
      </c>
      <c r="AL111" s="1823"/>
      <c r="AM111" s="17">
        <v>153.30000000000001</v>
      </c>
      <c r="AN111" s="832"/>
      <c r="AO111" s="717">
        <f t="shared" si="22"/>
        <v>304.8</v>
      </c>
      <c r="AP111" s="1845"/>
      <c r="AQ111" s="35">
        <f t="shared" si="23"/>
        <v>402.55</v>
      </c>
      <c r="AR111" s="1823"/>
      <c r="AS111" s="77">
        <v>33.64</v>
      </c>
      <c r="AT111" s="1845"/>
      <c r="AU111" s="35">
        <f t="shared" si="24"/>
        <v>436.19</v>
      </c>
      <c r="AV111" s="1823"/>
      <c r="AW111" s="77"/>
      <c r="AX111" s="1845"/>
      <c r="AY111" s="35">
        <f t="shared" si="41"/>
        <v>436.19</v>
      </c>
      <c r="AZ111" s="1823"/>
      <c r="BA111" s="77"/>
      <c r="BB111" s="832"/>
      <c r="BC111" s="717">
        <f t="shared" si="35"/>
        <v>33.64</v>
      </c>
      <c r="BD111" s="833"/>
      <c r="BE111" s="645">
        <f t="shared" si="36"/>
        <v>338.44</v>
      </c>
      <c r="BF111" s="1845"/>
      <c r="BG111" s="35">
        <f t="shared" si="26"/>
        <v>436.19</v>
      </c>
      <c r="BH111" s="23"/>
      <c r="BI111" s="23"/>
      <c r="BJ111" s="23"/>
      <c r="BK111" s="1111"/>
    </row>
    <row r="112" spans="1:63" ht="15" customHeight="1" x14ac:dyDescent="0.3">
      <c r="A112" s="490"/>
      <c r="B112" s="1504" t="s">
        <v>895</v>
      </c>
      <c r="C112" s="1505"/>
      <c r="D112" s="2763"/>
      <c r="E112" s="1857" t="s">
        <v>50</v>
      </c>
      <c r="F112" s="1823"/>
      <c r="G112" s="77"/>
      <c r="H112" s="1823"/>
      <c r="I112" s="17"/>
      <c r="J112" s="1828"/>
      <c r="K112" s="4119">
        <f t="shared" si="32"/>
        <v>0</v>
      </c>
      <c r="L112" s="1823"/>
      <c r="M112" s="17"/>
      <c r="N112" s="1837"/>
      <c r="O112" s="65">
        <f t="shared" si="33"/>
        <v>0</v>
      </c>
      <c r="P112" s="1823"/>
      <c r="Q112" s="17"/>
      <c r="R112" s="1845"/>
      <c r="S112" s="35">
        <f t="shared" si="31"/>
        <v>0</v>
      </c>
      <c r="T112" s="1823"/>
      <c r="U112" s="17"/>
      <c r="V112" s="1845"/>
      <c r="W112" s="35">
        <f t="shared" si="34"/>
        <v>0</v>
      </c>
      <c r="X112" s="1823"/>
      <c r="Y112" s="17"/>
      <c r="Z112" s="832"/>
      <c r="AA112" s="717">
        <f t="shared" si="27"/>
        <v>0</v>
      </c>
      <c r="AB112" s="3617"/>
      <c r="AC112" s="429">
        <f t="shared" si="28"/>
        <v>0</v>
      </c>
      <c r="AD112" s="1823"/>
      <c r="AE112" s="17"/>
      <c r="AF112" s="1845"/>
      <c r="AG112" s="35">
        <f t="shared" si="29"/>
        <v>0</v>
      </c>
      <c r="AH112" s="1823"/>
      <c r="AI112" s="17"/>
      <c r="AJ112" s="1845"/>
      <c r="AK112" s="35">
        <f t="shared" si="21"/>
        <v>0</v>
      </c>
      <c r="AL112" s="1823"/>
      <c r="AM112" s="17">
        <v>58.36</v>
      </c>
      <c r="AN112" s="832"/>
      <c r="AO112" s="717">
        <f t="shared" si="22"/>
        <v>58.36</v>
      </c>
      <c r="AP112" s="1845"/>
      <c r="AQ112" s="35">
        <f t="shared" si="23"/>
        <v>58.36</v>
      </c>
      <c r="AR112" s="1823"/>
      <c r="AS112" s="77"/>
      <c r="AT112" s="1845"/>
      <c r="AU112" s="35">
        <f t="shared" si="24"/>
        <v>58.36</v>
      </c>
      <c r="AV112" s="1823"/>
      <c r="AW112" s="77">
        <v>4.37</v>
      </c>
      <c r="AX112" s="1845"/>
      <c r="AY112" s="35">
        <f t="shared" si="41"/>
        <v>62.73</v>
      </c>
      <c r="AZ112" s="1823"/>
      <c r="BA112" s="77"/>
      <c r="BB112" s="832"/>
      <c r="BC112" s="717">
        <f t="shared" si="35"/>
        <v>4.37</v>
      </c>
      <c r="BD112" s="833"/>
      <c r="BE112" s="645">
        <f t="shared" si="36"/>
        <v>62.73</v>
      </c>
      <c r="BF112" s="1845"/>
      <c r="BG112" s="35">
        <f t="shared" si="26"/>
        <v>62.73</v>
      </c>
      <c r="BH112" s="23"/>
      <c r="BI112" s="23"/>
      <c r="BJ112" s="23"/>
      <c r="BK112" s="1111"/>
    </row>
    <row r="113" spans="1:65" ht="15" customHeight="1" x14ac:dyDescent="0.3">
      <c r="A113" s="490"/>
      <c r="B113" s="1504" t="s">
        <v>1236</v>
      </c>
      <c r="C113" s="1505"/>
      <c r="D113" s="2763"/>
      <c r="E113" s="1857" t="s">
        <v>50</v>
      </c>
      <c r="F113" s="1823"/>
      <c r="G113" s="77"/>
      <c r="H113" s="1823"/>
      <c r="I113" s="17">
        <v>16.82</v>
      </c>
      <c r="J113" s="1828"/>
      <c r="K113" s="4119">
        <f t="shared" si="32"/>
        <v>16.82</v>
      </c>
      <c r="L113" s="1823"/>
      <c r="M113" s="17"/>
      <c r="N113" s="1837"/>
      <c r="O113" s="65">
        <f t="shared" si="33"/>
        <v>16.82</v>
      </c>
      <c r="P113" s="1823"/>
      <c r="Q113" s="17">
        <v>4.0999999999999996</v>
      </c>
      <c r="R113" s="1845"/>
      <c r="S113" s="35">
        <f t="shared" si="31"/>
        <v>20.92</v>
      </c>
      <c r="T113" s="1823"/>
      <c r="U113" s="17">
        <v>1.64</v>
      </c>
      <c r="V113" s="1845"/>
      <c r="W113" s="35">
        <f t="shared" si="34"/>
        <v>22.560000000000002</v>
      </c>
      <c r="X113" s="1823"/>
      <c r="Y113" s="17">
        <v>0.82</v>
      </c>
      <c r="Z113" s="832"/>
      <c r="AA113" s="717">
        <f t="shared" si="27"/>
        <v>6.56</v>
      </c>
      <c r="AB113" s="3617"/>
      <c r="AC113" s="429">
        <f t="shared" si="28"/>
        <v>23.38</v>
      </c>
      <c r="AD113" s="1823"/>
      <c r="AE113" s="17"/>
      <c r="AF113" s="1845"/>
      <c r="AG113" s="35">
        <f t="shared" si="29"/>
        <v>23.38</v>
      </c>
      <c r="AH113" s="1823"/>
      <c r="AI113" s="17">
        <v>0.41</v>
      </c>
      <c r="AJ113" s="1845"/>
      <c r="AK113" s="35">
        <f t="shared" si="21"/>
        <v>23.79</v>
      </c>
      <c r="AL113" s="1823"/>
      <c r="AM113" s="17"/>
      <c r="AN113" s="832"/>
      <c r="AO113" s="717">
        <f t="shared" si="22"/>
        <v>0.41</v>
      </c>
      <c r="AP113" s="1845"/>
      <c r="AQ113" s="35">
        <f t="shared" si="23"/>
        <v>23.79</v>
      </c>
      <c r="AR113" s="1823"/>
      <c r="AS113" s="77">
        <v>2.87</v>
      </c>
      <c r="AT113" s="1845"/>
      <c r="AU113" s="35">
        <f t="shared" si="24"/>
        <v>26.66</v>
      </c>
      <c r="AV113" s="1823"/>
      <c r="AW113" s="77">
        <v>0.82</v>
      </c>
      <c r="AX113" s="1845"/>
      <c r="AY113" s="35">
        <f t="shared" si="41"/>
        <v>27.48</v>
      </c>
      <c r="AZ113" s="1823"/>
      <c r="BA113" s="77">
        <v>7.03</v>
      </c>
      <c r="BB113" s="832"/>
      <c r="BC113" s="717">
        <f t="shared" si="35"/>
        <v>10.72</v>
      </c>
      <c r="BD113" s="833"/>
      <c r="BE113" s="645">
        <f t="shared" si="36"/>
        <v>11.13</v>
      </c>
      <c r="BF113" s="1845"/>
      <c r="BG113" s="35">
        <f t="shared" si="26"/>
        <v>34.51</v>
      </c>
      <c r="BH113" s="23"/>
      <c r="BI113" s="23"/>
      <c r="BJ113" s="23"/>
      <c r="BK113" s="1111"/>
    </row>
    <row r="114" spans="1:65" ht="15" customHeight="1" x14ac:dyDescent="0.3">
      <c r="A114" s="490"/>
      <c r="B114" s="1504" t="s">
        <v>1150</v>
      </c>
      <c r="C114" s="1505"/>
      <c r="D114" s="2763"/>
      <c r="E114" s="1857" t="s">
        <v>50</v>
      </c>
      <c r="F114" s="1823"/>
      <c r="G114" s="77">
        <v>1.21</v>
      </c>
      <c r="H114" s="1823"/>
      <c r="I114" s="17"/>
      <c r="J114" s="1828"/>
      <c r="K114" s="4119">
        <f t="shared" si="32"/>
        <v>1.21</v>
      </c>
      <c r="L114" s="1823"/>
      <c r="M114" s="17"/>
      <c r="N114" s="1837"/>
      <c r="O114" s="65">
        <f t="shared" si="33"/>
        <v>1.21</v>
      </c>
      <c r="P114" s="1823"/>
      <c r="Q114" s="17"/>
      <c r="R114" s="1845"/>
      <c r="S114" s="35">
        <f t="shared" si="31"/>
        <v>1.21</v>
      </c>
      <c r="T114" s="1823"/>
      <c r="U114" s="17">
        <v>17.02</v>
      </c>
      <c r="V114" s="1845"/>
      <c r="W114" s="35">
        <f t="shared" si="34"/>
        <v>18.23</v>
      </c>
      <c r="X114" s="1823"/>
      <c r="Y114" s="17">
        <v>7.02</v>
      </c>
      <c r="Z114" s="832"/>
      <c r="AA114" s="717">
        <f t="shared" si="27"/>
        <v>24.04</v>
      </c>
      <c r="AB114" s="3617"/>
      <c r="AC114" s="429">
        <f t="shared" si="28"/>
        <v>25.25</v>
      </c>
      <c r="AD114" s="1823"/>
      <c r="AE114" s="17"/>
      <c r="AF114" s="1845"/>
      <c r="AG114" s="35">
        <f t="shared" si="29"/>
        <v>25.25</v>
      </c>
      <c r="AH114" s="1823"/>
      <c r="AI114" s="17">
        <v>45.16</v>
      </c>
      <c r="AJ114" s="1845"/>
      <c r="AK114" s="35">
        <f t="shared" si="21"/>
        <v>70.41</v>
      </c>
      <c r="AL114" s="1823"/>
      <c r="AM114" s="17"/>
      <c r="AN114" s="832"/>
      <c r="AO114" s="717">
        <f t="shared" si="22"/>
        <v>45.16</v>
      </c>
      <c r="AP114" s="1845"/>
      <c r="AQ114" s="35">
        <f t="shared" si="23"/>
        <v>70.41</v>
      </c>
      <c r="AR114" s="1823"/>
      <c r="AS114" s="77"/>
      <c r="AT114" s="1845"/>
      <c r="AU114" s="35">
        <f t="shared" si="24"/>
        <v>70.41</v>
      </c>
      <c r="AV114" s="1823"/>
      <c r="AW114" s="77"/>
      <c r="AX114" s="1845"/>
      <c r="AY114" s="35">
        <f t="shared" si="41"/>
        <v>70.41</v>
      </c>
      <c r="AZ114" s="1823"/>
      <c r="BA114" s="77"/>
      <c r="BB114" s="832"/>
      <c r="BC114" s="717">
        <f t="shared" si="35"/>
        <v>0</v>
      </c>
      <c r="BD114" s="833"/>
      <c r="BE114" s="645">
        <f t="shared" si="36"/>
        <v>45.16</v>
      </c>
      <c r="BF114" s="1845"/>
      <c r="BG114" s="35">
        <f t="shared" si="26"/>
        <v>70.41</v>
      </c>
      <c r="BH114" s="23"/>
      <c r="BI114" s="23"/>
      <c r="BJ114" s="23"/>
      <c r="BK114" s="1111"/>
    </row>
    <row r="115" spans="1:65" ht="15" customHeight="1" x14ac:dyDescent="0.3">
      <c r="A115" s="490"/>
      <c r="B115" s="1504" t="s">
        <v>1269</v>
      </c>
      <c r="C115" s="1505"/>
      <c r="D115" s="2763"/>
      <c r="E115" s="1857" t="s">
        <v>50</v>
      </c>
      <c r="F115" s="1823"/>
      <c r="G115" s="77"/>
      <c r="H115" s="1823"/>
      <c r="I115" s="17"/>
      <c r="J115" s="1828"/>
      <c r="K115" s="4119">
        <f t="shared" si="32"/>
        <v>0</v>
      </c>
      <c r="L115" s="1823"/>
      <c r="M115" s="17">
        <v>5.99</v>
      </c>
      <c r="N115" s="1837"/>
      <c r="O115" s="65">
        <f t="shared" si="33"/>
        <v>5.99</v>
      </c>
      <c r="P115" s="1823"/>
      <c r="Q115" s="17"/>
      <c r="R115" s="1845"/>
      <c r="S115" s="35">
        <f t="shared" si="31"/>
        <v>5.99</v>
      </c>
      <c r="T115" s="1823"/>
      <c r="U115" s="17"/>
      <c r="V115" s="1845"/>
      <c r="W115" s="35">
        <f t="shared" si="34"/>
        <v>5.99</v>
      </c>
      <c r="X115" s="1823"/>
      <c r="Y115" s="17"/>
      <c r="Z115" s="832"/>
      <c r="AA115" s="717">
        <f t="shared" si="27"/>
        <v>0</v>
      </c>
      <c r="AB115" s="3617"/>
      <c r="AC115" s="429">
        <f t="shared" si="28"/>
        <v>5.99</v>
      </c>
      <c r="AD115" s="1823"/>
      <c r="AE115" s="17"/>
      <c r="AF115" s="1845"/>
      <c r="AG115" s="35">
        <f t="shared" si="29"/>
        <v>5.99</v>
      </c>
      <c r="AH115" s="1823"/>
      <c r="AI115" s="17"/>
      <c r="AJ115" s="1845"/>
      <c r="AK115" s="35">
        <f t="shared" si="21"/>
        <v>5.99</v>
      </c>
      <c r="AL115" s="1823"/>
      <c r="AM115" s="17">
        <v>55.88</v>
      </c>
      <c r="AN115" s="832"/>
      <c r="AO115" s="717">
        <f t="shared" si="22"/>
        <v>55.88</v>
      </c>
      <c r="AP115" s="1845"/>
      <c r="AQ115" s="35">
        <f t="shared" si="23"/>
        <v>61.870000000000005</v>
      </c>
      <c r="AR115" s="1823"/>
      <c r="AS115" s="77"/>
      <c r="AT115" s="1845"/>
      <c r="AU115" s="35">
        <f t="shared" si="24"/>
        <v>61.870000000000005</v>
      </c>
      <c r="AV115" s="1823"/>
      <c r="AW115" s="77"/>
      <c r="AX115" s="1845"/>
      <c r="AY115" s="35">
        <f t="shared" si="41"/>
        <v>61.870000000000005</v>
      </c>
      <c r="AZ115" s="1823"/>
      <c r="BA115" s="77"/>
      <c r="BB115" s="832"/>
      <c r="BC115" s="717">
        <f t="shared" si="35"/>
        <v>0</v>
      </c>
      <c r="BD115" s="833"/>
      <c r="BE115" s="645">
        <f t="shared" si="36"/>
        <v>55.88</v>
      </c>
      <c r="BF115" s="1845"/>
      <c r="BG115" s="35">
        <f t="shared" si="26"/>
        <v>61.870000000000005</v>
      </c>
      <c r="BH115" s="23"/>
      <c r="BI115" s="23"/>
      <c r="BJ115" s="23"/>
      <c r="BK115" s="1111"/>
    </row>
    <row r="116" spans="1:65" ht="15" customHeight="1" x14ac:dyDescent="0.3">
      <c r="A116" s="490"/>
      <c r="B116" s="1504" t="s">
        <v>1096</v>
      </c>
      <c r="C116" s="1505"/>
      <c r="D116" s="2763"/>
      <c r="E116" s="1857" t="s">
        <v>50</v>
      </c>
      <c r="F116" s="1823"/>
      <c r="G116" s="77">
        <v>13.130000000000003</v>
      </c>
      <c r="H116" s="1823"/>
      <c r="I116" s="17">
        <v>6.97</v>
      </c>
      <c r="J116" s="1828"/>
      <c r="K116" s="4119">
        <f t="shared" si="32"/>
        <v>20.100000000000001</v>
      </c>
      <c r="L116" s="1823"/>
      <c r="M116" s="17">
        <v>13.51</v>
      </c>
      <c r="N116" s="1837"/>
      <c r="O116" s="65">
        <f t="shared" si="33"/>
        <v>33.61</v>
      </c>
      <c r="P116" s="1823"/>
      <c r="Q116" s="17">
        <v>43.86</v>
      </c>
      <c r="R116" s="1845"/>
      <c r="S116" s="35">
        <f t="shared" si="31"/>
        <v>77.47</v>
      </c>
      <c r="T116" s="1823"/>
      <c r="U116" s="17">
        <v>51.479999999999983</v>
      </c>
      <c r="V116" s="1845"/>
      <c r="W116" s="35">
        <f t="shared" si="34"/>
        <v>128.94999999999999</v>
      </c>
      <c r="X116" s="1823"/>
      <c r="Y116" s="17">
        <v>85.71</v>
      </c>
      <c r="Z116" s="832"/>
      <c r="AA116" s="717">
        <f t="shared" si="27"/>
        <v>181.04999999999995</v>
      </c>
      <c r="AB116" s="3617"/>
      <c r="AC116" s="429">
        <f t="shared" si="28"/>
        <v>214.65999999999997</v>
      </c>
      <c r="AD116" s="1823"/>
      <c r="AE116" s="17"/>
      <c r="AF116" s="1845"/>
      <c r="AG116" s="35">
        <f t="shared" si="29"/>
        <v>214.65999999999997</v>
      </c>
      <c r="AH116" s="1823"/>
      <c r="AI116" s="17">
        <v>52.54</v>
      </c>
      <c r="AJ116" s="1845"/>
      <c r="AK116" s="35">
        <f t="shared" si="21"/>
        <v>267.2</v>
      </c>
      <c r="AL116" s="1823"/>
      <c r="AM116" s="17">
        <v>59.82</v>
      </c>
      <c r="AN116" s="832"/>
      <c r="AO116" s="717">
        <f t="shared" si="22"/>
        <v>112.36</v>
      </c>
      <c r="AP116" s="1845"/>
      <c r="AQ116" s="35">
        <f t="shared" si="23"/>
        <v>327.02</v>
      </c>
      <c r="AR116" s="1823"/>
      <c r="AS116" s="77">
        <v>37.880000000000003</v>
      </c>
      <c r="AT116" s="1845"/>
      <c r="AU116" s="35">
        <f t="shared" si="24"/>
        <v>364.9</v>
      </c>
      <c r="AV116" s="1823"/>
      <c r="AW116" s="77"/>
      <c r="AX116" s="1845"/>
      <c r="AY116" s="35">
        <f t="shared" si="41"/>
        <v>364.9</v>
      </c>
      <c r="AZ116" s="1823"/>
      <c r="BA116" s="77">
        <v>11.379999999999999</v>
      </c>
      <c r="BB116" s="832"/>
      <c r="BC116" s="717">
        <f t="shared" si="35"/>
        <v>49.260000000000005</v>
      </c>
      <c r="BD116" s="833"/>
      <c r="BE116" s="645">
        <f t="shared" si="36"/>
        <v>161.62</v>
      </c>
      <c r="BF116" s="1845"/>
      <c r="BG116" s="35">
        <f t="shared" si="26"/>
        <v>376.28</v>
      </c>
      <c r="BH116" s="23"/>
      <c r="BI116" s="23"/>
      <c r="BJ116" s="23"/>
      <c r="BK116" s="1111"/>
    </row>
    <row r="117" spans="1:65" ht="15" customHeight="1" x14ac:dyDescent="0.3">
      <c r="A117" s="490"/>
      <c r="B117" s="4458" t="s">
        <v>2047</v>
      </c>
      <c r="C117" s="4459"/>
      <c r="D117" s="4460"/>
      <c r="E117" s="4461" t="s">
        <v>50</v>
      </c>
      <c r="F117" s="4462"/>
      <c r="G117" s="4837">
        <v>65.38</v>
      </c>
      <c r="H117" s="4462"/>
      <c r="I117" s="4463"/>
      <c r="J117" s="4464"/>
      <c r="K117" s="4119">
        <f t="shared" si="32"/>
        <v>65.38</v>
      </c>
      <c r="L117" s="4462"/>
      <c r="M117" s="4463">
        <v>9.9600000000000009</v>
      </c>
      <c r="N117" s="4465"/>
      <c r="O117" s="65">
        <f t="shared" si="33"/>
        <v>75.34</v>
      </c>
      <c r="P117" s="4462"/>
      <c r="Q117" s="4463">
        <v>18.57</v>
      </c>
      <c r="R117" s="4466"/>
      <c r="S117" s="35">
        <f t="shared" si="31"/>
        <v>93.91</v>
      </c>
      <c r="T117" s="4462"/>
      <c r="U117" s="4463">
        <v>33.03</v>
      </c>
      <c r="V117" s="4466"/>
      <c r="W117" s="35">
        <f t="shared" si="34"/>
        <v>126.94</v>
      </c>
      <c r="X117" s="4462"/>
      <c r="Y117" s="4463">
        <v>11.85</v>
      </c>
      <c r="Z117" s="4467"/>
      <c r="AA117" s="717">
        <f t="shared" si="27"/>
        <v>63.45</v>
      </c>
      <c r="AB117" s="3617"/>
      <c r="AC117" s="429">
        <f t="shared" si="28"/>
        <v>138.79000000000002</v>
      </c>
      <c r="AD117" s="4462"/>
      <c r="AE117" s="4463"/>
      <c r="AF117" s="4466"/>
      <c r="AG117" s="35">
        <f t="shared" si="29"/>
        <v>138.79000000000002</v>
      </c>
      <c r="AH117" s="4462"/>
      <c r="AI117" s="4463">
        <v>2.77</v>
      </c>
      <c r="AJ117" s="4466"/>
      <c r="AK117" s="35">
        <f t="shared" si="21"/>
        <v>141.56000000000003</v>
      </c>
      <c r="AL117" s="4462"/>
      <c r="AM117" s="4463"/>
      <c r="AN117" s="4467"/>
      <c r="AO117" s="717">
        <f t="shared" si="22"/>
        <v>2.77</v>
      </c>
      <c r="AP117" s="1845"/>
      <c r="AQ117" s="35">
        <f t="shared" si="23"/>
        <v>141.56000000000003</v>
      </c>
      <c r="AR117" s="4462"/>
      <c r="AS117" s="4837">
        <v>0.55000000000000004</v>
      </c>
      <c r="AT117" s="1845"/>
      <c r="AU117" s="35">
        <f t="shared" si="24"/>
        <v>142.11000000000004</v>
      </c>
      <c r="AV117" s="4462"/>
      <c r="AW117" s="4837"/>
      <c r="AX117" s="1845"/>
      <c r="AY117" s="35">
        <f t="shared" si="41"/>
        <v>142.11000000000004</v>
      </c>
      <c r="AZ117" s="4462"/>
      <c r="BA117" s="4837">
        <v>17.690000000000001</v>
      </c>
      <c r="BB117" s="832"/>
      <c r="BC117" s="717">
        <f t="shared" ref="BC117:BC119" si="42">+AS117+AW117+BA117</f>
        <v>18.240000000000002</v>
      </c>
      <c r="BD117" s="833"/>
      <c r="BE117" s="645">
        <f t="shared" ref="BE117:BE119" si="43">+AO117+BC117</f>
        <v>21.01</v>
      </c>
      <c r="BF117" s="1845"/>
      <c r="BG117" s="35">
        <f t="shared" si="26"/>
        <v>159.80000000000004</v>
      </c>
      <c r="BH117" s="23"/>
      <c r="BI117" s="23"/>
      <c r="BJ117" s="23"/>
      <c r="BK117" s="1111"/>
    </row>
    <row r="118" spans="1:65" ht="15" customHeight="1" x14ac:dyDescent="0.3">
      <c r="A118" s="490"/>
      <c r="B118" s="4652" t="s">
        <v>2070</v>
      </c>
      <c r="C118" s="4586"/>
      <c r="D118" s="4587"/>
      <c r="E118" s="4461" t="s">
        <v>50</v>
      </c>
      <c r="F118" s="4653"/>
      <c r="G118" s="4838">
        <v>0.61</v>
      </c>
      <c r="H118" s="4653"/>
      <c r="I118" s="3755"/>
      <c r="J118" s="4588"/>
      <c r="K118" s="4119">
        <f t="shared" si="32"/>
        <v>0.61</v>
      </c>
      <c r="L118" s="4653"/>
      <c r="M118" s="3755"/>
      <c r="N118" s="4465"/>
      <c r="O118" s="65">
        <f t="shared" si="33"/>
        <v>0.61</v>
      </c>
      <c r="P118" s="4653"/>
      <c r="Q118" s="3755"/>
      <c r="R118" s="4466"/>
      <c r="S118" s="4063"/>
      <c r="T118" s="4653"/>
      <c r="U118" s="3755"/>
      <c r="V118" s="4466"/>
      <c r="W118" s="4063"/>
      <c r="X118" s="4653"/>
      <c r="Y118" s="3755">
        <v>13.67</v>
      </c>
      <c r="Z118" s="4589"/>
      <c r="AA118" s="717">
        <f t="shared" si="27"/>
        <v>13.67</v>
      </c>
      <c r="AB118" s="4590"/>
      <c r="AC118" s="429">
        <f t="shared" si="28"/>
        <v>14.28</v>
      </c>
      <c r="AD118" s="4653"/>
      <c r="AE118" s="3755"/>
      <c r="AF118" s="4466"/>
      <c r="AG118" s="35">
        <f t="shared" si="29"/>
        <v>14.28</v>
      </c>
      <c r="AH118" s="4653"/>
      <c r="AI118" s="3755">
        <v>0.54</v>
      </c>
      <c r="AJ118" s="4466"/>
      <c r="AK118" s="35">
        <f t="shared" si="21"/>
        <v>14.82</v>
      </c>
      <c r="AL118" s="4653"/>
      <c r="AM118" s="3755">
        <v>7.3400000000000007</v>
      </c>
      <c r="AN118" s="4589"/>
      <c r="AO118" s="717">
        <f t="shared" ref="AO118:AO119" si="44">+AE118+AI118+AM118</f>
        <v>7.8800000000000008</v>
      </c>
      <c r="AP118" s="1845"/>
      <c r="AQ118" s="35">
        <f t="shared" si="23"/>
        <v>22.16</v>
      </c>
      <c r="AR118" s="4653"/>
      <c r="AS118" s="4838">
        <v>22.64</v>
      </c>
      <c r="AT118" s="1845"/>
      <c r="AU118" s="35">
        <f t="shared" si="24"/>
        <v>44.8</v>
      </c>
      <c r="AV118" s="4653"/>
      <c r="AW118" s="4838"/>
      <c r="AX118" s="1845"/>
      <c r="AY118" s="35">
        <f t="shared" si="41"/>
        <v>44.8</v>
      </c>
      <c r="AZ118" s="4653"/>
      <c r="BA118" s="4838"/>
      <c r="BB118" s="832"/>
      <c r="BC118" s="717">
        <f t="shared" si="42"/>
        <v>22.64</v>
      </c>
      <c r="BD118" s="833"/>
      <c r="BE118" s="645">
        <f t="shared" si="43"/>
        <v>30.520000000000003</v>
      </c>
      <c r="BF118" s="1845"/>
      <c r="BG118" s="35">
        <f t="shared" si="26"/>
        <v>44.8</v>
      </c>
      <c r="BH118" s="23"/>
      <c r="BI118" s="23"/>
      <c r="BJ118" s="23"/>
      <c r="BK118" s="1111"/>
    </row>
    <row r="119" spans="1:65" ht="15" customHeight="1" x14ac:dyDescent="0.3">
      <c r="A119" s="490"/>
      <c r="B119" s="4458" t="s">
        <v>2048</v>
      </c>
      <c r="C119" s="4586"/>
      <c r="D119" s="4587"/>
      <c r="E119" s="4461" t="s">
        <v>50</v>
      </c>
      <c r="F119" s="4462"/>
      <c r="G119" s="4837"/>
      <c r="H119" s="4462"/>
      <c r="I119" s="4463"/>
      <c r="J119" s="4588"/>
      <c r="K119" s="4119">
        <f t="shared" si="32"/>
        <v>0</v>
      </c>
      <c r="L119" s="4462"/>
      <c r="M119" s="4463"/>
      <c r="N119" s="4465"/>
      <c r="O119" s="65">
        <f t="shared" si="33"/>
        <v>0</v>
      </c>
      <c r="P119" s="4462"/>
      <c r="Q119" s="4463"/>
      <c r="R119" s="4466"/>
      <c r="S119" s="4063"/>
      <c r="T119" s="4462"/>
      <c r="U119" s="4463"/>
      <c r="V119" s="4466"/>
      <c r="W119" s="4063"/>
      <c r="X119" s="4462"/>
      <c r="Y119" s="4463"/>
      <c r="Z119" s="4589"/>
      <c r="AA119" s="717">
        <f t="shared" si="27"/>
        <v>0</v>
      </c>
      <c r="AB119" s="4590"/>
      <c r="AC119" s="429">
        <f t="shared" si="28"/>
        <v>0</v>
      </c>
      <c r="AD119" s="4462"/>
      <c r="AE119" s="4463">
        <v>0.72</v>
      </c>
      <c r="AF119" s="4466"/>
      <c r="AG119" s="35">
        <f t="shared" ref="AG119" si="45">+AC119+AE119</f>
        <v>0.72</v>
      </c>
      <c r="AH119" s="4462"/>
      <c r="AI119" s="4463"/>
      <c r="AJ119" s="4466"/>
      <c r="AK119" s="35">
        <f t="shared" si="21"/>
        <v>0.72</v>
      </c>
      <c r="AL119" s="4462"/>
      <c r="AM119" s="4463">
        <v>5.77</v>
      </c>
      <c r="AN119" s="4467"/>
      <c r="AO119" s="717">
        <f t="shared" si="44"/>
        <v>6.4899999999999993</v>
      </c>
      <c r="AP119" s="1845"/>
      <c r="AQ119" s="35">
        <f t="shared" ref="AQ119" si="46">AK119+AM119</f>
        <v>6.4899999999999993</v>
      </c>
      <c r="AR119" s="4462"/>
      <c r="AS119" s="4837">
        <v>16.7</v>
      </c>
      <c r="AT119" s="1845"/>
      <c r="AU119" s="35">
        <f t="shared" si="24"/>
        <v>23.189999999999998</v>
      </c>
      <c r="AV119" s="4462"/>
      <c r="AW119" s="4837"/>
      <c r="AX119" s="1845"/>
      <c r="AY119" s="35">
        <f t="shared" si="41"/>
        <v>23.189999999999998</v>
      </c>
      <c r="AZ119" s="4462"/>
      <c r="BA119" s="4837"/>
      <c r="BB119" s="832"/>
      <c r="BC119" s="717">
        <f t="shared" si="42"/>
        <v>16.7</v>
      </c>
      <c r="BD119" s="833"/>
      <c r="BE119" s="645">
        <f t="shared" si="43"/>
        <v>23.189999999999998</v>
      </c>
      <c r="BF119" s="1845"/>
      <c r="BG119" s="35">
        <f t="shared" si="26"/>
        <v>23.189999999999998</v>
      </c>
      <c r="BH119" s="23"/>
      <c r="BI119" s="23"/>
      <c r="BJ119" s="23"/>
      <c r="BK119" s="1111"/>
    </row>
    <row r="120" spans="1:65" ht="16.2" thickBot="1" x14ac:dyDescent="0.35">
      <c r="A120" s="137"/>
      <c r="B120" s="949" t="s">
        <v>297</v>
      </c>
      <c r="C120" s="948"/>
      <c r="D120" s="1854"/>
      <c r="E120" s="2752" t="s">
        <v>50</v>
      </c>
      <c r="F120" s="2753">
        <f>+F121</f>
        <v>56000</v>
      </c>
      <c r="G120" s="2754">
        <f>+SUM(G8:G119)</f>
        <v>52736.034000000007</v>
      </c>
      <c r="H120" s="2753">
        <f>+H121</f>
        <v>59500</v>
      </c>
      <c r="I120" s="2754">
        <f>+SUM(I8:I119)</f>
        <v>10595.247999999998</v>
      </c>
      <c r="J120" s="2755">
        <f>+J121</f>
        <v>115500</v>
      </c>
      <c r="K120" s="2756">
        <f>+SUM(K8:K119)</f>
        <v>63331.281999999999</v>
      </c>
      <c r="L120" s="2753">
        <f>+L121</f>
        <v>62500</v>
      </c>
      <c r="M120" s="2754">
        <f>+SUM(M8:M119)</f>
        <v>58809.43299999999</v>
      </c>
      <c r="N120" s="1807">
        <f>+N121</f>
        <v>178000</v>
      </c>
      <c r="O120" s="1808">
        <f>+SUM(O8:O119)</f>
        <v>120311.16099999996</v>
      </c>
      <c r="P120" s="2753">
        <f>+P121</f>
        <v>65000</v>
      </c>
      <c r="Q120" s="2754">
        <f>+SUM(Q8:Q119)</f>
        <v>57582.287000000004</v>
      </c>
      <c r="R120" s="1812">
        <f>+R121</f>
        <v>243000</v>
      </c>
      <c r="S120" s="169">
        <f>+SUM(S8:S119)</f>
        <v>172979.77600000001</v>
      </c>
      <c r="T120" s="2753">
        <f>+T121</f>
        <v>65000</v>
      </c>
      <c r="U120" s="2754">
        <f>+SUM(U8:U119)</f>
        <v>44754.692999999992</v>
      </c>
      <c r="V120" s="1812">
        <f>+V121</f>
        <v>308000</v>
      </c>
      <c r="W120" s="169">
        <f>+SUM(W8:W119)</f>
        <v>217734.46900000004</v>
      </c>
      <c r="X120" s="2753">
        <f>+X121</f>
        <v>33500</v>
      </c>
      <c r="Y120" s="2754">
        <f>+SUM(Y8:Y119)</f>
        <v>50235.30599999999</v>
      </c>
      <c r="Z120" s="734">
        <f>+Z121</f>
        <v>163500</v>
      </c>
      <c r="AA120" s="734">
        <f>+SUM(AA8:AA119)</f>
        <v>152572.28599999999</v>
      </c>
      <c r="AB120" s="482">
        <f>+AB121</f>
        <v>341500</v>
      </c>
      <c r="AC120" s="748">
        <f>+SUM(AC8:AC119)</f>
        <v>272883.44699999993</v>
      </c>
      <c r="AD120" s="2753">
        <f>+AD121</f>
        <v>67000</v>
      </c>
      <c r="AE120" s="2754">
        <f>+SUM(AE8:AE119)</f>
        <v>29919.527000000009</v>
      </c>
      <c r="AF120" s="1812">
        <f>+AF121</f>
        <v>408500</v>
      </c>
      <c r="AG120" s="169">
        <f>+SUM(AG8:AG119)</f>
        <v>302802.97399999993</v>
      </c>
      <c r="AH120" s="2753">
        <f>+AH121</f>
        <v>65000</v>
      </c>
      <c r="AI120" s="2754">
        <f>+SUM(AI8:AI119)</f>
        <v>49443.88400000002</v>
      </c>
      <c r="AJ120" s="1812">
        <f>+AJ121</f>
        <v>473500</v>
      </c>
      <c r="AK120" s="169">
        <f>+SUM(AK8:AK119)</f>
        <v>352246.85800000001</v>
      </c>
      <c r="AL120" s="2753">
        <f>+AL121</f>
        <v>67500</v>
      </c>
      <c r="AM120" s="2754">
        <f>+SUM(AM8:AM119)</f>
        <v>53389.06</v>
      </c>
      <c r="AN120" s="734">
        <f>+AN121</f>
        <v>199500</v>
      </c>
      <c r="AO120" s="734">
        <f>+SUM(AO8:AO119)</f>
        <v>132752.47099999993</v>
      </c>
      <c r="AP120" s="1812">
        <f>+AP121</f>
        <v>541000</v>
      </c>
      <c r="AQ120" s="169">
        <f>+SUM(AQ8:AQ119)</f>
        <v>405635.91800000006</v>
      </c>
      <c r="AR120" s="2753">
        <f>+AR121</f>
        <v>68000</v>
      </c>
      <c r="AS120" s="2754">
        <f>+SUM(AS8:AS119)</f>
        <v>56882.247999999992</v>
      </c>
      <c r="AT120" s="1812">
        <f>+AT121</f>
        <v>609000</v>
      </c>
      <c r="AU120" s="169">
        <f>+SUM(AU8:AU119)</f>
        <v>462518.16600000014</v>
      </c>
      <c r="AV120" s="2753">
        <f>+AV121</f>
        <v>61000</v>
      </c>
      <c r="AW120" s="2754">
        <f>+SUM(AW8:AW119)</f>
        <v>54332.608</v>
      </c>
      <c r="AX120" s="1812">
        <f>+AX121</f>
        <v>670000</v>
      </c>
      <c r="AY120" s="169">
        <f>+SUM(AY8:AY119)</f>
        <v>516850.77400000003</v>
      </c>
      <c r="AZ120" s="2753">
        <f>+AZ121</f>
        <v>68500</v>
      </c>
      <c r="BA120" s="2754">
        <f>+SUM(BA8:BA119)</f>
        <v>63294.635999999991</v>
      </c>
      <c r="BB120" s="734">
        <f>+BB121</f>
        <v>197500</v>
      </c>
      <c r="BC120" s="734">
        <f>+SUM(BC8:BC119)</f>
        <v>174509.49200000003</v>
      </c>
      <c r="BD120" s="1481">
        <f>+BD121</f>
        <v>397000</v>
      </c>
      <c r="BE120" s="1481">
        <f>+SUM(BE8:BE119)</f>
        <v>307261.96300000005</v>
      </c>
      <c r="BF120" s="1812">
        <f>+BF121</f>
        <v>738500</v>
      </c>
      <c r="BG120" s="169">
        <f>+SUM(BG8:BG119)</f>
        <v>580145.41</v>
      </c>
      <c r="BH120" s="23"/>
      <c r="BI120" s="23"/>
      <c r="BJ120" s="23"/>
      <c r="BK120" s="507"/>
    </row>
    <row r="121" spans="1:65" ht="16.2" thickBot="1" x14ac:dyDescent="0.35">
      <c r="A121" s="137"/>
      <c r="B121" s="834" t="s">
        <v>783</v>
      </c>
      <c r="C121" s="949"/>
      <c r="D121" s="1855"/>
      <c r="E121" s="1858" t="s">
        <v>50</v>
      </c>
      <c r="F121" s="1417">
        <f>+'Maj Production Summ'!E32</f>
        <v>56000</v>
      </c>
      <c r="G121" s="237">
        <f>+SUM(G8:G103)</f>
        <v>52520.054000000011</v>
      </c>
      <c r="H121" s="1417">
        <f>+'Maj Production Summ'!G32</f>
        <v>59500</v>
      </c>
      <c r="I121" s="237">
        <f>+SUM(I8:I103)</f>
        <v>10535.918</v>
      </c>
      <c r="J121" s="1829">
        <f>+'Maj Production Summ'!I32</f>
        <v>115500</v>
      </c>
      <c r="K121" s="1831">
        <f>+SUM(K8:K103)</f>
        <v>63055.972000000009</v>
      </c>
      <c r="L121" s="1417">
        <f>+'Maj Production Summ'!K32</f>
        <v>62500</v>
      </c>
      <c r="M121" s="237">
        <f>+SUM(M8:M103)</f>
        <v>58674.632999999994</v>
      </c>
      <c r="N121" s="1807">
        <f>+'Maj Production Summ'!M32</f>
        <v>178000</v>
      </c>
      <c r="O121" s="1808">
        <f>+SUM(O8:O103)</f>
        <v>119901.05099999996</v>
      </c>
      <c r="P121" s="1417">
        <f>+'Maj Production Summ'!O32</f>
        <v>65000</v>
      </c>
      <c r="Q121" s="237">
        <f>+SUM(Q8:Q103)</f>
        <v>57327.387000000002</v>
      </c>
      <c r="R121" s="1812">
        <f>+'Maj Production Summ'!Q32</f>
        <v>243000</v>
      </c>
      <c r="S121" s="169">
        <f>+SUM(S8:S103)</f>
        <v>172315.37599999999</v>
      </c>
      <c r="T121" s="1417">
        <f>+'Maj Production Summ'!S32</f>
        <v>65000</v>
      </c>
      <c r="U121" s="237">
        <f>+SUM(U8:U103)</f>
        <v>44406.292999999998</v>
      </c>
      <c r="V121" s="1812">
        <f>+'Maj Production Summ'!U32</f>
        <v>308000</v>
      </c>
      <c r="W121" s="169">
        <f>+SUM(W8:W103)</f>
        <v>216721.66900000002</v>
      </c>
      <c r="X121" s="1417">
        <f>+'Maj Production Summ'!W32</f>
        <v>33500</v>
      </c>
      <c r="Y121" s="237">
        <f>+SUM(Y8:Y103)</f>
        <v>49996.715999999993</v>
      </c>
      <c r="Z121" s="734">
        <f>+'Maj Production Summ'!Y32</f>
        <v>163500</v>
      </c>
      <c r="AA121" s="734">
        <f>+SUM(AA8:AA103)</f>
        <v>151730.39600000001</v>
      </c>
      <c r="AB121" s="482">
        <f>+'Maj Production Summ'!AA32</f>
        <v>341500</v>
      </c>
      <c r="AC121" s="482">
        <f>+SUM(AC8:AC103)</f>
        <v>271631.44699999999</v>
      </c>
      <c r="AD121" s="1417">
        <f>+'Maj Production Summ'!AC32</f>
        <v>67000</v>
      </c>
      <c r="AE121" s="237">
        <f>+SUM(AE8:AE103)</f>
        <v>29659.897000000008</v>
      </c>
      <c r="AF121" s="1812">
        <f>+'Maj Production Summ'!AE32</f>
        <v>408500</v>
      </c>
      <c r="AG121" s="169">
        <f>+SUM(AG8:AG103)</f>
        <v>301291.34399999998</v>
      </c>
      <c r="AH121" s="1417">
        <f>+'Maj Production Summ'!AG32</f>
        <v>65000</v>
      </c>
      <c r="AI121" s="237">
        <f>+SUM(AI8:AI103)</f>
        <v>49060.044000000016</v>
      </c>
      <c r="AJ121" s="1812">
        <f>+'Maj Production Summ'!AI32</f>
        <v>473500</v>
      </c>
      <c r="AK121" s="169">
        <f>+SUM(AK8:AK103)</f>
        <v>350351.38800000009</v>
      </c>
      <c r="AL121" s="1417">
        <f>+'Maj Production Summ'!AK32</f>
        <v>67500</v>
      </c>
      <c r="AM121" s="237">
        <f>+SUM(AM8:AM103)</f>
        <v>52987.18</v>
      </c>
      <c r="AN121" s="734">
        <f>+'Maj Production Summ'!AM32</f>
        <v>199500</v>
      </c>
      <c r="AO121" s="734">
        <f>+SUM(AO8:AO103)</f>
        <v>131707.12099999998</v>
      </c>
      <c r="AP121" s="1812">
        <f>+'Maj Production Summ'!AO32</f>
        <v>541000</v>
      </c>
      <c r="AQ121" s="169">
        <f>+SUM(AQ8:AQ103)</f>
        <v>403338.56800000009</v>
      </c>
      <c r="AR121" s="1417">
        <f>+'Maj Production Summ'!AQ32</f>
        <v>68000</v>
      </c>
      <c r="AS121" s="237">
        <f>+SUM(AS8:AS103)</f>
        <v>56169.977999999988</v>
      </c>
      <c r="AT121" s="1812">
        <f>+'Maj Production Summ'!AS32</f>
        <v>609000</v>
      </c>
      <c r="AU121" s="169">
        <f>+SUM(AU8:AU103)</f>
        <v>459508.54600000021</v>
      </c>
      <c r="AV121" s="1417">
        <f>+'Maj Production Summ'!AU32</f>
        <v>61000</v>
      </c>
      <c r="AW121" s="237">
        <f>+SUM(AW8:AW103)</f>
        <v>54279.397999999994</v>
      </c>
      <c r="AX121" s="1812">
        <f>+'Maj Production Summ'!AW32</f>
        <v>670000</v>
      </c>
      <c r="AY121" s="169">
        <f>+SUM(AY8:AY103)</f>
        <v>513787.94400000013</v>
      </c>
      <c r="AZ121" s="1417">
        <f>+'Maj Production Summ'!AY32</f>
        <v>68500</v>
      </c>
      <c r="BA121" s="237">
        <f>+SUM(BA8:BA103)</f>
        <v>63120.145999999993</v>
      </c>
      <c r="BB121" s="734">
        <f>+'Maj Production Summ'!BA32</f>
        <v>197500</v>
      </c>
      <c r="BC121" s="734">
        <f>+SUM(BC8:BC103)</f>
        <v>173569.522</v>
      </c>
      <c r="BD121" s="1481">
        <f>+'Maj Production Summ'!BC32</f>
        <v>397000</v>
      </c>
      <c r="BE121" s="1481">
        <f>+SUM(BE8:BE103)</f>
        <v>305276.6430000001</v>
      </c>
      <c r="BF121" s="1812">
        <f>+'Maj Production Summ'!BE32</f>
        <v>738500</v>
      </c>
      <c r="BG121" s="169">
        <f>+SUM(BG8:BG103)</f>
        <v>576908.09</v>
      </c>
      <c r="BH121" s="23"/>
      <c r="BI121" s="23"/>
      <c r="BJ121" s="23"/>
      <c r="BK121" s="507"/>
    </row>
    <row r="122" spans="1:65" ht="16.2" thickBot="1" x14ac:dyDescent="0.35">
      <c r="A122" s="137"/>
      <c r="B122" s="834" t="s">
        <v>782</v>
      </c>
      <c r="C122" s="834"/>
      <c r="D122" s="1856"/>
      <c r="E122" s="1858" t="s">
        <v>50</v>
      </c>
      <c r="F122" s="1461"/>
      <c r="G122" s="1053">
        <f>+SUM(G104:G119)</f>
        <v>215.98000000000002</v>
      </c>
      <c r="H122" s="1461"/>
      <c r="I122" s="1053">
        <f>+SUM(I104:I119)</f>
        <v>59.33</v>
      </c>
      <c r="J122" s="2723"/>
      <c r="K122" s="2724">
        <f>+SUM(K104:K119)</f>
        <v>275.31000000000006</v>
      </c>
      <c r="L122" s="1461"/>
      <c r="M122" s="1053">
        <f>+SUM(M104:M119)</f>
        <v>134.80000000000001</v>
      </c>
      <c r="N122" s="1807"/>
      <c r="O122" s="1445">
        <f>+SUM(O104:O119)</f>
        <v>410.11</v>
      </c>
      <c r="P122" s="1461"/>
      <c r="Q122" s="1053">
        <f>+SUM(Q104:Q119)</f>
        <v>254.89999999999998</v>
      </c>
      <c r="R122" s="1812"/>
      <c r="S122" s="1649">
        <f>+SUM(S104:S119)</f>
        <v>664.4</v>
      </c>
      <c r="T122" s="1461"/>
      <c r="U122" s="1053">
        <f>+SUM(U104:U119)</f>
        <v>348.4</v>
      </c>
      <c r="V122" s="1812"/>
      <c r="W122" s="1649">
        <f>+SUM(W104:W119)</f>
        <v>1012.8</v>
      </c>
      <c r="X122" s="1461"/>
      <c r="Y122" s="1053">
        <f>+SUM(Y104:Y119)</f>
        <v>238.58999999999997</v>
      </c>
      <c r="Z122" s="734"/>
      <c r="AA122" s="747">
        <f>+SUM(AA104:AA119)</f>
        <v>841.89</v>
      </c>
      <c r="AB122" s="482"/>
      <c r="AC122" s="748">
        <f>+SUM(AC104:AC119)</f>
        <v>1252</v>
      </c>
      <c r="AD122" s="1461"/>
      <c r="AE122" s="1053">
        <f>+SUM(AE104:AE119)</f>
        <v>259.63000000000005</v>
      </c>
      <c r="AF122" s="1812"/>
      <c r="AG122" s="1649">
        <f>+SUM(AG104:AG119)</f>
        <v>1511.63</v>
      </c>
      <c r="AH122" s="1461"/>
      <c r="AI122" s="1053">
        <f>+SUM(AI104:AI119)</f>
        <v>383.84000000000003</v>
      </c>
      <c r="AJ122" s="1812"/>
      <c r="AK122" s="1649">
        <f>+SUM(AK104:AK119)</f>
        <v>1895.4699999999998</v>
      </c>
      <c r="AL122" s="1461"/>
      <c r="AM122" s="1053">
        <f>+SUM(AM104:AM119)</f>
        <v>401.87999999999994</v>
      </c>
      <c r="AN122" s="734"/>
      <c r="AO122" s="734">
        <f>+SUM(AO104:AO119)</f>
        <v>1045.3499999999999</v>
      </c>
      <c r="AP122" s="1812"/>
      <c r="AQ122" s="169">
        <f>+SUM(AQ104:AQ119)</f>
        <v>2297.3499999999995</v>
      </c>
      <c r="AR122" s="1461"/>
      <c r="AS122" s="1053">
        <f>+SUM(AS104:AS119)</f>
        <v>712.26999999999987</v>
      </c>
      <c r="AT122" s="1812"/>
      <c r="AU122" s="169">
        <f>+SUM(AU104:AU119)</f>
        <v>3009.62</v>
      </c>
      <c r="AV122" s="1461"/>
      <c r="AW122" s="1053">
        <f>+SUM(AW104:AW119)</f>
        <v>53.21</v>
      </c>
      <c r="AX122" s="1812"/>
      <c r="AY122" s="169">
        <f>+SUM(AY104:AY119)</f>
        <v>3062.83</v>
      </c>
      <c r="AZ122" s="1461"/>
      <c r="BA122" s="1053">
        <f>+SUM(BA104:BA119)</f>
        <v>174.48999999999998</v>
      </c>
      <c r="BB122" s="734"/>
      <c r="BC122" s="734">
        <f>+SUM(BC104:BC119)</f>
        <v>939.96999999999991</v>
      </c>
      <c r="BD122" s="1481"/>
      <c r="BE122" s="1481">
        <f>+SUM(BE104:BE119)</f>
        <v>1985.3200000000004</v>
      </c>
      <c r="BF122" s="1812"/>
      <c r="BG122" s="169">
        <f>+SUM(BG104:BG119)</f>
        <v>3237.32</v>
      </c>
      <c r="BH122" s="23"/>
      <c r="BI122" s="23"/>
      <c r="BJ122" s="23"/>
      <c r="BK122" s="507"/>
    </row>
    <row r="123" spans="1:65" ht="16.2" thickBot="1" x14ac:dyDescent="0.35">
      <c r="A123" s="137"/>
      <c r="B123" s="950" t="s">
        <v>313</v>
      </c>
      <c r="C123" s="662"/>
      <c r="D123" s="662"/>
      <c r="E123" s="1859" t="s">
        <v>49</v>
      </c>
      <c r="F123" s="2720">
        <f>+F121*100/F7</f>
        <v>94.75</v>
      </c>
      <c r="G123" s="2585">
        <f>+G121*100/G7</f>
        <v>93.988402716340801</v>
      </c>
      <c r="H123" s="2720">
        <f>+H121*100/H7</f>
        <v>94.75</v>
      </c>
      <c r="I123" s="2585">
        <f>+I121*100/I7</f>
        <v>92.538149008307627</v>
      </c>
      <c r="J123" s="2721">
        <f>+J121*100/J7</f>
        <v>94.75</v>
      </c>
      <c r="K123" s="2722">
        <f>+K121*100/K7</f>
        <v>93.742927390617425</v>
      </c>
      <c r="L123" s="2720">
        <f>+L121*100/L7</f>
        <v>94.75</v>
      </c>
      <c r="M123" s="2585">
        <f>+M121*100/M7</f>
        <v>94.300657609568276</v>
      </c>
      <c r="N123" s="1444">
        <f>+N121*100/N7</f>
        <v>94.75</v>
      </c>
      <c r="O123" s="1445">
        <f>+O121*100/O7</f>
        <v>92.597989360792781</v>
      </c>
      <c r="P123" s="2720">
        <f>+P121*100/P7</f>
        <v>94.75</v>
      </c>
      <c r="Q123" s="2585">
        <f>+Q121*100/Q7</f>
        <v>94.039736544191683</v>
      </c>
      <c r="R123" s="1250">
        <f>+R121*100/R7</f>
        <v>94.75</v>
      </c>
      <c r="S123" s="1649">
        <f>+S121*100/S7</f>
        <v>90.479723428744251</v>
      </c>
      <c r="T123" s="2720">
        <f>+T121*100/T7</f>
        <v>94.75</v>
      </c>
      <c r="U123" s="2585">
        <f>+U121*100/U7</f>
        <v>93.446166495534285</v>
      </c>
      <c r="V123" s="1250">
        <f>+V121*100/V7</f>
        <v>94.75</v>
      </c>
      <c r="W123" s="1649">
        <f>+W121*100/W7</f>
        <v>91.072105750810408</v>
      </c>
      <c r="X123" s="2720">
        <f>+X121*100/X7</f>
        <v>94.749999999999986</v>
      </c>
      <c r="Y123" s="2585">
        <f>+Y121*100/Y7</f>
        <v>93.972449866117088</v>
      </c>
      <c r="Z123" s="747">
        <f>+Z121*100/Z7</f>
        <v>94.75</v>
      </c>
      <c r="AA123" s="2203">
        <f>+AA121*100/AA7</f>
        <v>93.843139792150197</v>
      </c>
      <c r="AB123" s="748">
        <f>+AB121*100/AB7</f>
        <v>94.75</v>
      </c>
      <c r="AC123" s="2016">
        <f>+AC121*100/AC7</f>
        <v>93.289412958846668</v>
      </c>
      <c r="AD123" s="2720">
        <f>+AD121*100/AD7</f>
        <v>94.749999999999986</v>
      </c>
      <c r="AE123" s="2585">
        <f>+AE121*100/AE7</f>
        <v>93.165855556550625</v>
      </c>
      <c r="AF123" s="1250">
        <f>+AF121*100/AF7</f>
        <v>94.75</v>
      </c>
      <c r="AG123" s="1649">
        <f>+AG121*100/AG7</f>
        <v>93.277235108276429</v>
      </c>
      <c r="AH123" s="2720">
        <f>+AH121*100/AH7</f>
        <v>94.75</v>
      </c>
      <c r="AI123" s="2585">
        <f>+AI121*100/AI7</f>
        <v>93.342593762703558</v>
      </c>
      <c r="AJ123" s="1250">
        <f>+AJ121*100/AJ7</f>
        <v>94.75</v>
      </c>
      <c r="AK123" s="1649">
        <f>+AK121*100/AK7</f>
        <v>93.286381832346379</v>
      </c>
      <c r="AL123" s="2720">
        <f>+AL121*100/AL7</f>
        <v>94.75</v>
      </c>
      <c r="AM123" s="2585">
        <f>+AM121*100/AM7</f>
        <v>93.351849425160552</v>
      </c>
      <c r="AN123" s="747">
        <f>+AN121*100/AN7</f>
        <v>94.75</v>
      </c>
      <c r="AO123" s="2203">
        <f>+AO121*100/AO7</f>
        <v>93.306454828873257</v>
      </c>
      <c r="AP123" s="1250">
        <f>+AP121*100/AP7</f>
        <v>94.75</v>
      </c>
      <c r="AQ123" s="1649">
        <f>+AQ121*100/AQ7</f>
        <v>93.294977166474069</v>
      </c>
      <c r="AR123" s="2720">
        <f>+AR121*100/AR7</f>
        <v>94.75</v>
      </c>
      <c r="AS123" s="2585">
        <f>+AS121*100/AS7</f>
        <v>93.24126088594636</v>
      </c>
      <c r="AT123" s="1250">
        <f>+AT121*100/AT7</f>
        <v>94.75</v>
      </c>
      <c r="AU123" s="1649">
        <f>+AU121*100/AU7</f>
        <v>93.288407608699814</v>
      </c>
      <c r="AV123" s="2720">
        <f>+AV121*100/AV7</f>
        <v>94.75</v>
      </c>
      <c r="AW123" s="2585">
        <f>+AW121*100/AW7</f>
        <v>94.33991758409546</v>
      </c>
      <c r="AX123" s="1250">
        <f>+AX121*100/AX7</f>
        <v>94.749999999999986</v>
      </c>
      <c r="AY123" s="1649">
        <f>+AY121*100/AY7</f>
        <v>93.398386260154766</v>
      </c>
      <c r="AZ123" s="2720">
        <f>+AZ121*100/AZ7</f>
        <v>94.75</v>
      </c>
      <c r="BA123" s="2585">
        <f>+BA121*100/BA7</f>
        <v>94.146464563073792</v>
      </c>
      <c r="BB123" s="747">
        <f>+BB121*100/BB7</f>
        <v>94.749999999999986</v>
      </c>
      <c r="BC123" s="2203">
        <f>+BC121*100/BC7</f>
        <v>93.91164228167537</v>
      </c>
      <c r="BD123" s="1482">
        <f>+BD121*100/BD7</f>
        <v>94.75</v>
      </c>
      <c r="BE123" s="2204">
        <f>+BE121*100/BE7</f>
        <v>93.649582875146166</v>
      </c>
      <c r="BF123" s="1250">
        <f>+BF121*100/BF7</f>
        <v>94.749999999999986</v>
      </c>
      <c r="BG123" s="1649">
        <f>+BG121*100/BG7</f>
        <v>93.479654622392289</v>
      </c>
      <c r="BH123" s="23"/>
      <c r="BI123" s="23"/>
      <c r="BJ123" s="23"/>
      <c r="BK123" s="1111"/>
    </row>
    <row r="124" spans="1:65" x14ac:dyDescent="0.3">
      <c r="A124" s="137"/>
      <c r="B124" s="818" t="s">
        <v>776</v>
      </c>
      <c r="C124" s="819"/>
      <c r="D124" s="819"/>
      <c r="E124" s="1860" t="s">
        <v>50</v>
      </c>
      <c r="F124" s="1225">
        <f>+F121</f>
        <v>56000</v>
      </c>
      <c r="G124" s="1038">
        <f>+G121</f>
        <v>52520.054000000011</v>
      </c>
      <c r="H124" s="1225">
        <f>+H121</f>
        <v>59500</v>
      </c>
      <c r="I124" s="1038">
        <f>+I121</f>
        <v>10535.918</v>
      </c>
      <c r="J124" s="752">
        <f t="shared" ref="J124:AC124" si="47">+J121</f>
        <v>115500</v>
      </c>
      <c r="K124" s="1832">
        <f t="shared" si="47"/>
        <v>63055.972000000009</v>
      </c>
      <c r="L124" s="1225">
        <f>+L121</f>
        <v>62500</v>
      </c>
      <c r="M124" s="1038">
        <f>+M121</f>
        <v>58674.632999999994</v>
      </c>
      <c r="N124" s="1838">
        <f t="shared" si="47"/>
        <v>178000</v>
      </c>
      <c r="O124" s="1839">
        <f t="shared" si="47"/>
        <v>119901.05099999996</v>
      </c>
      <c r="P124" s="1225">
        <f>+P121</f>
        <v>65000</v>
      </c>
      <c r="Q124" s="1038">
        <f>+Q121</f>
        <v>57327.387000000002</v>
      </c>
      <c r="R124" s="1846">
        <f t="shared" si="47"/>
        <v>243000</v>
      </c>
      <c r="S124" s="1847">
        <f t="shared" si="47"/>
        <v>172315.37599999999</v>
      </c>
      <c r="T124" s="1225">
        <f>+T121</f>
        <v>65000</v>
      </c>
      <c r="U124" s="1038">
        <f>+U121</f>
        <v>44406.292999999998</v>
      </c>
      <c r="V124" s="1846">
        <f t="shared" ref="V124:W124" si="48">+V121</f>
        <v>308000</v>
      </c>
      <c r="W124" s="1847">
        <f t="shared" si="48"/>
        <v>216721.66900000002</v>
      </c>
      <c r="X124" s="1225">
        <f>+X121</f>
        <v>33500</v>
      </c>
      <c r="Y124" s="1038">
        <f>+Y121</f>
        <v>49996.715999999993</v>
      </c>
      <c r="Z124" s="346">
        <f t="shared" si="47"/>
        <v>163500</v>
      </c>
      <c r="AA124" s="346">
        <f t="shared" si="47"/>
        <v>151730.39600000001</v>
      </c>
      <c r="AB124" s="502">
        <f t="shared" si="47"/>
        <v>341500</v>
      </c>
      <c r="AC124" s="502">
        <f t="shared" si="47"/>
        <v>271631.44699999999</v>
      </c>
      <c r="AD124" s="1225">
        <f>+AD121</f>
        <v>67000</v>
      </c>
      <c r="AE124" s="1038">
        <f>+AE121</f>
        <v>29659.897000000008</v>
      </c>
      <c r="AF124" s="1846">
        <f t="shared" ref="AF124:AG124" si="49">+AF121</f>
        <v>408500</v>
      </c>
      <c r="AG124" s="1847">
        <f t="shared" si="49"/>
        <v>301291.34399999998</v>
      </c>
      <c r="AH124" s="1225">
        <f>+AH121</f>
        <v>65000</v>
      </c>
      <c r="AI124" s="1038">
        <f>+AI121</f>
        <v>49060.044000000016</v>
      </c>
      <c r="AJ124" s="1846">
        <f t="shared" ref="AJ124:AK124" si="50">+AJ121</f>
        <v>473500</v>
      </c>
      <c r="AK124" s="1847">
        <f t="shared" si="50"/>
        <v>350351.38800000009</v>
      </c>
      <c r="AL124" s="1225">
        <f>+AL121</f>
        <v>67500</v>
      </c>
      <c r="AM124" s="1038">
        <f>+AM121</f>
        <v>52987.18</v>
      </c>
      <c r="AN124" s="346">
        <f t="shared" ref="AN124:AU124" si="51">+AN121</f>
        <v>199500</v>
      </c>
      <c r="AO124" s="346">
        <f t="shared" si="51"/>
        <v>131707.12099999998</v>
      </c>
      <c r="AP124" s="1846">
        <f t="shared" si="51"/>
        <v>541000</v>
      </c>
      <c r="AQ124" s="1847">
        <f t="shared" si="51"/>
        <v>403338.56800000009</v>
      </c>
      <c r="AR124" s="1225">
        <f>+AR121</f>
        <v>68000</v>
      </c>
      <c r="AS124" s="1038">
        <f>+AS121</f>
        <v>56169.977999999988</v>
      </c>
      <c r="AT124" s="1846">
        <f t="shared" si="51"/>
        <v>609000</v>
      </c>
      <c r="AU124" s="1847">
        <f t="shared" si="51"/>
        <v>459508.54600000021</v>
      </c>
      <c r="AV124" s="1225">
        <f>+AV121</f>
        <v>61000</v>
      </c>
      <c r="AW124" s="1038">
        <f>+AW121</f>
        <v>54279.397999999994</v>
      </c>
      <c r="AX124" s="1846">
        <f t="shared" ref="AX124:AY124" si="52">+AX121</f>
        <v>670000</v>
      </c>
      <c r="AY124" s="1847">
        <f t="shared" si="52"/>
        <v>513787.94400000013</v>
      </c>
      <c r="AZ124" s="1225">
        <f>+AZ121</f>
        <v>68500</v>
      </c>
      <c r="BA124" s="1038">
        <f>+BA121</f>
        <v>63120.145999999993</v>
      </c>
      <c r="BB124" s="346">
        <f t="shared" ref="BB124:BE124" si="53">+BB121</f>
        <v>197500</v>
      </c>
      <c r="BC124" s="346">
        <f t="shared" si="53"/>
        <v>173569.522</v>
      </c>
      <c r="BD124" s="1483">
        <f t="shared" si="53"/>
        <v>397000</v>
      </c>
      <c r="BE124" s="1483">
        <f t="shared" si="53"/>
        <v>305276.6430000001</v>
      </c>
      <c r="BF124" s="1846">
        <f t="shared" ref="BF124:BG124" si="54">+BF121</f>
        <v>738500</v>
      </c>
      <c r="BG124" s="1847">
        <f t="shared" si="54"/>
        <v>576908.09</v>
      </c>
      <c r="BH124" s="23"/>
      <c r="BI124" s="23"/>
      <c r="BJ124" s="23"/>
      <c r="BK124" s="1111"/>
    </row>
    <row r="125" spans="1:65" ht="15" thickBot="1" x14ac:dyDescent="0.35">
      <c r="A125" s="137"/>
      <c r="B125" s="951" t="s">
        <v>807</v>
      </c>
      <c r="C125" s="952"/>
      <c r="D125" s="952"/>
      <c r="E125" s="1861" t="s">
        <v>49</v>
      </c>
      <c r="F125" s="1824"/>
      <c r="G125" s="1825">
        <f>+G124/G121</f>
        <v>1</v>
      </c>
      <c r="H125" s="1824"/>
      <c r="I125" s="1825">
        <f>+I124/I121</f>
        <v>1</v>
      </c>
      <c r="J125" s="1830"/>
      <c r="K125" s="1833">
        <f>+K124/K121</f>
        <v>1</v>
      </c>
      <c r="L125" s="1824"/>
      <c r="M125" s="1825">
        <f>+M124/M121</f>
        <v>1</v>
      </c>
      <c r="N125" s="1840"/>
      <c r="O125" s="1841">
        <f>+O124/O121</f>
        <v>1</v>
      </c>
      <c r="P125" s="1824"/>
      <c r="Q125" s="1825">
        <f>+Q124/Q121</f>
        <v>1</v>
      </c>
      <c r="R125" s="1848"/>
      <c r="S125" s="1849">
        <f>+S124/S121</f>
        <v>1</v>
      </c>
      <c r="T125" s="1824"/>
      <c r="U125" s="1825">
        <f>+U124/U121</f>
        <v>1</v>
      </c>
      <c r="V125" s="1848"/>
      <c r="W125" s="1849">
        <f>+W124/W121</f>
        <v>1</v>
      </c>
      <c r="X125" s="1824"/>
      <c r="Y125" s="1825">
        <f>+Y124/Y121</f>
        <v>1</v>
      </c>
      <c r="Z125" s="1377"/>
      <c r="AA125" s="1377">
        <f>+AA124/AA121</f>
        <v>1</v>
      </c>
      <c r="AB125" s="1479"/>
      <c r="AC125" s="1479">
        <f>+AC124/AC121</f>
        <v>1</v>
      </c>
      <c r="AD125" s="1824"/>
      <c r="AE125" s="1825">
        <f>+AE124/AE121</f>
        <v>1</v>
      </c>
      <c r="AF125" s="1848"/>
      <c r="AG125" s="1849">
        <f>+AG124/AG121</f>
        <v>1</v>
      </c>
      <c r="AH125" s="1824"/>
      <c r="AI125" s="1825">
        <f>+AI124/AI121</f>
        <v>1</v>
      </c>
      <c r="AJ125" s="1848"/>
      <c r="AK125" s="1849">
        <f>+AK124/AK121</f>
        <v>1</v>
      </c>
      <c r="AL125" s="1824"/>
      <c r="AM125" s="1825">
        <f>+AM124/AM121</f>
        <v>1</v>
      </c>
      <c r="AN125" s="1377"/>
      <c r="AO125" s="1377">
        <f>+AO124/AO121</f>
        <v>1</v>
      </c>
      <c r="AP125" s="1848"/>
      <c r="AQ125" s="1849">
        <f>+AQ124/AQ121</f>
        <v>1</v>
      </c>
      <c r="AR125" s="1824"/>
      <c r="AS125" s="1825">
        <f>+AS124/AS121</f>
        <v>1</v>
      </c>
      <c r="AT125" s="1848"/>
      <c r="AU125" s="1849">
        <f>+AU124/AU121</f>
        <v>1</v>
      </c>
      <c r="AV125" s="1824"/>
      <c r="AW125" s="1825">
        <f>+AW124/AW121</f>
        <v>1</v>
      </c>
      <c r="AX125" s="1848"/>
      <c r="AY125" s="1849">
        <f>+AY124/AY121</f>
        <v>1</v>
      </c>
      <c r="AZ125" s="1824"/>
      <c r="BA125" s="1825">
        <f>+BA124/BA121</f>
        <v>1</v>
      </c>
      <c r="BB125" s="1377"/>
      <c r="BC125" s="1377">
        <f>+BC124/BC121</f>
        <v>1</v>
      </c>
      <c r="BD125" s="1484"/>
      <c r="BE125" s="1484">
        <f>+BE124/BE121</f>
        <v>1</v>
      </c>
      <c r="BF125" s="1848"/>
      <c r="BG125" s="1849">
        <f>+BG124/BG121</f>
        <v>1</v>
      </c>
      <c r="BH125" s="23"/>
      <c r="BI125" s="23"/>
      <c r="BJ125" s="23"/>
      <c r="BK125" s="1111"/>
    </row>
    <row r="126" spans="1:65" ht="15" thickBot="1" x14ac:dyDescent="0.35">
      <c r="A126" s="137"/>
      <c r="B126" s="790" t="s">
        <v>1405</v>
      </c>
      <c r="C126" s="790"/>
      <c r="D126" s="744" t="s">
        <v>49</v>
      </c>
      <c r="E126" s="1548"/>
      <c r="F126" s="1548"/>
      <c r="G126" s="1543">
        <f>G127/G129</f>
        <v>0.13670627315702058</v>
      </c>
      <c r="H126" s="1548"/>
      <c r="I126" s="1543">
        <f>I127/I129</f>
        <v>9.1265397536394177E-2</v>
      </c>
      <c r="J126" s="1544"/>
      <c r="K126" s="1544">
        <f>K127/K129</f>
        <v>0.12826380942473734</v>
      </c>
      <c r="L126" s="1548"/>
      <c r="M126" s="1543">
        <f>M127/M129</f>
        <v>0.21279298002540123</v>
      </c>
      <c r="N126" s="1545"/>
      <c r="O126" s="1545">
        <f>O127/O129</f>
        <v>0.16832658421801466</v>
      </c>
      <c r="P126" s="1548"/>
      <c r="Q126" s="1543">
        <f>Q127/Q129</f>
        <v>0.11653888280394305</v>
      </c>
      <c r="R126" s="1543"/>
      <c r="S126" s="1543">
        <f>S127/S129</f>
        <v>0.15107283608232375</v>
      </c>
      <c r="T126" s="1548"/>
      <c r="U126" s="1543">
        <f>U127/U129</f>
        <v>4.5423911578379834E-2</v>
      </c>
      <c r="V126" s="1543"/>
      <c r="W126" s="1543">
        <f>W127/W129</f>
        <v>0.12856445452718032</v>
      </c>
      <c r="X126" s="1548"/>
      <c r="Y126" s="1543">
        <f>Y127/Y129</f>
        <v>2.0050441361916773E-2</v>
      </c>
      <c r="Z126" s="1545"/>
      <c r="AA126" s="1545">
        <f>AA127/AA129</f>
        <v>6.3728093467870423E-2</v>
      </c>
      <c r="AB126" s="1546"/>
      <c r="AC126" s="1547">
        <f>AC127/AC129</f>
        <v>0.1084368348419994</v>
      </c>
      <c r="AD126" s="1548"/>
      <c r="AE126" s="1543">
        <f>AE127/AE129</f>
        <v>9.9283773771301556E-2</v>
      </c>
      <c r="AF126" s="1543"/>
      <c r="AG126" s="1863">
        <f>AG127/AG129</f>
        <v>0.10764497243707534</v>
      </c>
      <c r="AH126" s="1548"/>
      <c r="AI126" s="1543">
        <f>AI127/AI129</f>
        <v>0.16962524654832348</v>
      </c>
      <c r="AJ126" s="1543"/>
      <c r="AK126" s="1863">
        <f>AK127/AK129</f>
        <v>0.11630856323634826</v>
      </c>
      <c r="AL126" s="1548"/>
      <c r="AM126" s="1543">
        <f>AM127/AM129</f>
        <v>7.0407040704070403E-2</v>
      </c>
      <c r="AN126" s="1545"/>
      <c r="AO126" s="1545">
        <f>AO127/AO129</f>
        <v>0.11434333249306781</v>
      </c>
      <c r="AP126" s="1543"/>
      <c r="AQ126" s="1863">
        <f>AQ127/AQ129</f>
        <v>0.11030868537099764</v>
      </c>
      <c r="AR126" s="1548"/>
      <c r="AS126" s="1543">
        <f>AS127/AS129</f>
        <v>0.11349440188568061</v>
      </c>
      <c r="AT126" s="1543"/>
      <c r="AU126" s="1543">
        <f>AU127/AU129</f>
        <v>0.11068900989123859</v>
      </c>
      <c r="AV126" s="1548"/>
      <c r="AW126" s="1543">
        <f>AW127/AW129</f>
        <v>0.12445969997457412</v>
      </c>
      <c r="AX126" s="1543"/>
      <c r="AY126" s="4018">
        <f>AY127/AY129</f>
        <v>0.11206121182178644</v>
      </c>
      <c r="AZ126" s="1548"/>
      <c r="BA126" s="1543">
        <f>BA127/BA129</f>
        <v>0.29453464440887261</v>
      </c>
      <c r="BB126" s="1377"/>
      <c r="BC126" s="1377">
        <f>BC127/BC129</f>
        <v>0.18002151651591825</v>
      </c>
      <c r="BD126" s="1484"/>
      <c r="BE126" s="1484">
        <f>BE127/BE129</f>
        <v>0.15102822042197098</v>
      </c>
      <c r="BF126" s="1415"/>
      <c r="BG126" s="1415">
        <f>BG127/BG129</f>
        <v>0.13026173233734389</v>
      </c>
      <c r="BH126" s="23"/>
      <c r="BI126" s="23"/>
      <c r="BJ126" s="23"/>
      <c r="BK126" s="1111"/>
    </row>
    <row r="127" spans="1:65" ht="16.2" hidden="1" thickBot="1" x14ac:dyDescent="0.35">
      <c r="A127" s="137"/>
      <c r="B127" s="3971" t="s">
        <v>1850</v>
      </c>
      <c r="C127" s="3972"/>
      <c r="D127" s="3973" t="s">
        <v>2118</v>
      </c>
      <c r="E127" s="1548"/>
      <c r="F127" s="1548"/>
      <c r="G127" s="2714">
        <v>1070</v>
      </c>
      <c r="H127" s="1548"/>
      <c r="I127" s="2714">
        <v>163</v>
      </c>
      <c r="J127" s="1544"/>
      <c r="K127" s="35">
        <f t="shared" ref="K127:K129" si="55">+G127+I127</f>
        <v>1233</v>
      </c>
      <c r="L127" s="1548"/>
      <c r="M127" s="2714">
        <v>1843</v>
      </c>
      <c r="N127" s="1545"/>
      <c r="O127" s="717">
        <f t="shared" ref="O127:O129" si="56">+G127+I127+M127</f>
        <v>3076</v>
      </c>
      <c r="P127" s="1548"/>
      <c r="Q127" s="2714">
        <v>1064</v>
      </c>
      <c r="R127" s="1543"/>
      <c r="S127" s="718">
        <f t="shared" ref="S127:S129" si="57">+O127+Q127</f>
        <v>4140</v>
      </c>
      <c r="T127" s="1548"/>
      <c r="U127" s="2714">
        <v>337</v>
      </c>
      <c r="V127" s="1543"/>
      <c r="W127" s="718">
        <f t="shared" ref="W127:W129" si="58">+S127+U127</f>
        <v>4477</v>
      </c>
      <c r="X127" s="1548"/>
      <c r="Y127" s="2714">
        <v>159</v>
      </c>
      <c r="Z127" s="1545"/>
      <c r="AA127" s="717">
        <f t="shared" ref="AA127:AA129" si="59">+Q127+U127+Y127</f>
        <v>1560</v>
      </c>
      <c r="AB127" s="1546"/>
      <c r="AC127" s="429">
        <f t="shared" ref="AC127:AC129" si="60">+AA127+O127</f>
        <v>4636</v>
      </c>
      <c r="AD127" s="1548"/>
      <c r="AE127" s="2714">
        <v>402</v>
      </c>
      <c r="AF127" s="1543"/>
      <c r="AG127" s="35">
        <f t="shared" ref="AG127:AG129" si="61">+AC127+AE127</f>
        <v>5038</v>
      </c>
      <c r="AH127" s="1548"/>
      <c r="AI127" s="2714">
        <v>1290</v>
      </c>
      <c r="AJ127" s="1543"/>
      <c r="AK127" s="35">
        <f t="shared" ref="AK127:AK129" si="62">+AG127+AI127</f>
        <v>6328</v>
      </c>
      <c r="AL127" s="1548"/>
      <c r="AM127" s="2714">
        <v>576</v>
      </c>
      <c r="AN127" s="1545"/>
      <c r="AO127" s="717">
        <f t="shared" ref="AO127:AO129" si="63">+AE127+AI127+AM127</f>
        <v>2268</v>
      </c>
      <c r="AP127" s="1543"/>
      <c r="AQ127" s="718">
        <f t="shared" ref="AQ127:AQ129" si="64">AK127+AM127</f>
        <v>6904</v>
      </c>
      <c r="AR127" s="1548"/>
      <c r="AS127" s="2714">
        <v>963</v>
      </c>
      <c r="AT127" s="1543"/>
      <c r="AU127" s="35">
        <f t="shared" ref="AU127:AU128" si="65">+AQ127+AS127</f>
        <v>7867</v>
      </c>
      <c r="AV127" s="1548"/>
      <c r="AW127" s="2714">
        <v>979</v>
      </c>
      <c r="AX127" s="1543"/>
      <c r="AY127" s="35">
        <f t="shared" ref="AY127:AY128" si="66">+AU127+AW127</f>
        <v>8846</v>
      </c>
      <c r="AZ127" s="1548"/>
      <c r="BA127" s="2714">
        <v>2576</v>
      </c>
      <c r="BB127" s="1545"/>
      <c r="BC127" s="717">
        <f t="shared" ref="BC127:BC129" si="67">+AS127+AW127+BA127</f>
        <v>4518</v>
      </c>
      <c r="BD127" s="1546"/>
      <c r="BE127" s="617">
        <f t="shared" ref="BE127:BE129" si="68">+AO127+BC127</f>
        <v>6786</v>
      </c>
      <c r="BF127" s="1544"/>
      <c r="BG127" s="35">
        <f t="shared" ref="BG127:BG128" si="69">+AY127+BA127</f>
        <v>11422</v>
      </c>
      <c r="BH127" s="23"/>
      <c r="BI127" s="23"/>
      <c r="BJ127" s="23"/>
      <c r="BK127" s="1111"/>
    </row>
    <row r="128" spans="1:65" ht="16.2" hidden="1" thickBot="1" x14ac:dyDescent="0.35">
      <c r="A128" s="137"/>
      <c r="B128" s="3971" t="s">
        <v>1851</v>
      </c>
      <c r="C128" s="3972"/>
      <c r="D128" s="3973" t="s">
        <v>2118</v>
      </c>
      <c r="E128" s="1548"/>
      <c r="F128" s="1548"/>
      <c r="G128" s="2714">
        <v>6757</v>
      </c>
      <c r="H128" s="1548"/>
      <c r="I128" s="2714">
        <v>1623</v>
      </c>
      <c r="J128" s="1544"/>
      <c r="K128" s="35">
        <f t="shared" si="55"/>
        <v>8380</v>
      </c>
      <c r="L128" s="1548"/>
      <c r="M128" s="2714">
        <f>8661-M127</f>
        <v>6818</v>
      </c>
      <c r="N128" s="1545"/>
      <c r="O128" s="717">
        <f t="shared" si="56"/>
        <v>15198</v>
      </c>
      <c r="P128" s="1548"/>
      <c r="Q128" s="2714">
        <f>9130-Q127</f>
        <v>8066</v>
      </c>
      <c r="R128" s="1543"/>
      <c r="S128" s="718">
        <f t="shared" si="57"/>
        <v>23264</v>
      </c>
      <c r="T128" s="1548"/>
      <c r="U128" s="2714">
        <v>7082</v>
      </c>
      <c r="V128" s="1543"/>
      <c r="W128" s="718">
        <f t="shared" si="58"/>
        <v>30346</v>
      </c>
      <c r="X128" s="1548"/>
      <c r="Y128" s="2714">
        <v>7771</v>
      </c>
      <c r="Z128" s="1545"/>
      <c r="AA128" s="717">
        <f t="shared" si="59"/>
        <v>22919</v>
      </c>
      <c r="AB128" s="1546"/>
      <c r="AC128" s="429">
        <f t="shared" si="60"/>
        <v>38117</v>
      </c>
      <c r="AD128" s="1548"/>
      <c r="AE128" s="2714">
        <v>3647</v>
      </c>
      <c r="AF128" s="1543"/>
      <c r="AG128" s="35">
        <f t="shared" si="61"/>
        <v>41764</v>
      </c>
      <c r="AH128" s="1548"/>
      <c r="AI128" s="2714">
        <f>7605-AI127</f>
        <v>6315</v>
      </c>
      <c r="AJ128" s="1543"/>
      <c r="AK128" s="35">
        <f t="shared" si="62"/>
        <v>48079</v>
      </c>
      <c r="AL128" s="1548"/>
      <c r="AM128" s="2714">
        <v>7605</v>
      </c>
      <c r="AN128" s="1545"/>
      <c r="AO128" s="717">
        <f t="shared" si="63"/>
        <v>17567</v>
      </c>
      <c r="AP128" s="1543"/>
      <c r="AQ128" s="718">
        <f t="shared" si="64"/>
        <v>55684</v>
      </c>
      <c r="AR128" s="1548"/>
      <c r="AS128" s="2714">
        <v>7522</v>
      </c>
      <c r="AT128" s="1543"/>
      <c r="AU128" s="35">
        <f t="shared" si="65"/>
        <v>63206</v>
      </c>
      <c r="AV128" s="1548"/>
      <c r="AW128" s="2714">
        <v>6887</v>
      </c>
      <c r="AX128" s="1543"/>
      <c r="AY128" s="35">
        <f t="shared" si="66"/>
        <v>70093</v>
      </c>
      <c r="AZ128" s="1548"/>
      <c r="BA128" s="2714">
        <v>6170</v>
      </c>
      <c r="BB128" s="1545"/>
      <c r="BC128" s="717">
        <f t="shared" si="67"/>
        <v>20579</v>
      </c>
      <c r="BD128" s="1546"/>
      <c r="BE128" s="617">
        <f t="shared" si="68"/>
        <v>38146</v>
      </c>
      <c r="BF128" s="1544"/>
      <c r="BG128" s="35">
        <f t="shared" si="69"/>
        <v>76263</v>
      </c>
      <c r="BH128" s="23"/>
      <c r="BI128" s="23"/>
      <c r="BJ128" s="23"/>
      <c r="BK128" s="1111"/>
      <c r="BL128" s="4376"/>
      <c r="BM128" s="4376"/>
    </row>
    <row r="129" spans="1:64" ht="16.2" hidden="1" thickBot="1" x14ac:dyDescent="0.35">
      <c r="A129" s="137"/>
      <c r="B129" s="3971" t="s">
        <v>2152</v>
      </c>
      <c r="C129" s="3972"/>
      <c r="D129" s="3973" t="s">
        <v>2118</v>
      </c>
      <c r="E129" s="1548"/>
      <c r="F129" s="1548"/>
      <c r="G129" s="2714">
        <f>SUM(G127:G128)</f>
        <v>7827</v>
      </c>
      <c r="H129" s="1548"/>
      <c r="I129" s="2714">
        <f>I127+I128</f>
        <v>1786</v>
      </c>
      <c r="J129" s="1544"/>
      <c r="K129" s="35">
        <f t="shared" si="55"/>
        <v>9613</v>
      </c>
      <c r="L129" s="1548"/>
      <c r="M129" s="2714">
        <f>M127+M128</f>
        <v>8661</v>
      </c>
      <c r="N129" s="1545"/>
      <c r="O129" s="717">
        <f t="shared" si="56"/>
        <v>18274</v>
      </c>
      <c r="P129" s="1548"/>
      <c r="Q129" s="2714">
        <f>Q127+Q128</f>
        <v>9130</v>
      </c>
      <c r="R129" s="1543"/>
      <c r="S129" s="718">
        <f t="shared" si="57"/>
        <v>27404</v>
      </c>
      <c r="T129" s="1548"/>
      <c r="U129" s="2714">
        <v>7419</v>
      </c>
      <c r="V129" s="1543"/>
      <c r="W129" s="718">
        <f t="shared" si="58"/>
        <v>34823</v>
      </c>
      <c r="X129" s="1548"/>
      <c r="Y129" s="2714">
        <f>Y127+Y128</f>
        <v>7930</v>
      </c>
      <c r="Z129" s="1545"/>
      <c r="AA129" s="717">
        <f t="shared" si="59"/>
        <v>24479</v>
      </c>
      <c r="AB129" s="1546"/>
      <c r="AC129" s="429">
        <f t="shared" si="60"/>
        <v>42753</v>
      </c>
      <c r="AD129" s="1548"/>
      <c r="AE129" s="2714">
        <f>SUM(AE127:AE128)</f>
        <v>4049</v>
      </c>
      <c r="AF129" s="1543"/>
      <c r="AG129" s="35">
        <f t="shared" si="61"/>
        <v>46802</v>
      </c>
      <c r="AH129" s="1548"/>
      <c r="AI129" s="2714">
        <f>SUM(AI127:AI128)</f>
        <v>7605</v>
      </c>
      <c r="AJ129" s="1543"/>
      <c r="AK129" s="35">
        <f t="shared" si="62"/>
        <v>54407</v>
      </c>
      <c r="AL129" s="1548"/>
      <c r="AM129" s="2714">
        <f>SUM(AM127:AM128)</f>
        <v>8181</v>
      </c>
      <c r="AN129" s="1545"/>
      <c r="AO129" s="717">
        <f t="shared" si="63"/>
        <v>19835</v>
      </c>
      <c r="AP129" s="1543"/>
      <c r="AQ129" s="718">
        <f t="shared" si="64"/>
        <v>62588</v>
      </c>
      <c r="AR129" s="1548"/>
      <c r="AS129" s="2714">
        <f>SUM(AS127:AS128)</f>
        <v>8485</v>
      </c>
      <c r="AT129" s="1543"/>
      <c r="AU129" s="718">
        <f t="shared" ref="AU129" si="70">+AQ129+AS129</f>
        <v>71073</v>
      </c>
      <c r="AV129" s="1548"/>
      <c r="AW129" s="2714">
        <f>SUM(AW127:AW128)</f>
        <v>7866</v>
      </c>
      <c r="AX129" s="1543"/>
      <c r="AY129" s="718">
        <f t="shared" ref="AY129" si="71">+AU129+AW129</f>
        <v>78939</v>
      </c>
      <c r="AZ129" s="1548"/>
      <c r="BA129" s="2714">
        <f>SUM(BA127:BA128)</f>
        <v>8746</v>
      </c>
      <c r="BB129" s="1545"/>
      <c r="BC129" s="717">
        <f t="shared" si="67"/>
        <v>25097</v>
      </c>
      <c r="BD129" s="1546"/>
      <c r="BE129" s="617">
        <f t="shared" si="68"/>
        <v>44932</v>
      </c>
      <c r="BF129" s="1544"/>
      <c r="BG129" s="718">
        <f t="shared" ref="BG129" si="72">+AY129+BA129</f>
        <v>87685</v>
      </c>
      <c r="BH129" s="23"/>
      <c r="BI129" s="23"/>
      <c r="BJ129" s="23"/>
      <c r="BK129" s="1111"/>
    </row>
    <row r="130" spans="1:64" ht="18" thickBot="1" x14ac:dyDescent="0.35">
      <c r="B130" s="1677" t="s">
        <v>53</v>
      </c>
      <c r="C130" s="175"/>
      <c r="D130" s="175"/>
      <c r="E130" s="1862"/>
      <c r="F130" s="1677"/>
      <c r="G130" s="1851"/>
      <c r="H130" s="1677"/>
      <c r="I130" s="1851"/>
      <c r="J130" s="175"/>
      <c r="K130" s="175"/>
      <c r="L130" s="1677"/>
      <c r="M130" s="1851"/>
      <c r="N130" s="1677"/>
      <c r="O130" s="1851"/>
      <c r="P130" s="1677"/>
      <c r="Q130" s="1851"/>
      <c r="R130" s="1677"/>
      <c r="S130" s="1851"/>
      <c r="T130" s="1677"/>
      <c r="U130" s="1851"/>
      <c r="V130" s="1677"/>
      <c r="W130" s="1851"/>
      <c r="X130" s="1677"/>
      <c r="Y130" s="1851"/>
      <c r="Z130" s="175"/>
      <c r="AA130" s="175"/>
      <c r="AB130" s="175"/>
      <c r="AC130" s="175"/>
      <c r="AD130" s="1677"/>
      <c r="AE130" s="1851"/>
      <c r="AF130" s="1677"/>
      <c r="AG130" s="1851"/>
      <c r="AH130" s="1677"/>
      <c r="AI130" s="1851"/>
      <c r="AJ130" s="1677"/>
      <c r="AK130" s="1851"/>
      <c r="AL130" s="1677"/>
      <c r="AM130" s="1851"/>
      <c r="AN130" s="175"/>
      <c r="AO130" s="175"/>
      <c r="AP130" s="1677"/>
      <c r="AQ130" s="1851"/>
      <c r="AR130" s="1677"/>
      <c r="AS130" s="1851"/>
      <c r="AT130" s="1677"/>
      <c r="AU130" s="1851"/>
      <c r="AV130" s="1677"/>
      <c r="AW130" s="1851"/>
      <c r="AX130" s="1677"/>
      <c r="AY130" s="1851"/>
      <c r="AZ130" s="1677"/>
      <c r="BA130" s="1851"/>
      <c r="BB130" s="175"/>
      <c r="BC130" s="175"/>
      <c r="BD130" s="175"/>
      <c r="BE130" s="175"/>
      <c r="BF130" s="1677"/>
      <c r="BG130" s="1851"/>
      <c r="BH130" s="23"/>
      <c r="BI130" s="23"/>
      <c r="BJ130" s="23"/>
      <c r="BK130" s="1111"/>
    </row>
    <row r="131" spans="1:64" x14ac:dyDescent="0.3">
      <c r="B131" s="792" t="s">
        <v>93</v>
      </c>
      <c r="C131" s="1852"/>
      <c r="D131" s="1852"/>
      <c r="E131" s="750" t="s">
        <v>219</v>
      </c>
      <c r="F131" s="750">
        <f>+F2*24</f>
        <v>720</v>
      </c>
      <c r="G131" s="750">
        <f>+G2*24</f>
        <v>720</v>
      </c>
      <c r="H131" s="750">
        <f>+H2*24</f>
        <v>744</v>
      </c>
      <c r="I131" s="750">
        <f>+I2*24</f>
        <v>744</v>
      </c>
      <c r="J131" s="2986">
        <f>+F131+H131</f>
        <v>1464</v>
      </c>
      <c r="K131" s="2986">
        <f>+G131+I131</f>
        <v>1464</v>
      </c>
      <c r="L131" s="750">
        <f>+L2*24</f>
        <v>720</v>
      </c>
      <c r="M131" s="750">
        <f>+M2*24</f>
        <v>720</v>
      </c>
      <c r="N131" s="574">
        <f>+F131+H131+L131</f>
        <v>2184</v>
      </c>
      <c r="O131" s="574">
        <f>+G131+I131+M131</f>
        <v>2184</v>
      </c>
      <c r="P131" s="750">
        <f>+P2*24</f>
        <v>744</v>
      </c>
      <c r="Q131" s="750">
        <f>+Q2*24</f>
        <v>744</v>
      </c>
      <c r="R131" s="2986">
        <f>+N131+P131</f>
        <v>2928</v>
      </c>
      <c r="S131" s="2986">
        <f>+O131+Q131</f>
        <v>2928</v>
      </c>
      <c r="T131" s="750">
        <f>+T2*24</f>
        <v>744</v>
      </c>
      <c r="U131" s="750">
        <f>+U2*24</f>
        <v>744</v>
      </c>
      <c r="V131" s="2986">
        <f>+R131+T131</f>
        <v>3672</v>
      </c>
      <c r="W131" s="2986">
        <f>+S131+U131</f>
        <v>3672</v>
      </c>
      <c r="X131" s="750">
        <f>+X2*24</f>
        <v>720</v>
      </c>
      <c r="Y131" s="750">
        <f>+Y2*24</f>
        <v>720</v>
      </c>
      <c r="Z131" s="574">
        <f>+P131+T131+X131</f>
        <v>2208</v>
      </c>
      <c r="AA131" s="574">
        <f>+Q131+U131+Y131</f>
        <v>2208</v>
      </c>
      <c r="AB131" s="955">
        <f>+N131+Z131</f>
        <v>4392</v>
      </c>
      <c r="AC131" s="955">
        <f>+AA131+O131</f>
        <v>4392</v>
      </c>
      <c r="AD131" s="750">
        <f>+AD2*24</f>
        <v>744</v>
      </c>
      <c r="AE131" s="750">
        <f>+AE2*24</f>
        <v>744</v>
      </c>
      <c r="AF131" s="2986">
        <f>+AB131+AD131</f>
        <v>5136</v>
      </c>
      <c r="AG131" s="2986">
        <f>+AC131+AE131</f>
        <v>5136</v>
      </c>
      <c r="AH131" s="750">
        <f>+AH2*24</f>
        <v>720</v>
      </c>
      <c r="AI131" s="750">
        <f>+AI2*24</f>
        <v>720</v>
      </c>
      <c r="AJ131" s="2986">
        <f>+AF131+AH131</f>
        <v>5856</v>
      </c>
      <c r="AK131" s="2986">
        <f>+AG131+AI131</f>
        <v>5856</v>
      </c>
      <c r="AL131" s="750">
        <f>+AL2*24</f>
        <v>744</v>
      </c>
      <c r="AM131" s="750">
        <f>+AM2*24</f>
        <v>744</v>
      </c>
      <c r="AN131" s="574">
        <f>+AD131+AH131+AL131</f>
        <v>2208</v>
      </c>
      <c r="AO131" s="574">
        <f>+AE131+AI131+AM131</f>
        <v>2208</v>
      </c>
      <c r="AP131" s="341">
        <f t="shared" ref="AP131" si="73">AJ131+AL131</f>
        <v>6600</v>
      </c>
      <c r="AQ131" s="341">
        <f t="shared" ref="AQ131" si="74">AK131+AM131</f>
        <v>6600</v>
      </c>
      <c r="AR131" s="750">
        <f>+AR2*24</f>
        <v>744</v>
      </c>
      <c r="AS131" s="750">
        <f>+AS2*24</f>
        <v>744</v>
      </c>
      <c r="AT131" s="2986">
        <f>+AP131+AR131</f>
        <v>7344</v>
      </c>
      <c r="AU131" s="2986">
        <f>+AQ131+AS131</f>
        <v>7344</v>
      </c>
      <c r="AV131" s="750">
        <f>+AV2*24</f>
        <v>672</v>
      </c>
      <c r="AW131" s="750">
        <f>+AW2*24</f>
        <v>672</v>
      </c>
      <c r="AX131" s="2986">
        <f>+AT131+AV131</f>
        <v>8016</v>
      </c>
      <c r="AY131" s="2986">
        <f>+AU131+AW131</f>
        <v>8016</v>
      </c>
      <c r="AZ131" s="750">
        <f>+AZ2*24</f>
        <v>744</v>
      </c>
      <c r="BA131" s="750">
        <f>+BA2*24</f>
        <v>744</v>
      </c>
      <c r="BB131" s="574">
        <f>+AR131+AV131+AZ131</f>
        <v>2160</v>
      </c>
      <c r="BC131" s="574">
        <f>+AS131+AW131+BA131</f>
        <v>2160</v>
      </c>
      <c r="BD131" s="4219">
        <f t="shared" ref="BD131" si="75">+AN131+BB131</f>
        <v>4368</v>
      </c>
      <c r="BE131" s="4219">
        <f t="shared" ref="BE131" si="76">+AO131+BC131</f>
        <v>4368</v>
      </c>
      <c r="BF131" s="2986">
        <f>+AX131+AZ131</f>
        <v>8760</v>
      </c>
      <c r="BG131" s="2805">
        <f>+AY131+BA131</f>
        <v>8760</v>
      </c>
      <c r="BH131" s="23"/>
      <c r="BI131" s="23"/>
      <c r="BJ131" s="23"/>
      <c r="BK131" s="1111"/>
    </row>
    <row r="132" spans="1:64" x14ac:dyDescent="0.3">
      <c r="B132" s="4294" t="s">
        <v>300</v>
      </c>
      <c r="C132" s="4276"/>
      <c r="D132" s="4276"/>
      <c r="E132" s="4060" t="s">
        <v>49</v>
      </c>
      <c r="F132" s="4278">
        <f>+F133/F131*100</f>
        <v>75</v>
      </c>
      <c r="G132" s="4278">
        <f>+G133/G131*100</f>
        <v>82.395833333333329</v>
      </c>
      <c r="H132" s="4278">
        <f>+H133/H131*100</f>
        <v>72.58064516129032</v>
      </c>
      <c r="I132" s="4278">
        <f>+I133/I131*100</f>
        <v>25.50403225806452</v>
      </c>
      <c r="J132" s="4279">
        <f t="shared" ref="J132:AC132" si="77">+J133/J131*100</f>
        <v>73.770491803278688</v>
      </c>
      <c r="K132" s="4279">
        <f t="shared" si="77"/>
        <v>53.483606557377051</v>
      </c>
      <c r="L132" s="4278">
        <f>+L133/L131*100</f>
        <v>90</v>
      </c>
      <c r="M132" s="4278">
        <f>+M133/M131*100</f>
        <v>84.224537037037024</v>
      </c>
      <c r="N132" s="4280">
        <f t="shared" si="77"/>
        <v>79.120879120879124</v>
      </c>
      <c r="O132" s="4280">
        <f t="shared" si="77"/>
        <v>63.617979242979239</v>
      </c>
      <c r="P132" s="4278">
        <f>+P133/P131*100</f>
        <v>90.322580645161281</v>
      </c>
      <c r="Q132" s="4278">
        <f>+Q133/Q131*100</f>
        <v>88.048835125448051</v>
      </c>
      <c r="R132" s="4279">
        <f t="shared" si="77"/>
        <v>81.967213114754102</v>
      </c>
      <c r="S132" s="4279">
        <f t="shared" si="77"/>
        <v>69.825819672131146</v>
      </c>
      <c r="T132" s="4278">
        <f>+T133/T131*100</f>
        <v>90.322580645161281</v>
      </c>
      <c r="U132" s="4278">
        <f>+U133/U131*100</f>
        <v>82.112455197132661</v>
      </c>
      <c r="V132" s="4279">
        <f t="shared" ref="V132:W132" si="78">+V133/V131*100</f>
        <v>83.66013071895425</v>
      </c>
      <c r="W132" s="4279">
        <f t="shared" si="78"/>
        <v>72.315268700072636</v>
      </c>
      <c r="X132" s="4278">
        <f>+X133/X131*100</f>
        <v>50</v>
      </c>
      <c r="Y132" s="4278">
        <f>+Y133/Y131*100</f>
        <v>84.293981481481495</v>
      </c>
      <c r="Z132" s="4280">
        <f t="shared" si="77"/>
        <v>77.173913043478265</v>
      </c>
      <c r="AA132" s="4280">
        <f t="shared" si="77"/>
        <v>84.824124396135289</v>
      </c>
      <c r="AB132" s="4281">
        <f t="shared" si="77"/>
        <v>78.142076502732237</v>
      </c>
      <c r="AC132" s="4281">
        <f t="shared" si="77"/>
        <v>74.278992106860969</v>
      </c>
      <c r="AD132" s="4278">
        <f>+AD133/AD131*100</f>
        <v>90.322580645161281</v>
      </c>
      <c r="AE132" s="4278">
        <f>+AE133/AE131*100</f>
        <v>53.729838709677402</v>
      </c>
      <c r="AF132" s="4279">
        <f t="shared" ref="AF132:AG132" si="79">+AF133/AF131*100</f>
        <v>79.90654205607477</v>
      </c>
      <c r="AG132" s="4279">
        <f t="shared" si="79"/>
        <v>71.30224558670821</v>
      </c>
      <c r="AH132" s="4278">
        <f>+AH133/AH131*100</f>
        <v>90</v>
      </c>
      <c r="AI132" s="4278">
        <f>+AI133/AI131*100</f>
        <v>82.662037037037024</v>
      </c>
      <c r="AJ132" s="4279">
        <f t="shared" ref="AJ132:AK132" si="80">+AJ133/AJ131*100</f>
        <v>81.147540983606561</v>
      </c>
      <c r="AK132" s="4279">
        <f t="shared" si="80"/>
        <v>72.698941256830622</v>
      </c>
      <c r="AL132" s="4278">
        <f>+AL133/AL131*100</f>
        <v>90.322580645161281</v>
      </c>
      <c r="AM132" s="4278">
        <f>+AM133/AM131*100</f>
        <v>88.160842293906811</v>
      </c>
      <c r="AN132" s="4280">
        <f t="shared" ref="AN132:AQ132" si="81">+AN133/AN131*100</f>
        <v>90.217391304347828</v>
      </c>
      <c r="AO132" s="4280">
        <f t="shared" si="81"/>
        <v>74.766002415458928</v>
      </c>
      <c r="AP132" s="4279">
        <f t="shared" si="81"/>
        <v>82.181818181818173</v>
      </c>
      <c r="AQ132" s="4279">
        <f t="shared" si="81"/>
        <v>74.441919191919212</v>
      </c>
      <c r="AR132" s="4278">
        <f>+AR133/AR131*100</f>
        <v>90.322580645161281</v>
      </c>
      <c r="AS132" s="4278">
        <f>+AS133/AS131*100</f>
        <v>84.979838709677409</v>
      </c>
      <c r="AT132" s="4279">
        <f t="shared" ref="AT132:AU132" si="82">+AT133/AT131*100</f>
        <v>83.006535947712422</v>
      </c>
      <c r="AU132" s="4279">
        <f t="shared" si="82"/>
        <v>75.50948620188818</v>
      </c>
      <c r="AV132" s="4278">
        <f>+AV133/AV131*100</f>
        <v>89.285714285714292</v>
      </c>
      <c r="AW132" s="4278">
        <f>+AW133/AW131*100</f>
        <v>86.197916666666686</v>
      </c>
      <c r="AX132" s="4279">
        <f t="shared" ref="AX132:AY132" si="83">+AX133/AX131*100</f>
        <v>83.532934131736525</v>
      </c>
      <c r="AY132" s="4279">
        <f t="shared" si="83"/>
        <v>76.405522288755833</v>
      </c>
      <c r="AZ132" s="4278">
        <f>+AZ133/AZ131*100</f>
        <v>90.322580645161281</v>
      </c>
      <c r="BA132" s="4278">
        <f>+BA133/BA131*100</f>
        <v>84.162186379928329</v>
      </c>
      <c r="BB132" s="4280">
        <f t="shared" ref="BB132:BE132" si="84">+BB133/BB131*100</f>
        <v>90</v>
      </c>
      <c r="BC132" s="4280">
        <f t="shared" si="84"/>
        <v>85.077160493827165</v>
      </c>
      <c r="BD132" s="4282">
        <f t="shared" si="84"/>
        <v>90.109890109890117</v>
      </c>
      <c r="BE132" s="4282">
        <f t="shared" si="84"/>
        <v>79.864926739926744</v>
      </c>
      <c r="BF132" s="4279">
        <f t="shared" ref="BF132:BG132" si="85">+BF133/BF131*100</f>
        <v>84.109589041095887</v>
      </c>
      <c r="BG132" s="4295">
        <f t="shared" si="85"/>
        <v>77.064307458143091</v>
      </c>
      <c r="BH132" s="23"/>
      <c r="BI132" s="23"/>
      <c r="BJ132" s="23"/>
      <c r="BK132" s="1111"/>
    </row>
    <row r="133" spans="1:64" x14ac:dyDescent="0.3">
      <c r="B133" s="4294" t="s">
        <v>299</v>
      </c>
      <c r="C133" s="4276"/>
      <c r="D133" s="4276"/>
      <c r="E133" s="4060" t="s">
        <v>219</v>
      </c>
      <c r="F133" s="4060">
        <v>540</v>
      </c>
      <c r="G133" s="4056">
        <v>593.25</v>
      </c>
      <c r="H133" s="4060">
        <v>540</v>
      </c>
      <c r="I133" s="4056">
        <v>189.75000000000003</v>
      </c>
      <c r="J133" s="4277">
        <f>+F133+H133</f>
        <v>1080</v>
      </c>
      <c r="K133" s="4119">
        <f>+G133+I133</f>
        <v>783</v>
      </c>
      <c r="L133" s="4060">
        <v>648</v>
      </c>
      <c r="M133" s="4056">
        <v>606.41666666666652</v>
      </c>
      <c r="N133" s="4126">
        <f>+F133+H133+L133</f>
        <v>1728</v>
      </c>
      <c r="O133" s="4126">
        <f>+G133+I133+M133</f>
        <v>1389.4166666666665</v>
      </c>
      <c r="P133" s="4060">
        <v>672</v>
      </c>
      <c r="Q133" s="4056">
        <v>655.08333333333348</v>
      </c>
      <c r="R133" s="4277">
        <f>+N133+P133</f>
        <v>2400</v>
      </c>
      <c r="S133" s="4119">
        <f>+O133+Q133</f>
        <v>2044.5</v>
      </c>
      <c r="T133" s="4060">
        <v>672</v>
      </c>
      <c r="U133" s="4056">
        <v>610.91666666666697</v>
      </c>
      <c r="V133" s="4277">
        <f>+R133+T133</f>
        <v>3072</v>
      </c>
      <c r="W133" s="4119">
        <f>+S133+U133</f>
        <v>2655.416666666667</v>
      </c>
      <c r="X133" s="4060">
        <v>360</v>
      </c>
      <c r="Y133" s="4056">
        <v>606.91666666666674</v>
      </c>
      <c r="Z133" s="4280">
        <f>+P133+T133+X133</f>
        <v>1704</v>
      </c>
      <c r="AA133" s="4280">
        <f>+Q133+U133+Y133</f>
        <v>1872.9166666666672</v>
      </c>
      <c r="AB133" s="4214">
        <f>+N133+Z133</f>
        <v>3432</v>
      </c>
      <c r="AC133" s="4214">
        <f>+AA133+O133</f>
        <v>3262.3333333333339</v>
      </c>
      <c r="AD133" s="4060">
        <v>672</v>
      </c>
      <c r="AE133" s="4056">
        <v>399.74999999999989</v>
      </c>
      <c r="AF133" s="4277">
        <f>+AB133+AD133</f>
        <v>4104</v>
      </c>
      <c r="AG133" s="4119">
        <f>+AC133+AE133</f>
        <v>3662.0833333333339</v>
      </c>
      <c r="AH133" s="4060">
        <v>648</v>
      </c>
      <c r="AI133" s="4056">
        <v>595.16666666666663</v>
      </c>
      <c r="AJ133" s="4277">
        <f>+AF133+AH133</f>
        <v>4752</v>
      </c>
      <c r="AK133" s="4119">
        <f>+AG133+AI133</f>
        <v>4257.2500000000009</v>
      </c>
      <c r="AL133" s="4060">
        <v>672</v>
      </c>
      <c r="AM133" s="4056">
        <v>655.91666666666663</v>
      </c>
      <c r="AN133" s="4280">
        <f>+AD133+AH133+AL133</f>
        <v>1992</v>
      </c>
      <c r="AO133" s="4280">
        <f>+AE133+AI133+AM133</f>
        <v>1650.833333333333</v>
      </c>
      <c r="AP133" s="4119">
        <f t="shared" ref="AP133:AQ133" si="86">AJ133+AL133</f>
        <v>5424</v>
      </c>
      <c r="AQ133" s="4119">
        <f t="shared" si="86"/>
        <v>4913.1666666666679</v>
      </c>
      <c r="AR133" s="4060">
        <v>672</v>
      </c>
      <c r="AS133" s="4056">
        <v>632.24999999999989</v>
      </c>
      <c r="AT133" s="4277">
        <f>+AP133+AR133</f>
        <v>6096</v>
      </c>
      <c r="AU133" s="4119">
        <f>+AQ133+AS133</f>
        <v>5545.4166666666679</v>
      </c>
      <c r="AV133" s="4060">
        <v>600</v>
      </c>
      <c r="AW133" s="4056">
        <v>579.25000000000011</v>
      </c>
      <c r="AX133" s="4277">
        <f>+AT133+AV133</f>
        <v>6696</v>
      </c>
      <c r="AY133" s="4119">
        <f>+AU133+AW133</f>
        <v>6124.6666666666679</v>
      </c>
      <c r="AZ133" s="4060">
        <v>672</v>
      </c>
      <c r="BA133" s="4056">
        <v>626.16666666666674</v>
      </c>
      <c r="BB133" s="4280">
        <f>+AR133+AV133+AZ133</f>
        <v>1944</v>
      </c>
      <c r="BC133" s="4280">
        <f>+AS133+AW133+BA133</f>
        <v>1837.6666666666667</v>
      </c>
      <c r="BD133" s="4216">
        <f t="shared" ref="BD133:BE135" si="87">+AN133+BB133</f>
        <v>3936</v>
      </c>
      <c r="BE133" s="4216">
        <f t="shared" si="87"/>
        <v>3488.5</v>
      </c>
      <c r="BF133" s="4277">
        <f>+AX133+AZ133</f>
        <v>7368</v>
      </c>
      <c r="BG133" s="4063">
        <f>+AY133+BA133</f>
        <v>6750.8333333333348</v>
      </c>
      <c r="BH133" s="23"/>
      <c r="BI133" s="23"/>
      <c r="BJ133" s="23"/>
      <c r="BK133" s="1111"/>
      <c r="BL133" s="1111"/>
    </row>
    <row r="134" spans="1:64" x14ac:dyDescent="0.3">
      <c r="B134" s="4294" t="s">
        <v>301</v>
      </c>
      <c r="C134" s="4276"/>
      <c r="D134" s="4276"/>
      <c r="E134" s="4060" t="s">
        <v>49</v>
      </c>
      <c r="F134" s="4283">
        <f>+F135/F133*100</f>
        <v>83.333333333333343</v>
      </c>
      <c r="G134" s="4283">
        <f>+G135/G133*100</f>
        <v>79.140094582572488</v>
      </c>
      <c r="H134" s="4283">
        <f>+H135/H133*100</f>
        <v>83.333333333333343</v>
      </c>
      <c r="I134" s="4283">
        <f>+I135/I133*100</f>
        <v>57.883179622310053</v>
      </c>
      <c r="J134" s="4279">
        <f t="shared" ref="J134:AC134" si="88">+J135/J133*100</f>
        <v>83.333333333333343</v>
      </c>
      <c r="K134" s="4279">
        <f t="shared" si="88"/>
        <v>73.988754079750279</v>
      </c>
      <c r="L134" s="4283">
        <f>+L135/L133*100</f>
        <v>83.333333333333343</v>
      </c>
      <c r="M134" s="4283">
        <f>+M135/M133*100</f>
        <v>83.92194585680916</v>
      </c>
      <c r="N134" s="4280">
        <f t="shared" si="88"/>
        <v>83.333333333333343</v>
      </c>
      <c r="O134" s="4280">
        <f t="shared" si="88"/>
        <v>78.324136828005379</v>
      </c>
      <c r="P134" s="4283">
        <f>+P135/P133*100</f>
        <v>83.333333333333343</v>
      </c>
      <c r="Q134" s="4283">
        <f>+Q135/Q133*100</f>
        <v>81.618114743671271</v>
      </c>
      <c r="R134" s="4279">
        <f t="shared" si="88"/>
        <v>83.333333333333343</v>
      </c>
      <c r="S134" s="4279">
        <f t="shared" si="88"/>
        <v>79.379568489986696</v>
      </c>
      <c r="T134" s="4283">
        <f>+T135/T133*100</f>
        <v>83.333333333333343</v>
      </c>
      <c r="U134" s="4283">
        <f>+U135/U133*100</f>
        <v>72.268449051971047</v>
      </c>
      <c r="V134" s="4279">
        <f t="shared" ref="V134:W134" si="89">+V135/V133*100</f>
        <v>83.333333333333343</v>
      </c>
      <c r="W134" s="4279">
        <f t="shared" si="89"/>
        <v>77.743553533134573</v>
      </c>
      <c r="X134" s="4283">
        <f>+X135/X133*100</f>
        <v>83.333333333333343</v>
      </c>
      <c r="Y134" s="4283">
        <f>+Y135/Y133*100</f>
        <v>74.749416449265411</v>
      </c>
      <c r="Z134" s="4280">
        <f t="shared" si="88"/>
        <v>83.333333333333343</v>
      </c>
      <c r="AA134" s="4280">
        <f t="shared" si="88"/>
        <v>76.34260289210232</v>
      </c>
      <c r="AB134" s="4281">
        <f t="shared" si="88"/>
        <v>83.333333333333343</v>
      </c>
      <c r="AC134" s="4281">
        <f t="shared" si="88"/>
        <v>77.186531453288381</v>
      </c>
      <c r="AD134" s="4283">
        <f>+AD135/AD133*100</f>
        <v>83.333333333333343</v>
      </c>
      <c r="AE134" s="4283">
        <f>+AE135/AE133*100</f>
        <v>62.101313320825533</v>
      </c>
      <c r="AF134" s="4279">
        <f t="shared" ref="AF134:AG134" si="90">+AF135/AF133*100</f>
        <v>83.333333333333343</v>
      </c>
      <c r="AG134" s="4279">
        <f t="shared" si="90"/>
        <v>75.539841468502303</v>
      </c>
      <c r="AH134" s="4283">
        <f>+AH135/AH133*100</f>
        <v>83.333333333333343</v>
      </c>
      <c r="AI134" s="4283">
        <f>+AI135/AI133*100</f>
        <v>78.297395687482506</v>
      </c>
      <c r="AJ134" s="4279">
        <f t="shared" ref="AJ134:AK134" si="91">+AJ135/AJ133*100</f>
        <v>83.333333333333343</v>
      </c>
      <c r="AK134" s="4279">
        <f t="shared" si="91"/>
        <v>75.925349567078385</v>
      </c>
      <c r="AL134" s="4283">
        <f>+AL135/AL133*100</f>
        <v>83.333333333333343</v>
      </c>
      <c r="AM134" s="4283">
        <f>+AM135/AM133*100</f>
        <v>77.512387244314581</v>
      </c>
      <c r="AN134" s="4280">
        <f t="shared" ref="AN134:AQ134" si="92">+AN135/AN133*100</f>
        <v>83.333333333333343</v>
      </c>
      <c r="AO134" s="4280">
        <f t="shared" si="92"/>
        <v>74.0636042402827</v>
      </c>
      <c r="AP134" s="4279">
        <f t="shared" si="92"/>
        <v>83.333333333333343</v>
      </c>
      <c r="AQ134" s="4279">
        <f t="shared" si="92"/>
        <v>76.137221977226716</v>
      </c>
      <c r="AR134" s="4283">
        <f>+AR135/AR133*100</f>
        <v>83.333333333333343</v>
      </c>
      <c r="AS134" s="4283">
        <f>+AS135/AS133*100</f>
        <v>83.563991037300667</v>
      </c>
      <c r="AT134" s="4279">
        <f t="shared" ref="AT134:AU134" si="93">+AT135/AT133*100</f>
        <v>83.333333333333343</v>
      </c>
      <c r="AU134" s="4279">
        <f t="shared" si="93"/>
        <v>76.983970746612556</v>
      </c>
      <c r="AV134" s="4283">
        <f>+AV135/AV133*100</f>
        <v>83.333333333333343</v>
      </c>
      <c r="AW134" s="4283">
        <f>+AW135/AW133*100</f>
        <v>82.635592001150911</v>
      </c>
      <c r="AX134" s="4279">
        <f t="shared" ref="AX134:AY134" si="94">+AX135/AX133*100</f>
        <v>83.333333333333343</v>
      </c>
      <c r="AY134" s="4279">
        <f t="shared" si="94"/>
        <v>77.518481731432104</v>
      </c>
      <c r="AZ134" s="4283">
        <f>+AZ135/AZ133*100</f>
        <v>83.333333333333343</v>
      </c>
      <c r="BA134" s="4283">
        <f>+BA135/BA133*100</f>
        <v>84.668618578653167</v>
      </c>
      <c r="BB134" s="4280">
        <f t="shared" ref="BB134:BE134" si="95">+BB135/BB133*100</f>
        <v>83.333333333333343</v>
      </c>
      <c r="BC134" s="4280">
        <f t="shared" si="95"/>
        <v>83.647741701432977</v>
      </c>
      <c r="BD134" s="4282">
        <f t="shared" si="95"/>
        <v>83.333333333333343</v>
      </c>
      <c r="BE134" s="4282">
        <f t="shared" si="95"/>
        <v>79.112321437102864</v>
      </c>
      <c r="BF134" s="4279">
        <f t="shared" ref="BF134:BG134" si="96">+BF135/BF133*100</f>
        <v>83.333333333333343</v>
      </c>
      <c r="BG134" s="4295">
        <f t="shared" si="96"/>
        <v>78.181685388635145</v>
      </c>
      <c r="BH134" s="23"/>
      <c r="BI134" s="23"/>
      <c r="BJ134" s="23"/>
      <c r="BK134" s="23"/>
      <c r="BL134" s="23"/>
    </row>
    <row r="135" spans="1:64" x14ac:dyDescent="0.3">
      <c r="B135" s="4294" t="s">
        <v>302</v>
      </c>
      <c r="C135" s="4276"/>
      <c r="D135" s="4276"/>
      <c r="E135" s="4060" t="s">
        <v>219</v>
      </c>
      <c r="F135" s="4056">
        <v>450</v>
      </c>
      <c r="G135" s="4056">
        <v>469.49861111111125</v>
      </c>
      <c r="H135" s="4056">
        <v>450</v>
      </c>
      <c r="I135" s="4056">
        <v>109.83333333333334</v>
      </c>
      <c r="J135" s="4119">
        <f>+F135+H135</f>
        <v>900</v>
      </c>
      <c r="K135" s="4119">
        <f>+G135+I135</f>
        <v>579.33194444444462</v>
      </c>
      <c r="L135" s="4056">
        <v>540</v>
      </c>
      <c r="M135" s="4056">
        <v>508.91666666666674</v>
      </c>
      <c r="N135" s="4126">
        <f>+F135+H135+L135</f>
        <v>1440</v>
      </c>
      <c r="O135" s="4126">
        <f>+G135+I135+M135</f>
        <v>1088.2486111111114</v>
      </c>
      <c r="P135" s="4056">
        <v>560</v>
      </c>
      <c r="Q135" s="4056">
        <v>534.66666666666674</v>
      </c>
      <c r="R135" s="4119">
        <f>+N135+P135</f>
        <v>2000</v>
      </c>
      <c r="S135" s="4119">
        <f>+O135+Q135</f>
        <v>1622.9152777777781</v>
      </c>
      <c r="T135" s="4056">
        <v>560</v>
      </c>
      <c r="U135" s="4056">
        <v>441.49999999999994</v>
      </c>
      <c r="V135" s="4119">
        <f>+R135+T135</f>
        <v>2560</v>
      </c>
      <c r="W135" s="4119">
        <f>+S135+U135</f>
        <v>2064.4152777777781</v>
      </c>
      <c r="X135" s="4056">
        <v>300</v>
      </c>
      <c r="Y135" s="4056">
        <v>453.66666666666669</v>
      </c>
      <c r="Z135" s="4280">
        <f>+P135+T135+X135</f>
        <v>1420</v>
      </c>
      <c r="AA135" s="4280">
        <f>+Q135+U135+Y135</f>
        <v>1429.8333333333335</v>
      </c>
      <c r="AB135" s="4214">
        <f>+N135+Z135</f>
        <v>2860</v>
      </c>
      <c r="AC135" s="4214">
        <f>+AA135+O135</f>
        <v>2518.0819444444451</v>
      </c>
      <c r="AD135" s="4056">
        <v>560</v>
      </c>
      <c r="AE135" s="4056">
        <v>248.25</v>
      </c>
      <c r="AF135" s="4119">
        <f>+AB135+AD135</f>
        <v>3420</v>
      </c>
      <c r="AG135" s="4119">
        <f>+AC135+AE135</f>
        <v>2766.3319444444451</v>
      </c>
      <c r="AH135" s="4056">
        <v>540</v>
      </c>
      <c r="AI135" s="4056">
        <v>466.00000000000006</v>
      </c>
      <c r="AJ135" s="4119">
        <f>+AF135+AH135</f>
        <v>3960</v>
      </c>
      <c r="AK135" s="4119">
        <f>+AG135+AI135</f>
        <v>3232.3319444444451</v>
      </c>
      <c r="AL135" s="4056">
        <v>560</v>
      </c>
      <c r="AM135" s="4056">
        <v>508.41666666666674</v>
      </c>
      <c r="AN135" s="4280">
        <f>+AD135+AH135+AL135</f>
        <v>1660</v>
      </c>
      <c r="AO135" s="4280">
        <f>+AE135+AI135+AM135</f>
        <v>1222.6666666666667</v>
      </c>
      <c r="AP135" s="4119">
        <f t="shared" ref="AP135:AQ135" si="97">AJ135+AL135</f>
        <v>4520</v>
      </c>
      <c r="AQ135" s="4119">
        <f t="shared" si="97"/>
        <v>3740.748611111112</v>
      </c>
      <c r="AR135" s="4056">
        <v>560</v>
      </c>
      <c r="AS135" s="4056">
        <v>528.33333333333337</v>
      </c>
      <c r="AT135" s="4119">
        <f>+AP135+AR135</f>
        <v>5080</v>
      </c>
      <c r="AU135" s="4119">
        <f>+AQ135+AS135</f>
        <v>4269.0819444444451</v>
      </c>
      <c r="AV135" s="4056">
        <v>500</v>
      </c>
      <c r="AW135" s="4056">
        <v>478.66666666666674</v>
      </c>
      <c r="AX135" s="4119">
        <f>+AT135+AV135</f>
        <v>5580</v>
      </c>
      <c r="AY135" s="4119">
        <f>+AU135+AW135</f>
        <v>4747.748611111112</v>
      </c>
      <c r="AZ135" s="4056">
        <v>560</v>
      </c>
      <c r="BA135" s="4056">
        <v>530.16666666666663</v>
      </c>
      <c r="BB135" s="4280">
        <f>+AR135+AV135+AZ135</f>
        <v>1620</v>
      </c>
      <c r="BC135" s="4280">
        <f>+AS135+AW135+BA135</f>
        <v>1537.1666666666667</v>
      </c>
      <c r="BD135" s="4216">
        <f t="shared" si="87"/>
        <v>3280</v>
      </c>
      <c r="BE135" s="4216">
        <f t="shared" si="87"/>
        <v>2759.8333333333335</v>
      </c>
      <c r="BF135" s="4119">
        <f>+AX135+AZ135</f>
        <v>6140</v>
      </c>
      <c r="BG135" s="4063">
        <f>+AY135+BA135</f>
        <v>5277.915277777779</v>
      </c>
      <c r="BH135" s="23"/>
      <c r="BI135" s="23"/>
      <c r="BJ135" s="23"/>
      <c r="BK135" s="1111"/>
    </row>
    <row r="136" spans="1:64" x14ac:dyDescent="0.3">
      <c r="A136" s="1412">
        <v>0.28399999999999997</v>
      </c>
      <c r="B136" s="4294" t="s">
        <v>485</v>
      </c>
      <c r="C136" s="4276"/>
      <c r="D136" s="4276"/>
      <c r="E136" s="4060" t="s">
        <v>484</v>
      </c>
      <c r="F136" s="4283">
        <f>+F135/(F133/24)</f>
        <v>20</v>
      </c>
      <c r="G136" s="4283">
        <f>+G135/(G133/24)</f>
        <v>18.993622699817397</v>
      </c>
      <c r="H136" s="4283">
        <f>+H135/(H133/24)</f>
        <v>20</v>
      </c>
      <c r="I136" s="4283">
        <f>+I135/(I133/24)</f>
        <v>13.891963109354414</v>
      </c>
      <c r="J136" s="4279">
        <f t="shared" ref="J136:AC136" si="98">+J135/(J133/24)</f>
        <v>20</v>
      </c>
      <c r="K136" s="4279">
        <f t="shared" si="98"/>
        <v>17.757300979140066</v>
      </c>
      <c r="L136" s="4283">
        <f>+L135/(L133/24)</f>
        <v>20</v>
      </c>
      <c r="M136" s="4283">
        <f>+M135/(M133/24)</f>
        <v>20.141267005634198</v>
      </c>
      <c r="N136" s="4280">
        <f t="shared" si="98"/>
        <v>20</v>
      </c>
      <c r="O136" s="4280">
        <f t="shared" si="98"/>
        <v>18.797792838721293</v>
      </c>
      <c r="P136" s="4283">
        <f>+P135/(P133/24)</f>
        <v>20</v>
      </c>
      <c r="Q136" s="4283">
        <f>+Q135/(Q133/24)</f>
        <v>19.588347538481106</v>
      </c>
      <c r="R136" s="4279">
        <f t="shared" si="98"/>
        <v>20</v>
      </c>
      <c r="S136" s="4279">
        <f t="shared" si="98"/>
        <v>19.051096437596808</v>
      </c>
      <c r="T136" s="4283">
        <f>+T135/(T133/24)</f>
        <v>20</v>
      </c>
      <c r="U136" s="4283">
        <f>+U135/(U133/24)</f>
        <v>17.344427772473047</v>
      </c>
      <c r="V136" s="4279">
        <f t="shared" ref="V136:W136" si="99">+V135/(V133/24)</f>
        <v>20</v>
      </c>
      <c r="W136" s="4279">
        <f t="shared" si="99"/>
        <v>18.658452847952297</v>
      </c>
      <c r="X136" s="4283">
        <f>+X135/(X133/24)</f>
        <v>20</v>
      </c>
      <c r="Y136" s="4283">
        <f>+Y135/(Y133/24)</f>
        <v>17.939859947823699</v>
      </c>
      <c r="Z136" s="4280">
        <f t="shared" si="98"/>
        <v>20</v>
      </c>
      <c r="AA136" s="4280">
        <f t="shared" si="98"/>
        <v>18.322224694104555</v>
      </c>
      <c r="AB136" s="4281">
        <f t="shared" si="98"/>
        <v>20</v>
      </c>
      <c r="AC136" s="4281">
        <f t="shared" si="98"/>
        <v>18.524767548789214</v>
      </c>
      <c r="AD136" s="4283">
        <f>+AD135/(AD133/24)</f>
        <v>20</v>
      </c>
      <c r="AE136" s="4283">
        <f>+AE135/(AE133/24)</f>
        <v>14.904315196998127</v>
      </c>
      <c r="AF136" s="4279">
        <f t="shared" ref="AF136:AG136" si="100">+AF135/(AF133/24)</f>
        <v>20</v>
      </c>
      <c r="AG136" s="4279">
        <f t="shared" si="100"/>
        <v>18.129561952440554</v>
      </c>
      <c r="AH136" s="4283">
        <f>+AH135/(AH133/24)</f>
        <v>20</v>
      </c>
      <c r="AI136" s="4283">
        <f>+AI135/(AI133/24)</f>
        <v>18.791374964995804</v>
      </c>
      <c r="AJ136" s="4279">
        <f t="shared" ref="AJ136:AK136" si="101">+AJ135/(AJ133/24)</f>
        <v>20</v>
      </c>
      <c r="AK136" s="4279">
        <f t="shared" si="101"/>
        <v>18.222083896098809</v>
      </c>
      <c r="AL136" s="4283">
        <f>+AL135/(AL133/24)</f>
        <v>20</v>
      </c>
      <c r="AM136" s="4283">
        <f>+AM135/(AM133/24)</f>
        <v>18.602972938635499</v>
      </c>
      <c r="AN136" s="4280">
        <f t="shared" ref="AN136:AQ136" si="102">+AN135/(AN133/24)</f>
        <v>20</v>
      </c>
      <c r="AO136" s="4280">
        <f t="shared" si="102"/>
        <v>17.775265017667849</v>
      </c>
      <c r="AP136" s="4279">
        <f t="shared" si="102"/>
        <v>20</v>
      </c>
      <c r="AQ136" s="4279">
        <f t="shared" si="102"/>
        <v>18.272933274534413</v>
      </c>
      <c r="AR136" s="4283">
        <f>+AR135/(AR133/24)</f>
        <v>20</v>
      </c>
      <c r="AS136" s="4283">
        <f>+AS135/(AS133/24)</f>
        <v>20.055357848952159</v>
      </c>
      <c r="AT136" s="4279">
        <f t="shared" ref="AT136:AU136" si="103">+AT135/(AT133/24)</f>
        <v>20</v>
      </c>
      <c r="AU136" s="4279">
        <f t="shared" si="103"/>
        <v>18.476152979187017</v>
      </c>
      <c r="AV136" s="4283">
        <f>+AV135/(AV133/24)</f>
        <v>20</v>
      </c>
      <c r="AW136" s="4283">
        <f>+AW135/(AW133/24)</f>
        <v>19.83254208027622</v>
      </c>
      <c r="AX136" s="4279">
        <f t="shared" ref="AX136:AY136" si="104">+AX135/(AX133/24)</f>
        <v>20</v>
      </c>
      <c r="AY136" s="4279">
        <f t="shared" si="104"/>
        <v>18.604435615543704</v>
      </c>
      <c r="AZ136" s="4283">
        <f>+AZ135/(AZ133/24)</f>
        <v>20</v>
      </c>
      <c r="BA136" s="4283">
        <f>+BA135/(BA133/24)</f>
        <v>20.320468458876757</v>
      </c>
      <c r="BB136" s="4280">
        <f t="shared" ref="BB136:BE136" si="105">+BB135/(BB133/24)</f>
        <v>20</v>
      </c>
      <c r="BC136" s="4280">
        <f t="shared" si="105"/>
        <v>20.075458008343915</v>
      </c>
      <c r="BD136" s="4282">
        <f t="shared" si="105"/>
        <v>20</v>
      </c>
      <c r="BE136" s="4282">
        <f t="shared" si="105"/>
        <v>18.986957144904689</v>
      </c>
      <c r="BF136" s="4279">
        <f t="shared" ref="BF136:BG136" si="106">+BF135/(BF133/24)</f>
        <v>20</v>
      </c>
      <c r="BG136" s="4295">
        <f t="shared" si="106"/>
        <v>18.763604493272435</v>
      </c>
      <c r="BH136" s="23"/>
      <c r="BI136" s="23"/>
      <c r="BJ136" s="23"/>
      <c r="BK136" s="1111"/>
    </row>
    <row r="137" spans="1:64" x14ac:dyDescent="0.3">
      <c r="B137" s="4294" t="s">
        <v>303</v>
      </c>
      <c r="C137" s="4276"/>
      <c r="D137" s="4276"/>
      <c r="E137" s="4060" t="s">
        <v>1047</v>
      </c>
      <c r="F137" s="4284">
        <v>0.48499999999999999</v>
      </c>
      <c r="G137" s="4066">
        <v>0.44600000000000001</v>
      </c>
      <c r="H137" s="4284">
        <v>0.48499999999999999</v>
      </c>
      <c r="I137" s="4066">
        <v>0.61899999999999999</v>
      </c>
      <c r="J137" s="4285">
        <f>+((F137*F7)+(H137*H7))/J7</f>
        <v>0.48499999999999993</v>
      </c>
      <c r="K137" s="4285">
        <f>+((G137*G7)+(I137*I7))/K7</f>
        <v>0.47528262214735917</v>
      </c>
      <c r="L137" s="4284">
        <v>0.48500000000000004</v>
      </c>
      <c r="M137" s="4066">
        <v>0.44600000000000001</v>
      </c>
      <c r="N137" s="4286">
        <f>+((F137*F7)+(H137*H7)+(L137*L7))/N7</f>
        <v>0.48499999999999993</v>
      </c>
      <c r="O137" s="4286">
        <f>+((G137*G7)+(I137*I7)+(M137*M7))/O7</f>
        <v>0.46121164716802304</v>
      </c>
      <c r="P137" s="4284">
        <v>0.4850000000000001</v>
      </c>
      <c r="Q137" s="4066">
        <v>0.432</v>
      </c>
      <c r="R137" s="4285">
        <f>+((N137*N7)+(P137*P7))/R7</f>
        <v>0.48499999999999999</v>
      </c>
      <c r="S137" s="4285">
        <f>+((O137*O7)+(Q137*Q7))/S7</f>
        <v>0.45186116466365345</v>
      </c>
      <c r="T137" s="4284">
        <v>0.4850000000000001</v>
      </c>
      <c r="U137" s="4066">
        <v>0.55300000000000005</v>
      </c>
      <c r="V137" s="4285">
        <f>+((R137*R7)+(T137*T7))/V7</f>
        <v>0.48499999999999999</v>
      </c>
      <c r="W137" s="4285">
        <f>+((S137*S7)+(U137*U7))/W7</f>
        <v>0.47205803235288951</v>
      </c>
      <c r="X137" s="4284">
        <v>0.4850000000000001</v>
      </c>
      <c r="Y137" s="4066">
        <v>0.51800000000000002</v>
      </c>
      <c r="Z137" s="4286">
        <f>+((P137*P7)+(T137*T7)+(X137*X7))/Z7</f>
        <v>0.4850000000000001</v>
      </c>
      <c r="AA137" s="4286">
        <f>+((Q137*Q7)+(U137*U7)+(Y137*Y7))/AA7</f>
        <v>0.4958618805763596</v>
      </c>
      <c r="AB137" s="4287">
        <f>+((N137*N7)+(Z137*Z7))/AB7</f>
        <v>0.4850000000000001</v>
      </c>
      <c r="AC137" s="4287">
        <f>+((O137*O7)+(AA137*AA7))/AC7</f>
        <v>0.48045268700806937</v>
      </c>
      <c r="AD137" s="4284">
        <v>0.4850000000000001</v>
      </c>
      <c r="AE137" s="4066">
        <v>0.57099999999999995</v>
      </c>
      <c r="AF137" s="4285">
        <f>+((AB137*AB7)+(AD137*AD7))/AF7</f>
        <v>0.48500000000000004</v>
      </c>
      <c r="AG137" s="4285">
        <f>+((AC137*AC7)+(AE137*AE7))/AG7</f>
        <v>0.48937705436009804</v>
      </c>
      <c r="AH137" s="4284">
        <v>0.48500000000000021</v>
      </c>
      <c r="AI137" s="4066">
        <v>0.53700000000000003</v>
      </c>
      <c r="AJ137" s="4285">
        <f>+((AF137*AF7)+(AH137*AH7))/AJ7</f>
        <v>0.48500000000000015</v>
      </c>
      <c r="AK137" s="4285">
        <f>+((AG137*AG7)+(AI137*AI7))/AK7</f>
        <v>0.49604172558050452</v>
      </c>
      <c r="AL137" s="4284">
        <v>0.48500000000000015</v>
      </c>
      <c r="AM137" s="4066">
        <v>0.53800000000000003</v>
      </c>
      <c r="AN137" s="4286">
        <f>+((AD137*AD7)+(AH137*AH7)+(AL137*AL7))/AN7</f>
        <v>0.48500000000000021</v>
      </c>
      <c r="AO137" s="4286">
        <f>+((AE137*AE7)+(AI137*AI7)+(AM137*AM7))/AO7</f>
        <v>0.54507032880344952</v>
      </c>
      <c r="AP137" s="4285">
        <f>+((AL137*AL7)+(AJ137*AJ7))/AP7</f>
        <v>0.48500000000000015</v>
      </c>
      <c r="AQ137" s="4285">
        <f>+((AM137*AM7)+(AK137*AK7))/AQ7</f>
        <v>0.50155048758861298</v>
      </c>
      <c r="AR137" s="4284">
        <v>0.48500000000000015</v>
      </c>
      <c r="AS137" s="4066">
        <v>0.55200000000000005</v>
      </c>
      <c r="AT137" s="4285">
        <f>+((AP137*AP7)+(AR137*AR7))/AT7</f>
        <v>0.48500000000000015</v>
      </c>
      <c r="AU137" s="4285">
        <f>+((AQ137*AQ7)+(AS137*AS7))/AU7</f>
        <v>0.50772051617613145</v>
      </c>
      <c r="AV137" s="4284">
        <v>0.48500000000000015</v>
      </c>
      <c r="AW137" s="4066">
        <v>0.48699999999999999</v>
      </c>
      <c r="AX137" s="4285">
        <f>+((AT137*AT7)+(AV137*AV7))/AX7</f>
        <v>0.4850000000000001</v>
      </c>
      <c r="AY137" s="4285">
        <f>+((AU137*AU7)+(AW137*AW7))/AY7</f>
        <v>0.50555333328692997</v>
      </c>
      <c r="AZ137" s="4284">
        <v>0.48500000000000015</v>
      </c>
      <c r="BA137" s="4066">
        <v>0.41799999999999998</v>
      </c>
      <c r="BB137" s="4286">
        <f>+((AR137*AR7)+(AV137*AV7)+(AZ137*AZ7))/BB7</f>
        <v>0.4850000000000001</v>
      </c>
      <c r="BC137" s="4286">
        <f>+((AS137*AS7)+(AW137*AW7)+(BA137*BA7))/BC7</f>
        <v>0.48315642018590027</v>
      </c>
      <c r="BD137" s="4288">
        <f>+((AN137*AN7)+(BB137*BB7))/BD7</f>
        <v>0.4850000000000001</v>
      </c>
      <c r="BE137" s="4288">
        <f>+((AO137*AO7)+(BC137*BC7))/BE7</f>
        <v>0.50996649708537167</v>
      </c>
      <c r="BF137" s="4285">
        <f>+((AX137*AX7)+(AZ137*AZ7))/BF7</f>
        <v>0.48500000000000015</v>
      </c>
      <c r="BG137" s="4296">
        <f>+((AY137*AY7)+(BA137*BA7))/BG7</f>
        <v>0.49604187442373054</v>
      </c>
      <c r="BH137" s="23"/>
      <c r="BI137" s="23"/>
      <c r="BJ137" s="23"/>
      <c r="BK137" s="1111"/>
    </row>
    <row r="138" spans="1:64" x14ac:dyDescent="0.3">
      <c r="B138" s="4294" t="s">
        <v>304</v>
      </c>
      <c r="C138" s="4276"/>
      <c r="D138" s="4276"/>
      <c r="E138" s="4060" t="s">
        <v>212</v>
      </c>
      <c r="F138" s="4056">
        <f>+'POWER DISTRIBUTION'!I27</f>
        <v>4215120</v>
      </c>
      <c r="G138" s="4056">
        <f>+'POWER DISTRIBUTION'!J27</f>
        <v>3931378.0000000037</v>
      </c>
      <c r="H138" s="4056">
        <f>+'POWER DISTRIBUTION'!K27</f>
        <v>4478565.0000000009</v>
      </c>
      <c r="I138" s="4056">
        <f>+'POWER DISTRIBUTION'!L27</f>
        <v>1755714.6666666591</v>
      </c>
      <c r="J138" s="4119">
        <f>+F138+H138</f>
        <v>8693685</v>
      </c>
      <c r="K138" s="4119">
        <f>+G138+I138</f>
        <v>5687092.6666666623</v>
      </c>
      <c r="L138" s="4056">
        <f>+'POWER DISTRIBUTION'!O27</f>
        <v>5462696.8416367695</v>
      </c>
      <c r="M138" s="4056">
        <f>+'POWER DISTRIBUTION'!P27</f>
        <v>4293833.3333333321</v>
      </c>
      <c r="N138" s="4126">
        <f>+F138+H138+L138</f>
        <v>14156381.841636769</v>
      </c>
      <c r="O138" s="4126">
        <f>+G138+I138+M138</f>
        <v>9980925.9999999944</v>
      </c>
      <c r="P138" s="4056">
        <f>+'POWER DISTRIBUTION'!S27</f>
        <v>5681204.7153022392</v>
      </c>
      <c r="Q138" s="4056">
        <f>+'POWER DISTRIBUTION'!T27</f>
        <v>4334408.3333333256</v>
      </c>
      <c r="R138" s="4119">
        <f>+N138+P138</f>
        <v>19837586.55693901</v>
      </c>
      <c r="S138" s="4119">
        <f>+O138+Q138</f>
        <v>14315334.333333321</v>
      </c>
      <c r="T138" s="4056">
        <f>+'POWER DISTRIBUTION'!W27</f>
        <v>5681204.7153022392</v>
      </c>
      <c r="U138" s="4056">
        <f>+'POWER DISTRIBUTION'!X27</f>
        <v>3962541.0000000037</v>
      </c>
      <c r="V138" s="4119">
        <f>+R138+T138</f>
        <v>25518791.27224125</v>
      </c>
      <c r="W138" s="4119">
        <f>+S138+U138</f>
        <v>18277875.333333325</v>
      </c>
      <c r="X138" s="4056">
        <f>+'POWER DISTRIBUTION'!AA27</f>
        <v>3230405.5071173077</v>
      </c>
      <c r="Y138" s="4056">
        <f>+'POWER DISTRIBUTION'!AB27</f>
        <v>4053481.0000000028</v>
      </c>
      <c r="Z138" s="4126">
        <f>+P138+T138+X138</f>
        <v>14592814.937721785</v>
      </c>
      <c r="AA138" s="4126">
        <f>+Q138+U138+Y138</f>
        <v>12350430.333333332</v>
      </c>
      <c r="AB138" s="4214">
        <f>+N138+Z138</f>
        <v>28749196.779358555</v>
      </c>
      <c r="AC138" s="4214">
        <f>+AA138+O138</f>
        <v>22331356.333333328</v>
      </c>
      <c r="AD138" s="4056">
        <f>+'POWER DISTRIBUTION'!AG27</f>
        <v>5856011.0142346155</v>
      </c>
      <c r="AE138" s="4056">
        <f>+'POWER DISTRIBUTION'!AH27</f>
        <v>2894984.3333333354</v>
      </c>
      <c r="AF138" s="4119">
        <f>+AB138+AD138</f>
        <v>34605207.793593168</v>
      </c>
      <c r="AG138" s="4119">
        <f>+AC138+AE138</f>
        <v>25226340.666666664</v>
      </c>
      <c r="AH138" s="4056">
        <f>+'POWER DISTRIBUTION'!AK27</f>
        <v>5681204.7153022392</v>
      </c>
      <c r="AI138" s="4056">
        <f>+'POWER DISTRIBUTION'!AL27</f>
        <v>3936189.6666666646</v>
      </c>
      <c r="AJ138" s="4119">
        <f>+AF138+AH138</f>
        <v>40286412.508895405</v>
      </c>
      <c r="AK138" s="4119">
        <f>+AG138+AI138</f>
        <v>29162530.333333328</v>
      </c>
      <c r="AL138" s="4056">
        <f>+'POWER DISTRIBUTION'!AO27</f>
        <v>5899712.5889677098</v>
      </c>
      <c r="AM138" s="4056">
        <f>+'POWER DISTRIBUTION'!AP27</f>
        <v>4167595.3333333298</v>
      </c>
      <c r="AN138" s="4126">
        <f>+AD138+AH138+AL138</f>
        <v>17436928.318504564</v>
      </c>
      <c r="AO138" s="4126">
        <f>+AE138+AI138+AM138</f>
        <v>10998769.33333333</v>
      </c>
      <c r="AP138" s="4119">
        <f t="shared" ref="AP138:AQ138" si="107">AJ138+AL138</f>
        <v>46186125.097863115</v>
      </c>
      <c r="AQ138" s="4119">
        <f t="shared" si="107"/>
        <v>33330125.666666657</v>
      </c>
      <c r="AR138" s="4056">
        <f>+'POWER DISTRIBUTION'!AU27</f>
        <v>5943414.1637008041</v>
      </c>
      <c r="AS138" s="4056">
        <f>+'POWER DISTRIBUTION'!AV27</f>
        <v>4334470.333333334</v>
      </c>
      <c r="AT138" s="4119">
        <f>+AP138+AR138</f>
        <v>52129539.261563919</v>
      </c>
      <c r="AU138" s="4119">
        <f>+AQ138+AS138</f>
        <v>37664595.999999993</v>
      </c>
      <c r="AV138" s="4056">
        <f>+'POWER DISTRIBUTION'!AY27</f>
        <v>5331592.1174374856</v>
      </c>
      <c r="AW138" s="4056">
        <f>+'POWER DISTRIBUTION'!AZ27</f>
        <v>3892468.0000000093</v>
      </c>
      <c r="AX138" s="4119">
        <f>+AT138+AV138</f>
        <v>57461131.379001409</v>
      </c>
      <c r="AY138" s="4119">
        <f>+AU138+AW138</f>
        <v>41557064</v>
      </c>
      <c r="AZ138" s="4056">
        <f>+'POWER DISTRIBUTION'!BC27</f>
        <v>5987115.7384338975</v>
      </c>
      <c r="BA138" s="4056">
        <f>+'POWER DISTRIBUTION'!BD27</f>
        <v>4348140.3333333246</v>
      </c>
      <c r="BB138" s="4126">
        <f>+AR138+AV138+AZ138</f>
        <v>17262122.019572187</v>
      </c>
      <c r="BC138" s="4126">
        <f>+AS138+AW138+BA138</f>
        <v>12575078.666666668</v>
      </c>
      <c r="BD138" s="4216">
        <f t="shared" ref="BD138" si="108">+AN138+BB138</f>
        <v>34699050.338076755</v>
      </c>
      <c r="BE138" s="4216">
        <f t="shared" ref="BE138" si="109">+AO138+BC138</f>
        <v>23573848</v>
      </c>
      <c r="BF138" s="4119">
        <f>+AX138+AZ138</f>
        <v>63448247.117435306</v>
      </c>
      <c r="BG138" s="4063">
        <f>+AY138+BA138</f>
        <v>45905204.333333328</v>
      </c>
      <c r="BH138" s="23"/>
      <c r="BI138" s="23"/>
      <c r="BJ138" s="23"/>
      <c r="BK138" s="1111"/>
    </row>
    <row r="139" spans="1:64" ht="15" customHeight="1" x14ac:dyDescent="0.3">
      <c r="B139" s="4294" t="s">
        <v>305</v>
      </c>
      <c r="C139" s="4276"/>
      <c r="D139" s="4276"/>
      <c r="E139" s="2589" t="s">
        <v>1939</v>
      </c>
      <c r="F139" s="4283">
        <f t="shared" ref="F139:G139" si="110">+F138/F121</f>
        <v>75.27</v>
      </c>
      <c r="G139" s="4283">
        <f t="shared" si="110"/>
        <v>74.854797369401084</v>
      </c>
      <c r="H139" s="4283">
        <f t="shared" ref="H139:BG139" si="111">+H138/H121</f>
        <v>75.27000000000001</v>
      </c>
      <c r="I139" s="4283">
        <f t="shared" si="111"/>
        <v>166.64088185449612</v>
      </c>
      <c r="J139" s="4279">
        <f t="shared" si="111"/>
        <v>75.27</v>
      </c>
      <c r="K139" s="4279">
        <f t="shared" si="111"/>
        <v>90.191182314446948</v>
      </c>
      <c r="L139" s="4283">
        <f t="shared" si="111"/>
        <v>87.40314946618831</v>
      </c>
      <c r="M139" s="4283">
        <f t="shared" si="111"/>
        <v>73.180403758696414</v>
      </c>
      <c r="N139" s="4280">
        <f t="shared" si="111"/>
        <v>79.530235065375109</v>
      </c>
      <c r="O139" s="4280">
        <f t="shared" si="111"/>
        <v>83.243023449394101</v>
      </c>
      <c r="P139" s="4283">
        <f t="shared" ref="P139:Q139" si="112">+P138/P121</f>
        <v>87.403149466188296</v>
      </c>
      <c r="Q139" s="4283">
        <f t="shared" si="112"/>
        <v>75.607987040004545</v>
      </c>
      <c r="R139" s="4279">
        <f t="shared" si="111"/>
        <v>81.636158670530904</v>
      </c>
      <c r="S139" s="4279">
        <f t="shared" si="111"/>
        <v>83.076360715095575</v>
      </c>
      <c r="T139" s="4283">
        <f t="shared" si="111"/>
        <v>87.403149466188296</v>
      </c>
      <c r="U139" s="4283">
        <f t="shared" si="111"/>
        <v>89.233771438656319</v>
      </c>
      <c r="V139" s="4279">
        <f t="shared" si="111"/>
        <v>82.853218416367696</v>
      </c>
      <c r="W139" s="4279">
        <f t="shared" si="111"/>
        <v>84.338014826442304</v>
      </c>
      <c r="X139" s="4283">
        <f t="shared" ref="X139:Y139" si="113">+X138/X121</f>
        <v>96.430015137830082</v>
      </c>
      <c r="Y139" s="4283">
        <f t="shared" si="113"/>
        <v>81.074945002387821</v>
      </c>
      <c r="Z139" s="4280">
        <f t="shared" si="111"/>
        <v>89.252690750591952</v>
      </c>
      <c r="AA139" s="4280">
        <f t="shared" si="111"/>
        <v>81.397206221839241</v>
      </c>
      <c r="AB139" s="4281">
        <f t="shared" si="111"/>
        <v>84.185056454929878</v>
      </c>
      <c r="AC139" s="4281">
        <f t="shared" si="111"/>
        <v>82.211969858310738</v>
      </c>
      <c r="AD139" s="4283">
        <f t="shared" si="111"/>
        <v>87.403149466188296</v>
      </c>
      <c r="AE139" s="4283">
        <f t="shared" si="111"/>
        <v>97.606014388159693</v>
      </c>
      <c r="AF139" s="4279">
        <f t="shared" si="111"/>
        <v>84.712870975748274</v>
      </c>
      <c r="AG139" s="4279">
        <f t="shared" si="111"/>
        <v>83.727399306455567</v>
      </c>
      <c r="AH139" s="4283">
        <f t="shared" ref="AH139:AI139" si="114">+AH138/AH121</f>
        <v>87.403149466188296</v>
      </c>
      <c r="AI139" s="4283">
        <f t="shared" si="114"/>
        <v>80.232085944861026</v>
      </c>
      <c r="AJ139" s="4283">
        <f t="shared" si="111"/>
        <v>85.082180589008246</v>
      </c>
      <c r="AK139" s="4283">
        <f t="shared" si="111"/>
        <v>83.237947192985914</v>
      </c>
      <c r="AL139" s="4283">
        <f t="shared" si="111"/>
        <v>87.403149466188296</v>
      </c>
      <c r="AM139" s="4283">
        <f t="shared" si="111"/>
        <v>78.652899311367946</v>
      </c>
      <c r="AN139" s="4283">
        <f t="shared" si="111"/>
        <v>87.403149466188296</v>
      </c>
      <c r="AO139" s="4283">
        <f t="shared" si="111"/>
        <v>83.509298888503764</v>
      </c>
      <c r="AP139" s="4283">
        <f t="shared" si="111"/>
        <v>85.371765430430898</v>
      </c>
      <c r="AQ139" s="4283">
        <f t="shared" si="111"/>
        <v>82.635602719417221</v>
      </c>
      <c r="AR139" s="4283">
        <f t="shared" ref="AR139:AS139" si="115">+AR138/AR121</f>
        <v>87.403149466188296</v>
      </c>
      <c r="AS139" s="4283">
        <f t="shared" si="115"/>
        <v>77.167029215025408</v>
      </c>
      <c r="AT139" s="4283">
        <f t="shared" si="111"/>
        <v>85.598586636393961</v>
      </c>
      <c r="AU139" s="4283">
        <f t="shared" si="111"/>
        <v>81.967128419848748</v>
      </c>
      <c r="AV139" s="4283">
        <f t="shared" si="111"/>
        <v>87.403149466188282</v>
      </c>
      <c r="AW139" s="4283">
        <f t="shared" si="111"/>
        <v>71.711701739949476</v>
      </c>
      <c r="AX139" s="4283">
        <f t="shared" si="111"/>
        <v>85.76288265522598</v>
      </c>
      <c r="AY139" s="4283">
        <f t="shared" si="111"/>
        <v>80.883688465839114</v>
      </c>
      <c r="AZ139" s="4283">
        <f t="shared" ref="AZ139:BA139" si="116">+AZ138/AZ121</f>
        <v>87.403149466188282</v>
      </c>
      <c r="BA139" s="4283">
        <f t="shared" si="116"/>
        <v>68.886728071467473</v>
      </c>
      <c r="BB139" s="4283">
        <f t="shared" si="111"/>
        <v>87.403149466188296</v>
      </c>
      <c r="BC139" s="4283">
        <f t="shared" si="111"/>
        <v>72.449808709311696</v>
      </c>
      <c r="BD139" s="4283">
        <f t="shared" si="111"/>
        <v>87.403149466188296</v>
      </c>
      <c r="BE139" s="4283">
        <f t="shared" si="111"/>
        <v>77.221263206828411</v>
      </c>
      <c r="BF139" s="4283">
        <f t="shared" si="111"/>
        <v>85.915026563893434</v>
      </c>
      <c r="BG139" s="4283">
        <f t="shared" si="111"/>
        <v>79.571087889118232</v>
      </c>
      <c r="BH139" s="23"/>
      <c r="BI139" s="23"/>
      <c r="BJ139" s="23"/>
      <c r="BK139" s="1111"/>
    </row>
    <row r="140" spans="1:64" x14ac:dyDescent="0.3">
      <c r="B140" s="4294" t="s">
        <v>306</v>
      </c>
      <c r="C140" s="4276"/>
      <c r="D140" s="4276"/>
      <c r="E140" s="4060" t="s">
        <v>298</v>
      </c>
      <c r="F140" s="4289">
        <f>+EMD!D37/(EMD!D3*24)</f>
        <v>4.033476931453789</v>
      </c>
      <c r="G140" s="4289">
        <f>+EMD!E37/(EMD!E3*24)</f>
        <v>2.9945416666666671</v>
      </c>
      <c r="H140" s="4289">
        <f>+EMD!F37/(EMD!F3*24)</f>
        <v>3.8871321600694859</v>
      </c>
      <c r="I140" s="4289">
        <f>+EMD!G37/(EMD!G3*24)</f>
        <v>0.88754032258064519</v>
      </c>
      <c r="J140" s="4290">
        <f t="shared" ref="J140:K143" si="117">+((F140*F$2)+(H140*H$2))/J$2</f>
        <v>3.9591049984552087</v>
      </c>
      <c r="K140" s="4290">
        <f t="shared" si="117"/>
        <v>1.9237704918032787</v>
      </c>
      <c r="L140" s="4289">
        <f>+EMD!J37/(EMD!J3*24)</f>
        <v>4.8283464365310635</v>
      </c>
      <c r="M140" s="4289">
        <f>+EMD!K37/(EMD!K3*24)</f>
        <v>2.6421467166146564</v>
      </c>
      <c r="N140" s="4291">
        <f t="shared" ref="N140:O143" si="118">+((F140*F$2)+(H140*H$2)+(L140*L$2))/N$2</f>
        <v>4.2456681099087872</v>
      </c>
      <c r="O140" s="4291">
        <f t="shared" si="118"/>
        <v>2.1605978186641726</v>
      </c>
      <c r="P140" s="4289">
        <f>+EMD!N37/(EMD!N3*24)</f>
        <v>4.8488428300598043</v>
      </c>
      <c r="Q140" s="4289">
        <f>+EMD!O37/(EMD!O3*24)</f>
        <v>2.1974074911076338</v>
      </c>
      <c r="R140" s="4290">
        <f t="shared" ref="R140:S143" si="119">+((N140*N$2)+(P140*P$2))/R$2</f>
        <v>4.3989338174881443</v>
      </c>
      <c r="S140" s="4290">
        <f t="shared" si="119"/>
        <v>2.1699510960883304</v>
      </c>
      <c r="T140" s="4289">
        <f>+EMD!R37/(EMD!R3*24)</f>
        <v>4.8488428300598043</v>
      </c>
      <c r="U140" s="4289">
        <f>+EMD!S37/(EMD!S3*24)</f>
        <v>2.5676655874248828</v>
      </c>
      <c r="V140" s="4290">
        <f t="shared" ref="V140:V143" si="120">+((R140*R$2)+(T140*T$2))/V$2</f>
        <v>4.4900918527150813</v>
      </c>
      <c r="W140" s="4290">
        <f t="shared" ref="W140:W143" si="121">+((S140*S$2)+(U140*U$2))/W$2</f>
        <v>2.2505337708035795</v>
      </c>
      <c r="X140" s="4289">
        <f>+EMD!V37/(EMD!V3*24)</f>
        <v>3.2964176326442676</v>
      </c>
      <c r="Y140" s="4289">
        <f>+EMD!W37/(EMD!W3*24)</f>
        <v>2.1528749999999999</v>
      </c>
      <c r="Z140" s="4291">
        <f t="shared" ref="Z140:AA143" si="122">+((P140*P$2)+(T140*T$2)+(X140*X$2))/Z$2</f>
        <v>4.3426172222069122</v>
      </c>
      <c r="AA140" s="4291">
        <f t="shared" si="122"/>
        <v>2.3076469068968266</v>
      </c>
      <c r="AB140" s="4292">
        <f t="shared" ref="AB140:AC143" si="123">+((N140*N$2)+(Z140*Z$2))/AB$2</f>
        <v>4.2944075543428166</v>
      </c>
      <c r="AC140" s="4292">
        <f t="shared" si="123"/>
        <v>2.2345241362456161</v>
      </c>
      <c r="AD140" s="4289">
        <f>+EMD!AB37/(EMD!AB3*24)</f>
        <v>4.9776283889238711</v>
      </c>
      <c r="AE140" s="4289">
        <f>+EMD!AC37/(EMD!AC3*24)</f>
        <v>1.2359408602150537</v>
      </c>
      <c r="AF140" s="4290">
        <f t="shared" ref="AF140:AF143" si="124">+((AB140*AB$2)+(AD140*AD$2))/AF$2</f>
        <v>4.3933787967353988</v>
      </c>
      <c r="AG140" s="4290">
        <f t="shared" ref="AG140:AG143" si="125">+((AC140*AC$2)+(AE140*AE$2))/AG$2</f>
        <v>2.0898695495309085</v>
      </c>
      <c r="AH140" s="4289">
        <f>+EMD!AF37/(EMD!AF3*24)</f>
        <v>4.9425633893571002</v>
      </c>
      <c r="AI140" s="4289">
        <f>+EMD!AG37/(EMD!AG3*24)</f>
        <v>2.1859999999999999</v>
      </c>
      <c r="AJ140" s="4290">
        <f t="shared" ref="AJ140:AJ143" si="126">+((AF140*AF$2)+(AH140*AH$2))/AJ$2</f>
        <v>4.4609014925495432</v>
      </c>
      <c r="AK140" s="4290">
        <f t="shared" ref="AK140:AK143" si="127">+((AG140*AG$2)+(AI140*AI$2))/AK$2</f>
        <v>2.1016888672115344</v>
      </c>
      <c r="AL140" s="4289">
        <f>+EMD!AJ37/(EMD!AJ3*24)</f>
        <v>4.9222167669784733</v>
      </c>
      <c r="AM140" s="4289">
        <f>+EMD!AK37/(EMD!AK3*24)</f>
        <v>1.8261835909662401</v>
      </c>
      <c r="AN140" s="4291">
        <f t="shared" ref="AN140:AN143" si="128">+((AD140*AD$2)+(AH140*AH$2)+(AL140*AL$2))/AN$2</f>
        <v>4.9475228425400619</v>
      </c>
      <c r="AO140" s="4291">
        <f t="shared" ref="AO140:AO143" si="129">+((AE140*AE$2)+(AI140*AI$2)+(AM140*AM$2))/AO$2</f>
        <v>1.7446288911589141</v>
      </c>
      <c r="AP140" s="4290">
        <f t="shared" ref="AP140:AQ143" si="130">+((AL140*AL$2)+(AJ140*AJ$2))/AP$2</f>
        <v>4.5129043053033495</v>
      </c>
      <c r="AQ140" s="4290">
        <f t="shared" si="130"/>
        <v>2.0706319087984286</v>
      </c>
      <c r="AR140" s="4289">
        <f>+EMD!AP37/(EMD!AP3*24)</f>
        <v>4.9113326157484076</v>
      </c>
      <c r="AS140" s="4289">
        <f>+EMD!AQ37/(EMD!AQ3*24)</f>
        <v>1.5919489247311829</v>
      </c>
      <c r="AT140" s="4290">
        <f t="shared" ref="AT140:AT143" si="131">+((AP140*AP$2)+(AR140*AR$2))/AT$2</f>
        <v>4.553267957668699</v>
      </c>
      <c r="AU140" s="4290">
        <f t="shared" ref="AU140:AU143" si="132">+((AQ140*AQ$2)+(AS140*AS$2))/AU$2</f>
        <v>2.0221378810007664</v>
      </c>
      <c r="AV140" s="4289">
        <f>+EMD!AT37/(EMD!AT3*24)</f>
        <v>5.0145762851239128</v>
      </c>
      <c r="AW140" s="4289">
        <f>+EMD!AU37/(EMD!AU3*24)</f>
        <v>2.2448214285714285</v>
      </c>
      <c r="AX140" s="4290">
        <f t="shared" ref="AX140:AX143" si="133">+((AT140*AT$2)+(AV140*AV$2))/AX$2</f>
        <v>4.5919405120661416</v>
      </c>
      <c r="AY140" s="4290">
        <f t="shared" ref="AY140:AY143" si="134">+((AU140*AU$2)+(AW140*AW$2))/AY$2</f>
        <v>2.0408059628330375</v>
      </c>
      <c r="AZ140" s="4289">
        <f>+EMD!AX37/(EMD!AX3*24)</f>
        <v>4.8965562100329114</v>
      </c>
      <c r="BA140" s="4289">
        <f>+EMD!AY37/(EMD!AY3*24)</f>
        <v>2.7250940860215054</v>
      </c>
      <c r="BB140" s="4291">
        <f t="shared" ref="BB140:BB143" si="135">+((AR140*AR$2)+(AV140*AV$2)+(AZ140*AZ$2))/BB$2</f>
        <v>4.938363217585449</v>
      </c>
      <c r="BC140" s="4291">
        <f t="shared" ref="BC140:BC143" si="136">+((AS140*AS$2)+(AW140*AW$2)+(BA140*BA$2))/BC$2</f>
        <v>2.1853703703703706</v>
      </c>
      <c r="BD140" s="4293">
        <f t="shared" ref="BD140:BE143" si="137">+((AN140*AN$2)+(BB140*BB$2))/BD$2</f>
        <v>4.9429933576723961</v>
      </c>
      <c r="BE140" s="4293">
        <f t="shared" si="137"/>
        <v>1.9625779742854585</v>
      </c>
      <c r="BF140" s="4290">
        <f>+((AX140*AX$2)+(AZ140*AZ$2))/BF$2</f>
        <v>4.6178119823044153</v>
      </c>
      <c r="BG140" s="4297">
        <f>+((AY140*AY$2)+(BA140*BA$2))/BG$2</f>
        <v>2.098923584254524</v>
      </c>
      <c r="BH140" s="23"/>
      <c r="BI140" s="23"/>
      <c r="BJ140" s="23"/>
      <c r="BK140" s="1111"/>
    </row>
    <row r="141" spans="1:64" x14ac:dyDescent="0.3">
      <c r="B141" s="4294" t="s">
        <v>307</v>
      </c>
      <c r="C141" s="4276"/>
      <c r="D141" s="4276"/>
      <c r="E141" s="4060" t="s">
        <v>298</v>
      </c>
      <c r="F141" s="4289">
        <f>+EMD!D67/(EMD!D3*24)</f>
        <v>9.4525942868918484</v>
      </c>
      <c r="G141" s="4289">
        <f>+EMD!E67/(EMD!E3*24)</f>
        <v>4.7503472222222225</v>
      </c>
      <c r="H141" s="4289">
        <f>+EMD!F67/(EMD!F3*24)</f>
        <v>9.253819434132744</v>
      </c>
      <c r="I141" s="4289">
        <f>+EMD!G67/(EMD!G3*24)</f>
        <v>1.8400537634408602</v>
      </c>
      <c r="J141" s="4279">
        <f t="shared" si="117"/>
        <v>9.3515775584404999</v>
      </c>
      <c r="K141" s="4279">
        <f t="shared" si="117"/>
        <v>3.2713456284153009</v>
      </c>
      <c r="L141" s="4289">
        <f>+EMD!J67/(EMD!J3*24)</f>
        <v>8.68874459639615</v>
      </c>
      <c r="M141" s="4289">
        <f>+EMD!K67/(EMD!K3*24)</f>
        <v>5.2854343880576655</v>
      </c>
      <c r="N141" s="4291">
        <f t="shared" si="118"/>
        <v>9.1330611973269775</v>
      </c>
      <c r="O141" s="4291">
        <f t="shared" si="118"/>
        <v>3.9353309337919047</v>
      </c>
      <c r="P141" s="4289">
        <f>+EMD!N67/(EMD!N3*24)</f>
        <v>8.8336698968186713</v>
      </c>
      <c r="Q141" s="4289">
        <f>+EMD!O67/(EMD!O3*24)</f>
        <v>5.3791858521565823</v>
      </c>
      <c r="R141" s="4279">
        <f t="shared" si="119"/>
        <v>9.0569863586732282</v>
      </c>
      <c r="S141" s="4279">
        <f t="shared" si="119"/>
        <v>4.302212101573093</v>
      </c>
      <c r="T141" s="4289">
        <f>+EMD!R67/(EMD!R3*24)</f>
        <v>8.8336698968186713</v>
      </c>
      <c r="U141" s="4289">
        <f>+EMD!S67/(EMD!S3*24)</f>
        <v>4.9984891220410299</v>
      </c>
      <c r="V141" s="4279">
        <f t="shared" si="120"/>
        <v>9.0117392324151169</v>
      </c>
      <c r="W141" s="4279">
        <f t="shared" si="121"/>
        <v>4.4432878377463352</v>
      </c>
      <c r="X141" s="4289">
        <f>+EMD!V67/(EMD!V3*24)</f>
        <v>4.9448682446162646</v>
      </c>
      <c r="Y141" s="4289">
        <f>+EMD!W67/(EMD!W3*24)</f>
        <v>5.2261249999999997</v>
      </c>
      <c r="Z141" s="4280">
        <f t="shared" si="122"/>
        <v>7.5655824015352788</v>
      </c>
      <c r="AA141" s="4280">
        <f t="shared" si="122"/>
        <v>5.2009964586970208</v>
      </c>
      <c r="AB141" s="4292">
        <f t="shared" si="123"/>
        <v>8.3450390704808779</v>
      </c>
      <c r="AC141" s="4292">
        <f t="shared" si="123"/>
        <v>4.5716217987715257</v>
      </c>
      <c r="AD141" s="4289">
        <f>+EMD!AB67/(EMD!AB3*24)</f>
        <v>9.1406564827310568</v>
      </c>
      <c r="AE141" s="4289">
        <f>+EMD!AC67/(EMD!AC3*24)</f>
        <v>3.7866935483870972</v>
      </c>
      <c r="AF141" s="4279">
        <f t="shared" si="124"/>
        <v>8.4602920601059051</v>
      </c>
      <c r="AG141" s="4279">
        <f t="shared" si="125"/>
        <v>4.4579172391363979</v>
      </c>
      <c r="AH141" s="4289">
        <f>+EMD!AF67/(EMD!AF3*24)</f>
        <v>10.522803228320656</v>
      </c>
      <c r="AI141" s="4289">
        <f>+EMD!AG67/(EMD!AG3*24)</f>
        <v>3.5379444444444448</v>
      </c>
      <c r="AJ141" s="4279">
        <f t="shared" si="126"/>
        <v>8.7138794988208339</v>
      </c>
      <c r="AK141" s="4279">
        <f t="shared" si="127"/>
        <v>4.3448058299529606</v>
      </c>
      <c r="AL141" s="4289">
        <f>+EMD!AJ67/(EMD!AJ3*24)</f>
        <v>10.480268488816961</v>
      </c>
      <c r="AM141" s="4289">
        <f>+EMD!AK67/(EMD!AK3*24)</f>
        <v>3.9505855432478936</v>
      </c>
      <c r="AN141" s="4280">
        <f t="shared" si="128"/>
        <v>10.042747510517481</v>
      </c>
      <c r="AO141" s="4280">
        <f t="shared" si="129"/>
        <v>3.7608041866741093</v>
      </c>
      <c r="AP141" s="4279">
        <f t="shared" si="130"/>
        <v>8.9129997122385802</v>
      </c>
      <c r="AQ141" s="4279">
        <f t="shared" si="130"/>
        <v>4.3003664521789347</v>
      </c>
      <c r="AR141" s="4289">
        <f>+EMD!AP67/(EMD!AP3*24)</f>
        <v>10.48603922911099</v>
      </c>
      <c r="AS141" s="4289">
        <f>+EMD!AQ67/(EMD!AQ3*24)</f>
        <v>5.591411290322581</v>
      </c>
      <c r="AT141" s="4279">
        <f t="shared" si="131"/>
        <v>9.0723599247321918</v>
      </c>
      <c r="AU141" s="4279">
        <f t="shared" si="132"/>
        <v>4.4311585763045986</v>
      </c>
      <c r="AV141" s="4289">
        <f>+EMD!AT67/(EMD!AT3*24)</f>
        <v>10.991464198483637</v>
      </c>
      <c r="AW141" s="4289">
        <f>+EMD!AU67/(EMD!AU3*24)</f>
        <v>4.808139880952381</v>
      </c>
      <c r="AX141" s="4279">
        <f t="shared" si="133"/>
        <v>9.2332429177412951</v>
      </c>
      <c r="AY141" s="4279">
        <f t="shared" si="134"/>
        <v>4.4627617994487236</v>
      </c>
      <c r="AZ141" s="4289">
        <f>+EMD!AX67/(EMD!AX3*24)</f>
        <v>9.2052985858684071</v>
      </c>
      <c r="BA141" s="4289">
        <f>+EMD!AY67/(EMD!AY3*24)</f>
        <v>4.242620967741936</v>
      </c>
      <c r="BB141" s="4280">
        <f t="shared" si="135"/>
        <v>10.202138553576702</v>
      </c>
      <c r="BC141" s="4280">
        <f t="shared" si="136"/>
        <v>4.8831435185185192</v>
      </c>
      <c r="BD141" s="4293">
        <f t="shared" si="137"/>
        <v>10.121567257085227</v>
      </c>
      <c r="BE141" s="4293">
        <f t="shared" si="137"/>
        <v>4.3158071529707955</v>
      </c>
      <c r="BF141" s="4279">
        <f>+((AX141*AX$2)+(AZ141*AZ$2))/BF$2</f>
        <v>9.2308695635274347</v>
      </c>
      <c r="BG141" s="4295">
        <f>+((AY141*AY$2)+(BA141*BA$2))/BG$2</f>
        <v>4.4440649068928044</v>
      </c>
      <c r="BH141" s="23"/>
      <c r="BI141" s="23"/>
      <c r="BJ141" s="23"/>
      <c r="BK141" s="1111"/>
    </row>
    <row r="142" spans="1:64" x14ac:dyDescent="0.3">
      <c r="B142" s="4294" t="s">
        <v>1831</v>
      </c>
      <c r="C142" s="4276"/>
      <c r="D142" s="4276"/>
      <c r="E142" s="4060" t="s">
        <v>298</v>
      </c>
      <c r="F142" s="4289">
        <f>+EMD!D85/(EMD!D3*24)</f>
        <v>0</v>
      </c>
      <c r="G142" s="4289">
        <f>+EMD!E85/(EMD!E3*24)</f>
        <v>4.3315277777777776</v>
      </c>
      <c r="H142" s="4289">
        <f>+EMD!F85/(EMD!F3*24)</f>
        <v>0</v>
      </c>
      <c r="I142" s="4289">
        <f>+EMD!G85/(EMD!G3*24)</f>
        <v>0.37110215053763446</v>
      </c>
      <c r="J142" s="4279">
        <f t="shared" ref="J142" si="138">+((F142*F$2)+(H142*H$2))/J$2</f>
        <v>0</v>
      </c>
      <c r="K142" s="4279">
        <f t="shared" ref="K142" si="139">+((G142*G$2)+(I142*I$2))/K$2</f>
        <v>2.3188524590163935</v>
      </c>
      <c r="L142" s="4289">
        <f>+EMD!J85/(EMD!J3*24)</f>
        <v>1.4933030216075458</v>
      </c>
      <c r="M142" s="4289">
        <f>+EMD!K85/(EMD!K3*24)</f>
        <v>4.9633429944973235</v>
      </c>
      <c r="N142" s="4291">
        <f t="shared" ref="N142" si="140">+((F142*F$2)+(H142*H$2)+(L142*L$2))/N$2</f>
        <v>0.49229769943105905</v>
      </c>
      <c r="O142" s="4291">
        <f t="shared" ref="O142" si="141">+((G142*G$2)+(I142*I$2)+(M142*M$2))/O$2</f>
        <v>3.1906625256584582</v>
      </c>
      <c r="P142" s="4289">
        <f>+EMD!N85/(EMD!N3*24)</f>
        <v>1.4996421123896297</v>
      </c>
      <c r="Q142" s="4289">
        <f>+EMD!O85/(EMD!O3*24)</f>
        <v>4.2916563007631972</v>
      </c>
      <c r="R142" s="4279">
        <f t="shared" ref="R142" si="142">+((N142*N$2)+(P142*P$2))/R$2</f>
        <v>0.74826226337954838</v>
      </c>
      <c r="S142" s="4279">
        <f t="shared" ref="S142" si="143">+((O142*O$2)+(Q142*Q$2))/S$2</f>
        <v>3.4704232390047438</v>
      </c>
      <c r="T142" s="4289">
        <f>+EMD!R85/(EMD!R3*24)</f>
        <v>1.4996421123896297</v>
      </c>
      <c r="U142" s="4289">
        <f>+EMD!S85/(EMD!S3*24)</f>
        <v>4.2114650927811903</v>
      </c>
      <c r="V142" s="4279">
        <f t="shared" ref="V142" si="144">+((R142*R$2)+(T142*T$2))/V$2</f>
        <v>0.90050262494368238</v>
      </c>
      <c r="W142" s="4279">
        <f t="shared" ref="W142" si="145">+((S142*S$2)+(U142*U$2))/W$2</f>
        <v>3.6205689740836315</v>
      </c>
      <c r="X142" s="4289">
        <f>+EMD!V85/(EMD!V3*24)</f>
        <v>0</v>
      </c>
      <c r="Y142" s="4289">
        <f>+EMD!W85/(EMD!W3*24)</f>
        <v>5.5175000000000001</v>
      </c>
      <c r="Z142" s="4280">
        <f t="shared" ref="Z142" si="146">+((P142*P$2)+(T142*T$2)+(X142*X$2))/Z$2</f>
        <v>1.0106283800886635</v>
      </c>
      <c r="AA142" s="4280">
        <f t="shared" ref="AA142" si="147">+((Q142*Q$2)+(U142*U$2)+(Y142*Y$2))/AA$2</f>
        <v>4.6643669913029999</v>
      </c>
      <c r="AB142" s="4292">
        <f t="shared" ref="AB142" si="148">+((N142*N$2)+(Z142*Z$2))/AB$2</f>
        <v>0.75287924380537385</v>
      </c>
      <c r="AC142" s="4292">
        <f t="shared" ref="AC142" si="149">+((O142*O$2)+(AA142*AA$2))/AC$2</f>
        <v>3.9315412734141839</v>
      </c>
      <c r="AD142" s="4289">
        <f>+EMD!AB85/(EMD!AB3*24)</f>
        <v>1.5394726976053212</v>
      </c>
      <c r="AE142" s="4289">
        <f>+EMD!AC85/(EMD!AC3*24)</f>
        <v>3.2220430107526878</v>
      </c>
      <c r="AF142" s="4279">
        <f t="shared" ref="AF142" si="150">+((AB142*AB$2)+(AD142*AD$2))/AF$2</f>
        <v>0.8668250244960205</v>
      </c>
      <c r="AG142" s="4279">
        <f t="shared" ref="AG142" si="151">+((AC142*AC$2)+(AE142*AE$2))/AG$2</f>
        <v>3.8287634877015373</v>
      </c>
      <c r="AH142" s="4289">
        <f>+EMD!AF85/(EMD!AF3*24)</f>
        <v>0</v>
      </c>
      <c r="AI142" s="4289">
        <f>+EMD!AG85/(EMD!AG3*24)</f>
        <v>6.9887499999999996</v>
      </c>
      <c r="AJ142" s="4279">
        <f t="shared" ref="AJ142" si="152">+((AF142*AF$2)+(AH142*AH$2))/AJ$2</f>
        <v>0.76024817722191962</v>
      </c>
      <c r="AK142" s="4279">
        <f t="shared" ref="AK142" si="153">+((AG142*AG$2)+(AI142*AI$2))/AK$2</f>
        <v>4.2172864195415123</v>
      </c>
      <c r="AL142" s="4289">
        <f>+EMD!AJ85/(EMD!AJ3*24)</f>
        <v>0</v>
      </c>
      <c r="AM142" s="4289">
        <f>+EMD!AK85/(EMD!AK3*24)</f>
        <v>7.0640821918841787</v>
      </c>
      <c r="AN142" s="4280">
        <f t="shared" ref="AN142" si="154">+((AD142*AD$2)+(AH142*AH$2)+(AL142*AL$2))/AN$2</f>
        <v>0.51873536549744526</v>
      </c>
      <c r="AO142" s="4280">
        <f t="shared" ref="AO142" si="155">+((AE142*AE$2)+(AI142*AI$2)+(AM142*AM$2))/AO$2</f>
        <v>5.744917187845032</v>
      </c>
      <c r="AP142" s="4279">
        <f t="shared" ref="AP142" si="156">+((AL142*AL$2)+(AJ142*AJ$2))/AP$2</f>
        <v>0.67454747360781231</v>
      </c>
      <c r="AQ142" s="4279">
        <f t="shared" ref="AQ142" si="157">+((AM142*AM$2)+(AK142*AK$2))/AQ$2</f>
        <v>4.538197942969231</v>
      </c>
      <c r="AR142" s="4289">
        <f>+EMD!AP85/(EMD!AP3*24)</f>
        <v>0</v>
      </c>
      <c r="AS142" s="4289">
        <f>+EMD!AQ85/(EMD!AQ3*24)</f>
        <v>7.4376344086021513</v>
      </c>
      <c r="AT142" s="4279">
        <f t="shared" ref="AT142" si="158">+((AP142*AP$2)+(AR142*AR$2))/AT$2</f>
        <v>0.60621096484362214</v>
      </c>
      <c r="AU142" s="4279">
        <f t="shared" ref="AU142" si="159">+((AQ142*AQ$2)+(AS142*AS$2))/AU$2</f>
        <v>4.8319317025594932</v>
      </c>
      <c r="AV142" s="4289">
        <f>+EMD!AT85/(EMD!AT3*24)</f>
        <v>0</v>
      </c>
      <c r="AW142" s="4289">
        <f>+EMD!AU85/(EMD!AU3*24)</f>
        <v>6.9921130952380945</v>
      </c>
      <c r="AX142" s="4279">
        <f t="shared" si="133"/>
        <v>0.55539088395852809</v>
      </c>
      <c r="AY142" s="4279">
        <f t="shared" si="134"/>
        <v>5.0130247534427292</v>
      </c>
      <c r="AZ142" s="4289">
        <f>+EMD!AX85/(EMD!AX3*24)</f>
        <v>1.5143988278452305</v>
      </c>
      <c r="BA142" s="4289">
        <f>+EMD!AY85/(EMD!AY3*24)</f>
        <v>6.2415322580645158</v>
      </c>
      <c r="BB142" s="4280">
        <f>+EMD!AZ85/(EMD!AZ3*24)</f>
        <v>0.52162626292446823</v>
      </c>
      <c r="BC142" s="4280">
        <f>+EMD!BA85/(EMD!BA3*24)</f>
        <v>6.8870370370370368</v>
      </c>
      <c r="BD142" s="4293">
        <f>+EMD!BB85/(EMD!BB3*24)</f>
        <v>0.52016493015915999</v>
      </c>
      <c r="BE142" s="4293">
        <f>+EMD!BC85/(EMD!BC3*24)</f>
        <v>6.3097017286542645</v>
      </c>
      <c r="BF142" s="4279">
        <f>+EMD!BD85/(EMD!BD3*24)</f>
        <v>0.63684087371328912</v>
      </c>
      <c r="BG142" s="4295">
        <f>+EMD!BE85/(EMD!BE3*24)</f>
        <v>5.1173637469859505</v>
      </c>
      <c r="BH142" s="23"/>
      <c r="BI142" s="23"/>
      <c r="BJ142" s="23"/>
      <c r="BK142" s="1111"/>
    </row>
    <row r="143" spans="1:64" x14ac:dyDescent="0.3">
      <c r="B143" s="4294" t="s">
        <v>308</v>
      </c>
      <c r="C143" s="4276"/>
      <c r="D143" s="4276"/>
      <c r="E143" s="4060" t="s">
        <v>298</v>
      </c>
      <c r="F143" s="4289">
        <f>+EMD!D106/(EMD!D3*24)</f>
        <v>1.9398814431324951</v>
      </c>
      <c r="G143" s="4289">
        <f>+EMD!E106/(EMD!E3*24)</f>
        <v>1.2255888888888888</v>
      </c>
      <c r="H143" s="4289">
        <f>+EMD!F106/(EMD!F3*24)</f>
        <v>1.9172013544496291</v>
      </c>
      <c r="I143" s="4289">
        <f>+EMD!G106/(EMD!G3*24)</f>
        <v>0.44434139784946231</v>
      </c>
      <c r="J143" s="4279">
        <f t="shared" si="117"/>
        <v>1.9283554964248091</v>
      </c>
      <c r="K143" s="4290">
        <f t="shared" si="117"/>
        <v>0.82856147540983605</v>
      </c>
      <c r="L143" s="4289">
        <f>+EMD!J106/(EMD!J3*24)</f>
        <v>1.6764625636207104</v>
      </c>
      <c r="M143" s="4289">
        <f>+EMD!K106/(EMD!K3*24)</f>
        <v>1.6764927955556788</v>
      </c>
      <c r="N143" s="4291">
        <f t="shared" si="118"/>
        <v>1.8453138702256555</v>
      </c>
      <c r="O143" s="4291">
        <f t="shared" si="118"/>
        <v>1.108099273260114</v>
      </c>
      <c r="P143" s="4289">
        <f>+EMD!N106/(EMD!N3*24)</f>
        <v>1.7193237289601051</v>
      </c>
      <c r="Q143" s="4289">
        <f>+EMD!O106/(EMD!O3*24)</f>
        <v>1.6744247849513554</v>
      </c>
      <c r="R143" s="4279">
        <f t="shared" si="119"/>
        <v>1.8132999818712945</v>
      </c>
      <c r="S143" s="4279">
        <f t="shared" si="119"/>
        <v>1.2520016573783803</v>
      </c>
      <c r="T143" s="4289">
        <f>+EMD!R106/(EMD!R3*24)</f>
        <v>1.7193237289601051</v>
      </c>
      <c r="U143" s="4289">
        <f>+EMD!S106/(EMD!S3*24)</f>
        <v>1.5263112720725411</v>
      </c>
      <c r="V143" s="4279">
        <f t="shared" si="120"/>
        <v>1.7942590417389619</v>
      </c>
      <c r="W143" s="4279">
        <f t="shared" si="121"/>
        <v>1.3075807296366742</v>
      </c>
      <c r="X143" s="4289">
        <f>+EMD!V106/(EMD!V3*24)</f>
        <v>0.66552505075814328</v>
      </c>
      <c r="Y143" s="4289">
        <f>+EMD!W106/(EMD!W3*24)</f>
        <v>1.7811250000000001</v>
      </c>
      <c r="Z143" s="4280">
        <f t="shared" si="122"/>
        <v>1.3756937251985959</v>
      </c>
      <c r="AA143" s="4280">
        <f t="shared" si="122"/>
        <v>1.6593105192145738</v>
      </c>
      <c r="AB143" s="4292">
        <f t="shared" si="123"/>
        <v>1.6092206825617787</v>
      </c>
      <c r="AC143" s="4292">
        <f t="shared" si="123"/>
        <v>1.3852109378929571</v>
      </c>
      <c r="AD143" s="4289">
        <f>+EMD!AB106/(EMD!AB3*24)</f>
        <v>1.7889299850398379</v>
      </c>
      <c r="AE143" s="4289">
        <f>+EMD!AC106/(EMD!AC3*24)</f>
        <v>1.2390456989247312</v>
      </c>
      <c r="AF143" s="4279">
        <f t="shared" si="124"/>
        <v>1.6352533385282264</v>
      </c>
      <c r="AG143" s="4279">
        <f t="shared" si="125"/>
        <v>1.3640374686966255</v>
      </c>
      <c r="AH143" s="4289">
        <f>+EMD!AF106/(EMD!AF3*24)</f>
        <v>2.0263223132504908</v>
      </c>
      <c r="AI143" s="4289">
        <f>+EMD!AG106/(EMD!AG3*24)</f>
        <v>1.7361805555555554</v>
      </c>
      <c r="AJ143" s="4279">
        <f t="shared" si="126"/>
        <v>1.6833355895186688</v>
      </c>
      <c r="AK143" s="4279">
        <f t="shared" si="127"/>
        <v>1.4097927662612479</v>
      </c>
      <c r="AL143" s="4289">
        <f>+EMD!AJ106/(EMD!AJ3*24)</f>
        <v>2.0182399658345651</v>
      </c>
      <c r="AM143" s="4289">
        <f>+EMD!AK106/(EMD!AK3*24)</f>
        <v>2.0761883622238662</v>
      </c>
      <c r="AN143" s="4280">
        <f t="shared" si="128"/>
        <v>1.9436080203763175</v>
      </c>
      <c r="AO143" s="4280">
        <f t="shared" si="129"/>
        <v>1.6832355713290565</v>
      </c>
      <c r="AP143" s="4279">
        <f t="shared" si="130"/>
        <v>1.7210884464851881</v>
      </c>
      <c r="AQ143" s="4279">
        <f t="shared" si="130"/>
        <v>1.4849137243515795</v>
      </c>
      <c r="AR143" s="4289">
        <f>+EMD!AP106/(EMD!AP3*24)</f>
        <v>2.0182399658345651</v>
      </c>
      <c r="AS143" s="4289">
        <f>+EMD!AQ106/(EMD!AQ3*24)</f>
        <v>2.3847916666666666</v>
      </c>
      <c r="AT143" s="4279">
        <f t="shared" si="131"/>
        <v>1.7511920317787524</v>
      </c>
      <c r="AU143" s="4279">
        <f t="shared" si="132"/>
        <v>1.5760778296187943</v>
      </c>
      <c r="AV143" s="4289">
        <f>+EMD!AT106/(EMD!AT3*24)</f>
        <v>2.1601745761207254</v>
      </c>
      <c r="AW143" s="4289">
        <f>+EMD!AU106/(EMD!AU3*24)</f>
        <v>1.862264880952381</v>
      </c>
      <c r="AX143" s="4279">
        <f t="shared" si="133"/>
        <v>1.7854779935798759</v>
      </c>
      <c r="AY143" s="4279">
        <f t="shared" si="134"/>
        <v>1.6000695584731068</v>
      </c>
      <c r="AZ143" s="4289">
        <f>+EMD!AX106/(EMD!AX3*24)</f>
        <v>1.8304339305535384</v>
      </c>
      <c r="BA143" s="4289">
        <f>+EMD!AY106/(EMD!AY3*24)</f>
        <v>1.3628857526881719</v>
      </c>
      <c r="BB143" s="4280">
        <f t="shared" si="135"/>
        <v>1.9977086546601279</v>
      </c>
      <c r="BC143" s="4280">
        <f t="shared" si="136"/>
        <v>1.8702379629629629</v>
      </c>
      <c r="BD143" s="4293">
        <f t="shared" si="137"/>
        <v>1.970361081285894</v>
      </c>
      <c r="BE143" s="4293">
        <f t="shared" si="137"/>
        <v>1.7757092814776916</v>
      </c>
      <c r="BF143" s="4279">
        <f>+((AX143*AX$2)+(AZ143*AZ$2))/BF$2</f>
        <v>1.7892961690488718</v>
      </c>
      <c r="BG143" s="4295">
        <f>+((AY143*AY$2)+(BA143*BA$2))/BG$2</f>
        <v>1.5799251804475369</v>
      </c>
      <c r="BH143" s="23"/>
      <c r="BI143" s="23"/>
      <c r="BJ143" s="23"/>
      <c r="BK143" s="1111"/>
    </row>
    <row r="144" spans="1:64" ht="15" thickBot="1" x14ac:dyDescent="0.35">
      <c r="A144" s="137"/>
      <c r="B144" s="4298" t="s">
        <v>309</v>
      </c>
      <c r="C144" s="4299"/>
      <c r="D144" s="4299"/>
      <c r="E144" s="4073" t="s">
        <v>525</v>
      </c>
      <c r="F144" s="4304">
        <f t="shared" ref="F144:G144" si="160">+F121/F135</f>
        <v>124.44444444444444</v>
      </c>
      <c r="G144" s="4304">
        <f t="shared" si="160"/>
        <v>111.86413070681192</v>
      </c>
      <c r="H144" s="4300">
        <f t="shared" ref="H144:I144" si="161">+H121/H135</f>
        <v>132.22222222222223</v>
      </c>
      <c r="I144" s="4300">
        <f t="shared" si="161"/>
        <v>95.926415781487094</v>
      </c>
      <c r="J144" s="4301">
        <f t="shared" ref="J144:AM144" si="162">+J121/J135</f>
        <v>128.33333333333334</v>
      </c>
      <c r="K144" s="4301">
        <f t="shared" si="162"/>
        <v>108.8425601327199</v>
      </c>
      <c r="L144" s="4300">
        <f t="shared" si="162"/>
        <v>115.74074074074075</v>
      </c>
      <c r="M144" s="4300">
        <f t="shared" si="162"/>
        <v>115.29320386441785</v>
      </c>
      <c r="N144" s="4302">
        <f t="shared" si="162"/>
        <v>123.61111111111111</v>
      </c>
      <c r="O144" s="4302">
        <f t="shared" si="162"/>
        <v>110.1779958878881</v>
      </c>
      <c r="P144" s="4300">
        <f t="shared" ref="P144:Q144" si="163">+P121/P135</f>
        <v>116.07142857142857</v>
      </c>
      <c r="Q144" s="4300">
        <f t="shared" si="163"/>
        <v>107.22079862842892</v>
      </c>
      <c r="R144" s="4301">
        <f t="shared" si="162"/>
        <v>121.5</v>
      </c>
      <c r="S144" s="4301">
        <f t="shared" si="162"/>
        <v>106.17644578215297</v>
      </c>
      <c r="T144" s="4300">
        <f t="shared" si="162"/>
        <v>116.07142857142857</v>
      </c>
      <c r="U144" s="4300">
        <f t="shared" si="162"/>
        <v>100.58050509626275</v>
      </c>
      <c r="V144" s="4301">
        <f t="shared" si="162"/>
        <v>120.3125</v>
      </c>
      <c r="W144" s="4301">
        <f t="shared" si="162"/>
        <v>104.97968666134277</v>
      </c>
      <c r="X144" s="4300">
        <f t="shared" ref="X144:Y144" si="164">+X121/X135</f>
        <v>111.66666666666667</v>
      </c>
      <c r="Y144" s="4300">
        <f t="shared" si="164"/>
        <v>110.20583982365905</v>
      </c>
      <c r="Z144" s="4302">
        <f t="shared" si="162"/>
        <v>115.14084507042253</v>
      </c>
      <c r="AA144" s="4302">
        <f t="shared" si="162"/>
        <v>106.11754003963165</v>
      </c>
      <c r="AB144" s="4303">
        <f t="shared" si="162"/>
        <v>119.4055944055944</v>
      </c>
      <c r="AC144" s="4303">
        <f t="shared" si="162"/>
        <v>107.87236197745304</v>
      </c>
      <c r="AD144" s="4300">
        <f t="shared" si="162"/>
        <v>119.64285714285714</v>
      </c>
      <c r="AE144" s="4300">
        <f t="shared" si="162"/>
        <v>119.47591943605239</v>
      </c>
      <c r="AF144" s="4301">
        <f t="shared" si="162"/>
        <v>119.44444444444444</v>
      </c>
      <c r="AG144" s="4301">
        <f t="shared" si="162"/>
        <v>108.91366258668842</v>
      </c>
      <c r="AH144" s="4300">
        <f t="shared" ref="AH144:AI144" si="165">+AH121/AH135</f>
        <v>120.37037037037037</v>
      </c>
      <c r="AI144" s="4300">
        <f t="shared" si="165"/>
        <v>105.27906437768243</v>
      </c>
      <c r="AJ144" s="4301">
        <f t="shared" si="162"/>
        <v>119.57070707070707</v>
      </c>
      <c r="AK144" s="4301">
        <f t="shared" si="162"/>
        <v>108.38966851847158</v>
      </c>
      <c r="AL144" s="4300">
        <f t="shared" si="162"/>
        <v>120.53571428571429</v>
      </c>
      <c r="AM144" s="4300">
        <f t="shared" si="162"/>
        <v>104.21999016554662</v>
      </c>
      <c r="AN144" s="4302">
        <f t="shared" ref="AN144:BE144" si="166">+AN121/AN135</f>
        <v>120.18072289156626</v>
      </c>
      <c r="AO144" s="4302">
        <f t="shared" si="166"/>
        <v>107.72120038167937</v>
      </c>
      <c r="AP144" s="4301">
        <f t="shared" si="166"/>
        <v>119.69026548672566</v>
      </c>
      <c r="AQ144" s="4301">
        <f t="shared" si="166"/>
        <v>107.822954689328</v>
      </c>
      <c r="AR144" s="4304">
        <f t="shared" si="166"/>
        <v>121.42857142857143</v>
      </c>
      <c r="AS144" s="4304">
        <f t="shared" si="166"/>
        <v>106.31541577287064</v>
      </c>
      <c r="AT144" s="4301">
        <f t="shared" si="166"/>
        <v>119.88188976377953</v>
      </c>
      <c r="AU144" s="4301">
        <f t="shared" si="166"/>
        <v>107.63638458567891</v>
      </c>
      <c r="AV144" s="4304">
        <f t="shared" ref="AV144:AW144" si="167">+AV121/AV135</f>
        <v>122</v>
      </c>
      <c r="AW144" s="4304">
        <f t="shared" si="167"/>
        <v>113.39707103064063</v>
      </c>
      <c r="AX144" s="4301">
        <f t="shared" si="166"/>
        <v>120.07168458781362</v>
      </c>
      <c r="AY144" s="4301">
        <f t="shared" si="166"/>
        <v>108.21717535709178</v>
      </c>
      <c r="AZ144" s="4304">
        <f t="shared" si="166"/>
        <v>122.32142857142857</v>
      </c>
      <c r="BA144" s="4304">
        <f t="shared" si="166"/>
        <v>119.05717573090223</v>
      </c>
      <c r="BB144" s="4302">
        <f t="shared" si="166"/>
        <v>121.91358024691358</v>
      </c>
      <c r="BC144" s="4302">
        <f t="shared" si="166"/>
        <v>112.91522628212078</v>
      </c>
      <c r="BD144" s="4305">
        <f t="shared" si="166"/>
        <v>121.03658536585365</v>
      </c>
      <c r="BE144" s="4305">
        <f t="shared" si="166"/>
        <v>110.61415894679634</v>
      </c>
      <c r="BF144" s="4301">
        <f t="shared" ref="BF144:BG144" si="168">+BF121/BF135</f>
        <v>120.27687296416939</v>
      </c>
      <c r="BG144" s="4306">
        <f t="shared" si="168"/>
        <v>109.3060535528153</v>
      </c>
      <c r="BH144" s="23"/>
      <c r="BI144" s="23"/>
      <c r="BJ144" s="23"/>
      <c r="BK144" s="1111"/>
    </row>
    <row r="145" spans="2:63" ht="15" thickBot="1" x14ac:dyDescent="0.35">
      <c r="B145" s="142"/>
      <c r="C145" s="142"/>
      <c r="D145" s="142"/>
      <c r="E145" s="142"/>
      <c r="F145" s="142"/>
      <c r="G145" s="142"/>
      <c r="H145" s="142"/>
      <c r="I145" s="142"/>
      <c r="J145" s="142"/>
      <c r="K145" s="142"/>
      <c r="L145" s="142"/>
      <c r="M145" s="142"/>
      <c r="N145" s="142"/>
      <c r="O145" s="142"/>
      <c r="P145" s="142"/>
      <c r="Q145" s="142"/>
      <c r="R145" s="142"/>
      <c r="S145" s="142"/>
      <c r="T145" s="142"/>
      <c r="U145" s="142"/>
      <c r="V145" s="142"/>
      <c r="W145" s="142"/>
      <c r="X145" s="142"/>
      <c r="Y145" s="142"/>
      <c r="Z145" s="142"/>
      <c r="AA145" s="142"/>
      <c r="AB145" s="142"/>
      <c r="AC145" s="142"/>
      <c r="AD145" s="142"/>
      <c r="AE145" s="142"/>
      <c r="AF145" s="142"/>
      <c r="AG145" s="142"/>
      <c r="AH145" s="142"/>
      <c r="AI145" s="142"/>
      <c r="AJ145" s="142"/>
      <c r="AK145" s="142"/>
      <c r="AL145" s="142"/>
      <c r="AM145" s="142"/>
      <c r="AN145" s="142"/>
      <c r="AO145" s="142"/>
      <c r="AP145" s="142"/>
      <c r="AQ145" s="142"/>
      <c r="AR145" s="142"/>
      <c r="AS145" s="142"/>
      <c r="AT145" s="142"/>
      <c r="AU145" s="142"/>
      <c r="AV145" s="142"/>
      <c r="AW145" s="142"/>
      <c r="AX145" s="142"/>
      <c r="AY145" s="142"/>
      <c r="AZ145" s="142"/>
      <c r="BA145" s="142"/>
      <c r="BB145" s="142"/>
      <c r="BC145" s="142"/>
      <c r="BD145" s="142"/>
      <c r="BE145" s="142"/>
      <c r="BF145" s="142"/>
      <c r="BG145" s="142"/>
      <c r="BH145" s="23"/>
      <c r="BI145" s="23"/>
      <c r="BJ145" s="23"/>
      <c r="BK145" s="1111"/>
    </row>
    <row r="146" spans="2:63" x14ac:dyDescent="0.3">
      <c r="B146" s="959" t="s">
        <v>765</v>
      </c>
      <c r="C146" s="960"/>
      <c r="D146" s="960"/>
      <c r="E146" s="750" t="s">
        <v>50</v>
      </c>
      <c r="F146" s="960"/>
      <c r="G146" s="1463">
        <v>380.5</v>
      </c>
      <c r="H146" s="960"/>
      <c r="I146" s="1463">
        <v>228.28000000000011</v>
      </c>
      <c r="J146" s="962"/>
      <c r="K146" s="341">
        <f>+G146+I146</f>
        <v>608.78000000000009</v>
      </c>
      <c r="L146" s="960"/>
      <c r="M146" s="1463">
        <v>351.1119999999998</v>
      </c>
      <c r="N146" s="964"/>
      <c r="O146" s="574">
        <f>+G146+I146+M146</f>
        <v>959.89199999999983</v>
      </c>
      <c r="P146" s="960"/>
      <c r="Q146" s="1463">
        <v>367.42799999999977</v>
      </c>
      <c r="R146" s="962"/>
      <c r="S146" s="341">
        <f>+O146+Q146</f>
        <v>1327.3199999999997</v>
      </c>
      <c r="T146" s="960"/>
      <c r="U146" s="1463">
        <v>413.38599999999991</v>
      </c>
      <c r="V146" s="962"/>
      <c r="W146" s="341">
        <f>+S146+U146</f>
        <v>1740.7059999999997</v>
      </c>
      <c r="X146" s="960"/>
      <c r="Y146" s="1463">
        <v>335.19200000000001</v>
      </c>
      <c r="Z146" s="964"/>
      <c r="AA146" s="574">
        <f>+Q146+U146+Y146</f>
        <v>1116.0059999999996</v>
      </c>
      <c r="AB146" s="4217"/>
      <c r="AC146" s="955">
        <f>+AA146+O146</f>
        <v>2075.8979999999992</v>
      </c>
      <c r="AD146" s="960"/>
      <c r="AE146" s="1463">
        <v>347.14600000000013</v>
      </c>
      <c r="AF146" s="962"/>
      <c r="AG146" s="341">
        <f>+AC146+AE146</f>
        <v>2423.0439999999994</v>
      </c>
      <c r="AH146" s="960"/>
      <c r="AI146" s="1463">
        <v>516.70599999999968</v>
      </c>
      <c r="AJ146" s="962"/>
      <c r="AK146" s="341">
        <f>+AG146+AI146</f>
        <v>2939.7499999999991</v>
      </c>
      <c r="AL146" s="960"/>
      <c r="AM146" s="1463">
        <v>569.00999999999942</v>
      </c>
      <c r="AN146" s="964"/>
      <c r="AO146" s="574">
        <f>+AE146+AI146+AM146</f>
        <v>1432.8619999999992</v>
      </c>
      <c r="AP146" s="962"/>
      <c r="AQ146" s="341">
        <f t="shared" ref="AQ146:AQ147" si="169">AK146+AM146</f>
        <v>3508.7599999999984</v>
      </c>
      <c r="AR146" s="960"/>
      <c r="AS146" s="1463">
        <v>372.17500000000001</v>
      </c>
      <c r="AT146" s="962"/>
      <c r="AU146" s="341">
        <f>+AQ146+AS146</f>
        <v>3880.9349999999986</v>
      </c>
      <c r="AV146" s="960"/>
      <c r="AW146" s="1463">
        <v>343.34599999999983</v>
      </c>
      <c r="AX146" s="962"/>
      <c r="AY146" s="341">
        <f>+AU146+AW146</f>
        <v>4224.2809999999981</v>
      </c>
      <c r="AZ146" s="960"/>
      <c r="BA146" s="1463">
        <v>411.54599999999954</v>
      </c>
      <c r="BB146" s="964"/>
      <c r="BC146" s="574">
        <f>+AS146+AW146+BA146</f>
        <v>1127.0669999999993</v>
      </c>
      <c r="BD146" s="4218"/>
      <c r="BE146" s="4219">
        <f t="shared" ref="BE146:BE147" si="170">+AO146+BC146</f>
        <v>2559.9289999999983</v>
      </c>
      <c r="BF146" s="962"/>
      <c r="BG146" s="39">
        <f>+AY146+BA146</f>
        <v>4635.8269999999975</v>
      </c>
      <c r="BH146" s="23"/>
      <c r="BI146" s="23"/>
      <c r="BJ146" s="23"/>
      <c r="BK146" s="1111"/>
    </row>
    <row r="147" spans="2:63" x14ac:dyDescent="0.3">
      <c r="B147" s="4249" t="s">
        <v>763</v>
      </c>
      <c r="C147" s="4231"/>
      <c r="D147" s="4231"/>
      <c r="E147" s="4060" t="s">
        <v>50</v>
      </c>
      <c r="F147" s="4231"/>
      <c r="G147" s="4263">
        <v>1077.2809999999961</v>
      </c>
      <c r="H147" s="4231"/>
      <c r="I147" s="4263">
        <v>219.77900000000002</v>
      </c>
      <c r="J147" s="4242"/>
      <c r="K147" s="4119">
        <f>+G147+I147</f>
        <v>1297.0599999999961</v>
      </c>
      <c r="L147" s="4231"/>
      <c r="M147" s="4263">
        <v>1218.1929999999998</v>
      </c>
      <c r="N147" s="4243"/>
      <c r="O147" s="4126">
        <f>+G147+I147+M147</f>
        <v>2515.2529999999961</v>
      </c>
      <c r="P147" s="4231"/>
      <c r="Q147" s="4263">
        <v>1193.4615999999999</v>
      </c>
      <c r="R147" s="4242"/>
      <c r="S147" s="4119">
        <f>+O147+Q147</f>
        <v>3708.7145999999957</v>
      </c>
      <c r="T147" s="4231"/>
      <c r="U147" s="4263">
        <v>935.56900000000007</v>
      </c>
      <c r="V147" s="4242"/>
      <c r="W147" s="4119">
        <f>+S147+U147</f>
        <v>4644.2835999999961</v>
      </c>
      <c r="X147" s="4231"/>
      <c r="Y147" s="4263">
        <v>1042.048</v>
      </c>
      <c r="Z147" s="4243"/>
      <c r="AA147" s="4126">
        <f>+Q147+U147+Y147</f>
        <v>3171.0785999999998</v>
      </c>
      <c r="AB147" s="4213"/>
      <c r="AC147" s="4214">
        <f>+AA147+O147</f>
        <v>5686.3315999999959</v>
      </c>
      <c r="AD147" s="4231"/>
      <c r="AE147" s="4263">
        <v>616.35599999999954</v>
      </c>
      <c r="AF147" s="4242"/>
      <c r="AG147" s="4119">
        <f>+AC147+AE147</f>
        <v>6302.6875999999957</v>
      </c>
      <c r="AH147" s="4231"/>
      <c r="AI147" s="4263">
        <v>1025.548</v>
      </c>
      <c r="AJ147" s="4242"/>
      <c r="AK147" s="4119">
        <f>+AG147+AI147</f>
        <v>7328.2355999999954</v>
      </c>
      <c r="AL147" s="4231"/>
      <c r="AM147" s="4263">
        <v>1102.2280000000001</v>
      </c>
      <c r="AN147" s="4243"/>
      <c r="AO147" s="4126">
        <f>+AE147+AI147+AM147</f>
        <v>2744.1319999999996</v>
      </c>
      <c r="AP147" s="4242"/>
      <c r="AQ147" s="4119">
        <f t="shared" si="169"/>
        <v>8430.4635999999955</v>
      </c>
      <c r="AR147" s="4231"/>
      <c r="AS147" s="4263">
        <v>1176.5340000000015</v>
      </c>
      <c r="AT147" s="4242"/>
      <c r="AU147" s="4119">
        <f>+AQ147+AS147</f>
        <v>9606.997599999997</v>
      </c>
      <c r="AV147" s="4231"/>
      <c r="AW147" s="4263">
        <v>1123.5489999999991</v>
      </c>
      <c r="AX147" s="4242"/>
      <c r="AY147" s="4119">
        <f>+AU147+AW147</f>
        <v>10730.546599999996</v>
      </c>
      <c r="AZ147" s="4231"/>
      <c r="BA147" s="4263">
        <v>1307.7659999999917</v>
      </c>
      <c r="BB147" s="4243"/>
      <c r="BC147" s="4126">
        <f>+AS147+AW147+BA147</f>
        <v>3607.848999999992</v>
      </c>
      <c r="BD147" s="4215"/>
      <c r="BE147" s="4216">
        <f t="shared" si="170"/>
        <v>6351.9809999999916</v>
      </c>
      <c r="BF147" s="4242"/>
      <c r="BG147" s="4063">
        <f>+AY147+BA147</f>
        <v>12038.312599999988</v>
      </c>
      <c r="BH147" s="23"/>
      <c r="BI147" s="23"/>
      <c r="BJ147" s="23"/>
      <c r="BK147" s="1111"/>
    </row>
    <row r="148" spans="2:63" x14ac:dyDescent="0.3">
      <c r="B148" s="4272" t="s">
        <v>785</v>
      </c>
      <c r="C148" s="4264"/>
      <c r="D148" s="4264"/>
      <c r="E148" s="4066" t="s">
        <v>50</v>
      </c>
      <c r="F148" s="4231"/>
      <c r="G148" s="4263">
        <f>SUM(G146:G147)</f>
        <v>1457.7809999999961</v>
      </c>
      <c r="H148" s="4231"/>
      <c r="I148" s="4263">
        <f>SUM(I146:I147)</f>
        <v>448.05900000000014</v>
      </c>
      <c r="J148" s="4242"/>
      <c r="K148" s="4232">
        <f>SUM(K146:K147)</f>
        <v>1905.8399999999961</v>
      </c>
      <c r="L148" s="4231"/>
      <c r="M148" s="4263">
        <f>SUM(M146:M147)</f>
        <v>1569.3049999999996</v>
      </c>
      <c r="N148" s="4243"/>
      <c r="O148" s="4233">
        <f>SUM(O146:O147)</f>
        <v>3475.1449999999959</v>
      </c>
      <c r="P148" s="4231"/>
      <c r="Q148" s="4263">
        <f>SUM(Q146:Q147)</f>
        <v>1560.8895999999995</v>
      </c>
      <c r="R148" s="4242"/>
      <c r="S148" s="4232">
        <f>SUM(S146:S147)</f>
        <v>5036.0345999999954</v>
      </c>
      <c r="T148" s="4231"/>
      <c r="U148" s="4263">
        <f>SUM(U146:U147)</f>
        <v>1348.9549999999999</v>
      </c>
      <c r="V148" s="4242"/>
      <c r="W148" s="4232">
        <f>SUM(W146:W147)</f>
        <v>6384.9895999999953</v>
      </c>
      <c r="X148" s="4231"/>
      <c r="Y148" s="4263">
        <f>SUM(Y146:Y147)</f>
        <v>1377.24</v>
      </c>
      <c r="Z148" s="4243"/>
      <c r="AA148" s="4233">
        <f>SUM(AA146:AA147)</f>
        <v>4287.0845999999992</v>
      </c>
      <c r="AB148" s="4265"/>
      <c r="AC148" s="4234">
        <f>SUM(AC146:AC147)</f>
        <v>7762.2295999999951</v>
      </c>
      <c r="AD148" s="4231"/>
      <c r="AE148" s="4263">
        <f>SUM(AE146:AE147)</f>
        <v>963.50199999999973</v>
      </c>
      <c r="AF148" s="4242"/>
      <c r="AG148" s="4232">
        <f>SUM(AG146:AG147)</f>
        <v>8725.7315999999955</v>
      </c>
      <c r="AH148" s="4231"/>
      <c r="AI148" s="4263">
        <f>SUM(AI146:AI147)</f>
        <v>1542.2539999999997</v>
      </c>
      <c r="AJ148" s="4242"/>
      <c r="AK148" s="4232">
        <f>SUM(AK146:AK147)</f>
        <v>10267.985599999995</v>
      </c>
      <c r="AL148" s="4231"/>
      <c r="AM148" s="4263">
        <f>SUM(AM146:AM147)</f>
        <v>1671.2379999999994</v>
      </c>
      <c r="AN148" s="4243"/>
      <c r="AO148" s="4233">
        <f>SUM(AO146:AO147)</f>
        <v>4176.9939999999988</v>
      </c>
      <c r="AP148" s="4242"/>
      <c r="AQ148" s="4232">
        <f>SUM(AQ146:AQ147)</f>
        <v>11939.223599999994</v>
      </c>
      <c r="AR148" s="4231"/>
      <c r="AS148" s="4263">
        <f>SUM(AS146:AS147)</f>
        <v>1548.7090000000014</v>
      </c>
      <c r="AT148" s="4242"/>
      <c r="AU148" s="4232">
        <f>SUM(AU146:AU147)</f>
        <v>13487.932599999996</v>
      </c>
      <c r="AV148" s="4231"/>
      <c r="AW148" s="4263">
        <f>SUM(AW146:AW147)</f>
        <v>1466.8949999999988</v>
      </c>
      <c r="AX148" s="4242"/>
      <c r="AY148" s="4232">
        <f>SUM(AY146:AY147)</f>
        <v>14954.827599999993</v>
      </c>
      <c r="AZ148" s="4231"/>
      <c r="BA148" s="4263">
        <f>SUM(BA146:BA147)</f>
        <v>1719.3119999999913</v>
      </c>
      <c r="BB148" s="4243"/>
      <c r="BC148" s="4233">
        <f>SUM(BC146:BC147)</f>
        <v>4734.9159999999911</v>
      </c>
      <c r="BD148" s="4266"/>
      <c r="BE148" s="4235">
        <f>SUM(BE146:BE147)</f>
        <v>8911.9099999999889</v>
      </c>
      <c r="BF148" s="4242"/>
      <c r="BG148" s="4248">
        <f>SUM(BG146:BG147)</f>
        <v>16674.139599999988</v>
      </c>
      <c r="BH148" s="23"/>
      <c r="BI148" s="23"/>
      <c r="BJ148" s="23"/>
      <c r="BK148" s="1111"/>
    </row>
    <row r="149" spans="2:63" x14ac:dyDescent="0.3">
      <c r="B149" s="4272" t="s">
        <v>781</v>
      </c>
      <c r="C149" s="4264"/>
      <c r="D149" s="4264"/>
      <c r="E149" s="4066" t="s">
        <v>49</v>
      </c>
      <c r="F149" s="4231"/>
      <c r="G149" s="4267">
        <f>+G148/G7</f>
        <v>2.6088036333745887E-2</v>
      </c>
      <c r="H149" s="4231"/>
      <c r="I149" s="4267">
        <f>+I148/I7</f>
        <v>3.935352430278341E-2</v>
      </c>
      <c r="J149" s="4242"/>
      <c r="K149" s="4268">
        <f>+K148/K7</f>
        <v>2.8333402066680363E-2</v>
      </c>
      <c r="L149" s="4231"/>
      <c r="M149" s="4267">
        <f>+M148/M7</f>
        <v>2.52215456532951E-2</v>
      </c>
      <c r="N149" s="4243"/>
      <c r="O149" s="4269">
        <f>+O148/O7</f>
        <v>2.6838083323991208E-2</v>
      </c>
      <c r="P149" s="4231"/>
      <c r="Q149" s="4267">
        <f>+Q148/Q7</f>
        <v>2.5604803295599134E-2</v>
      </c>
      <c r="R149" s="4242"/>
      <c r="S149" s="4268">
        <f>+S148/S7</f>
        <v>2.6443317384838967E-2</v>
      </c>
      <c r="T149" s="4231"/>
      <c r="U149" s="4267">
        <f>+U148/U7</f>
        <v>2.8386668872581518E-2</v>
      </c>
      <c r="V149" s="4242"/>
      <c r="W149" s="4268">
        <f>+W148/W7</f>
        <v>2.6831393960380777E-2</v>
      </c>
      <c r="X149" s="4231"/>
      <c r="Y149" s="4267">
        <f>+Y148/Y7</f>
        <v>2.5886223577886818E-2</v>
      </c>
      <c r="Z149" s="4243"/>
      <c r="AA149" s="4269">
        <f>+AA148/AA7</f>
        <v>2.6515022040710566E-2</v>
      </c>
      <c r="AB149" s="4265"/>
      <c r="AC149" s="4270">
        <f>+AC148/AC7</f>
        <v>2.6658689582277371E-2</v>
      </c>
      <c r="AD149" s="4231"/>
      <c r="AE149" s="4267">
        <f>+AE148/AE7</f>
        <v>3.0264935903333578E-2</v>
      </c>
      <c r="AF149" s="4242"/>
      <c r="AG149" s="4268">
        <f>+AG148/AG7</f>
        <v>2.7014122182843617E-2</v>
      </c>
      <c r="AH149" s="4231"/>
      <c r="AI149" s="4267">
        <f>+AI148/AI7</f>
        <v>2.934322451910246E-2</v>
      </c>
      <c r="AJ149" s="4242"/>
      <c r="AK149" s="4268">
        <f>+AK148/AK7</f>
        <v>2.7340072228588783E-2</v>
      </c>
      <c r="AL149" s="4231"/>
      <c r="AM149" s="4267">
        <f>+AM148/AM7</f>
        <v>2.9443566940079921E-2</v>
      </c>
      <c r="AN149" s="4243"/>
      <c r="AO149" s="4269">
        <f>+AO148/AO7</f>
        <v>2.9591452536683615E-2</v>
      </c>
      <c r="AP149" s="4242"/>
      <c r="AQ149" s="4268">
        <f>+AQ148/AQ7</f>
        <v>2.7616243065241096E-2</v>
      </c>
      <c r="AR149" s="4231"/>
      <c r="AS149" s="4267">
        <f>+AS148/AS7</f>
        <v>2.5708320538315548E-2</v>
      </c>
      <c r="AT149" s="4242"/>
      <c r="AU149" s="4268">
        <f>+AU148/AU7</f>
        <v>2.738290212751493E-2</v>
      </c>
      <c r="AV149" s="4231"/>
      <c r="AW149" s="4267">
        <f>+AW148/AW7</f>
        <v>2.5495263120737192E-2</v>
      </c>
      <c r="AX149" s="4242"/>
      <c r="AY149" s="4268">
        <f>+AY148/AY7</f>
        <v>2.7185471768072907E-2</v>
      </c>
      <c r="AZ149" s="4231"/>
      <c r="BA149" s="4267">
        <f>+BA148/BA7</f>
        <v>2.5644292122021819E-2</v>
      </c>
      <c r="BB149" s="4243"/>
      <c r="BC149" s="4269">
        <f>+BC148/BC7</f>
        <v>2.561876834723209E-2</v>
      </c>
      <c r="BD149" s="4266"/>
      <c r="BE149" s="4271">
        <f>+BE148/BE7</f>
        <v>2.73390275102325E-2</v>
      </c>
      <c r="BF149" s="4242"/>
      <c r="BG149" s="4273">
        <f>+BG148/BG7</f>
        <v>2.7018043912914329E-2</v>
      </c>
      <c r="BH149" s="23"/>
      <c r="BI149" s="23"/>
      <c r="BJ149" s="23"/>
      <c r="BK149" s="1111"/>
    </row>
    <row r="150" spans="2:63" x14ac:dyDescent="0.3">
      <c r="B150" s="4272" t="s">
        <v>784</v>
      </c>
      <c r="C150" s="4264"/>
      <c r="D150" s="4264"/>
      <c r="E150" s="4066" t="s">
        <v>50</v>
      </c>
      <c r="F150" s="4231"/>
      <c r="G150" s="4114">
        <f>+G122</f>
        <v>215.98000000000002</v>
      </c>
      <c r="H150" s="4231"/>
      <c r="I150" s="4114">
        <f>+I122</f>
        <v>59.33</v>
      </c>
      <c r="J150" s="4242"/>
      <c r="K150" s="4232">
        <f>+K122</f>
        <v>275.31000000000006</v>
      </c>
      <c r="L150" s="4231"/>
      <c r="M150" s="4114">
        <f>+M122</f>
        <v>134.80000000000001</v>
      </c>
      <c r="N150" s="4243"/>
      <c r="O150" s="4233">
        <f>+O122</f>
        <v>410.11</v>
      </c>
      <c r="P150" s="4231"/>
      <c r="Q150" s="4114">
        <f>+Q122</f>
        <v>254.89999999999998</v>
      </c>
      <c r="R150" s="4242"/>
      <c r="S150" s="4232">
        <f>+S122</f>
        <v>664.4</v>
      </c>
      <c r="T150" s="4231"/>
      <c r="U150" s="4114">
        <f>+U122</f>
        <v>348.4</v>
      </c>
      <c r="V150" s="4242"/>
      <c r="W150" s="4232">
        <f>+W122</f>
        <v>1012.8</v>
      </c>
      <c r="X150" s="4231"/>
      <c r="Y150" s="4114">
        <f>+Y122</f>
        <v>238.58999999999997</v>
      </c>
      <c r="Z150" s="4243"/>
      <c r="AA150" s="4233">
        <f>+AA122</f>
        <v>841.89</v>
      </c>
      <c r="AB150" s="4265"/>
      <c r="AC150" s="4234">
        <f>+AC122</f>
        <v>1252</v>
      </c>
      <c r="AD150" s="4231"/>
      <c r="AE150" s="4114">
        <f>+AE122</f>
        <v>259.63000000000005</v>
      </c>
      <c r="AF150" s="4242"/>
      <c r="AG150" s="4232">
        <f>+AG122</f>
        <v>1511.63</v>
      </c>
      <c r="AH150" s="4231"/>
      <c r="AI150" s="4114">
        <f>+AI122</f>
        <v>383.84000000000003</v>
      </c>
      <c r="AJ150" s="4242"/>
      <c r="AK150" s="4232">
        <f>+AK122</f>
        <v>1895.4699999999998</v>
      </c>
      <c r="AL150" s="4231"/>
      <c r="AM150" s="4114">
        <f>+AM122</f>
        <v>401.87999999999994</v>
      </c>
      <c r="AN150" s="4243"/>
      <c r="AO150" s="4233">
        <f>+AO122</f>
        <v>1045.3499999999999</v>
      </c>
      <c r="AP150" s="4242"/>
      <c r="AQ150" s="4232">
        <f>+AQ122</f>
        <v>2297.3499999999995</v>
      </c>
      <c r="AR150" s="4231"/>
      <c r="AS150" s="4114">
        <f>+AS122</f>
        <v>712.26999999999987</v>
      </c>
      <c r="AT150" s="4242"/>
      <c r="AU150" s="4232">
        <f>+AU122</f>
        <v>3009.62</v>
      </c>
      <c r="AV150" s="4231"/>
      <c r="AW150" s="4114">
        <f>+AW122</f>
        <v>53.21</v>
      </c>
      <c r="AX150" s="4242"/>
      <c r="AY150" s="4232">
        <f>+AY122</f>
        <v>3062.83</v>
      </c>
      <c r="AZ150" s="4231"/>
      <c r="BA150" s="4114">
        <f>+BA122</f>
        <v>174.48999999999998</v>
      </c>
      <c r="BB150" s="4243"/>
      <c r="BC150" s="4233">
        <f>+BC122</f>
        <v>939.96999999999991</v>
      </c>
      <c r="BD150" s="4266"/>
      <c r="BE150" s="4235">
        <f>+BE122</f>
        <v>1985.3200000000004</v>
      </c>
      <c r="BF150" s="4242"/>
      <c r="BG150" s="4248">
        <f>+BG122</f>
        <v>3237.32</v>
      </c>
      <c r="BH150" s="23"/>
      <c r="BI150" s="23"/>
      <c r="BJ150" s="23"/>
      <c r="BK150" s="1111"/>
    </row>
    <row r="151" spans="2:63" x14ac:dyDescent="0.3">
      <c r="B151" s="4249" t="s">
        <v>1531</v>
      </c>
      <c r="C151" s="4231"/>
      <c r="D151" s="4231"/>
      <c r="E151" s="4060" t="s">
        <v>50</v>
      </c>
      <c r="F151" s="4231"/>
      <c r="G151" s="4114">
        <v>832.50800000000004</v>
      </c>
      <c r="H151" s="4231"/>
      <c r="I151" s="4114">
        <v>169.85300000000001</v>
      </c>
      <c r="J151" s="4242"/>
      <c r="K151" s="4119">
        <f>+G151+I151</f>
        <v>1002.3610000000001</v>
      </c>
      <c r="L151" s="4231"/>
      <c r="M151" s="4114">
        <v>1204.0310000000004</v>
      </c>
      <c r="N151" s="4243"/>
      <c r="O151" s="4126">
        <f>+G151+I151+M151</f>
        <v>2206.3920000000007</v>
      </c>
      <c r="P151" s="4231"/>
      <c r="Q151" s="4114">
        <v>1118.3079999999998</v>
      </c>
      <c r="R151" s="4242"/>
      <c r="S151" s="4119">
        <f>+O151+Q151</f>
        <v>3324.7000000000007</v>
      </c>
      <c r="T151" s="4231"/>
      <c r="U151" s="4114">
        <v>907.54300000000012</v>
      </c>
      <c r="V151" s="4242"/>
      <c r="W151" s="4119">
        <f>+S151+U151</f>
        <v>4232.2430000000004</v>
      </c>
      <c r="X151" s="4231"/>
      <c r="Y151" s="4114">
        <v>976.91400000000021</v>
      </c>
      <c r="Z151" s="4243"/>
      <c r="AA151" s="4126">
        <f>+Q151+U151+Y151</f>
        <v>3002.7650000000003</v>
      </c>
      <c r="AB151" s="4213"/>
      <c r="AC151" s="4214">
        <f>+AA151+O151</f>
        <v>5209.1570000000011</v>
      </c>
      <c r="AD151" s="4231"/>
      <c r="AE151" s="4114">
        <v>515.43199999999979</v>
      </c>
      <c r="AF151" s="4242"/>
      <c r="AG151" s="4119">
        <f>+AC151+AE151</f>
        <v>5724.5890000000009</v>
      </c>
      <c r="AH151" s="4231"/>
      <c r="AI151" s="4114">
        <v>890.24199999999996</v>
      </c>
      <c r="AJ151" s="4242"/>
      <c r="AK151" s="4119">
        <f>+AG151+AI151</f>
        <v>6614.831000000001</v>
      </c>
      <c r="AL151" s="4231"/>
      <c r="AM151" s="4114">
        <v>964.4580000000002</v>
      </c>
      <c r="AN151" s="4243"/>
      <c r="AO151" s="4126">
        <f>+AE151+AI151+AM151</f>
        <v>2370.1320000000001</v>
      </c>
      <c r="AP151" s="4242"/>
      <c r="AQ151" s="4119">
        <f t="shared" ref="AQ151:AQ152" si="171">AK151+AM151</f>
        <v>7579.2890000000016</v>
      </c>
      <c r="AR151" s="4231"/>
      <c r="AS151" s="4114">
        <v>1009.8730000000003</v>
      </c>
      <c r="AT151" s="4242"/>
      <c r="AU151" s="4119">
        <f>+AQ151+AS151</f>
        <v>8589.1620000000021</v>
      </c>
      <c r="AV151" s="4231"/>
      <c r="AW151" s="4114">
        <v>898.08999999999992</v>
      </c>
      <c r="AX151" s="4242"/>
      <c r="AY151" s="4119">
        <f>+AU151+AW151</f>
        <v>9487.2520000000022</v>
      </c>
      <c r="AZ151" s="4231"/>
      <c r="BA151" s="4114">
        <v>1001.3320000000001</v>
      </c>
      <c r="BB151" s="4243"/>
      <c r="BC151" s="4126">
        <f>+AS151+AW151+BA151</f>
        <v>2909.2950000000001</v>
      </c>
      <c r="BD151" s="4215"/>
      <c r="BE151" s="4216">
        <f t="shared" ref="BE151:BE152" si="172">+AO151+BC151</f>
        <v>5279.4269999999997</v>
      </c>
      <c r="BF151" s="4242"/>
      <c r="BG151" s="4063">
        <f>+AY151+BA151</f>
        <v>10488.584000000003</v>
      </c>
      <c r="BH151" s="23"/>
      <c r="BI151" s="23"/>
      <c r="BJ151" s="23"/>
      <c r="BK151" s="1111"/>
    </row>
    <row r="152" spans="2:63" ht="15" thickBot="1" x14ac:dyDescent="0.35">
      <c r="B152" s="4250" t="s">
        <v>1045</v>
      </c>
      <c r="C152" s="4251"/>
      <c r="D152" s="4251"/>
      <c r="E152" s="4073" t="s">
        <v>50</v>
      </c>
      <c r="F152" s="4251"/>
      <c r="G152" s="4253">
        <v>853.49200000000019</v>
      </c>
      <c r="H152" s="4251"/>
      <c r="I152" s="4253">
        <v>172.32599999999999</v>
      </c>
      <c r="J152" s="4274"/>
      <c r="K152" s="4133">
        <f>+G152+I152</f>
        <v>1025.8180000000002</v>
      </c>
      <c r="L152" s="4251"/>
      <c r="M152" s="4253">
        <v>638.04100000000005</v>
      </c>
      <c r="N152" s="4275"/>
      <c r="O152" s="4135">
        <f>+G152+I152+M152</f>
        <v>1663.8590000000004</v>
      </c>
      <c r="P152" s="4251"/>
      <c r="Q152" s="4253">
        <v>699.32739999999978</v>
      </c>
      <c r="R152" s="4274"/>
      <c r="S152" s="4133">
        <f>+O152+Q152</f>
        <v>2363.1864</v>
      </c>
      <c r="T152" s="4251"/>
      <c r="U152" s="4253">
        <v>508.57100000000008</v>
      </c>
      <c r="V152" s="4274"/>
      <c r="W152" s="4133">
        <f>+S152+U152</f>
        <v>2871.7574</v>
      </c>
      <c r="X152" s="4251"/>
      <c r="Y152" s="4253">
        <v>614.12900000000002</v>
      </c>
      <c r="Z152" s="4275"/>
      <c r="AA152" s="4135">
        <f>+Q152+U152+Y152</f>
        <v>1822.0273999999999</v>
      </c>
      <c r="AB152" s="4227"/>
      <c r="AC152" s="4228">
        <f>+AA152+O152</f>
        <v>3485.8864000000003</v>
      </c>
      <c r="AD152" s="4251"/>
      <c r="AE152" s="4253">
        <v>437.12600000000003</v>
      </c>
      <c r="AF152" s="4274"/>
      <c r="AG152" s="4133">
        <f>+AC152+AE152</f>
        <v>3923.0124000000005</v>
      </c>
      <c r="AH152" s="4251"/>
      <c r="AI152" s="4253">
        <v>682.73799999999983</v>
      </c>
      <c r="AJ152" s="4274"/>
      <c r="AK152" s="4133">
        <f>+AG152+AI152</f>
        <v>4605.7504000000008</v>
      </c>
      <c r="AL152" s="4251"/>
      <c r="AM152" s="4253">
        <v>735.96199999999988</v>
      </c>
      <c r="AN152" s="4275"/>
      <c r="AO152" s="4135">
        <f>+AE152+AI152+AM152</f>
        <v>1855.8259999999996</v>
      </c>
      <c r="AP152" s="4274"/>
      <c r="AQ152" s="4133">
        <f t="shared" si="171"/>
        <v>5341.7124000000003</v>
      </c>
      <c r="AR152" s="4251"/>
      <c r="AS152" s="4253">
        <v>800.71699999999998</v>
      </c>
      <c r="AT152" s="4274"/>
      <c r="AU152" s="4133">
        <f>+AQ152+AS152</f>
        <v>6142.4294</v>
      </c>
      <c r="AV152" s="4251"/>
      <c r="AW152" s="4253">
        <v>838.3889999999999</v>
      </c>
      <c r="AX152" s="4274"/>
      <c r="AY152" s="4133">
        <f>+AU152+AW152</f>
        <v>6980.8184000000001</v>
      </c>
      <c r="AZ152" s="4251"/>
      <c r="BA152" s="4253">
        <v>1029.347</v>
      </c>
      <c r="BB152" s="4275"/>
      <c r="BC152" s="4135">
        <f>+AS152+AW152+BA152</f>
        <v>2668.4529999999995</v>
      </c>
      <c r="BD152" s="4229"/>
      <c r="BE152" s="4230">
        <f t="shared" si="172"/>
        <v>4524.2789999999986</v>
      </c>
      <c r="BF152" s="4274"/>
      <c r="BG152" s="4134">
        <f>+AY152+BA152</f>
        <v>8010.1653999999999</v>
      </c>
      <c r="BH152" s="23"/>
      <c r="BI152" s="23"/>
      <c r="BJ152" s="23"/>
      <c r="BK152" s="1111"/>
    </row>
    <row r="153" spans="2:63" ht="18.600000000000001" thickBot="1" x14ac:dyDescent="0.4">
      <c r="B153" s="811" t="s">
        <v>786</v>
      </c>
      <c r="C153" s="811"/>
      <c r="D153" s="811"/>
      <c r="E153" s="142"/>
      <c r="F153" s="142"/>
      <c r="G153" s="142"/>
      <c r="H153" s="142"/>
      <c r="I153" s="142"/>
      <c r="J153" s="142"/>
      <c r="K153" s="5475"/>
      <c r="L153" s="142"/>
      <c r="M153" s="142"/>
      <c r="N153" s="142"/>
      <c r="O153" s="142"/>
      <c r="P153" s="142"/>
      <c r="Q153" s="142"/>
      <c r="R153" s="142"/>
      <c r="S153" s="142"/>
      <c r="T153" s="142"/>
      <c r="U153" s="142"/>
      <c r="V153" s="142"/>
      <c r="W153" s="142"/>
      <c r="X153" s="142"/>
      <c r="Y153" s="142"/>
      <c r="Z153" s="142"/>
      <c r="AA153" s="142"/>
      <c r="AB153" s="142"/>
      <c r="AC153" s="142"/>
      <c r="AD153" s="142"/>
      <c r="AE153" s="142"/>
      <c r="AF153" s="142"/>
      <c r="AG153" s="142"/>
      <c r="AH153" s="142"/>
      <c r="AI153" s="142"/>
      <c r="AJ153" s="142"/>
      <c r="AK153" s="142"/>
      <c r="AL153" s="142"/>
      <c r="AM153" s="142"/>
      <c r="AN153" s="142"/>
      <c r="AO153" s="142"/>
      <c r="AP153" s="142"/>
      <c r="AQ153" s="142"/>
      <c r="AR153" s="142"/>
      <c r="AS153" s="142"/>
      <c r="AT153" s="142"/>
      <c r="AU153" s="142"/>
      <c r="AV153" s="142"/>
      <c r="AW153" s="142"/>
      <c r="AX153" s="142"/>
      <c r="AY153" s="142"/>
      <c r="AZ153" s="142"/>
      <c r="BA153" s="142"/>
      <c r="BB153" s="142"/>
      <c r="BC153" s="142"/>
      <c r="BD153" s="142"/>
      <c r="BE153" s="142"/>
      <c r="BF153" s="142"/>
      <c r="BG153" s="142"/>
      <c r="BH153" s="23"/>
      <c r="BI153" s="23"/>
      <c r="BJ153" s="23"/>
      <c r="BK153" s="1111"/>
    </row>
    <row r="154" spans="2:63" x14ac:dyDescent="0.3">
      <c r="B154" s="959" t="s">
        <v>787</v>
      </c>
      <c r="C154" s="960"/>
      <c r="D154" s="960"/>
      <c r="E154" s="750" t="s">
        <v>50</v>
      </c>
      <c r="F154" s="977"/>
      <c r="G154" s="5243">
        <f>+G7</f>
        <v>55879.292000000009</v>
      </c>
      <c r="H154" s="977"/>
      <c r="I154" s="961">
        <f>+I7</f>
        <v>11385.485999999997</v>
      </c>
      <c r="J154" s="978"/>
      <c r="K154" s="963">
        <f>+K7</f>
        <v>67264.778000000006</v>
      </c>
      <c r="L154" s="977"/>
      <c r="M154" s="961">
        <f>+M7</f>
        <v>62220.809999999976</v>
      </c>
      <c r="N154" s="979"/>
      <c r="O154" s="980">
        <f>+O7</f>
        <v>129485.58799999999</v>
      </c>
      <c r="P154" s="977"/>
      <c r="Q154" s="961">
        <f>+Q7</f>
        <v>60960.812000000013</v>
      </c>
      <c r="R154" s="978"/>
      <c r="S154" s="963">
        <f>+S7</f>
        <v>190446.4</v>
      </c>
      <c r="T154" s="977"/>
      <c r="U154" s="961">
        <f>+U7</f>
        <v>47520.722000000009</v>
      </c>
      <c r="V154" s="978"/>
      <c r="W154" s="963">
        <f>+W7</f>
        <v>237967.122</v>
      </c>
      <c r="X154" s="977"/>
      <c r="Y154" s="961">
        <f>+Y7</f>
        <v>53203.589000000007</v>
      </c>
      <c r="Z154" s="979"/>
      <c r="AA154" s="980">
        <f>+AA7</f>
        <v>161685.12300000002</v>
      </c>
      <c r="AB154" s="4244"/>
      <c r="AC154" s="983">
        <f>+AC7</f>
        <v>291170.71100000001</v>
      </c>
      <c r="AD154" s="977"/>
      <c r="AE154" s="961">
        <f>+AE7</f>
        <v>31835.587</v>
      </c>
      <c r="AF154" s="978"/>
      <c r="AG154" s="963">
        <f>+AG7</f>
        <v>323006.29800000001</v>
      </c>
      <c r="AH154" s="977"/>
      <c r="AI154" s="961">
        <f>+AI7</f>
        <v>52559.118000000009</v>
      </c>
      <c r="AJ154" s="978"/>
      <c r="AK154" s="963">
        <f>+AK7</f>
        <v>375565.41600000003</v>
      </c>
      <c r="AL154" s="977"/>
      <c r="AM154" s="961">
        <f>+AM7</f>
        <v>56760.718000000001</v>
      </c>
      <c r="AN154" s="979"/>
      <c r="AO154" s="980">
        <f>+AO7</f>
        <v>141155.42300000001</v>
      </c>
      <c r="AP154" s="978"/>
      <c r="AQ154" s="963">
        <f>+AQ7</f>
        <v>432326.13400000002</v>
      </c>
      <c r="AR154" s="977"/>
      <c r="AS154" s="961">
        <f>+AS7</f>
        <v>60241.546999999999</v>
      </c>
      <c r="AT154" s="978"/>
      <c r="AU154" s="963">
        <f>+AU7</f>
        <v>492567.68100000004</v>
      </c>
      <c r="AV154" s="977"/>
      <c r="AW154" s="961">
        <f>+AW7</f>
        <v>57535.981999999996</v>
      </c>
      <c r="AX154" s="978"/>
      <c r="AY154" s="963">
        <f>+AY7</f>
        <v>550103.66300000006</v>
      </c>
      <c r="AZ154" s="977"/>
      <c r="BA154" s="961">
        <f>+BA7</f>
        <v>67044.626999999993</v>
      </c>
      <c r="BB154" s="979"/>
      <c r="BC154" s="980">
        <f>+BC7</f>
        <v>184822.15599999999</v>
      </c>
      <c r="BD154" s="4245"/>
      <c r="BE154" s="4246">
        <f>+BE7</f>
        <v>325977.57900000003</v>
      </c>
      <c r="BF154" s="978"/>
      <c r="BG154" s="984">
        <f>+BG7</f>
        <v>617148.29</v>
      </c>
      <c r="BH154" s="23"/>
      <c r="BI154" s="23"/>
      <c r="BJ154" s="23"/>
      <c r="BK154" s="1111"/>
    </row>
    <row r="155" spans="2:63" ht="28.8" x14ac:dyDescent="0.3">
      <c r="B155" s="4247" t="s">
        <v>792</v>
      </c>
      <c r="C155" s="4241"/>
      <c r="D155" s="4241"/>
      <c r="E155" s="4060" t="s">
        <v>50</v>
      </c>
      <c r="F155" s="4236"/>
      <c r="G155" s="5242">
        <f>+G148</f>
        <v>1457.7809999999961</v>
      </c>
      <c r="H155" s="4236"/>
      <c r="I155" s="4114">
        <f>+I148</f>
        <v>448.05900000000014</v>
      </c>
      <c r="J155" s="4237"/>
      <c r="K155" s="4232">
        <f>+K148</f>
        <v>1905.8399999999961</v>
      </c>
      <c r="L155" s="4236"/>
      <c r="M155" s="4114">
        <f>+M148</f>
        <v>1569.3049999999996</v>
      </c>
      <c r="N155" s="4238"/>
      <c r="O155" s="4233">
        <f>+O148</f>
        <v>3475.1449999999959</v>
      </c>
      <c r="P155" s="4236"/>
      <c r="Q155" s="4114">
        <f>+Q148</f>
        <v>1560.8895999999995</v>
      </c>
      <c r="R155" s="4237"/>
      <c r="S155" s="4232">
        <f>+S148</f>
        <v>5036.0345999999954</v>
      </c>
      <c r="T155" s="4236"/>
      <c r="U155" s="4114">
        <f>+U148</f>
        <v>1348.9549999999999</v>
      </c>
      <c r="V155" s="4237"/>
      <c r="W155" s="4232">
        <f>+W148</f>
        <v>6384.9895999999953</v>
      </c>
      <c r="X155" s="4236"/>
      <c r="Y155" s="4114">
        <f>+Y148</f>
        <v>1377.24</v>
      </c>
      <c r="Z155" s="4238"/>
      <c r="AA155" s="4233">
        <f>+AA148</f>
        <v>4287.0845999999992</v>
      </c>
      <c r="AB155" s="4239"/>
      <c r="AC155" s="4234">
        <f>+AC148</f>
        <v>7762.2295999999951</v>
      </c>
      <c r="AD155" s="4236"/>
      <c r="AE155" s="4114">
        <f>+AE148</f>
        <v>963.50199999999973</v>
      </c>
      <c r="AF155" s="4237"/>
      <c r="AG155" s="4232">
        <f>+AG148</f>
        <v>8725.7315999999955</v>
      </c>
      <c r="AH155" s="4236"/>
      <c r="AI155" s="4114">
        <f>+AI148</f>
        <v>1542.2539999999997</v>
      </c>
      <c r="AJ155" s="4237"/>
      <c r="AK155" s="4232">
        <f>+AK148</f>
        <v>10267.985599999995</v>
      </c>
      <c r="AL155" s="4236"/>
      <c r="AM155" s="4114">
        <f>+AM148</f>
        <v>1671.2379999999994</v>
      </c>
      <c r="AN155" s="4238"/>
      <c r="AO155" s="4233">
        <f>+AO148</f>
        <v>4176.9939999999988</v>
      </c>
      <c r="AP155" s="4237"/>
      <c r="AQ155" s="4232">
        <f>+AQ148</f>
        <v>11939.223599999994</v>
      </c>
      <c r="AR155" s="4236"/>
      <c r="AS155" s="4114">
        <f>+AS148</f>
        <v>1548.7090000000014</v>
      </c>
      <c r="AT155" s="4237"/>
      <c r="AU155" s="4232">
        <f>+AU148</f>
        <v>13487.932599999996</v>
      </c>
      <c r="AV155" s="4236"/>
      <c r="AW155" s="4114">
        <f>+AW148</f>
        <v>1466.8949999999988</v>
      </c>
      <c r="AX155" s="4237"/>
      <c r="AY155" s="4232">
        <f>+AY148</f>
        <v>14954.827599999993</v>
      </c>
      <c r="AZ155" s="4236"/>
      <c r="BA155" s="4114">
        <f>+BA148</f>
        <v>1719.3119999999913</v>
      </c>
      <c r="BB155" s="4238"/>
      <c r="BC155" s="4233">
        <f>+BC148</f>
        <v>4734.9159999999911</v>
      </c>
      <c r="BD155" s="4240"/>
      <c r="BE155" s="4235">
        <f>+BE148</f>
        <v>8911.9099999999889</v>
      </c>
      <c r="BF155" s="4237"/>
      <c r="BG155" s="4248">
        <f>+BG148</f>
        <v>16674.139599999988</v>
      </c>
      <c r="BH155" s="23"/>
      <c r="BI155" s="23"/>
      <c r="BJ155" s="23"/>
      <c r="BK155" s="1111"/>
    </row>
    <row r="156" spans="2:63" x14ac:dyDescent="0.3">
      <c r="B156" s="4249" t="s">
        <v>764</v>
      </c>
      <c r="C156" s="4231"/>
      <c r="D156" s="4231"/>
      <c r="E156" s="4060" t="s">
        <v>50</v>
      </c>
      <c r="F156" s="4236"/>
      <c r="G156" s="5242">
        <f>+G151</f>
        <v>832.50800000000004</v>
      </c>
      <c r="H156" s="4236"/>
      <c r="I156" s="4114">
        <f>+I151</f>
        <v>169.85300000000001</v>
      </c>
      <c r="J156" s="4237"/>
      <c r="K156" s="4232">
        <f>+K151</f>
        <v>1002.3610000000001</v>
      </c>
      <c r="L156" s="4236"/>
      <c r="M156" s="4114">
        <f>+M151</f>
        <v>1204.0310000000004</v>
      </c>
      <c r="N156" s="4238"/>
      <c r="O156" s="4233">
        <f>+O151</f>
        <v>2206.3920000000007</v>
      </c>
      <c r="P156" s="4236"/>
      <c r="Q156" s="4114">
        <f>+Q151</f>
        <v>1118.3079999999998</v>
      </c>
      <c r="R156" s="4237"/>
      <c r="S156" s="4232">
        <f>+S151</f>
        <v>3324.7000000000007</v>
      </c>
      <c r="T156" s="4236"/>
      <c r="U156" s="4114">
        <f>+U151</f>
        <v>907.54300000000012</v>
      </c>
      <c r="V156" s="4237"/>
      <c r="W156" s="4232">
        <f>+W151</f>
        <v>4232.2430000000004</v>
      </c>
      <c r="X156" s="4236"/>
      <c r="Y156" s="4114">
        <f>+Y151</f>
        <v>976.91400000000021</v>
      </c>
      <c r="Z156" s="4238"/>
      <c r="AA156" s="4233">
        <f>+AA151</f>
        <v>3002.7650000000003</v>
      </c>
      <c r="AB156" s="4239"/>
      <c r="AC156" s="4234">
        <f>+AC151</f>
        <v>5209.1570000000011</v>
      </c>
      <c r="AD156" s="4236"/>
      <c r="AE156" s="4114">
        <f>+AE151</f>
        <v>515.43199999999979</v>
      </c>
      <c r="AF156" s="4237"/>
      <c r="AG156" s="4232">
        <f>+AG151</f>
        <v>5724.5890000000009</v>
      </c>
      <c r="AH156" s="4236"/>
      <c r="AI156" s="4114">
        <f>+AI151</f>
        <v>890.24199999999996</v>
      </c>
      <c r="AJ156" s="4237"/>
      <c r="AK156" s="4232">
        <f>+AK151</f>
        <v>6614.831000000001</v>
      </c>
      <c r="AL156" s="4236"/>
      <c r="AM156" s="4114">
        <f>+AM151</f>
        <v>964.4580000000002</v>
      </c>
      <c r="AN156" s="4238"/>
      <c r="AO156" s="4233">
        <f>+AO151</f>
        <v>2370.1320000000001</v>
      </c>
      <c r="AP156" s="4237"/>
      <c r="AQ156" s="4232">
        <f>+AQ151</f>
        <v>7579.2890000000016</v>
      </c>
      <c r="AR156" s="4236"/>
      <c r="AS156" s="4114">
        <f>+AS151</f>
        <v>1009.8730000000003</v>
      </c>
      <c r="AT156" s="4237"/>
      <c r="AU156" s="4232">
        <f>+AU151</f>
        <v>8589.1620000000021</v>
      </c>
      <c r="AV156" s="4236"/>
      <c r="AW156" s="4114">
        <f>+AW151</f>
        <v>898.08999999999992</v>
      </c>
      <c r="AX156" s="4237"/>
      <c r="AY156" s="4232">
        <f>+AY151</f>
        <v>9487.2520000000022</v>
      </c>
      <c r="AZ156" s="4236"/>
      <c r="BA156" s="4114">
        <f>+BA151</f>
        <v>1001.3320000000001</v>
      </c>
      <c r="BB156" s="4238"/>
      <c r="BC156" s="4233">
        <f>+BC151</f>
        <v>2909.2950000000001</v>
      </c>
      <c r="BD156" s="4240"/>
      <c r="BE156" s="4235">
        <f>+BE151</f>
        <v>5279.4269999999997</v>
      </c>
      <c r="BF156" s="4237"/>
      <c r="BG156" s="4248">
        <f>+BG151</f>
        <v>10488.584000000003</v>
      </c>
      <c r="BH156" s="23"/>
      <c r="BI156" s="23"/>
      <c r="BJ156" s="23"/>
      <c r="BK156" s="1111"/>
    </row>
    <row r="157" spans="2:63" x14ac:dyDescent="0.3">
      <c r="B157" s="4249" t="s">
        <v>1045</v>
      </c>
      <c r="C157" s="4231"/>
      <c r="D157" s="4231"/>
      <c r="E157" s="4060" t="s">
        <v>50</v>
      </c>
      <c r="F157" s="4231"/>
      <c r="G157" s="5242">
        <f>+G152</f>
        <v>853.49200000000019</v>
      </c>
      <c r="H157" s="4231"/>
      <c r="I157" s="4114">
        <f>+I152</f>
        <v>172.32599999999999</v>
      </c>
      <c r="J157" s="4242"/>
      <c r="K157" s="4119">
        <f>+G157+I157</f>
        <v>1025.8180000000002</v>
      </c>
      <c r="L157" s="4231"/>
      <c r="M157" s="4114">
        <f>+M152</f>
        <v>638.04100000000005</v>
      </c>
      <c r="N157" s="4243"/>
      <c r="O157" s="4126">
        <f>+G157+I157+M157</f>
        <v>1663.8590000000004</v>
      </c>
      <c r="P157" s="4231"/>
      <c r="Q157" s="4114">
        <f>+Q152</f>
        <v>699.32739999999978</v>
      </c>
      <c r="R157" s="4242"/>
      <c r="S157" s="4119">
        <f>+O157+Q157</f>
        <v>2363.1864</v>
      </c>
      <c r="T157" s="4231"/>
      <c r="U157" s="4114">
        <f>+U152</f>
        <v>508.57100000000008</v>
      </c>
      <c r="V157" s="4242"/>
      <c r="W157" s="4119">
        <f>+S157+U157</f>
        <v>2871.7574</v>
      </c>
      <c r="X157" s="4231"/>
      <c r="Y157" s="4114">
        <f>+Y152</f>
        <v>614.12900000000002</v>
      </c>
      <c r="Z157" s="4243"/>
      <c r="AA157" s="4126">
        <f>+Q157+U157+Y157</f>
        <v>1822.0273999999999</v>
      </c>
      <c r="AB157" s="4213"/>
      <c r="AC157" s="4214">
        <f>+AA157+O157</f>
        <v>3485.8864000000003</v>
      </c>
      <c r="AD157" s="4231"/>
      <c r="AE157" s="4114">
        <f>+AE152</f>
        <v>437.12600000000003</v>
      </c>
      <c r="AF157" s="4242"/>
      <c r="AG157" s="4119">
        <f>+AC157+AE157</f>
        <v>3923.0124000000005</v>
      </c>
      <c r="AH157" s="4231"/>
      <c r="AI157" s="4114">
        <f>+AI152</f>
        <v>682.73799999999983</v>
      </c>
      <c r="AJ157" s="4242"/>
      <c r="AK157" s="4119">
        <f>+AG157+AI157</f>
        <v>4605.7504000000008</v>
      </c>
      <c r="AL157" s="4231"/>
      <c r="AM157" s="4114">
        <f>+AM152</f>
        <v>735.96199999999988</v>
      </c>
      <c r="AN157" s="4243"/>
      <c r="AO157" s="4126">
        <f>+AE157+AI157+AM157</f>
        <v>1855.8259999999996</v>
      </c>
      <c r="AP157" s="4242"/>
      <c r="AQ157" s="4119">
        <f t="shared" ref="AQ157" si="173">AK157+AM157</f>
        <v>5341.7124000000003</v>
      </c>
      <c r="AR157" s="4231"/>
      <c r="AS157" s="4114">
        <f>+AS152</f>
        <v>800.71699999999998</v>
      </c>
      <c r="AT157" s="4242"/>
      <c r="AU157" s="4119">
        <f>+AQ157+AS157</f>
        <v>6142.4294</v>
      </c>
      <c r="AV157" s="4231"/>
      <c r="AW157" s="4114">
        <f>+AW152</f>
        <v>838.3889999999999</v>
      </c>
      <c r="AX157" s="4242"/>
      <c r="AY157" s="4119">
        <f>+AU157+AW157</f>
        <v>6980.8184000000001</v>
      </c>
      <c r="AZ157" s="4231"/>
      <c r="BA157" s="4114">
        <f>+BA152</f>
        <v>1029.347</v>
      </c>
      <c r="BB157" s="4243"/>
      <c r="BC157" s="4126">
        <f>+AS157+AW157+BA157</f>
        <v>2668.4529999999995</v>
      </c>
      <c r="BD157" s="4215"/>
      <c r="BE157" s="4216">
        <f>+BC157+AO157</f>
        <v>4524.2789999999986</v>
      </c>
      <c r="BF157" s="4242"/>
      <c r="BG157" s="4063">
        <f>+AY157+BA157</f>
        <v>8010.1653999999999</v>
      </c>
      <c r="BH157" s="23"/>
      <c r="BI157" s="23"/>
      <c r="BJ157" s="23"/>
      <c r="BK157" s="1111"/>
    </row>
    <row r="158" spans="2:63" x14ac:dyDescent="0.3">
      <c r="B158" s="4249" t="s">
        <v>790</v>
      </c>
      <c r="C158" s="4231"/>
      <c r="D158" s="4231"/>
      <c r="E158" s="4060" t="s">
        <v>50</v>
      </c>
      <c r="F158" s="4236"/>
      <c r="G158" s="5242">
        <f>+G120</f>
        <v>52736.034000000007</v>
      </c>
      <c r="H158" s="4236"/>
      <c r="I158" s="4114">
        <f>+I120</f>
        <v>10595.247999999998</v>
      </c>
      <c r="J158" s="4237"/>
      <c r="K158" s="4232">
        <f>+K120</f>
        <v>63331.281999999999</v>
      </c>
      <c r="L158" s="4236"/>
      <c r="M158" s="4114">
        <f>+M120</f>
        <v>58809.43299999999</v>
      </c>
      <c r="N158" s="4238"/>
      <c r="O158" s="4233">
        <f>+O120</f>
        <v>120311.16099999996</v>
      </c>
      <c r="P158" s="4236"/>
      <c r="Q158" s="4114">
        <f>+Q120</f>
        <v>57582.287000000004</v>
      </c>
      <c r="R158" s="4237"/>
      <c r="S158" s="4232">
        <f>+S120</f>
        <v>172979.77600000001</v>
      </c>
      <c r="T158" s="4236"/>
      <c r="U158" s="4114">
        <f>+U120</f>
        <v>44754.692999999992</v>
      </c>
      <c r="V158" s="4237"/>
      <c r="W158" s="4232">
        <f>+W120</f>
        <v>217734.46900000004</v>
      </c>
      <c r="X158" s="4236"/>
      <c r="Y158" s="4114">
        <f>+Y120</f>
        <v>50235.30599999999</v>
      </c>
      <c r="Z158" s="4238"/>
      <c r="AA158" s="4233">
        <f>+AA120</f>
        <v>152572.28599999999</v>
      </c>
      <c r="AB158" s="4239"/>
      <c r="AC158" s="4234">
        <f>+AC120</f>
        <v>272883.44699999993</v>
      </c>
      <c r="AD158" s="4236"/>
      <c r="AE158" s="4114">
        <f>+AE120</f>
        <v>29919.527000000009</v>
      </c>
      <c r="AF158" s="4237"/>
      <c r="AG158" s="4232">
        <f>+AG120</f>
        <v>302802.97399999993</v>
      </c>
      <c r="AH158" s="4236"/>
      <c r="AI158" s="4114">
        <f>+AI120</f>
        <v>49443.88400000002</v>
      </c>
      <c r="AJ158" s="4237"/>
      <c r="AK158" s="4232">
        <f>+AK120</f>
        <v>352246.85800000001</v>
      </c>
      <c r="AL158" s="4236"/>
      <c r="AM158" s="4114">
        <f>+AM120</f>
        <v>53389.06</v>
      </c>
      <c r="AN158" s="4238"/>
      <c r="AO158" s="4233">
        <f>+AO120</f>
        <v>132752.47099999993</v>
      </c>
      <c r="AP158" s="4237"/>
      <c r="AQ158" s="4232">
        <f>+AQ120</f>
        <v>405635.91800000006</v>
      </c>
      <c r="AR158" s="4236"/>
      <c r="AS158" s="4114">
        <f>+AS120</f>
        <v>56882.247999999992</v>
      </c>
      <c r="AT158" s="4237"/>
      <c r="AU158" s="4232">
        <f>+AU120</f>
        <v>462518.16600000014</v>
      </c>
      <c r="AV158" s="4236"/>
      <c r="AW158" s="4114">
        <f>+AW120</f>
        <v>54332.608</v>
      </c>
      <c r="AX158" s="4237"/>
      <c r="AY158" s="4232">
        <f>+AY120</f>
        <v>516850.77400000003</v>
      </c>
      <c r="AZ158" s="4236"/>
      <c r="BA158" s="4114">
        <f>+BA120</f>
        <v>63294.635999999991</v>
      </c>
      <c r="BB158" s="4238"/>
      <c r="BC158" s="4233">
        <f>+BC120</f>
        <v>174509.49200000003</v>
      </c>
      <c r="BD158" s="4240"/>
      <c r="BE158" s="4235">
        <f>+BE120</f>
        <v>307261.96300000005</v>
      </c>
      <c r="BF158" s="4237"/>
      <c r="BG158" s="4248">
        <f>+BG120</f>
        <v>580145.41</v>
      </c>
      <c r="BH158" s="23"/>
      <c r="BI158" s="23"/>
      <c r="BJ158" s="23"/>
      <c r="BK158" s="1111"/>
    </row>
    <row r="159" spans="2:63" x14ac:dyDescent="0.3">
      <c r="B159" s="4249" t="s">
        <v>788</v>
      </c>
      <c r="C159" s="4231"/>
      <c r="D159" s="4231"/>
      <c r="E159" s="4060" t="s">
        <v>50</v>
      </c>
      <c r="F159" s="4236"/>
      <c r="G159" s="4114">
        <f>+G122</f>
        <v>215.98000000000002</v>
      </c>
      <c r="H159" s="4236"/>
      <c r="I159" s="4114">
        <f>+I122</f>
        <v>59.33</v>
      </c>
      <c r="J159" s="4237"/>
      <c r="K159" s="4232">
        <f>+K122</f>
        <v>275.31000000000006</v>
      </c>
      <c r="L159" s="4236"/>
      <c r="M159" s="4114">
        <f>+M122</f>
        <v>134.80000000000001</v>
      </c>
      <c r="N159" s="4238"/>
      <c r="O159" s="4233">
        <f>+O122</f>
        <v>410.11</v>
      </c>
      <c r="P159" s="4236"/>
      <c r="Q159" s="4114">
        <f>+Q122</f>
        <v>254.89999999999998</v>
      </c>
      <c r="R159" s="4237"/>
      <c r="S159" s="4232">
        <f>+S122</f>
        <v>664.4</v>
      </c>
      <c r="T159" s="4236"/>
      <c r="U159" s="4114">
        <f>+U122</f>
        <v>348.4</v>
      </c>
      <c r="V159" s="4237"/>
      <c r="W159" s="4232">
        <f>+W122</f>
        <v>1012.8</v>
      </c>
      <c r="X159" s="4236"/>
      <c r="Y159" s="4114">
        <f>+Y122</f>
        <v>238.58999999999997</v>
      </c>
      <c r="Z159" s="4238"/>
      <c r="AA159" s="4233">
        <f>+AA122</f>
        <v>841.89</v>
      </c>
      <c r="AB159" s="4239"/>
      <c r="AC159" s="4234">
        <f>+AC122</f>
        <v>1252</v>
      </c>
      <c r="AD159" s="4236"/>
      <c r="AE159" s="4114">
        <f>+AE122</f>
        <v>259.63000000000005</v>
      </c>
      <c r="AF159" s="4237"/>
      <c r="AG159" s="4232">
        <f>+AG122</f>
        <v>1511.63</v>
      </c>
      <c r="AH159" s="4236"/>
      <c r="AI159" s="4114">
        <f>+AI122</f>
        <v>383.84000000000003</v>
      </c>
      <c r="AJ159" s="4237"/>
      <c r="AK159" s="4232">
        <f>+AK122</f>
        <v>1895.4699999999998</v>
      </c>
      <c r="AL159" s="4236"/>
      <c r="AM159" s="4114">
        <f>+AM122</f>
        <v>401.87999999999994</v>
      </c>
      <c r="AN159" s="4238"/>
      <c r="AO159" s="4233">
        <f>+AO122</f>
        <v>1045.3499999999999</v>
      </c>
      <c r="AP159" s="4237"/>
      <c r="AQ159" s="4232">
        <f>+AQ122</f>
        <v>2297.3499999999995</v>
      </c>
      <c r="AR159" s="4236"/>
      <c r="AS159" s="4114">
        <f>+AS122</f>
        <v>712.26999999999987</v>
      </c>
      <c r="AT159" s="4237"/>
      <c r="AU159" s="4232">
        <f>+AU122</f>
        <v>3009.62</v>
      </c>
      <c r="AV159" s="4236"/>
      <c r="AW159" s="4114">
        <f>+AW122</f>
        <v>53.21</v>
      </c>
      <c r="AX159" s="4237"/>
      <c r="AY159" s="4232">
        <f>+AY122</f>
        <v>3062.83</v>
      </c>
      <c r="AZ159" s="4236"/>
      <c r="BA159" s="4114">
        <f>+BA122</f>
        <v>174.48999999999998</v>
      </c>
      <c r="BB159" s="4238"/>
      <c r="BC159" s="4233">
        <f>+BC122</f>
        <v>939.96999999999991</v>
      </c>
      <c r="BD159" s="4240"/>
      <c r="BE159" s="4235">
        <f>+BE122</f>
        <v>1985.3200000000004</v>
      </c>
      <c r="BF159" s="4237"/>
      <c r="BG159" s="4248">
        <f>+BG122</f>
        <v>3237.32</v>
      </c>
      <c r="BH159" s="23"/>
      <c r="BI159" s="23"/>
      <c r="BJ159" s="23"/>
      <c r="BK159" s="1111"/>
    </row>
    <row r="160" spans="2:63" ht="15" thickBot="1" x14ac:dyDescent="0.35">
      <c r="B160" s="4250" t="s">
        <v>1488</v>
      </c>
      <c r="C160" s="4251"/>
      <c r="D160" s="4251"/>
      <c r="E160" s="4073" t="s">
        <v>50</v>
      </c>
      <c r="F160" s="4252"/>
      <c r="G160" s="4253">
        <f>+G158-G159</f>
        <v>52520.054000000004</v>
      </c>
      <c r="H160" s="4252"/>
      <c r="I160" s="4253">
        <f>+I158-I159</f>
        <v>10535.917999999998</v>
      </c>
      <c r="J160" s="4254"/>
      <c r="K160" s="4255">
        <f>+K158-K159</f>
        <v>63055.972000000002</v>
      </c>
      <c r="L160" s="4252"/>
      <c r="M160" s="4253">
        <f>+M158-M159</f>
        <v>58674.632999999987</v>
      </c>
      <c r="N160" s="4256"/>
      <c r="O160" s="4257">
        <f>+O158-O159</f>
        <v>119901.05099999996</v>
      </c>
      <c r="P160" s="4252"/>
      <c r="Q160" s="4253">
        <f>+Q158-Q159</f>
        <v>57327.387000000002</v>
      </c>
      <c r="R160" s="4254"/>
      <c r="S160" s="4255">
        <f>+S158-S159</f>
        <v>172315.37600000002</v>
      </c>
      <c r="T160" s="4252"/>
      <c r="U160" s="4253">
        <f>+U158-U159</f>
        <v>44406.292999999991</v>
      </c>
      <c r="V160" s="4254"/>
      <c r="W160" s="4255">
        <f>+W158-W159</f>
        <v>216721.66900000005</v>
      </c>
      <c r="X160" s="4252"/>
      <c r="Y160" s="4253">
        <f>+Y158-Y159</f>
        <v>49996.715999999993</v>
      </c>
      <c r="Z160" s="4256"/>
      <c r="AA160" s="4257">
        <f>+AA158-AA159</f>
        <v>151730.39599999998</v>
      </c>
      <c r="AB160" s="4258"/>
      <c r="AC160" s="4259">
        <f>+AC158-AC159</f>
        <v>271631.44699999993</v>
      </c>
      <c r="AD160" s="4252"/>
      <c r="AE160" s="4253">
        <f>+AE158-AE159</f>
        <v>29659.897000000008</v>
      </c>
      <c r="AF160" s="4254"/>
      <c r="AG160" s="4255">
        <f>+AG158-AG159</f>
        <v>301291.34399999992</v>
      </c>
      <c r="AH160" s="4252"/>
      <c r="AI160" s="4253">
        <f>+AI158-AI159</f>
        <v>49060.044000000024</v>
      </c>
      <c r="AJ160" s="4254"/>
      <c r="AK160" s="4255">
        <f>+AK158-AK159</f>
        <v>350351.38800000004</v>
      </c>
      <c r="AL160" s="4252"/>
      <c r="AM160" s="4253">
        <f>+AM158-AM159</f>
        <v>52987.18</v>
      </c>
      <c r="AN160" s="4256"/>
      <c r="AO160" s="4257">
        <f>+AO158-AO159</f>
        <v>131707.12099999993</v>
      </c>
      <c r="AP160" s="4254"/>
      <c r="AQ160" s="4255">
        <f>+AQ158-AQ159</f>
        <v>403338.56800000009</v>
      </c>
      <c r="AR160" s="4252"/>
      <c r="AS160" s="4253">
        <f>+AS158-AS159</f>
        <v>56169.977999999996</v>
      </c>
      <c r="AT160" s="4254"/>
      <c r="AU160" s="4255">
        <f>+AU158-AU159</f>
        <v>459508.54600000015</v>
      </c>
      <c r="AV160" s="4252"/>
      <c r="AW160" s="4253">
        <f>+AW158-AW159</f>
        <v>54279.398000000001</v>
      </c>
      <c r="AX160" s="4254"/>
      <c r="AY160" s="4255">
        <f>+AY158-AY159</f>
        <v>513787.94400000002</v>
      </c>
      <c r="AZ160" s="4252"/>
      <c r="BA160" s="4253">
        <f>+BA158-BA159</f>
        <v>63120.145999999993</v>
      </c>
      <c r="BB160" s="4256"/>
      <c r="BC160" s="4257">
        <f>+BC158-BC159</f>
        <v>173569.52200000003</v>
      </c>
      <c r="BD160" s="4260"/>
      <c r="BE160" s="4261">
        <f>+BE158-BE159</f>
        <v>305276.64300000004</v>
      </c>
      <c r="BF160" s="4254"/>
      <c r="BG160" s="4262">
        <f>+BG158-BG159</f>
        <v>576908.09000000008</v>
      </c>
      <c r="BH160" s="23"/>
      <c r="BI160" s="23"/>
    </row>
    <row r="162" spans="2:67" x14ac:dyDescent="0.3">
      <c r="B162" t="s">
        <v>1128</v>
      </c>
      <c r="G162" s="23">
        <f>+SUM(G8:G60)</f>
        <v>35837.255000000005</v>
      </c>
      <c r="H162" s="23">
        <f>+SUM(H8:H60)</f>
        <v>0</v>
      </c>
      <c r="I162" s="23">
        <f>+SUM(I8:I60)</f>
        <v>3259.2440000000006</v>
      </c>
      <c r="J162" s="23">
        <f>+SUM(J8:J60)</f>
        <v>0</v>
      </c>
      <c r="K162" s="23">
        <f>+SUM(K8:K60)</f>
        <v>39096.499000000003</v>
      </c>
      <c r="L162" s="23">
        <f>+SUM(L8:L60)</f>
        <v>0</v>
      </c>
      <c r="M162" s="23">
        <f>+SUM(M8:M60)</f>
        <v>41676.830999999998</v>
      </c>
      <c r="N162" s="23">
        <f>+SUM(N8:N60)</f>
        <v>0</v>
      </c>
      <c r="O162" s="23">
        <f>+SUM(O8:O60)</f>
        <v>80561.237000000008</v>
      </c>
      <c r="P162" s="23">
        <f>+SUM(P8:P60)</f>
        <v>0</v>
      </c>
      <c r="Q162" s="23">
        <f>+SUM(Q8:Q60)</f>
        <v>39505.72800000001</v>
      </c>
      <c r="R162" s="23">
        <f>+SUM(R8:R60)</f>
        <v>0</v>
      </c>
      <c r="S162" s="23">
        <f>+SUM(S8:S60)</f>
        <v>120066.96500000003</v>
      </c>
      <c r="T162" s="23">
        <f>+SUM(T8:T60)</f>
        <v>0</v>
      </c>
      <c r="U162" s="23">
        <f>+SUM(U8:U60)</f>
        <v>30061.677999999996</v>
      </c>
      <c r="V162" s="23">
        <f>+SUM(V8:V60)</f>
        <v>0</v>
      </c>
      <c r="W162" s="23">
        <f>+SUM(W8:W60)</f>
        <v>150128.64300000001</v>
      </c>
      <c r="X162" s="23">
        <f>+SUM(X8:X60)</f>
        <v>0</v>
      </c>
      <c r="Y162" s="23">
        <f>+SUM(Y8:Y60)</f>
        <v>32261.593999999997</v>
      </c>
      <c r="Z162" s="23">
        <f>+SUM(Z8:Z60)</f>
        <v>0</v>
      </c>
      <c r="AA162" s="23">
        <f>+SUM(AA8:AA60)</f>
        <v>101829</v>
      </c>
      <c r="AB162" s="23">
        <f>+SUM(AB8:AB60)</f>
        <v>0</v>
      </c>
      <c r="AC162" s="23">
        <f>+SUM(AC8:AC60)</f>
        <v>182390.23699999999</v>
      </c>
      <c r="AD162" s="23">
        <f>+SUM(AD8:AD60)</f>
        <v>0</v>
      </c>
      <c r="AE162" s="23">
        <f>+SUM(AE8:AE60)</f>
        <v>26347.059000000005</v>
      </c>
      <c r="AF162" s="23">
        <f>+SUM(AF8:AF60)</f>
        <v>0</v>
      </c>
      <c r="AG162" s="23">
        <f>+SUM(AG8:AG60)</f>
        <v>208737.29599999997</v>
      </c>
      <c r="AH162" s="23">
        <f>+SUM(AH8:AH60)</f>
        <v>0</v>
      </c>
      <c r="AI162" s="23">
        <f>+SUM(AI8:AI60)</f>
        <v>33174.987000000001</v>
      </c>
      <c r="AJ162" s="23">
        <f>+SUM(AJ8:AJ60)</f>
        <v>0</v>
      </c>
      <c r="AK162" s="23">
        <f>+SUM(AK8:AK60)</f>
        <v>241912.28300000008</v>
      </c>
      <c r="AL162" s="23">
        <f>+SUM(AL8:AL60)</f>
        <v>0</v>
      </c>
      <c r="AM162" s="23">
        <f>+SUM(AM8:AM60)</f>
        <v>34992.377999999997</v>
      </c>
      <c r="AN162" s="23">
        <f>+SUM(AN8:AN60)</f>
        <v>0</v>
      </c>
      <c r="AO162" s="23">
        <f>+SUM(AO8:AO60)</f>
        <v>94514.423999999999</v>
      </c>
      <c r="AP162" s="23">
        <f>+SUM(AP8:AP60)</f>
        <v>0</v>
      </c>
      <c r="AQ162" s="23">
        <f>+SUM(AQ8:AQ60)</f>
        <v>276904.66100000014</v>
      </c>
      <c r="AR162" s="23">
        <f>+SUM(AR8:AR60)</f>
        <v>0</v>
      </c>
      <c r="AS162" s="23">
        <f>+SUM(AS8:AS60)</f>
        <v>35829.667000000001</v>
      </c>
      <c r="AT162" s="23">
        <f>+SUM(AT8:AT60)</f>
        <v>0</v>
      </c>
      <c r="AU162" s="23">
        <f>+SUM(AU8:AU60)</f>
        <v>312734.3280000001</v>
      </c>
      <c r="AV162" s="23">
        <f>+SUM(AV8:AV60)</f>
        <v>0</v>
      </c>
      <c r="AW162" s="23">
        <f>+SUM(AW8:AW60)</f>
        <v>43359.470999999998</v>
      </c>
      <c r="AX162" s="23">
        <f>+SUM(AX8:AX60)</f>
        <v>0</v>
      </c>
      <c r="AY162" s="23">
        <f>+SUM(AY8:AY60)</f>
        <v>356093.79900000006</v>
      </c>
      <c r="AZ162" s="23">
        <f>+SUM(AZ8:AZ60)</f>
        <v>0</v>
      </c>
      <c r="BA162" s="23">
        <f>+SUM(BA8:BA60)</f>
        <v>50048.392999999989</v>
      </c>
      <c r="BB162" s="23">
        <f>+SUM(BB8:BB60)</f>
        <v>0</v>
      </c>
      <c r="BC162" s="23">
        <f>+SUM(BC8:BC60)</f>
        <v>129237.531</v>
      </c>
      <c r="BD162" s="23">
        <f>+SUM(BD8:BD60)</f>
        <v>0</v>
      </c>
      <c r="BE162" s="23">
        <f>+SUM(BE8:BE60)</f>
        <v>223751.95500000005</v>
      </c>
      <c r="BF162" s="23">
        <f>+SUM(BF8:BF60)</f>
        <v>0</v>
      </c>
      <c r="BG162" s="23">
        <f>+SUM(BG8:BG60)</f>
        <v>406142.19200000004</v>
      </c>
    </row>
    <row r="163" spans="2:67" x14ac:dyDescent="0.3">
      <c r="B163" t="s">
        <v>1129</v>
      </c>
      <c r="G163" s="23">
        <f>+SUM(G61:G74)</f>
        <v>8136.5259999999989</v>
      </c>
      <c r="H163" s="23">
        <f>+SUM(H61:H74)</f>
        <v>0</v>
      </c>
      <c r="I163" s="23">
        <f>+SUM(I61:I74)</f>
        <v>2879.5259999999994</v>
      </c>
      <c r="J163" s="23">
        <f>+SUM(J61:J74)</f>
        <v>0</v>
      </c>
      <c r="K163" s="23">
        <f>+SUM(K61:K74)</f>
        <v>11016.052</v>
      </c>
      <c r="L163" s="23">
        <f>+SUM(L61:L74)</f>
        <v>0</v>
      </c>
      <c r="M163" s="23">
        <f>+SUM(M61:M74)</f>
        <v>5963.7650000000003</v>
      </c>
      <c r="N163" s="23">
        <f>+SUM(N61:N74)</f>
        <v>0</v>
      </c>
      <c r="O163" s="23">
        <f>+SUM(O61:O74)</f>
        <v>16979.816999999999</v>
      </c>
      <c r="P163" s="23">
        <f>+SUM(P61:P74)</f>
        <v>0</v>
      </c>
      <c r="Q163" s="23">
        <f>+SUM(Q61:Q74)</f>
        <v>6848.3829999999998</v>
      </c>
      <c r="R163" s="23">
        <f>+SUM(R61:R74)</f>
        <v>0</v>
      </c>
      <c r="S163" s="23">
        <f>+SUM(S61:S74)</f>
        <v>23828.199999999993</v>
      </c>
      <c r="T163" s="23">
        <f>+SUM(T61:T74)</f>
        <v>0</v>
      </c>
      <c r="U163" s="23">
        <f>+SUM(U61:U74)</f>
        <v>1438.2529999999997</v>
      </c>
      <c r="V163" s="23">
        <f>+SUM(V61:V74)</f>
        <v>0</v>
      </c>
      <c r="W163" s="23">
        <f>+SUM(W61:W74)</f>
        <v>25266.45299999999</v>
      </c>
      <c r="X163" s="23">
        <f>+SUM(X61:X74)</f>
        <v>0</v>
      </c>
      <c r="Y163" s="23">
        <f>+SUM(Y61:Y74)</f>
        <v>5720.8829999999998</v>
      </c>
      <c r="Z163" s="23">
        <f>+SUM(Z61:Z74)</f>
        <v>0</v>
      </c>
      <c r="AA163" s="23">
        <f>+SUM(AA61:AA74)</f>
        <v>14007.519</v>
      </c>
      <c r="AB163" s="23">
        <f>+SUM(AB61:AB74)</f>
        <v>0</v>
      </c>
      <c r="AC163" s="23">
        <f>+SUM(AC61:AC74)</f>
        <v>30987.335999999999</v>
      </c>
      <c r="AD163" s="23">
        <f>+SUM(AD61:AD74)</f>
        <v>0</v>
      </c>
      <c r="AE163" s="23">
        <f>+SUM(AE61:AE74)</f>
        <v>0</v>
      </c>
      <c r="AF163" s="23">
        <f>+SUM(AF61:AF74)</f>
        <v>0</v>
      </c>
      <c r="AG163" s="23">
        <f>+SUM(AG61:AG74)</f>
        <v>30987.335999999999</v>
      </c>
      <c r="AH163" s="23">
        <f>+SUM(AH61:AH74)</f>
        <v>0</v>
      </c>
      <c r="AI163" s="23">
        <f>+SUM(AI61:AI74)</f>
        <v>6170.5360000000001</v>
      </c>
      <c r="AJ163" s="23">
        <f>+SUM(AJ61:AJ74)</f>
        <v>0</v>
      </c>
      <c r="AK163" s="23">
        <f>+SUM(AK61:AK74)</f>
        <v>37157.871999999996</v>
      </c>
      <c r="AL163" s="23">
        <f>+SUM(AL61:AL74)</f>
        <v>0</v>
      </c>
      <c r="AM163" s="23">
        <f>+SUM(AM61:AM74)</f>
        <v>4072.8229999999994</v>
      </c>
      <c r="AN163" s="23">
        <f>+SUM(AN61:AN74)</f>
        <v>0</v>
      </c>
      <c r="AO163" s="23">
        <f>+SUM(AO61:AO74)</f>
        <v>10243.358999999999</v>
      </c>
      <c r="AP163" s="23">
        <f>+SUM(AP61:AP74)</f>
        <v>0</v>
      </c>
      <c r="AQ163" s="23">
        <f>+SUM(AQ61:AQ74)</f>
        <v>41230.695</v>
      </c>
      <c r="AR163" s="23">
        <f>+SUM(AR61:AR74)</f>
        <v>0</v>
      </c>
      <c r="AS163" s="23">
        <f>+SUM(AS61:AS74)</f>
        <v>5596.3930000000018</v>
      </c>
      <c r="AT163" s="23">
        <f>+SUM(AT61:AT74)</f>
        <v>0</v>
      </c>
      <c r="AU163" s="23">
        <f>+SUM(AU61:AU74)</f>
        <v>46827.087999999996</v>
      </c>
      <c r="AV163" s="23">
        <f>+SUM(AV61:AV74)</f>
        <v>0</v>
      </c>
      <c r="AW163" s="23">
        <f>+SUM(AW61:AW74)</f>
        <v>3073.86</v>
      </c>
      <c r="AX163" s="23">
        <f>+SUM(AX61:AX74)</f>
        <v>0</v>
      </c>
      <c r="AY163" s="23">
        <f>+SUM(AY61:AY74)</f>
        <v>49900.947999999989</v>
      </c>
      <c r="AZ163" s="23">
        <f>+SUM(AZ61:AZ74)</f>
        <v>0</v>
      </c>
      <c r="BA163" s="23">
        <f>+SUM(BA61:BA74)</f>
        <v>4775.8689999999997</v>
      </c>
      <c r="BB163" s="23">
        <f>+SUM(BB61:BB74)</f>
        <v>0</v>
      </c>
      <c r="BC163" s="23">
        <f>+SUM(BC61:BC74)</f>
        <v>13446.121999999999</v>
      </c>
      <c r="BD163" s="23">
        <f>+SUM(BD61:BD74)</f>
        <v>0</v>
      </c>
      <c r="BE163" s="23">
        <f>+SUM(BE61:BE74)</f>
        <v>23689.481</v>
      </c>
      <c r="BF163" s="23">
        <f>+SUM(BF61:BF74)</f>
        <v>0</v>
      </c>
      <c r="BG163" s="23">
        <f>+SUM(BG61:BG74)</f>
        <v>54676.816999999988</v>
      </c>
    </row>
    <row r="164" spans="2:67" x14ac:dyDescent="0.3">
      <c r="B164" t="s">
        <v>893</v>
      </c>
      <c r="G164" s="23">
        <f>+SUM(G91:G103)</f>
        <v>3735.1699999999992</v>
      </c>
      <c r="H164" s="23">
        <f>+SUM(H91:H103)</f>
        <v>0</v>
      </c>
      <c r="I164" s="23">
        <f>+SUM(I91:I103)</f>
        <v>4397.1480000000001</v>
      </c>
      <c r="J164" s="23">
        <f>+SUM(J91:J103)</f>
        <v>0</v>
      </c>
      <c r="K164" s="23">
        <f>+SUM(K91:K103)</f>
        <v>8132.3179999999993</v>
      </c>
      <c r="L164" s="23">
        <f>+SUM(L91:L103)</f>
        <v>0</v>
      </c>
      <c r="M164" s="23">
        <f>+SUM(M91:M103)</f>
        <v>6391.5139999999974</v>
      </c>
      <c r="N164" s="23">
        <f>+SUM(N91:N103)</f>
        <v>0</v>
      </c>
      <c r="O164" s="23">
        <f>+SUM(O91:O103)</f>
        <v>14523.831999999999</v>
      </c>
      <c r="P164" s="23">
        <f>+SUM(P91:P103)</f>
        <v>0</v>
      </c>
      <c r="Q164" s="23">
        <f>+SUM(Q91:Q103)</f>
        <v>8126.5689999999968</v>
      </c>
      <c r="R164" s="23">
        <f>+SUM(R91:R103)</f>
        <v>0</v>
      </c>
      <c r="S164" s="23">
        <f>+SUM(S91:S103)</f>
        <v>17737.338999999993</v>
      </c>
      <c r="T164" s="23">
        <f>+SUM(T91:T103)</f>
        <v>0</v>
      </c>
      <c r="U164" s="23">
        <f>+SUM(U91:U103)</f>
        <v>9825.4939999999988</v>
      </c>
      <c r="V164" s="23">
        <f>+SUM(V91:V103)</f>
        <v>0</v>
      </c>
      <c r="W164" s="23">
        <f>+SUM(W91:W103)</f>
        <v>27562.832999999991</v>
      </c>
      <c r="X164" s="23">
        <f>+SUM(X91:X103)</f>
        <v>0</v>
      </c>
      <c r="Y164" s="23">
        <f>+SUM(Y91:Y103)</f>
        <v>9271.39</v>
      </c>
      <c r="Z164" s="23">
        <f>+SUM(Z91:Z103)</f>
        <v>0</v>
      </c>
      <c r="AA164" s="23">
        <f>+SUM(AA91:AA103)</f>
        <v>27223.452999999994</v>
      </c>
      <c r="AB164" s="23">
        <f>+SUM(AB91:AB103)</f>
        <v>0</v>
      </c>
      <c r="AC164" s="23">
        <f>+SUM(AC91:AC103)</f>
        <v>41747.284999999996</v>
      </c>
      <c r="AD164" s="23">
        <f>+SUM(AD91:AD103)</f>
        <v>0</v>
      </c>
      <c r="AE164" s="23">
        <f>+SUM(AE91:AE103)</f>
        <v>2320.6020000000003</v>
      </c>
      <c r="AF164" s="23">
        <f>+SUM(AF91:AF103)</f>
        <v>0</v>
      </c>
      <c r="AG164" s="23">
        <f>+SUM(AG91:AG103)</f>
        <v>44067.886999999995</v>
      </c>
      <c r="AH164" s="23">
        <f>+SUM(AH91:AH103)</f>
        <v>0</v>
      </c>
      <c r="AI164" s="23">
        <f>+SUM(AI91:AI103)</f>
        <v>6989.3249999999998</v>
      </c>
      <c r="AJ164" s="23">
        <f>+SUM(AJ91:AJ103)</f>
        <v>0</v>
      </c>
      <c r="AK164" s="23">
        <f>+SUM(AK91:AK103)</f>
        <v>51057.212</v>
      </c>
      <c r="AL164" s="23">
        <f>+SUM(AL91:AL103)</f>
        <v>0</v>
      </c>
      <c r="AM164" s="23">
        <f>+SUM(AM91:AM103)</f>
        <v>10163.959000000003</v>
      </c>
      <c r="AN164" s="23">
        <f>+SUM(AN91:AN103)</f>
        <v>0</v>
      </c>
      <c r="AO164" s="23">
        <f>+SUM(AO91:AO103)</f>
        <v>19473.886000000002</v>
      </c>
      <c r="AP164" s="23">
        <f>+SUM(AP91:AP103)</f>
        <v>0</v>
      </c>
      <c r="AQ164" s="23">
        <f>+SUM(AQ91:AQ103)</f>
        <v>61221.170999999995</v>
      </c>
      <c r="AR164" s="23">
        <f>+SUM(AR91:AR103)</f>
        <v>0</v>
      </c>
      <c r="AS164" s="23">
        <f>+SUM(AS91:AS103)</f>
        <v>7822.952000000003</v>
      </c>
      <c r="AT164" s="23">
        <f>+SUM(AT91:AT103)</f>
        <v>0</v>
      </c>
      <c r="AU164" s="23">
        <f>+SUM(AU91:AU103)</f>
        <v>69044.123000000007</v>
      </c>
      <c r="AV164" s="23">
        <f>+SUM(AV91:AV103)</f>
        <v>0</v>
      </c>
      <c r="AW164" s="23">
        <f>+SUM(AW91:AW103)</f>
        <v>7846.0670000000009</v>
      </c>
      <c r="AX164" s="23">
        <f>+SUM(AX91:AX103)</f>
        <v>0</v>
      </c>
      <c r="AY164" s="23">
        <f>+SUM(AY91:AY103)</f>
        <v>76890.189999999988</v>
      </c>
      <c r="AZ164" s="23">
        <f>+SUM(AZ91:AZ103)</f>
        <v>0</v>
      </c>
      <c r="BA164" s="23">
        <f>+SUM(BA91:BA103)</f>
        <v>4314.1299999999992</v>
      </c>
      <c r="BB164" s="23">
        <f>+SUM(BB91:BB103)</f>
        <v>0</v>
      </c>
      <c r="BC164" s="23">
        <f>+SUM(BC91:BC103)</f>
        <v>19983.149000000001</v>
      </c>
      <c r="BD164" s="23">
        <f>+SUM(BD91:BD103)</f>
        <v>0</v>
      </c>
      <c r="BE164" s="23">
        <f>+SUM(BE91:BE103)</f>
        <v>39457.035000000003</v>
      </c>
      <c r="BF164" s="23">
        <f>+SUM(BF91:BF103)</f>
        <v>0</v>
      </c>
      <c r="BG164" s="23">
        <f>+SUM(BG91:BG103)</f>
        <v>81204.319999999992</v>
      </c>
    </row>
    <row r="165" spans="2:67" x14ac:dyDescent="0.3">
      <c r="B165" t="s">
        <v>650</v>
      </c>
      <c r="G165" s="23">
        <f>+SUM(G89:G90)</f>
        <v>2238.9240000000004</v>
      </c>
      <c r="H165" s="23">
        <f>+SUM(H89:H90)</f>
        <v>0</v>
      </c>
      <c r="I165" s="23">
        <f>+SUM(I89:I90)</f>
        <v>0</v>
      </c>
      <c r="J165" s="23">
        <f>+SUM(J89:J90)</f>
        <v>0</v>
      </c>
      <c r="K165" s="23">
        <f>+SUM(K89:K90)</f>
        <v>2238.9240000000004</v>
      </c>
      <c r="L165" s="23">
        <f>+SUM(L89:L90)</f>
        <v>0</v>
      </c>
      <c r="M165" s="23">
        <f>+SUM(M89:M90)</f>
        <v>1992.848</v>
      </c>
      <c r="N165" s="23">
        <f>+SUM(N89:N90)</f>
        <v>0</v>
      </c>
      <c r="O165" s="23">
        <f>+SUM(O89:O90)</f>
        <v>4231.7720000000008</v>
      </c>
      <c r="P165" s="23">
        <f>+SUM(P89:P90)</f>
        <v>0</v>
      </c>
      <c r="Q165" s="23">
        <f>+SUM(Q89:Q90)</f>
        <v>0</v>
      </c>
      <c r="R165" s="23">
        <f>+SUM(R89:R90)</f>
        <v>0</v>
      </c>
      <c r="S165" s="23">
        <f>+SUM(S89:S90)</f>
        <v>4231.7720000000008</v>
      </c>
      <c r="T165" s="23">
        <f>+SUM(T89:T90)</f>
        <v>0</v>
      </c>
      <c r="U165" s="23">
        <f>+SUM(U89:U90)</f>
        <v>468.21000000000004</v>
      </c>
      <c r="V165" s="23">
        <f>+SUM(V89:V90)</f>
        <v>0</v>
      </c>
      <c r="W165" s="23">
        <f>+SUM(W89:W90)</f>
        <v>4699.9820000000009</v>
      </c>
      <c r="X165" s="23">
        <f>+SUM(X89:X90)</f>
        <v>0</v>
      </c>
      <c r="Y165" s="23">
        <f>+SUM(Y89:Y90)</f>
        <v>0</v>
      </c>
      <c r="Z165" s="23">
        <f>+SUM(Z89:Z90)</f>
        <v>0</v>
      </c>
      <c r="AA165" s="23">
        <f>+SUM(AA89:AA90)</f>
        <v>468.21000000000004</v>
      </c>
      <c r="AB165" s="23">
        <f>+SUM(AB89:AB90)</f>
        <v>0</v>
      </c>
      <c r="AC165" s="23">
        <f>+SUM(AC89:AC90)</f>
        <v>4699.9820000000009</v>
      </c>
      <c r="AD165" s="23">
        <f>+SUM(AD89:AD90)</f>
        <v>0</v>
      </c>
      <c r="AE165" s="23">
        <f>+SUM(AE89:AE90)</f>
        <v>0</v>
      </c>
      <c r="AF165" s="23">
        <f>+SUM(AF89:AF90)</f>
        <v>0</v>
      </c>
      <c r="AG165" s="23">
        <f>+SUM(AG89:AG90)</f>
        <v>4699.9820000000009</v>
      </c>
      <c r="AH165" s="23">
        <f>+SUM(AH89:AH90)</f>
        <v>0</v>
      </c>
      <c r="AI165" s="23">
        <f>+SUM(AI89:AI90)</f>
        <v>0</v>
      </c>
      <c r="AJ165" s="23">
        <f>+SUM(AJ89:AJ90)</f>
        <v>0</v>
      </c>
      <c r="AK165" s="23">
        <f>+SUM(AK89:AK90)</f>
        <v>4699.9820000000009</v>
      </c>
      <c r="AL165" s="23">
        <f>+SUM(AL89:AL90)</f>
        <v>0</v>
      </c>
      <c r="AM165" s="23">
        <f>+SUM(AM89:AM90)</f>
        <v>0</v>
      </c>
      <c r="AN165" s="23">
        <f>+SUM(AN89:AN90)</f>
        <v>0</v>
      </c>
      <c r="AO165" s="23">
        <f>+SUM(AO89:AO90)</f>
        <v>0</v>
      </c>
      <c r="AP165" s="23">
        <f>+SUM(AP89:AP90)</f>
        <v>0</v>
      </c>
      <c r="AQ165" s="23">
        <f>+SUM(AQ89:AQ90)</f>
        <v>4699.9820000000009</v>
      </c>
      <c r="AR165" s="23">
        <f>+SUM(AR89:AR90)</f>
        <v>0</v>
      </c>
      <c r="AS165" s="23">
        <f>+SUM(AS89:AS90)</f>
        <v>0</v>
      </c>
      <c r="AT165" s="23">
        <f>+SUM(AT89:AT90)</f>
        <v>0</v>
      </c>
      <c r="AU165" s="23">
        <f>+SUM(AU89:AU90)</f>
        <v>4699.9820000000009</v>
      </c>
      <c r="AV165" s="23">
        <f>+SUM(AV89:AV90)</f>
        <v>0</v>
      </c>
      <c r="AW165" s="23">
        <f>+SUM(AW89:AW90)</f>
        <v>0</v>
      </c>
      <c r="AX165" s="23">
        <f>+SUM(AX89:AX90)</f>
        <v>0</v>
      </c>
      <c r="AY165" s="23">
        <f>+SUM(AY89:AY90)</f>
        <v>4699.9820000000009</v>
      </c>
      <c r="AZ165" s="23">
        <f>+SUM(AZ89:AZ90)</f>
        <v>0</v>
      </c>
      <c r="BA165" s="23">
        <f>+SUM(BA89:BA90)</f>
        <v>0</v>
      </c>
      <c r="BB165" s="23">
        <f>+SUM(BB89:BB90)</f>
        <v>0</v>
      </c>
      <c r="BC165" s="23">
        <f>+SUM(BC89:BC90)</f>
        <v>0</v>
      </c>
      <c r="BD165" s="23">
        <f>+SUM(BD89:BD90)</f>
        <v>0</v>
      </c>
      <c r="BE165" s="23">
        <f>+SUM(BE89:BE90)</f>
        <v>0</v>
      </c>
      <c r="BF165" s="23">
        <f>+SUM(BF89:BF90)</f>
        <v>0</v>
      </c>
      <c r="BG165" s="23">
        <f>+SUM(BG89:BG90)</f>
        <v>4699.9820000000009</v>
      </c>
    </row>
    <row r="166" spans="2:67" x14ac:dyDescent="0.3">
      <c r="B166" t="s">
        <v>1989</v>
      </c>
      <c r="G166" s="23">
        <f>SUM(G79:G88)</f>
        <v>1617.4609999999998</v>
      </c>
      <c r="H166" s="23">
        <f>SUM(H79:H88)</f>
        <v>0</v>
      </c>
      <c r="I166" s="23">
        <f>SUM(I79:I88)</f>
        <v>0</v>
      </c>
      <c r="J166" s="23">
        <f>SUM(J79:J88)</f>
        <v>0</v>
      </c>
      <c r="K166" s="23">
        <f>SUM(K79:K88)</f>
        <v>1617.4609999999998</v>
      </c>
      <c r="L166" s="23">
        <f>SUM(L79:L88)</f>
        <v>0</v>
      </c>
      <c r="M166" s="23">
        <f>SUM(M79:M88)</f>
        <v>0</v>
      </c>
      <c r="N166" s="23">
        <f>SUM(N79:N88)</f>
        <v>0</v>
      </c>
      <c r="O166" s="23">
        <f>SUM(O79:O88)</f>
        <v>0</v>
      </c>
      <c r="P166" s="23">
        <f>SUM(P79:P88)</f>
        <v>0</v>
      </c>
      <c r="Q166" s="23">
        <f>SUM(Q79:Q88)</f>
        <v>15.712999999999999</v>
      </c>
      <c r="R166" s="23">
        <f>SUM(R79:R88)</f>
        <v>0</v>
      </c>
      <c r="S166" s="23">
        <f>SUM(S79:S88)</f>
        <v>15.712999999999999</v>
      </c>
      <c r="T166" s="23">
        <f>SUM(T79:T88)</f>
        <v>0</v>
      </c>
      <c r="U166" s="23">
        <f>SUM(U79:U88)</f>
        <v>0</v>
      </c>
      <c r="V166" s="23">
        <f>SUM(V79:V88)</f>
        <v>0</v>
      </c>
      <c r="W166" s="23">
        <f>SUM(W79:W88)</f>
        <v>15.712999999999999</v>
      </c>
      <c r="X166" s="23">
        <f>SUM(X79:X88)</f>
        <v>0</v>
      </c>
      <c r="Y166" s="23">
        <f>SUM(Y79:Y88)</f>
        <v>1199.047</v>
      </c>
      <c r="Z166" s="23">
        <f>SUM(Z79:Z88)</f>
        <v>0</v>
      </c>
      <c r="AA166" s="23">
        <f>SUM(AA79:AA88)</f>
        <v>1214.7600000000002</v>
      </c>
      <c r="AB166" s="23">
        <f>SUM(AB79:AB88)</f>
        <v>0</v>
      </c>
      <c r="AC166" s="23">
        <f>SUM(AC79:AC88)</f>
        <v>1214.7600000000002</v>
      </c>
      <c r="AD166" s="23">
        <f>SUM(AD79:AD88)</f>
        <v>0</v>
      </c>
      <c r="AE166" s="23">
        <f>SUM(AE79:AE88)</f>
        <v>992.23599999999988</v>
      </c>
      <c r="AF166" s="23">
        <f>SUM(AF79:AF88)</f>
        <v>0</v>
      </c>
      <c r="AG166" s="23">
        <f>SUM(AG79:AG88)</f>
        <v>2206.9960000000001</v>
      </c>
      <c r="AH166" s="23">
        <f>SUM(AH79:AH88)</f>
        <v>0</v>
      </c>
      <c r="AI166" s="23">
        <f>SUM(AI79:AI88)</f>
        <v>1383.221</v>
      </c>
      <c r="AJ166" s="23">
        <f>SUM(AJ79:AJ88)</f>
        <v>0</v>
      </c>
      <c r="AK166" s="23">
        <f>SUM(AK79:AK88)</f>
        <v>3590.2170000000006</v>
      </c>
      <c r="AL166" s="23">
        <f>SUM(AL79:AL88)</f>
        <v>0</v>
      </c>
      <c r="AM166" s="23">
        <f>SUM(AM79:AM88)</f>
        <v>3758.0199999999995</v>
      </c>
      <c r="AN166" s="23">
        <f>SUM(AN79:AN88)</f>
        <v>0</v>
      </c>
      <c r="AO166" s="23">
        <f>SUM(AO79:AO88)</f>
        <v>6133.4770000000008</v>
      </c>
      <c r="AP166" s="23">
        <f>SUM(AP79:AP88)</f>
        <v>0</v>
      </c>
      <c r="AQ166" s="23">
        <f>SUM(AQ79:AQ88)</f>
        <v>7348.2369999999992</v>
      </c>
      <c r="AR166" s="23">
        <f>SUM(AR79:AR88)</f>
        <v>0</v>
      </c>
      <c r="AS166" s="23">
        <f>SUM(AS79:AS88)</f>
        <v>2622.34</v>
      </c>
      <c r="AT166" s="23">
        <f>SUM(AT79:AT88)</f>
        <v>0</v>
      </c>
      <c r="AU166" s="23">
        <f>SUM(AU79:AU88)</f>
        <v>9970.5769999999993</v>
      </c>
      <c r="AV166" s="23">
        <f>SUM(AV79:AV88)</f>
        <v>0</v>
      </c>
      <c r="AW166" s="23">
        <f>SUM(AW79:AW88)</f>
        <v>0</v>
      </c>
      <c r="AX166" s="23">
        <f>SUM(AX79:AX88)</f>
        <v>0</v>
      </c>
      <c r="AY166" s="23">
        <f>SUM(AY79:AY88)</f>
        <v>9970.5769999999993</v>
      </c>
      <c r="AZ166" s="23">
        <f>SUM(AZ79:AZ88)</f>
        <v>0</v>
      </c>
      <c r="BA166" s="23">
        <f>SUM(BA79:BA88)</f>
        <v>1750.001</v>
      </c>
      <c r="BB166" s="23">
        <f>SUM(BB79:BB88)</f>
        <v>0</v>
      </c>
      <c r="BC166" s="23">
        <f>SUM(BC79:BC88)</f>
        <v>4372.3410000000003</v>
      </c>
      <c r="BD166" s="23">
        <f>SUM(BD79:BD88)</f>
        <v>0</v>
      </c>
      <c r="BE166" s="23">
        <f>SUM(BE79:BE88)</f>
        <v>10505.818000000001</v>
      </c>
      <c r="BF166" s="23">
        <f>SUM(BF79:BF88)</f>
        <v>0</v>
      </c>
      <c r="BG166" s="23">
        <f>SUM(BG79:BG88)</f>
        <v>11720.578</v>
      </c>
    </row>
    <row r="167" spans="2:67" x14ac:dyDescent="0.3">
      <c r="B167" t="s">
        <v>1970</v>
      </c>
      <c r="G167" s="23">
        <f>SUM(G75:G78)</f>
        <v>954.71799999999985</v>
      </c>
      <c r="H167" s="23">
        <f>SUM(H75:H78)</f>
        <v>0</v>
      </c>
      <c r="I167" s="23">
        <f>SUM(I75:I78)</f>
        <v>0</v>
      </c>
      <c r="J167" s="23">
        <f>SUM(J75:J78)</f>
        <v>0</v>
      </c>
      <c r="K167" s="23">
        <f>SUM(K75:K78)</f>
        <v>954.71799999999985</v>
      </c>
      <c r="L167" s="23">
        <f>SUM(L75:L78)</f>
        <v>0</v>
      </c>
      <c r="M167" s="23">
        <f>SUM(M75:M78)</f>
        <v>2649.6750000000002</v>
      </c>
      <c r="N167" s="23">
        <f>SUM(N75:N78)</f>
        <v>0</v>
      </c>
      <c r="O167" s="23">
        <f>SUM(O75:O78)</f>
        <v>3604.393</v>
      </c>
      <c r="P167" s="23">
        <f>SUM(P75:P78)</f>
        <v>0</v>
      </c>
      <c r="Q167" s="23">
        <f>SUM(Q75:Q78)</f>
        <v>2830.9939999999997</v>
      </c>
      <c r="R167" s="23">
        <f>SUM(R75:R78)</f>
        <v>0</v>
      </c>
      <c r="S167" s="23">
        <f>SUM(S75:S78)</f>
        <v>6435.3870000000006</v>
      </c>
      <c r="T167" s="23">
        <f>SUM(T75:T78)</f>
        <v>0</v>
      </c>
      <c r="U167" s="23">
        <f>SUM(U75:U78)</f>
        <v>2612.6579999999994</v>
      </c>
      <c r="V167" s="23">
        <f>SUM(V75:V78)</f>
        <v>0</v>
      </c>
      <c r="W167" s="23">
        <f>SUM(W75:W78)</f>
        <v>9048.0449999999983</v>
      </c>
      <c r="X167" s="23">
        <f>SUM(X75:X78)</f>
        <v>0</v>
      </c>
      <c r="Y167" s="23">
        <f>SUM(Y75:Y78)</f>
        <v>1543.8019999999997</v>
      </c>
      <c r="Z167" s="23">
        <f>SUM(Z75:Z78)</f>
        <v>0</v>
      </c>
      <c r="AA167" s="23">
        <f>SUM(AA75:AA78)</f>
        <v>6987.4540000000006</v>
      </c>
      <c r="AB167" s="23">
        <f>SUM(AB75:AB78)</f>
        <v>0</v>
      </c>
      <c r="AC167" s="23">
        <f>SUM(AC75:AC78)</f>
        <v>10591.847000000002</v>
      </c>
      <c r="AD167" s="23">
        <f>SUM(AD75:AD78)</f>
        <v>0</v>
      </c>
      <c r="AE167" s="23">
        <f>SUM(AE75:AE78)</f>
        <v>0</v>
      </c>
      <c r="AF167" s="23">
        <f>SUM(AF75:AF78)</f>
        <v>0</v>
      </c>
      <c r="AG167" s="23">
        <f>SUM(AG75:AG78)</f>
        <v>10591.847000000002</v>
      </c>
      <c r="AH167" s="23">
        <f>SUM(AH75:AH78)</f>
        <v>0</v>
      </c>
      <c r="AI167" s="23">
        <f>SUM(AI75:AI78)</f>
        <v>1341.9749999999999</v>
      </c>
      <c r="AJ167" s="23">
        <f>SUM(AJ75:AJ78)</f>
        <v>0</v>
      </c>
      <c r="AK167" s="23">
        <f>SUM(AK75:AK78)</f>
        <v>11933.822</v>
      </c>
      <c r="AL167" s="23">
        <f>SUM(AL75:AL78)</f>
        <v>0</v>
      </c>
      <c r="AM167" s="23">
        <f>SUM(AM75:AM78)</f>
        <v>0</v>
      </c>
      <c r="AN167" s="23">
        <f>SUM(AN75:AN78)</f>
        <v>0</v>
      </c>
      <c r="AO167" s="23">
        <f>SUM(AO75:AO78)</f>
        <v>1341.9749999999999</v>
      </c>
      <c r="AP167" s="23">
        <f>SUM(AP75:AP78)</f>
        <v>0</v>
      </c>
      <c r="AQ167" s="23">
        <f>SUM(AQ75:AQ78)</f>
        <v>11933.822</v>
      </c>
      <c r="AR167" s="23">
        <f>SUM(AR75:AR78)</f>
        <v>0</v>
      </c>
      <c r="AS167" s="23">
        <f>SUM(AS75:AS78)</f>
        <v>4298.6260000000002</v>
      </c>
      <c r="AT167" s="23">
        <f>SUM(AT75:AT78)</f>
        <v>0</v>
      </c>
      <c r="AU167" s="23">
        <f>SUM(AU75:AU78)</f>
        <v>16232.448</v>
      </c>
      <c r="AV167" s="23">
        <f>SUM(AV75:AV78)</f>
        <v>0</v>
      </c>
      <c r="AW167" s="23">
        <f>SUM(AW75:AW78)</f>
        <v>0</v>
      </c>
      <c r="AX167" s="23">
        <f>SUM(AX75:AX78)</f>
        <v>0</v>
      </c>
      <c r="AY167" s="23">
        <f>SUM(AY75:AY78)</f>
        <v>16232.448</v>
      </c>
      <c r="AZ167" s="23">
        <f>SUM(AZ75:AZ78)</f>
        <v>0</v>
      </c>
      <c r="BA167" s="23">
        <f>SUM(BA75:BA78)</f>
        <v>2231.7529999999997</v>
      </c>
      <c r="BB167" s="23">
        <f>SUM(BB75:BB78)</f>
        <v>0</v>
      </c>
      <c r="BC167" s="23">
        <f>SUM(BC75:BC78)</f>
        <v>6530.3789999999999</v>
      </c>
      <c r="BD167" s="23">
        <f>SUM(BD75:BD78)</f>
        <v>0</v>
      </c>
      <c r="BE167" s="23">
        <f>SUM(BE75:BE78)</f>
        <v>7872.3539999999994</v>
      </c>
      <c r="BF167" s="23">
        <f>SUM(BF75:BF78)</f>
        <v>0</v>
      </c>
      <c r="BG167" s="23">
        <f>SUM(BG75:BG78)</f>
        <v>18464.201000000001</v>
      </c>
    </row>
    <row r="168" spans="2:67" x14ac:dyDescent="0.3">
      <c r="G168" s="23">
        <f t="shared" ref="G168:AD168" si="174">SUM(G162:G167)</f>
        <v>52520.054000000004</v>
      </c>
      <c r="H168" s="23">
        <f t="shared" si="174"/>
        <v>0</v>
      </c>
      <c r="I168" s="23">
        <f t="shared" si="174"/>
        <v>10535.918000000001</v>
      </c>
      <c r="J168" s="23">
        <f t="shared" si="174"/>
        <v>0</v>
      </c>
      <c r="K168" s="23">
        <f t="shared" si="174"/>
        <v>63055.972000000009</v>
      </c>
      <c r="L168" s="23">
        <f t="shared" si="174"/>
        <v>0</v>
      </c>
      <c r="M168" s="23">
        <f t="shared" si="174"/>
        <v>58674.632999999994</v>
      </c>
      <c r="N168" s="23">
        <f t="shared" si="174"/>
        <v>0</v>
      </c>
      <c r="O168" s="23">
        <f t="shared" si="174"/>
        <v>119901.05099999999</v>
      </c>
      <c r="P168" s="23">
        <f t="shared" si="174"/>
        <v>0</v>
      </c>
      <c r="Q168" s="23">
        <f t="shared" si="174"/>
        <v>57327.38700000001</v>
      </c>
      <c r="R168" s="23">
        <f t="shared" si="174"/>
        <v>0</v>
      </c>
      <c r="S168" s="23">
        <f t="shared" si="174"/>
        <v>172315.37599999999</v>
      </c>
      <c r="T168" s="23">
        <f t="shared" si="174"/>
        <v>0</v>
      </c>
      <c r="U168" s="23">
        <f t="shared" si="174"/>
        <v>44406.292999999991</v>
      </c>
      <c r="V168" s="23">
        <f t="shared" si="174"/>
        <v>0</v>
      </c>
      <c r="W168" s="23">
        <f t="shared" si="174"/>
        <v>216721.66899999994</v>
      </c>
      <c r="X168" s="23">
        <f t="shared" si="174"/>
        <v>0</v>
      </c>
      <c r="Y168" s="23">
        <f t="shared" si="174"/>
        <v>49996.716</v>
      </c>
      <c r="Z168" s="23">
        <f t="shared" si="174"/>
        <v>0</v>
      </c>
      <c r="AA168" s="23">
        <f t="shared" si="174"/>
        <v>151730.39600000001</v>
      </c>
      <c r="AB168" s="23">
        <f t="shared" si="174"/>
        <v>0</v>
      </c>
      <c r="AC168" s="23">
        <f t="shared" si="174"/>
        <v>271631.44699999999</v>
      </c>
      <c r="AD168" s="23">
        <f t="shared" si="174"/>
        <v>0</v>
      </c>
      <c r="AE168" s="23">
        <f t="shared" ref="AE168" si="175">SUM(AE162:AE167)</f>
        <v>29659.897000000004</v>
      </c>
      <c r="AF168" s="23">
        <f t="shared" ref="AF168:BG168" si="176">SUM(AF162:AF167)</f>
        <v>0</v>
      </c>
      <c r="AG168" s="23">
        <f t="shared" si="176"/>
        <v>301291.34399999998</v>
      </c>
      <c r="AH168" s="23">
        <f t="shared" si="176"/>
        <v>0</v>
      </c>
      <c r="AI168" s="23">
        <f t="shared" si="176"/>
        <v>49060.043999999994</v>
      </c>
      <c r="AJ168" s="23">
        <f t="shared" si="176"/>
        <v>0</v>
      </c>
      <c r="AK168" s="23">
        <f t="shared" si="176"/>
        <v>350351.38800000009</v>
      </c>
      <c r="AL168" s="23">
        <f t="shared" ref="AL168:AM168" si="177">SUM(AL162:AL167)</f>
        <v>0</v>
      </c>
      <c r="AM168" s="23">
        <f t="shared" si="177"/>
        <v>52987.179999999993</v>
      </c>
      <c r="AN168" s="23">
        <f t="shared" si="176"/>
        <v>0</v>
      </c>
      <c r="AO168" s="23">
        <f t="shared" si="176"/>
        <v>131707.12099999998</v>
      </c>
      <c r="AP168" s="23">
        <f t="shared" si="176"/>
        <v>0</v>
      </c>
      <c r="AQ168" s="23">
        <f t="shared" si="176"/>
        <v>403338.56800000014</v>
      </c>
      <c r="AR168" s="23">
        <f t="shared" si="176"/>
        <v>0</v>
      </c>
      <c r="AS168" s="23">
        <f t="shared" si="176"/>
        <v>56169.978000000017</v>
      </c>
      <c r="AT168" s="23">
        <f t="shared" si="176"/>
        <v>0</v>
      </c>
      <c r="AU168" s="23">
        <f t="shared" si="176"/>
        <v>459508.54600000009</v>
      </c>
      <c r="AV168" s="23">
        <f t="shared" si="176"/>
        <v>0</v>
      </c>
      <c r="AW168" s="23">
        <f t="shared" si="176"/>
        <v>54279.398000000001</v>
      </c>
      <c r="AX168" s="23">
        <f t="shared" si="176"/>
        <v>0</v>
      </c>
      <c r="AY168" s="23">
        <f t="shared" si="176"/>
        <v>513787.94400000002</v>
      </c>
      <c r="AZ168" s="23">
        <f t="shared" si="176"/>
        <v>0</v>
      </c>
      <c r="BA168" s="23">
        <f t="shared" si="176"/>
        <v>63120.145999999979</v>
      </c>
      <c r="BB168" s="23">
        <f t="shared" si="176"/>
        <v>0</v>
      </c>
      <c r="BC168" s="23">
        <f t="shared" si="176"/>
        <v>173569.52199999997</v>
      </c>
      <c r="BD168" s="23">
        <f t="shared" si="176"/>
        <v>0</v>
      </c>
      <c r="BE168" s="23">
        <f t="shared" si="176"/>
        <v>305276.64300000004</v>
      </c>
      <c r="BF168" s="23">
        <f t="shared" si="176"/>
        <v>0</v>
      </c>
      <c r="BG168" s="23">
        <f t="shared" si="176"/>
        <v>576908.09</v>
      </c>
    </row>
    <row r="169" spans="2:67" x14ac:dyDescent="0.3">
      <c r="BO169" s="23"/>
    </row>
    <row r="170" spans="2:67" x14ac:dyDescent="0.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row>
  </sheetData>
  <mergeCells count="31">
    <mergeCell ref="B3:B4"/>
    <mergeCell ref="E3:E4"/>
    <mergeCell ref="F3:G3"/>
    <mergeCell ref="H3:I3"/>
    <mergeCell ref="J3:K3"/>
    <mergeCell ref="AH3:AI3"/>
    <mergeCell ref="AJ3:AK3"/>
    <mergeCell ref="R3:S3"/>
    <mergeCell ref="T3:U3"/>
    <mergeCell ref="V3:W3"/>
    <mergeCell ref="AD3:AE3"/>
    <mergeCell ref="AF3:AG3"/>
    <mergeCell ref="X3:Y3"/>
    <mergeCell ref="Z3:AA3"/>
    <mergeCell ref="AB3:AC3"/>
    <mergeCell ref="L3:M3"/>
    <mergeCell ref="C3:C4"/>
    <mergeCell ref="D3:D4"/>
    <mergeCell ref="N3:O3"/>
    <mergeCell ref="P3:Q3"/>
    <mergeCell ref="AR3:AS3"/>
    <mergeCell ref="AT3:AU3"/>
    <mergeCell ref="AL3:AM3"/>
    <mergeCell ref="AN3:AO3"/>
    <mergeCell ref="AP3:AQ3"/>
    <mergeCell ref="AZ3:BA3"/>
    <mergeCell ref="BF3:BG3"/>
    <mergeCell ref="BB3:BC3"/>
    <mergeCell ref="BD3:BE3"/>
    <mergeCell ref="AV3:AW3"/>
    <mergeCell ref="AX3:AY3"/>
  </mergeCells>
  <printOptions horizontalCentered="1" verticalCentered="1"/>
  <pageMargins left="0" right="0" top="0" bottom="0" header="0" footer="0"/>
  <pageSetup scale="31"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tabColor rgb="FFF97575"/>
    <pageSetUpPr fitToPage="1"/>
  </sheetPr>
  <dimension ref="A1:CZ68"/>
  <sheetViews>
    <sheetView topLeftCell="E1" zoomScale="115" zoomScaleNormal="115" workbookViewId="0">
      <pane xSplit="1" topLeftCell="F1" activePane="topRight" state="frozen"/>
      <selection activeCell="G62" sqref="G62"/>
      <selection pane="topRight" activeCell="AY11" sqref="AY11"/>
    </sheetView>
  </sheetViews>
  <sheetFormatPr defaultColWidth="9.109375" defaultRowHeight="15.6" x14ac:dyDescent="0.3"/>
  <cols>
    <col min="1" max="4" width="9.109375" style="1049"/>
    <col min="5" max="5" width="55.109375" style="1049" bestFit="1" customWidth="1"/>
    <col min="6" max="6" width="15.5546875" style="1049" customWidth="1"/>
    <col min="7" max="7" width="11.88671875" style="1049" customWidth="1"/>
    <col min="8" max="8" width="10.44140625" style="1049" hidden="1" customWidth="1"/>
    <col min="9" max="10" width="9.6640625" style="1049" hidden="1" customWidth="1"/>
    <col min="11" max="12" width="8.44140625" style="1049" hidden="1" customWidth="1"/>
    <col min="13" max="14" width="7.88671875" style="1049" hidden="1" customWidth="1"/>
    <col min="15" max="15" width="8.44140625" style="1049" hidden="1" customWidth="1"/>
    <col min="16" max="16" width="9.88671875" style="1049" hidden="1" customWidth="1"/>
    <col min="17" max="17" width="8.44140625" style="1049" hidden="1" customWidth="1"/>
    <col min="18" max="23" width="9.88671875" style="1049" hidden="1" customWidth="1"/>
    <col min="24" max="24" width="12" style="1049" hidden="1" customWidth="1"/>
    <col min="25" max="25" width="12" style="1049" customWidth="1"/>
    <col min="26" max="26" width="9.109375" style="1049" customWidth="1"/>
    <col min="27" max="29" width="8.33203125" style="1049" hidden="1" customWidth="1"/>
    <col min="30" max="30" width="8.6640625" style="1049" hidden="1" customWidth="1"/>
    <col min="31" max="34" width="8.33203125" style="1049" hidden="1" customWidth="1"/>
    <col min="35" max="35" width="8.88671875" style="1049" hidden="1" customWidth="1"/>
    <col min="36" max="38" width="8.33203125" style="1049" hidden="1" customWidth="1"/>
    <col min="39" max="39" width="8.109375" style="1049" hidden="1" customWidth="1"/>
    <col min="40" max="40" width="9.44140625" style="1049" hidden="1" customWidth="1"/>
    <col min="41" max="42" width="8.33203125" style="1049" hidden="1" customWidth="1"/>
    <col min="43" max="43" width="9" style="1049" hidden="1" customWidth="1"/>
    <col min="44" max="44" width="13.33203125" style="1049" customWidth="1"/>
    <col min="45" max="45" width="13.33203125" style="3585" customWidth="1"/>
    <col min="46" max="46" width="5.44140625" style="1049" hidden="1" customWidth="1"/>
    <col min="47" max="47" width="16" style="1049" customWidth="1"/>
    <col min="48" max="48" width="16" style="1049" hidden="1" customWidth="1"/>
    <col min="49" max="49" width="11.44140625" style="1049" customWidth="1"/>
    <col min="50" max="50" width="18.109375" style="1049" hidden="1" customWidth="1"/>
    <col min="51" max="51" width="18.109375" style="1049" customWidth="1"/>
    <col min="52" max="52" width="18.109375" style="1049" hidden="1" customWidth="1"/>
    <col min="53" max="98" width="10.109375" style="1049" hidden="1" customWidth="1"/>
    <col min="99" max="99" width="10.6640625" style="1049" hidden="1" customWidth="1"/>
    <col min="100" max="100" width="51.109375" style="1049" bestFit="1" customWidth="1"/>
    <col min="101" max="101" width="9.109375" style="1049" customWidth="1"/>
    <col min="102" max="102" width="44.44140625" style="1049" customWidth="1"/>
    <col min="103" max="103" width="9.109375" style="1049" customWidth="1"/>
    <col min="104" max="104" width="12" style="1049" customWidth="1"/>
    <col min="105" max="16384" width="9.109375" style="1049"/>
  </cols>
  <sheetData>
    <row r="1" spans="1:100" x14ac:dyDescent="0.3">
      <c r="A1" s="3575"/>
      <c r="B1" s="3575"/>
      <c r="C1" s="3575"/>
      <c r="D1" s="3575"/>
      <c r="E1" s="3574" t="s">
        <v>1948</v>
      </c>
      <c r="F1" s="3575"/>
      <c r="G1" s="3575"/>
      <c r="H1" s="3575"/>
      <c r="I1" s="3575"/>
      <c r="J1" s="3575"/>
      <c r="K1" s="3575"/>
      <c r="L1" s="3575"/>
      <c r="M1" s="3575"/>
      <c r="N1" s="3575"/>
      <c r="O1" s="3575"/>
      <c r="P1" s="3575"/>
      <c r="Q1" s="3575"/>
      <c r="R1" s="3575"/>
      <c r="S1" s="3573"/>
      <c r="T1" s="3573"/>
      <c r="U1" s="3573"/>
      <c r="V1" s="3573"/>
      <c r="W1" s="3573"/>
      <c r="X1" s="3575"/>
      <c r="Y1" s="3575"/>
      <c r="Z1" s="3575"/>
      <c r="AA1" s="3575"/>
      <c r="AB1" s="3575"/>
      <c r="AC1" s="3575"/>
      <c r="AD1" s="3575"/>
      <c r="AE1" s="3575"/>
      <c r="AF1" s="3575"/>
      <c r="AG1" s="3575"/>
      <c r="AH1" s="3575"/>
      <c r="AI1" s="3575"/>
      <c r="AJ1" s="3575"/>
      <c r="AK1" s="3575"/>
      <c r="AL1" s="3573"/>
      <c r="AM1" s="3573"/>
      <c r="AN1" s="3573"/>
      <c r="AO1" s="3573"/>
      <c r="AP1" s="3573"/>
      <c r="AQ1" s="3573"/>
      <c r="AR1" s="3575"/>
      <c r="AS1" s="3575"/>
      <c r="AT1" s="3575"/>
      <c r="AU1" s="3575"/>
      <c r="AV1" s="3575"/>
      <c r="AW1" s="3575"/>
      <c r="AX1" s="3575"/>
      <c r="AY1" s="3575"/>
      <c r="AZ1" s="3575"/>
      <c r="BA1" s="3575"/>
      <c r="BB1" s="3575"/>
      <c r="BC1" s="3575"/>
      <c r="BD1" s="3575"/>
      <c r="BE1" s="3575"/>
      <c r="BF1" s="3575"/>
      <c r="BG1" s="3575"/>
      <c r="BH1" s="3575"/>
      <c r="BI1" s="3575"/>
      <c r="BJ1" s="3575"/>
      <c r="BK1" s="3575"/>
      <c r="BL1" s="3575"/>
      <c r="BM1" s="3575"/>
      <c r="BN1" s="3575"/>
      <c r="BO1" s="3575"/>
      <c r="BP1" s="3575"/>
      <c r="BQ1" s="3575"/>
      <c r="BR1" s="3575"/>
      <c r="BS1" s="3575"/>
      <c r="BT1" s="3575"/>
      <c r="BU1" s="3575"/>
      <c r="BV1" s="3575"/>
      <c r="BW1" s="3575"/>
      <c r="BX1" s="3575"/>
      <c r="BY1" s="3575"/>
      <c r="BZ1" s="3575"/>
      <c r="CA1" s="3575"/>
      <c r="CB1" s="3575"/>
      <c r="CC1" s="3575"/>
      <c r="CD1" s="3575"/>
      <c r="CE1" s="3575"/>
      <c r="CF1" s="3575"/>
      <c r="CG1" s="3575"/>
      <c r="CH1" s="3575"/>
      <c r="CI1" s="3575"/>
      <c r="CJ1" s="3575"/>
      <c r="CK1" s="3575"/>
      <c r="CL1" s="3575"/>
      <c r="CM1" s="3575"/>
      <c r="CN1" s="3575"/>
      <c r="CO1" s="3575"/>
      <c r="CP1" s="3575"/>
      <c r="CQ1" s="3575"/>
      <c r="CR1" s="3575"/>
      <c r="CS1" s="3575"/>
      <c r="CT1" s="3575"/>
      <c r="CU1" s="3575"/>
    </row>
    <row r="2" spans="1:100" ht="17.399999999999999" x14ac:dyDescent="0.3">
      <c r="A2" s="3575"/>
      <c r="B2" s="3575"/>
      <c r="C2" s="3575"/>
      <c r="D2" s="3575"/>
      <c r="E2" s="6236" t="s">
        <v>2389</v>
      </c>
      <c r="F2" s="6236"/>
      <c r="G2" s="6236"/>
      <c r="H2" s="6236"/>
      <c r="I2" s="6236"/>
      <c r="J2" s="6236"/>
      <c r="K2" s="6236"/>
      <c r="L2" s="6236"/>
      <c r="M2" s="6236"/>
      <c r="N2" s="6236"/>
      <c r="O2" s="6236"/>
      <c r="P2" s="6236"/>
      <c r="Q2" s="6236"/>
      <c r="R2" s="6236"/>
      <c r="S2" s="6236"/>
      <c r="T2" s="6236"/>
      <c r="U2" s="6236"/>
      <c r="V2" s="6236"/>
      <c r="W2" s="6236"/>
      <c r="X2" s="6236"/>
      <c r="Y2" s="6236"/>
      <c r="Z2" s="6236"/>
      <c r="AA2" s="6236"/>
      <c r="AB2" s="6236"/>
      <c r="AC2" s="6236"/>
      <c r="AD2" s="6236"/>
      <c r="AE2" s="6236"/>
      <c r="AF2" s="6236"/>
      <c r="AG2" s="6236"/>
      <c r="AH2" s="6236"/>
      <c r="AI2" s="6236"/>
      <c r="AJ2" s="6236"/>
      <c r="AK2" s="6236"/>
      <c r="AL2" s="6236"/>
      <c r="AM2" s="6236"/>
      <c r="AN2" s="6236"/>
      <c r="AO2" s="6236"/>
      <c r="AP2" s="6236"/>
      <c r="AQ2" s="6236"/>
      <c r="AR2" s="6236"/>
      <c r="AS2" s="6236"/>
      <c r="AT2" s="6236"/>
      <c r="AU2" s="6236"/>
      <c r="AV2" s="6236"/>
      <c r="AW2" s="6236"/>
      <c r="AX2" s="6236"/>
      <c r="AY2" s="6236"/>
      <c r="AZ2" s="6236"/>
      <c r="BA2" s="6236"/>
      <c r="BB2" s="6236"/>
      <c r="BC2" s="6236"/>
      <c r="BD2" s="6236"/>
      <c r="BE2" s="6236"/>
      <c r="BF2" s="6236"/>
      <c r="BG2" s="6236"/>
      <c r="BH2" s="6236"/>
      <c r="BI2" s="6236"/>
      <c r="BJ2" s="6236"/>
      <c r="BK2" s="6236"/>
      <c r="BL2" s="6236"/>
      <c r="BM2" s="6236"/>
      <c r="BN2" s="6236"/>
      <c r="BO2" s="6236"/>
      <c r="BP2" s="6236"/>
      <c r="BQ2" s="6236"/>
      <c r="BR2" s="6236"/>
      <c r="BS2" s="6236"/>
      <c r="BT2" s="6236"/>
      <c r="BU2" s="6236"/>
      <c r="BV2" s="6236"/>
      <c r="BW2" s="6236"/>
      <c r="BX2" s="6236"/>
      <c r="BY2" s="6236"/>
      <c r="BZ2" s="6236"/>
      <c r="CA2" s="6236"/>
      <c r="CB2" s="6236"/>
      <c r="CC2" s="6236"/>
      <c r="CD2" s="6236"/>
      <c r="CE2" s="6236"/>
      <c r="CF2" s="6236"/>
      <c r="CG2" s="6236"/>
      <c r="CH2" s="6236"/>
      <c r="CI2" s="6236"/>
      <c r="CJ2" s="6236"/>
      <c r="CK2" s="6236"/>
      <c r="CL2" s="6236"/>
      <c r="CM2" s="6236"/>
      <c r="CN2" s="6236"/>
      <c r="CO2" s="6236"/>
      <c r="CP2" s="6236"/>
      <c r="CQ2" s="6236"/>
      <c r="CR2" s="6236"/>
      <c r="CS2" s="6236"/>
      <c r="CT2" s="6236"/>
      <c r="CU2" s="6236"/>
    </row>
    <row r="3" spans="1:100" ht="16.2" thickBot="1" x14ac:dyDescent="0.35">
      <c r="A3" s="3575"/>
      <c r="B3" s="3575"/>
      <c r="C3" s="3575"/>
      <c r="D3" s="3575"/>
      <c r="E3" s="3574"/>
      <c r="F3" s="3575"/>
      <c r="G3" s="3575"/>
      <c r="H3" s="3575"/>
      <c r="I3" s="3575"/>
      <c r="J3" s="3575"/>
      <c r="K3" s="3575"/>
      <c r="L3" s="3575"/>
      <c r="M3" s="3575"/>
      <c r="N3" s="3575"/>
      <c r="O3" s="3575"/>
      <c r="P3" s="3575"/>
      <c r="Q3" s="3575"/>
      <c r="R3" s="3575"/>
      <c r="S3" s="3575"/>
      <c r="T3" s="3575"/>
      <c r="U3" s="3575"/>
      <c r="V3" s="3575"/>
      <c r="W3" s="3575"/>
      <c r="X3" s="3575"/>
      <c r="Y3" s="3575"/>
      <c r="Z3" s="3575"/>
      <c r="AA3" s="3575"/>
      <c r="AB3" s="3575"/>
      <c r="AC3" s="3575"/>
      <c r="AD3" s="3575"/>
      <c r="AE3" s="3575"/>
      <c r="AF3" s="3575"/>
      <c r="AG3" s="3575"/>
      <c r="AH3" s="3575"/>
      <c r="AI3" s="3575"/>
      <c r="AJ3" s="3575"/>
      <c r="AK3" s="3575"/>
      <c r="AL3" s="3575"/>
      <c r="AM3" s="3575"/>
      <c r="AN3" s="3575"/>
      <c r="AO3" s="3575"/>
      <c r="AP3" s="3575"/>
      <c r="AQ3" s="3575"/>
      <c r="AR3" s="3575"/>
      <c r="AS3" s="3575"/>
      <c r="AT3" s="3575"/>
      <c r="AU3" s="3575"/>
      <c r="AV3" s="3575"/>
      <c r="AW3" s="3575"/>
      <c r="AX3" s="3575"/>
      <c r="AY3" s="3575"/>
      <c r="AZ3" s="3575"/>
      <c r="BA3" s="3575"/>
      <c r="BB3" s="3575"/>
      <c r="BC3" s="3575"/>
      <c r="BD3" s="3575"/>
      <c r="BE3" s="3575"/>
      <c r="BF3" s="3575"/>
      <c r="BG3" s="3575"/>
      <c r="BH3" s="3575"/>
      <c r="BI3" s="3575"/>
      <c r="BJ3" s="3575"/>
      <c r="BK3" s="3575"/>
      <c r="BL3" s="3575"/>
      <c r="BM3" s="3573"/>
      <c r="BN3" s="3573"/>
      <c r="BO3" s="3573"/>
      <c r="BP3" s="3573"/>
      <c r="BQ3" s="3573"/>
      <c r="BR3" s="3573"/>
      <c r="BS3" s="3575"/>
      <c r="BT3" s="3575"/>
      <c r="BU3" s="3575"/>
      <c r="BV3" s="3575"/>
      <c r="BW3" s="3575"/>
      <c r="BX3" s="3575"/>
      <c r="BY3" s="3575"/>
      <c r="BZ3" s="3575"/>
      <c r="CA3" s="3575"/>
      <c r="CB3" s="3575"/>
      <c r="CC3" s="3575"/>
      <c r="CD3" s="3575"/>
      <c r="CE3" s="3575"/>
      <c r="CF3" s="3575"/>
      <c r="CG3" s="3575"/>
      <c r="CH3" s="3575"/>
      <c r="CI3" s="3575"/>
      <c r="CJ3" s="3575"/>
      <c r="CK3" s="3575"/>
      <c r="CL3" s="3575"/>
      <c r="CM3" s="3575"/>
      <c r="CN3" s="3575"/>
      <c r="CO3" s="3575"/>
      <c r="CP3" s="3575"/>
      <c r="CQ3" s="3575"/>
      <c r="CR3" s="3575"/>
      <c r="CS3" s="3575"/>
      <c r="CT3" s="3575"/>
      <c r="CU3" s="3575"/>
    </row>
    <row r="4" spans="1:100" ht="16.2" thickBot="1" x14ac:dyDescent="0.35">
      <c r="A4" s="3608"/>
      <c r="B4" s="3608"/>
      <c r="C4" s="3608"/>
      <c r="D4" s="3608"/>
      <c r="E4" s="3607"/>
      <c r="F4" s="6237" t="s">
        <v>605</v>
      </c>
      <c r="G4" s="6238"/>
      <c r="H4" s="6238"/>
      <c r="I4" s="6238"/>
      <c r="J4" s="6238"/>
      <c r="K4" s="6238"/>
      <c r="L4" s="6238"/>
      <c r="M4" s="6238"/>
      <c r="N4" s="6238"/>
      <c r="O4" s="6238"/>
      <c r="P4" s="6238"/>
      <c r="Q4" s="6238"/>
      <c r="R4" s="6238"/>
      <c r="S4" s="6238"/>
      <c r="T4" s="6238"/>
      <c r="U4" s="6238"/>
      <c r="V4" s="6238"/>
      <c r="W4" s="6238"/>
      <c r="X4" s="6239"/>
      <c r="Y4" s="6240" t="s">
        <v>606</v>
      </c>
      <c r="Z4" s="6241"/>
      <c r="AA4" s="6241"/>
      <c r="AB4" s="6242"/>
      <c r="AC4" s="6242"/>
      <c r="AD4" s="6242"/>
      <c r="AE4" s="6242"/>
      <c r="AF4" s="6242"/>
      <c r="AG4" s="6242"/>
      <c r="AH4" s="6242"/>
      <c r="AI4" s="6242"/>
      <c r="AJ4" s="6242"/>
      <c r="AK4" s="6242"/>
      <c r="AL4" s="6242"/>
      <c r="AM4" s="6242"/>
      <c r="AN4" s="6242"/>
      <c r="AO4" s="6242"/>
      <c r="AP4" s="6242"/>
      <c r="AQ4" s="6242"/>
      <c r="AR4" s="3606" t="s">
        <v>125</v>
      </c>
      <c r="AS4" s="3567"/>
      <c r="AT4" s="6243" t="s">
        <v>2211</v>
      </c>
      <c r="AU4" s="6244"/>
      <c r="AV4" s="6234" t="s">
        <v>2260</v>
      </c>
      <c r="AW4" s="6229"/>
      <c r="AX4" s="6232" t="s">
        <v>14</v>
      </c>
      <c r="AY4" s="6233"/>
      <c r="AZ4" s="6245" t="s">
        <v>1963</v>
      </c>
      <c r="BA4" s="6246"/>
      <c r="BB4" s="6247" t="s">
        <v>604</v>
      </c>
      <c r="BC4" s="6248"/>
      <c r="BD4" s="6228" t="s">
        <v>1985</v>
      </c>
      <c r="BE4" s="6229"/>
      <c r="BF4" s="6232" t="s">
        <v>17</v>
      </c>
      <c r="BG4" s="6233"/>
      <c r="BH4" s="6228" t="s">
        <v>1988</v>
      </c>
      <c r="BI4" s="6229"/>
      <c r="BJ4" s="6232" t="s">
        <v>18</v>
      </c>
      <c r="BK4" s="6233"/>
      <c r="BL4" s="6234" t="s">
        <v>2019</v>
      </c>
      <c r="BM4" s="6235"/>
      <c r="BN4" s="6230" t="s">
        <v>797</v>
      </c>
      <c r="BO4" s="6230"/>
      <c r="BP4" s="6231" t="s">
        <v>623</v>
      </c>
      <c r="BQ4" s="6231"/>
      <c r="BR4" s="6228" t="s">
        <v>2043</v>
      </c>
      <c r="BS4" s="6229"/>
      <c r="BT4" s="6232" t="s">
        <v>24</v>
      </c>
      <c r="BU4" s="6233"/>
      <c r="BV4" s="6228" t="s">
        <v>2064</v>
      </c>
      <c r="BW4" s="6229"/>
      <c r="BX4" s="6232" t="s">
        <v>27</v>
      </c>
      <c r="BY4" s="6233"/>
      <c r="BZ4" s="6234" t="s">
        <v>2088</v>
      </c>
      <c r="CA4" s="6235"/>
      <c r="CB4" s="6230" t="s">
        <v>1564</v>
      </c>
      <c r="CC4" s="6230"/>
      <c r="CD4" s="6232" t="s">
        <v>1565</v>
      </c>
      <c r="CE4" s="6233"/>
      <c r="CF4" s="6228" t="s">
        <v>2099</v>
      </c>
      <c r="CG4" s="6229"/>
      <c r="CH4" s="6232" t="s">
        <v>28</v>
      </c>
      <c r="CI4" s="6233"/>
      <c r="CJ4" s="6228" t="s">
        <v>2136</v>
      </c>
      <c r="CK4" s="6229"/>
      <c r="CL4" s="6232" t="s">
        <v>30</v>
      </c>
      <c r="CM4" s="6233"/>
      <c r="CN4" s="6228" t="s">
        <v>2154</v>
      </c>
      <c r="CO4" s="6229"/>
      <c r="CP4" s="6230" t="s">
        <v>1600</v>
      </c>
      <c r="CQ4" s="6230"/>
      <c r="CR4" s="6231" t="s">
        <v>634</v>
      </c>
      <c r="CS4" s="6231"/>
      <c r="CT4" s="6232" t="s">
        <v>1961</v>
      </c>
      <c r="CU4" s="6233"/>
    </row>
    <row r="5" spans="1:100" ht="16.2" thickBot="1" x14ac:dyDescent="0.35">
      <c r="A5" s="3608"/>
      <c r="B5" s="3608"/>
      <c r="C5" s="3608"/>
      <c r="D5" s="3608" t="s">
        <v>1335</v>
      </c>
      <c r="E5" s="3572"/>
      <c r="F5" s="3571" t="s">
        <v>2232</v>
      </c>
      <c r="G5" s="3570" t="s">
        <v>2263</v>
      </c>
      <c r="H5" s="3570" t="s">
        <v>1950</v>
      </c>
      <c r="I5" s="3605" t="s">
        <v>604</v>
      </c>
      <c r="J5" s="3569" t="s">
        <v>1951</v>
      </c>
      <c r="K5" s="3569" t="s">
        <v>1952</v>
      </c>
      <c r="L5" s="3569" t="s">
        <v>1953</v>
      </c>
      <c r="M5" s="3605" t="s">
        <v>625</v>
      </c>
      <c r="N5" s="3604" t="s">
        <v>486</v>
      </c>
      <c r="O5" s="3569" t="s">
        <v>1954</v>
      </c>
      <c r="P5" s="3569" t="s">
        <v>1955</v>
      </c>
      <c r="Q5" s="3569" t="s">
        <v>1956</v>
      </c>
      <c r="R5" s="3605" t="s">
        <v>627</v>
      </c>
      <c r="S5" s="3603" t="s">
        <v>1957</v>
      </c>
      <c r="T5" s="3603" t="s">
        <v>1958</v>
      </c>
      <c r="U5" s="3603" t="s">
        <v>1959</v>
      </c>
      <c r="V5" s="3605" t="s">
        <v>628</v>
      </c>
      <c r="W5" s="3605" t="s">
        <v>524</v>
      </c>
      <c r="X5" s="3602" t="s">
        <v>2258</v>
      </c>
      <c r="Y5" s="3590" t="s">
        <v>2232</v>
      </c>
      <c r="Z5" s="3568" t="s">
        <v>2263</v>
      </c>
      <c r="AA5" s="3568" t="s">
        <v>1950</v>
      </c>
      <c r="AB5" s="3568" t="s">
        <v>604</v>
      </c>
      <c r="AC5" s="3568" t="s">
        <v>1951</v>
      </c>
      <c r="AD5" s="3568" t="s">
        <v>1952</v>
      </c>
      <c r="AE5" s="3601" t="s">
        <v>1953</v>
      </c>
      <c r="AF5" s="3600" t="s">
        <v>625</v>
      </c>
      <c r="AG5" s="3604" t="s">
        <v>486</v>
      </c>
      <c r="AH5" s="3601" t="s">
        <v>1954</v>
      </c>
      <c r="AI5" s="3601" t="s">
        <v>1955</v>
      </c>
      <c r="AJ5" s="3601" t="s">
        <v>1956</v>
      </c>
      <c r="AK5" s="3600" t="s">
        <v>627</v>
      </c>
      <c r="AL5" s="3601" t="s">
        <v>1957</v>
      </c>
      <c r="AM5" s="3601" t="s">
        <v>1958</v>
      </c>
      <c r="AN5" s="3599" t="s">
        <v>1959</v>
      </c>
      <c r="AO5" s="3600" t="s">
        <v>628</v>
      </c>
      <c r="AP5" s="3604" t="s">
        <v>524</v>
      </c>
      <c r="AQ5" s="3587" t="s">
        <v>2258</v>
      </c>
      <c r="AR5" s="3598" t="s">
        <v>2258</v>
      </c>
      <c r="AS5" s="3597"/>
      <c r="AT5" s="2766" t="s">
        <v>172</v>
      </c>
      <c r="AU5" s="2258" t="s">
        <v>173</v>
      </c>
      <c r="AV5" s="2767" t="s">
        <v>172</v>
      </c>
      <c r="AW5" s="5500" t="s">
        <v>173</v>
      </c>
      <c r="AX5" s="2769" t="s">
        <v>172</v>
      </c>
      <c r="AY5" s="5501" t="s">
        <v>173</v>
      </c>
      <c r="AZ5" s="5498" t="s">
        <v>172</v>
      </c>
      <c r="BA5" s="2772" t="s">
        <v>173</v>
      </c>
      <c r="BB5" s="2773" t="s">
        <v>172</v>
      </c>
      <c r="BC5" s="2774" t="s">
        <v>173</v>
      </c>
      <c r="BD5" s="2771" t="s">
        <v>172</v>
      </c>
      <c r="BE5" s="2768" t="s">
        <v>173</v>
      </c>
      <c r="BF5" s="2769" t="s">
        <v>172</v>
      </c>
      <c r="BG5" s="2770" t="s">
        <v>173</v>
      </c>
      <c r="BH5" s="2771" t="s">
        <v>172</v>
      </c>
      <c r="BI5" s="2768" t="s">
        <v>173</v>
      </c>
      <c r="BJ5" s="2769" t="s">
        <v>172</v>
      </c>
      <c r="BK5" s="2770" t="s">
        <v>173</v>
      </c>
      <c r="BL5" s="2776" t="s">
        <v>172</v>
      </c>
      <c r="BM5" s="736" t="s">
        <v>173</v>
      </c>
      <c r="BN5" s="2777" t="s">
        <v>172</v>
      </c>
      <c r="BO5" s="2777" t="s">
        <v>173</v>
      </c>
      <c r="BP5" s="2778" t="s">
        <v>172</v>
      </c>
      <c r="BQ5" s="2778" t="s">
        <v>173</v>
      </c>
      <c r="BR5" s="2775" t="s">
        <v>172</v>
      </c>
      <c r="BS5" s="2768" t="s">
        <v>173</v>
      </c>
      <c r="BT5" s="2769" t="s">
        <v>172</v>
      </c>
      <c r="BU5" s="2770" t="s">
        <v>173</v>
      </c>
      <c r="BV5" s="2775" t="s">
        <v>172</v>
      </c>
      <c r="BW5" s="2768" t="s">
        <v>173</v>
      </c>
      <c r="BX5" s="2769" t="s">
        <v>172</v>
      </c>
      <c r="BY5" s="2770" t="s">
        <v>173</v>
      </c>
      <c r="BZ5" s="2776" t="s">
        <v>172</v>
      </c>
      <c r="CA5" s="736" t="s">
        <v>173</v>
      </c>
      <c r="CB5" s="2777" t="s">
        <v>172</v>
      </c>
      <c r="CC5" s="2777" t="s">
        <v>173</v>
      </c>
      <c r="CD5" s="2769" t="s">
        <v>172</v>
      </c>
      <c r="CE5" s="2770" t="s">
        <v>173</v>
      </c>
      <c r="CF5" s="2775" t="s">
        <v>172</v>
      </c>
      <c r="CG5" s="2768" t="s">
        <v>173</v>
      </c>
      <c r="CH5" s="2769" t="s">
        <v>172</v>
      </c>
      <c r="CI5" s="2770" t="s">
        <v>173</v>
      </c>
      <c r="CJ5" s="2775" t="s">
        <v>172</v>
      </c>
      <c r="CK5" s="2768" t="s">
        <v>173</v>
      </c>
      <c r="CL5" s="2769" t="s">
        <v>172</v>
      </c>
      <c r="CM5" s="2770" t="s">
        <v>173</v>
      </c>
      <c r="CN5" s="2775" t="s">
        <v>172</v>
      </c>
      <c r="CO5" s="2768" t="s">
        <v>173</v>
      </c>
      <c r="CP5" s="2777" t="s">
        <v>172</v>
      </c>
      <c r="CQ5" s="2777" t="s">
        <v>173</v>
      </c>
      <c r="CR5" s="2778" t="s">
        <v>172</v>
      </c>
      <c r="CS5" s="2778" t="s">
        <v>173</v>
      </c>
      <c r="CT5" s="2769" t="s">
        <v>172</v>
      </c>
      <c r="CU5" s="2770" t="s">
        <v>173</v>
      </c>
    </row>
    <row r="6" spans="1:100" x14ac:dyDescent="0.3">
      <c r="A6" s="3608"/>
      <c r="B6" s="3608"/>
      <c r="C6" s="3608"/>
      <c r="D6" s="3608"/>
      <c r="E6" s="4175" t="s">
        <v>1340</v>
      </c>
      <c r="F6" s="3589">
        <v>10088</v>
      </c>
      <c r="G6" s="3556">
        <v>5451.0640000000003</v>
      </c>
      <c r="H6" s="3556"/>
      <c r="I6" s="3596">
        <f>SUM(F6:H6)</f>
        <v>15539.064</v>
      </c>
      <c r="J6" s="3556"/>
      <c r="K6" s="3556"/>
      <c r="L6" s="3556"/>
      <c r="M6" s="3596"/>
      <c r="N6" s="3595">
        <f>+F6+G6+H6+J6+K6+L6</f>
        <v>15539.064</v>
      </c>
      <c r="O6" s="3553"/>
      <c r="P6" s="3553"/>
      <c r="Q6" s="3556"/>
      <c r="R6" s="3596"/>
      <c r="S6" s="3556"/>
      <c r="T6" s="3556"/>
      <c r="U6" s="3594"/>
      <c r="V6" s="3596"/>
      <c r="W6" s="3595"/>
      <c r="X6" s="3566">
        <f>+F6+G6+H6+J6+K6+L6+O6+P6+Q6+S6+T6+U6</f>
        <v>15539.064</v>
      </c>
      <c r="Y6" s="3565"/>
      <c r="Z6" s="3556"/>
      <c r="AA6" s="3556"/>
      <c r="AB6" s="3596">
        <f t="shared" ref="AB6:AB60" si="0">+Y6+Z6+AA6</f>
        <v>0</v>
      </c>
      <c r="AC6" s="3556"/>
      <c r="AD6" s="3556"/>
      <c r="AE6" s="3556"/>
      <c r="AF6" s="3564">
        <f t="shared" ref="AF6:AF57" si="1">SUM(AC6:AE6)</f>
        <v>0</v>
      </c>
      <c r="AG6" s="3595">
        <f t="shared" ref="AG6:AG56" si="2">+AB6+AF6</f>
        <v>0</v>
      </c>
      <c r="AH6" s="3553"/>
      <c r="AI6" s="3553"/>
      <c r="AJ6" s="3553"/>
      <c r="AK6" s="3596">
        <f t="shared" ref="AK6:AK60" si="3">SUM(AH6:AJ6)</f>
        <v>0</v>
      </c>
      <c r="AL6" s="3556"/>
      <c r="AM6" s="3556"/>
      <c r="AN6" s="3594"/>
      <c r="AO6" s="3596">
        <f t="shared" ref="AO6" si="4">+AL6+AM6+AN6</f>
        <v>0</v>
      </c>
      <c r="AP6" s="3595">
        <f t="shared" ref="AP6" si="5">+AK6+AO6</f>
        <v>0</v>
      </c>
      <c r="AQ6" s="3563">
        <f>+Y6+Z6+AA6+AC6+AD6+AE6+AH6+AI6+AJ6+AL6+AM6+AN6</f>
        <v>0</v>
      </c>
      <c r="AR6" s="3555">
        <f>+AQ6+X6</f>
        <v>15539.064</v>
      </c>
      <c r="AS6" s="3593"/>
      <c r="AT6" s="3558"/>
      <c r="AU6" s="4496">
        <f>+F6+Y6</f>
        <v>10088</v>
      </c>
      <c r="AV6" s="4894"/>
      <c r="AW6" s="5190">
        <f>+G6+Z6</f>
        <v>5451.0640000000003</v>
      </c>
      <c r="AX6" s="5191"/>
      <c r="AY6" s="5502">
        <f>AU6+AW6</f>
        <v>15539.064</v>
      </c>
      <c r="AZ6" s="4894"/>
      <c r="BA6" s="3562">
        <f t="shared" ref="BA6:BA57" si="6">+H6+AA6</f>
        <v>0</v>
      </c>
      <c r="BB6" s="3560"/>
      <c r="BC6" s="3560">
        <f t="shared" ref="BC6:BC57" si="7">AU6+AW6+BA6</f>
        <v>15539.064</v>
      </c>
      <c r="BD6" s="3561"/>
      <c r="BE6" s="3562">
        <f t="shared" ref="BE6:BE57" si="8">+J6+AC6</f>
        <v>0</v>
      </c>
      <c r="BF6" s="3559"/>
      <c r="BG6" s="3559">
        <f t="shared" ref="BG6:BG57" si="9">+BC6+BE6</f>
        <v>15539.064</v>
      </c>
      <c r="BH6" s="3561"/>
      <c r="BI6" s="3562">
        <f t="shared" ref="BI6:BI57" si="10">K6+AD6</f>
        <v>0</v>
      </c>
      <c r="BJ6" s="3559"/>
      <c r="BK6" s="3559">
        <f t="shared" ref="BK6:BK57" si="11">+BG6+BI6</f>
        <v>15539.064</v>
      </c>
      <c r="BL6" s="3561"/>
      <c r="BM6" s="3562">
        <f t="shared" ref="BM6:BM57" si="12">+L6+AE6</f>
        <v>0</v>
      </c>
      <c r="BN6" s="3561"/>
      <c r="BO6" s="3560">
        <f t="shared" ref="BO6:BO57" si="13">BE6+BI6+BM6</f>
        <v>0</v>
      </c>
      <c r="BP6" s="3561"/>
      <c r="BQ6" s="3578">
        <f t="shared" ref="BQ6:BQ57" si="14">BC6+BO6</f>
        <v>15539.064</v>
      </c>
      <c r="BR6" s="3561"/>
      <c r="BS6" s="3562">
        <f t="shared" ref="BS6:BS57" si="15">+O6+AH6</f>
        <v>0</v>
      </c>
      <c r="BT6" s="3559"/>
      <c r="BU6" s="3559">
        <f t="shared" ref="BU6:BU57" si="16">BQ6+BS6</f>
        <v>15539.064</v>
      </c>
      <c r="BV6" s="3561"/>
      <c r="BW6" s="3562">
        <f t="shared" ref="BW6:BW57" si="17">+P6+AI6</f>
        <v>0</v>
      </c>
      <c r="BX6" s="3561"/>
      <c r="BY6" s="3561">
        <f t="shared" ref="BY6:BY57" si="18">BU6+BW6</f>
        <v>15539.064</v>
      </c>
      <c r="BZ6" s="3561"/>
      <c r="CA6" s="3562">
        <f t="shared" ref="CA6:CA57" si="19">+Q6+AJ6</f>
        <v>0</v>
      </c>
      <c r="CB6" s="3561"/>
      <c r="CC6" s="3560">
        <f t="shared" ref="CC6:CC57" si="20">BS6+BW6+CA6</f>
        <v>0</v>
      </c>
      <c r="CD6" s="3559"/>
      <c r="CE6" s="3559">
        <f t="shared" ref="CE6:CE57" si="21">BY6+CA6</f>
        <v>15539.064</v>
      </c>
      <c r="CF6" s="3561"/>
      <c r="CG6" s="3562">
        <f t="shared" ref="CG6:CG57" si="22">+S6+AL6</f>
        <v>0</v>
      </c>
      <c r="CH6" s="3561"/>
      <c r="CI6" s="3561">
        <f t="shared" ref="CI6:CI60" si="23">CG6+CE6</f>
        <v>15539.064</v>
      </c>
      <c r="CJ6" s="3561"/>
      <c r="CK6" s="3562">
        <f t="shared" ref="CK6:CK57" si="24">+T6+AM6</f>
        <v>0</v>
      </c>
      <c r="CL6" s="3559"/>
      <c r="CM6" s="3559">
        <f t="shared" ref="CM6:CM57" si="25">CI6+CK6</f>
        <v>15539.064</v>
      </c>
      <c r="CN6" s="3561"/>
      <c r="CO6" s="3562">
        <f t="shared" ref="CO6:CO57" si="26">+U6+AN6</f>
        <v>0</v>
      </c>
      <c r="CP6" s="3561"/>
      <c r="CQ6" s="3560">
        <f t="shared" ref="CQ6:CQ57" si="27">CG6+CK6+CO6</f>
        <v>0</v>
      </c>
      <c r="CR6" s="3561"/>
      <c r="CS6" s="3578">
        <f t="shared" ref="CS6:CS57" si="28">CC6+CQ6</f>
        <v>0</v>
      </c>
      <c r="CT6" s="3559"/>
      <c r="CU6" s="3580">
        <f t="shared" ref="CU6:CU57" si="29">SUM(AU6,AW6,BA6,BE6,BI6,BM6,BS6,BW6,CA6,CG6,CK6,CO6)</f>
        <v>15539.064</v>
      </c>
      <c r="CV6" s="4814"/>
    </row>
    <row r="7" spans="1:100" x14ac:dyDescent="0.3">
      <c r="A7" s="3608"/>
      <c r="B7" s="3608"/>
      <c r="C7" s="3608"/>
      <c r="D7" s="3608"/>
      <c r="E7" s="4175" t="s">
        <v>1153</v>
      </c>
      <c r="F7" s="3589">
        <v>11940</v>
      </c>
      <c r="G7" s="3556">
        <v>2478.9160000000002</v>
      </c>
      <c r="H7" s="3556"/>
      <c r="I7" s="3596">
        <f t="shared" ref="I7:I60" si="30">SUM(F7:H7)</f>
        <v>14418.916000000001</v>
      </c>
      <c r="J7" s="3556"/>
      <c r="K7" s="3556"/>
      <c r="L7" s="3556"/>
      <c r="M7" s="3596"/>
      <c r="N7" s="3595">
        <f t="shared" ref="N7:N60" si="31">+F7+G7+H7+J7+K7+L7</f>
        <v>14418.916000000001</v>
      </c>
      <c r="O7" s="3553"/>
      <c r="P7" s="3553"/>
      <c r="Q7" s="3556"/>
      <c r="R7" s="3596"/>
      <c r="S7" s="3556"/>
      <c r="T7" s="3556"/>
      <c r="U7" s="3594"/>
      <c r="V7" s="3596"/>
      <c r="W7" s="3595"/>
      <c r="X7" s="3566">
        <f t="shared" ref="X7:X60" si="32">+F7+G7+H7+J7+K7+L7+O7+P7+Q7+S7+T7+U7</f>
        <v>14418.916000000001</v>
      </c>
      <c r="Y7" s="3565"/>
      <c r="Z7" s="3556"/>
      <c r="AA7" s="3556"/>
      <c r="AB7" s="3596">
        <f t="shared" si="0"/>
        <v>0</v>
      </c>
      <c r="AC7" s="3556"/>
      <c r="AD7" s="3556"/>
      <c r="AE7" s="3556"/>
      <c r="AF7" s="3564">
        <f t="shared" si="1"/>
        <v>0</v>
      </c>
      <c r="AG7" s="3595">
        <f t="shared" si="2"/>
        <v>0</v>
      </c>
      <c r="AH7" s="3553"/>
      <c r="AI7" s="3553"/>
      <c r="AJ7" s="3553"/>
      <c r="AK7" s="3596">
        <f t="shared" si="3"/>
        <v>0</v>
      </c>
      <c r="AL7" s="3556"/>
      <c r="AM7" s="3556"/>
      <c r="AN7" s="3594"/>
      <c r="AO7" s="3596">
        <f t="shared" ref="AO7:AO56" si="33">+AL7+AM7+AN7</f>
        <v>0</v>
      </c>
      <c r="AP7" s="3595">
        <f t="shared" ref="AP7:AP56" si="34">+AK7+AO7</f>
        <v>0</v>
      </c>
      <c r="AQ7" s="3563">
        <f t="shared" ref="AQ7:AQ60" si="35">+Y7+Z7+AA7+AC7+AD7+AE7+AH7+AI7+AJ7+AL7+AM7+AN7</f>
        <v>0</v>
      </c>
      <c r="AR7" s="3555">
        <f t="shared" ref="AR7:AR60" si="36">+AQ7+X7</f>
        <v>14418.916000000001</v>
      </c>
      <c r="AS7" s="3593"/>
      <c r="AT7" s="3558"/>
      <c r="AU7" s="4496">
        <f t="shared" ref="AU7:AU61" si="37">+F7+Y7</f>
        <v>11940</v>
      </c>
      <c r="AV7" s="4894"/>
      <c r="AW7" s="5190">
        <f t="shared" ref="AW7:AW61" si="38">+G7+Z7</f>
        <v>2478.9160000000002</v>
      </c>
      <c r="AX7" s="5191"/>
      <c r="AY7" s="5502">
        <f t="shared" ref="AY7:AY60" si="39">AU7+AW7</f>
        <v>14418.916000000001</v>
      </c>
      <c r="AZ7" s="4894"/>
      <c r="BA7" s="3562">
        <f t="shared" si="6"/>
        <v>0</v>
      </c>
      <c r="BB7" s="3560"/>
      <c r="BC7" s="3560">
        <f t="shared" si="7"/>
        <v>14418.916000000001</v>
      </c>
      <c r="BD7" s="3561"/>
      <c r="BE7" s="3562">
        <f t="shared" si="8"/>
        <v>0</v>
      </c>
      <c r="BF7" s="3559"/>
      <c r="BG7" s="3559">
        <f t="shared" si="9"/>
        <v>14418.916000000001</v>
      </c>
      <c r="BH7" s="3561"/>
      <c r="BI7" s="3562">
        <f t="shared" si="10"/>
        <v>0</v>
      </c>
      <c r="BJ7" s="3559"/>
      <c r="BK7" s="3559">
        <f t="shared" si="11"/>
        <v>14418.916000000001</v>
      </c>
      <c r="BL7" s="3561"/>
      <c r="BM7" s="3562">
        <f t="shared" si="12"/>
        <v>0</v>
      </c>
      <c r="BN7" s="3561"/>
      <c r="BO7" s="3560">
        <f t="shared" si="13"/>
        <v>0</v>
      </c>
      <c r="BP7" s="3561"/>
      <c r="BQ7" s="3578">
        <f t="shared" si="14"/>
        <v>14418.916000000001</v>
      </c>
      <c r="BR7" s="3561"/>
      <c r="BS7" s="3562">
        <f t="shared" si="15"/>
        <v>0</v>
      </c>
      <c r="BT7" s="3559"/>
      <c r="BU7" s="3559">
        <f t="shared" si="16"/>
        <v>14418.916000000001</v>
      </c>
      <c r="BV7" s="3561"/>
      <c r="BW7" s="3562">
        <f t="shared" si="17"/>
        <v>0</v>
      </c>
      <c r="BX7" s="3561"/>
      <c r="BY7" s="3561">
        <f t="shared" si="18"/>
        <v>14418.916000000001</v>
      </c>
      <c r="BZ7" s="3561"/>
      <c r="CA7" s="3562">
        <f t="shared" si="19"/>
        <v>0</v>
      </c>
      <c r="CB7" s="3561"/>
      <c r="CC7" s="3560">
        <f t="shared" si="20"/>
        <v>0</v>
      </c>
      <c r="CD7" s="3559"/>
      <c r="CE7" s="3559">
        <f t="shared" si="21"/>
        <v>14418.916000000001</v>
      </c>
      <c r="CF7" s="3561"/>
      <c r="CG7" s="3562">
        <f t="shared" si="22"/>
        <v>0</v>
      </c>
      <c r="CH7" s="3561"/>
      <c r="CI7" s="3561">
        <f t="shared" si="23"/>
        <v>14418.916000000001</v>
      </c>
      <c r="CJ7" s="3561"/>
      <c r="CK7" s="3562">
        <f t="shared" si="24"/>
        <v>0</v>
      </c>
      <c r="CL7" s="3559"/>
      <c r="CM7" s="3559">
        <f t="shared" si="25"/>
        <v>14418.916000000001</v>
      </c>
      <c r="CN7" s="3561"/>
      <c r="CO7" s="3562">
        <f t="shared" si="26"/>
        <v>0</v>
      </c>
      <c r="CP7" s="3561"/>
      <c r="CQ7" s="3560">
        <f t="shared" si="27"/>
        <v>0</v>
      </c>
      <c r="CR7" s="3561"/>
      <c r="CS7" s="3578">
        <f t="shared" si="28"/>
        <v>0</v>
      </c>
      <c r="CT7" s="3559"/>
      <c r="CU7" s="3580">
        <f t="shared" si="29"/>
        <v>14418.916000000001</v>
      </c>
      <c r="CV7" s="4814"/>
    </row>
    <row r="8" spans="1:100" x14ac:dyDescent="0.3">
      <c r="A8" s="3608"/>
      <c r="B8" s="3608"/>
      <c r="C8" s="3608"/>
      <c r="D8" s="3608"/>
      <c r="E8" s="4175" t="s">
        <v>1835</v>
      </c>
      <c r="F8" s="3589"/>
      <c r="G8" s="3556"/>
      <c r="H8" s="3556"/>
      <c r="I8" s="3596">
        <f t="shared" si="30"/>
        <v>0</v>
      </c>
      <c r="J8" s="3556"/>
      <c r="K8" s="3556"/>
      <c r="L8" s="3556"/>
      <c r="M8" s="3596"/>
      <c r="N8" s="3595">
        <f t="shared" si="31"/>
        <v>0</v>
      </c>
      <c r="O8" s="3553"/>
      <c r="P8" s="3553"/>
      <c r="Q8" s="3556"/>
      <c r="R8" s="3596"/>
      <c r="S8" s="3556"/>
      <c r="T8" s="3556"/>
      <c r="U8" s="3594"/>
      <c r="V8" s="3596"/>
      <c r="W8" s="3595"/>
      <c r="X8" s="3566">
        <f t="shared" si="32"/>
        <v>0</v>
      </c>
      <c r="Y8" s="3565"/>
      <c r="Z8" s="3556"/>
      <c r="AA8" s="3556"/>
      <c r="AB8" s="3596">
        <f t="shared" si="0"/>
        <v>0</v>
      </c>
      <c r="AC8" s="3556"/>
      <c r="AD8" s="3556"/>
      <c r="AE8" s="3556"/>
      <c r="AF8" s="3564">
        <f t="shared" si="1"/>
        <v>0</v>
      </c>
      <c r="AG8" s="3595">
        <f t="shared" si="2"/>
        <v>0</v>
      </c>
      <c r="AH8" s="3553"/>
      <c r="AI8" s="3553"/>
      <c r="AJ8" s="3553"/>
      <c r="AK8" s="3596">
        <f t="shared" si="3"/>
        <v>0</v>
      </c>
      <c r="AL8" s="3556"/>
      <c r="AM8" s="3556"/>
      <c r="AN8" s="3594"/>
      <c r="AO8" s="3596">
        <f t="shared" si="33"/>
        <v>0</v>
      </c>
      <c r="AP8" s="3595">
        <f t="shared" si="34"/>
        <v>0</v>
      </c>
      <c r="AQ8" s="3563">
        <f t="shared" si="35"/>
        <v>0</v>
      </c>
      <c r="AR8" s="3555">
        <f t="shared" si="36"/>
        <v>0</v>
      </c>
      <c r="AS8" s="3593"/>
      <c r="AT8" s="3558"/>
      <c r="AU8" s="4496">
        <f t="shared" si="37"/>
        <v>0</v>
      </c>
      <c r="AV8" s="4894"/>
      <c r="AW8" s="5190">
        <f t="shared" si="38"/>
        <v>0</v>
      </c>
      <c r="AX8" s="5191"/>
      <c r="AY8" s="5502">
        <f t="shared" si="39"/>
        <v>0</v>
      </c>
      <c r="AZ8" s="4894"/>
      <c r="BA8" s="3562">
        <f t="shared" si="6"/>
        <v>0</v>
      </c>
      <c r="BB8" s="4419"/>
      <c r="BC8" s="3560">
        <f t="shared" si="7"/>
        <v>0</v>
      </c>
      <c r="BD8" s="4418"/>
      <c r="BE8" s="3562">
        <f t="shared" si="8"/>
        <v>0</v>
      </c>
      <c r="BF8" s="4420"/>
      <c r="BG8" s="3559">
        <f t="shared" si="9"/>
        <v>0</v>
      </c>
      <c r="BH8" s="4418"/>
      <c r="BI8" s="3562">
        <f t="shared" si="10"/>
        <v>0</v>
      </c>
      <c r="BJ8" s="4420"/>
      <c r="BK8" s="3559">
        <f t="shared" si="11"/>
        <v>0</v>
      </c>
      <c r="BL8" s="4418"/>
      <c r="BM8" s="3562">
        <f t="shared" si="12"/>
        <v>0</v>
      </c>
      <c r="BN8" s="4418"/>
      <c r="BO8" s="3560">
        <f t="shared" si="13"/>
        <v>0</v>
      </c>
      <c r="BP8" s="4418"/>
      <c r="BQ8" s="3578">
        <f t="shared" si="14"/>
        <v>0</v>
      </c>
      <c r="BR8" s="4418"/>
      <c r="BS8" s="3562">
        <f t="shared" si="15"/>
        <v>0</v>
      </c>
      <c r="BT8" s="4420"/>
      <c r="BU8" s="3559">
        <f t="shared" si="16"/>
        <v>0</v>
      </c>
      <c r="BV8" s="4418"/>
      <c r="BW8" s="3562">
        <f t="shared" si="17"/>
        <v>0</v>
      </c>
      <c r="BX8" s="4418"/>
      <c r="BY8" s="3561">
        <f t="shared" si="18"/>
        <v>0</v>
      </c>
      <c r="BZ8" s="4418"/>
      <c r="CA8" s="3562">
        <f t="shared" si="19"/>
        <v>0</v>
      </c>
      <c r="CB8" s="4418"/>
      <c r="CC8" s="3560">
        <f t="shared" si="20"/>
        <v>0</v>
      </c>
      <c r="CD8" s="4420"/>
      <c r="CE8" s="3559">
        <f t="shared" si="21"/>
        <v>0</v>
      </c>
      <c r="CF8" s="4418"/>
      <c r="CG8" s="3562">
        <f t="shared" si="22"/>
        <v>0</v>
      </c>
      <c r="CH8" s="4418"/>
      <c r="CI8" s="3561">
        <f t="shared" si="23"/>
        <v>0</v>
      </c>
      <c r="CJ8" s="4418"/>
      <c r="CK8" s="4418">
        <f t="shared" si="24"/>
        <v>0</v>
      </c>
      <c r="CL8" s="4420"/>
      <c r="CM8" s="4420">
        <f t="shared" si="25"/>
        <v>0</v>
      </c>
      <c r="CN8" s="4418"/>
      <c r="CO8" s="3562">
        <f t="shared" si="26"/>
        <v>0</v>
      </c>
      <c r="CP8" s="4418"/>
      <c r="CQ8" s="3560">
        <f t="shared" si="27"/>
        <v>0</v>
      </c>
      <c r="CR8" s="4418"/>
      <c r="CS8" s="3578">
        <f t="shared" si="28"/>
        <v>0</v>
      </c>
      <c r="CT8" s="4420"/>
      <c r="CU8" s="3580">
        <f t="shared" si="29"/>
        <v>0</v>
      </c>
      <c r="CV8" s="4814"/>
    </row>
    <row r="9" spans="1:100" x14ac:dyDescent="0.3">
      <c r="A9" s="3608"/>
      <c r="B9" s="3608"/>
      <c r="C9" s="3608"/>
      <c r="D9" s="3608"/>
      <c r="E9" s="4175" t="s">
        <v>1605</v>
      </c>
      <c r="F9" s="3589"/>
      <c r="G9" s="3556"/>
      <c r="H9" s="3556"/>
      <c r="I9" s="3596">
        <f t="shared" si="30"/>
        <v>0</v>
      </c>
      <c r="J9" s="3556"/>
      <c r="K9" s="3556"/>
      <c r="L9" s="3556"/>
      <c r="M9" s="3596"/>
      <c r="N9" s="3595">
        <f t="shared" si="31"/>
        <v>0</v>
      </c>
      <c r="O9" s="3553"/>
      <c r="P9" s="3553"/>
      <c r="Q9" s="3556"/>
      <c r="R9" s="3596"/>
      <c r="S9" s="3556"/>
      <c r="T9" s="3556"/>
      <c r="U9" s="3594"/>
      <c r="V9" s="3596"/>
      <c r="W9" s="3595"/>
      <c r="X9" s="3566">
        <f t="shared" si="32"/>
        <v>0</v>
      </c>
      <c r="Y9" s="3565"/>
      <c r="Z9" s="3556"/>
      <c r="AA9" s="3556"/>
      <c r="AB9" s="3596">
        <f t="shared" si="0"/>
        <v>0</v>
      </c>
      <c r="AC9" s="3556"/>
      <c r="AD9" s="3556"/>
      <c r="AE9" s="3556"/>
      <c r="AF9" s="3564">
        <f t="shared" si="1"/>
        <v>0</v>
      </c>
      <c r="AG9" s="3595">
        <f t="shared" si="2"/>
        <v>0</v>
      </c>
      <c r="AH9" s="3553"/>
      <c r="AI9" s="3553"/>
      <c r="AJ9" s="3553"/>
      <c r="AK9" s="3596">
        <f t="shared" si="3"/>
        <v>0</v>
      </c>
      <c r="AL9" s="3556"/>
      <c r="AM9" s="3556"/>
      <c r="AN9" s="3594"/>
      <c r="AO9" s="3596">
        <f t="shared" si="33"/>
        <v>0</v>
      </c>
      <c r="AP9" s="3595">
        <f t="shared" si="34"/>
        <v>0</v>
      </c>
      <c r="AQ9" s="3563">
        <f t="shared" si="35"/>
        <v>0</v>
      </c>
      <c r="AR9" s="3555">
        <f t="shared" si="36"/>
        <v>0</v>
      </c>
      <c r="AS9" s="3593"/>
      <c r="AT9" s="3558"/>
      <c r="AU9" s="4496">
        <f t="shared" si="37"/>
        <v>0</v>
      </c>
      <c r="AV9" s="4894"/>
      <c r="AW9" s="5190">
        <f t="shared" si="38"/>
        <v>0</v>
      </c>
      <c r="AX9" s="5191"/>
      <c r="AY9" s="5502">
        <f t="shared" si="39"/>
        <v>0</v>
      </c>
      <c r="AZ9" s="4894"/>
      <c r="BA9" s="3562">
        <f t="shared" si="6"/>
        <v>0</v>
      </c>
      <c r="BB9" s="4419"/>
      <c r="BC9" s="3560">
        <f t="shared" si="7"/>
        <v>0</v>
      </c>
      <c r="BD9" s="4418"/>
      <c r="BE9" s="3562">
        <f t="shared" si="8"/>
        <v>0</v>
      </c>
      <c r="BF9" s="4420"/>
      <c r="BG9" s="3559">
        <f t="shared" si="9"/>
        <v>0</v>
      </c>
      <c r="BH9" s="4418"/>
      <c r="BI9" s="3562">
        <f t="shared" si="10"/>
        <v>0</v>
      </c>
      <c r="BJ9" s="4420"/>
      <c r="BK9" s="3559">
        <f t="shared" si="11"/>
        <v>0</v>
      </c>
      <c r="BL9" s="4418"/>
      <c r="BM9" s="3562">
        <f t="shared" si="12"/>
        <v>0</v>
      </c>
      <c r="BN9" s="4418"/>
      <c r="BO9" s="3560">
        <f t="shared" si="13"/>
        <v>0</v>
      </c>
      <c r="BP9" s="4418"/>
      <c r="BQ9" s="3578">
        <f t="shared" si="14"/>
        <v>0</v>
      </c>
      <c r="BR9" s="4418"/>
      <c r="BS9" s="3562">
        <f t="shared" si="15"/>
        <v>0</v>
      </c>
      <c r="BT9" s="4420"/>
      <c r="BU9" s="3559">
        <f t="shared" si="16"/>
        <v>0</v>
      </c>
      <c r="BV9" s="4418"/>
      <c r="BW9" s="3562">
        <f t="shared" si="17"/>
        <v>0</v>
      </c>
      <c r="BX9" s="4418"/>
      <c r="BY9" s="3561">
        <f t="shared" si="18"/>
        <v>0</v>
      </c>
      <c r="BZ9" s="4418"/>
      <c r="CA9" s="3562">
        <f t="shared" si="19"/>
        <v>0</v>
      </c>
      <c r="CB9" s="4418"/>
      <c r="CC9" s="3560">
        <f t="shared" si="20"/>
        <v>0</v>
      </c>
      <c r="CD9" s="4420"/>
      <c r="CE9" s="3559">
        <f t="shared" si="21"/>
        <v>0</v>
      </c>
      <c r="CF9" s="4418"/>
      <c r="CG9" s="3562">
        <f t="shared" si="22"/>
        <v>0</v>
      </c>
      <c r="CH9" s="4418"/>
      <c r="CI9" s="3561">
        <f t="shared" si="23"/>
        <v>0</v>
      </c>
      <c r="CJ9" s="4418"/>
      <c r="CK9" s="4418">
        <f t="shared" si="24"/>
        <v>0</v>
      </c>
      <c r="CL9" s="4420"/>
      <c r="CM9" s="4420">
        <f t="shared" si="25"/>
        <v>0</v>
      </c>
      <c r="CN9" s="4418"/>
      <c r="CO9" s="3562">
        <f t="shared" si="26"/>
        <v>0</v>
      </c>
      <c r="CP9" s="4418"/>
      <c r="CQ9" s="3560">
        <f t="shared" si="27"/>
        <v>0</v>
      </c>
      <c r="CR9" s="4418"/>
      <c r="CS9" s="3578">
        <f t="shared" si="28"/>
        <v>0</v>
      </c>
      <c r="CT9" s="4420"/>
      <c r="CU9" s="3580">
        <f t="shared" si="29"/>
        <v>0</v>
      </c>
      <c r="CV9" s="4814"/>
    </row>
    <row r="10" spans="1:100" x14ac:dyDescent="0.3">
      <c r="A10" s="3608"/>
      <c r="B10" s="3608"/>
      <c r="C10" s="3608"/>
      <c r="D10" s="3608"/>
      <c r="E10" s="4175" t="s">
        <v>1344</v>
      </c>
      <c r="F10" s="3589">
        <v>952</v>
      </c>
      <c r="G10" s="3556"/>
      <c r="H10" s="3556"/>
      <c r="I10" s="3596">
        <f t="shared" si="30"/>
        <v>952</v>
      </c>
      <c r="J10" s="3556"/>
      <c r="K10" s="3556"/>
      <c r="L10" s="3556"/>
      <c r="M10" s="3596"/>
      <c r="N10" s="3595">
        <f t="shared" si="31"/>
        <v>952</v>
      </c>
      <c r="O10" s="3553"/>
      <c r="P10" s="3553"/>
      <c r="Q10" s="3556"/>
      <c r="R10" s="3596"/>
      <c r="S10" s="3556"/>
      <c r="T10" s="3556"/>
      <c r="U10" s="3594"/>
      <c r="V10" s="3596"/>
      <c r="W10" s="3595"/>
      <c r="X10" s="3566">
        <f t="shared" si="32"/>
        <v>952</v>
      </c>
      <c r="Y10" s="3565"/>
      <c r="Z10" s="3556"/>
      <c r="AA10" s="3556"/>
      <c r="AB10" s="3596">
        <f t="shared" si="0"/>
        <v>0</v>
      </c>
      <c r="AC10" s="3556"/>
      <c r="AD10" s="3556"/>
      <c r="AE10" s="3556"/>
      <c r="AF10" s="3564">
        <f t="shared" si="1"/>
        <v>0</v>
      </c>
      <c r="AG10" s="3595">
        <f t="shared" si="2"/>
        <v>0</v>
      </c>
      <c r="AH10" s="3553"/>
      <c r="AI10" s="3553"/>
      <c r="AJ10" s="3553"/>
      <c r="AK10" s="3596">
        <f t="shared" si="3"/>
        <v>0</v>
      </c>
      <c r="AL10" s="3556"/>
      <c r="AM10" s="3556"/>
      <c r="AN10" s="3594"/>
      <c r="AO10" s="3596">
        <f t="shared" si="33"/>
        <v>0</v>
      </c>
      <c r="AP10" s="3595">
        <f t="shared" si="34"/>
        <v>0</v>
      </c>
      <c r="AQ10" s="3563">
        <f t="shared" si="35"/>
        <v>0</v>
      </c>
      <c r="AR10" s="3555">
        <f t="shared" si="36"/>
        <v>952</v>
      </c>
      <c r="AS10" s="3593"/>
      <c r="AT10" s="3558"/>
      <c r="AU10" s="4496">
        <f t="shared" si="37"/>
        <v>952</v>
      </c>
      <c r="AV10" s="4894"/>
      <c r="AW10" s="5190">
        <f t="shared" si="38"/>
        <v>0</v>
      </c>
      <c r="AX10" s="5191"/>
      <c r="AY10" s="5502">
        <f t="shared" si="39"/>
        <v>952</v>
      </c>
      <c r="AZ10" s="4894"/>
      <c r="BA10" s="3562">
        <f t="shared" si="6"/>
        <v>0</v>
      </c>
      <c r="BB10" s="4419"/>
      <c r="BC10" s="3560">
        <f t="shared" si="7"/>
        <v>952</v>
      </c>
      <c r="BD10" s="4418"/>
      <c r="BE10" s="3562">
        <f t="shared" si="8"/>
        <v>0</v>
      </c>
      <c r="BF10" s="4420"/>
      <c r="BG10" s="3559">
        <f t="shared" si="9"/>
        <v>952</v>
      </c>
      <c r="BH10" s="4418"/>
      <c r="BI10" s="3562">
        <f t="shared" si="10"/>
        <v>0</v>
      </c>
      <c r="BJ10" s="4420"/>
      <c r="BK10" s="3559">
        <f t="shared" si="11"/>
        <v>952</v>
      </c>
      <c r="BL10" s="4418"/>
      <c r="BM10" s="3562">
        <f t="shared" si="12"/>
        <v>0</v>
      </c>
      <c r="BN10" s="4418"/>
      <c r="BO10" s="3560">
        <f t="shared" si="13"/>
        <v>0</v>
      </c>
      <c r="BP10" s="4418"/>
      <c r="BQ10" s="3578">
        <f t="shared" si="14"/>
        <v>952</v>
      </c>
      <c r="BR10" s="4418"/>
      <c r="BS10" s="3562">
        <f t="shared" si="15"/>
        <v>0</v>
      </c>
      <c r="BT10" s="4420"/>
      <c r="BU10" s="3559">
        <f t="shared" si="16"/>
        <v>952</v>
      </c>
      <c r="BV10" s="4418"/>
      <c r="BW10" s="3562">
        <f t="shared" si="17"/>
        <v>0</v>
      </c>
      <c r="BX10" s="4418"/>
      <c r="BY10" s="3561">
        <f t="shared" si="18"/>
        <v>952</v>
      </c>
      <c r="BZ10" s="4418"/>
      <c r="CA10" s="3562">
        <f t="shared" si="19"/>
        <v>0</v>
      </c>
      <c r="CB10" s="4418"/>
      <c r="CC10" s="3560">
        <f t="shared" si="20"/>
        <v>0</v>
      </c>
      <c r="CD10" s="4420"/>
      <c r="CE10" s="3559">
        <f t="shared" si="21"/>
        <v>952</v>
      </c>
      <c r="CF10" s="4418"/>
      <c r="CG10" s="3562">
        <f t="shared" si="22"/>
        <v>0</v>
      </c>
      <c r="CH10" s="4418"/>
      <c r="CI10" s="3561">
        <f t="shared" si="23"/>
        <v>952</v>
      </c>
      <c r="CJ10" s="4418"/>
      <c r="CK10" s="4418">
        <f t="shared" si="24"/>
        <v>0</v>
      </c>
      <c r="CL10" s="4420"/>
      <c r="CM10" s="4420">
        <f t="shared" si="25"/>
        <v>952</v>
      </c>
      <c r="CN10" s="4418"/>
      <c r="CO10" s="3562">
        <f t="shared" si="26"/>
        <v>0</v>
      </c>
      <c r="CP10" s="4418"/>
      <c r="CQ10" s="3560">
        <f t="shared" si="27"/>
        <v>0</v>
      </c>
      <c r="CR10" s="4418"/>
      <c r="CS10" s="3578">
        <f t="shared" si="28"/>
        <v>0</v>
      </c>
      <c r="CT10" s="4420"/>
      <c r="CU10" s="3580">
        <f t="shared" si="29"/>
        <v>952</v>
      </c>
      <c r="CV10" s="4814"/>
    </row>
    <row r="11" spans="1:100" x14ac:dyDescent="0.3">
      <c r="A11" s="3608"/>
      <c r="B11" s="3608"/>
      <c r="C11" s="3608"/>
      <c r="D11" s="3608"/>
      <c r="E11" s="4175" t="s">
        <v>1342</v>
      </c>
      <c r="F11" s="3589"/>
      <c r="G11" s="3556"/>
      <c r="H11" s="3556"/>
      <c r="I11" s="3596">
        <f t="shared" si="30"/>
        <v>0</v>
      </c>
      <c r="J11" s="3556"/>
      <c r="K11" s="3556"/>
      <c r="L11" s="3556"/>
      <c r="M11" s="3596"/>
      <c r="N11" s="3595">
        <f t="shared" si="31"/>
        <v>0</v>
      </c>
      <c r="O11" s="3553"/>
      <c r="P11" s="3553"/>
      <c r="Q11" s="3556"/>
      <c r="R11" s="3596"/>
      <c r="S11" s="3556"/>
      <c r="T11" s="3556"/>
      <c r="U11" s="3594"/>
      <c r="V11" s="3596"/>
      <c r="W11" s="3595"/>
      <c r="X11" s="3566">
        <f t="shared" si="32"/>
        <v>0</v>
      </c>
      <c r="Y11" s="3565"/>
      <c r="Z11" s="3556"/>
      <c r="AA11" s="3556"/>
      <c r="AB11" s="3596">
        <f t="shared" si="0"/>
        <v>0</v>
      </c>
      <c r="AC11" s="3556"/>
      <c r="AD11" s="3556"/>
      <c r="AE11" s="3556"/>
      <c r="AF11" s="3564">
        <f t="shared" si="1"/>
        <v>0</v>
      </c>
      <c r="AG11" s="3595">
        <f t="shared" si="2"/>
        <v>0</v>
      </c>
      <c r="AH11" s="3553"/>
      <c r="AI11" s="3553"/>
      <c r="AJ11" s="3553"/>
      <c r="AK11" s="3596">
        <f t="shared" si="3"/>
        <v>0</v>
      </c>
      <c r="AL11" s="3556"/>
      <c r="AM11" s="3556"/>
      <c r="AN11" s="3594"/>
      <c r="AO11" s="3596">
        <f t="shared" si="33"/>
        <v>0</v>
      </c>
      <c r="AP11" s="3595">
        <f t="shared" si="34"/>
        <v>0</v>
      </c>
      <c r="AQ11" s="3563">
        <f t="shared" si="35"/>
        <v>0</v>
      </c>
      <c r="AR11" s="3555">
        <f t="shared" si="36"/>
        <v>0</v>
      </c>
      <c r="AS11" s="3593"/>
      <c r="AT11" s="3558"/>
      <c r="AU11" s="4496">
        <f t="shared" si="37"/>
        <v>0</v>
      </c>
      <c r="AV11" s="4894"/>
      <c r="AW11" s="5190">
        <f t="shared" si="38"/>
        <v>0</v>
      </c>
      <c r="AX11" s="5191"/>
      <c r="AY11" s="5502">
        <f t="shared" si="39"/>
        <v>0</v>
      </c>
      <c r="AZ11" s="4894"/>
      <c r="BA11" s="3562">
        <f t="shared" si="6"/>
        <v>0</v>
      </c>
      <c r="BB11" s="3560"/>
      <c r="BC11" s="3560">
        <f t="shared" si="7"/>
        <v>0</v>
      </c>
      <c r="BD11" s="3561"/>
      <c r="BE11" s="3562">
        <f t="shared" si="8"/>
        <v>0</v>
      </c>
      <c r="BF11" s="3559"/>
      <c r="BG11" s="3559">
        <f t="shared" si="9"/>
        <v>0</v>
      </c>
      <c r="BH11" s="3561"/>
      <c r="BI11" s="3562">
        <f t="shared" si="10"/>
        <v>0</v>
      </c>
      <c r="BJ11" s="3559"/>
      <c r="BK11" s="3559">
        <f t="shared" si="11"/>
        <v>0</v>
      </c>
      <c r="BL11" s="3561"/>
      <c r="BM11" s="3562">
        <f t="shared" si="12"/>
        <v>0</v>
      </c>
      <c r="BN11" s="3561"/>
      <c r="BO11" s="3560">
        <f t="shared" si="13"/>
        <v>0</v>
      </c>
      <c r="BP11" s="3561"/>
      <c r="BQ11" s="3578">
        <f t="shared" si="14"/>
        <v>0</v>
      </c>
      <c r="BR11" s="3561"/>
      <c r="BS11" s="3562">
        <f t="shared" si="15"/>
        <v>0</v>
      </c>
      <c r="BT11" s="3559"/>
      <c r="BU11" s="3559">
        <f t="shared" si="16"/>
        <v>0</v>
      </c>
      <c r="BV11" s="3561"/>
      <c r="BW11" s="3562">
        <f t="shared" si="17"/>
        <v>0</v>
      </c>
      <c r="BX11" s="3561"/>
      <c r="BY11" s="3561">
        <f t="shared" si="18"/>
        <v>0</v>
      </c>
      <c r="BZ11" s="3561"/>
      <c r="CA11" s="3562">
        <f t="shared" si="19"/>
        <v>0</v>
      </c>
      <c r="CB11" s="3561"/>
      <c r="CC11" s="3560">
        <f t="shared" si="20"/>
        <v>0</v>
      </c>
      <c r="CD11" s="3559"/>
      <c r="CE11" s="3559">
        <f t="shared" si="21"/>
        <v>0</v>
      </c>
      <c r="CF11" s="3561"/>
      <c r="CG11" s="3562">
        <f t="shared" si="22"/>
        <v>0</v>
      </c>
      <c r="CH11" s="3561"/>
      <c r="CI11" s="3561">
        <f t="shared" si="23"/>
        <v>0</v>
      </c>
      <c r="CJ11" s="3561"/>
      <c r="CK11" s="3562">
        <f t="shared" si="24"/>
        <v>0</v>
      </c>
      <c r="CL11" s="3559"/>
      <c r="CM11" s="3559">
        <f t="shared" si="25"/>
        <v>0</v>
      </c>
      <c r="CN11" s="3561"/>
      <c r="CO11" s="3562">
        <f t="shared" si="26"/>
        <v>0</v>
      </c>
      <c r="CP11" s="3561"/>
      <c r="CQ11" s="3560">
        <f t="shared" si="27"/>
        <v>0</v>
      </c>
      <c r="CR11" s="3561"/>
      <c r="CS11" s="3578">
        <f t="shared" si="28"/>
        <v>0</v>
      </c>
      <c r="CT11" s="3559"/>
      <c r="CU11" s="3580">
        <f t="shared" si="29"/>
        <v>0</v>
      </c>
      <c r="CV11" s="4814"/>
    </row>
    <row r="12" spans="1:100" x14ac:dyDescent="0.3">
      <c r="A12" s="3608"/>
      <c r="B12" s="3608"/>
      <c r="C12" s="3608"/>
      <c r="D12" s="3608"/>
      <c r="E12" s="4175" t="s">
        <v>1856</v>
      </c>
      <c r="F12" s="3589">
        <v>2500</v>
      </c>
      <c r="G12" s="3556">
        <v>935.44</v>
      </c>
      <c r="H12" s="3556"/>
      <c r="I12" s="3596">
        <f t="shared" si="30"/>
        <v>3435.44</v>
      </c>
      <c r="J12" s="3556"/>
      <c r="K12" s="3556"/>
      <c r="L12" s="3556"/>
      <c r="M12" s="3596"/>
      <c r="N12" s="3595">
        <f t="shared" si="31"/>
        <v>3435.44</v>
      </c>
      <c r="O12" s="3553"/>
      <c r="P12" s="3553"/>
      <c r="Q12" s="3556"/>
      <c r="R12" s="3596"/>
      <c r="S12" s="3556"/>
      <c r="T12" s="3556"/>
      <c r="U12" s="3594"/>
      <c r="V12" s="3596"/>
      <c r="W12" s="3595"/>
      <c r="X12" s="3566">
        <f t="shared" si="32"/>
        <v>3435.44</v>
      </c>
      <c r="Y12" s="3565"/>
      <c r="Z12" s="3556"/>
      <c r="AA12" s="3556"/>
      <c r="AB12" s="3596">
        <f t="shared" si="0"/>
        <v>0</v>
      </c>
      <c r="AC12" s="3556"/>
      <c r="AD12" s="3556"/>
      <c r="AE12" s="3556"/>
      <c r="AF12" s="3564">
        <f t="shared" si="1"/>
        <v>0</v>
      </c>
      <c r="AG12" s="3595">
        <f t="shared" si="2"/>
        <v>0</v>
      </c>
      <c r="AH12" s="3553"/>
      <c r="AI12" s="3553"/>
      <c r="AJ12" s="3553"/>
      <c r="AK12" s="3596">
        <f t="shared" si="3"/>
        <v>0</v>
      </c>
      <c r="AL12" s="3556"/>
      <c r="AM12" s="3556"/>
      <c r="AN12" s="3594"/>
      <c r="AO12" s="3596">
        <f t="shared" si="33"/>
        <v>0</v>
      </c>
      <c r="AP12" s="3595">
        <f t="shared" si="34"/>
        <v>0</v>
      </c>
      <c r="AQ12" s="3563">
        <f t="shared" si="35"/>
        <v>0</v>
      </c>
      <c r="AR12" s="3555">
        <f t="shared" si="36"/>
        <v>3435.44</v>
      </c>
      <c r="AS12" s="3593"/>
      <c r="AT12" s="3558"/>
      <c r="AU12" s="4496">
        <f t="shared" si="37"/>
        <v>2500</v>
      </c>
      <c r="AV12" s="4894"/>
      <c r="AW12" s="5190">
        <f t="shared" si="38"/>
        <v>935.44</v>
      </c>
      <c r="AX12" s="5191"/>
      <c r="AY12" s="5502">
        <f t="shared" si="39"/>
        <v>3435.44</v>
      </c>
      <c r="AZ12" s="4894"/>
      <c r="BA12" s="3562">
        <f t="shared" si="6"/>
        <v>0</v>
      </c>
      <c r="BB12" s="3560"/>
      <c r="BC12" s="3560">
        <f t="shared" si="7"/>
        <v>3435.44</v>
      </c>
      <c r="BD12" s="3561"/>
      <c r="BE12" s="3562">
        <f t="shared" si="8"/>
        <v>0</v>
      </c>
      <c r="BF12" s="3559"/>
      <c r="BG12" s="3559">
        <f t="shared" si="9"/>
        <v>3435.44</v>
      </c>
      <c r="BH12" s="3561"/>
      <c r="BI12" s="3562">
        <f t="shared" si="10"/>
        <v>0</v>
      </c>
      <c r="BJ12" s="3559"/>
      <c r="BK12" s="3559">
        <f t="shared" si="11"/>
        <v>3435.44</v>
      </c>
      <c r="BL12" s="3561"/>
      <c r="BM12" s="3562">
        <f t="shared" si="12"/>
        <v>0</v>
      </c>
      <c r="BN12" s="3561"/>
      <c r="BO12" s="3560">
        <f t="shared" si="13"/>
        <v>0</v>
      </c>
      <c r="BP12" s="3561"/>
      <c r="BQ12" s="3578">
        <f t="shared" si="14"/>
        <v>3435.44</v>
      </c>
      <c r="BR12" s="3561"/>
      <c r="BS12" s="3562">
        <f t="shared" si="15"/>
        <v>0</v>
      </c>
      <c r="BT12" s="3559"/>
      <c r="BU12" s="3559">
        <f t="shared" si="16"/>
        <v>3435.44</v>
      </c>
      <c r="BV12" s="3561"/>
      <c r="BW12" s="3562">
        <f t="shared" si="17"/>
        <v>0</v>
      </c>
      <c r="BX12" s="3561"/>
      <c r="BY12" s="3561">
        <f t="shared" si="18"/>
        <v>3435.44</v>
      </c>
      <c r="BZ12" s="3561"/>
      <c r="CA12" s="3562">
        <f t="shared" si="19"/>
        <v>0</v>
      </c>
      <c r="CB12" s="3561"/>
      <c r="CC12" s="3560">
        <f t="shared" si="20"/>
        <v>0</v>
      </c>
      <c r="CD12" s="3559"/>
      <c r="CE12" s="3559">
        <f t="shared" si="21"/>
        <v>3435.44</v>
      </c>
      <c r="CF12" s="3561"/>
      <c r="CG12" s="3562">
        <f t="shared" si="22"/>
        <v>0</v>
      </c>
      <c r="CH12" s="3561"/>
      <c r="CI12" s="3561">
        <f t="shared" si="23"/>
        <v>3435.44</v>
      </c>
      <c r="CJ12" s="3561"/>
      <c r="CK12" s="3562">
        <f t="shared" si="24"/>
        <v>0</v>
      </c>
      <c r="CL12" s="3559"/>
      <c r="CM12" s="3559">
        <f t="shared" si="25"/>
        <v>3435.44</v>
      </c>
      <c r="CN12" s="3561"/>
      <c r="CO12" s="3562">
        <f t="shared" si="26"/>
        <v>0</v>
      </c>
      <c r="CP12" s="3561"/>
      <c r="CQ12" s="3560">
        <f t="shared" si="27"/>
        <v>0</v>
      </c>
      <c r="CR12" s="3561"/>
      <c r="CS12" s="3578">
        <f t="shared" si="28"/>
        <v>0</v>
      </c>
      <c r="CT12" s="3559"/>
      <c r="CU12" s="3580">
        <f t="shared" si="29"/>
        <v>3435.44</v>
      </c>
      <c r="CV12" s="4814"/>
    </row>
    <row r="13" spans="1:100" x14ac:dyDescent="0.3">
      <c r="A13" s="3608"/>
      <c r="B13" s="3608"/>
      <c r="C13" s="3608"/>
      <c r="D13" s="3608"/>
      <c r="E13" s="4175" t="s">
        <v>1343</v>
      </c>
      <c r="F13" s="3589"/>
      <c r="G13" s="3556"/>
      <c r="H13" s="3556"/>
      <c r="I13" s="3596">
        <f t="shared" si="30"/>
        <v>0</v>
      </c>
      <c r="J13" s="3556"/>
      <c r="K13" s="3556"/>
      <c r="L13" s="3556"/>
      <c r="M13" s="3596"/>
      <c r="N13" s="3595">
        <f t="shared" si="31"/>
        <v>0</v>
      </c>
      <c r="O13" s="3553"/>
      <c r="P13" s="3553"/>
      <c r="Q13" s="3556"/>
      <c r="R13" s="3596"/>
      <c r="S13" s="3556"/>
      <c r="T13" s="3556"/>
      <c r="U13" s="3594"/>
      <c r="V13" s="3596"/>
      <c r="W13" s="3595"/>
      <c r="X13" s="3566">
        <f t="shared" si="32"/>
        <v>0</v>
      </c>
      <c r="Y13" s="3565"/>
      <c r="Z13" s="3556"/>
      <c r="AA13" s="3556"/>
      <c r="AB13" s="3596">
        <f t="shared" si="0"/>
        <v>0</v>
      </c>
      <c r="AC13" s="3556"/>
      <c r="AD13" s="3556"/>
      <c r="AE13" s="3556"/>
      <c r="AF13" s="3564">
        <f t="shared" si="1"/>
        <v>0</v>
      </c>
      <c r="AG13" s="3595">
        <f t="shared" si="2"/>
        <v>0</v>
      </c>
      <c r="AH13" s="3553"/>
      <c r="AI13" s="3553"/>
      <c r="AJ13" s="3553"/>
      <c r="AK13" s="3596">
        <f t="shared" si="3"/>
        <v>0</v>
      </c>
      <c r="AL13" s="3556"/>
      <c r="AM13" s="3556"/>
      <c r="AN13" s="3594"/>
      <c r="AO13" s="3596">
        <f t="shared" si="33"/>
        <v>0</v>
      </c>
      <c r="AP13" s="3595">
        <f t="shared" si="34"/>
        <v>0</v>
      </c>
      <c r="AQ13" s="3563">
        <f t="shared" si="35"/>
        <v>0</v>
      </c>
      <c r="AR13" s="3555">
        <f t="shared" si="36"/>
        <v>0</v>
      </c>
      <c r="AS13" s="3593"/>
      <c r="AT13" s="3558"/>
      <c r="AU13" s="4496">
        <f t="shared" si="37"/>
        <v>0</v>
      </c>
      <c r="AV13" s="4894"/>
      <c r="AW13" s="5190">
        <f t="shared" si="38"/>
        <v>0</v>
      </c>
      <c r="AX13" s="5191"/>
      <c r="AY13" s="5502">
        <f t="shared" si="39"/>
        <v>0</v>
      </c>
      <c r="AZ13" s="4894"/>
      <c r="BA13" s="3562">
        <f t="shared" si="6"/>
        <v>0</v>
      </c>
      <c r="BB13" s="4419"/>
      <c r="BC13" s="3560">
        <f t="shared" si="7"/>
        <v>0</v>
      </c>
      <c r="BD13" s="4418"/>
      <c r="BE13" s="3562">
        <f t="shared" si="8"/>
        <v>0</v>
      </c>
      <c r="BF13" s="4420"/>
      <c r="BG13" s="3559">
        <f t="shared" si="9"/>
        <v>0</v>
      </c>
      <c r="BH13" s="4418"/>
      <c r="BI13" s="3562">
        <f t="shared" si="10"/>
        <v>0</v>
      </c>
      <c r="BJ13" s="4420"/>
      <c r="BK13" s="3559">
        <f t="shared" si="11"/>
        <v>0</v>
      </c>
      <c r="BL13" s="4418"/>
      <c r="BM13" s="3562">
        <f t="shared" si="12"/>
        <v>0</v>
      </c>
      <c r="BN13" s="4418"/>
      <c r="BO13" s="3560">
        <f t="shared" si="13"/>
        <v>0</v>
      </c>
      <c r="BP13" s="4418"/>
      <c r="BQ13" s="3578">
        <f t="shared" si="14"/>
        <v>0</v>
      </c>
      <c r="BR13" s="4418"/>
      <c r="BS13" s="3562">
        <f t="shared" si="15"/>
        <v>0</v>
      </c>
      <c r="BT13" s="4420"/>
      <c r="BU13" s="3559">
        <f t="shared" si="16"/>
        <v>0</v>
      </c>
      <c r="BV13" s="4418"/>
      <c r="BW13" s="3562">
        <f t="shared" si="17"/>
        <v>0</v>
      </c>
      <c r="BX13" s="4418"/>
      <c r="BY13" s="3561">
        <f t="shared" si="18"/>
        <v>0</v>
      </c>
      <c r="BZ13" s="4418"/>
      <c r="CA13" s="3562">
        <f t="shared" si="19"/>
        <v>0</v>
      </c>
      <c r="CB13" s="4418"/>
      <c r="CC13" s="3560">
        <f t="shared" si="20"/>
        <v>0</v>
      </c>
      <c r="CD13" s="4420"/>
      <c r="CE13" s="3559">
        <f t="shared" si="21"/>
        <v>0</v>
      </c>
      <c r="CF13" s="4418"/>
      <c r="CG13" s="3562">
        <f t="shared" si="22"/>
        <v>0</v>
      </c>
      <c r="CH13" s="4418"/>
      <c r="CI13" s="3561">
        <f t="shared" si="23"/>
        <v>0</v>
      </c>
      <c r="CJ13" s="4418"/>
      <c r="CK13" s="4418">
        <f t="shared" si="24"/>
        <v>0</v>
      </c>
      <c r="CL13" s="4420"/>
      <c r="CM13" s="4420">
        <f t="shared" si="25"/>
        <v>0</v>
      </c>
      <c r="CN13" s="4418"/>
      <c r="CO13" s="3562">
        <f t="shared" si="26"/>
        <v>0</v>
      </c>
      <c r="CP13" s="4418"/>
      <c r="CQ13" s="3560">
        <f t="shared" si="27"/>
        <v>0</v>
      </c>
      <c r="CR13" s="4418"/>
      <c r="CS13" s="3578">
        <f t="shared" si="28"/>
        <v>0</v>
      </c>
      <c r="CT13" s="4420"/>
      <c r="CU13" s="3580">
        <f t="shared" si="29"/>
        <v>0</v>
      </c>
      <c r="CV13" s="4814"/>
    </row>
    <row r="14" spans="1:100" x14ac:dyDescent="0.3">
      <c r="A14" s="3608"/>
      <c r="B14" s="3608"/>
      <c r="C14" s="3608"/>
      <c r="D14" s="3608"/>
      <c r="E14" s="4175" t="s">
        <v>1154</v>
      </c>
      <c r="F14" s="3589">
        <v>191</v>
      </c>
      <c r="G14" s="3556">
        <v>242.364</v>
      </c>
      <c r="H14" s="3556"/>
      <c r="I14" s="3596">
        <f t="shared" si="30"/>
        <v>433.36400000000003</v>
      </c>
      <c r="J14" s="3556"/>
      <c r="K14" s="3556"/>
      <c r="L14" s="3556"/>
      <c r="M14" s="3596"/>
      <c r="N14" s="3595">
        <f t="shared" si="31"/>
        <v>433.36400000000003</v>
      </c>
      <c r="O14" s="3553"/>
      <c r="P14" s="3553"/>
      <c r="Q14" s="3556"/>
      <c r="R14" s="3596"/>
      <c r="S14" s="3556"/>
      <c r="T14" s="3556"/>
      <c r="U14" s="3594"/>
      <c r="V14" s="3596"/>
      <c r="W14" s="3595"/>
      <c r="X14" s="3566">
        <f t="shared" si="32"/>
        <v>433.36400000000003</v>
      </c>
      <c r="Y14" s="3565"/>
      <c r="Z14" s="3556"/>
      <c r="AA14" s="3556"/>
      <c r="AB14" s="3596">
        <f t="shared" si="0"/>
        <v>0</v>
      </c>
      <c r="AC14" s="3556"/>
      <c r="AD14" s="3556"/>
      <c r="AE14" s="3556"/>
      <c r="AF14" s="3564">
        <f t="shared" si="1"/>
        <v>0</v>
      </c>
      <c r="AG14" s="3595">
        <f t="shared" si="2"/>
        <v>0</v>
      </c>
      <c r="AH14" s="3553"/>
      <c r="AI14" s="3553"/>
      <c r="AJ14" s="3553"/>
      <c r="AK14" s="3596">
        <f t="shared" si="3"/>
        <v>0</v>
      </c>
      <c r="AL14" s="3556"/>
      <c r="AM14" s="3556"/>
      <c r="AN14" s="3594"/>
      <c r="AO14" s="3596">
        <f t="shared" si="33"/>
        <v>0</v>
      </c>
      <c r="AP14" s="3595">
        <f t="shared" si="34"/>
        <v>0</v>
      </c>
      <c r="AQ14" s="3563">
        <f t="shared" si="35"/>
        <v>0</v>
      </c>
      <c r="AR14" s="3555">
        <f t="shared" si="36"/>
        <v>433.36400000000003</v>
      </c>
      <c r="AS14" s="3593"/>
      <c r="AT14" s="3558"/>
      <c r="AU14" s="4496">
        <f t="shared" si="37"/>
        <v>191</v>
      </c>
      <c r="AV14" s="4894"/>
      <c r="AW14" s="5190">
        <f t="shared" si="38"/>
        <v>242.364</v>
      </c>
      <c r="AX14" s="5191"/>
      <c r="AY14" s="5502">
        <f t="shared" si="39"/>
        <v>433.36400000000003</v>
      </c>
      <c r="AZ14" s="4894"/>
      <c r="BA14" s="3562">
        <f t="shared" si="6"/>
        <v>0</v>
      </c>
      <c r="BB14" s="3560"/>
      <c r="BC14" s="3560">
        <f t="shared" si="7"/>
        <v>433.36400000000003</v>
      </c>
      <c r="BD14" s="3561"/>
      <c r="BE14" s="3562">
        <f t="shared" si="8"/>
        <v>0</v>
      </c>
      <c r="BF14" s="3559"/>
      <c r="BG14" s="3559">
        <f t="shared" si="9"/>
        <v>433.36400000000003</v>
      </c>
      <c r="BH14" s="3561"/>
      <c r="BI14" s="3562">
        <f t="shared" si="10"/>
        <v>0</v>
      </c>
      <c r="BJ14" s="3559"/>
      <c r="BK14" s="3559">
        <f t="shared" si="11"/>
        <v>433.36400000000003</v>
      </c>
      <c r="BL14" s="3561"/>
      <c r="BM14" s="3562">
        <f t="shared" si="12"/>
        <v>0</v>
      </c>
      <c r="BN14" s="3561"/>
      <c r="BO14" s="3560">
        <f t="shared" si="13"/>
        <v>0</v>
      </c>
      <c r="BP14" s="3561"/>
      <c r="BQ14" s="3578">
        <f t="shared" si="14"/>
        <v>433.36400000000003</v>
      </c>
      <c r="BR14" s="3561"/>
      <c r="BS14" s="3562">
        <f t="shared" si="15"/>
        <v>0</v>
      </c>
      <c r="BT14" s="3559"/>
      <c r="BU14" s="3559">
        <f t="shared" si="16"/>
        <v>433.36400000000003</v>
      </c>
      <c r="BV14" s="3561"/>
      <c r="BW14" s="3562">
        <f t="shared" si="17"/>
        <v>0</v>
      </c>
      <c r="BX14" s="3561"/>
      <c r="BY14" s="3561">
        <f t="shared" si="18"/>
        <v>433.36400000000003</v>
      </c>
      <c r="BZ14" s="3561"/>
      <c r="CA14" s="3562">
        <f t="shared" si="19"/>
        <v>0</v>
      </c>
      <c r="CB14" s="3561"/>
      <c r="CC14" s="3560">
        <f t="shared" si="20"/>
        <v>0</v>
      </c>
      <c r="CD14" s="3559"/>
      <c r="CE14" s="3559">
        <f t="shared" si="21"/>
        <v>433.36400000000003</v>
      </c>
      <c r="CF14" s="3561"/>
      <c r="CG14" s="3562">
        <f t="shared" si="22"/>
        <v>0</v>
      </c>
      <c r="CH14" s="3561"/>
      <c r="CI14" s="3561">
        <f t="shared" si="23"/>
        <v>433.36400000000003</v>
      </c>
      <c r="CJ14" s="3561"/>
      <c r="CK14" s="3562">
        <f t="shared" si="24"/>
        <v>0</v>
      </c>
      <c r="CL14" s="3559"/>
      <c r="CM14" s="3559">
        <f t="shared" si="25"/>
        <v>433.36400000000003</v>
      </c>
      <c r="CN14" s="3561"/>
      <c r="CO14" s="3562">
        <f t="shared" si="26"/>
        <v>0</v>
      </c>
      <c r="CP14" s="3561"/>
      <c r="CQ14" s="3560">
        <f t="shared" si="27"/>
        <v>0</v>
      </c>
      <c r="CR14" s="3561"/>
      <c r="CS14" s="3578">
        <f t="shared" si="28"/>
        <v>0</v>
      </c>
      <c r="CT14" s="3559"/>
      <c r="CU14" s="3580">
        <f t="shared" si="29"/>
        <v>433.36400000000003</v>
      </c>
      <c r="CV14" s="4814"/>
    </row>
    <row r="15" spans="1:100" x14ac:dyDescent="0.3">
      <c r="A15" s="3608"/>
      <c r="B15" s="3608"/>
      <c r="C15" s="3608"/>
      <c r="D15" s="3608"/>
      <c r="E15" s="4175" t="s">
        <v>1156</v>
      </c>
      <c r="F15" s="3589">
        <v>3489</v>
      </c>
      <c r="G15" s="3556"/>
      <c r="H15" s="3556"/>
      <c r="I15" s="3596">
        <f t="shared" si="30"/>
        <v>3489</v>
      </c>
      <c r="J15" s="3556"/>
      <c r="K15" s="3556"/>
      <c r="L15" s="3556"/>
      <c r="M15" s="3596"/>
      <c r="N15" s="3595">
        <f t="shared" si="31"/>
        <v>3489</v>
      </c>
      <c r="O15" s="3553"/>
      <c r="P15" s="3553"/>
      <c r="Q15" s="3556"/>
      <c r="R15" s="3596"/>
      <c r="S15" s="3556"/>
      <c r="T15" s="3556"/>
      <c r="U15" s="3594"/>
      <c r="V15" s="3596"/>
      <c r="W15" s="3595"/>
      <c r="X15" s="3566">
        <f t="shared" si="32"/>
        <v>3489</v>
      </c>
      <c r="Y15" s="3565"/>
      <c r="Z15" s="3556"/>
      <c r="AA15" s="3556"/>
      <c r="AB15" s="3596">
        <f t="shared" si="0"/>
        <v>0</v>
      </c>
      <c r="AC15" s="3556"/>
      <c r="AD15" s="3556"/>
      <c r="AE15" s="3556"/>
      <c r="AF15" s="3564">
        <f t="shared" si="1"/>
        <v>0</v>
      </c>
      <c r="AG15" s="3595">
        <f t="shared" si="2"/>
        <v>0</v>
      </c>
      <c r="AH15" s="3553"/>
      <c r="AI15" s="3553"/>
      <c r="AJ15" s="3553"/>
      <c r="AK15" s="3596">
        <f t="shared" si="3"/>
        <v>0</v>
      </c>
      <c r="AL15" s="3556"/>
      <c r="AM15" s="3556"/>
      <c r="AN15" s="3594"/>
      <c r="AO15" s="3596">
        <f t="shared" si="33"/>
        <v>0</v>
      </c>
      <c r="AP15" s="3595">
        <f t="shared" si="34"/>
        <v>0</v>
      </c>
      <c r="AQ15" s="3563">
        <f t="shared" si="35"/>
        <v>0</v>
      </c>
      <c r="AR15" s="3555">
        <f t="shared" si="36"/>
        <v>3489</v>
      </c>
      <c r="AS15" s="3593"/>
      <c r="AT15" s="3558"/>
      <c r="AU15" s="4496">
        <f t="shared" si="37"/>
        <v>3489</v>
      </c>
      <c r="AV15" s="4894"/>
      <c r="AW15" s="5190">
        <f t="shared" si="38"/>
        <v>0</v>
      </c>
      <c r="AX15" s="5191"/>
      <c r="AY15" s="5502">
        <f t="shared" si="39"/>
        <v>3489</v>
      </c>
      <c r="AZ15" s="4894"/>
      <c r="BA15" s="3562">
        <f t="shared" si="6"/>
        <v>0</v>
      </c>
      <c r="BB15" s="3560"/>
      <c r="BC15" s="3560">
        <f t="shared" si="7"/>
        <v>3489</v>
      </c>
      <c r="BD15" s="3561"/>
      <c r="BE15" s="3562">
        <f t="shared" si="8"/>
        <v>0</v>
      </c>
      <c r="BF15" s="3559"/>
      <c r="BG15" s="3559">
        <f t="shared" si="9"/>
        <v>3489</v>
      </c>
      <c r="BH15" s="3561"/>
      <c r="BI15" s="3562">
        <f t="shared" si="10"/>
        <v>0</v>
      </c>
      <c r="BJ15" s="3559"/>
      <c r="BK15" s="3559">
        <f t="shared" si="11"/>
        <v>3489</v>
      </c>
      <c r="BL15" s="3561"/>
      <c r="BM15" s="3562">
        <f t="shared" si="12"/>
        <v>0</v>
      </c>
      <c r="BN15" s="3561"/>
      <c r="BO15" s="3560">
        <f t="shared" si="13"/>
        <v>0</v>
      </c>
      <c r="BP15" s="3561"/>
      <c r="BQ15" s="3578">
        <f t="shared" si="14"/>
        <v>3489</v>
      </c>
      <c r="BR15" s="3561"/>
      <c r="BS15" s="3562">
        <f t="shared" si="15"/>
        <v>0</v>
      </c>
      <c r="BT15" s="3559"/>
      <c r="BU15" s="3559">
        <f t="shared" si="16"/>
        <v>3489</v>
      </c>
      <c r="BV15" s="3561"/>
      <c r="BW15" s="3562">
        <f t="shared" si="17"/>
        <v>0</v>
      </c>
      <c r="BX15" s="3561"/>
      <c r="BY15" s="3561">
        <f t="shared" si="18"/>
        <v>3489</v>
      </c>
      <c r="BZ15" s="3561"/>
      <c r="CA15" s="3562">
        <f t="shared" si="19"/>
        <v>0</v>
      </c>
      <c r="CB15" s="3561"/>
      <c r="CC15" s="3560">
        <f t="shared" si="20"/>
        <v>0</v>
      </c>
      <c r="CD15" s="3559"/>
      <c r="CE15" s="3559">
        <f t="shared" si="21"/>
        <v>3489</v>
      </c>
      <c r="CF15" s="3561"/>
      <c r="CG15" s="3562">
        <f t="shared" si="22"/>
        <v>0</v>
      </c>
      <c r="CH15" s="3561"/>
      <c r="CI15" s="3561">
        <f t="shared" si="23"/>
        <v>3489</v>
      </c>
      <c r="CJ15" s="3561"/>
      <c r="CK15" s="3562">
        <f t="shared" si="24"/>
        <v>0</v>
      </c>
      <c r="CL15" s="3559"/>
      <c r="CM15" s="3559">
        <f t="shared" si="25"/>
        <v>3489</v>
      </c>
      <c r="CN15" s="3561"/>
      <c r="CO15" s="3562">
        <f t="shared" si="26"/>
        <v>0</v>
      </c>
      <c r="CP15" s="3561"/>
      <c r="CQ15" s="3560">
        <f t="shared" si="27"/>
        <v>0</v>
      </c>
      <c r="CR15" s="3561"/>
      <c r="CS15" s="3578">
        <f t="shared" si="28"/>
        <v>0</v>
      </c>
      <c r="CT15" s="3559"/>
      <c r="CU15" s="3580">
        <f t="shared" si="29"/>
        <v>3489</v>
      </c>
      <c r="CV15" s="4814"/>
    </row>
    <row r="16" spans="1:100" x14ac:dyDescent="0.3">
      <c r="A16" s="3608"/>
      <c r="B16" s="3608"/>
      <c r="C16" s="3608"/>
      <c r="D16" s="3608"/>
      <c r="E16" s="4175" t="s">
        <v>1857</v>
      </c>
      <c r="F16" s="3589"/>
      <c r="G16" s="3556"/>
      <c r="H16" s="3556"/>
      <c r="I16" s="3596">
        <f t="shared" si="30"/>
        <v>0</v>
      </c>
      <c r="J16" s="3556"/>
      <c r="K16" s="3556"/>
      <c r="L16" s="3556"/>
      <c r="M16" s="3596"/>
      <c r="N16" s="3595">
        <f t="shared" si="31"/>
        <v>0</v>
      </c>
      <c r="O16" s="3553"/>
      <c r="P16" s="3553"/>
      <c r="Q16" s="3556"/>
      <c r="R16" s="3596"/>
      <c r="S16" s="3556"/>
      <c r="T16" s="3556"/>
      <c r="U16" s="3594"/>
      <c r="V16" s="3596"/>
      <c r="W16" s="3595"/>
      <c r="X16" s="3566">
        <f t="shared" si="32"/>
        <v>0</v>
      </c>
      <c r="Y16" s="3565"/>
      <c r="Z16" s="3556"/>
      <c r="AA16" s="3556"/>
      <c r="AB16" s="3596">
        <f t="shared" si="0"/>
        <v>0</v>
      </c>
      <c r="AC16" s="3556"/>
      <c r="AD16" s="3556"/>
      <c r="AE16" s="3556"/>
      <c r="AF16" s="3564">
        <f t="shared" si="1"/>
        <v>0</v>
      </c>
      <c r="AG16" s="3595">
        <f t="shared" si="2"/>
        <v>0</v>
      </c>
      <c r="AH16" s="3553"/>
      <c r="AI16" s="3553"/>
      <c r="AJ16" s="3553"/>
      <c r="AK16" s="3596">
        <f t="shared" si="3"/>
        <v>0</v>
      </c>
      <c r="AL16" s="3556"/>
      <c r="AM16" s="3556"/>
      <c r="AN16" s="3594"/>
      <c r="AO16" s="3596">
        <f t="shared" si="33"/>
        <v>0</v>
      </c>
      <c r="AP16" s="3595">
        <f t="shared" si="34"/>
        <v>0</v>
      </c>
      <c r="AQ16" s="3563">
        <f t="shared" si="35"/>
        <v>0</v>
      </c>
      <c r="AR16" s="3555">
        <f t="shared" si="36"/>
        <v>0</v>
      </c>
      <c r="AS16" s="3593"/>
      <c r="AT16" s="3558"/>
      <c r="AU16" s="4496">
        <f t="shared" si="37"/>
        <v>0</v>
      </c>
      <c r="AV16" s="4894"/>
      <c r="AW16" s="5190">
        <f t="shared" si="38"/>
        <v>0</v>
      </c>
      <c r="AX16" s="5191"/>
      <c r="AY16" s="5502">
        <f t="shared" si="39"/>
        <v>0</v>
      </c>
      <c r="AZ16" s="4894"/>
      <c r="BA16" s="3562">
        <f t="shared" si="6"/>
        <v>0</v>
      </c>
      <c r="BB16" s="3560"/>
      <c r="BC16" s="3560">
        <f t="shared" si="7"/>
        <v>0</v>
      </c>
      <c r="BD16" s="3561"/>
      <c r="BE16" s="3562">
        <f t="shared" si="8"/>
        <v>0</v>
      </c>
      <c r="BF16" s="3559"/>
      <c r="BG16" s="3559">
        <f t="shared" si="9"/>
        <v>0</v>
      </c>
      <c r="BH16" s="3561"/>
      <c r="BI16" s="3562">
        <f t="shared" si="10"/>
        <v>0</v>
      </c>
      <c r="BJ16" s="3559"/>
      <c r="BK16" s="3559">
        <f t="shared" si="11"/>
        <v>0</v>
      </c>
      <c r="BL16" s="3561"/>
      <c r="BM16" s="3562">
        <f t="shared" si="12"/>
        <v>0</v>
      </c>
      <c r="BN16" s="3561"/>
      <c r="BO16" s="3560">
        <f t="shared" si="13"/>
        <v>0</v>
      </c>
      <c r="BP16" s="3561"/>
      <c r="BQ16" s="3578">
        <f t="shared" si="14"/>
        <v>0</v>
      </c>
      <c r="BR16" s="3561"/>
      <c r="BS16" s="3562">
        <f t="shared" si="15"/>
        <v>0</v>
      </c>
      <c r="BT16" s="3559"/>
      <c r="BU16" s="3559">
        <f t="shared" si="16"/>
        <v>0</v>
      </c>
      <c r="BV16" s="3561"/>
      <c r="BW16" s="3562">
        <f t="shared" si="17"/>
        <v>0</v>
      </c>
      <c r="BX16" s="3561"/>
      <c r="BY16" s="3561">
        <f t="shared" si="18"/>
        <v>0</v>
      </c>
      <c r="BZ16" s="3561"/>
      <c r="CA16" s="3562">
        <f t="shared" si="19"/>
        <v>0</v>
      </c>
      <c r="CB16" s="3561"/>
      <c r="CC16" s="3560">
        <f t="shared" si="20"/>
        <v>0</v>
      </c>
      <c r="CD16" s="3559"/>
      <c r="CE16" s="3559">
        <f t="shared" si="21"/>
        <v>0</v>
      </c>
      <c r="CF16" s="3561"/>
      <c r="CG16" s="3562">
        <f t="shared" si="22"/>
        <v>0</v>
      </c>
      <c r="CH16" s="3561"/>
      <c r="CI16" s="3561">
        <f t="shared" si="23"/>
        <v>0</v>
      </c>
      <c r="CJ16" s="3561"/>
      <c r="CK16" s="3562">
        <f t="shared" si="24"/>
        <v>0</v>
      </c>
      <c r="CL16" s="3559"/>
      <c r="CM16" s="3559">
        <f t="shared" si="25"/>
        <v>0</v>
      </c>
      <c r="CN16" s="3561"/>
      <c r="CO16" s="3562">
        <f t="shared" si="26"/>
        <v>0</v>
      </c>
      <c r="CP16" s="3561"/>
      <c r="CQ16" s="3560">
        <f t="shared" si="27"/>
        <v>0</v>
      </c>
      <c r="CR16" s="3561"/>
      <c r="CS16" s="3578">
        <f t="shared" si="28"/>
        <v>0</v>
      </c>
      <c r="CT16" s="3559"/>
      <c r="CU16" s="3580">
        <f t="shared" si="29"/>
        <v>0</v>
      </c>
      <c r="CV16" s="4814"/>
    </row>
    <row r="17" spans="1:104" x14ac:dyDescent="0.3">
      <c r="A17" s="3608"/>
      <c r="B17" s="3608"/>
      <c r="C17" s="3608"/>
      <c r="D17" s="3608"/>
      <c r="E17" s="4175" t="s">
        <v>1859</v>
      </c>
      <c r="F17" s="3589"/>
      <c r="G17" s="3556"/>
      <c r="H17" s="3556"/>
      <c r="I17" s="3596">
        <f t="shared" si="30"/>
        <v>0</v>
      </c>
      <c r="J17" s="3556"/>
      <c r="K17" s="3556"/>
      <c r="L17" s="3556"/>
      <c r="M17" s="3596"/>
      <c r="N17" s="3595">
        <f t="shared" si="31"/>
        <v>0</v>
      </c>
      <c r="O17" s="3553"/>
      <c r="P17" s="3553"/>
      <c r="Q17" s="3556"/>
      <c r="R17" s="3596"/>
      <c r="S17" s="3556"/>
      <c r="T17" s="3556"/>
      <c r="U17" s="3594"/>
      <c r="V17" s="3596"/>
      <c r="W17" s="3595"/>
      <c r="X17" s="3566">
        <f t="shared" si="32"/>
        <v>0</v>
      </c>
      <c r="Y17" s="3565"/>
      <c r="Z17" s="3556"/>
      <c r="AA17" s="3556"/>
      <c r="AB17" s="3596">
        <f t="shared" si="0"/>
        <v>0</v>
      </c>
      <c r="AC17" s="3556"/>
      <c r="AD17" s="3556"/>
      <c r="AE17" s="3556"/>
      <c r="AF17" s="3564">
        <f t="shared" si="1"/>
        <v>0</v>
      </c>
      <c r="AG17" s="3595">
        <f t="shared" si="2"/>
        <v>0</v>
      </c>
      <c r="AH17" s="3553"/>
      <c r="AI17" s="3553"/>
      <c r="AJ17" s="3553"/>
      <c r="AK17" s="3596">
        <f t="shared" si="3"/>
        <v>0</v>
      </c>
      <c r="AL17" s="3556"/>
      <c r="AM17" s="3556"/>
      <c r="AN17" s="3594"/>
      <c r="AO17" s="3596">
        <f t="shared" si="33"/>
        <v>0</v>
      </c>
      <c r="AP17" s="3595">
        <f t="shared" si="34"/>
        <v>0</v>
      </c>
      <c r="AQ17" s="3563">
        <f t="shared" si="35"/>
        <v>0</v>
      </c>
      <c r="AR17" s="3555">
        <f t="shared" si="36"/>
        <v>0</v>
      </c>
      <c r="AS17" s="3593"/>
      <c r="AT17" s="3558"/>
      <c r="AU17" s="4496"/>
      <c r="AV17" s="4894"/>
      <c r="AW17" s="5190"/>
      <c r="AX17" s="5191"/>
      <c r="AY17" s="5502">
        <f t="shared" si="39"/>
        <v>0</v>
      </c>
      <c r="AZ17" s="4894"/>
      <c r="BA17" s="4418"/>
      <c r="BB17" s="4419"/>
      <c r="BC17" s="3560">
        <f t="shared" si="7"/>
        <v>0</v>
      </c>
      <c r="BD17" s="4418"/>
      <c r="BE17" s="3562">
        <f t="shared" si="8"/>
        <v>0</v>
      </c>
      <c r="BF17" s="4420"/>
      <c r="BG17" s="3559">
        <f t="shared" si="9"/>
        <v>0</v>
      </c>
      <c r="BH17" s="4418"/>
      <c r="BI17" s="3562">
        <f t="shared" si="10"/>
        <v>0</v>
      </c>
      <c r="BJ17" s="4420"/>
      <c r="BK17" s="3559">
        <f t="shared" si="11"/>
        <v>0</v>
      </c>
      <c r="BL17" s="4418"/>
      <c r="BM17" s="3562">
        <f t="shared" si="12"/>
        <v>0</v>
      </c>
      <c r="BN17" s="4418"/>
      <c r="BO17" s="3560">
        <f t="shared" si="13"/>
        <v>0</v>
      </c>
      <c r="BP17" s="4418"/>
      <c r="BQ17" s="3578">
        <f t="shared" si="14"/>
        <v>0</v>
      </c>
      <c r="BR17" s="4418"/>
      <c r="BS17" s="3562">
        <f t="shared" si="15"/>
        <v>0</v>
      </c>
      <c r="BT17" s="4420"/>
      <c r="BU17" s="3559">
        <f t="shared" si="16"/>
        <v>0</v>
      </c>
      <c r="BV17" s="4418"/>
      <c r="BW17" s="3562">
        <f t="shared" si="17"/>
        <v>0</v>
      </c>
      <c r="BX17" s="4418"/>
      <c r="BY17" s="3561">
        <f t="shared" si="18"/>
        <v>0</v>
      </c>
      <c r="BZ17" s="4418"/>
      <c r="CA17" s="3562">
        <f t="shared" si="19"/>
        <v>0</v>
      </c>
      <c r="CB17" s="4418"/>
      <c r="CC17" s="3560">
        <f t="shared" si="20"/>
        <v>0</v>
      </c>
      <c r="CD17" s="4420"/>
      <c r="CE17" s="3559">
        <f t="shared" si="21"/>
        <v>0</v>
      </c>
      <c r="CF17" s="4418"/>
      <c r="CG17" s="3562">
        <f t="shared" si="22"/>
        <v>0</v>
      </c>
      <c r="CH17" s="4418"/>
      <c r="CI17" s="3561">
        <f t="shared" si="23"/>
        <v>0</v>
      </c>
      <c r="CJ17" s="4418"/>
      <c r="CK17" s="4418">
        <f t="shared" si="24"/>
        <v>0</v>
      </c>
      <c r="CL17" s="4420"/>
      <c r="CM17" s="4420">
        <f t="shared" si="25"/>
        <v>0</v>
      </c>
      <c r="CN17" s="4418"/>
      <c r="CO17" s="3562">
        <f t="shared" si="26"/>
        <v>0</v>
      </c>
      <c r="CP17" s="4418"/>
      <c r="CQ17" s="3560">
        <f t="shared" si="27"/>
        <v>0</v>
      </c>
      <c r="CR17" s="4418"/>
      <c r="CS17" s="3578">
        <f t="shared" si="28"/>
        <v>0</v>
      </c>
      <c r="CT17" s="4420"/>
      <c r="CU17" s="3580">
        <f t="shared" si="29"/>
        <v>0</v>
      </c>
      <c r="CV17" s="4814"/>
    </row>
    <row r="18" spans="1:104" x14ac:dyDescent="0.3">
      <c r="A18" s="3608"/>
      <c r="B18" s="3608"/>
      <c r="C18" s="3608"/>
      <c r="D18" s="3608"/>
      <c r="E18" s="4175" t="s">
        <v>1858</v>
      </c>
      <c r="F18" s="3589">
        <v>317</v>
      </c>
      <c r="G18" s="3556"/>
      <c r="H18" s="3556"/>
      <c r="I18" s="3596">
        <f t="shared" si="30"/>
        <v>317</v>
      </c>
      <c r="J18" s="3556"/>
      <c r="K18" s="3556"/>
      <c r="L18" s="3556"/>
      <c r="M18" s="3596"/>
      <c r="N18" s="3595">
        <f t="shared" si="31"/>
        <v>317</v>
      </c>
      <c r="O18" s="3553"/>
      <c r="P18" s="3553"/>
      <c r="Q18" s="3556"/>
      <c r="R18" s="3596"/>
      <c r="S18" s="3556"/>
      <c r="T18" s="3556"/>
      <c r="U18" s="3594"/>
      <c r="V18" s="3596"/>
      <c r="W18" s="3595"/>
      <c r="X18" s="3566">
        <f t="shared" si="32"/>
        <v>317</v>
      </c>
      <c r="Y18" s="3565"/>
      <c r="Z18" s="3556"/>
      <c r="AA18" s="3556"/>
      <c r="AB18" s="3596">
        <f t="shared" si="0"/>
        <v>0</v>
      </c>
      <c r="AC18" s="3556"/>
      <c r="AD18" s="3556"/>
      <c r="AE18" s="3556"/>
      <c r="AF18" s="3564">
        <f t="shared" si="1"/>
        <v>0</v>
      </c>
      <c r="AG18" s="3595">
        <f t="shared" si="2"/>
        <v>0</v>
      </c>
      <c r="AH18" s="3553"/>
      <c r="AI18" s="3553"/>
      <c r="AJ18" s="3553"/>
      <c r="AK18" s="3596">
        <f t="shared" si="3"/>
        <v>0</v>
      </c>
      <c r="AL18" s="3556"/>
      <c r="AM18" s="3556"/>
      <c r="AN18" s="3594"/>
      <c r="AO18" s="3596">
        <f t="shared" si="33"/>
        <v>0</v>
      </c>
      <c r="AP18" s="3595">
        <f t="shared" si="34"/>
        <v>0</v>
      </c>
      <c r="AQ18" s="3563">
        <f t="shared" si="35"/>
        <v>0</v>
      </c>
      <c r="AR18" s="3555">
        <f t="shared" si="36"/>
        <v>317</v>
      </c>
      <c r="AS18" s="3593"/>
      <c r="AT18" s="3558"/>
      <c r="AU18" s="4496">
        <f t="shared" si="37"/>
        <v>317</v>
      </c>
      <c r="AV18" s="4894"/>
      <c r="AW18" s="5190">
        <f t="shared" si="38"/>
        <v>0</v>
      </c>
      <c r="AX18" s="5191"/>
      <c r="AY18" s="5502">
        <f t="shared" si="39"/>
        <v>317</v>
      </c>
      <c r="AZ18" s="4894"/>
      <c r="BA18" s="3562">
        <f t="shared" si="6"/>
        <v>0</v>
      </c>
      <c r="BB18" s="3560"/>
      <c r="BC18" s="3560">
        <f t="shared" si="7"/>
        <v>317</v>
      </c>
      <c r="BD18" s="3561"/>
      <c r="BE18" s="3562">
        <f t="shared" si="8"/>
        <v>0</v>
      </c>
      <c r="BF18" s="3559"/>
      <c r="BG18" s="3559">
        <f t="shared" si="9"/>
        <v>317</v>
      </c>
      <c r="BH18" s="3561"/>
      <c r="BI18" s="3562">
        <f t="shared" si="10"/>
        <v>0</v>
      </c>
      <c r="BJ18" s="3559"/>
      <c r="BK18" s="3559">
        <f t="shared" si="11"/>
        <v>317</v>
      </c>
      <c r="BL18" s="3561"/>
      <c r="BM18" s="3562">
        <f t="shared" si="12"/>
        <v>0</v>
      </c>
      <c r="BN18" s="3561"/>
      <c r="BO18" s="3560">
        <f t="shared" si="13"/>
        <v>0</v>
      </c>
      <c r="BP18" s="3561"/>
      <c r="BQ18" s="3578">
        <f t="shared" si="14"/>
        <v>317</v>
      </c>
      <c r="BR18" s="3561"/>
      <c r="BS18" s="3562">
        <f t="shared" si="15"/>
        <v>0</v>
      </c>
      <c r="BT18" s="3559"/>
      <c r="BU18" s="3559">
        <f t="shared" si="16"/>
        <v>317</v>
      </c>
      <c r="BV18" s="3561"/>
      <c r="BW18" s="3562">
        <f t="shared" si="17"/>
        <v>0</v>
      </c>
      <c r="BX18" s="3561"/>
      <c r="BY18" s="3561">
        <f t="shared" si="18"/>
        <v>317</v>
      </c>
      <c r="BZ18" s="3561"/>
      <c r="CA18" s="3562">
        <f t="shared" si="19"/>
        <v>0</v>
      </c>
      <c r="CB18" s="3561"/>
      <c r="CC18" s="3560">
        <f t="shared" si="20"/>
        <v>0</v>
      </c>
      <c r="CD18" s="3559"/>
      <c r="CE18" s="3559">
        <f t="shared" si="21"/>
        <v>317</v>
      </c>
      <c r="CF18" s="3561"/>
      <c r="CG18" s="3562">
        <f t="shared" si="22"/>
        <v>0</v>
      </c>
      <c r="CH18" s="3561"/>
      <c r="CI18" s="3561">
        <f t="shared" si="23"/>
        <v>317</v>
      </c>
      <c r="CJ18" s="3561"/>
      <c r="CK18" s="3562">
        <f t="shared" si="24"/>
        <v>0</v>
      </c>
      <c r="CL18" s="3559"/>
      <c r="CM18" s="3559">
        <f t="shared" si="25"/>
        <v>317</v>
      </c>
      <c r="CN18" s="3561"/>
      <c r="CO18" s="3562">
        <f t="shared" si="26"/>
        <v>0</v>
      </c>
      <c r="CP18" s="3561"/>
      <c r="CQ18" s="3560">
        <f t="shared" si="27"/>
        <v>0</v>
      </c>
      <c r="CR18" s="3561"/>
      <c r="CS18" s="3578">
        <f t="shared" si="28"/>
        <v>0</v>
      </c>
      <c r="CT18" s="3559"/>
      <c r="CU18" s="3580">
        <f t="shared" si="29"/>
        <v>317</v>
      </c>
      <c r="CV18" s="4814"/>
    </row>
    <row r="19" spans="1:104" x14ac:dyDescent="0.3">
      <c r="A19" s="3608"/>
      <c r="B19" s="3608"/>
      <c r="C19" s="3608"/>
      <c r="D19" s="3608"/>
      <c r="E19" s="4175" t="s">
        <v>1796</v>
      </c>
      <c r="F19" s="3589"/>
      <c r="G19" s="3556"/>
      <c r="H19" s="3556"/>
      <c r="I19" s="3596">
        <f t="shared" si="30"/>
        <v>0</v>
      </c>
      <c r="J19" s="3556"/>
      <c r="K19" s="3556"/>
      <c r="L19" s="3556"/>
      <c r="M19" s="3596"/>
      <c r="N19" s="3595">
        <f t="shared" si="31"/>
        <v>0</v>
      </c>
      <c r="O19" s="3553"/>
      <c r="P19" s="3553"/>
      <c r="Q19" s="3556"/>
      <c r="R19" s="3596"/>
      <c r="S19" s="3556"/>
      <c r="T19" s="3556"/>
      <c r="U19" s="3594"/>
      <c r="V19" s="3596"/>
      <c r="W19" s="3595"/>
      <c r="X19" s="3566">
        <f t="shared" si="32"/>
        <v>0</v>
      </c>
      <c r="Y19" s="3565"/>
      <c r="Z19" s="3556"/>
      <c r="AA19" s="3556"/>
      <c r="AB19" s="3596">
        <f t="shared" si="0"/>
        <v>0</v>
      </c>
      <c r="AC19" s="3556"/>
      <c r="AD19" s="3556"/>
      <c r="AE19" s="3556"/>
      <c r="AF19" s="3564">
        <f t="shared" si="1"/>
        <v>0</v>
      </c>
      <c r="AG19" s="3595">
        <f t="shared" si="2"/>
        <v>0</v>
      </c>
      <c r="AH19" s="3553"/>
      <c r="AI19" s="3553"/>
      <c r="AJ19" s="3553"/>
      <c r="AK19" s="3596">
        <f t="shared" si="3"/>
        <v>0</v>
      </c>
      <c r="AL19" s="3556"/>
      <c r="AM19" s="3556"/>
      <c r="AN19" s="3594"/>
      <c r="AO19" s="3596">
        <f t="shared" si="33"/>
        <v>0</v>
      </c>
      <c r="AP19" s="3595">
        <f t="shared" si="34"/>
        <v>0</v>
      </c>
      <c r="AQ19" s="3563">
        <f t="shared" si="35"/>
        <v>0</v>
      </c>
      <c r="AR19" s="3555">
        <f t="shared" si="36"/>
        <v>0</v>
      </c>
      <c r="AS19" s="3593"/>
      <c r="AT19" s="3558"/>
      <c r="AU19" s="4496">
        <f t="shared" si="37"/>
        <v>0</v>
      </c>
      <c r="AV19" s="4894"/>
      <c r="AW19" s="5190">
        <f t="shared" si="38"/>
        <v>0</v>
      </c>
      <c r="AX19" s="5191"/>
      <c r="AY19" s="5502">
        <f t="shared" si="39"/>
        <v>0</v>
      </c>
      <c r="AZ19" s="4894"/>
      <c r="BA19" s="3562">
        <f t="shared" si="6"/>
        <v>0</v>
      </c>
      <c r="BB19" s="4419"/>
      <c r="BC19" s="3560">
        <f t="shared" si="7"/>
        <v>0</v>
      </c>
      <c r="BD19" s="4418"/>
      <c r="BE19" s="3562">
        <f t="shared" si="8"/>
        <v>0</v>
      </c>
      <c r="BF19" s="4420"/>
      <c r="BG19" s="3559">
        <f t="shared" si="9"/>
        <v>0</v>
      </c>
      <c r="BH19" s="4418"/>
      <c r="BI19" s="3562">
        <f t="shared" si="10"/>
        <v>0</v>
      </c>
      <c r="BJ19" s="4420"/>
      <c r="BK19" s="3559">
        <f t="shared" si="11"/>
        <v>0</v>
      </c>
      <c r="BL19" s="4418"/>
      <c r="BM19" s="3562">
        <f t="shared" si="12"/>
        <v>0</v>
      </c>
      <c r="BN19" s="4418"/>
      <c r="BO19" s="3560">
        <f t="shared" si="13"/>
        <v>0</v>
      </c>
      <c r="BP19" s="4418"/>
      <c r="BQ19" s="3578">
        <f t="shared" si="14"/>
        <v>0</v>
      </c>
      <c r="BR19" s="4418"/>
      <c r="BS19" s="3562">
        <f t="shared" si="15"/>
        <v>0</v>
      </c>
      <c r="BT19" s="4420"/>
      <c r="BU19" s="3559">
        <f t="shared" si="16"/>
        <v>0</v>
      </c>
      <c r="BV19" s="4418"/>
      <c r="BW19" s="3562">
        <f t="shared" si="17"/>
        <v>0</v>
      </c>
      <c r="BX19" s="4418"/>
      <c r="BY19" s="3561">
        <f t="shared" si="18"/>
        <v>0</v>
      </c>
      <c r="BZ19" s="4418"/>
      <c r="CA19" s="3562">
        <f t="shared" si="19"/>
        <v>0</v>
      </c>
      <c r="CB19" s="4418"/>
      <c r="CC19" s="3560">
        <f t="shared" si="20"/>
        <v>0</v>
      </c>
      <c r="CD19" s="4420"/>
      <c r="CE19" s="3559">
        <f t="shared" si="21"/>
        <v>0</v>
      </c>
      <c r="CF19" s="4418"/>
      <c r="CG19" s="3562">
        <f t="shared" si="22"/>
        <v>0</v>
      </c>
      <c r="CH19" s="4418"/>
      <c r="CI19" s="3561">
        <f t="shared" si="23"/>
        <v>0</v>
      </c>
      <c r="CJ19" s="4418"/>
      <c r="CK19" s="4418">
        <f t="shared" si="24"/>
        <v>0</v>
      </c>
      <c r="CL19" s="4420"/>
      <c r="CM19" s="4420">
        <f t="shared" si="25"/>
        <v>0</v>
      </c>
      <c r="CN19" s="4418"/>
      <c r="CO19" s="3562">
        <f t="shared" si="26"/>
        <v>0</v>
      </c>
      <c r="CP19" s="4418"/>
      <c r="CQ19" s="3560">
        <f t="shared" si="27"/>
        <v>0</v>
      </c>
      <c r="CR19" s="4418"/>
      <c r="CS19" s="3578">
        <f t="shared" si="28"/>
        <v>0</v>
      </c>
      <c r="CT19" s="4420"/>
      <c r="CU19" s="3580">
        <f t="shared" si="29"/>
        <v>0</v>
      </c>
      <c r="CV19" s="4814"/>
    </row>
    <row r="20" spans="1:104" x14ac:dyDescent="0.3">
      <c r="A20" s="3608"/>
      <c r="B20" s="3608"/>
      <c r="C20" s="3608"/>
      <c r="D20" s="3608"/>
      <c r="E20" s="4175" t="s">
        <v>1960</v>
      </c>
      <c r="F20" s="3589"/>
      <c r="G20" s="3556"/>
      <c r="H20" s="3556"/>
      <c r="I20" s="3596">
        <f t="shared" si="30"/>
        <v>0</v>
      </c>
      <c r="J20" s="3556"/>
      <c r="K20" s="3556"/>
      <c r="L20" s="3556"/>
      <c r="M20" s="3596"/>
      <c r="N20" s="3595">
        <f t="shared" si="31"/>
        <v>0</v>
      </c>
      <c r="O20" s="3553"/>
      <c r="P20" s="3553"/>
      <c r="Q20" s="3556"/>
      <c r="R20" s="3596"/>
      <c r="S20" s="3556"/>
      <c r="T20" s="3556"/>
      <c r="U20" s="3594"/>
      <c r="V20" s="3596"/>
      <c r="W20" s="3595"/>
      <c r="X20" s="3566">
        <f t="shared" si="32"/>
        <v>0</v>
      </c>
      <c r="Y20" s="3565"/>
      <c r="Z20" s="3556"/>
      <c r="AA20" s="3556"/>
      <c r="AB20" s="3596">
        <f t="shared" si="0"/>
        <v>0</v>
      </c>
      <c r="AC20" s="3556"/>
      <c r="AD20" s="3556"/>
      <c r="AE20" s="3556"/>
      <c r="AF20" s="3564">
        <f t="shared" si="1"/>
        <v>0</v>
      </c>
      <c r="AG20" s="3595">
        <f t="shared" si="2"/>
        <v>0</v>
      </c>
      <c r="AH20" s="3553"/>
      <c r="AI20" s="3553"/>
      <c r="AJ20" s="3553"/>
      <c r="AK20" s="3596">
        <f t="shared" si="3"/>
        <v>0</v>
      </c>
      <c r="AL20" s="3556"/>
      <c r="AM20" s="3556"/>
      <c r="AN20" s="3594"/>
      <c r="AO20" s="3596">
        <f t="shared" si="33"/>
        <v>0</v>
      </c>
      <c r="AP20" s="3595">
        <f t="shared" si="34"/>
        <v>0</v>
      </c>
      <c r="AQ20" s="3563">
        <f t="shared" si="35"/>
        <v>0</v>
      </c>
      <c r="AR20" s="3555">
        <f t="shared" si="36"/>
        <v>0</v>
      </c>
      <c r="AS20" s="3593"/>
      <c r="AT20" s="3558"/>
      <c r="AU20" s="4496">
        <f t="shared" si="37"/>
        <v>0</v>
      </c>
      <c r="AV20" s="4894"/>
      <c r="AW20" s="5190">
        <f t="shared" si="38"/>
        <v>0</v>
      </c>
      <c r="AX20" s="5191"/>
      <c r="AY20" s="5502">
        <f t="shared" si="39"/>
        <v>0</v>
      </c>
      <c r="AZ20" s="4894"/>
      <c r="BA20" s="3562">
        <f t="shared" si="6"/>
        <v>0</v>
      </c>
      <c r="BB20" s="3560"/>
      <c r="BC20" s="3560">
        <f t="shared" si="7"/>
        <v>0</v>
      </c>
      <c r="BD20" s="3561"/>
      <c r="BE20" s="3562">
        <f t="shared" si="8"/>
        <v>0</v>
      </c>
      <c r="BF20" s="3559"/>
      <c r="BG20" s="3559">
        <f t="shared" si="9"/>
        <v>0</v>
      </c>
      <c r="BH20" s="3561"/>
      <c r="BI20" s="3562">
        <f t="shared" si="10"/>
        <v>0</v>
      </c>
      <c r="BJ20" s="3559"/>
      <c r="BK20" s="3559">
        <f t="shared" si="11"/>
        <v>0</v>
      </c>
      <c r="BL20" s="3561"/>
      <c r="BM20" s="3562">
        <f t="shared" si="12"/>
        <v>0</v>
      </c>
      <c r="BN20" s="3561"/>
      <c r="BO20" s="3560">
        <f t="shared" si="13"/>
        <v>0</v>
      </c>
      <c r="BP20" s="3561"/>
      <c r="BQ20" s="3578">
        <f t="shared" si="14"/>
        <v>0</v>
      </c>
      <c r="BR20" s="3561"/>
      <c r="BS20" s="3562">
        <f t="shared" si="15"/>
        <v>0</v>
      </c>
      <c r="BT20" s="3559"/>
      <c r="BU20" s="3559">
        <f t="shared" si="16"/>
        <v>0</v>
      </c>
      <c r="BV20" s="3561"/>
      <c r="BW20" s="3562">
        <f t="shared" si="17"/>
        <v>0</v>
      </c>
      <c r="BX20" s="3561"/>
      <c r="BY20" s="3561">
        <f t="shared" si="18"/>
        <v>0</v>
      </c>
      <c r="BZ20" s="3561"/>
      <c r="CA20" s="3562">
        <f t="shared" si="19"/>
        <v>0</v>
      </c>
      <c r="CB20" s="3561"/>
      <c r="CC20" s="3560">
        <f t="shared" si="20"/>
        <v>0</v>
      </c>
      <c r="CD20" s="3559"/>
      <c r="CE20" s="3559">
        <f t="shared" si="21"/>
        <v>0</v>
      </c>
      <c r="CF20" s="3561"/>
      <c r="CG20" s="3562">
        <f t="shared" si="22"/>
        <v>0</v>
      </c>
      <c r="CH20" s="3561"/>
      <c r="CI20" s="3561">
        <f t="shared" si="23"/>
        <v>0</v>
      </c>
      <c r="CJ20" s="3561"/>
      <c r="CK20" s="3562">
        <f t="shared" si="24"/>
        <v>0</v>
      </c>
      <c r="CL20" s="3559"/>
      <c r="CM20" s="3559">
        <f t="shared" si="25"/>
        <v>0</v>
      </c>
      <c r="CN20" s="3561"/>
      <c r="CO20" s="3562">
        <f t="shared" si="26"/>
        <v>0</v>
      </c>
      <c r="CP20" s="3561"/>
      <c r="CQ20" s="3560">
        <f t="shared" si="27"/>
        <v>0</v>
      </c>
      <c r="CR20" s="3561"/>
      <c r="CS20" s="3578">
        <f t="shared" si="28"/>
        <v>0</v>
      </c>
      <c r="CT20" s="3559"/>
      <c r="CU20" s="3580">
        <f t="shared" si="29"/>
        <v>0</v>
      </c>
      <c r="CV20" s="4814"/>
    </row>
    <row r="21" spans="1:104" x14ac:dyDescent="0.3">
      <c r="A21" s="3608"/>
      <c r="B21" s="3608"/>
      <c r="C21" s="3608"/>
      <c r="D21" s="3608"/>
      <c r="E21" s="4175" t="s">
        <v>1920</v>
      </c>
      <c r="F21" s="3589"/>
      <c r="G21" s="3556"/>
      <c r="H21" s="3556"/>
      <c r="I21" s="3596">
        <f t="shared" si="30"/>
        <v>0</v>
      </c>
      <c r="J21" s="3556"/>
      <c r="K21" s="3556"/>
      <c r="L21" s="3556"/>
      <c r="M21" s="3596"/>
      <c r="N21" s="3595">
        <f t="shared" si="31"/>
        <v>0</v>
      </c>
      <c r="O21" s="3553"/>
      <c r="P21" s="3553"/>
      <c r="Q21" s="3556"/>
      <c r="R21" s="3596"/>
      <c r="S21" s="3556"/>
      <c r="T21" s="3556"/>
      <c r="U21" s="3594"/>
      <c r="V21" s="3596"/>
      <c r="W21" s="3595"/>
      <c r="X21" s="3566">
        <f t="shared" si="32"/>
        <v>0</v>
      </c>
      <c r="Y21" s="3565"/>
      <c r="Z21" s="3556"/>
      <c r="AA21" s="3556"/>
      <c r="AB21" s="3596">
        <f t="shared" si="0"/>
        <v>0</v>
      </c>
      <c r="AC21" s="3556"/>
      <c r="AD21" s="3556"/>
      <c r="AE21" s="3556"/>
      <c r="AF21" s="3564">
        <f t="shared" si="1"/>
        <v>0</v>
      </c>
      <c r="AG21" s="3595">
        <f t="shared" si="2"/>
        <v>0</v>
      </c>
      <c r="AH21" s="3553"/>
      <c r="AI21" s="3553"/>
      <c r="AJ21" s="3553"/>
      <c r="AK21" s="3596">
        <f t="shared" si="3"/>
        <v>0</v>
      </c>
      <c r="AL21" s="3556"/>
      <c r="AM21" s="3556"/>
      <c r="AN21" s="3594"/>
      <c r="AO21" s="3596">
        <f t="shared" si="33"/>
        <v>0</v>
      </c>
      <c r="AP21" s="3595">
        <f t="shared" si="34"/>
        <v>0</v>
      </c>
      <c r="AQ21" s="3563">
        <f t="shared" si="35"/>
        <v>0</v>
      </c>
      <c r="AR21" s="3555">
        <f t="shared" si="36"/>
        <v>0</v>
      </c>
      <c r="AS21" s="3593"/>
      <c r="AT21" s="3558"/>
      <c r="AU21" s="4496">
        <f t="shared" si="37"/>
        <v>0</v>
      </c>
      <c r="AV21" s="4894"/>
      <c r="AW21" s="5190">
        <f t="shared" si="38"/>
        <v>0</v>
      </c>
      <c r="AX21" s="5191"/>
      <c r="AY21" s="5502">
        <f t="shared" si="39"/>
        <v>0</v>
      </c>
      <c r="AZ21" s="4894"/>
      <c r="BA21" s="3562">
        <f t="shared" si="6"/>
        <v>0</v>
      </c>
      <c r="BB21" s="3560"/>
      <c r="BC21" s="3560">
        <f t="shared" si="7"/>
        <v>0</v>
      </c>
      <c r="BD21" s="3561"/>
      <c r="BE21" s="3562">
        <f t="shared" si="8"/>
        <v>0</v>
      </c>
      <c r="BF21" s="3559"/>
      <c r="BG21" s="3559">
        <f t="shared" si="9"/>
        <v>0</v>
      </c>
      <c r="BH21" s="3561"/>
      <c r="BI21" s="3562">
        <f t="shared" si="10"/>
        <v>0</v>
      </c>
      <c r="BJ21" s="3559"/>
      <c r="BK21" s="3559">
        <f t="shared" si="11"/>
        <v>0</v>
      </c>
      <c r="BL21" s="3561"/>
      <c r="BM21" s="3562">
        <f t="shared" si="12"/>
        <v>0</v>
      </c>
      <c r="BN21" s="3561"/>
      <c r="BO21" s="3560">
        <f t="shared" si="13"/>
        <v>0</v>
      </c>
      <c r="BP21" s="3561"/>
      <c r="BQ21" s="3578">
        <f t="shared" si="14"/>
        <v>0</v>
      </c>
      <c r="BR21" s="3561"/>
      <c r="BS21" s="3562">
        <f t="shared" si="15"/>
        <v>0</v>
      </c>
      <c r="BT21" s="3559"/>
      <c r="BU21" s="3559">
        <f t="shared" si="16"/>
        <v>0</v>
      </c>
      <c r="BV21" s="3561"/>
      <c r="BW21" s="3562">
        <f t="shared" si="17"/>
        <v>0</v>
      </c>
      <c r="BX21" s="3561"/>
      <c r="BY21" s="3561">
        <f t="shared" si="18"/>
        <v>0</v>
      </c>
      <c r="BZ21" s="3561"/>
      <c r="CA21" s="3562">
        <f t="shared" si="19"/>
        <v>0</v>
      </c>
      <c r="CB21" s="3561"/>
      <c r="CC21" s="3560">
        <f t="shared" si="20"/>
        <v>0</v>
      </c>
      <c r="CD21" s="3559"/>
      <c r="CE21" s="3559">
        <f t="shared" si="21"/>
        <v>0</v>
      </c>
      <c r="CF21" s="3561"/>
      <c r="CG21" s="3562">
        <f t="shared" si="22"/>
        <v>0</v>
      </c>
      <c r="CH21" s="3561"/>
      <c r="CI21" s="3561">
        <f t="shared" si="23"/>
        <v>0</v>
      </c>
      <c r="CJ21" s="3561"/>
      <c r="CK21" s="3562">
        <f t="shared" si="24"/>
        <v>0</v>
      </c>
      <c r="CL21" s="3559"/>
      <c r="CM21" s="3559">
        <f t="shared" si="25"/>
        <v>0</v>
      </c>
      <c r="CN21" s="3561"/>
      <c r="CO21" s="3562">
        <f t="shared" si="26"/>
        <v>0</v>
      </c>
      <c r="CP21" s="3561"/>
      <c r="CQ21" s="3560">
        <f t="shared" si="27"/>
        <v>0</v>
      </c>
      <c r="CR21" s="3561"/>
      <c r="CS21" s="3578">
        <f t="shared" si="28"/>
        <v>0</v>
      </c>
      <c r="CT21" s="3559"/>
      <c r="CU21" s="3580">
        <f t="shared" si="29"/>
        <v>0</v>
      </c>
      <c r="CV21" s="4814"/>
    </row>
    <row r="22" spans="1:104" x14ac:dyDescent="0.3">
      <c r="A22" s="3608"/>
      <c r="B22" s="3608"/>
      <c r="C22" s="3608"/>
      <c r="D22" s="3608"/>
      <c r="E22" s="4175" t="s">
        <v>1862</v>
      </c>
      <c r="F22" s="3589">
        <v>4494</v>
      </c>
      <c r="G22" s="3556">
        <v>2421.5140000000001</v>
      </c>
      <c r="H22" s="3556"/>
      <c r="I22" s="3596">
        <f t="shared" si="30"/>
        <v>6915.5140000000001</v>
      </c>
      <c r="J22" s="3556"/>
      <c r="K22" s="3556"/>
      <c r="L22" s="3556"/>
      <c r="M22" s="3596"/>
      <c r="N22" s="3595">
        <f t="shared" si="31"/>
        <v>6915.5140000000001</v>
      </c>
      <c r="O22" s="3553"/>
      <c r="P22" s="3553"/>
      <c r="Q22" s="3556"/>
      <c r="R22" s="3596"/>
      <c r="S22" s="3556"/>
      <c r="T22" s="3556"/>
      <c r="U22" s="3594"/>
      <c r="V22" s="3596"/>
      <c r="W22" s="3595"/>
      <c r="X22" s="3566">
        <f t="shared" si="32"/>
        <v>6915.5140000000001</v>
      </c>
      <c r="Y22" s="3565">
        <v>100</v>
      </c>
      <c r="Z22" s="3556"/>
      <c r="AA22" s="3556"/>
      <c r="AB22" s="3596">
        <f t="shared" si="0"/>
        <v>100</v>
      </c>
      <c r="AC22" s="3556"/>
      <c r="AD22" s="3556"/>
      <c r="AE22" s="3556"/>
      <c r="AF22" s="3564">
        <f t="shared" si="1"/>
        <v>0</v>
      </c>
      <c r="AG22" s="3595">
        <f t="shared" si="2"/>
        <v>100</v>
      </c>
      <c r="AH22" s="3553"/>
      <c r="AI22" s="3553"/>
      <c r="AJ22" s="3553"/>
      <c r="AK22" s="3596">
        <f t="shared" si="3"/>
        <v>0</v>
      </c>
      <c r="AL22" s="3556"/>
      <c r="AM22" s="3556"/>
      <c r="AN22" s="3594"/>
      <c r="AO22" s="3596">
        <f t="shared" si="33"/>
        <v>0</v>
      </c>
      <c r="AP22" s="3595">
        <f t="shared" si="34"/>
        <v>0</v>
      </c>
      <c r="AQ22" s="3563">
        <f t="shared" si="35"/>
        <v>100</v>
      </c>
      <c r="AR22" s="3555">
        <f t="shared" si="36"/>
        <v>7015.5140000000001</v>
      </c>
      <c r="AS22" s="3593"/>
      <c r="AT22" s="3558"/>
      <c r="AU22" s="4496">
        <f>+F22+Y22</f>
        <v>4594</v>
      </c>
      <c r="AV22" s="4894"/>
      <c r="AW22" s="5190">
        <f t="shared" si="38"/>
        <v>2421.5140000000001</v>
      </c>
      <c r="AX22" s="5191"/>
      <c r="AY22" s="5502">
        <f t="shared" si="39"/>
        <v>7015.5140000000001</v>
      </c>
      <c r="AZ22" s="4894"/>
      <c r="BA22" s="3562">
        <f t="shared" si="6"/>
        <v>0</v>
      </c>
      <c r="BB22" s="3560"/>
      <c r="BC22" s="3560">
        <f t="shared" si="7"/>
        <v>7015.5140000000001</v>
      </c>
      <c r="BD22" s="3561"/>
      <c r="BE22" s="3562">
        <f t="shared" si="8"/>
        <v>0</v>
      </c>
      <c r="BF22" s="3559"/>
      <c r="BG22" s="3559">
        <f t="shared" si="9"/>
        <v>7015.5140000000001</v>
      </c>
      <c r="BH22" s="3561"/>
      <c r="BI22" s="3562">
        <f t="shared" si="10"/>
        <v>0</v>
      </c>
      <c r="BJ22" s="3559"/>
      <c r="BK22" s="3559">
        <f t="shared" si="11"/>
        <v>7015.5140000000001</v>
      </c>
      <c r="BL22" s="3561"/>
      <c r="BM22" s="3562">
        <f t="shared" si="12"/>
        <v>0</v>
      </c>
      <c r="BN22" s="3561"/>
      <c r="BO22" s="3560">
        <f t="shared" si="13"/>
        <v>0</v>
      </c>
      <c r="BP22" s="3561"/>
      <c r="BQ22" s="3578">
        <f t="shared" si="14"/>
        <v>7015.5140000000001</v>
      </c>
      <c r="BR22" s="3561"/>
      <c r="BS22" s="3562">
        <f t="shared" si="15"/>
        <v>0</v>
      </c>
      <c r="BT22" s="3559"/>
      <c r="BU22" s="3559">
        <f t="shared" si="16"/>
        <v>7015.5140000000001</v>
      </c>
      <c r="BV22" s="3561"/>
      <c r="BW22" s="3562">
        <f t="shared" si="17"/>
        <v>0</v>
      </c>
      <c r="BX22" s="3561"/>
      <c r="BY22" s="3561">
        <f t="shared" si="18"/>
        <v>7015.5140000000001</v>
      </c>
      <c r="BZ22" s="3561"/>
      <c r="CA22" s="3562">
        <f t="shared" si="19"/>
        <v>0</v>
      </c>
      <c r="CB22" s="3561"/>
      <c r="CC22" s="3560">
        <f t="shared" si="20"/>
        <v>0</v>
      </c>
      <c r="CD22" s="3559"/>
      <c r="CE22" s="3559">
        <f t="shared" si="21"/>
        <v>7015.5140000000001</v>
      </c>
      <c r="CF22" s="3561"/>
      <c r="CG22" s="3562">
        <f t="shared" si="22"/>
        <v>0</v>
      </c>
      <c r="CH22" s="3561"/>
      <c r="CI22" s="3561">
        <f t="shared" si="23"/>
        <v>7015.5140000000001</v>
      </c>
      <c r="CJ22" s="3561"/>
      <c r="CK22" s="3562">
        <f t="shared" si="24"/>
        <v>0</v>
      </c>
      <c r="CL22" s="3559"/>
      <c r="CM22" s="3559">
        <f t="shared" si="25"/>
        <v>7015.5140000000001</v>
      </c>
      <c r="CN22" s="3561"/>
      <c r="CO22" s="3562">
        <f t="shared" si="26"/>
        <v>0</v>
      </c>
      <c r="CP22" s="3561"/>
      <c r="CQ22" s="3560">
        <f t="shared" si="27"/>
        <v>0</v>
      </c>
      <c r="CR22" s="3561"/>
      <c r="CS22" s="3578">
        <f t="shared" si="28"/>
        <v>0</v>
      </c>
      <c r="CT22" s="3559"/>
      <c r="CU22" s="3580">
        <f t="shared" si="29"/>
        <v>7015.5140000000001</v>
      </c>
      <c r="CV22" s="4814"/>
      <c r="CX22" s="3585"/>
      <c r="CY22" s="3585"/>
      <c r="CZ22" s="3585"/>
    </row>
    <row r="23" spans="1:104" x14ac:dyDescent="0.3">
      <c r="A23" s="3608"/>
      <c r="B23" s="3608"/>
      <c r="C23" s="3608"/>
      <c r="D23" s="3608"/>
      <c r="E23" s="4175" t="s">
        <v>1863</v>
      </c>
      <c r="F23" s="3589"/>
      <c r="G23" s="3556"/>
      <c r="H23" s="3556"/>
      <c r="I23" s="3596">
        <f t="shared" si="30"/>
        <v>0</v>
      </c>
      <c r="J23" s="3556"/>
      <c r="K23" s="3556"/>
      <c r="L23" s="3556"/>
      <c r="M23" s="3596"/>
      <c r="N23" s="3595">
        <f t="shared" si="31"/>
        <v>0</v>
      </c>
      <c r="O23" s="3553"/>
      <c r="P23" s="3553"/>
      <c r="Q23" s="3556"/>
      <c r="R23" s="3596"/>
      <c r="S23" s="3556"/>
      <c r="T23" s="3556"/>
      <c r="U23" s="3594"/>
      <c r="V23" s="3596"/>
      <c r="W23" s="3595"/>
      <c r="X23" s="3566">
        <f t="shared" si="32"/>
        <v>0</v>
      </c>
      <c r="Y23" s="3565"/>
      <c r="Z23" s="3556"/>
      <c r="AA23" s="3556"/>
      <c r="AB23" s="3596">
        <f t="shared" si="0"/>
        <v>0</v>
      </c>
      <c r="AC23" s="3556"/>
      <c r="AD23" s="3556"/>
      <c r="AE23" s="3556"/>
      <c r="AF23" s="3564">
        <f t="shared" si="1"/>
        <v>0</v>
      </c>
      <c r="AG23" s="3595">
        <f t="shared" si="2"/>
        <v>0</v>
      </c>
      <c r="AH23" s="3553"/>
      <c r="AI23" s="3553"/>
      <c r="AJ23" s="3553"/>
      <c r="AK23" s="3596">
        <f t="shared" si="3"/>
        <v>0</v>
      </c>
      <c r="AL23" s="3556"/>
      <c r="AM23" s="3556"/>
      <c r="AN23" s="3594"/>
      <c r="AO23" s="3596">
        <f t="shared" ref="AO23" si="40">+AL23+AM23+AN23</f>
        <v>0</v>
      </c>
      <c r="AP23" s="3595">
        <f t="shared" ref="AP23" si="41">+AK23+AO23</f>
        <v>0</v>
      </c>
      <c r="AQ23" s="3563">
        <f t="shared" si="35"/>
        <v>0</v>
      </c>
      <c r="AR23" s="3555">
        <f t="shared" si="36"/>
        <v>0</v>
      </c>
      <c r="AS23" s="3593"/>
      <c r="AT23" s="3558"/>
      <c r="AU23" s="4496">
        <f t="shared" ref="AU23" si="42">+F23+Y23</f>
        <v>0</v>
      </c>
      <c r="AV23" s="4894"/>
      <c r="AW23" s="5190">
        <f t="shared" ref="AW23" si="43">+G23+Z23</f>
        <v>0</v>
      </c>
      <c r="AX23" s="5191"/>
      <c r="AY23" s="5502">
        <f t="shared" si="39"/>
        <v>0</v>
      </c>
      <c r="AZ23" s="4894"/>
      <c r="BA23" s="3562">
        <f t="shared" ref="BA23" si="44">+H23+AA23</f>
        <v>0</v>
      </c>
      <c r="BB23" s="3560"/>
      <c r="BC23" s="3560">
        <f t="shared" ref="BC23" si="45">AU23+AW23+BA23</f>
        <v>0</v>
      </c>
      <c r="BD23" s="3561"/>
      <c r="BE23" s="3562">
        <f t="shared" ref="BE23" si="46">+J23+AC23</f>
        <v>0</v>
      </c>
      <c r="BF23" s="3559"/>
      <c r="BG23" s="3559">
        <f t="shared" ref="BG23" si="47">+BC23+BE23</f>
        <v>0</v>
      </c>
      <c r="BH23" s="3561"/>
      <c r="BI23" s="3562">
        <f t="shared" ref="BI23" si="48">K23+AD23</f>
        <v>0</v>
      </c>
      <c r="BJ23" s="3559"/>
      <c r="BK23" s="3559">
        <f t="shared" ref="BK23" si="49">+BG23+BI23</f>
        <v>0</v>
      </c>
      <c r="BL23" s="3561"/>
      <c r="BM23" s="3562">
        <f t="shared" ref="BM23" si="50">+L23+AE23</f>
        <v>0</v>
      </c>
      <c r="BN23" s="3561"/>
      <c r="BO23" s="3560">
        <f t="shared" ref="BO23" si="51">BE23+BI23+BM23</f>
        <v>0</v>
      </c>
      <c r="BP23" s="3561"/>
      <c r="BQ23" s="3578">
        <f t="shared" ref="BQ23" si="52">BC23+BO23</f>
        <v>0</v>
      </c>
      <c r="BR23" s="3561"/>
      <c r="BS23" s="3562">
        <f t="shared" ref="BS23" si="53">+O23+AH23</f>
        <v>0</v>
      </c>
      <c r="BT23" s="3559"/>
      <c r="BU23" s="3559">
        <f t="shared" ref="BU23" si="54">BQ23+BS23</f>
        <v>0</v>
      </c>
      <c r="BV23" s="3561"/>
      <c r="BW23" s="3562">
        <f t="shared" ref="BW23" si="55">+P23+AI23</f>
        <v>0</v>
      </c>
      <c r="BX23" s="3561"/>
      <c r="BY23" s="3561">
        <f t="shared" ref="BY23" si="56">BU23+BW23</f>
        <v>0</v>
      </c>
      <c r="BZ23" s="3561"/>
      <c r="CA23" s="3562">
        <f t="shared" ref="CA23" si="57">+Q23+AJ23</f>
        <v>0</v>
      </c>
      <c r="CB23" s="3561"/>
      <c r="CC23" s="3560">
        <f t="shared" ref="CC23" si="58">BS23+BW23+CA23</f>
        <v>0</v>
      </c>
      <c r="CD23" s="3559"/>
      <c r="CE23" s="3559">
        <f t="shared" ref="CE23" si="59">BY23+CA23</f>
        <v>0</v>
      </c>
      <c r="CF23" s="3561"/>
      <c r="CG23" s="3562">
        <f t="shared" si="22"/>
        <v>0</v>
      </c>
      <c r="CH23" s="3561"/>
      <c r="CI23" s="3561">
        <f t="shared" si="23"/>
        <v>0</v>
      </c>
      <c r="CJ23" s="3561"/>
      <c r="CK23" s="3562">
        <f t="shared" si="24"/>
        <v>0</v>
      </c>
      <c r="CL23" s="3559"/>
      <c r="CM23" s="3559">
        <f t="shared" si="25"/>
        <v>0</v>
      </c>
      <c r="CN23" s="3561"/>
      <c r="CO23" s="3562">
        <f t="shared" si="26"/>
        <v>0</v>
      </c>
      <c r="CP23" s="3561"/>
      <c r="CQ23" s="3560">
        <f t="shared" si="27"/>
        <v>0</v>
      </c>
      <c r="CR23" s="3561"/>
      <c r="CS23" s="3578">
        <f t="shared" si="28"/>
        <v>0</v>
      </c>
      <c r="CT23" s="3559"/>
      <c r="CU23" s="3580">
        <f t="shared" ref="CU23" si="60">SUM(AU23,AW23,BA23,BE23,BI23,BM23,BS23,BW23,CA23,CG23,CK23,CO23)</f>
        <v>0</v>
      </c>
      <c r="CV23" s="4814"/>
      <c r="CX23" s="3585"/>
      <c r="CY23" s="3585"/>
      <c r="CZ23" s="3585"/>
    </row>
    <row r="24" spans="1:104" x14ac:dyDescent="0.3">
      <c r="A24" s="3608"/>
      <c r="B24" s="3608"/>
      <c r="C24" s="3608"/>
      <c r="D24" s="3608"/>
      <c r="E24" s="4175" t="s">
        <v>2289</v>
      </c>
      <c r="F24" s="3589"/>
      <c r="G24" s="3556"/>
      <c r="H24" s="3556"/>
      <c r="I24" s="3596">
        <f t="shared" si="30"/>
        <v>0</v>
      </c>
      <c r="J24" s="3556"/>
      <c r="K24" s="3556"/>
      <c r="L24" s="3556"/>
      <c r="M24" s="3596"/>
      <c r="N24" s="3595">
        <f t="shared" si="31"/>
        <v>0</v>
      </c>
      <c r="O24" s="3553"/>
      <c r="P24" s="3553"/>
      <c r="Q24" s="3556"/>
      <c r="R24" s="3596"/>
      <c r="S24" s="3556"/>
      <c r="T24" s="3556"/>
      <c r="U24" s="3594"/>
      <c r="V24" s="3596"/>
      <c r="W24" s="3595"/>
      <c r="X24" s="3566">
        <f t="shared" si="32"/>
        <v>0</v>
      </c>
      <c r="Y24" s="3565"/>
      <c r="Z24" s="3556">
        <v>8.5039999999999996</v>
      </c>
      <c r="AA24" s="3556"/>
      <c r="AB24" s="3596"/>
      <c r="AC24" s="3556"/>
      <c r="AD24" s="3556"/>
      <c r="AE24" s="3556"/>
      <c r="AF24" s="3564"/>
      <c r="AG24" s="3595"/>
      <c r="AH24" s="3553"/>
      <c r="AI24" s="3553"/>
      <c r="AJ24" s="3553"/>
      <c r="AK24" s="3596"/>
      <c r="AL24" s="3556"/>
      <c r="AM24" s="3556"/>
      <c r="AN24" s="3594"/>
      <c r="AO24" s="3596"/>
      <c r="AP24" s="3595"/>
      <c r="AQ24" s="3563">
        <f t="shared" si="35"/>
        <v>8.5039999999999996</v>
      </c>
      <c r="AR24" s="3555">
        <f t="shared" si="36"/>
        <v>8.5039999999999996</v>
      </c>
      <c r="AS24" s="3593"/>
      <c r="AT24" s="3558"/>
      <c r="AU24" s="4496"/>
      <c r="AV24" s="4894"/>
      <c r="AW24" s="5190"/>
      <c r="AX24" s="5191"/>
      <c r="AY24" s="5502">
        <f t="shared" si="39"/>
        <v>0</v>
      </c>
      <c r="AZ24" s="4894"/>
      <c r="BA24" s="5452"/>
      <c r="BB24" s="5453"/>
      <c r="BC24" s="5453"/>
      <c r="BD24" s="5452"/>
      <c r="BE24" s="5452"/>
      <c r="BF24" s="5454"/>
      <c r="BG24" s="5454"/>
      <c r="BH24" s="5452"/>
      <c r="BI24" s="5452"/>
      <c r="BJ24" s="5454"/>
      <c r="BK24" s="5454"/>
      <c r="BL24" s="5452"/>
      <c r="BM24" s="5452"/>
      <c r="BN24" s="5452"/>
      <c r="BO24" s="5453"/>
      <c r="BP24" s="5452"/>
      <c r="BQ24" s="5455"/>
      <c r="BR24" s="5452"/>
      <c r="BS24" s="5452"/>
      <c r="BT24" s="5454"/>
      <c r="BU24" s="5454"/>
      <c r="BV24" s="5452"/>
      <c r="BW24" s="5452"/>
      <c r="BX24" s="5452"/>
      <c r="BY24" s="5452"/>
      <c r="BZ24" s="5452"/>
      <c r="CA24" s="5452"/>
      <c r="CB24" s="5452"/>
      <c r="CC24" s="5453"/>
      <c r="CD24" s="5454"/>
      <c r="CE24" s="5454"/>
      <c r="CF24" s="5452"/>
      <c r="CG24" s="5452"/>
      <c r="CH24" s="5452"/>
      <c r="CI24" s="5452"/>
      <c r="CJ24" s="5452"/>
      <c r="CK24" s="5452"/>
      <c r="CL24" s="5454"/>
      <c r="CM24" s="5454"/>
      <c r="CN24" s="5452"/>
      <c r="CO24" s="5452"/>
      <c r="CP24" s="5452"/>
      <c r="CQ24" s="5453"/>
      <c r="CR24" s="5452"/>
      <c r="CS24" s="5455"/>
      <c r="CT24" s="5454"/>
      <c r="CU24" s="5456"/>
      <c r="CV24" s="4814"/>
      <c r="CX24" s="3585"/>
      <c r="CY24" s="3585"/>
      <c r="CZ24" s="3585"/>
    </row>
    <row r="25" spans="1:104" x14ac:dyDescent="0.3">
      <c r="A25" s="3608"/>
      <c r="B25" s="3608"/>
      <c r="C25" s="3608"/>
      <c r="D25" s="3608"/>
      <c r="E25" s="4175" t="s">
        <v>1351</v>
      </c>
      <c r="F25" s="3589">
        <v>1286</v>
      </c>
      <c r="G25" s="3556">
        <v>540.00400000000002</v>
      </c>
      <c r="H25" s="3556"/>
      <c r="I25" s="3596">
        <f t="shared" si="30"/>
        <v>1826.0039999999999</v>
      </c>
      <c r="J25" s="3556"/>
      <c r="K25" s="3556"/>
      <c r="L25" s="3556"/>
      <c r="M25" s="3596"/>
      <c r="N25" s="3595">
        <f t="shared" si="31"/>
        <v>1826.0039999999999</v>
      </c>
      <c r="O25" s="3553"/>
      <c r="P25" s="3553"/>
      <c r="Q25" s="3556"/>
      <c r="R25" s="3596"/>
      <c r="S25" s="3556"/>
      <c r="T25" s="3556"/>
      <c r="U25" s="3594"/>
      <c r="V25" s="3596"/>
      <c r="W25" s="3595"/>
      <c r="X25" s="3566">
        <f t="shared" si="32"/>
        <v>1826.0039999999999</v>
      </c>
      <c r="Y25" s="3565"/>
      <c r="Z25" s="3556"/>
      <c r="AA25" s="3556"/>
      <c r="AB25" s="3596">
        <f t="shared" si="0"/>
        <v>0</v>
      </c>
      <c r="AC25" s="3556"/>
      <c r="AD25" s="3556"/>
      <c r="AE25" s="3556"/>
      <c r="AF25" s="3564">
        <f t="shared" si="1"/>
        <v>0</v>
      </c>
      <c r="AG25" s="3595">
        <f t="shared" si="2"/>
        <v>0</v>
      </c>
      <c r="AH25" s="3553"/>
      <c r="AI25" s="3553"/>
      <c r="AJ25" s="3553"/>
      <c r="AK25" s="3596">
        <f t="shared" si="3"/>
        <v>0</v>
      </c>
      <c r="AL25" s="3556"/>
      <c r="AM25" s="3556"/>
      <c r="AN25" s="3594"/>
      <c r="AO25" s="3596">
        <f t="shared" si="33"/>
        <v>0</v>
      </c>
      <c r="AP25" s="3595">
        <f t="shared" si="34"/>
        <v>0</v>
      </c>
      <c r="AQ25" s="3563">
        <f t="shared" si="35"/>
        <v>0</v>
      </c>
      <c r="AR25" s="3555">
        <f t="shared" si="36"/>
        <v>1826.0039999999999</v>
      </c>
      <c r="AS25" s="3593"/>
      <c r="AT25" s="3558"/>
      <c r="AU25" s="4496">
        <f t="shared" si="37"/>
        <v>1286</v>
      </c>
      <c r="AV25" s="4894"/>
      <c r="AW25" s="5190">
        <f t="shared" si="38"/>
        <v>540.00400000000002</v>
      </c>
      <c r="AX25" s="5191"/>
      <c r="AY25" s="5502">
        <f t="shared" si="39"/>
        <v>1826.0039999999999</v>
      </c>
      <c r="AZ25" s="4894"/>
      <c r="BA25" s="3562">
        <f t="shared" si="6"/>
        <v>0</v>
      </c>
      <c r="BB25" s="3560"/>
      <c r="BC25" s="3560">
        <f t="shared" si="7"/>
        <v>1826.0039999999999</v>
      </c>
      <c r="BD25" s="3561"/>
      <c r="BE25" s="3562">
        <f t="shared" si="8"/>
        <v>0</v>
      </c>
      <c r="BF25" s="3559"/>
      <c r="BG25" s="3559">
        <f t="shared" si="9"/>
        <v>1826.0039999999999</v>
      </c>
      <c r="BH25" s="3561"/>
      <c r="BI25" s="3562">
        <f t="shared" si="10"/>
        <v>0</v>
      </c>
      <c r="BJ25" s="3559"/>
      <c r="BK25" s="3559">
        <f t="shared" si="11"/>
        <v>1826.0039999999999</v>
      </c>
      <c r="BL25" s="3561"/>
      <c r="BM25" s="3562">
        <f t="shared" si="12"/>
        <v>0</v>
      </c>
      <c r="BN25" s="3561"/>
      <c r="BO25" s="3560">
        <f t="shared" si="13"/>
        <v>0</v>
      </c>
      <c r="BP25" s="3561"/>
      <c r="BQ25" s="3578">
        <f t="shared" si="14"/>
        <v>1826.0039999999999</v>
      </c>
      <c r="BR25" s="3561"/>
      <c r="BS25" s="3562">
        <f t="shared" si="15"/>
        <v>0</v>
      </c>
      <c r="BT25" s="3559"/>
      <c r="BU25" s="3559">
        <f t="shared" si="16"/>
        <v>1826.0039999999999</v>
      </c>
      <c r="BV25" s="3561"/>
      <c r="BW25" s="3562">
        <f t="shared" si="17"/>
        <v>0</v>
      </c>
      <c r="BX25" s="3561"/>
      <c r="BY25" s="3561">
        <f t="shared" si="18"/>
        <v>1826.0039999999999</v>
      </c>
      <c r="BZ25" s="3561"/>
      <c r="CA25" s="3562">
        <f t="shared" si="19"/>
        <v>0</v>
      </c>
      <c r="CB25" s="3561"/>
      <c r="CC25" s="3560">
        <f t="shared" si="20"/>
        <v>0</v>
      </c>
      <c r="CD25" s="3559"/>
      <c r="CE25" s="3559">
        <f t="shared" si="21"/>
        <v>1826.0039999999999</v>
      </c>
      <c r="CF25" s="3561"/>
      <c r="CG25" s="3562">
        <f t="shared" si="22"/>
        <v>0</v>
      </c>
      <c r="CH25" s="3561"/>
      <c r="CI25" s="3561">
        <f t="shared" si="23"/>
        <v>1826.0039999999999</v>
      </c>
      <c r="CJ25" s="3561"/>
      <c r="CK25" s="3562">
        <f t="shared" si="24"/>
        <v>0</v>
      </c>
      <c r="CL25" s="3559"/>
      <c r="CM25" s="3559">
        <f t="shared" si="25"/>
        <v>1826.0039999999999</v>
      </c>
      <c r="CN25" s="3561"/>
      <c r="CO25" s="3562">
        <f t="shared" si="26"/>
        <v>0</v>
      </c>
      <c r="CP25" s="3561"/>
      <c r="CQ25" s="3560">
        <f t="shared" si="27"/>
        <v>0</v>
      </c>
      <c r="CR25" s="3561"/>
      <c r="CS25" s="3578">
        <f t="shared" si="28"/>
        <v>0</v>
      </c>
      <c r="CT25" s="3559"/>
      <c r="CU25" s="3580">
        <f t="shared" si="29"/>
        <v>1826.0039999999999</v>
      </c>
      <c r="CV25" s="4814"/>
    </row>
    <row r="26" spans="1:104" x14ac:dyDescent="0.3">
      <c r="A26" s="3608"/>
      <c r="B26" s="3608"/>
      <c r="C26" s="3608"/>
      <c r="D26" s="3608"/>
      <c r="E26" s="4175" t="s">
        <v>1350</v>
      </c>
      <c r="F26" s="3589"/>
      <c r="G26" s="3556">
        <v>565.51599999999996</v>
      </c>
      <c r="H26" s="3556"/>
      <c r="I26" s="3596">
        <f t="shared" si="30"/>
        <v>565.51599999999996</v>
      </c>
      <c r="J26" s="3556"/>
      <c r="K26" s="3556"/>
      <c r="L26" s="3556"/>
      <c r="M26" s="3596"/>
      <c r="N26" s="3595">
        <f t="shared" si="31"/>
        <v>565.51599999999996</v>
      </c>
      <c r="O26" s="3553"/>
      <c r="P26" s="3553"/>
      <c r="Q26" s="3556"/>
      <c r="R26" s="3596"/>
      <c r="S26" s="3556"/>
      <c r="T26" s="3556"/>
      <c r="U26" s="3594"/>
      <c r="V26" s="3596"/>
      <c r="W26" s="3595"/>
      <c r="X26" s="3566">
        <f t="shared" si="32"/>
        <v>565.51599999999996</v>
      </c>
      <c r="Y26" s="3565"/>
      <c r="Z26" s="3556"/>
      <c r="AA26" s="3556"/>
      <c r="AB26" s="3596">
        <f t="shared" si="0"/>
        <v>0</v>
      </c>
      <c r="AC26" s="3556"/>
      <c r="AD26" s="3556"/>
      <c r="AE26" s="3556"/>
      <c r="AF26" s="3564">
        <f t="shared" si="1"/>
        <v>0</v>
      </c>
      <c r="AG26" s="3595">
        <f t="shared" si="2"/>
        <v>0</v>
      </c>
      <c r="AH26" s="3553"/>
      <c r="AI26" s="3553"/>
      <c r="AJ26" s="3553"/>
      <c r="AK26" s="3596">
        <f t="shared" si="3"/>
        <v>0</v>
      </c>
      <c r="AL26" s="3556"/>
      <c r="AM26" s="3556"/>
      <c r="AN26" s="3594"/>
      <c r="AO26" s="3596">
        <f t="shared" si="33"/>
        <v>0</v>
      </c>
      <c r="AP26" s="3595">
        <f t="shared" si="34"/>
        <v>0</v>
      </c>
      <c r="AQ26" s="3563">
        <f t="shared" si="35"/>
        <v>0</v>
      </c>
      <c r="AR26" s="3555">
        <f t="shared" si="36"/>
        <v>565.51599999999996</v>
      </c>
      <c r="AS26" s="3593"/>
      <c r="AT26" s="3558"/>
      <c r="AU26" s="4496">
        <f t="shared" si="37"/>
        <v>0</v>
      </c>
      <c r="AV26" s="4894"/>
      <c r="AW26" s="5190">
        <f t="shared" si="38"/>
        <v>565.51599999999996</v>
      </c>
      <c r="AX26" s="5191"/>
      <c r="AY26" s="5502">
        <f t="shared" si="39"/>
        <v>565.51599999999996</v>
      </c>
      <c r="AZ26" s="4894"/>
      <c r="BA26" s="3562">
        <f t="shared" si="6"/>
        <v>0</v>
      </c>
      <c r="BB26" s="3560"/>
      <c r="BC26" s="3560">
        <f t="shared" si="7"/>
        <v>565.51599999999996</v>
      </c>
      <c r="BD26" s="3561"/>
      <c r="BE26" s="3562">
        <f t="shared" si="8"/>
        <v>0</v>
      </c>
      <c r="BF26" s="3559"/>
      <c r="BG26" s="3559">
        <f t="shared" si="9"/>
        <v>565.51599999999996</v>
      </c>
      <c r="BH26" s="3561"/>
      <c r="BI26" s="3562">
        <f t="shared" si="10"/>
        <v>0</v>
      </c>
      <c r="BJ26" s="3559"/>
      <c r="BK26" s="3559">
        <f t="shared" si="11"/>
        <v>565.51599999999996</v>
      </c>
      <c r="BL26" s="3561"/>
      <c r="BM26" s="3562">
        <f t="shared" si="12"/>
        <v>0</v>
      </c>
      <c r="BN26" s="3561"/>
      <c r="BO26" s="3560">
        <f t="shared" si="13"/>
        <v>0</v>
      </c>
      <c r="BP26" s="3561"/>
      <c r="BQ26" s="3578">
        <f t="shared" si="14"/>
        <v>565.51599999999996</v>
      </c>
      <c r="BR26" s="3561"/>
      <c r="BS26" s="3562">
        <f t="shared" si="15"/>
        <v>0</v>
      </c>
      <c r="BT26" s="3559"/>
      <c r="BU26" s="3559">
        <f t="shared" si="16"/>
        <v>565.51599999999996</v>
      </c>
      <c r="BV26" s="3561"/>
      <c r="BW26" s="3562">
        <f t="shared" si="17"/>
        <v>0</v>
      </c>
      <c r="BX26" s="3561"/>
      <c r="BY26" s="3561">
        <f t="shared" si="18"/>
        <v>565.51599999999996</v>
      </c>
      <c r="BZ26" s="3561"/>
      <c r="CA26" s="3562">
        <f t="shared" si="19"/>
        <v>0</v>
      </c>
      <c r="CB26" s="3561"/>
      <c r="CC26" s="3560">
        <f t="shared" si="20"/>
        <v>0</v>
      </c>
      <c r="CD26" s="3559"/>
      <c r="CE26" s="3559">
        <f t="shared" si="21"/>
        <v>565.51599999999996</v>
      </c>
      <c r="CF26" s="3561"/>
      <c r="CG26" s="3562">
        <f t="shared" si="22"/>
        <v>0</v>
      </c>
      <c r="CH26" s="3561"/>
      <c r="CI26" s="3561">
        <f t="shared" si="23"/>
        <v>565.51599999999996</v>
      </c>
      <c r="CJ26" s="3561"/>
      <c r="CK26" s="3562">
        <f t="shared" si="24"/>
        <v>0</v>
      </c>
      <c r="CL26" s="3559"/>
      <c r="CM26" s="3559">
        <f t="shared" si="25"/>
        <v>565.51599999999996</v>
      </c>
      <c r="CN26" s="3561"/>
      <c r="CO26" s="3562">
        <f t="shared" si="26"/>
        <v>0</v>
      </c>
      <c r="CP26" s="3561"/>
      <c r="CQ26" s="3560">
        <f t="shared" si="27"/>
        <v>0</v>
      </c>
      <c r="CR26" s="3561"/>
      <c r="CS26" s="3578">
        <f t="shared" si="28"/>
        <v>0</v>
      </c>
      <c r="CT26" s="3559"/>
      <c r="CU26" s="3580">
        <f t="shared" si="29"/>
        <v>565.51599999999996</v>
      </c>
      <c r="CV26" s="4814"/>
    </row>
    <row r="27" spans="1:104" x14ac:dyDescent="0.3">
      <c r="A27" s="3608"/>
      <c r="B27" s="3608"/>
      <c r="C27" s="3608"/>
      <c r="D27" s="3608"/>
      <c r="E27" s="4175" t="s">
        <v>1861</v>
      </c>
      <c r="F27" s="3589"/>
      <c r="G27" s="3556"/>
      <c r="H27" s="3556"/>
      <c r="I27" s="3596">
        <f t="shared" si="30"/>
        <v>0</v>
      </c>
      <c r="J27" s="3556"/>
      <c r="K27" s="3556"/>
      <c r="L27" s="3556"/>
      <c r="M27" s="3596"/>
      <c r="N27" s="3595">
        <f t="shared" si="31"/>
        <v>0</v>
      </c>
      <c r="O27" s="3553"/>
      <c r="P27" s="3553"/>
      <c r="Q27" s="3556"/>
      <c r="R27" s="3596"/>
      <c r="S27" s="3556"/>
      <c r="T27" s="3556"/>
      <c r="U27" s="3594"/>
      <c r="V27" s="3596"/>
      <c r="W27" s="3595"/>
      <c r="X27" s="3566">
        <f t="shared" si="32"/>
        <v>0</v>
      </c>
      <c r="Y27" s="3565"/>
      <c r="Z27" s="3556"/>
      <c r="AA27" s="3556"/>
      <c r="AB27" s="3596">
        <f t="shared" si="0"/>
        <v>0</v>
      </c>
      <c r="AC27" s="3556"/>
      <c r="AD27" s="3556"/>
      <c r="AE27" s="3556"/>
      <c r="AF27" s="3564">
        <f t="shared" si="1"/>
        <v>0</v>
      </c>
      <c r="AG27" s="3595">
        <f t="shared" si="2"/>
        <v>0</v>
      </c>
      <c r="AH27" s="3553"/>
      <c r="AI27" s="3553"/>
      <c r="AJ27" s="3553"/>
      <c r="AK27" s="3596">
        <f t="shared" si="3"/>
        <v>0</v>
      </c>
      <c r="AL27" s="3556"/>
      <c r="AM27" s="3556"/>
      <c r="AN27" s="3594"/>
      <c r="AO27" s="3596">
        <f t="shared" si="33"/>
        <v>0</v>
      </c>
      <c r="AP27" s="3595">
        <f t="shared" si="34"/>
        <v>0</v>
      </c>
      <c r="AQ27" s="3563">
        <f t="shared" si="35"/>
        <v>0</v>
      </c>
      <c r="AR27" s="3555">
        <f t="shared" si="36"/>
        <v>0</v>
      </c>
      <c r="AS27" s="3593"/>
      <c r="AT27" s="3558"/>
      <c r="AU27" s="4496">
        <f t="shared" si="37"/>
        <v>0</v>
      </c>
      <c r="AV27" s="4894"/>
      <c r="AW27" s="5190">
        <f t="shared" si="38"/>
        <v>0</v>
      </c>
      <c r="AX27" s="5191"/>
      <c r="AY27" s="5502">
        <f t="shared" si="39"/>
        <v>0</v>
      </c>
      <c r="AZ27" s="4894"/>
      <c r="BA27" s="3562">
        <f t="shared" si="6"/>
        <v>0</v>
      </c>
      <c r="BB27" s="3560"/>
      <c r="BC27" s="3560">
        <f t="shared" si="7"/>
        <v>0</v>
      </c>
      <c r="BD27" s="3561"/>
      <c r="BE27" s="3562">
        <f t="shared" si="8"/>
        <v>0</v>
      </c>
      <c r="BF27" s="3559"/>
      <c r="BG27" s="3559">
        <f t="shared" si="9"/>
        <v>0</v>
      </c>
      <c r="BH27" s="3561"/>
      <c r="BI27" s="3562">
        <f t="shared" si="10"/>
        <v>0</v>
      </c>
      <c r="BJ27" s="3559"/>
      <c r="BK27" s="3559">
        <f t="shared" si="11"/>
        <v>0</v>
      </c>
      <c r="BL27" s="3561"/>
      <c r="BM27" s="3562">
        <f t="shared" si="12"/>
        <v>0</v>
      </c>
      <c r="BN27" s="3561"/>
      <c r="BO27" s="3560">
        <f t="shared" si="13"/>
        <v>0</v>
      </c>
      <c r="BP27" s="3561"/>
      <c r="BQ27" s="3578">
        <f t="shared" si="14"/>
        <v>0</v>
      </c>
      <c r="BR27" s="3561"/>
      <c r="BS27" s="3562">
        <f t="shared" si="15"/>
        <v>0</v>
      </c>
      <c r="BT27" s="3559"/>
      <c r="BU27" s="3559">
        <f t="shared" si="16"/>
        <v>0</v>
      </c>
      <c r="BV27" s="3561"/>
      <c r="BW27" s="3562">
        <f t="shared" si="17"/>
        <v>0</v>
      </c>
      <c r="BX27" s="3561"/>
      <c r="BY27" s="3561">
        <f t="shared" si="18"/>
        <v>0</v>
      </c>
      <c r="BZ27" s="3561"/>
      <c r="CA27" s="3562">
        <f t="shared" si="19"/>
        <v>0</v>
      </c>
      <c r="CB27" s="3561"/>
      <c r="CC27" s="3560">
        <f t="shared" si="20"/>
        <v>0</v>
      </c>
      <c r="CD27" s="3559"/>
      <c r="CE27" s="3559">
        <f t="shared" si="21"/>
        <v>0</v>
      </c>
      <c r="CF27" s="3561"/>
      <c r="CG27" s="3562">
        <f t="shared" si="22"/>
        <v>0</v>
      </c>
      <c r="CH27" s="3561"/>
      <c r="CI27" s="3561">
        <f t="shared" si="23"/>
        <v>0</v>
      </c>
      <c r="CJ27" s="3561"/>
      <c r="CK27" s="3562">
        <f t="shared" si="24"/>
        <v>0</v>
      </c>
      <c r="CL27" s="3559"/>
      <c r="CM27" s="3559">
        <f t="shared" si="25"/>
        <v>0</v>
      </c>
      <c r="CN27" s="3561"/>
      <c r="CO27" s="3562">
        <f t="shared" si="26"/>
        <v>0</v>
      </c>
      <c r="CP27" s="3561"/>
      <c r="CQ27" s="3560">
        <f t="shared" si="27"/>
        <v>0</v>
      </c>
      <c r="CR27" s="3561"/>
      <c r="CS27" s="3578">
        <f t="shared" si="28"/>
        <v>0</v>
      </c>
      <c r="CT27" s="3559"/>
      <c r="CU27" s="3580">
        <f t="shared" si="29"/>
        <v>0</v>
      </c>
      <c r="CV27" s="4814"/>
    </row>
    <row r="28" spans="1:104" x14ac:dyDescent="0.3">
      <c r="A28" s="3608"/>
      <c r="B28" s="3608"/>
      <c r="C28" s="3608"/>
      <c r="D28" s="3608"/>
      <c r="E28" s="4175" t="s">
        <v>1349</v>
      </c>
      <c r="F28" s="3589">
        <v>2711</v>
      </c>
      <c r="G28" s="3556">
        <v>1005.598</v>
      </c>
      <c r="H28" s="3556"/>
      <c r="I28" s="3596">
        <f t="shared" si="30"/>
        <v>3716.598</v>
      </c>
      <c r="J28" s="3556"/>
      <c r="K28" s="3556"/>
      <c r="L28" s="3556"/>
      <c r="M28" s="3596"/>
      <c r="N28" s="3595">
        <f t="shared" si="31"/>
        <v>3716.598</v>
      </c>
      <c r="O28" s="3553"/>
      <c r="P28" s="3553"/>
      <c r="Q28" s="3556"/>
      <c r="R28" s="3596"/>
      <c r="S28" s="3556"/>
      <c r="T28" s="3556"/>
      <c r="U28" s="3594"/>
      <c r="V28" s="3596"/>
      <c r="W28" s="3595"/>
      <c r="X28" s="3566">
        <f t="shared" si="32"/>
        <v>3716.598</v>
      </c>
      <c r="Y28" s="3565"/>
      <c r="Z28" s="3556"/>
      <c r="AA28" s="3556"/>
      <c r="AB28" s="3596">
        <f t="shared" si="0"/>
        <v>0</v>
      </c>
      <c r="AC28" s="3556"/>
      <c r="AD28" s="3556"/>
      <c r="AE28" s="3556"/>
      <c r="AF28" s="3564">
        <f t="shared" si="1"/>
        <v>0</v>
      </c>
      <c r="AG28" s="3595">
        <f t="shared" si="2"/>
        <v>0</v>
      </c>
      <c r="AH28" s="3553"/>
      <c r="AI28" s="3553"/>
      <c r="AJ28" s="3553"/>
      <c r="AK28" s="3596">
        <f t="shared" si="3"/>
        <v>0</v>
      </c>
      <c r="AL28" s="3556"/>
      <c r="AM28" s="3556"/>
      <c r="AN28" s="3594"/>
      <c r="AO28" s="3596">
        <f t="shared" si="33"/>
        <v>0</v>
      </c>
      <c r="AP28" s="3595">
        <f t="shared" si="34"/>
        <v>0</v>
      </c>
      <c r="AQ28" s="3563">
        <f t="shared" si="35"/>
        <v>0</v>
      </c>
      <c r="AR28" s="3555">
        <f t="shared" si="36"/>
        <v>3716.598</v>
      </c>
      <c r="AS28" s="3593"/>
      <c r="AT28" s="3558"/>
      <c r="AU28" s="4496">
        <f t="shared" si="37"/>
        <v>2711</v>
      </c>
      <c r="AV28" s="4894"/>
      <c r="AW28" s="5190">
        <f t="shared" si="38"/>
        <v>1005.598</v>
      </c>
      <c r="AX28" s="5191"/>
      <c r="AY28" s="5502">
        <f t="shared" si="39"/>
        <v>3716.598</v>
      </c>
      <c r="AZ28" s="4894"/>
      <c r="BA28" s="3562">
        <f t="shared" si="6"/>
        <v>0</v>
      </c>
      <c r="BB28" s="3560"/>
      <c r="BC28" s="3560">
        <f t="shared" si="7"/>
        <v>3716.598</v>
      </c>
      <c r="BD28" s="3561"/>
      <c r="BE28" s="3562">
        <f t="shared" si="8"/>
        <v>0</v>
      </c>
      <c r="BF28" s="3559"/>
      <c r="BG28" s="3559">
        <f t="shared" si="9"/>
        <v>3716.598</v>
      </c>
      <c r="BH28" s="3561"/>
      <c r="BI28" s="3562">
        <f t="shared" si="10"/>
        <v>0</v>
      </c>
      <c r="BJ28" s="3559"/>
      <c r="BK28" s="3559">
        <f t="shared" si="11"/>
        <v>3716.598</v>
      </c>
      <c r="BL28" s="3561"/>
      <c r="BM28" s="3562">
        <f t="shared" si="12"/>
        <v>0</v>
      </c>
      <c r="BN28" s="3561"/>
      <c r="BO28" s="3560">
        <f t="shared" si="13"/>
        <v>0</v>
      </c>
      <c r="BP28" s="3561"/>
      <c r="BQ28" s="3578">
        <f t="shared" si="14"/>
        <v>3716.598</v>
      </c>
      <c r="BR28" s="3561"/>
      <c r="BS28" s="3562">
        <f t="shared" si="15"/>
        <v>0</v>
      </c>
      <c r="BT28" s="3559"/>
      <c r="BU28" s="3559">
        <f t="shared" si="16"/>
        <v>3716.598</v>
      </c>
      <c r="BV28" s="3561"/>
      <c r="BW28" s="3562">
        <f t="shared" si="17"/>
        <v>0</v>
      </c>
      <c r="BX28" s="3561"/>
      <c r="BY28" s="3561">
        <f t="shared" si="18"/>
        <v>3716.598</v>
      </c>
      <c r="BZ28" s="3561"/>
      <c r="CA28" s="3562">
        <f t="shared" si="19"/>
        <v>0</v>
      </c>
      <c r="CB28" s="3561"/>
      <c r="CC28" s="3560">
        <f t="shared" si="20"/>
        <v>0</v>
      </c>
      <c r="CD28" s="3559"/>
      <c r="CE28" s="3559">
        <f t="shared" si="21"/>
        <v>3716.598</v>
      </c>
      <c r="CF28" s="3561"/>
      <c r="CG28" s="3562">
        <f t="shared" si="22"/>
        <v>0</v>
      </c>
      <c r="CH28" s="3561"/>
      <c r="CI28" s="3561">
        <f t="shared" si="23"/>
        <v>3716.598</v>
      </c>
      <c r="CJ28" s="3561"/>
      <c r="CK28" s="3562">
        <f t="shared" si="24"/>
        <v>0</v>
      </c>
      <c r="CL28" s="3559"/>
      <c r="CM28" s="3559">
        <f t="shared" si="25"/>
        <v>3716.598</v>
      </c>
      <c r="CN28" s="3561"/>
      <c r="CO28" s="3562">
        <f t="shared" si="26"/>
        <v>0</v>
      </c>
      <c r="CP28" s="3561"/>
      <c r="CQ28" s="3560">
        <f t="shared" si="27"/>
        <v>0</v>
      </c>
      <c r="CR28" s="3561"/>
      <c r="CS28" s="3578">
        <f t="shared" si="28"/>
        <v>0</v>
      </c>
      <c r="CT28" s="3559"/>
      <c r="CU28" s="3580">
        <f t="shared" si="29"/>
        <v>3716.598</v>
      </c>
      <c r="CV28" s="4814"/>
    </row>
    <row r="29" spans="1:104" x14ac:dyDescent="0.3">
      <c r="A29" s="3608"/>
      <c r="B29" s="3608"/>
      <c r="C29" s="3608"/>
      <c r="D29" s="3608"/>
      <c r="E29" s="4175" t="s">
        <v>1348</v>
      </c>
      <c r="F29" s="3589">
        <v>663</v>
      </c>
      <c r="G29" s="3556">
        <v>144.56800000000001</v>
      </c>
      <c r="H29" s="3556"/>
      <c r="I29" s="3596">
        <f t="shared" si="30"/>
        <v>807.56799999999998</v>
      </c>
      <c r="J29" s="3556"/>
      <c r="K29" s="3556"/>
      <c r="L29" s="3556"/>
      <c r="M29" s="3596"/>
      <c r="N29" s="3595">
        <f t="shared" si="31"/>
        <v>807.56799999999998</v>
      </c>
      <c r="O29" s="3553"/>
      <c r="P29" s="3553"/>
      <c r="Q29" s="3556"/>
      <c r="R29" s="3596"/>
      <c r="S29" s="3556"/>
      <c r="T29" s="3556"/>
      <c r="U29" s="3594"/>
      <c r="V29" s="3596"/>
      <c r="W29" s="3595"/>
      <c r="X29" s="3566">
        <f t="shared" si="32"/>
        <v>807.56799999999998</v>
      </c>
      <c r="Y29" s="3565"/>
      <c r="Z29" s="3556"/>
      <c r="AA29" s="3556"/>
      <c r="AB29" s="3596">
        <f t="shared" si="0"/>
        <v>0</v>
      </c>
      <c r="AC29" s="3556"/>
      <c r="AD29" s="3556"/>
      <c r="AE29" s="3556"/>
      <c r="AF29" s="3564">
        <f t="shared" si="1"/>
        <v>0</v>
      </c>
      <c r="AG29" s="3595">
        <f t="shared" si="2"/>
        <v>0</v>
      </c>
      <c r="AH29" s="3553"/>
      <c r="AI29" s="3553"/>
      <c r="AJ29" s="3553"/>
      <c r="AK29" s="3596">
        <f t="shared" si="3"/>
        <v>0</v>
      </c>
      <c r="AL29" s="3556"/>
      <c r="AM29" s="3556"/>
      <c r="AN29" s="3594"/>
      <c r="AO29" s="3596">
        <f t="shared" si="33"/>
        <v>0</v>
      </c>
      <c r="AP29" s="3595">
        <f t="shared" si="34"/>
        <v>0</v>
      </c>
      <c r="AQ29" s="3563">
        <f t="shared" si="35"/>
        <v>0</v>
      </c>
      <c r="AR29" s="3555">
        <f t="shared" si="36"/>
        <v>807.56799999999998</v>
      </c>
      <c r="AS29" s="3593"/>
      <c r="AT29" s="3558"/>
      <c r="AU29" s="4496">
        <f t="shared" si="37"/>
        <v>663</v>
      </c>
      <c r="AV29" s="4894"/>
      <c r="AW29" s="5190">
        <f t="shared" si="38"/>
        <v>144.56800000000001</v>
      </c>
      <c r="AX29" s="5191"/>
      <c r="AY29" s="5502">
        <f t="shared" si="39"/>
        <v>807.56799999999998</v>
      </c>
      <c r="AZ29" s="4894"/>
      <c r="BA29" s="3562">
        <f t="shared" si="6"/>
        <v>0</v>
      </c>
      <c r="BB29" s="3560"/>
      <c r="BC29" s="3560">
        <f t="shared" si="7"/>
        <v>807.56799999999998</v>
      </c>
      <c r="BD29" s="3561"/>
      <c r="BE29" s="3562">
        <f t="shared" si="8"/>
        <v>0</v>
      </c>
      <c r="BF29" s="3559"/>
      <c r="BG29" s="3559">
        <f t="shared" si="9"/>
        <v>807.56799999999998</v>
      </c>
      <c r="BH29" s="3561"/>
      <c r="BI29" s="3562">
        <f t="shared" si="10"/>
        <v>0</v>
      </c>
      <c r="BJ29" s="3559"/>
      <c r="BK29" s="3559">
        <f t="shared" si="11"/>
        <v>807.56799999999998</v>
      </c>
      <c r="BL29" s="3561"/>
      <c r="BM29" s="3562">
        <f t="shared" si="12"/>
        <v>0</v>
      </c>
      <c r="BN29" s="3561"/>
      <c r="BO29" s="3560">
        <f t="shared" si="13"/>
        <v>0</v>
      </c>
      <c r="BP29" s="3561"/>
      <c r="BQ29" s="3578">
        <f t="shared" si="14"/>
        <v>807.56799999999998</v>
      </c>
      <c r="BR29" s="3561"/>
      <c r="BS29" s="3562">
        <f t="shared" si="15"/>
        <v>0</v>
      </c>
      <c r="BT29" s="3559"/>
      <c r="BU29" s="3559">
        <f t="shared" si="16"/>
        <v>807.56799999999998</v>
      </c>
      <c r="BV29" s="3561"/>
      <c r="BW29" s="3562">
        <f t="shared" si="17"/>
        <v>0</v>
      </c>
      <c r="BX29" s="3561"/>
      <c r="BY29" s="3561">
        <f t="shared" si="18"/>
        <v>807.56799999999998</v>
      </c>
      <c r="BZ29" s="3561"/>
      <c r="CA29" s="3562">
        <f t="shared" si="19"/>
        <v>0</v>
      </c>
      <c r="CB29" s="3561"/>
      <c r="CC29" s="3560">
        <f t="shared" si="20"/>
        <v>0</v>
      </c>
      <c r="CD29" s="3559"/>
      <c r="CE29" s="3559">
        <f t="shared" si="21"/>
        <v>807.56799999999998</v>
      </c>
      <c r="CF29" s="3561"/>
      <c r="CG29" s="3562">
        <f t="shared" si="22"/>
        <v>0</v>
      </c>
      <c r="CH29" s="3561"/>
      <c r="CI29" s="3561">
        <f t="shared" si="23"/>
        <v>807.56799999999998</v>
      </c>
      <c r="CJ29" s="3561"/>
      <c r="CK29" s="3562">
        <f t="shared" si="24"/>
        <v>0</v>
      </c>
      <c r="CL29" s="3559"/>
      <c r="CM29" s="3559">
        <f t="shared" si="25"/>
        <v>807.56799999999998</v>
      </c>
      <c r="CN29" s="3561"/>
      <c r="CO29" s="3562">
        <f t="shared" si="26"/>
        <v>0</v>
      </c>
      <c r="CP29" s="3561"/>
      <c r="CQ29" s="3560">
        <f t="shared" si="27"/>
        <v>0</v>
      </c>
      <c r="CR29" s="3561"/>
      <c r="CS29" s="3578">
        <f t="shared" si="28"/>
        <v>0</v>
      </c>
      <c r="CT29" s="3559"/>
      <c r="CU29" s="3580">
        <f t="shared" si="29"/>
        <v>807.56799999999998</v>
      </c>
      <c r="CV29" s="4814"/>
    </row>
    <row r="30" spans="1:104" x14ac:dyDescent="0.3">
      <c r="A30" s="3608"/>
      <c r="B30" s="3608"/>
      <c r="C30" s="3608"/>
      <c r="D30" s="3608"/>
      <c r="E30" s="4175" t="s">
        <v>1347</v>
      </c>
      <c r="F30" s="3589">
        <v>2415</v>
      </c>
      <c r="G30" s="3556">
        <v>3877.8240000000001</v>
      </c>
      <c r="H30" s="3556"/>
      <c r="I30" s="3596">
        <f t="shared" si="30"/>
        <v>6292.8240000000005</v>
      </c>
      <c r="J30" s="3556"/>
      <c r="K30" s="3556"/>
      <c r="L30" s="3556"/>
      <c r="M30" s="3596"/>
      <c r="N30" s="3595">
        <f t="shared" si="31"/>
        <v>6292.8240000000005</v>
      </c>
      <c r="O30" s="3553"/>
      <c r="P30" s="3553"/>
      <c r="Q30" s="3556"/>
      <c r="R30" s="3596"/>
      <c r="S30" s="3556"/>
      <c r="T30" s="3556"/>
      <c r="U30" s="3594"/>
      <c r="V30" s="3596"/>
      <c r="W30" s="3595"/>
      <c r="X30" s="3566">
        <f t="shared" si="32"/>
        <v>6292.8240000000005</v>
      </c>
      <c r="Y30" s="3565"/>
      <c r="Z30" s="3556"/>
      <c r="AA30" s="3556"/>
      <c r="AB30" s="3596">
        <f t="shared" si="0"/>
        <v>0</v>
      </c>
      <c r="AC30" s="3556"/>
      <c r="AD30" s="3556"/>
      <c r="AE30" s="3556"/>
      <c r="AF30" s="3564">
        <f t="shared" si="1"/>
        <v>0</v>
      </c>
      <c r="AG30" s="3595">
        <f t="shared" si="2"/>
        <v>0</v>
      </c>
      <c r="AH30" s="3553"/>
      <c r="AI30" s="3553"/>
      <c r="AJ30" s="3553"/>
      <c r="AK30" s="3596">
        <f t="shared" si="3"/>
        <v>0</v>
      </c>
      <c r="AL30" s="3556"/>
      <c r="AM30" s="3556"/>
      <c r="AN30" s="3594"/>
      <c r="AO30" s="3596">
        <f t="shared" si="33"/>
        <v>0</v>
      </c>
      <c r="AP30" s="3595">
        <f t="shared" si="34"/>
        <v>0</v>
      </c>
      <c r="AQ30" s="3563">
        <f t="shared" si="35"/>
        <v>0</v>
      </c>
      <c r="AR30" s="3555">
        <f t="shared" si="36"/>
        <v>6292.8240000000005</v>
      </c>
      <c r="AS30" s="3593"/>
      <c r="AT30" s="3558"/>
      <c r="AU30" s="4496">
        <f t="shared" si="37"/>
        <v>2415</v>
      </c>
      <c r="AV30" s="4894"/>
      <c r="AW30" s="5190">
        <f t="shared" si="38"/>
        <v>3877.8240000000001</v>
      </c>
      <c r="AX30" s="5191"/>
      <c r="AY30" s="5502">
        <f t="shared" si="39"/>
        <v>6292.8240000000005</v>
      </c>
      <c r="AZ30" s="4894"/>
      <c r="BA30" s="3562">
        <f t="shared" si="6"/>
        <v>0</v>
      </c>
      <c r="BB30" s="3560"/>
      <c r="BC30" s="3560">
        <f t="shared" si="7"/>
        <v>6292.8240000000005</v>
      </c>
      <c r="BD30" s="3561"/>
      <c r="BE30" s="3562">
        <f t="shared" si="8"/>
        <v>0</v>
      </c>
      <c r="BF30" s="3559"/>
      <c r="BG30" s="3559">
        <f t="shared" si="9"/>
        <v>6292.8240000000005</v>
      </c>
      <c r="BH30" s="3561"/>
      <c r="BI30" s="3562">
        <f t="shared" si="10"/>
        <v>0</v>
      </c>
      <c r="BJ30" s="3559"/>
      <c r="BK30" s="3559">
        <f t="shared" si="11"/>
        <v>6292.8240000000005</v>
      </c>
      <c r="BL30" s="3561"/>
      <c r="BM30" s="3562">
        <f t="shared" si="12"/>
        <v>0</v>
      </c>
      <c r="BN30" s="3561"/>
      <c r="BO30" s="3560">
        <f t="shared" si="13"/>
        <v>0</v>
      </c>
      <c r="BP30" s="3561"/>
      <c r="BQ30" s="3578">
        <f t="shared" si="14"/>
        <v>6292.8240000000005</v>
      </c>
      <c r="BR30" s="3561"/>
      <c r="BS30" s="3562">
        <f t="shared" si="15"/>
        <v>0</v>
      </c>
      <c r="BT30" s="3559"/>
      <c r="BU30" s="3559">
        <f t="shared" si="16"/>
        <v>6292.8240000000005</v>
      </c>
      <c r="BV30" s="3561"/>
      <c r="BW30" s="3562">
        <f t="shared" si="17"/>
        <v>0</v>
      </c>
      <c r="BX30" s="3561"/>
      <c r="BY30" s="3561">
        <f t="shared" si="18"/>
        <v>6292.8240000000005</v>
      </c>
      <c r="BZ30" s="3561"/>
      <c r="CA30" s="3562">
        <f t="shared" si="19"/>
        <v>0</v>
      </c>
      <c r="CB30" s="3561"/>
      <c r="CC30" s="3560">
        <f t="shared" si="20"/>
        <v>0</v>
      </c>
      <c r="CD30" s="3559"/>
      <c r="CE30" s="3559">
        <f t="shared" si="21"/>
        <v>6292.8240000000005</v>
      </c>
      <c r="CF30" s="3561"/>
      <c r="CG30" s="3562">
        <f t="shared" si="22"/>
        <v>0</v>
      </c>
      <c r="CH30" s="3561"/>
      <c r="CI30" s="3561">
        <f t="shared" si="23"/>
        <v>6292.8240000000005</v>
      </c>
      <c r="CJ30" s="3561"/>
      <c r="CK30" s="3562">
        <f t="shared" si="24"/>
        <v>0</v>
      </c>
      <c r="CL30" s="3559"/>
      <c r="CM30" s="3559">
        <f t="shared" si="25"/>
        <v>6292.8240000000005</v>
      </c>
      <c r="CN30" s="3561"/>
      <c r="CO30" s="3562">
        <f t="shared" si="26"/>
        <v>0</v>
      </c>
      <c r="CP30" s="3561"/>
      <c r="CQ30" s="3560">
        <f t="shared" si="27"/>
        <v>0</v>
      </c>
      <c r="CR30" s="3561"/>
      <c r="CS30" s="3578">
        <f t="shared" si="28"/>
        <v>0</v>
      </c>
      <c r="CT30" s="3559"/>
      <c r="CU30" s="3580">
        <f t="shared" si="29"/>
        <v>6292.8240000000005</v>
      </c>
      <c r="CV30" s="4814"/>
      <c r="CW30" s="1049">
        <f>CW28+CW27</f>
        <v>0</v>
      </c>
    </row>
    <row r="31" spans="1:104" x14ac:dyDescent="0.3">
      <c r="A31" s="3608"/>
      <c r="B31" s="3608"/>
      <c r="C31" s="3608"/>
      <c r="D31" s="3608"/>
      <c r="E31" s="4175" t="s">
        <v>1346</v>
      </c>
      <c r="F31" s="3589"/>
      <c r="G31" s="3556"/>
      <c r="H31" s="3556"/>
      <c r="I31" s="3596">
        <f t="shared" si="30"/>
        <v>0</v>
      </c>
      <c r="J31" s="3556"/>
      <c r="K31" s="3556"/>
      <c r="L31" s="3556"/>
      <c r="M31" s="3596"/>
      <c r="N31" s="3595">
        <f t="shared" si="31"/>
        <v>0</v>
      </c>
      <c r="O31" s="3553"/>
      <c r="P31" s="3553"/>
      <c r="Q31" s="3556"/>
      <c r="R31" s="3596"/>
      <c r="S31" s="3556"/>
      <c r="T31" s="3556"/>
      <c r="U31" s="3594"/>
      <c r="V31" s="3596"/>
      <c r="W31" s="3595"/>
      <c r="X31" s="3566">
        <f t="shared" si="32"/>
        <v>0</v>
      </c>
      <c r="Y31" s="3565"/>
      <c r="Z31" s="3556"/>
      <c r="AA31" s="3556"/>
      <c r="AB31" s="3596"/>
      <c r="AC31" s="3556"/>
      <c r="AD31" s="3556"/>
      <c r="AE31" s="3556"/>
      <c r="AF31" s="3564"/>
      <c r="AG31" s="3595"/>
      <c r="AH31" s="3553"/>
      <c r="AI31" s="3553"/>
      <c r="AJ31" s="3553"/>
      <c r="AK31" s="3596"/>
      <c r="AL31" s="3556"/>
      <c r="AM31" s="3556"/>
      <c r="AN31" s="3594"/>
      <c r="AO31" s="3596"/>
      <c r="AP31" s="3595"/>
      <c r="AQ31" s="3563">
        <f t="shared" si="35"/>
        <v>0</v>
      </c>
      <c r="AR31" s="3555">
        <f t="shared" si="36"/>
        <v>0</v>
      </c>
      <c r="AS31" s="3593"/>
      <c r="AT31" s="3558"/>
      <c r="AU31" s="4496"/>
      <c r="AV31" s="4894"/>
      <c r="AW31" s="5190"/>
      <c r="AX31" s="5191"/>
      <c r="AY31" s="5502">
        <f t="shared" si="39"/>
        <v>0</v>
      </c>
      <c r="AZ31" s="4894"/>
      <c r="BA31" s="4895"/>
      <c r="BB31" s="4896"/>
      <c r="BC31" s="4896"/>
      <c r="BD31" s="4895"/>
      <c r="BE31" s="4895"/>
      <c r="BF31" s="4897"/>
      <c r="BG31" s="4897"/>
      <c r="BH31" s="4895"/>
      <c r="BI31" s="4895"/>
      <c r="BJ31" s="4897"/>
      <c r="BK31" s="4897"/>
      <c r="BL31" s="4895"/>
      <c r="BM31" s="4895"/>
      <c r="BN31" s="4895"/>
      <c r="BO31" s="4896"/>
      <c r="BP31" s="4895"/>
      <c r="BQ31" s="4898"/>
      <c r="BR31" s="4895"/>
      <c r="BS31" s="4895"/>
      <c r="BT31" s="4897"/>
      <c r="BU31" s="4897"/>
      <c r="BV31" s="4895"/>
      <c r="BW31" s="4895"/>
      <c r="BX31" s="4895"/>
      <c r="BY31" s="4895"/>
      <c r="BZ31" s="4895"/>
      <c r="CA31" s="4895"/>
      <c r="CB31" s="4895"/>
      <c r="CC31" s="4896"/>
      <c r="CD31" s="4897"/>
      <c r="CE31" s="4897"/>
      <c r="CF31" s="4895"/>
      <c r="CG31" s="4895"/>
      <c r="CH31" s="4895"/>
      <c r="CI31" s="4895"/>
      <c r="CJ31" s="4895"/>
      <c r="CK31" s="3562">
        <f t="shared" si="24"/>
        <v>0</v>
      </c>
      <c r="CL31" s="4897"/>
      <c r="CM31" s="3559">
        <f t="shared" si="25"/>
        <v>0</v>
      </c>
      <c r="CN31" s="4895"/>
      <c r="CO31" s="3562">
        <f t="shared" si="26"/>
        <v>0</v>
      </c>
      <c r="CP31" s="4895"/>
      <c r="CQ31" s="3560">
        <f t="shared" si="27"/>
        <v>0</v>
      </c>
      <c r="CR31" s="4895"/>
      <c r="CS31" s="3578">
        <f t="shared" si="28"/>
        <v>0</v>
      </c>
      <c r="CT31" s="4897"/>
      <c r="CU31" s="3580">
        <f t="shared" si="29"/>
        <v>0</v>
      </c>
      <c r="CV31" s="4814"/>
    </row>
    <row r="32" spans="1:104" x14ac:dyDescent="0.3">
      <c r="A32" s="3608"/>
      <c r="B32" s="3608"/>
      <c r="C32" s="3608"/>
      <c r="D32" s="3608"/>
      <c r="E32" s="4175" t="s">
        <v>1235</v>
      </c>
      <c r="F32" s="3589"/>
      <c r="G32" s="3556"/>
      <c r="H32" s="3556"/>
      <c r="I32" s="3596">
        <f t="shared" si="30"/>
        <v>0</v>
      </c>
      <c r="J32" s="3556"/>
      <c r="K32" s="3556"/>
      <c r="L32" s="3556"/>
      <c r="M32" s="3596"/>
      <c r="N32" s="3595">
        <f t="shared" si="31"/>
        <v>0</v>
      </c>
      <c r="O32" s="3553"/>
      <c r="P32" s="3553"/>
      <c r="Q32" s="3556"/>
      <c r="R32" s="3596"/>
      <c r="S32" s="3556"/>
      <c r="T32" s="3556"/>
      <c r="U32" s="3594"/>
      <c r="V32" s="3596"/>
      <c r="W32" s="3595"/>
      <c r="X32" s="3566">
        <f t="shared" si="32"/>
        <v>0</v>
      </c>
      <c r="Y32" s="3565"/>
      <c r="Z32" s="3556"/>
      <c r="AA32" s="3556"/>
      <c r="AB32" s="3596">
        <f t="shared" si="0"/>
        <v>0</v>
      </c>
      <c r="AC32" s="3556"/>
      <c r="AD32" s="3556"/>
      <c r="AE32" s="3556"/>
      <c r="AF32" s="3564">
        <f t="shared" si="1"/>
        <v>0</v>
      </c>
      <c r="AG32" s="3595">
        <f t="shared" si="2"/>
        <v>0</v>
      </c>
      <c r="AH32" s="3553"/>
      <c r="AI32" s="3553"/>
      <c r="AJ32" s="3553"/>
      <c r="AK32" s="3596">
        <f t="shared" si="3"/>
        <v>0</v>
      </c>
      <c r="AL32" s="3556"/>
      <c r="AM32" s="3556"/>
      <c r="AN32" s="3594"/>
      <c r="AO32" s="3596">
        <f t="shared" ref="AO32" si="61">+AL32+AM32+AN32</f>
        <v>0</v>
      </c>
      <c r="AP32" s="3595">
        <f t="shared" ref="AP32" si="62">+AK32+AO32</f>
        <v>0</v>
      </c>
      <c r="AQ32" s="3563">
        <f t="shared" si="35"/>
        <v>0</v>
      </c>
      <c r="AR32" s="3555">
        <f t="shared" si="36"/>
        <v>0</v>
      </c>
      <c r="AS32" s="3593"/>
      <c r="AT32" s="3558"/>
      <c r="AU32" s="4496"/>
      <c r="AV32" s="4894"/>
      <c r="AW32" s="5190"/>
      <c r="AX32" s="5191"/>
      <c r="AY32" s="5502">
        <f t="shared" si="39"/>
        <v>0</v>
      </c>
      <c r="AZ32" s="4894"/>
      <c r="BA32" s="4644"/>
      <c r="BB32" s="4645"/>
      <c r="BC32" s="4645"/>
      <c r="BD32" s="4644"/>
      <c r="BE32" s="4644"/>
      <c r="BF32" s="4646"/>
      <c r="BG32" s="4646"/>
      <c r="BH32" s="4644"/>
      <c r="BI32" s="4644"/>
      <c r="BJ32" s="4646"/>
      <c r="BK32" s="4646"/>
      <c r="BL32" s="4644"/>
      <c r="BM32" s="4644"/>
      <c r="BN32" s="4644"/>
      <c r="BO32" s="4645"/>
      <c r="BP32" s="4644"/>
      <c r="BQ32" s="4647"/>
      <c r="BR32" s="4644"/>
      <c r="BS32" s="4644"/>
      <c r="BT32" s="4646"/>
      <c r="BU32" s="3559">
        <f t="shared" si="16"/>
        <v>0</v>
      </c>
      <c r="BV32" s="4644"/>
      <c r="BW32" s="3562">
        <f t="shared" ref="BW32" si="63">+P32+AI32</f>
        <v>0</v>
      </c>
      <c r="BX32" s="3561"/>
      <c r="BY32" s="3561">
        <f t="shared" ref="BY32" si="64">BU32+BW32</f>
        <v>0</v>
      </c>
      <c r="BZ32" s="4644"/>
      <c r="CA32" s="3562">
        <f t="shared" si="19"/>
        <v>0</v>
      </c>
      <c r="CB32" s="4644"/>
      <c r="CC32" s="3560">
        <f t="shared" si="20"/>
        <v>0</v>
      </c>
      <c r="CD32" s="4646"/>
      <c r="CE32" s="3559">
        <f t="shared" si="21"/>
        <v>0</v>
      </c>
      <c r="CF32" s="4644"/>
      <c r="CG32" s="3562">
        <f t="shared" si="22"/>
        <v>0</v>
      </c>
      <c r="CH32" s="4644"/>
      <c r="CI32" s="3561">
        <f t="shared" si="23"/>
        <v>0</v>
      </c>
      <c r="CJ32" s="4644"/>
      <c r="CK32" s="4644">
        <f t="shared" si="24"/>
        <v>0</v>
      </c>
      <c r="CL32" s="4646"/>
      <c r="CM32" s="4646">
        <f t="shared" si="25"/>
        <v>0</v>
      </c>
      <c r="CN32" s="4644"/>
      <c r="CO32" s="3562">
        <f t="shared" si="26"/>
        <v>0</v>
      </c>
      <c r="CP32" s="4644"/>
      <c r="CQ32" s="3560">
        <f t="shared" si="27"/>
        <v>0</v>
      </c>
      <c r="CR32" s="4644"/>
      <c r="CS32" s="3578">
        <f t="shared" si="28"/>
        <v>0</v>
      </c>
      <c r="CT32" s="4646"/>
      <c r="CU32" s="3580">
        <f t="shared" si="29"/>
        <v>0</v>
      </c>
      <c r="CV32" s="4814"/>
    </row>
    <row r="33" spans="1:100" x14ac:dyDescent="0.3">
      <c r="A33" s="3608"/>
      <c r="B33" s="3608"/>
      <c r="C33" s="3608"/>
      <c r="D33" s="3608"/>
      <c r="E33" s="4175" t="s">
        <v>804</v>
      </c>
      <c r="F33" s="3589">
        <v>14646</v>
      </c>
      <c r="G33" s="3556">
        <v>3773.65</v>
      </c>
      <c r="H33" s="3556"/>
      <c r="I33" s="3596">
        <f t="shared" si="30"/>
        <v>18419.650000000001</v>
      </c>
      <c r="J33" s="3556"/>
      <c r="K33" s="3556"/>
      <c r="L33" s="3556"/>
      <c r="M33" s="3596"/>
      <c r="N33" s="3595">
        <f t="shared" si="31"/>
        <v>18419.650000000001</v>
      </c>
      <c r="O33" s="3553"/>
      <c r="P33" s="3553"/>
      <c r="Q33" s="3556"/>
      <c r="R33" s="3596"/>
      <c r="S33" s="3556"/>
      <c r="T33" s="3556"/>
      <c r="U33" s="3594"/>
      <c r="V33" s="3596"/>
      <c r="W33" s="3595"/>
      <c r="X33" s="3566">
        <f t="shared" si="32"/>
        <v>18419.650000000001</v>
      </c>
      <c r="Y33" s="3565"/>
      <c r="Z33" s="3556"/>
      <c r="AA33" s="3556"/>
      <c r="AB33" s="3596">
        <f t="shared" si="0"/>
        <v>0</v>
      </c>
      <c r="AC33" s="3556"/>
      <c r="AD33" s="3556"/>
      <c r="AE33" s="3556"/>
      <c r="AF33" s="3564">
        <f t="shared" si="1"/>
        <v>0</v>
      </c>
      <c r="AG33" s="3595">
        <f t="shared" si="2"/>
        <v>0</v>
      </c>
      <c r="AH33" s="3553"/>
      <c r="AI33" s="3553"/>
      <c r="AJ33" s="3553"/>
      <c r="AK33" s="3596">
        <f t="shared" si="3"/>
        <v>0</v>
      </c>
      <c r="AL33" s="3556"/>
      <c r="AM33" s="3556"/>
      <c r="AN33" s="3594"/>
      <c r="AO33" s="3596">
        <f t="shared" si="33"/>
        <v>0</v>
      </c>
      <c r="AP33" s="3595">
        <f t="shared" si="34"/>
        <v>0</v>
      </c>
      <c r="AQ33" s="3563">
        <f t="shared" si="35"/>
        <v>0</v>
      </c>
      <c r="AR33" s="3555">
        <f t="shared" si="36"/>
        <v>18419.650000000001</v>
      </c>
      <c r="AS33" s="3593"/>
      <c r="AT33" s="3558"/>
      <c r="AU33" s="4496">
        <f t="shared" si="37"/>
        <v>14646</v>
      </c>
      <c r="AV33" s="4894"/>
      <c r="AW33" s="5190">
        <f t="shared" si="38"/>
        <v>3773.65</v>
      </c>
      <c r="AX33" s="5191"/>
      <c r="AY33" s="5502">
        <f t="shared" si="39"/>
        <v>18419.650000000001</v>
      </c>
      <c r="AZ33" s="4894"/>
      <c r="BA33" s="3562">
        <f t="shared" si="6"/>
        <v>0</v>
      </c>
      <c r="BB33" s="3560"/>
      <c r="BC33" s="3560">
        <f t="shared" si="7"/>
        <v>18419.650000000001</v>
      </c>
      <c r="BD33" s="3561"/>
      <c r="BE33" s="3562">
        <f t="shared" si="8"/>
        <v>0</v>
      </c>
      <c r="BF33" s="3559"/>
      <c r="BG33" s="3559">
        <f t="shared" si="9"/>
        <v>18419.650000000001</v>
      </c>
      <c r="BH33" s="3561"/>
      <c r="BI33" s="3562">
        <f t="shared" si="10"/>
        <v>0</v>
      </c>
      <c r="BJ33" s="3559"/>
      <c r="BK33" s="3559">
        <f t="shared" si="11"/>
        <v>18419.650000000001</v>
      </c>
      <c r="BL33" s="3561"/>
      <c r="BM33" s="3562">
        <f t="shared" si="12"/>
        <v>0</v>
      </c>
      <c r="BN33" s="3561"/>
      <c r="BO33" s="3560">
        <f t="shared" si="13"/>
        <v>0</v>
      </c>
      <c r="BP33" s="3561"/>
      <c r="BQ33" s="3578">
        <f t="shared" si="14"/>
        <v>18419.650000000001</v>
      </c>
      <c r="BR33" s="3561"/>
      <c r="BS33" s="3562">
        <f t="shared" si="15"/>
        <v>0</v>
      </c>
      <c r="BT33" s="3559"/>
      <c r="BU33" s="3559">
        <f t="shared" si="16"/>
        <v>18419.650000000001</v>
      </c>
      <c r="BV33" s="3561"/>
      <c r="BW33" s="3562">
        <f t="shared" si="17"/>
        <v>0</v>
      </c>
      <c r="BX33" s="3561"/>
      <c r="BY33" s="3561">
        <f t="shared" si="18"/>
        <v>18419.650000000001</v>
      </c>
      <c r="BZ33" s="3561"/>
      <c r="CA33" s="3562">
        <f t="shared" si="19"/>
        <v>0</v>
      </c>
      <c r="CB33" s="3561"/>
      <c r="CC33" s="3560">
        <f t="shared" si="20"/>
        <v>0</v>
      </c>
      <c r="CD33" s="3559"/>
      <c r="CE33" s="3559">
        <f t="shared" si="21"/>
        <v>18419.650000000001</v>
      </c>
      <c r="CF33" s="3561"/>
      <c r="CG33" s="3562">
        <f t="shared" si="22"/>
        <v>0</v>
      </c>
      <c r="CH33" s="3561"/>
      <c r="CI33" s="3561">
        <f t="shared" si="23"/>
        <v>18419.650000000001</v>
      </c>
      <c r="CJ33" s="3561"/>
      <c r="CK33" s="3562">
        <f t="shared" si="24"/>
        <v>0</v>
      </c>
      <c r="CL33" s="3559"/>
      <c r="CM33" s="3559">
        <f t="shared" si="25"/>
        <v>18419.650000000001</v>
      </c>
      <c r="CN33" s="3561"/>
      <c r="CO33" s="3562">
        <f t="shared" si="26"/>
        <v>0</v>
      </c>
      <c r="CP33" s="3561"/>
      <c r="CQ33" s="3560">
        <f t="shared" si="27"/>
        <v>0</v>
      </c>
      <c r="CR33" s="3561"/>
      <c r="CS33" s="3578">
        <f t="shared" si="28"/>
        <v>0</v>
      </c>
      <c r="CT33" s="3559"/>
      <c r="CU33" s="3580">
        <f t="shared" si="29"/>
        <v>18419.650000000001</v>
      </c>
      <c r="CV33" s="4814"/>
    </row>
    <row r="34" spans="1:100" x14ac:dyDescent="0.3">
      <c r="A34" s="3608"/>
      <c r="B34" s="3608"/>
      <c r="C34" s="3608"/>
      <c r="D34" s="3608"/>
      <c r="E34" s="4175" t="s">
        <v>1921</v>
      </c>
      <c r="F34" s="3589">
        <v>510</v>
      </c>
      <c r="G34" s="3556"/>
      <c r="H34" s="3556"/>
      <c r="I34" s="3596">
        <f t="shared" si="30"/>
        <v>510</v>
      </c>
      <c r="J34" s="3556"/>
      <c r="K34" s="3556"/>
      <c r="L34" s="3556"/>
      <c r="M34" s="3596"/>
      <c r="N34" s="3595">
        <f t="shared" si="31"/>
        <v>510</v>
      </c>
      <c r="O34" s="3553"/>
      <c r="P34" s="3553"/>
      <c r="Q34" s="3556"/>
      <c r="R34" s="3596"/>
      <c r="S34" s="3556"/>
      <c r="T34" s="3556"/>
      <c r="U34" s="3594"/>
      <c r="V34" s="3596"/>
      <c r="W34" s="3595"/>
      <c r="X34" s="3566">
        <f t="shared" si="32"/>
        <v>510</v>
      </c>
      <c r="Y34" s="3565"/>
      <c r="Z34" s="3556"/>
      <c r="AA34" s="3556"/>
      <c r="AB34" s="3596">
        <f t="shared" si="0"/>
        <v>0</v>
      </c>
      <c r="AC34" s="3556"/>
      <c r="AD34" s="3556"/>
      <c r="AE34" s="3556"/>
      <c r="AF34" s="3564">
        <f t="shared" si="1"/>
        <v>0</v>
      </c>
      <c r="AG34" s="3595">
        <f t="shared" si="2"/>
        <v>0</v>
      </c>
      <c r="AH34" s="3553"/>
      <c r="AI34" s="3553"/>
      <c r="AJ34" s="3553"/>
      <c r="AK34" s="3596">
        <f t="shared" si="3"/>
        <v>0</v>
      </c>
      <c r="AL34" s="3556"/>
      <c r="AM34" s="3556"/>
      <c r="AN34" s="3594"/>
      <c r="AO34" s="3596">
        <f t="shared" si="33"/>
        <v>0</v>
      </c>
      <c r="AP34" s="3595">
        <f t="shared" si="34"/>
        <v>0</v>
      </c>
      <c r="AQ34" s="3563">
        <f t="shared" si="35"/>
        <v>0</v>
      </c>
      <c r="AR34" s="3555">
        <f t="shared" si="36"/>
        <v>510</v>
      </c>
      <c r="AS34" s="3593"/>
      <c r="AT34" s="3558"/>
      <c r="AU34" s="4496">
        <f t="shared" si="37"/>
        <v>510</v>
      </c>
      <c r="AV34" s="4894"/>
      <c r="AW34" s="5190">
        <f t="shared" si="38"/>
        <v>0</v>
      </c>
      <c r="AX34" s="5191"/>
      <c r="AY34" s="5502">
        <f t="shared" si="39"/>
        <v>510</v>
      </c>
      <c r="AZ34" s="4894"/>
      <c r="BA34" s="3562">
        <f t="shared" si="6"/>
        <v>0</v>
      </c>
      <c r="BB34" s="3560"/>
      <c r="BC34" s="3560">
        <f t="shared" si="7"/>
        <v>510</v>
      </c>
      <c r="BD34" s="3561"/>
      <c r="BE34" s="3562">
        <f t="shared" si="8"/>
        <v>0</v>
      </c>
      <c r="BF34" s="3559"/>
      <c r="BG34" s="3559">
        <f t="shared" si="9"/>
        <v>510</v>
      </c>
      <c r="BH34" s="3561"/>
      <c r="BI34" s="3562">
        <f t="shared" si="10"/>
        <v>0</v>
      </c>
      <c r="BJ34" s="3559"/>
      <c r="BK34" s="3559">
        <f t="shared" si="11"/>
        <v>510</v>
      </c>
      <c r="BL34" s="3561"/>
      <c r="BM34" s="3562">
        <f t="shared" si="12"/>
        <v>0</v>
      </c>
      <c r="BN34" s="3561"/>
      <c r="BO34" s="3560">
        <f t="shared" si="13"/>
        <v>0</v>
      </c>
      <c r="BP34" s="3561"/>
      <c r="BQ34" s="3578">
        <f t="shared" si="14"/>
        <v>510</v>
      </c>
      <c r="BR34" s="3561"/>
      <c r="BS34" s="3562">
        <f t="shared" si="15"/>
        <v>0</v>
      </c>
      <c r="BT34" s="3559"/>
      <c r="BU34" s="3559">
        <f t="shared" si="16"/>
        <v>510</v>
      </c>
      <c r="BV34" s="3561"/>
      <c r="BW34" s="3562">
        <f t="shared" si="17"/>
        <v>0</v>
      </c>
      <c r="BX34" s="3561"/>
      <c r="BY34" s="3561">
        <f t="shared" si="18"/>
        <v>510</v>
      </c>
      <c r="BZ34" s="3561"/>
      <c r="CA34" s="3562">
        <f t="shared" si="19"/>
        <v>0</v>
      </c>
      <c r="CB34" s="3561"/>
      <c r="CC34" s="3560">
        <f t="shared" si="20"/>
        <v>0</v>
      </c>
      <c r="CD34" s="3559"/>
      <c r="CE34" s="3559">
        <f t="shared" si="21"/>
        <v>510</v>
      </c>
      <c r="CF34" s="3561"/>
      <c r="CG34" s="3562">
        <f t="shared" si="22"/>
        <v>0</v>
      </c>
      <c r="CH34" s="3561"/>
      <c r="CI34" s="3561">
        <f t="shared" si="23"/>
        <v>510</v>
      </c>
      <c r="CJ34" s="3561"/>
      <c r="CK34" s="3562">
        <f t="shared" si="24"/>
        <v>0</v>
      </c>
      <c r="CL34" s="3559"/>
      <c r="CM34" s="3559">
        <f t="shared" si="25"/>
        <v>510</v>
      </c>
      <c r="CN34" s="3561"/>
      <c r="CO34" s="3562">
        <f t="shared" si="26"/>
        <v>0</v>
      </c>
      <c r="CP34" s="3561"/>
      <c r="CQ34" s="3560">
        <f t="shared" si="27"/>
        <v>0</v>
      </c>
      <c r="CR34" s="3561"/>
      <c r="CS34" s="3578">
        <f t="shared" si="28"/>
        <v>0</v>
      </c>
      <c r="CT34" s="3559"/>
      <c r="CU34" s="3580">
        <f t="shared" si="29"/>
        <v>510</v>
      </c>
      <c r="CV34" s="4814"/>
    </row>
    <row r="35" spans="1:100" x14ac:dyDescent="0.3">
      <c r="A35" s="3608"/>
      <c r="B35" s="3608"/>
      <c r="C35" s="3608"/>
      <c r="D35" s="3608"/>
      <c r="E35" s="4175" t="s">
        <v>2006</v>
      </c>
      <c r="F35" s="3589"/>
      <c r="G35" s="3556"/>
      <c r="H35" s="3556"/>
      <c r="I35" s="3596">
        <f t="shared" si="30"/>
        <v>0</v>
      </c>
      <c r="J35" s="3556"/>
      <c r="K35" s="3556"/>
      <c r="L35" s="3556"/>
      <c r="M35" s="3596"/>
      <c r="N35" s="3595">
        <f t="shared" si="31"/>
        <v>0</v>
      </c>
      <c r="O35" s="3553"/>
      <c r="P35" s="3553"/>
      <c r="Q35" s="3556"/>
      <c r="R35" s="3596"/>
      <c r="S35" s="3556"/>
      <c r="T35" s="3556"/>
      <c r="U35" s="3594"/>
      <c r="V35" s="3596"/>
      <c r="W35" s="3595"/>
      <c r="X35" s="3566">
        <f t="shared" si="32"/>
        <v>0</v>
      </c>
      <c r="Y35" s="3565"/>
      <c r="Z35" s="3556"/>
      <c r="AA35" s="3556"/>
      <c r="AB35" s="3596">
        <f t="shared" si="0"/>
        <v>0</v>
      </c>
      <c r="AC35" s="3556"/>
      <c r="AD35" s="3556"/>
      <c r="AE35" s="3556"/>
      <c r="AF35" s="3564">
        <f t="shared" si="1"/>
        <v>0</v>
      </c>
      <c r="AG35" s="3595">
        <f t="shared" si="2"/>
        <v>0</v>
      </c>
      <c r="AH35" s="3553"/>
      <c r="AI35" s="3553"/>
      <c r="AJ35" s="3553"/>
      <c r="AK35" s="3596">
        <f t="shared" si="3"/>
        <v>0</v>
      </c>
      <c r="AL35" s="3556"/>
      <c r="AM35" s="3556"/>
      <c r="AN35" s="3594"/>
      <c r="AO35" s="3596">
        <f t="shared" si="33"/>
        <v>0</v>
      </c>
      <c r="AP35" s="3595">
        <f t="shared" si="34"/>
        <v>0</v>
      </c>
      <c r="AQ35" s="3563">
        <f t="shared" si="35"/>
        <v>0</v>
      </c>
      <c r="AR35" s="3555">
        <f t="shared" si="36"/>
        <v>0</v>
      </c>
      <c r="AS35" s="3593"/>
      <c r="AT35" s="3558"/>
      <c r="AU35" s="4496">
        <f t="shared" ref="AU35" si="65">+F35+Y35</f>
        <v>0</v>
      </c>
      <c r="AV35" s="4894"/>
      <c r="AW35" s="5190">
        <f t="shared" ref="AW35" si="66">+G35+Z35</f>
        <v>0</v>
      </c>
      <c r="AX35" s="5191"/>
      <c r="AY35" s="5502">
        <f t="shared" si="39"/>
        <v>0</v>
      </c>
      <c r="AZ35" s="4894"/>
      <c r="BA35" s="3562">
        <f t="shared" ref="BA35" si="67">+H35+AA35</f>
        <v>0</v>
      </c>
      <c r="BB35" s="3560"/>
      <c r="BC35" s="3560">
        <f t="shared" ref="BC35" si="68">AU35+AW35+BA35</f>
        <v>0</v>
      </c>
      <c r="BD35" s="3561"/>
      <c r="BE35" s="3562">
        <f t="shared" ref="BE35" si="69">+J35+AC35</f>
        <v>0</v>
      </c>
      <c r="BF35" s="3559"/>
      <c r="BG35" s="3559">
        <f t="shared" ref="BG35" si="70">+BC35+BE35</f>
        <v>0</v>
      </c>
      <c r="BH35" s="3561"/>
      <c r="BI35" s="3562">
        <f t="shared" ref="BI35" si="71">K35+AD35</f>
        <v>0</v>
      </c>
      <c r="BJ35" s="3559"/>
      <c r="BK35" s="3559">
        <f t="shared" ref="BK35" si="72">+BG35+BI35</f>
        <v>0</v>
      </c>
      <c r="BL35" s="3561"/>
      <c r="BM35" s="3562">
        <f t="shared" si="12"/>
        <v>0</v>
      </c>
      <c r="BN35" s="3561"/>
      <c r="BO35" s="3560">
        <f t="shared" si="13"/>
        <v>0</v>
      </c>
      <c r="BP35" s="3561"/>
      <c r="BQ35" s="3578">
        <f t="shared" si="14"/>
        <v>0</v>
      </c>
      <c r="BR35" s="3561"/>
      <c r="BS35" s="3562">
        <f t="shared" si="15"/>
        <v>0</v>
      </c>
      <c r="BT35" s="3559"/>
      <c r="BU35" s="3559">
        <f t="shared" si="16"/>
        <v>0</v>
      </c>
      <c r="BV35" s="3561"/>
      <c r="BW35" s="3562">
        <f t="shared" si="17"/>
        <v>0</v>
      </c>
      <c r="BX35" s="3561"/>
      <c r="BY35" s="3561">
        <f t="shared" si="18"/>
        <v>0</v>
      </c>
      <c r="BZ35" s="3561"/>
      <c r="CA35" s="3562">
        <f t="shared" si="19"/>
        <v>0</v>
      </c>
      <c r="CB35" s="3561"/>
      <c r="CC35" s="3560">
        <f t="shared" si="20"/>
        <v>0</v>
      </c>
      <c r="CD35" s="3559"/>
      <c r="CE35" s="3559">
        <f t="shared" si="21"/>
        <v>0</v>
      </c>
      <c r="CF35" s="3561"/>
      <c r="CG35" s="3562">
        <f t="shared" si="22"/>
        <v>0</v>
      </c>
      <c r="CH35" s="3561"/>
      <c r="CI35" s="3561">
        <f t="shared" si="23"/>
        <v>0</v>
      </c>
      <c r="CJ35" s="3561"/>
      <c r="CK35" s="3562">
        <f t="shared" si="24"/>
        <v>0</v>
      </c>
      <c r="CL35" s="3559"/>
      <c r="CM35" s="3559">
        <f t="shared" si="25"/>
        <v>0</v>
      </c>
      <c r="CN35" s="3561"/>
      <c r="CO35" s="3562">
        <f t="shared" si="26"/>
        <v>0</v>
      </c>
      <c r="CP35" s="3561"/>
      <c r="CQ35" s="3560">
        <f t="shared" si="27"/>
        <v>0</v>
      </c>
      <c r="CR35" s="3561"/>
      <c r="CS35" s="3578">
        <f t="shared" si="28"/>
        <v>0</v>
      </c>
      <c r="CT35" s="3559"/>
      <c r="CU35" s="3580">
        <f t="shared" si="29"/>
        <v>0</v>
      </c>
      <c r="CV35" s="4814"/>
    </row>
    <row r="36" spans="1:100" x14ac:dyDescent="0.3">
      <c r="A36" s="3608"/>
      <c r="B36" s="3608"/>
      <c r="C36" s="3608"/>
      <c r="D36" s="3608"/>
      <c r="E36" s="4175" t="s">
        <v>1593</v>
      </c>
      <c r="F36" s="3589">
        <v>334</v>
      </c>
      <c r="G36" s="3556">
        <v>299.76600000000002</v>
      </c>
      <c r="H36" s="3556"/>
      <c r="I36" s="3596">
        <f t="shared" si="30"/>
        <v>633.76600000000008</v>
      </c>
      <c r="J36" s="3556"/>
      <c r="K36" s="3556"/>
      <c r="L36" s="3556"/>
      <c r="M36" s="3596"/>
      <c r="N36" s="3595">
        <f t="shared" si="31"/>
        <v>633.76600000000008</v>
      </c>
      <c r="O36" s="3553"/>
      <c r="P36" s="3553"/>
      <c r="Q36" s="3556"/>
      <c r="R36" s="3596"/>
      <c r="S36" s="3556"/>
      <c r="T36" s="3556"/>
      <c r="U36" s="3594"/>
      <c r="V36" s="3596"/>
      <c r="W36" s="3595"/>
      <c r="X36" s="3566">
        <f t="shared" si="32"/>
        <v>633.76600000000008</v>
      </c>
      <c r="Y36" s="3565"/>
      <c r="Z36" s="3556"/>
      <c r="AA36" s="3556"/>
      <c r="AB36" s="3596">
        <f t="shared" si="0"/>
        <v>0</v>
      </c>
      <c r="AC36" s="3556"/>
      <c r="AD36" s="3556"/>
      <c r="AE36" s="3556"/>
      <c r="AF36" s="3564">
        <f t="shared" si="1"/>
        <v>0</v>
      </c>
      <c r="AG36" s="3595">
        <f t="shared" si="2"/>
        <v>0</v>
      </c>
      <c r="AH36" s="3553"/>
      <c r="AI36" s="3553"/>
      <c r="AJ36" s="3553"/>
      <c r="AK36" s="3596">
        <f t="shared" si="3"/>
        <v>0</v>
      </c>
      <c r="AL36" s="3556"/>
      <c r="AM36" s="3556"/>
      <c r="AN36" s="3594"/>
      <c r="AO36" s="3596">
        <f t="shared" si="33"/>
        <v>0</v>
      </c>
      <c r="AP36" s="3595">
        <f t="shared" si="34"/>
        <v>0</v>
      </c>
      <c r="AQ36" s="3563">
        <f t="shared" si="35"/>
        <v>0</v>
      </c>
      <c r="AR36" s="3555">
        <f t="shared" si="36"/>
        <v>633.76600000000008</v>
      </c>
      <c r="AS36" s="3593"/>
      <c r="AT36" s="3558"/>
      <c r="AU36" s="4496">
        <f t="shared" si="37"/>
        <v>334</v>
      </c>
      <c r="AV36" s="4894"/>
      <c r="AW36" s="5190">
        <f t="shared" si="38"/>
        <v>299.76600000000002</v>
      </c>
      <c r="AX36" s="5191"/>
      <c r="AY36" s="5502">
        <f t="shared" si="39"/>
        <v>633.76600000000008</v>
      </c>
      <c r="AZ36" s="4894"/>
      <c r="BA36" s="3562">
        <f t="shared" si="6"/>
        <v>0</v>
      </c>
      <c r="BB36" s="3560"/>
      <c r="BC36" s="3560">
        <f t="shared" si="7"/>
        <v>633.76600000000008</v>
      </c>
      <c r="BD36" s="3561"/>
      <c r="BE36" s="3562">
        <f t="shared" si="8"/>
        <v>0</v>
      </c>
      <c r="BF36" s="3559"/>
      <c r="BG36" s="3559">
        <f t="shared" si="9"/>
        <v>633.76600000000008</v>
      </c>
      <c r="BH36" s="3561"/>
      <c r="BI36" s="3562">
        <f t="shared" si="10"/>
        <v>0</v>
      </c>
      <c r="BJ36" s="3559"/>
      <c r="BK36" s="3559">
        <f t="shared" si="11"/>
        <v>633.76600000000008</v>
      </c>
      <c r="BL36" s="3561"/>
      <c r="BM36" s="3562">
        <f t="shared" si="12"/>
        <v>0</v>
      </c>
      <c r="BN36" s="3561"/>
      <c r="BO36" s="3560">
        <f t="shared" si="13"/>
        <v>0</v>
      </c>
      <c r="BP36" s="3561"/>
      <c r="BQ36" s="3578">
        <f t="shared" si="14"/>
        <v>633.76600000000008</v>
      </c>
      <c r="BR36" s="3561"/>
      <c r="BS36" s="3562">
        <f t="shared" si="15"/>
        <v>0</v>
      </c>
      <c r="BT36" s="3559"/>
      <c r="BU36" s="3559">
        <f t="shared" si="16"/>
        <v>633.76600000000008</v>
      </c>
      <c r="BV36" s="3561"/>
      <c r="BW36" s="3562">
        <f t="shared" si="17"/>
        <v>0</v>
      </c>
      <c r="BX36" s="3561"/>
      <c r="BY36" s="3561">
        <f t="shared" si="18"/>
        <v>633.76600000000008</v>
      </c>
      <c r="BZ36" s="3561"/>
      <c r="CA36" s="3562">
        <f t="shared" si="19"/>
        <v>0</v>
      </c>
      <c r="CB36" s="3561"/>
      <c r="CC36" s="3560">
        <f t="shared" si="20"/>
        <v>0</v>
      </c>
      <c r="CD36" s="3559"/>
      <c r="CE36" s="3559">
        <f t="shared" si="21"/>
        <v>633.76600000000008</v>
      </c>
      <c r="CF36" s="3561"/>
      <c r="CG36" s="3562">
        <f t="shared" si="22"/>
        <v>0</v>
      </c>
      <c r="CH36" s="3561"/>
      <c r="CI36" s="3561">
        <f t="shared" si="23"/>
        <v>633.76600000000008</v>
      </c>
      <c r="CJ36" s="3561"/>
      <c r="CK36" s="3562">
        <f t="shared" si="24"/>
        <v>0</v>
      </c>
      <c r="CL36" s="3559"/>
      <c r="CM36" s="3559">
        <f t="shared" si="25"/>
        <v>633.76600000000008</v>
      </c>
      <c r="CN36" s="3561"/>
      <c r="CO36" s="3562">
        <f t="shared" si="26"/>
        <v>0</v>
      </c>
      <c r="CP36" s="3561"/>
      <c r="CQ36" s="3560">
        <f t="shared" si="27"/>
        <v>0</v>
      </c>
      <c r="CR36" s="3561"/>
      <c r="CS36" s="3578">
        <f t="shared" si="28"/>
        <v>0</v>
      </c>
      <c r="CT36" s="3559"/>
      <c r="CU36" s="3580">
        <f t="shared" si="29"/>
        <v>633.76600000000008</v>
      </c>
      <c r="CV36" s="4814"/>
    </row>
    <row r="37" spans="1:100" x14ac:dyDescent="0.3">
      <c r="A37" s="3608"/>
      <c r="B37" s="3608"/>
      <c r="C37" s="3608"/>
      <c r="D37" s="3608"/>
      <c r="E37" s="4175" t="s">
        <v>1781</v>
      </c>
      <c r="F37" s="3589"/>
      <c r="G37" s="3556"/>
      <c r="H37" s="3556"/>
      <c r="I37" s="3596">
        <f t="shared" si="30"/>
        <v>0</v>
      </c>
      <c r="J37" s="3556"/>
      <c r="K37" s="3556"/>
      <c r="L37" s="3556"/>
      <c r="M37" s="3596"/>
      <c r="N37" s="3595">
        <f t="shared" si="31"/>
        <v>0</v>
      </c>
      <c r="O37" s="3553"/>
      <c r="P37" s="3553"/>
      <c r="Q37" s="3556"/>
      <c r="R37" s="3596"/>
      <c r="S37" s="3556"/>
      <c r="T37" s="3556"/>
      <c r="U37" s="3594"/>
      <c r="V37" s="3596"/>
      <c r="W37" s="3595"/>
      <c r="X37" s="3566">
        <f t="shared" si="32"/>
        <v>0</v>
      </c>
      <c r="Y37" s="3565"/>
      <c r="Z37" s="3556"/>
      <c r="AA37" s="3556"/>
      <c r="AB37" s="3596">
        <f t="shared" si="0"/>
        <v>0</v>
      </c>
      <c r="AC37" s="3556"/>
      <c r="AD37" s="3556"/>
      <c r="AE37" s="3556"/>
      <c r="AF37" s="3564">
        <f t="shared" si="1"/>
        <v>0</v>
      </c>
      <c r="AG37" s="3595">
        <f t="shared" si="2"/>
        <v>0</v>
      </c>
      <c r="AH37" s="3553"/>
      <c r="AI37" s="3553"/>
      <c r="AJ37" s="3553"/>
      <c r="AK37" s="3596">
        <f t="shared" si="3"/>
        <v>0</v>
      </c>
      <c r="AL37" s="3556"/>
      <c r="AM37" s="3556"/>
      <c r="AN37" s="3594"/>
      <c r="AO37" s="3596">
        <f t="shared" si="33"/>
        <v>0</v>
      </c>
      <c r="AP37" s="3595">
        <f t="shared" si="34"/>
        <v>0</v>
      </c>
      <c r="AQ37" s="3563">
        <f t="shared" si="35"/>
        <v>0</v>
      </c>
      <c r="AR37" s="3555">
        <f t="shared" si="36"/>
        <v>0</v>
      </c>
      <c r="AS37" s="3593"/>
      <c r="AT37" s="3558"/>
      <c r="AU37" s="4496">
        <f t="shared" si="37"/>
        <v>0</v>
      </c>
      <c r="AV37" s="4894"/>
      <c r="AW37" s="5190">
        <f t="shared" si="38"/>
        <v>0</v>
      </c>
      <c r="AX37" s="5191"/>
      <c r="AY37" s="5502">
        <f t="shared" si="39"/>
        <v>0</v>
      </c>
      <c r="AZ37" s="4894"/>
      <c r="BA37" s="3562">
        <f t="shared" si="6"/>
        <v>0</v>
      </c>
      <c r="BB37" s="3560"/>
      <c r="BC37" s="3560">
        <f t="shared" si="7"/>
        <v>0</v>
      </c>
      <c r="BD37" s="3561"/>
      <c r="BE37" s="3562">
        <f t="shared" si="8"/>
        <v>0</v>
      </c>
      <c r="BF37" s="3559"/>
      <c r="BG37" s="3559">
        <f t="shared" si="9"/>
        <v>0</v>
      </c>
      <c r="BH37" s="3561"/>
      <c r="BI37" s="3562">
        <f t="shared" si="10"/>
        <v>0</v>
      </c>
      <c r="BJ37" s="3559"/>
      <c r="BK37" s="3559">
        <f t="shared" si="11"/>
        <v>0</v>
      </c>
      <c r="BL37" s="3561"/>
      <c r="BM37" s="3562">
        <f t="shared" si="12"/>
        <v>0</v>
      </c>
      <c r="BN37" s="3561"/>
      <c r="BO37" s="3560">
        <f t="shared" si="13"/>
        <v>0</v>
      </c>
      <c r="BP37" s="3561"/>
      <c r="BQ37" s="3578">
        <f t="shared" si="14"/>
        <v>0</v>
      </c>
      <c r="BR37" s="3561"/>
      <c r="BS37" s="3562">
        <f t="shared" si="15"/>
        <v>0</v>
      </c>
      <c r="BT37" s="3559"/>
      <c r="BU37" s="3559">
        <f t="shared" si="16"/>
        <v>0</v>
      </c>
      <c r="BV37" s="3561"/>
      <c r="BW37" s="3562">
        <f t="shared" si="17"/>
        <v>0</v>
      </c>
      <c r="BX37" s="3561"/>
      <c r="BY37" s="3561">
        <f t="shared" si="18"/>
        <v>0</v>
      </c>
      <c r="BZ37" s="3561"/>
      <c r="CA37" s="3562">
        <f t="shared" si="19"/>
        <v>0</v>
      </c>
      <c r="CB37" s="3561"/>
      <c r="CC37" s="3560">
        <f t="shared" si="20"/>
        <v>0</v>
      </c>
      <c r="CD37" s="3559"/>
      <c r="CE37" s="3559">
        <f t="shared" si="21"/>
        <v>0</v>
      </c>
      <c r="CF37" s="3561"/>
      <c r="CG37" s="3562">
        <f t="shared" si="22"/>
        <v>0</v>
      </c>
      <c r="CH37" s="3561"/>
      <c r="CI37" s="3561">
        <f t="shared" si="23"/>
        <v>0</v>
      </c>
      <c r="CJ37" s="3561"/>
      <c r="CK37" s="3562">
        <f t="shared" si="24"/>
        <v>0</v>
      </c>
      <c r="CL37" s="3559"/>
      <c r="CM37" s="3559">
        <f t="shared" si="25"/>
        <v>0</v>
      </c>
      <c r="CN37" s="3561"/>
      <c r="CO37" s="3562">
        <f t="shared" si="26"/>
        <v>0</v>
      </c>
      <c r="CP37" s="3561"/>
      <c r="CQ37" s="3560">
        <f t="shared" si="27"/>
        <v>0</v>
      </c>
      <c r="CR37" s="3561"/>
      <c r="CS37" s="3578">
        <f t="shared" si="28"/>
        <v>0</v>
      </c>
      <c r="CT37" s="3559"/>
      <c r="CU37" s="3580">
        <f t="shared" si="29"/>
        <v>0</v>
      </c>
      <c r="CV37" s="4814"/>
    </row>
    <row r="38" spans="1:100" x14ac:dyDescent="0.3">
      <c r="A38" s="3608"/>
      <c r="B38" s="3608"/>
      <c r="C38" s="3608"/>
      <c r="D38" s="3608"/>
      <c r="E38" s="4175" t="s">
        <v>1474</v>
      </c>
      <c r="F38" s="3589"/>
      <c r="G38" s="3556"/>
      <c r="H38" s="3556"/>
      <c r="I38" s="3596">
        <f t="shared" si="30"/>
        <v>0</v>
      </c>
      <c r="J38" s="3556"/>
      <c r="K38" s="3556"/>
      <c r="L38" s="3556"/>
      <c r="M38" s="3596"/>
      <c r="N38" s="3595">
        <f t="shared" si="31"/>
        <v>0</v>
      </c>
      <c r="O38" s="3553"/>
      <c r="P38" s="3553"/>
      <c r="Q38" s="3556"/>
      <c r="R38" s="3596"/>
      <c r="S38" s="3556"/>
      <c r="T38" s="3556"/>
      <c r="U38" s="3594"/>
      <c r="V38" s="3596"/>
      <c r="W38" s="3595"/>
      <c r="X38" s="3566">
        <f t="shared" si="32"/>
        <v>0</v>
      </c>
      <c r="Y38" s="3565"/>
      <c r="Z38" s="3556"/>
      <c r="AA38" s="3556"/>
      <c r="AB38" s="3596">
        <f t="shared" si="0"/>
        <v>0</v>
      </c>
      <c r="AC38" s="3556"/>
      <c r="AD38" s="3556"/>
      <c r="AE38" s="3556"/>
      <c r="AF38" s="3564">
        <f t="shared" si="1"/>
        <v>0</v>
      </c>
      <c r="AG38" s="3595">
        <f t="shared" si="2"/>
        <v>0</v>
      </c>
      <c r="AH38" s="3553"/>
      <c r="AI38" s="3553"/>
      <c r="AJ38" s="3553"/>
      <c r="AK38" s="3596">
        <f t="shared" si="3"/>
        <v>0</v>
      </c>
      <c r="AL38" s="3556"/>
      <c r="AM38" s="3556"/>
      <c r="AN38" s="3594"/>
      <c r="AO38" s="3596">
        <f t="shared" si="33"/>
        <v>0</v>
      </c>
      <c r="AP38" s="3595">
        <f t="shared" si="34"/>
        <v>0</v>
      </c>
      <c r="AQ38" s="3563">
        <f t="shared" si="35"/>
        <v>0</v>
      </c>
      <c r="AR38" s="3555">
        <f t="shared" si="36"/>
        <v>0</v>
      </c>
      <c r="AS38" s="3593"/>
      <c r="AT38" s="3558"/>
      <c r="AU38" s="4496">
        <f t="shared" si="37"/>
        <v>0</v>
      </c>
      <c r="AV38" s="4894"/>
      <c r="AW38" s="5190">
        <f t="shared" si="38"/>
        <v>0</v>
      </c>
      <c r="AX38" s="5191"/>
      <c r="AY38" s="5502">
        <f t="shared" si="39"/>
        <v>0</v>
      </c>
      <c r="AZ38" s="4894"/>
      <c r="BA38" s="3562">
        <f t="shared" si="6"/>
        <v>0</v>
      </c>
      <c r="BB38" s="3560"/>
      <c r="BC38" s="3560">
        <f t="shared" si="7"/>
        <v>0</v>
      </c>
      <c r="BD38" s="3561"/>
      <c r="BE38" s="3562">
        <f t="shared" si="8"/>
        <v>0</v>
      </c>
      <c r="BF38" s="3559"/>
      <c r="BG38" s="3559">
        <f t="shared" si="9"/>
        <v>0</v>
      </c>
      <c r="BH38" s="3561"/>
      <c r="BI38" s="3562">
        <f t="shared" si="10"/>
        <v>0</v>
      </c>
      <c r="BJ38" s="3559"/>
      <c r="BK38" s="3559">
        <f t="shared" si="11"/>
        <v>0</v>
      </c>
      <c r="BL38" s="3561"/>
      <c r="BM38" s="3562">
        <f t="shared" si="12"/>
        <v>0</v>
      </c>
      <c r="BN38" s="3561"/>
      <c r="BO38" s="3560">
        <f t="shared" si="13"/>
        <v>0</v>
      </c>
      <c r="BP38" s="3561"/>
      <c r="BQ38" s="3578">
        <f t="shared" si="14"/>
        <v>0</v>
      </c>
      <c r="BR38" s="3561"/>
      <c r="BS38" s="3562">
        <f t="shared" si="15"/>
        <v>0</v>
      </c>
      <c r="BT38" s="3559"/>
      <c r="BU38" s="3559">
        <f t="shared" si="16"/>
        <v>0</v>
      </c>
      <c r="BV38" s="3561"/>
      <c r="BW38" s="3562">
        <f t="shared" si="17"/>
        <v>0</v>
      </c>
      <c r="BX38" s="3561"/>
      <c r="BY38" s="3561">
        <f t="shared" si="18"/>
        <v>0</v>
      </c>
      <c r="BZ38" s="3561"/>
      <c r="CA38" s="3562">
        <f t="shared" si="19"/>
        <v>0</v>
      </c>
      <c r="CB38" s="3561"/>
      <c r="CC38" s="3560">
        <f t="shared" si="20"/>
        <v>0</v>
      </c>
      <c r="CD38" s="3559"/>
      <c r="CE38" s="3559">
        <f t="shared" si="21"/>
        <v>0</v>
      </c>
      <c r="CF38" s="3561"/>
      <c r="CG38" s="3562">
        <f t="shared" si="22"/>
        <v>0</v>
      </c>
      <c r="CH38" s="3561"/>
      <c r="CI38" s="3561">
        <f t="shared" si="23"/>
        <v>0</v>
      </c>
      <c r="CJ38" s="3561"/>
      <c r="CK38" s="3562">
        <f t="shared" si="24"/>
        <v>0</v>
      </c>
      <c r="CL38" s="3559"/>
      <c r="CM38" s="3559">
        <f t="shared" si="25"/>
        <v>0</v>
      </c>
      <c r="CN38" s="3561"/>
      <c r="CO38" s="3562">
        <f t="shared" si="26"/>
        <v>0</v>
      </c>
      <c r="CP38" s="3561"/>
      <c r="CQ38" s="3560">
        <f t="shared" si="27"/>
        <v>0</v>
      </c>
      <c r="CR38" s="3561"/>
      <c r="CS38" s="3578">
        <f t="shared" si="28"/>
        <v>0</v>
      </c>
      <c r="CT38" s="3559"/>
      <c r="CU38" s="3580">
        <f t="shared" si="29"/>
        <v>0</v>
      </c>
      <c r="CV38" s="4814"/>
    </row>
    <row r="39" spans="1:100" x14ac:dyDescent="0.3">
      <c r="A39" s="3608"/>
      <c r="B39" s="3608"/>
      <c r="C39" s="3608"/>
      <c r="D39" s="3608"/>
      <c r="E39" s="4175" t="s">
        <v>1780</v>
      </c>
      <c r="F39" s="3589"/>
      <c r="G39" s="3556"/>
      <c r="H39" s="3556"/>
      <c r="I39" s="3596">
        <f t="shared" si="30"/>
        <v>0</v>
      </c>
      <c r="J39" s="3556"/>
      <c r="K39" s="3556"/>
      <c r="L39" s="3556"/>
      <c r="M39" s="3596"/>
      <c r="N39" s="3595">
        <f t="shared" si="31"/>
        <v>0</v>
      </c>
      <c r="O39" s="3553"/>
      <c r="P39" s="3553"/>
      <c r="Q39" s="3556"/>
      <c r="R39" s="3596"/>
      <c r="S39" s="3556"/>
      <c r="T39" s="3556"/>
      <c r="U39" s="3594"/>
      <c r="V39" s="3596"/>
      <c r="W39" s="3595"/>
      <c r="X39" s="3566">
        <f t="shared" si="32"/>
        <v>0</v>
      </c>
      <c r="Y39" s="3565"/>
      <c r="Z39" s="3556"/>
      <c r="AA39" s="3556"/>
      <c r="AB39" s="3596">
        <f t="shared" si="0"/>
        <v>0</v>
      </c>
      <c r="AC39" s="3556"/>
      <c r="AD39" s="3556"/>
      <c r="AE39" s="3556"/>
      <c r="AF39" s="3564">
        <f t="shared" si="1"/>
        <v>0</v>
      </c>
      <c r="AG39" s="3595">
        <f t="shared" si="2"/>
        <v>0</v>
      </c>
      <c r="AH39" s="3553"/>
      <c r="AI39" s="3553"/>
      <c r="AJ39" s="3553"/>
      <c r="AK39" s="3596">
        <f t="shared" si="3"/>
        <v>0</v>
      </c>
      <c r="AL39" s="3556"/>
      <c r="AM39" s="3556"/>
      <c r="AN39" s="3594"/>
      <c r="AO39" s="3596">
        <f t="shared" si="33"/>
        <v>0</v>
      </c>
      <c r="AP39" s="3595">
        <f t="shared" si="34"/>
        <v>0</v>
      </c>
      <c r="AQ39" s="3563">
        <f t="shared" si="35"/>
        <v>0</v>
      </c>
      <c r="AR39" s="3555">
        <f t="shared" si="36"/>
        <v>0</v>
      </c>
      <c r="AS39" s="3593"/>
      <c r="AT39" s="3558"/>
      <c r="AU39" s="4496">
        <f t="shared" si="37"/>
        <v>0</v>
      </c>
      <c r="AV39" s="4894"/>
      <c r="AW39" s="5190">
        <f t="shared" si="38"/>
        <v>0</v>
      </c>
      <c r="AX39" s="5191"/>
      <c r="AY39" s="5502">
        <f t="shared" si="39"/>
        <v>0</v>
      </c>
      <c r="AZ39" s="4894"/>
      <c r="BA39" s="3562">
        <f t="shared" si="6"/>
        <v>0</v>
      </c>
      <c r="BB39" s="3560"/>
      <c r="BC39" s="3560">
        <f t="shared" si="7"/>
        <v>0</v>
      </c>
      <c r="BD39" s="3561"/>
      <c r="BE39" s="3562">
        <f t="shared" si="8"/>
        <v>0</v>
      </c>
      <c r="BF39" s="3559"/>
      <c r="BG39" s="3559">
        <f t="shared" si="9"/>
        <v>0</v>
      </c>
      <c r="BH39" s="3561"/>
      <c r="BI39" s="3562">
        <f t="shared" si="10"/>
        <v>0</v>
      </c>
      <c r="BJ39" s="3559"/>
      <c r="BK39" s="3559">
        <f t="shared" si="11"/>
        <v>0</v>
      </c>
      <c r="BL39" s="3561"/>
      <c r="BM39" s="3562">
        <f t="shared" si="12"/>
        <v>0</v>
      </c>
      <c r="BN39" s="3561"/>
      <c r="BO39" s="3560">
        <f t="shared" si="13"/>
        <v>0</v>
      </c>
      <c r="BP39" s="3561"/>
      <c r="BQ39" s="3578">
        <f t="shared" si="14"/>
        <v>0</v>
      </c>
      <c r="BR39" s="3561"/>
      <c r="BS39" s="3562">
        <f t="shared" si="15"/>
        <v>0</v>
      </c>
      <c r="BT39" s="3559"/>
      <c r="BU39" s="3559">
        <f t="shared" si="16"/>
        <v>0</v>
      </c>
      <c r="BV39" s="3561"/>
      <c r="BW39" s="3562">
        <f t="shared" si="17"/>
        <v>0</v>
      </c>
      <c r="BX39" s="3561"/>
      <c r="BY39" s="3561">
        <f t="shared" si="18"/>
        <v>0</v>
      </c>
      <c r="BZ39" s="3561"/>
      <c r="CA39" s="3562">
        <f t="shared" si="19"/>
        <v>0</v>
      </c>
      <c r="CB39" s="3561"/>
      <c r="CC39" s="3560">
        <f t="shared" si="20"/>
        <v>0</v>
      </c>
      <c r="CD39" s="3559"/>
      <c r="CE39" s="3559">
        <f t="shared" si="21"/>
        <v>0</v>
      </c>
      <c r="CF39" s="3561"/>
      <c r="CG39" s="3562">
        <f t="shared" si="22"/>
        <v>0</v>
      </c>
      <c r="CH39" s="3561"/>
      <c r="CI39" s="3561">
        <f t="shared" si="23"/>
        <v>0</v>
      </c>
      <c r="CJ39" s="3561"/>
      <c r="CK39" s="3562">
        <f t="shared" si="24"/>
        <v>0</v>
      </c>
      <c r="CL39" s="3559"/>
      <c r="CM39" s="3559">
        <f t="shared" si="25"/>
        <v>0</v>
      </c>
      <c r="CN39" s="3561"/>
      <c r="CO39" s="3562">
        <f t="shared" si="26"/>
        <v>0</v>
      </c>
      <c r="CP39" s="3561"/>
      <c r="CQ39" s="3560">
        <f t="shared" si="27"/>
        <v>0</v>
      </c>
      <c r="CR39" s="3561"/>
      <c r="CS39" s="3578">
        <f t="shared" si="28"/>
        <v>0</v>
      </c>
      <c r="CT39" s="3559"/>
      <c r="CU39" s="3580">
        <f t="shared" si="29"/>
        <v>0</v>
      </c>
      <c r="CV39" s="4814"/>
    </row>
    <row r="40" spans="1:100" x14ac:dyDescent="0.3">
      <c r="A40" s="3608"/>
      <c r="B40" s="3608"/>
      <c r="C40" s="3608"/>
      <c r="D40" s="3608"/>
      <c r="E40" s="4175" t="s">
        <v>1392</v>
      </c>
      <c r="F40" s="3589"/>
      <c r="G40" s="3556"/>
      <c r="H40" s="3556"/>
      <c r="I40" s="3596">
        <f t="shared" si="30"/>
        <v>0</v>
      </c>
      <c r="J40" s="3556"/>
      <c r="K40" s="3556"/>
      <c r="L40" s="3556"/>
      <c r="M40" s="3596"/>
      <c r="N40" s="3595">
        <f t="shared" si="31"/>
        <v>0</v>
      </c>
      <c r="O40" s="3553"/>
      <c r="P40" s="3553"/>
      <c r="Q40" s="3556"/>
      <c r="R40" s="3596"/>
      <c r="S40" s="3556"/>
      <c r="T40" s="3556"/>
      <c r="U40" s="3594"/>
      <c r="V40" s="3596"/>
      <c r="W40" s="3595"/>
      <c r="X40" s="3566">
        <f t="shared" si="32"/>
        <v>0</v>
      </c>
      <c r="Y40" s="3565"/>
      <c r="Z40" s="3556"/>
      <c r="AA40" s="3556"/>
      <c r="AB40" s="3596">
        <f t="shared" si="0"/>
        <v>0</v>
      </c>
      <c r="AC40" s="3556"/>
      <c r="AD40" s="3556"/>
      <c r="AE40" s="3556"/>
      <c r="AF40" s="3564">
        <f t="shared" si="1"/>
        <v>0</v>
      </c>
      <c r="AG40" s="3595">
        <f t="shared" si="2"/>
        <v>0</v>
      </c>
      <c r="AH40" s="3553"/>
      <c r="AI40" s="3553"/>
      <c r="AJ40" s="3553"/>
      <c r="AK40" s="3596">
        <f t="shared" si="3"/>
        <v>0</v>
      </c>
      <c r="AL40" s="3556"/>
      <c r="AM40" s="3556"/>
      <c r="AN40" s="3594"/>
      <c r="AO40" s="3596">
        <f t="shared" si="33"/>
        <v>0</v>
      </c>
      <c r="AP40" s="3595">
        <f t="shared" si="34"/>
        <v>0</v>
      </c>
      <c r="AQ40" s="3563">
        <f t="shared" si="35"/>
        <v>0</v>
      </c>
      <c r="AR40" s="3555">
        <f t="shared" si="36"/>
        <v>0</v>
      </c>
      <c r="AS40" s="3593"/>
      <c r="AT40" s="3558"/>
      <c r="AU40" s="4496">
        <f t="shared" si="37"/>
        <v>0</v>
      </c>
      <c r="AV40" s="4894"/>
      <c r="AW40" s="5190">
        <f t="shared" si="38"/>
        <v>0</v>
      </c>
      <c r="AX40" s="5191"/>
      <c r="AY40" s="5502">
        <f t="shared" si="39"/>
        <v>0</v>
      </c>
      <c r="AZ40" s="4894"/>
      <c r="BA40" s="3562">
        <f t="shared" si="6"/>
        <v>0</v>
      </c>
      <c r="BB40" s="3560"/>
      <c r="BC40" s="3560">
        <f t="shared" si="7"/>
        <v>0</v>
      </c>
      <c r="BD40" s="3561"/>
      <c r="BE40" s="3562">
        <f t="shared" si="8"/>
        <v>0</v>
      </c>
      <c r="BF40" s="3559"/>
      <c r="BG40" s="3559">
        <f t="shared" si="9"/>
        <v>0</v>
      </c>
      <c r="BH40" s="3561"/>
      <c r="BI40" s="3562">
        <f t="shared" si="10"/>
        <v>0</v>
      </c>
      <c r="BJ40" s="3559"/>
      <c r="BK40" s="3559">
        <f t="shared" si="11"/>
        <v>0</v>
      </c>
      <c r="BL40" s="3561"/>
      <c r="BM40" s="3562">
        <f t="shared" si="12"/>
        <v>0</v>
      </c>
      <c r="BN40" s="3561"/>
      <c r="BO40" s="3560">
        <f t="shared" si="13"/>
        <v>0</v>
      </c>
      <c r="BP40" s="3561"/>
      <c r="BQ40" s="3578">
        <f t="shared" si="14"/>
        <v>0</v>
      </c>
      <c r="BR40" s="3561"/>
      <c r="BS40" s="3562">
        <f t="shared" si="15"/>
        <v>0</v>
      </c>
      <c r="BT40" s="3559"/>
      <c r="BU40" s="3559">
        <f t="shared" si="16"/>
        <v>0</v>
      </c>
      <c r="BV40" s="3561"/>
      <c r="BW40" s="3562">
        <f t="shared" si="17"/>
        <v>0</v>
      </c>
      <c r="BX40" s="3561"/>
      <c r="BY40" s="3561">
        <f t="shared" si="18"/>
        <v>0</v>
      </c>
      <c r="BZ40" s="3561"/>
      <c r="CA40" s="3562">
        <f t="shared" si="19"/>
        <v>0</v>
      </c>
      <c r="CB40" s="3561"/>
      <c r="CC40" s="3560">
        <f t="shared" si="20"/>
        <v>0</v>
      </c>
      <c r="CD40" s="3559"/>
      <c r="CE40" s="3559">
        <f t="shared" si="21"/>
        <v>0</v>
      </c>
      <c r="CF40" s="3561"/>
      <c r="CG40" s="3562">
        <f t="shared" si="22"/>
        <v>0</v>
      </c>
      <c r="CH40" s="3561"/>
      <c r="CI40" s="3561">
        <f t="shared" si="23"/>
        <v>0</v>
      </c>
      <c r="CJ40" s="3561"/>
      <c r="CK40" s="3562">
        <f t="shared" si="24"/>
        <v>0</v>
      </c>
      <c r="CL40" s="3559"/>
      <c r="CM40" s="3559">
        <f t="shared" si="25"/>
        <v>0</v>
      </c>
      <c r="CN40" s="3561"/>
      <c r="CO40" s="3562">
        <f t="shared" si="26"/>
        <v>0</v>
      </c>
      <c r="CP40" s="3561"/>
      <c r="CQ40" s="3560">
        <f t="shared" si="27"/>
        <v>0</v>
      </c>
      <c r="CR40" s="3561"/>
      <c r="CS40" s="3578">
        <f t="shared" si="28"/>
        <v>0</v>
      </c>
      <c r="CT40" s="3559"/>
      <c r="CU40" s="3580">
        <f t="shared" si="29"/>
        <v>0</v>
      </c>
      <c r="CV40" s="4814"/>
    </row>
    <row r="41" spans="1:100" x14ac:dyDescent="0.3">
      <c r="A41" s="3608"/>
      <c r="B41" s="3608"/>
      <c r="C41" s="3608"/>
      <c r="D41" s="3608"/>
      <c r="E41" s="4175" t="s">
        <v>1393</v>
      </c>
      <c r="F41" s="3589"/>
      <c r="G41" s="3556"/>
      <c r="H41" s="3556"/>
      <c r="I41" s="3596">
        <f t="shared" si="30"/>
        <v>0</v>
      </c>
      <c r="J41" s="3556"/>
      <c r="K41" s="3556"/>
      <c r="L41" s="3556"/>
      <c r="M41" s="3596"/>
      <c r="N41" s="3595">
        <f t="shared" si="31"/>
        <v>0</v>
      </c>
      <c r="O41" s="3553"/>
      <c r="P41" s="3553"/>
      <c r="Q41" s="3556"/>
      <c r="R41" s="3596"/>
      <c r="S41" s="3556"/>
      <c r="T41" s="3556"/>
      <c r="U41" s="3594"/>
      <c r="V41" s="3596"/>
      <c r="W41" s="3595"/>
      <c r="X41" s="3566">
        <f t="shared" si="32"/>
        <v>0</v>
      </c>
      <c r="Y41" s="3565"/>
      <c r="Z41" s="3556"/>
      <c r="AA41" s="3556"/>
      <c r="AB41" s="3596">
        <f t="shared" si="0"/>
        <v>0</v>
      </c>
      <c r="AC41" s="3556"/>
      <c r="AD41" s="3556"/>
      <c r="AE41" s="3556"/>
      <c r="AF41" s="3564">
        <f t="shared" si="1"/>
        <v>0</v>
      </c>
      <c r="AG41" s="3595">
        <f t="shared" si="2"/>
        <v>0</v>
      </c>
      <c r="AH41" s="3553"/>
      <c r="AI41" s="3553"/>
      <c r="AJ41" s="3553"/>
      <c r="AK41" s="3596">
        <f t="shared" si="3"/>
        <v>0</v>
      </c>
      <c r="AL41" s="3556"/>
      <c r="AM41" s="3556"/>
      <c r="AN41" s="3594"/>
      <c r="AO41" s="3596">
        <f t="shared" si="33"/>
        <v>0</v>
      </c>
      <c r="AP41" s="3595">
        <f t="shared" si="34"/>
        <v>0</v>
      </c>
      <c r="AQ41" s="3563">
        <f t="shared" si="35"/>
        <v>0</v>
      </c>
      <c r="AR41" s="3555">
        <f t="shared" si="36"/>
        <v>0</v>
      </c>
      <c r="AS41" s="3593"/>
      <c r="AT41" s="3558"/>
      <c r="AU41" s="4496">
        <f t="shared" si="37"/>
        <v>0</v>
      </c>
      <c r="AV41" s="4894"/>
      <c r="AW41" s="5190">
        <f t="shared" si="38"/>
        <v>0</v>
      </c>
      <c r="AX41" s="5191"/>
      <c r="AY41" s="5502">
        <f t="shared" si="39"/>
        <v>0</v>
      </c>
      <c r="AZ41" s="4894"/>
      <c r="BA41" s="3562">
        <f t="shared" si="6"/>
        <v>0</v>
      </c>
      <c r="BB41" s="3560"/>
      <c r="BC41" s="3560">
        <f t="shared" si="7"/>
        <v>0</v>
      </c>
      <c r="BD41" s="3561"/>
      <c r="BE41" s="3562">
        <f t="shared" si="8"/>
        <v>0</v>
      </c>
      <c r="BF41" s="3559"/>
      <c r="BG41" s="3559">
        <f t="shared" si="9"/>
        <v>0</v>
      </c>
      <c r="BH41" s="3561"/>
      <c r="BI41" s="3562">
        <f t="shared" si="10"/>
        <v>0</v>
      </c>
      <c r="BJ41" s="3559"/>
      <c r="BK41" s="3559">
        <f t="shared" si="11"/>
        <v>0</v>
      </c>
      <c r="BL41" s="3561"/>
      <c r="BM41" s="3562">
        <f t="shared" si="12"/>
        <v>0</v>
      </c>
      <c r="BN41" s="3561"/>
      <c r="BO41" s="3560">
        <f t="shared" si="13"/>
        <v>0</v>
      </c>
      <c r="BP41" s="3561"/>
      <c r="BQ41" s="3578">
        <f t="shared" si="14"/>
        <v>0</v>
      </c>
      <c r="BR41" s="3561"/>
      <c r="BS41" s="3562">
        <f t="shared" si="15"/>
        <v>0</v>
      </c>
      <c r="BT41" s="3559"/>
      <c r="BU41" s="3559">
        <f t="shared" si="16"/>
        <v>0</v>
      </c>
      <c r="BV41" s="3561"/>
      <c r="BW41" s="3562">
        <f t="shared" si="17"/>
        <v>0</v>
      </c>
      <c r="BX41" s="3561"/>
      <c r="BY41" s="3561">
        <f t="shared" si="18"/>
        <v>0</v>
      </c>
      <c r="BZ41" s="3561"/>
      <c r="CA41" s="3562">
        <f t="shared" si="19"/>
        <v>0</v>
      </c>
      <c r="CB41" s="3561"/>
      <c r="CC41" s="3560">
        <f t="shared" si="20"/>
        <v>0</v>
      </c>
      <c r="CD41" s="3559"/>
      <c r="CE41" s="3559">
        <f t="shared" si="21"/>
        <v>0</v>
      </c>
      <c r="CF41" s="3561"/>
      <c r="CG41" s="3562">
        <f t="shared" si="22"/>
        <v>0</v>
      </c>
      <c r="CH41" s="3561"/>
      <c r="CI41" s="3561">
        <f t="shared" si="23"/>
        <v>0</v>
      </c>
      <c r="CJ41" s="3561"/>
      <c r="CK41" s="3562">
        <f t="shared" si="24"/>
        <v>0</v>
      </c>
      <c r="CL41" s="3559"/>
      <c r="CM41" s="3559">
        <f t="shared" si="25"/>
        <v>0</v>
      </c>
      <c r="CN41" s="3561"/>
      <c r="CO41" s="3562">
        <f t="shared" si="26"/>
        <v>0</v>
      </c>
      <c r="CP41" s="3561"/>
      <c r="CQ41" s="3560">
        <f t="shared" si="27"/>
        <v>0</v>
      </c>
      <c r="CR41" s="3561"/>
      <c r="CS41" s="3578">
        <f t="shared" si="28"/>
        <v>0</v>
      </c>
      <c r="CT41" s="3559"/>
      <c r="CU41" s="3580">
        <f t="shared" si="29"/>
        <v>0</v>
      </c>
      <c r="CV41" s="4814"/>
    </row>
    <row r="42" spans="1:100" s="3585" customFormat="1" x14ac:dyDescent="0.3">
      <c r="A42" s="3575"/>
      <c r="B42" s="3575"/>
      <c r="C42" s="3575"/>
      <c r="D42" s="3575"/>
      <c r="E42" s="4175" t="s">
        <v>1866</v>
      </c>
      <c r="F42" s="5488"/>
      <c r="G42" s="3556"/>
      <c r="H42" s="3556"/>
      <c r="I42" s="3556">
        <f t="shared" si="30"/>
        <v>0</v>
      </c>
      <c r="J42" s="3556"/>
      <c r="K42" s="3556"/>
      <c r="L42" s="3556"/>
      <c r="M42" s="3556"/>
      <c r="N42" s="3556">
        <f t="shared" si="31"/>
        <v>0</v>
      </c>
      <c r="O42" s="3556"/>
      <c r="P42" s="3556"/>
      <c r="Q42" s="3556"/>
      <c r="R42" s="3556"/>
      <c r="S42" s="3556"/>
      <c r="T42" s="3556"/>
      <c r="U42" s="5489"/>
      <c r="V42" s="3556"/>
      <c r="W42" s="3556"/>
      <c r="X42" s="5490">
        <f t="shared" si="32"/>
        <v>0</v>
      </c>
      <c r="Y42" s="5491"/>
      <c r="Z42" s="3556"/>
      <c r="AA42" s="3556"/>
      <c r="AB42" s="3556">
        <f t="shared" si="0"/>
        <v>0</v>
      </c>
      <c r="AC42" s="3556"/>
      <c r="AD42" s="3556"/>
      <c r="AE42" s="3556"/>
      <c r="AF42" s="5491">
        <f t="shared" si="1"/>
        <v>0</v>
      </c>
      <c r="AG42" s="3556">
        <f t="shared" si="2"/>
        <v>0</v>
      </c>
      <c r="AH42" s="3556"/>
      <c r="AI42" s="3556"/>
      <c r="AJ42" s="3556"/>
      <c r="AK42" s="3556">
        <f t="shared" si="3"/>
        <v>0</v>
      </c>
      <c r="AL42" s="3556"/>
      <c r="AM42" s="3556"/>
      <c r="AN42" s="5489"/>
      <c r="AO42" s="3556">
        <f t="shared" si="33"/>
        <v>0</v>
      </c>
      <c r="AP42" s="3556">
        <f t="shared" si="34"/>
        <v>0</v>
      </c>
      <c r="AQ42" s="5492">
        <f t="shared" si="35"/>
        <v>0</v>
      </c>
      <c r="AR42" s="3555">
        <f t="shared" si="36"/>
        <v>0</v>
      </c>
      <c r="AS42" s="3593"/>
      <c r="AT42" s="5493"/>
      <c r="AU42" s="4496">
        <f t="shared" si="37"/>
        <v>0</v>
      </c>
      <c r="AV42" s="4894"/>
      <c r="AW42" s="5190">
        <f t="shared" si="38"/>
        <v>0</v>
      </c>
      <c r="AX42" s="5191"/>
      <c r="AY42" s="5502">
        <f t="shared" si="39"/>
        <v>0</v>
      </c>
      <c r="AZ42" s="4894"/>
      <c r="BA42" s="3562">
        <f t="shared" si="6"/>
        <v>0</v>
      </c>
      <c r="BB42" s="4309"/>
      <c r="BC42" s="3561">
        <f t="shared" si="7"/>
        <v>0</v>
      </c>
      <c r="BD42" s="4309"/>
      <c r="BE42" s="3562">
        <f t="shared" si="8"/>
        <v>0</v>
      </c>
      <c r="BF42" s="4309"/>
      <c r="BG42" s="3561">
        <f t="shared" si="9"/>
        <v>0</v>
      </c>
      <c r="BH42" s="4309"/>
      <c r="BI42" s="3562">
        <f t="shared" si="10"/>
        <v>0</v>
      </c>
      <c r="BJ42" s="4309"/>
      <c r="BK42" s="3561">
        <f t="shared" si="11"/>
        <v>0</v>
      </c>
      <c r="BL42" s="4309"/>
      <c r="BM42" s="3562">
        <f t="shared" si="12"/>
        <v>0</v>
      </c>
      <c r="BN42" s="4309"/>
      <c r="BO42" s="3561">
        <f t="shared" si="13"/>
        <v>0</v>
      </c>
      <c r="BP42" s="4309"/>
      <c r="BQ42" s="3561">
        <f t="shared" si="14"/>
        <v>0</v>
      </c>
      <c r="BR42" s="4309"/>
      <c r="BS42" s="3562">
        <f t="shared" si="15"/>
        <v>0</v>
      </c>
      <c r="BT42" s="4309"/>
      <c r="BU42" s="3561">
        <f t="shared" si="16"/>
        <v>0</v>
      </c>
      <c r="BV42" s="4309"/>
      <c r="BW42" s="3562">
        <f t="shared" si="17"/>
        <v>0</v>
      </c>
      <c r="BX42" s="4309"/>
      <c r="BY42" s="3561">
        <f t="shared" si="18"/>
        <v>0</v>
      </c>
      <c r="BZ42" s="4309"/>
      <c r="CA42" s="3562">
        <f t="shared" si="19"/>
        <v>0</v>
      </c>
      <c r="CB42" s="4309"/>
      <c r="CC42" s="3561">
        <f t="shared" si="20"/>
        <v>0</v>
      </c>
      <c r="CD42" s="4309"/>
      <c r="CE42" s="3561">
        <f t="shared" si="21"/>
        <v>0</v>
      </c>
      <c r="CF42" s="4309"/>
      <c r="CG42" s="3562">
        <f t="shared" si="22"/>
        <v>0</v>
      </c>
      <c r="CH42" s="4309"/>
      <c r="CI42" s="3561">
        <f t="shared" si="23"/>
        <v>0</v>
      </c>
      <c r="CJ42" s="4309"/>
      <c r="CK42" s="4309">
        <f t="shared" si="24"/>
        <v>0</v>
      </c>
      <c r="CL42" s="4309"/>
      <c r="CM42" s="4309">
        <f t="shared" si="25"/>
        <v>0</v>
      </c>
      <c r="CN42" s="4309"/>
      <c r="CO42" s="3562">
        <f t="shared" si="26"/>
        <v>0</v>
      </c>
      <c r="CP42" s="4309"/>
      <c r="CQ42" s="3561">
        <f t="shared" si="27"/>
        <v>0</v>
      </c>
      <c r="CR42" s="4309"/>
      <c r="CS42" s="3561">
        <f t="shared" si="28"/>
        <v>0</v>
      </c>
      <c r="CT42" s="4309"/>
      <c r="CU42" s="5494">
        <f t="shared" si="29"/>
        <v>0</v>
      </c>
      <c r="CV42" s="5495"/>
    </row>
    <row r="43" spans="1:100" s="3585" customFormat="1" x14ac:dyDescent="0.3">
      <c r="A43" s="3575"/>
      <c r="B43" s="3575"/>
      <c r="C43" s="3575"/>
      <c r="D43" s="3575"/>
      <c r="E43" s="4175" t="s">
        <v>1158</v>
      </c>
      <c r="F43" s="5488">
        <v>3712</v>
      </c>
      <c r="G43" s="3556"/>
      <c r="H43" s="3556"/>
      <c r="I43" s="3556">
        <f t="shared" si="30"/>
        <v>3712</v>
      </c>
      <c r="J43" s="3556"/>
      <c r="K43" s="3556"/>
      <c r="L43" s="3556"/>
      <c r="M43" s="3556"/>
      <c r="N43" s="3556">
        <f t="shared" si="31"/>
        <v>3712</v>
      </c>
      <c r="O43" s="3556"/>
      <c r="P43" s="3556"/>
      <c r="Q43" s="3556"/>
      <c r="R43" s="3556"/>
      <c r="S43" s="3556"/>
      <c r="T43" s="3556"/>
      <c r="U43" s="5489"/>
      <c r="V43" s="3556"/>
      <c r="W43" s="3556"/>
      <c r="X43" s="5490">
        <f t="shared" si="32"/>
        <v>3712</v>
      </c>
      <c r="Y43" s="5491"/>
      <c r="Z43" s="3556"/>
      <c r="AA43" s="3556"/>
      <c r="AB43" s="3556">
        <f t="shared" si="0"/>
        <v>0</v>
      </c>
      <c r="AC43" s="3556"/>
      <c r="AD43" s="3556"/>
      <c r="AE43" s="3556"/>
      <c r="AF43" s="5491">
        <f t="shared" si="1"/>
        <v>0</v>
      </c>
      <c r="AG43" s="3556">
        <f t="shared" si="2"/>
        <v>0</v>
      </c>
      <c r="AH43" s="3556"/>
      <c r="AI43" s="3556"/>
      <c r="AJ43" s="3556"/>
      <c r="AK43" s="3556">
        <f t="shared" si="3"/>
        <v>0</v>
      </c>
      <c r="AL43" s="3556"/>
      <c r="AM43" s="3556"/>
      <c r="AN43" s="5489"/>
      <c r="AO43" s="3556">
        <f t="shared" si="33"/>
        <v>0</v>
      </c>
      <c r="AP43" s="3556">
        <f t="shared" si="34"/>
        <v>0</v>
      </c>
      <c r="AQ43" s="5492">
        <f t="shared" si="35"/>
        <v>0</v>
      </c>
      <c r="AR43" s="3555">
        <f t="shared" si="36"/>
        <v>3712</v>
      </c>
      <c r="AS43" s="3593"/>
      <c r="AT43" s="5493"/>
      <c r="AU43" s="4496">
        <f t="shared" si="37"/>
        <v>3712</v>
      </c>
      <c r="AV43" s="4894"/>
      <c r="AW43" s="5190">
        <f t="shared" si="38"/>
        <v>0</v>
      </c>
      <c r="AX43" s="5191"/>
      <c r="AY43" s="5502">
        <f t="shared" si="39"/>
        <v>3712</v>
      </c>
      <c r="AZ43" s="4894"/>
      <c r="BA43" s="3562">
        <f t="shared" si="6"/>
        <v>0</v>
      </c>
      <c r="BB43" s="3561"/>
      <c r="BC43" s="3561">
        <f t="shared" si="7"/>
        <v>3712</v>
      </c>
      <c r="BD43" s="3561"/>
      <c r="BE43" s="3562">
        <f t="shared" si="8"/>
        <v>0</v>
      </c>
      <c r="BF43" s="3561"/>
      <c r="BG43" s="3561">
        <f t="shared" si="9"/>
        <v>3712</v>
      </c>
      <c r="BH43" s="3561"/>
      <c r="BI43" s="3562">
        <f t="shared" si="10"/>
        <v>0</v>
      </c>
      <c r="BJ43" s="3561"/>
      <c r="BK43" s="3561">
        <f t="shared" si="11"/>
        <v>3712</v>
      </c>
      <c r="BL43" s="3561"/>
      <c r="BM43" s="3562">
        <f t="shared" si="12"/>
        <v>0</v>
      </c>
      <c r="BN43" s="3561"/>
      <c r="BO43" s="3561">
        <f t="shared" si="13"/>
        <v>0</v>
      </c>
      <c r="BP43" s="3561"/>
      <c r="BQ43" s="3561">
        <f t="shared" si="14"/>
        <v>3712</v>
      </c>
      <c r="BR43" s="3561"/>
      <c r="BS43" s="3562">
        <f t="shared" si="15"/>
        <v>0</v>
      </c>
      <c r="BT43" s="3561"/>
      <c r="BU43" s="3561">
        <f t="shared" si="16"/>
        <v>3712</v>
      </c>
      <c r="BV43" s="3561"/>
      <c r="BW43" s="3562">
        <f t="shared" si="17"/>
        <v>0</v>
      </c>
      <c r="BX43" s="3561"/>
      <c r="BY43" s="3561">
        <f t="shared" si="18"/>
        <v>3712</v>
      </c>
      <c r="BZ43" s="3561"/>
      <c r="CA43" s="3562">
        <f t="shared" si="19"/>
        <v>0</v>
      </c>
      <c r="CB43" s="3561"/>
      <c r="CC43" s="3561">
        <f t="shared" si="20"/>
        <v>0</v>
      </c>
      <c r="CD43" s="3561"/>
      <c r="CE43" s="3561">
        <f t="shared" si="21"/>
        <v>3712</v>
      </c>
      <c r="CF43" s="3561"/>
      <c r="CG43" s="3562">
        <f t="shared" si="22"/>
        <v>0</v>
      </c>
      <c r="CH43" s="3561"/>
      <c r="CI43" s="3561">
        <f t="shared" si="23"/>
        <v>3712</v>
      </c>
      <c r="CJ43" s="3561"/>
      <c r="CK43" s="3562">
        <f t="shared" si="24"/>
        <v>0</v>
      </c>
      <c r="CL43" s="3561"/>
      <c r="CM43" s="3561">
        <f t="shared" si="25"/>
        <v>3712</v>
      </c>
      <c r="CN43" s="3561"/>
      <c r="CO43" s="3562">
        <f t="shared" si="26"/>
        <v>0</v>
      </c>
      <c r="CP43" s="3561"/>
      <c r="CQ43" s="3561">
        <f t="shared" si="27"/>
        <v>0</v>
      </c>
      <c r="CR43" s="3561"/>
      <c r="CS43" s="3561">
        <f t="shared" si="28"/>
        <v>0</v>
      </c>
      <c r="CT43" s="3561"/>
      <c r="CU43" s="5494">
        <f t="shared" si="29"/>
        <v>3712</v>
      </c>
      <c r="CV43" s="5495"/>
    </row>
    <row r="44" spans="1:100" s="3585" customFormat="1" x14ac:dyDescent="0.3">
      <c r="A44" s="3575"/>
      <c r="B44" s="3575"/>
      <c r="C44" s="3575"/>
      <c r="D44" s="3575"/>
      <c r="E44" s="4175" t="s">
        <v>1245</v>
      </c>
      <c r="F44" s="5488"/>
      <c r="G44" s="3556"/>
      <c r="H44" s="3556"/>
      <c r="I44" s="3556">
        <f t="shared" si="30"/>
        <v>0</v>
      </c>
      <c r="J44" s="3556"/>
      <c r="K44" s="3556"/>
      <c r="L44" s="3556"/>
      <c r="M44" s="3556"/>
      <c r="N44" s="3556">
        <f t="shared" si="31"/>
        <v>0</v>
      </c>
      <c r="O44" s="3556"/>
      <c r="P44" s="3556"/>
      <c r="Q44" s="3556"/>
      <c r="R44" s="3556"/>
      <c r="S44" s="3556"/>
      <c r="T44" s="3556"/>
      <c r="U44" s="5489"/>
      <c r="V44" s="3556"/>
      <c r="W44" s="3556"/>
      <c r="X44" s="5490">
        <f t="shared" si="32"/>
        <v>0</v>
      </c>
      <c r="Y44" s="5491"/>
      <c r="Z44" s="3556"/>
      <c r="AA44" s="3556"/>
      <c r="AB44" s="3556">
        <f t="shared" si="0"/>
        <v>0</v>
      </c>
      <c r="AC44" s="3556"/>
      <c r="AD44" s="3556"/>
      <c r="AE44" s="3556"/>
      <c r="AF44" s="5491">
        <f t="shared" si="1"/>
        <v>0</v>
      </c>
      <c r="AG44" s="3556">
        <f t="shared" si="2"/>
        <v>0</v>
      </c>
      <c r="AH44" s="3556"/>
      <c r="AI44" s="3556"/>
      <c r="AJ44" s="3556"/>
      <c r="AK44" s="3556">
        <f t="shared" si="3"/>
        <v>0</v>
      </c>
      <c r="AL44" s="3556"/>
      <c r="AM44" s="3556"/>
      <c r="AN44" s="5489"/>
      <c r="AO44" s="3556"/>
      <c r="AP44" s="3556"/>
      <c r="AQ44" s="5492">
        <f t="shared" si="35"/>
        <v>0</v>
      </c>
      <c r="AR44" s="3555">
        <f t="shared" si="36"/>
        <v>0</v>
      </c>
      <c r="AS44" s="3593"/>
      <c r="AT44" s="5493"/>
      <c r="AU44" s="4496">
        <f t="shared" ref="AU44" si="73">+F44+Y44</f>
        <v>0</v>
      </c>
      <c r="AV44" s="4894"/>
      <c r="AW44" s="5190">
        <f t="shared" ref="AW44" si="74">+G44+Z44</f>
        <v>0</v>
      </c>
      <c r="AX44" s="5191"/>
      <c r="AY44" s="5502">
        <f t="shared" si="39"/>
        <v>0</v>
      </c>
      <c r="AZ44" s="4894"/>
      <c r="BA44" s="3562">
        <f t="shared" ref="BA44" si="75">+H44+AA44</f>
        <v>0</v>
      </c>
      <c r="BB44" s="3561"/>
      <c r="BC44" s="3561">
        <f t="shared" ref="BC44" si="76">AU44+AW44+BA44</f>
        <v>0</v>
      </c>
      <c r="BD44" s="3561"/>
      <c r="BE44" s="3562">
        <f t="shared" ref="BE44" si="77">+J44+AC44</f>
        <v>0</v>
      </c>
      <c r="BF44" s="3561"/>
      <c r="BG44" s="3561">
        <f t="shared" ref="BG44" si="78">+BC44+BE44</f>
        <v>0</v>
      </c>
      <c r="BH44" s="3561"/>
      <c r="BI44" s="3562">
        <f t="shared" ref="BI44" si="79">K44+AD44</f>
        <v>0</v>
      </c>
      <c r="BJ44" s="3561"/>
      <c r="BK44" s="3561">
        <f t="shared" ref="BK44" si="80">+BG44+BI44</f>
        <v>0</v>
      </c>
      <c r="BL44" s="3561"/>
      <c r="BM44" s="3562">
        <f t="shared" ref="BM44" si="81">+L44+AE44</f>
        <v>0</v>
      </c>
      <c r="BN44" s="3561"/>
      <c r="BO44" s="3561">
        <f t="shared" ref="BO44" si="82">BE44+BI44+BM44</f>
        <v>0</v>
      </c>
      <c r="BP44" s="3561"/>
      <c r="BQ44" s="3561">
        <f t="shared" ref="BQ44" si="83">BC44+BO44</f>
        <v>0</v>
      </c>
      <c r="BR44" s="3561"/>
      <c r="BS44" s="3562">
        <f t="shared" ref="BS44" si="84">+O44+AH44</f>
        <v>0</v>
      </c>
      <c r="BT44" s="3561"/>
      <c r="BU44" s="3561">
        <f t="shared" ref="BU44" si="85">BQ44+BS44</f>
        <v>0</v>
      </c>
      <c r="BV44" s="3561"/>
      <c r="BW44" s="3562">
        <f t="shared" ref="BW44" si="86">+P44+AI44</f>
        <v>0</v>
      </c>
      <c r="BX44" s="3561"/>
      <c r="BY44" s="3561">
        <f t="shared" ref="BY44" si="87">BU44+BW44</f>
        <v>0</v>
      </c>
      <c r="BZ44" s="3561"/>
      <c r="CA44" s="3562">
        <f t="shared" ref="CA44" si="88">+Q44+AJ44</f>
        <v>0</v>
      </c>
      <c r="CB44" s="3561"/>
      <c r="CC44" s="3561">
        <f t="shared" ref="CC44" si="89">BS44+BW44+CA44</f>
        <v>0</v>
      </c>
      <c r="CD44" s="3561"/>
      <c r="CE44" s="3561">
        <f t="shared" ref="CE44" si="90">BY44+CA44</f>
        <v>0</v>
      </c>
      <c r="CF44" s="3561"/>
      <c r="CG44" s="3562">
        <f t="shared" si="22"/>
        <v>0</v>
      </c>
      <c r="CH44" s="3561"/>
      <c r="CI44" s="3561">
        <f t="shared" si="23"/>
        <v>0</v>
      </c>
      <c r="CJ44" s="3561"/>
      <c r="CK44" s="3562">
        <f t="shared" si="24"/>
        <v>0</v>
      </c>
      <c r="CL44" s="3561"/>
      <c r="CM44" s="3561">
        <f t="shared" si="25"/>
        <v>0</v>
      </c>
      <c r="CN44" s="3561"/>
      <c r="CO44" s="3562">
        <f t="shared" si="26"/>
        <v>0</v>
      </c>
      <c r="CP44" s="3561"/>
      <c r="CQ44" s="3561">
        <f t="shared" si="27"/>
        <v>0</v>
      </c>
      <c r="CR44" s="3561"/>
      <c r="CS44" s="3561">
        <f t="shared" si="28"/>
        <v>0</v>
      </c>
      <c r="CT44" s="3561"/>
      <c r="CU44" s="5494">
        <f t="shared" ref="CU44" si="91">SUM(AU44,AW44,BA44,BE44,BI44,BM44,BS44,BW44,CA44,CG44,CK44,CO44)</f>
        <v>0</v>
      </c>
      <c r="CV44" s="5495"/>
    </row>
    <row r="45" spans="1:100" s="3585" customFormat="1" x14ac:dyDescent="0.3">
      <c r="A45" s="3575"/>
      <c r="B45" s="3575"/>
      <c r="C45" s="3575"/>
      <c r="D45" s="3575"/>
      <c r="E45" s="4175" t="s">
        <v>1157</v>
      </c>
      <c r="F45" s="5488"/>
      <c r="G45" s="3556"/>
      <c r="H45" s="3556"/>
      <c r="I45" s="3556">
        <f t="shared" si="30"/>
        <v>0</v>
      </c>
      <c r="J45" s="3556"/>
      <c r="K45" s="3556"/>
      <c r="L45" s="3556"/>
      <c r="M45" s="3556"/>
      <c r="N45" s="3556">
        <f t="shared" si="31"/>
        <v>0</v>
      </c>
      <c r="O45" s="3556"/>
      <c r="P45" s="3556"/>
      <c r="Q45" s="3556"/>
      <c r="R45" s="3556"/>
      <c r="S45" s="3556"/>
      <c r="T45" s="3556"/>
      <c r="U45" s="5489"/>
      <c r="V45" s="3556"/>
      <c r="W45" s="3556"/>
      <c r="X45" s="5490">
        <f t="shared" si="32"/>
        <v>0</v>
      </c>
      <c r="Y45" s="5491"/>
      <c r="Z45" s="3556"/>
      <c r="AA45" s="3556"/>
      <c r="AB45" s="3556">
        <f t="shared" si="0"/>
        <v>0</v>
      </c>
      <c r="AC45" s="3556"/>
      <c r="AD45" s="3556"/>
      <c r="AE45" s="3556"/>
      <c r="AF45" s="5491">
        <f t="shared" si="1"/>
        <v>0</v>
      </c>
      <c r="AG45" s="3556">
        <f t="shared" si="2"/>
        <v>0</v>
      </c>
      <c r="AH45" s="3556"/>
      <c r="AI45" s="3556"/>
      <c r="AJ45" s="3556"/>
      <c r="AK45" s="3556">
        <f t="shared" si="3"/>
        <v>0</v>
      </c>
      <c r="AL45" s="3556"/>
      <c r="AM45" s="3556"/>
      <c r="AN45" s="5489"/>
      <c r="AO45" s="3556">
        <f t="shared" si="33"/>
        <v>0</v>
      </c>
      <c r="AP45" s="3556">
        <f t="shared" si="34"/>
        <v>0</v>
      </c>
      <c r="AQ45" s="5492">
        <f t="shared" si="35"/>
        <v>0</v>
      </c>
      <c r="AR45" s="3555">
        <f t="shared" si="36"/>
        <v>0</v>
      </c>
      <c r="AS45" s="3593"/>
      <c r="AT45" s="5493"/>
      <c r="AU45" s="4496">
        <f t="shared" si="37"/>
        <v>0</v>
      </c>
      <c r="AV45" s="4894"/>
      <c r="AW45" s="5190">
        <f t="shared" si="38"/>
        <v>0</v>
      </c>
      <c r="AX45" s="5191"/>
      <c r="AY45" s="5502">
        <f t="shared" si="39"/>
        <v>0</v>
      </c>
      <c r="AZ45" s="4894"/>
      <c r="BA45" s="3562">
        <f t="shared" si="6"/>
        <v>0</v>
      </c>
      <c r="BB45" s="3561"/>
      <c r="BC45" s="3561">
        <f t="shared" si="7"/>
        <v>0</v>
      </c>
      <c r="BD45" s="3561"/>
      <c r="BE45" s="3562">
        <f t="shared" si="8"/>
        <v>0</v>
      </c>
      <c r="BF45" s="3561"/>
      <c r="BG45" s="3561">
        <f t="shared" si="9"/>
        <v>0</v>
      </c>
      <c r="BH45" s="3561"/>
      <c r="BI45" s="3562">
        <f t="shared" si="10"/>
        <v>0</v>
      </c>
      <c r="BJ45" s="3561"/>
      <c r="BK45" s="3561">
        <f t="shared" si="11"/>
        <v>0</v>
      </c>
      <c r="BL45" s="3561"/>
      <c r="BM45" s="3562">
        <f t="shared" si="12"/>
        <v>0</v>
      </c>
      <c r="BN45" s="3561"/>
      <c r="BO45" s="3561">
        <f t="shared" si="13"/>
        <v>0</v>
      </c>
      <c r="BP45" s="3561"/>
      <c r="BQ45" s="3561">
        <f t="shared" si="14"/>
        <v>0</v>
      </c>
      <c r="BR45" s="3561"/>
      <c r="BS45" s="3562">
        <f t="shared" si="15"/>
        <v>0</v>
      </c>
      <c r="BT45" s="3561"/>
      <c r="BU45" s="3561">
        <f t="shared" si="16"/>
        <v>0</v>
      </c>
      <c r="BV45" s="3561"/>
      <c r="BW45" s="3562">
        <f t="shared" si="17"/>
        <v>0</v>
      </c>
      <c r="BX45" s="3561"/>
      <c r="BY45" s="3561">
        <f t="shared" si="18"/>
        <v>0</v>
      </c>
      <c r="BZ45" s="3561"/>
      <c r="CA45" s="3562">
        <f t="shared" si="19"/>
        <v>0</v>
      </c>
      <c r="CB45" s="3561"/>
      <c r="CC45" s="3561">
        <f t="shared" si="20"/>
        <v>0</v>
      </c>
      <c r="CD45" s="3561"/>
      <c r="CE45" s="3561">
        <f t="shared" si="21"/>
        <v>0</v>
      </c>
      <c r="CF45" s="3561"/>
      <c r="CG45" s="3562">
        <f t="shared" si="22"/>
        <v>0</v>
      </c>
      <c r="CH45" s="3561"/>
      <c r="CI45" s="3561">
        <f t="shared" si="23"/>
        <v>0</v>
      </c>
      <c r="CJ45" s="3561"/>
      <c r="CK45" s="3562">
        <f t="shared" si="24"/>
        <v>0</v>
      </c>
      <c r="CL45" s="3561"/>
      <c r="CM45" s="3561">
        <f t="shared" si="25"/>
        <v>0</v>
      </c>
      <c r="CN45" s="3561"/>
      <c r="CO45" s="3562">
        <f t="shared" si="26"/>
        <v>0</v>
      </c>
      <c r="CP45" s="3561"/>
      <c r="CQ45" s="3561">
        <f t="shared" si="27"/>
        <v>0</v>
      </c>
      <c r="CR45" s="3561"/>
      <c r="CS45" s="3561">
        <f t="shared" si="28"/>
        <v>0</v>
      </c>
      <c r="CT45" s="3561"/>
      <c r="CU45" s="5494">
        <f t="shared" si="29"/>
        <v>0</v>
      </c>
      <c r="CV45" s="5495"/>
    </row>
    <row r="46" spans="1:100" s="3585" customFormat="1" x14ac:dyDescent="0.3">
      <c r="A46" s="3575"/>
      <c r="B46" s="3575"/>
      <c r="C46" s="3575"/>
      <c r="D46" s="3575"/>
      <c r="E46" s="4175" t="s">
        <v>1859</v>
      </c>
      <c r="F46" s="5488"/>
      <c r="G46" s="3556"/>
      <c r="H46" s="3556"/>
      <c r="I46" s="3556">
        <f t="shared" si="30"/>
        <v>0</v>
      </c>
      <c r="J46" s="3556"/>
      <c r="K46" s="3556"/>
      <c r="L46" s="3556"/>
      <c r="M46" s="3556"/>
      <c r="N46" s="3556">
        <f t="shared" si="31"/>
        <v>0</v>
      </c>
      <c r="O46" s="3556"/>
      <c r="P46" s="3556"/>
      <c r="Q46" s="3556"/>
      <c r="R46" s="3556"/>
      <c r="S46" s="3556"/>
      <c r="T46" s="3556"/>
      <c r="U46" s="5489"/>
      <c r="V46" s="3556"/>
      <c r="W46" s="3556"/>
      <c r="X46" s="5490">
        <f t="shared" si="32"/>
        <v>0</v>
      </c>
      <c r="Y46" s="5491"/>
      <c r="Z46" s="3556"/>
      <c r="AA46" s="3556"/>
      <c r="AB46" s="3556">
        <f t="shared" si="0"/>
        <v>0</v>
      </c>
      <c r="AC46" s="3556"/>
      <c r="AD46" s="3556"/>
      <c r="AE46" s="3556"/>
      <c r="AF46" s="5491">
        <f t="shared" si="1"/>
        <v>0</v>
      </c>
      <c r="AG46" s="3556">
        <f t="shared" si="2"/>
        <v>0</v>
      </c>
      <c r="AH46" s="3556"/>
      <c r="AI46" s="3556"/>
      <c r="AJ46" s="3556"/>
      <c r="AK46" s="3556">
        <f t="shared" si="3"/>
        <v>0</v>
      </c>
      <c r="AL46" s="3556"/>
      <c r="AM46" s="3556"/>
      <c r="AN46" s="5489"/>
      <c r="AO46" s="3556">
        <f t="shared" si="33"/>
        <v>0</v>
      </c>
      <c r="AP46" s="3556">
        <f t="shared" si="34"/>
        <v>0</v>
      </c>
      <c r="AQ46" s="5492">
        <f t="shared" si="35"/>
        <v>0</v>
      </c>
      <c r="AR46" s="3555">
        <f t="shared" si="36"/>
        <v>0</v>
      </c>
      <c r="AS46" s="3593"/>
      <c r="AT46" s="5493"/>
      <c r="AU46" s="4496">
        <f t="shared" si="37"/>
        <v>0</v>
      </c>
      <c r="AV46" s="4894"/>
      <c r="AW46" s="5190">
        <f t="shared" si="38"/>
        <v>0</v>
      </c>
      <c r="AX46" s="5191"/>
      <c r="AY46" s="5502">
        <f t="shared" si="39"/>
        <v>0</v>
      </c>
      <c r="AZ46" s="4894"/>
      <c r="BA46" s="3562">
        <f t="shared" si="6"/>
        <v>0</v>
      </c>
      <c r="BB46" s="3561"/>
      <c r="BC46" s="3561">
        <f t="shared" si="7"/>
        <v>0</v>
      </c>
      <c r="BD46" s="3561"/>
      <c r="BE46" s="3562">
        <f t="shared" si="8"/>
        <v>0</v>
      </c>
      <c r="BF46" s="3561"/>
      <c r="BG46" s="3561">
        <f t="shared" si="9"/>
        <v>0</v>
      </c>
      <c r="BH46" s="3561"/>
      <c r="BI46" s="3562">
        <f t="shared" si="10"/>
        <v>0</v>
      </c>
      <c r="BJ46" s="3561"/>
      <c r="BK46" s="3561">
        <f t="shared" si="11"/>
        <v>0</v>
      </c>
      <c r="BL46" s="3561"/>
      <c r="BM46" s="3562">
        <f t="shared" si="12"/>
        <v>0</v>
      </c>
      <c r="BN46" s="3561"/>
      <c r="BO46" s="3561">
        <f t="shared" si="13"/>
        <v>0</v>
      </c>
      <c r="BP46" s="3561"/>
      <c r="BQ46" s="3561">
        <f t="shared" si="14"/>
        <v>0</v>
      </c>
      <c r="BR46" s="3561"/>
      <c r="BS46" s="3562">
        <f t="shared" si="15"/>
        <v>0</v>
      </c>
      <c r="BT46" s="3561"/>
      <c r="BU46" s="3561">
        <f t="shared" si="16"/>
        <v>0</v>
      </c>
      <c r="BV46" s="3561"/>
      <c r="BW46" s="3562">
        <f t="shared" si="17"/>
        <v>0</v>
      </c>
      <c r="BX46" s="3561"/>
      <c r="BY46" s="3561">
        <f t="shared" si="18"/>
        <v>0</v>
      </c>
      <c r="BZ46" s="3561"/>
      <c r="CA46" s="3562">
        <f t="shared" si="19"/>
        <v>0</v>
      </c>
      <c r="CB46" s="3561"/>
      <c r="CC46" s="3561">
        <f t="shared" si="20"/>
        <v>0</v>
      </c>
      <c r="CD46" s="3561"/>
      <c r="CE46" s="3561">
        <f t="shared" si="21"/>
        <v>0</v>
      </c>
      <c r="CF46" s="3561"/>
      <c r="CG46" s="3562">
        <f t="shared" si="22"/>
        <v>0</v>
      </c>
      <c r="CH46" s="3561"/>
      <c r="CI46" s="3561">
        <f t="shared" si="23"/>
        <v>0</v>
      </c>
      <c r="CJ46" s="3561"/>
      <c r="CK46" s="3562">
        <f t="shared" si="24"/>
        <v>0</v>
      </c>
      <c r="CL46" s="3561"/>
      <c r="CM46" s="3561">
        <f t="shared" si="25"/>
        <v>0</v>
      </c>
      <c r="CN46" s="3561"/>
      <c r="CO46" s="3562">
        <f t="shared" si="26"/>
        <v>0</v>
      </c>
      <c r="CP46" s="3561"/>
      <c r="CQ46" s="3561">
        <f t="shared" si="27"/>
        <v>0</v>
      </c>
      <c r="CR46" s="3561"/>
      <c r="CS46" s="3561">
        <f t="shared" si="28"/>
        <v>0</v>
      </c>
      <c r="CT46" s="3561"/>
      <c r="CU46" s="5494">
        <f t="shared" si="29"/>
        <v>0</v>
      </c>
      <c r="CV46" s="5495"/>
    </row>
    <row r="47" spans="1:100" s="3585" customFormat="1" x14ac:dyDescent="0.3">
      <c r="A47" s="3575"/>
      <c r="B47" s="3575"/>
      <c r="C47" s="3575"/>
      <c r="D47" s="3575"/>
      <c r="E47" s="4175" t="s">
        <v>1860</v>
      </c>
      <c r="F47" s="5488"/>
      <c r="G47" s="3556">
        <v>125.434</v>
      </c>
      <c r="H47" s="3556"/>
      <c r="I47" s="3556">
        <f t="shared" si="30"/>
        <v>125.434</v>
      </c>
      <c r="J47" s="3556"/>
      <c r="K47" s="3556"/>
      <c r="L47" s="3556"/>
      <c r="M47" s="3556"/>
      <c r="N47" s="3556">
        <f t="shared" si="31"/>
        <v>125.434</v>
      </c>
      <c r="O47" s="3556"/>
      <c r="P47" s="3556"/>
      <c r="Q47" s="3556"/>
      <c r="R47" s="3556"/>
      <c r="S47" s="3556"/>
      <c r="T47" s="3556"/>
      <c r="U47" s="5489"/>
      <c r="V47" s="3556"/>
      <c r="W47" s="3556"/>
      <c r="X47" s="5490">
        <f t="shared" si="32"/>
        <v>125.434</v>
      </c>
      <c r="Y47" s="5491"/>
      <c r="Z47" s="3556"/>
      <c r="AA47" s="3556"/>
      <c r="AB47" s="3556">
        <f t="shared" si="0"/>
        <v>0</v>
      </c>
      <c r="AC47" s="3556"/>
      <c r="AD47" s="3556"/>
      <c r="AE47" s="3556"/>
      <c r="AF47" s="5491">
        <f t="shared" si="1"/>
        <v>0</v>
      </c>
      <c r="AG47" s="3556">
        <f t="shared" si="2"/>
        <v>0</v>
      </c>
      <c r="AH47" s="3556"/>
      <c r="AI47" s="3556"/>
      <c r="AJ47" s="3556"/>
      <c r="AK47" s="3556">
        <f t="shared" si="3"/>
        <v>0</v>
      </c>
      <c r="AL47" s="3556"/>
      <c r="AM47" s="3556"/>
      <c r="AN47" s="5489"/>
      <c r="AO47" s="3556">
        <f t="shared" si="33"/>
        <v>0</v>
      </c>
      <c r="AP47" s="3556">
        <f t="shared" si="34"/>
        <v>0</v>
      </c>
      <c r="AQ47" s="5492">
        <f t="shared" si="35"/>
        <v>0</v>
      </c>
      <c r="AR47" s="3555">
        <f t="shared" si="36"/>
        <v>125.434</v>
      </c>
      <c r="AS47" s="3593"/>
      <c r="AT47" s="5493"/>
      <c r="AU47" s="4496">
        <f t="shared" si="37"/>
        <v>0</v>
      </c>
      <c r="AV47" s="4894"/>
      <c r="AW47" s="5190">
        <f t="shared" si="38"/>
        <v>125.434</v>
      </c>
      <c r="AX47" s="5191"/>
      <c r="AY47" s="5502">
        <f t="shared" si="39"/>
        <v>125.434</v>
      </c>
      <c r="AZ47" s="4894"/>
      <c r="BA47" s="3562">
        <f t="shared" si="6"/>
        <v>0</v>
      </c>
      <c r="BB47" s="4418"/>
      <c r="BC47" s="3561">
        <f t="shared" si="7"/>
        <v>125.434</v>
      </c>
      <c r="BD47" s="4418"/>
      <c r="BE47" s="3562">
        <f t="shared" si="8"/>
        <v>0</v>
      </c>
      <c r="BF47" s="4418"/>
      <c r="BG47" s="3561">
        <f t="shared" si="9"/>
        <v>125.434</v>
      </c>
      <c r="BH47" s="4418"/>
      <c r="BI47" s="3562">
        <f t="shared" si="10"/>
        <v>0</v>
      </c>
      <c r="BJ47" s="4418"/>
      <c r="BK47" s="3561">
        <f t="shared" si="11"/>
        <v>125.434</v>
      </c>
      <c r="BL47" s="4418"/>
      <c r="BM47" s="3562">
        <f t="shared" si="12"/>
        <v>0</v>
      </c>
      <c r="BN47" s="4418"/>
      <c r="BO47" s="3561">
        <f t="shared" si="13"/>
        <v>0</v>
      </c>
      <c r="BP47" s="4418"/>
      <c r="BQ47" s="3561">
        <f t="shared" si="14"/>
        <v>125.434</v>
      </c>
      <c r="BR47" s="4418"/>
      <c r="BS47" s="3562">
        <f t="shared" si="15"/>
        <v>0</v>
      </c>
      <c r="BT47" s="4418"/>
      <c r="BU47" s="3561">
        <f t="shared" si="16"/>
        <v>125.434</v>
      </c>
      <c r="BV47" s="4418"/>
      <c r="BW47" s="3562">
        <f t="shared" si="17"/>
        <v>0</v>
      </c>
      <c r="BX47" s="4418"/>
      <c r="BY47" s="3561">
        <f t="shared" si="18"/>
        <v>125.434</v>
      </c>
      <c r="BZ47" s="4418"/>
      <c r="CA47" s="3562">
        <f t="shared" si="19"/>
        <v>0</v>
      </c>
      <c r="CB47" s="4418"/>
      <c r="CC47" s="3561">
        <f t="shared" si="20"/>
        <v>0</v>
      </c>
      <c r="CD47" s="4418"/>
      <c r="CE47" s="3561">
        <f t="shared" si="21"/>
        <v>125.434</v>
      </c>
      <c r="CF47" s="4418"/>
      <c r="CG47" s="3562">
        <f t="shared" si="22"/>
        <v>0</v>
      </c>
      <c r="CH47" s="4418"/>
      <c r="CI47" s="3561">
        <f t="shared" si="23"/>
        <v>125.434</v>
      </c>
      <c r="CJ47" s="4418"/>
      <c r="CK47" s="4418">
        <f t="shared" si="24"/>
        <v>0</v>
      </c>
      <c r="CL47" s="4418"/>
      <c r="CM47" s="4418">
        <f t="shared" si="25"/>
        <v>125.434</v>
      </c>
      <c r="CN47" s="4418"/>
      <c r="CO47" s="3562">
        <f t="shared" si="26"/>
        <v>0</v>
      </c>
      <c r="CP47" s="4418"/>
      <c r="CQ47" s="3561">
        <f t="shared" si="27"/>
        <v>0</v>
      </c>
      <c r="CR47" s="4418"/>
      <c r="CS47" s="3561">
        <f t="shared" si="28"/>
        <v>0</v>
      </c>
      <c r="CT47" s="4418"/>
      <c r="CU47" s="5494">
        <f t="shared" si="29"/>
        <v>125.434</v>
      </c>
      <c r="CV47" s="5495"/>
    </row>
    <row r="48" spans="1:100" s="3585" customFormat="1" x14ac:dyDescent="0.3">
      <c r="A48" s="3575"/>
      <c r="B48" s="3575"/>
      <c r="C48" s="3575"/>
      <c r="D48" s="3575"/>
      <c r="E48" s="4175" t="s">
        <v>1157</v>
      </c>
      <c r="F48" s="5488"/>
      <c r="G48" s="3556"/>
      <c r="H48" s="3556"/>
      <c r="I48" s="3556">
        <f t="shared" si="30"/>
        <v>0</v>
      </c>
      <c r="J48" s="3556"/>
      <c r="K48" s="3556"/>
      <c r="L48" s="3556"/>
      <c r="M48" s="3556"/>
      <c r="N48" s="3556">
        <f t="shared" si="31"/>
        <v>0</v>
      </c>
      <c r="O48" s="3556"/>
      <c r="P48" s="3556"/>
      <c r="Q48" s="3556"/>
      <c r="R48" s="3556"/>
      <c r="S48" s="3556"/>
      <c r="T48" s="3556"/>
      <c r="U48" s="5489"/>
      <c r="V48" s="3556"/>
      <c r="W48" s="3556"/>
      <c r="X48" s="5490">
        <f t="shared" si="32"/>
        <v>0</v>
      </c>
      <c r="Y48" s="5491"/>
      <c r="Z48" s="3556"/>
      <c r="AA48" s="3556"/>
      <c r="AB48" s="3556">
        <f t="shared" si="0"/>
        <v>0</v>
      </c>
      <c r="AC48" s="3556"/>
      <c r="AD48" s="3556"/>
      <c r="AE48" s="3556"/>
      <c r="AF48" s="5491">
        <f t="shared" si="1"/>
        <v>0</v>
      </c>
      <c r="AG48" s="3556">
        <f t="shared" si="2"/>
        <v>0</v>
      </c>
      <c r="AH48" s="3556"/>
      <c r="AI48" s="3556"/>
      <c r="AJ48" s="3556"/>
      <c r="AK48" s="3556">
        <f t="shared" si="3"/>
        <v>0</v>
      </c>
      <c r="AL48" s="3556"/>
      <c r="AM48" s="3556"/>
      <c r="AN48" s="5489"/>
      <c r="AO48" s="3556">
        <f t="shared" si="33"/>
        <v>0</v>
      </c>
      <c r="AP48" s="3556">
        <f t="shared" si="34"/>
        <v>0</v>
      </c>
      <c r="AQ48" s="5492">
        <f t="shared" si="35"/>
        <v>0</v>
      </c>
      <c r="AR48" s="3555">
        <f t="shared" si="36"/>
        <v>0</v>
      </c>
      <c r="AS48" s="3593"/>
      <c r="AT48" s="5493"/>
      <c r="AU48" s="4496">
        <f t="shared" si="37"/>
        <v>0</v>
      </c>
      <c r="AV48" s="4894"/>
      <c r="AW48" s="5190">
        <f t="shared" si="38"/>
        <v>0</v>
      </c>
      <c r="AX48" s="5191"/>
      <c r="AY48" s="5502">
        <f t="shared" si="39"/>
        <v>0</v>
      </c>
      <c r="AZ48" s="4894"/>
      <c r="BA48" s="3562">
        <f t="shared" si="6"/>
        <v>0</v>
      </c>
      <c r="BB48" s="4418"/>
      <c r="BC48" s="3561">
        <f t="shared" si="7"/>
        <v>0</v>
      </c>
      <c r="BD48" s="4418"/>
      <c r="BE48" s="3562">
        <f t="shared" si="8"/>
        <v>0</v>
      </c>
      <c r="BF48" s="4418"/>
      <c r="BG48" s="3561">
        <f t="shared" si="9"/>
        <v>0</v>
      </c>
      <c r="BH48" s="4418"/>
      <c r="BI48" s="3562">
        <f t="shared" si="10"/>
        <v>0</v>
      </c>
      <c r="BJ48" s="4418"/>
      <c r="BK48" s="3561">
        <f t="shared" si="11"/>
        <v>0</v>
      </c>
      <c r="BL48" s="4418"/>
      <c r="BM48" s="3562">
        <f t="shared" si="12"/>
        <v>0</v>
      </c>
      <c r="BN48" s="4418"/>
      <c r="BO48" s="3561">
        <f t="shared" si="13"/>
        <v>0</v>
      </c>
      <c r="BP48" s="4418"/>
      <c r="BQ48" s="3561">
        <f t="shared" si="14"/>
        <v>0</v>
      </c>
      <c r="BR48" s="4418"/>
      <c r="BS48" s="3562">
        <f t="shared" si="15"/>
        <v>0</v>
      </c>
      <c r="BT48" s="4418"/>
      <c r="BU48" s="3561">
        <f t="shared" si="16"/>
        <v>0</v>
      </c>
      <c r="BV48" s="4418"/>
      <c r="BW48" s="3562">
        <f t="shared" si="17"/>
        <v>0</v>
      </c>
      <c r="BX48" s="4418"/>
      <c r="BY48" s="3561">
        <f t="shared" si="18"/>
        <v>0</v>
      </c>
      <c r="BZ48" s="4418"/>
      <c r="CA48" s="3562">
        <f t="shared" si="19"/>
        <v>0</v>
      </c>
      <c r="CB48" s="4418"/>
      <c r="CC48" s="3561">
        <f t="shared" si="20"/>
        <v>0</v>
      </c>
      <c r="CD48" s="4418"/>
      <c r="CE48" s="3561">
        <f t="shared" si="21"/>
        <v>0</v>
      </c>
      <c r="CF48" s="4418"/>
      <c r="CG48" s="3562">
        <f t="shared" si="22"/>
        <v>0</v>
      </c>
      <c r="CH48" s="4418"/>
      <c r="CI48" s="3561">
        <f t="shared" si="23"/>
        <v>0</v>
      </c>
      <c r="CJ48" s="4418"/>
      <c r="CK48" s="4418">
        <f t="shared" si="24"/>
        <v>0</v>
      </c>
      <c r="CL48" s="4418"/>
      <c r="CM48" s="4418">
        <f t="shared" si="25"/>
        <v>0</v>
      </c>
      <c r="CN48" s="4418"/>
      <c r="CO48" s="3562">
        <f t="shared" si="26"/>
        <v>0</v>
      </c>
      <c r="CP48" s="4418"/>
      <c r="CQ48" s="3561">
        <f t="shared" si="27"/>
        <v>0</v>
      </c>
      <c r="CR48" s="4418"/>
      <c r="CS48" s="3561">
        <f t="shared" si="28"/>
        <v>0</v>
      </c>
      <c r="CT48" s="4418"/>
      <c r="CU48" s="5494">
        <f t="shared" si="29"/>
        <v>0</v>
      </c>
      <c r="CV48" s="5495"/>
    </row>
    <row r="49" spans="1:104" s="3585" customFormat="1" x14ac:dyDescent="0.3">
      <c r="A49" s="3575"/>
      <c r="B49" s="3575"/>
      <c r="C49" s="3575"/>
      <c r="D49" s="3575"/>
      <c r="E49" s="4175" t="s">
        <v>1865</v>
      </c>
      <c r="F49" s="5488">
        <v>1424</v>
      </c>
      <c r="G49" s="3556"/>
      <c r="H49" s="3556"/>
      <c r="I49" s="3556">
        <f t="shared" si="30"/>
        <v>1424</v>
      </c>
      <c r="J49" s="3556"/>
      <c r="K49" s="3556"/>
      <c r="L49" s="3556"/>
      <c r="M49" s="3556"/>
      <c r="N49" s="3556">
        <f t="shared" si="31"/>
        <v>1424</v>
      </c>
      <c r="O49" s="3556"/>
      <c r="P49" s="3556"/>
      <c r="Q49" s="3556"/>
      <c r="R49" s="3556"/>
      <c r="S49" s="3556"/>
      <c r="T49" s="3556"/>
      <c r="U49" s="5489"/>
      <c r="V49" s="3556"/>
      <c r="W49" s="3556"/>
      <c r="X49" s="5490">
        <f t="shared" si="32"/>
        <v>1424</v>
      </c>
      <c r="Y49" s="5491"/>
      <c r="Z49" s="3556"/>
      <c r="AA49" s="3556"/>
      <c r="AB49" s="3556">
        <f t="shared" si="0"/>
        <v>0</v>
      </c>
      <c r="AC49" s="3556"/>
      <c r="AD49" s="3556"/>
      <c r="AE49" s="3556"/>
      <c r="AF49" s="5491">
        <f t="shared" si="1"/>
        <v>0</v>
      </c>
      <c r="AG49" s="3556">
        <f t="shared" si="2"/>
        <v>0</v>
      </c>
      <c r="AH49" s="3556"/>
      <c r="AI49" s="3556"/>
      <c r="AJ49" s="3556"/>
      <c r="AK49" s="3556">
        <f t="shared" si="3"/>
        <v>0</v>
      </c>
      <c r="AL49" s="3556"/>
      <c r="AM49" s="3556"/>
      <c r="AN49" s="5489"/>
      <c r="AO49" s="3556">
        <f t="shared" si="33"/>
        <v>0</v>
      </c>
      <c r="AP49" s="3556">
        <f t="shared" si="34"/>
        <v>0</v>
      </c>
      <c r="AQ49" s="5492">
        <f t="shared" si="35"/>
        <v>0</v>
      </c>
      <c r="AR49" s="3555">
        <f t="shared" si="36"/>
        <v>1424</v>
      </c>
      <c r="AS49" s="3593"/>
      <c r="AT49" s="5493"/>
      <c r="AU49" s="4496">
        <f t="shared" ref="AU49:AU50" si="92">+F49+Y49</f>
        <v>1424</v>
      </c>
      <c r="AV49" s="4894"/>
      <c r="AW49" s="5190">
        <f t="shared" ref="AW49:AW50" si="93">+G49+Z49</f>
        <v>0</v>
      </c>
      <c r="AX49" s="5191"/>
      <c r="AY49" s="5502">
        <f t="shared" si="39"/>
        <v>1424</v>
      </c>
      <c r="AZ49" s="4894"/>
      <c r="BA49" s="3562">
        <f t="shared" ref="BA49" si="94">+H49+AA49</f>
        <v>0</v>
      </c>
      <c r="BB49" s="4418"/>
      <c r="BC49" s="3561">
        <f t="shared" ref="BC49" si="95">AU49+AW49+BA49</f>
        <v>1424</v>
      </c>
      <c r="BD49" s="4418"/>
      <c r="BE49" s="3562">
        <f t="shared" si="8"/>
        <v>0</v>
      </c>
      <c r="BF49" s="4418"/>
      <c r="BG49" s="3561">
        <f t="shared" si="9"/>
        <v>1424</v>
      </c>
      <c r="BH49" s="4418"/>
      <c r="BI49" s="3562">
        <f t="shared" si="10"/>
        <v>0</v>
      </c>
      <c r="BJ49" s="4418"/>
      <c r="BK49" s="3561">
        <f t="shared" si="11"/>
        <v>1424</v>
      </c>
      <c r="BL49" s="4418"/>
      <c r="BM49" s="3562">
        <f t="shared" si="12"/>
        <v>0</v>
      </c>
      <c r="BN49" s="4418"/>
      <c r="BO49" s="3561">
        <f t="shared" si="13"/>
        <v>0</v>
      </c>
      <c r="BP49" s="4418"/>
      <c r="BQ49" s="3561">
        <f t="shared" si="14"/>
        <v>1424</v>
      </c>
      <c r="BR49" s="4418"/>
      <c r="BS49" s="3562">
        <f t="shared" si="15"/>
        <v>0</v>
      </c>
      <c r="BT49" s="4418"/>
      <c r="BU49" s="3561">
        <f t="shared" si="16"/>
        <v>1424</v>
      </c>
      <c r="BV49" s="4418"/>
      <c r="BW49" s="3562">
        <f t="shared" si="17"/>
        <v>0</v>
      </c>
      <c r="BX49" s="4418"/>
      <c r="BY49" s="3561">
        <f t="shared" si="18"/>
        <v>1424</v>
      </c>
      <c r="BZ49" s="4418"/>
      <c r="CA49" s="3562">
        <f t="shared" si="19"/>
        <v>0</v>
      </c>
      <c r="CB49" s="4418"/>
      <c r="CC49" s="3561">
        <f t="shared" si="20"/>
        <v>0</v>
      </c>
      <c r="CD49" s="4418"/>
      <c r="CE49" s="3561">
        <f t="shared" si="21"/>
        <v>1424</v>
      </c>
      <c r="CF49" s="4418"/>
      <c r="CG49" s="3562">
        <f t="shared" si="22"/>
        <v>0</v>
      </c>
      <c r="CH49" s="4418"/>
      <c r="CI49" s="3561">
        <f t="shared" si="23"/>
        <v>1424</v>
      </c>
      <c r="CJ49" s="4418"/>
      <c r="CK49" s="4418">
        <f t="shared" si="24"/>
        <v>0</v>
      </c>
      <c r="CL49" s="4418"/>
      <c r="CM49" s="4418">
        <f t="shared" si="25"/>
        <v>1424</v>
      </c>
      <c r="CN49" s="4418"/>
      <c r="CO49" s="3562">
        <f t="shared" si="26"/>
        <v>0</v>
      </c>
      <c r="CP49" s="4418"/>
      <c r="CQ49" s="3561">
        <f t="shared" si="27"/>
        <v>0</v>
      </c>
      <c r="CR49" s="4418"/>
      <c r="CS49" s="3561">
        <f t="shared" si="28"/>
        <v>0</v>
      </c>
      <c r="CT49" s="4418"/>
      <c r="CU49" s="5494">
        <f t="shared" si="29"/>
        <v>1424</v>
      </c>
      <c r="CV49" s="5495"/>
    </row>
    <row r="50" spans="1:104" s="3585" customFormat="1" x14ac:dyDescent="0.3">
      <c r="A50" s="3575"/>
      <c r="B50" s="3575"/>
      <c r="C50" s="3575"/>
      <c r="D50" s="3575"/>
      <c r="E50" s="4175" t="s">
        <v>2231</v>
      </c>
      <c r="F50" s="5488">
        <v>134</v>
      </c>
      <c r="G50" s="3556"/>
      <c r="H50" s="3556"/>
      <c r="I50" s="3556">
        <f t="shared" si="30"/>
        <v>134</v>
      </c>
      <c r="J50" s="3556"/>
      <c r="K50" s="3556"/>
      <c r="L50" s="3556"/>
      <c r="M50" s="3556"/>
      <c r="N50" s="3556">
        <f t="shared" si="31"/>
        <v>134</v>
      </c>
      <c r="O50" s="3556"/>
      <c r="P50" s="3556"/>
      <c r="Q50" s="3556"/>
      <c r="R50" s="3556"/>
      <c r="S50" s="3556"/>
      <c r="T50" s="3556"/>
      <c r="U50" s="5489"/>
      <c r="V50" s="3556"/>
      <c r="W50" s="3556"/>
      <c r="X50" s="5490">
        <f t="shared" si="32"/>
        <v>134</v>
      </c>
      <c r="Y50" s="5491"/>
      <c r="Z50" s="3556"/>
      <c r="AA50" s="3556"/>
      <c r="AB50" s="3556"/>
      <c r="AC50" s="3556"/>
      <c r="AD50" s="3556"/>
      <c r="AE50" s="3556"/>
      <c r="AF50" s="5491"/>
      <c r="AG50" s="3556"/>
      <c r="AH50" s="3556"/>
      <c r="AI50" s="3556"/>
      <c r="AJ50" s="3556"/>
      <c r="AK50" s="3556"/>
      <c r="AL50" s="3556"/>
      <c r="AM50" s="3556"/>
      <c r="AN50" s="5489"/>
      <c r="AO50" s="3556"/>
      <c r="AP50" s="3556"/>
      <c r="AQ50" s="5492">
        <f t="shared" si="35"/>
        <v>0</v>
      </c>
      <c r="AR50" s="3555">
        <f t="shared" si="36"/>
        <v>134</v>
      </c>
      <c r="AS50" s="3593"/>
      <c r="AT50" s="5493"/>
      <c r="AU50" s="4496">
        <f t="shared" si="92"/>
        <v>134</v>
      </c>
      <c r="AV50" s="4894"/>
      <c r="AW50" s="5190">
        <f t="shared" si="93"/>
        <v>0</v>
      </c>
      <c r="AX50" s="5191"/>
      <c r="AY50" s="5502">
        <f t="shared" si="39"/>
        <v>134</v>
      </c>
      <c r="AZ50" s="4894"/>
      <c r="BA50" s="5190"/>
      <c r="BB50" s="5190"/>
      <c r="BC50" s="5190"/>
      <c r="BD50" s="5190"/>
      <c r="BE50" s="5190"/>
      <c r="BF50" s="5190"/>
      <c r="BG50" s="5190"/>
      <c r="BH50" s="5190"/>
      <c r="BI50" s="5190"/>
      <c r="BJ50" s="5190"/>
      <c r="BK50" s="5190"/>
      <c r="BL50" s="5190"/>
      <c r="BM50" s="5190"/>
      <c r="BN50" s="5190"/>
      <c r="BO50" s="5190"/>
      <c r="BP50" s="5190"/>
      <c r="BQ50" s="5190"/>
      <c r="BR50" s="5190"/>
      <c r="BS50" s="5190"/>
      <c r="BT50" s="5190"/>
      <c r="BU50" s="5190"/>
      <c r="BV50" s="5190"/>
      <c r="BW50" s="5190"/>
      <c r="BX50" s="5190"/>
      <c r="BY50" s="5190"/>
      <c r="BZ50" s="5190"/>
      <c r="CA50" s="5190"/>
      <c r="CB50" s="5190"/>
      <c r="CC50" s="5190"/>
      <c r="CD50" s="5190"/>
      <c r="CE50" s="5190"/>
      <c r="CF50" s="5190"/>
      <c r="CG50" s="5190"/>
      <c r="CH50" s="5190"/>
      <c r="CI50" s="5190"/>
      <c r="CJ50" s="5190"/>
      <c r="CK50" s="5190"/>
      <c r="CL50" s="5190"/>
      <c r="CM50" s="5190"/>
      <c r="CN50" s="5190"/>
      <c r="CO50" s="5190"/>
      <c r="CP50" s="5190"/>
      <c r="CQ50" s="5190"/>
      <c r="CR50" s="5190"/>
      <c r="CS50" s="5190"/>
      <c r="CT50" s="5190"/>
      <c r="CU50" s="5497"/>
      <c r="CV50" s="5495"/>
    </row>
    <row r="51" spans="1:104" s="3585" customFormat="1" x14ac:dyDescent="0.3">
      <c r="A51" s="3575"/>
      <c r="B51" s="3575"/>
      <c r="C51" s="3575"/>
      <c r="D51" s="3575"/>
      <c r="E51" s="4175" t="s">
        <v>1815</v>
      </c>
      <c r="F51" s="5488">
        <v>6435</v>
      </c>
      <c r="G51" s="3556">
        <v>7874.7039999999997</v>
      </c>
      <c r="H51" s="3556"/>
      <c r="I51" s="3556">
        <f t="shared" si="30"/>
        <v>14309.704</v>
      </c>
      <c r="J51" s="3556"/>
      <c r="K51" s="3556"/>
      <c r="L51" s="3556"/>
      <c r="M51" s="3556"/>
      <c r="N51" s="3556">
        <f t="shared" si="31"/>
        <v>14309.704</v>
      </c>
      <c r="O51" s="3556"/>
      <c r="P51" s="3556"/>
      <c r="Q51" s="3556"/>
      <c r="R51" s="3556"/>
      <c r="S51" s="3556"/>
      <c r="T51" s="3556"/>
      <c r="U51" s="5489"/>
      <c r="V51" s="3556"/>
      <c r="W51" s="3556"/>
      <c r="X51" s="5490">
        <f t="shared" si="32"/>
        <v>14309.704</v>
      </c>
      <c r="Y51" s="5491">
        <v>55</v>
      </c>
      <c r="Z51" s="3556">
        <v>38.268000000000001</v>
      </c>
      <c r="AA51" s="3556"/>
      <c r="AB51" s="3556">
        <f t="shared" si="0"/>
        <v>93.268000000000001</v>
      </c>
      <c r="AC51" s="3556"/>
      <c r="AD51" s="3556"/>
      <c r="AE51" s="3556"/>
      <c r="AF51" s="5491">
        <f t="shared" si="1"/>
        <v>0</v>
      </c>
      <c r="AG51" s="3556">
        <f t="shared" si="2"/>
        <v>93.268000000000001</v>
      </c>
      <c r="AH51" s="3556"/>
      <c r="AI51" s="3556"/>
      <c r="AJ51" s="3556"/>
      <c r="AK51" s="3556">
        <f t="shared" si="3"/>
        <v>0</v>
      </c>
      <c r="AL51" s="3556"/>
      <c r="AM51" s="3556"/>
      <c r="AN51" s="5489"/>
      <c r="AO51" s="3556">
        <f t="shared" si="33"/>
        <v>0</v>
      </c>
      <c r="AP51" s="3556">
        <f t="shared" si="34"/>
        <v>0</v>
      </c>
      <c r="AQ51" s="5492">
        <f t="shared" si="35"/>
        <v>93.268000000000001</v>
      </c>
      <c r="AR51" s="3555">
        <f t="shared" si="36"/>
        <v>14402.972</v>
      </c>
      <c r="AS51" s="3593"/>
      <c r="AT51" s="5493"/>
      <c r="AU51" s="4496">
        <f t="shared" si="37"/>
        <v>6490</v>
      </c>
      <c r="AV51" s="4894"/>
      <c r="AW51" s="5190">
        <f t="shared" si="38"/>
        <v>7912.9719999999998</v>
      </c>
      <c r="AX51" s="5191"/>
      <c r="AY51" s="5502">
        <f t="shared" si="39"/>
        <v>14402.972</v>
      </c>
      <c r="AZ51" s="4894"/>
      <c r="BA51" s="3562">
        <f t="shared" si="6"/>
        <v>0</v>
      </c>
      <c r="BB51" s="3561"/>
      <c r="BC51" s="3561">
        <f t="shared" si="7"/>
        <v>14402.972</v>
      </c>
      <c r="BD51" s="3561"/>
      <c r="BE51" s="3562">
        <f t="shared" si="8"/>
        <v>0</v>
      </c>
      <c r="BF51" s="3561"/>
      <c r="BG51" s="3561">
        <f t="shared" si="9"/>
        <v>14402.972</v>
      </c>
      <c r="BH51" s="3561"/>
      <c r="BI51" s="3562">
        <f t="shared" si="10"/>
        <v>0</v>
      </c>
      <c r="BJ51" s="3561"/>
      <c r="BK51" s="3561">
        <f t="shared" si="11"/>
        <v>14402.972</v>
      </c>
      <c r="BL51" s="3561"/>
      <c r="BM51" s="3562">
        <f t="shared" si="12"/>
        <v>0</v>
      </c>
      <c r="BN51" s="3561"/>
      <c r="BO51" s="3561">
        <f t="shared" si="13"/>
        <v>0</v>
      </c>
      <c r="BP51" s="3561"/>
      <c r="BQ51" s="3561">
        <f t="shared" si="14"/>
        <v>14402.972</v>
      </c>
      <c r="BR51" s="3561"/>
      <c r="BS51" s="3562">
        <f t="shared" si="15"/>
        <v>0</v>
      </c>
      <c r="BT51" s="3561"/>
      <c r="BU51" s="3561">
        <f t="shared" si="16"/>
        <v>14402.972</v>
      </c>
      <c r="BV51" s="3561"/>
      <c r="BW51" s="3562">
        <f t="shared" si="17"/>
        <v>0</v>
      </c>
      <c r="BX51" s="3561"/>
      <c r="BY51" s="3561">
        <f t="shared" si="18"/>
        <v>14402.972</v>
      </c>
      <c r="BZ51" s="3561"/>
      <c r="CA51" s="3562">
        <f t="shared" si="19"/>
        <v>0</v>
      </c>
      <c r="CB51" s="3561"/>
      <c r="CC51" s="3561">
        <f t="shared" si="20"/>
        <v>0</v>
      </c>
      <c r="CD51" s="3561"/>
      <c r="CE51" s="3561">
        <f t="shared" si="21"/>
        <v>14402.972</v>
      </c>
      <c r="CF51" s="3561"/>
      <c r="CG51" s="3562">
        <f t="shared" si="22"/>
        <v>0</v>
      </c>
      <c r="CH51" s="3561"/>
      <c r="CI51" s="3561">
        <f t="shared" si="23"/>
        <v>14402.972</v>
      </c>
      <c r="CJ51" s="3561"/>
      <c r="CK51" s="3562">
        <f t="shared" si="24"/>
        <v>0</v>
      </c>
      <c r="CL51" s="3561"/>
      <c r="CM51" s="3561">
        <f t="shared" si="25"/>
        <v>14402.972</v>
      </c>
      <c r="CN51" s="3561"/>
      <c r="CO51" s="3562">
        <f t="shared" si="26"/>
        <v>0</v>
      </c>
      <c r="CP51" s="3561"/>
      <c r="CQ51" s="3561">
        <f t="shared" si="27"/>
        <v>0</v>
      </c>
      <c r="CR51" s="3561"/>
      <c r="CS51" s="3561">
        <f t="shared" si="28"/>
        <v>0</v>
      </c>
      <c r="CT51" s="3561"/>
      <c r="CU51" s="5494">
        <f t="shared" si="29"/>
        <v>14402.972</v>
      </c>
      <c r="CV51" s="5495"/>
    </row>
    <row r="52" spans="1:104" s="3585" customFormat="1" x14ac:dyDescent="0.3">
      <c r="A52" s="3575"/>
      <c r="B52" s="3575"/>
      <c r="C52" s="3575"/>
      <c r="D52" s="3575"/>
      <c r="E52" s="4175" t="s">
        <v>1159</v>
      </c>
      <c r="F52" s="5488">
        <v>5751</v>
      </c>
      <c r="G52" s="3556">
        <v>5300.1180000000004</v>
      </c>
      <c r="H52" s="3556"/>
      <c r="I52" s="3556">
        <f t="shared" si="30"/>
        <v>11051.118</v>
      </c>
      <c r="J52" s="3556"/>
      <c r="K52" s="3556"/>
      <c r="L52" s="3556"/>
      <c r="M52" s="3556"/>
      <c r="N52" s="3556">
        <f t="shared" si="31"/>
        <v>11051.118</v>
      </c>
      <c r="O52" s="3556"/>
      <c r="P52" s="3556"/>
      <c r="Q52" s="3556"/>
      <c r="R52" s="3556"/>
      <c r="S52" s="3556"/>
      <c r="T52" s="3556"/>
      <c r="U52" s="5489"/>
      <c r="V52" s="3556"/>
      <c r="W52" s="3556"/>
      <c r="X52" s="5490">
        <f t="shared" si="32"/>
        <v>11051.118</v>
      </c>
      <c r="Y52" s="5491">
        <v>4250</v>
      </c>
      <c r="Z52" s="3556">
        <v>1203.316</v>
      </c>
      <c r="AA52" s="3556"/>
      <c r="AB52" s="3556">
        <f t="shared" si="0"/>
        <v>5453.3159999999998</v>
      </c>
      <c r="AC52" s="3556"/>
      <c r="AD52" s="3556"/>
      <c r="AE52" s="3556"/>
      <c r="AF52" s="5491">
        <f t="shared" si="1"/>
        <v>0</v>
      </c>
      <c r="AG52" s="3556">
        <f t="shared" si="2"/>
        <v>5453.3159999999998</v>
      </c>
      <c r="AH52" s="3556"/>
      <c r="AI52" s="3556"/>
      <c r="AJ52" s="3556"/>
      <c r="AK52" s="3556">
        <f t="shared" si="3"/>
        <v>0</v>
      </c>
      <c r="AL52" s="3556"/>
      <c r="AM52" s="3556"/>
      <c r="AN52" s="5489"/>
      <c r="AO52" s="3556">
        <f t="shared" si="33"/>
        <v>0</v>
      </c>
      <c r="AP52" s="3556">
        <f t="shared" si="34"/>
        <v>0</v>
      </c>
      <c r="AQ52" s="5492">
        <f t="shared" si="35"/>
        <v>5453.3159999999998</v>
      </c>
      <c r="AR52" s="3555">
        <f t="shared" si="36"/>
        <v>16504.434000000001</v>
      </c>
      <c r="AS52" s="3593"/>
      <c r="AT52" s="5493"/>
      <c r="AU52" s="4496">
        <f t="shared" si="37"/>
        <v>10001</v>
      </c>
      <c r="AV52" s="4894"/>
      <c r="AW52" s="5190">
        <f t="shared" si="38"/>
        <v>6503.4340000000002</v>
      </c>
      <c r="AX52" s="5191"/>
      <c r="AY52" s="5502">
        <f t="shared" si="39"/>
        <v>16504.434000000001</v>
      </c>
      <c r="AZ52" s="4894"/>
      <c r="BA52" s="3562">
        <f t="shared" si="6"/>
        <v>0</v>
      </c>
      <c r="BB52" s="3561"/>
      <c r="BC52" s="3561">
        <f t="shared" si="7"/>
        <v>16504.434000000001</v>
      </c>
      <c r="BD52" s="3561"/>
      <c r="BE52" s="3562">
        <f t="shared" si="8"/>
        <v>0</v>
      </c>
      <c r="BF52" s="3561"/>
      <c r="BG52" s="3561">
        <f t="shared" si="9"/>
        <v>16504.434000000001</v>
      </c>
      <c r="BH52" s="3561"/>
      <c r="BI52" s="3562">
        <f t="shared" si="10"/>
        <v>0</v>
      </c>
      <c r="BJ52" s="3561"/>
      <c r="BK52" s="3561">
        <f t="shared" si="11"/>
        <v>16504.434000000001</v>
      </c>
      <c r="BL52" s="3561"/>
      <c r="BM52" s="3562">
        <f t="shared" si="12"/>
        <v>0</v>
      </c>
      <c r="BN52" s="3561"/>
      <c r="BO52" s="3561">
        <f t="shared" si="13"/>
        <v>0</v>
      </c>
      <c r="BP52" s="3561"/>
      <c r="BQ52" s="3561">
        <f t="shared" si="14"/>
        <v>16504.434000000001</v>
      </c>
      <c r="BR52" s="3561"/>
      <c r="BS52" s="3562">
        <f t="shared" si="15"/>
        <v>0</v>
      </c>
      <c r="BT52" s="3561"/>
      <c r="BU52" s="3561">
        <f t="shared" si="16"/>
        <v>16504.434000000001</v>
      </c>
      <c r="BV52" s="3561"/>
      <c r="BW52" s="3562">
        <f t="shared" si="17"/>
        <v>0</v>
      </c>
      <c r="BX52" s="3561"/>
      <c r="BY52" s="3561">
        <f t="shared" si="18"/>
        <v>16504.434000000001</v>
      </c>
      <c r="BZ52" s="3561"/>
      <c r="CA52" s="3562">
        <f t="shared" si="19"/>
        <v>0</v>
      </c>
      <c r="CB52" s="3561"/>
      <c r="CC52" s="3561">
        <f t="shared" si="20"/>
        <v>0</v>
      </c>
      <c r="CD52" s="3561"/>
      <c r="CE52" s="3561">
        <f t="shared" si="21"/>
        <v>16504.434000000001</v>
      </c>
      <c r="CF52" s="3561"/>
      <c r="CG52" s="3562">
        <f t="shared" si="22"/>
        <v>0</v>
      </c>
      <c r="CH52" s="3561"/>
      <c r="CI52" s="3561">
        <f t="shared" si="23"/>
        <v>16504.434000000001</v>
      </c>
      <c r="CJ52" s="3561"/>
      <c r="CK52" s="3562">
        <f t="shared" si="24"/>
        <v>0</v>
      </c>
      <c r="CL52" s="3561"/>
      <c r="CM52" s="3561">
        <f t="shared" si="25"/>
        <v>16504.434000000001</v>
      </c>
      <c r="CN52" s="3561"/>
      <c r="CO52" s="3562">
        <f t="shared" si="26"/>
        <v>0</v>
      </c>
      <c r="CP52" s="3561"/>
      <c r="CQ52" s="3561">
        <f t="shared" si="27"/>
        <v>0</v>
      </c>
      <c r="CR52" s="3561"/>
      <c r="CS52" s="3561">
        <f t="shared" si="28"/>
        <v>0</v>
      </c>
      <c r="CT52" s="3561"/>
      <c r="CU52" s="5494">
        <f t="shared" si="29"/>
        <v>16504.434000000001</v>
      </c>
      <c r="CV52" s="5495"/>
    </row>
    <row r="53" spans="1:104" x14ac:dyDescent="0.3">
      <c r="A53" s="3608"/>
      <c r="B53" s="3608"/>
      <c r="C53" s="3608"/>
      <c r="D53" s="3608"/>
      <c r="E53" s="4175" t="s">
        <v>1867</v>
      </c>
      <c r="F53" s="3589"/>
      <c r="G53" s="3556"/>
      <c r="H53" s="3556"/>
      <c r="I53" s="3596">
        <f t="shared" si="30"/>
        <v>0</v>
      </c>
      <c r="J53" s="3556"/>
      <c r="K53" s="3556"/>
      <c r="L53" s="3556"/>
      <c r="M53" s="3596"/>
      <c r="N53" s="3595">
        <f t="shared" si="31"/>
        <v>0</v>
      </c>
      <c r="O53" s="3553"/>
      <c r="P53" s="3553"/>
      <c r="Q53" s="3556"/>
      <c r="R53" s="3596"/>
      <c r="S53" s="3556"/>
      <c r="T53" s="3556"/>
      <c r="U53" s="3594"/>
      <c r="V53" s="3596"/>
      <c r="W53" s="3595"/>
      <c r="X53" s="3566">
        <f t="shared" si="32"/>
        <v>0</v>
      </c>
      <c r="Y53" s="3565">
        <v>79251</v>
      </c>
      <c r="Z53" s="3556">
        <v>35021.597999999998</v>
      </c>
      <c r="AA53" s="3556"/>
      <c r="AB53" s="3596">
        <f t="shared" si="0"/>
        <v>114272.598</v>
      </c>
      <c r="AC53" s="3556"/>
      <c r="AD53" s="3556"/>
      <c r="AE53" s="3556"/>
      <c r="AF53" s="3564">
        <f t="shared" si="1"/>
        <v>0</v>
      </c>
      <c r="AG53" s="3595">
        <f t="shared" si="2"/>
        <v>114272.598</v>
      </c>
      <c r="AH53" s="3553"/>
      <c r="AI53" s="3553"/>
      <c r="AJ53" s="3553"/>
      <c r="AK53" s="3596">
        <f t="shared" si="3"/>
        <v>0</v>
      </c>
      <c r="AL53" s="3556"/>
      <c r="AM53" s="3556"/>
      <c r="AN53" s="3594"/>
      <c r="AO53" s="3596">
        <f t="shared" si="33"/>
        <v>0</v>
      </c>
      <c r="AP53" s="3595">
        <f t="shared" si="34"/>
        <v>0</v>
      </c>
      <c r="AQ53" s="3563">
        <f t="shared" si="35"/>
        <v>114272.598</v>
      </c>
      <c r="AR53" s="3555">
        <f t="shared" si="36"/>
        <v>114272.598</v>
      </c>
      <c r="AS53" s="3593"/>
      <c r="AT53" s="3558"/>
      <c r="AU53" s="4496">
        <f t="shared" si="37"/>
        <v>79251</v>
      </c>
      <c r="AV53" s="4894"/>
      <c r="AW53" s="5190">
        <f t="shared" si="38"/>
        <v>35021.597999999998</v>
      </c>
      <c r="AX53" s="5191"/>
      <c r="AY53" s="5502">
        <f t="shared" si="39"/>
        <v>114272.598</v>
      </c>
      <c r="AZ53" s="4894"/>
      <c r="BA53" s="3562">
        <f t="shared" si="6"/>
        <v>0</v>
      </c>
      <c r="BB53" s="3560"/>
      <c r="BC53" s="3560">
        <f t="shared" si="7"/>
        <v>114272.598</v>
      </c>
      <c r="BD53" s="3561"/>
      <c r="BE53" s="3562">
        <f t="shared" si="8"/>
        <v>0</v>
      </c>
      <c r="BF53" s="3559"/>
      <c r="BG53" s="3559">
        <f t="shared" si="9"/>
        <v>114272.598</v>
      </c>
      <c r="BH53" s="3561"/>
      <c r="BI53" s="3562">
        <f t="shared" si="10"/>
        <v>0</v>
      </c>
      <c r="BJ53" s="3559"/>
      <c r="BK53" s="3559">
        <f t="shared" si="11"/>
        <v>114272.598</v>
      </c>
      <c r="BL53" s="3561"/>
      <c r="BM53" s="3562">
        <f t="shared" si="12"/>
        <v>0</v>
      </c>
      <c r="BN53" s="3561"/>
      <c r="BO53" s="3560">
        <f t="shared" si="13"/>
        <v>0</v>
      </c>
      <c r="BP53" s="3561"/>
      <c r="BQ53" s="3578">
        <f t="shared" si="14"/>
        <v>114272.598</v>
      </c>
      <c r="BR53" s="3561"/>
      <c r="BS53" s="3562">
        <f t="shared" si="15"/>
        <v>0</v>
      </c>
      <c r="BT53" s="3559"/>
      <c r="BU53" s="3559">
        <f t="shared" si="16"/>
        <v>114272.598</v>
      </c>
      <c r="BV53" s="3561"/>
      <c r="BW53" s="3562">
        <f t="shared" si="17"/>
        <v>0</v>
      </c>
      <c r="BX53" s="3561"/>
      <c r="BY53" s="3561">
        <f t="shared" si="18"/>
        <v>114272.598</v>
      </c>
      <c r="BZ53" s="3561"/>
      <c r="CA53" s="3562">
        <f t="shared" si="19"/>
        <v>0</v>
      </c>
      <c r="CB53" s="3561"/>
      <c r="CC53" s="3560">
        <f t="shared" si="20"/>
        <v>0</v>
      </c>
      <c r="CD53" s="3559"/>
      <c r="CE53" s="3559">
        <f t="shared" si="21"/>
        <v>114272.598</v>
      </c>
      <c r="CF53" s="3561"/>
      <c r="CG53" s="3562">
        <f t="shared" si="22"/>
        <v>0</v>
      </c>
      <c r="CH53" s="3561"/>
      <c r="CI53" s="3561">
        <f t="shared" si="23"/>
        <v>114272.598</v>
      </c>
      <c r="CJ53" s="3561"/>
      <c r="CK53" s="3562">
        <f t="shared" si="24"/>
        <v>0</v>
      </c>
      <c r="CL53" s="3559"/>
      <c r="CM53" s="3559">
        <f t="shared" si="25"/>
        <v>114272.598</v>
      </c>
      <c r="CN53" s="3561"/>
      <c r="CO53" s="3562">
        <f t="shared" si="26"/>
        <v>0</v>
      </c>
      <c r="CP53" s="3561"/>
      <c r="CQ53" s="3560">
        <f t="shared" si="27"/>
        <v>0</v>
      </c>
      <c r="CR53" s="3561"/>
      <c r="CS53" s="3578">
        <f t="shared" si="28"/>
        <v>0</v>
      </c>
      <c r="CT53" s="3559"/>
      <c r="CU53" s="3580">
        <f t="shared" si="29"/>
        <v>114272.598</v>
      </c>
      <c r="CV53" s="4814"/>
    </row>
    <row r="54" spans="1:104" x14ac:dyDescent="0.3">
      <c r="A54" s="3608"/>
      <c r="B54" s="3608"/>
      <c r="C54" s="3608"/>
      <c r="D54" s="3608"/>
      <c r="E54" s="4175" t="s">
        <v>1868</v>
      </c>
      <c r="F54" s="3589">
        <v>249</v>
      </c>
      <c r="G54" s="3556">
        <v>259.37200000000001</v>
      </c>
      <c r="H54" s="3556"/>
      <c r="I54" s="3596">
        <f t="shared" si="30"/>
        <v>508.37200000000001</v>
      </c>
      <c r="J54" s="3556"/>
      <c r="K54" s="3556"/>
      <c r="L54" s="3556"/>
      <c r="M54" s="3596"/>
      <c r="N54" s="3595">
        <f t="shared" si="31"/>
        <v>508.37200000000001</v>
      </c>
      <c r="O54" s="3553"/>
      <c r="P54" s="3553"/>
      <c r="Q54" s="3556"/>
      <c r="R54" s="3596"/>
      <c r="S54" s="3556"/>
      <c r="T54" s="3556"/>
      <c r="U54" s="3594"/>
      <c r="V54" s="3596"/>
      <c r="W54" s="3595"/>
      <c r="X54" s="3566">
        <f t="shared" si="32"/>
        <v>508.37200000000001</v>
      </c>
      <c r="Y54" s="3565">
        <v>1012</v>
      </c>
      <c r="Z54" s="3556">
        <v>333.78199999999998</v>
      </c>
      <c r="AA54" s="3556"/>
      <c r="AB54" s="3596">
        <f t="shared" si="0"/>
        <v>1345.7819999999999</v>
      </c>
      <c r="AC54" s="3556"/>
      <c r="AD54" s="3556"/>
      <c r="AE54" s="3556"/>
      <c r="AF54" s="3564">
        <f t="shared" si="1"/>
        <v>0</v>
      </c>
      <c r="AG54" s="3595">
        <f t="shared" si="2"/>
        <v>1345.7819999999999</v>
      </c>
      <c r="AH54" s="3553"/>
      <c r="AI54" s="3553"/>
      <c r="AJ54" s="3553"/>
      <c r="AK54" s="3596">
        <f t="shared" si="3"/>
        <v>0</v>
      </c>
      <c r="AL54" s="3556"/>
      <c r="AM54" s="3556"/>
      <c r="AN54" s="3594"/>
      <c r="AO54" s="3596">
        <f t="shared" si="33"/>
        <v>0</v>
      </c>
      <c r="AP54" s="3595">
        <f t="shared" si="34"/>
        <v>0</v>
      </c>
      <c r="AQ54" s="3563">
        <f t="shared" si="35"/>
        <v>1345.7819999999999</v>
      </c>
      <c r="AR54" s="3555">
        <f t="shared" si="36"/>
        <v>1854.154</v>
      </c>
      <c r="AS54" s="3593"/>
      <c r="AT54" s="3558"/>
      <c r="AU54" s="4496">
        <f t="shared" si="37"/>
        <v>1261</v>
      </c>
      <c r="AV54" s="4894"/>
      <c r="AW54" s="5190">
        <f t="shared" si="38"/>
        <v>593.154</v>
      </c>
      <c r="AX54" s="5191"/>
      <c r="AY54" s="5502">
        <f t="shared" si="39"/>
        <v>1854.154</v>
      </c>
      <c r="AZ54" s="4894"/>
      <c r="BA54" s="3562">
        <f t="shared" si="6"/>
        <v>0</v>
      </c>
      <c r="BB54" s="3560"/>
      <c r="BC54" s="3560">
        <f t="shared" si="7"/>
        <v>1854.154</v>
      </c>
      <c r="BD54" s="3561"/>
      <c r="BE54" s="3562">
        <f t="shared" si="8"/>
        <v>0</v>
      </c>
      <c r="BF54" s="3559"/>
      <c r="BG54" s="3559">
        <f t="shared" si="9"/>
        <v>1854.154</v>
      </c>
      <c r="BH54" s="3561"/>
      <c r="BI54" s="3562">
        <f t="shared" si="10"/>
        <v>0</v>
      </c>
      <c r="BJ54" s="3559"/>
      <c r="BK54" s="3559">
        <f t="shared" si="11"/>
        <v>1854.154</v>
      </c>
      <c r="BL54" s="3561"/>
      <c r="BM54" s="3562">
        <f t="shared" si="12"/>
        <v>0</v>
      </c>
      <c r="BN54" s="3561"/>
      <c r="BO54" s="3560">
        <f t="shared" si="13"/>
        <v>0</v>
      </c>
      <c r="BP54" s="3561"/>
      <c r="BQ54" s="3578">
        <f t="shared" si="14"/>
        <v>1854.154</v>
      </c>
      <c r="BR54" s="3561"/>
      <c r="BS54" s="3562">
        <f t="shared" si="15"/>
        <v>0</v>
      </c>
      <c r="BT54" s="3559"/>
      <c r="BU54" s="3559">
        <f t="shared" si="16"/>
        <v>1854.154</v>
      </c>
      <c r="BV54" s="3561"/>
      <c r="BW54" s="3562">
        <f t="shared" si="17"/>
        <v>0</v>
      </c>
      <c r="BX54" s="3561"/>
      <c r="BY54" s="3561">
        <f t="shared" si="18"/>
        <v>1854.154</v>
      </c>
      <c r="BZ54" s="3561"/>
      <c r="CA54" s="3562">
        <f t="shared" si="19"/>
        <v>0</v>
      </c>
      <c r="CB54" s="3561"/>
      <c r="CC54" s="3560">
        <f t="shared" si="20"/>
        <v>0</v>
      </c>
      <c r="CD54" s="3559"/>
      <c r="CE54" s="3559">
        <f t="shared" si="21"/>
        <v>1854.154</v>
      </c>
      <c r="CF54" s="3561"/>
      <c r="CG54" s="3562">
        <f t="shared" si="22"/>
        <v>0</v>
      </c>
      <c r="CH54" s="3561"/>
      <c r="CI54" s="3561">
        <f t="shared" si="23"/>
        <v>1854.154</v>
      </c>
      <c r="CJ54" s="3561"/>
      <c r="CK54" s="3562">
        <f t="shared" si="24"/>
        <v>0</v>
      </c>
      <c r="CL54" s="3559"/>
      <c r="CM54" s="3559">
        <f t="shared" si="25"/>
        <v>1854.154</v>
      </c>
      <c r="CN54" s="3561"/>
      <c r="CO54" s="3562">
        <f t="shared" si="26"/>
        <v>0</v>
      </c>
      <c r="CP54" s="3561"/>
      <c r="CQ54" s="3560">
        <f t="shared" si="27"/>
        <v>0</v>
      </c>
      <c r="CR54" s="3561"/>
      <c r="CS54" s="3578">
        <f t="shared" si="28"/>
        <v>0</v>
      </c>
      <c r="CT54" s="3559"/>
      <c r="CU54" s="3580">
        <f t="shared" si="29"/>
        <v>1854.154</v>
      </c>
      <c r="CV54" s="4814"/>
    </row>
    <row r="55" spans="1:104" x14ac:dyDescent="0.3">
      <c r="A55" s="3608"/>
      <c r="B55" s="3608"/>
      <c r="C55" s="3608"/>
      <c r="D55" s="3608"/>
      <c r="E55" s="4175" t="s">
        <v>1360</v>
      </c>
      <c r="F55" s="3589"/>
      <c r="G55" s="3556"/>
      <c r="H55" s="3556"/>
      <c r="I55" s="3596">
        <f t="shared" si="30"/>
        <v>0</v>
      </c>
      <c r="J55" s="3556"/>
      <c r="K55" s="3556"/>
      <c r="L55" s="3556"/>
      <c r="M55" s="3596"/>
      <c r="N55" s="3595">
        <f t="shared" si="31"/>
        <v>0</v>
      </c>
      <c r="O55" s="3553"/>
      <c r="P55" s="3553"/>
      <c r="Q55" s="3556"/>
      <c r="R55" s="3596"/>
      <c r="S55" s="3556"/>
      <c r="T55" s="3556"/>
      <c r="U55" s="3594"/>
      <c r="V55" s="3596"/>
      <c r="W55" s="3595"/>
      <c r="X55" s="3566">
        <f t="shared" si="32"/>
        <v>0</v>
      </c>
      <c r="Y55" s="3565"/>
      <c r="Z55" s="3556"/>
      <c r="AA55" s="3556"/>
      <c r="AB55" s="3596">
        <f t="shared" si="0"/>
        <v>0</v>
      </c>
      <c r="AC55" s="3556"/>
      <c r="AD55" s="3556"/>
      <c r="AE55" s="3556"/>
      <c r="AF55" s="3564">
        <f t="shared" si="1"/>
        <v>0</v>
      </c>
      <c r="AG55" s="3595">
        <f t="shared" si="2"/>
        <v>0</v>
      </c>
      <c r="AH55" s="3553"/>
      <c r="AI55" s="3553"/>
      <c r="AJ55" s="3553"/>
      <c r="AK55" s="3596">
        <f t="shared" si="3"/>
        <v>0</v>
      </c>
      <c r="AL55" s="3556"/>
      <c r="AM55" s="3556"/>
      <c r="AN55" s="3594"/>
      <c r="AO55" s="3596">
        <f t="shared" si="33"/>
        <v>0</v>
      </c>
      <c r="AP55" s="3595">
        <f t="shared" si="34"/>
        <v>0</v>
      </c>
      <c r="AQ55" s="3563">
        <f t="shared" si="35"/>
        <v>0</v>
      </c>
      <c r="AR55" s="3555">
        <f t="shared" si="36"/>
        <v>0</v>
      </c>
      <c r="AS55" s="3593"/>
      <c r="AT55" s="3558"/>
      <c r="AU55" s="4496">
        <f t="shared" ref="AU55" si="96">+F55+Y55</f>
        <v>0</v>
      </c>
      <c r="AV55" s="4894"/>
      <c r="AW55" s="5190">
        <f t="shared" ref="AW55" si="97">+G55+Z55</f>
        <v>0</v>
      </c>
      <c r="AX55" s="5191"/>
      <c r="AY55" s="5502">
        <f t="shared" si="39"/>
        <v>0</v>
      </c>
      <c r="AZ55" s="4894"/>
      <c r="BA55" s="3562">
        <f t="shared" ref="BA55" si="98">+H55+AA55</f>
        <v>0</v>
      </c>
      <c r="BB55" s="3560"/>
      <c r="BC55" s="3560">
        <f t="shared" ref="BC55" si="99">AU55+AW55+BA55</f>
        <v>0</v>
      </c>
      <c r="BD55" s="3561"/>
      <c r="BE55" s="3562">
        <f t="shared" si="8"/>
        <v>0</v>
      </c>
      <c r="BF55" s="3559"/>
      <c r="BG55" s="3559">
        <f t="shared" si="9"/>
        <v>0</v>
      </c>
      <c r="BH55" s="3561"/>
      <c r="BI55" s="3562">
        <f t="shared" si="10"/>
        <v>0</v>
      </c>
      <c r="BJ55" s="3559"/>
      <c r="BK55" s="3559">
        <f t="shared" si="11"/>
        <v>0</v>
      </c>
      <c r="BL55" s="3561"/>
      <c r="BM55" s="3562">
        <f t="shared" si="12"/>
        <v>0</v>
      </c>
      <c r="BN55" s="3561"/>
      <c r="BO55" s="3560">
        <f t="shared" si="13"/>
        <v>0</v>
      </c>
      <c r="BP55" s="3561"/>
      <c r="BQ55" s="3578">
        <f t="shared" si="14"/>
        <v>0</v>
      </c>
      <c r="BR55" s="3561"/>
      <c r="BS55" s="3562">
        <f t="shared" si="15"/>
        <v>0</v>
      </c>
      <c r="BT55" s="3559"/>
      <c r="BU55" s="3559">
        <f t="shared" si="16"/>
        <v>0</v>
      </c>
      <c r="BV55" s="3561"/>
      <c r="BW55" s="3562">
        <f t="shared" si="17"/>
        <v>0</v>
      </c>
      <c r="BX55" s="3561"/>
      <c r="BY55" s="3561">
        <f t="shared" si="18"/>
        <v>0</v>
      </c>
      <c r="BZ55" s="3561"/>
      <c r="CA55" s="3562">
        <f t="shared" si="19"/>
        <v>0</v>
      </c>
      <c r="CB55" s="3561"/>
      <c r="CC55" s="3560">
        <f t="shared" si="20"/>
        <v>0</v>
      </c>
      <c r="CD55" s="3559"/>
      <c r="CE55" s="3559">
        <f t="shared" si="21"/>
        <v>0</v>
      </c>
      <c r="CF55" s="3561"/>
      <c r="CG55" s="3562">
        <f t="shared" si="22"/>
        <v>0</v>
      </c>
      <c r="CH55" s="3561"/>
      <c r="CI55" s="3561">
        <f t="shared" si="23"/>
        <v>0</v>
      </c>
      <c r="CJ55" s="3561"/>
      <c r="CK55" s="3562">
        <f t="shared" si="24"/>
        <v>0</v>
      </c>
      <c r="CL55" s="3559"/>
      <c r="CM55" s="3559">
        <f t="shared" si="25"/>
        <v>0</v>
      </c>
      <c r="CN55" s="3561"/>
      <c r="CO55" s="3562">
        <f t="shared" si="26"/>
        <v>0</v>
      </c>
      <c r="CP55" s="3561"/>
      <c r="CQ55" s="3560">
        <f t="shared" si="27"/>
        <v>0</v>
      </c>
      <c r="CR55" s="3561"/>
      <c r="CS55" s="3578">
        <f t="shared" si="28"/>
        <v>0</v>
      </c>
      <c r="CT55" s="3559"/>
      <c r="CU55" s="3580">
        <f t="shared" si="29"/>
        <v>0</v>
      </c>
      <c r="CV55" s="4814"/>
    </row>
    <row r="56" spans="1:104" x14ac:dyDescent="0.3">
      <c r="A56" s="3608"/>
      <c r="B56" s="3608"/>
      <c r="C56" s="3608"/>
      <c r="D56" s="3608"/>
      <c r="E56" s="4175" t="s">
        <v>1941</v>
      </c>
      <c r="F56" s="3589"/>
      <c r="G56" s="3556"/>
      <c r="H56" s="3556"/>
      <c r="I56" s="3596">
        <f t="shared" si="30"/>
        <v>0</v>
      </c>
      <c r="J56" s="3556"/>
      <c r="K56" s="3556"/>
      <c r="L56" s="3556"/>
      <c r="M56" s="3596"/>
      <c r="N56" s="3595">
        <f t="shared" si="31"/>
        <v>0</v>
      </c>
      <c r="O56" s="3553"/>
      <c r="P56" s="3553"/>
      <c r="Q56" s="3556"/>
      <c r="R56" s="3596"/>
      <c r="S56" s="3556"/>
      <c r="T56" s="3556"/>
      <c r="U56" s="3594"/>
      <c r="V56" s="3596"/>
      <c r="W56" s="3595"/>
      <c r="X56" s="3566">
        <f t="shared" si="32"/>
        <v>0</v>
      </c>
      <c r="Y56" s="3565"/>
      <c r="Z56" s="3556"/>
      <c r="AA56" s="3556"/>
      <c r="AB56" s="3596">
        <f t="shared" si="0"/>
        <v>0</v>
      </c>
      <c r="AC56" s="3556"/>
      <c r="AD56" s="3556"/>
      <c r="AE56" s="3556"/>
      <c r="AF56" s="3564">
        <f t="shared" si="1"/>
        <v>0</v>
      </c>
      <c r="AG56" s="3595">
        <f t="shared" si="2"/>
        <v>0</v>
      </c>
      <c r="AH56" s="3553"/>
      <c r="AI56" s="3553"/>
      <c r="AJ56" s="3553"/>
      <c r="AK56" s="3596">
        <f t="shared" si="3"/>
        <v>0</v>
      </c>
      <c r="AL56" s="3556"/>
      <c r="AM56" s="3556"/>
      <c r="AN56" s="3594"/>
      <c r="AO56" s="3596">
        <f t="shared" si="33"/>
        <v>0</v>
      </c>
      <c r="AP56" s="3595">
        <f t="shared" si="34"/>
        <v>0</v>
      </c>
      <c r="AQ56" s="3563">
        <f t="shared" si="35"/>
        <v>0</v>
      </c>
      <c r="AR56" s="3555">
        <f t="shared" si="36"/>
        <v>0</v>
      </c>
      <c r="AS56" s="3593"/>
      <c r="AT56" s="3558"/>
      <c r="AU56" s="4496">
        <f t="shared" si="37"/>
        <v>0</v>
      </c>
      <c r="AV56" s="4894"/>
      <c r="AW56" s="5190">
        <f t="shared" si="38"/>
        <v>0</v>
      </c>
      <c r="AX56" s="5191"/>
      <c r="AY56" s="5502">
        <f t="shared" si="39"/>
        <v>0</v>
      </c>
      <c r="AZ56" s="4894"/>
      <c r="BA56" s="3562">
        <f t="shared" si="6"/>
        <v>0</v>
      </c>
      <c r="BB56" s="4419"/>
      <c r="BC56" s="3560">
        <f t="shared" si="7"/>
        <v>0</v>
      </c>
      <c r="BD56" s="4418"/>
      <c r="BE56" s="3562">
        <f t="shared" si="8"/>
        <v>0</v>
      </c>
      <c r="BF56" s="4420"/>
      <c r="BG56" s="3559">
        <f t="shared" si="9"/>
        <v>0</v>
      </c>
      <c r="BH56" s="4418"/>
      <c r="BI56" s="3562">
        <f t="shared" si="10"/>
        <v>0</v>
      </c>
      <c r="BJ56" s="4420"/>
      <c r="BK56" s="3559">
        <f t="shared" si="11"/>
        <v>0</v>
      </c>
      <c r="BL56" s="4418"/>
      <c r="BM56" s="3562">
        <f t="shared" si="12"/>
        <v>0</v>
      </c>
      <c r="BN56" s="4418"/>
      <c r="BO56" s="3560">
        <f t="shared" si="13"/>
        <v>0</v>
      </c>
      <c r="BP56" s="4418"/>
      <c r="BQ56" s="3578">
        <f t="shared" si="14"/>
        <v>0</v>
      </c>
      <c r="BR56" s="4418"/>
      <c r="BS56" s="3562">
        <f t="shared" si="15"/>
        <v>0</v>
      </c>
      <c r="BT56" s="4420"/>
      <c r="BU56" s="3559">
        <f t="shared" si="16"/>
        <v>0</v>
      </c>
      <c r="BV56" s="4418"/>
      <c r="BW56" s="3562">
        <f t="shared" si="17"/>
        <v>0</v>
      </c>
      <c r="BX56" s="4418"/>
      <c r="BY56" s="3561">
        <f t="shared" si="18"/>
        <v>0</v>
      </c>
      <c r="BZ56" s="4418"/>
      <c r="CA56" s="3562">
        <f t="shared" si="19"/>
        <v>0</v>
      </c>
      <c r="CB56" s="4418"/>
      <c r="CC56" s="3560">
        <f t="shared" si="20"/>
        <v>0</v>
      </c>
      <c r="CD56" s="4420"/>
      <c r="CE56" s="3559">
        <f t="shared" si="21"/>
        <v>0</v>
      </c>
      <c r="CF56" s="4418"/>
      <c r="CG56" s="3562">
        <f t="shared" si="22"/>
        <v>0</v>
      </c>
      <c r="CH56" s="4418"/>
      <c r="CI56" s="3561">
        <f t="shared" si="23"/>
        <v>0</v>
      </c>
      <c r="CJ56" s="4418"/>
      <c r="CK56" s="4418">
        <f t="shared" si="24"/>
        <v>0</v>
      </c>
      <c r="CL56" s="4420"/>
      <c r="CM56" s="4420">
        <f t="shared" si="25"/>
        <v>0</v>
      </c>
      <c r="CN56" s="4418"/>
      <c r="CO56" s="3562">
        <f t="shared" si="26"/>
        <v>0</v>
      </c>
      <c r="CP56" s="4418"/>
      <c r="CQ56" s="3560">
        <f t="shared" si="27"/>
        <v>0</v>
      </c>
      <c r="CR56" s="4418"/>
      <c r="CS56" s="3578">
        <f t="shared" si="28"/>
        <v>0</v>
      </c>
      <c r="CT56" s="4420"/>
      <c r="CU56" s="3580">
        <f t="shared" si="29"/>
        <v>0</v>
      </c>
      <c r="CV56" s="4814"/>
      <c r="CX56" s="595"/>
      <c r="CY56" s="595"/>
      <c r="CZ56" s="595"/>
    </row>
    <row r="57" spans="1:104" x14ac:dyDescent="0.3">
      <c r="A57" s="3608"/>
      <c r="B57" s="3608"/>
      <c r="C57" s="3608"/>
      <c r="D57" s="3608"/>
      <c r="E57" s="4175" t="s">
        <v>1358</v>
      </c>
      <c r="F57" s="3589"/>
      <c r="G57" s="3556"/>
      <c r="H57" s="3556"/>
      <c r="I57" s="3596">
        <f t="shared" si="30"/>
        <v>0</v>
      </c>
      <c r="J57" s="3556"/>
      <c r="K57" s="3556"/>
      <c r="L57" s="3556"/>
      <c r="M57" s="3596"/>
      <c r="N57" s="3595">
        <f t="shared" si="31"/>
        <v>0</v>
      </c>
      <c r="O57" s="3553"/>
      <c r="P57" s="3553"/>
      <c r="Q57" s="3556"/>
      <c r="R57" s="3596"/>
      <c r="S57" s="3556"/>
      <c r="T57" s="3556"/>
      <c r="U57" s="3594"/>
      <c r="V57" s="3596"/>
      <c r="W57" s="3595"/>
      <c r="X57" s="3566">
        <f t="shared" si="32"/>
        <v>0</v>
      </c>
      <c r="Y57" s="3565">
        <v>3259</v>
      </c>
      <c r="Z57" s="3556">
        <v>2081.3539999999998</v>
      </c>
      <c r="AA57" s="3556"/>
      <c r="AB57" s="3596">
        <f t="shared" si="0"/>
        <v>5340.3539999999994</v>
      </c>
      <c r="AC57" s="3556"/>
      <c r="AD57" s="3556"/>
      <c r="AE57" s="3556"/>
      <c r="AF57" s="3564">
        <f t="shared" si="1"/>
        <v>0</v>
      </c>
      <c r="AG57" s="3595">
        <f t="shared" ref="AG57:AG60" si="100">+AB57+AF57</f>
        <v>5340.3539999999994</v>
      </c>
      <c r="AH57" s="3553"/>
      <c r="AI57" s="3553"/>
      <c r="AJ57" s="3553"/>
      <c r="AK57" s="3596">
        <f t="shared" si="3"/>
        <v>0</v>
      </c>
      <c r="AL57" s="3556"/>
      <c r="AM57" s="3556"/>
      <c r="AN57" s="3594"/>
      <c r="AO57" s="3596">
        <f t="shared" ref="AO57:AO60" si="101">+AL57+AM57+AN57</f>
        <v>0</v>
      </c>
      <c r="AP57" s="3595">
        <f t="shared" ref="AP57:AP60" si="102">+AK57+AO57</f>
        <v>0</v>
      </c>
      <c r="AQ57" s="3563">
        <f t="shared" si="35"/>
        <v>5340.3539999999994</v>
      </c>
      <c r="AR57" s="3555">
        <f t="shared" si="36"/>
        <v>5340.3539999999994</v>
      </c>
      <c r="AS57" s="3593"/>
      <c r="AT57" s="3558"/>
      <c r="AU57" s="4496">
        <f t="shared" si="37"/>
        <v>3259</v>
      </c>
      <c r="AV57" s="4894"/>
      <c r="AW57" s="5190">
        <f t="shared" si="38"/>
        <v>2081.3539999999998</v>
      </c>
      <c r="AX57" s="5191"/>
      <c r="AY57" s="5502">
        <f t="shared" si="39"/>
        <v>5340.3539999999994</v>
      </c>
      <c r="AZ57" s="4894"/>
      <c r="BA57" s="3562">
        <f t="shared" si="6"/>
        <v>0</v>
      </c>
      <c r="BB57" s="3560"/>
      <c r="BC57" s="3560">
        <f t="shared" si="7"/>
        <v>5340.3539999999994</v>
      </c>
      <c r="BD57" s="3561"/>
      <c r="BE57" s="3562">
        <f t="shared" si="8"/>
        <v>0</v>
      </c>
      <c r="BF57" s="3559"/>
      <c r="BG57" s="3559">
        <f t="shared" si="9"/>
        <v>5340.3539999999994</v>
      </c>
      <c r="BH57" s="3561"/>
      <c r="BI57" s="3562">
        <f t="shared" si="10"/>
        <v>0</v>
      </c>
      <c r="BJ57" s="3559"/>
      <c r="BK57" s="3559">
        <f t="shared" si="11"/>
        <v>5340.3539999999994</v>
      </c>
      <c r="BL57" s="3561"/>
      <c r="BM57" s="3562">
        <f t="shared" si="12"/>
        <v>0</v>
      </c>
      <c r="BN57" s="3561"/>
      <c r="BO57" s="3560">
        <f t="shared" si="13"/>
        <v>0</v>
      </c>
      <c r="BP57" s="3561"/>
      <c r="BQ57" s="3578">
        <f t="shared" si="14"/>
        <v>5340.3539999999994</v>
      </c>
      <c r="BR57" s="3561"/>
      <c r="BS57" s="3562">
        <f t="shared" si="15"/>
        <v>0</v>
      </c>
      <c r="BT57" s="3559"/>
      <c r="BU57" s="3559">
        <f t="shared" si="16"/>
        <v>5340.3539999999994</v>
      </c>
      <c r="BV57" s="3561"/>
      <c r="BW57" s="3562">
        <f t="shared" si="17"/>
        <v>0</v>
      </c>
      <c r="BX57" s="3561"/>
      <c r="BY57" s="3561">
        <f t="shared" si="18"/>
        <v>5340.3539999999994</v>
      </c>
      <c r="BZ57" s="3561"/>
      <c r="CA57" s="3562">
        <f t="shared" si="19"/>
        <v>0</v>
      </c>
      <c r="CB57" s="3561"/>
      <c r="CC57" s="3560">
        <f t="shared" si="20"/>
        <v>0</v>
      </c>
      <c r="CD57" s="3559"/>
      <c r="CE57" s="3559">
        <f t="shared" si="21"/>
        <v>5340.3539999999994</v>
      </c>
      <c r="CF57" s="3561"/>
      <c r="CG57" s="3562">
        <f t="shared" si="22"/>
        <v>0</v>
      </c>
      <c r="CH57" s="3561"/>
      <c r="CI57" s="3561">
        <f t="shared" si="23"/>
        <v>5340.3539999999994</v>
      </c>
      <c r="CJ57" s="3561"/>
      <c r="CK57" s="3562">
        <f t="shared" si="24"/>
        <v>0</v>
      </c>
      <c r="CL57" s="3559"/>
      <c r="CM57" s="3559">
        <f t="shared" si="25"/>
        <v>5340.3539999999994</v>
      </c>
      <c r="CN57" s="3561"/>
      <c r="CO57" s="3562">
        <f t="shared" si="26"/>
        <v>0</v>
      </c>
      <c r="CP57" s="3561"/>
      <c r="CQ57" s="3560">
        <f t="shared" si="27"/>
        <v>0</v>
      </c>
      <c r="CR57" s="3561"/>
      <c r="CS57" s="3578">
        <f t="shared" si="28"/>
        <v>0</v>
      </c>
      <c r="CT57" s="3559"/>
      <c r="CU57" s="3580">
        <f t="shared" si="29"/>
        <v>5340.3539999999994</v>
      </c>
      <c r="CV57" s="4814"/>
      <c r="CX57" s="595"/>
      <c r="CY57" s="595"/>
      <c r="CZ57" s="595"/>
    </row>
    <row r="58" spans="1:104" s="3585" customFormat="1" x14ac:dyDescent="0.3">
      <c r="A58" s="3575"/>
      <c r="B58" s="3575"/>
      <c r="C58" s="3575"/>
      <c r="D58" s="3575"/>
      <c r="E58" s="4175" t="s">
        <v>2026</v>
      </c>
      <c r="F58" s="5488"/>
      <c r="G58" s="3556"/>
      <c r="H58" s="3556"/>
      <c r="I58" s="3556">
        <f t="shared" si="30"/>
        <v>0</v>
      </c>
      <c r="J58" s="3556"/>
      <c r="K58" s="3556"/>
      <c r="L58" s="3556"/>
      <c r="M58" s="3556"/>
      <c r="N58" s="3556">
        <f t="shared" si="31"/>
        <v>0</v>
      </c>
      <c r="O58" s="3556"/>
      <c r="P58" s="3556"/>
      <c r="Q58" s="3556"/>
      <c r="R58" s="3556"/>
      <c r="S58" s="3556"/>
      <c r="T58" s="3556"/>
      <c r="U58" s="5489"/>
      <c r="V58" s="3556"/>
      <c r="W58" s="3556"/>
      <c r="X58" s="5490">
        <f t="shared" si="32"/>
        <v>0</v>
      </c>
      <c r="Y58" s="5491"/>
      <c r="Z58" s="3556"/>
      <c r="AA58" s="3556"/>
      <c r="AB58" s="3556"/>
      <c r="AC58" s="3556"/>
      <c r="AD58" s="3556"/>
      <c r="AE58" s="3556"/>
      <c r="AF58" s="5491">
        <f t="shared" ref="AF58" si="103">SUM(AC58:AE58)</f>
        <v>0</v>
      </c>
      <c r="AG58" s="3556">
        <f t="shared" ref="AG58" si="104">+AB58+AF58</f>
        <v>0</v>
      </c>
      <c r="AH58" s="3556"/>
      <c r="AI58" s="3556"/>
      <c r="AJ58" s="3556"/>
      <c r="AK58" s="3556">
        <f t="shared" ref="AK58" si="105">SUM(AH58:AJ58)</f>
        <v>0</v>
      </c>
      <c r="AL58" s="3556"/>
      <c r="AM58" s="3556"/>
      <c r="AN58" s="5489"/>
      <c r="AO58" s="3556">
        <f t="shared" ref="AO58" si="106">+AL58+AM58+AN58</f>
        <v>0</v>
      </c>
      <c r="AP58" s="3556">
        <f t="shared" ref="AP58" si="107">+AK58+AO58</f>
        <v>0</v>
      </c>
      <c r="AQ58" s="5492">
        <f t="shared" si="35"/>
        <v>0</v>
      </c>
      <c r="AR58" s="3555">
        <f t="shared" si="36"/>
        <v>0</v>
      </c>
      <c r="AS58" s="3593"/>
      <c r="AT58" s="5493"/>
      <c r="AU58" s="4496">
        <f t="shared" ref="AU58" si="108">+F58+Y58</f>
        <v>0</v>
      </c>
      <c r="AV58" s="4894"/>
      <c r="AW58" s="5190">
        <f t="shared" ref="AW58" si="109">+G58+Z58</f>
        <v>0</v>
      </c>
      <c r="AX58" s="5191"/>
      <c r="AY58" s="5502">
        <f t="shared" si="39"/>
        <v>0</v>
      </c>
      <c r="AZ58" s="4894"/>
      <c r="BA58" s="3562">
        <f t="shared" ref="BA58" si="110">+H58+AA58</f>
        <v>0</v>
      </c>
      <c r="BB58" s="3561"/>
      <c r="BC58" s="3561">
        <f t="shared" ref="BC58" si="111">AU58+AW58+BA58</f>
        <v>0</v>
      </c>
      <c r="BD58" s="3561"/>
      <c r="BE58" s="3562">
        <f t="shared" ref="BE58" si="112">+J58+AC58</f>
        <v>0</v>
      </c>
      <c r="BF58" s="3561"/>
      <c r="BG58" s="3561">
        <f t="shared" ref="BG58" si="113">+BC58+BE58</f>
        <v>0</v>
      </c>
      <c r="BH58" s="3561"/>
      <c r="BI58" s="3562">
        <f t="shared" ref="BI58" si="114">K58+AD58</f>
        <v>0</v>
      </c>
      <c r="BJ58" s="3561"/>
      <c r="BK58" s="3561">
        <f t="shared" ref="BK58" si="115">+BG58+BI58</f>
        <v>0</v>
      </c>
      <c r="BL58" s="3561"/>
      <c r="BM58" s="3562">
        <f t="shared" ref="BM58" si="116">+L58+AE58</f>
        <v>0</v>
      </c>
      <c r="BN58" s="3561"/>
      <c r="BO58" s="3561">
        <f t="shared" ref="BO58" si="117">BE58+BI58+BM58</f>
        <v>0</v>
      </c>
      <c r="BP58" s="3561"/>
      <c r="BQ58" s="3561">
        <f t="shared" ref="BQ58" si="118">BC58+BO58</f>
        <v>0</v>
      </c>
      <c r="BR58" s="3561"/>
      <c r="BS58" s="3562">
        <f t="shared" ref="BS58" si="119">+O58+AH58</f>
        <v>0</v>
      </c>
      <c r="BT58" s="3561"/>
      <c r="BU58" s="3561">
        <f t="shared" ref="BU58" si="120">BQ58+BS58</f>
        <v>0</v>
      </c>
      <c r="BV58" s="3561"/>
      <c r="BW58" s="3562">
        <f t="shared" ref="BW58" si="121">+P58+AI58</f>
        <v>0</v>
      </c>
      <c r="BX58" s="3561"/>
      <c r="BY58" s="3561">
        <f t="shared" ref="BY58" si="122">BU58+BW58</f>
        <v>0</v>
      </c>
      <c r="BZ58" s="3561"/>
      <c r="CA58" s="3562">
        <f t="shared" ref="CA58" si="123">+Q58+AJ58</f>
        <v>0</v>
      </c>
      <c r="CB58" s="3561"/>
      <c r="CC58" s="3561">
        <f t="shared" ref="CC58" si="124">BS58+BW58+CA58</f>
        <v>0</v>
      </c>
      <c r="CD58" s="3561"/>
      <c r="CE58" s="3561">
        <f t="shared" ref="CE58" si="125">BY58+CA58</f>
        <v>0</v>
      </c>
      <c r="CF58" s="3561"/>
      <c r="CG58" s="3562">
        <f t="shared" ref="CG58" si="126">+S58+AL58</f>
        <v>0</v>
      </c>
      <c r="CH58" s="3561"/>
      <c r="CI58" s="3561">
        <f t="shared" si="23"/>
        <v>0</v>
      </c>
      <c r="CJ58" s="3561"/>
      <c r="CK58" s="3562">
        <f t="shared" ref="CK58" si="127">+T58+AM58</f>
        <v>0</v>
      </c>
      <c r="CL58" s="3561"/>
      <c r="CM58" s="3561">
        <f t="shared" ref="CM58" si="128">CI58+CK58</f>
        <v>0</v>
      </c>
      <c r="CN58" s="3561"/>
      <c r="CO58" s="3562">
        <f t="shared" ref="CO58" si="129">+U58+AN58</f>
        <v>0</v>
      </c>
      <c r="CP58" s="3561"/>
      <c r="CQ58" s="3561">
        <f t="shared" ref="CQ58" si="130">CG58+CK58+CO58</f>
        <v>0</v>
      </c>
      <c r="CR58" s="3561"/>
      <c r="CS58" s="3561">
        <f t="shared" ref="CS58" si="131">CC58+CQ58</f>
        <v>0</v>
      </c>
      <c r="CT58" s="3561"/>
      <c r="CU58" s="5494">
        <f t="shared" ref="CU58" si="132">SUM(AU58,AW58,BA58,BE58,BI58,BM58,BS58,BW58,CA58,CG58,CK58,CO58)</f>
        <v>0</v>
      </c>
      <c r="CV58" s="5495"/>
      <c r="CX58" s="5496"/>
      <c r="CY58" s="5496"/>
      <c r="CZ58" s="5496"/>
    </row>
    <row r="59" spans="1:104" s="3585" customFormat="1" x14ac:dyDescent="0.3">
      <c r="A59" s="3575"/>
      <c r="B59" s="3575"/>
      <c r="C59" s="3575"/>
      <c r="D59" s="3575"/>
      <c r="E59" s="4175" t="s">
        <v>1864</v>
      </c>
      <c r="F59" s="5488">
        <v>1760</v>
      </c>
      <c r="G59" s="3556">
        <v>992.84199999999998</v>
      </c>
      <c r="H59" s="3556"/>
      <c r="I59" s="3556">
        <f t="shared" si="30"/>
        <v>2752.8420000000001</v>
      </c>
      <c r="J59" s="3556"/>
      <c r="K59" s="3556"/>
      <c r="L59" s="3556"/>
      <c r="M59" s="3556"/>
      <c r="N59" s="3556">
        <f t="shared" si="31"/>
        <v>2752.8420000000001</v>
      </c>
      <c r="O59" s="3556"/>
      <c r="P59" s="3556"/>
      <c r="Q59" s="3556"/>
      <c r="R59" s="3556"/>
      <c r="S59" s="3556"/>
      <c r="T59" s="3556"/>
      <c r="U59" s="5489"/>
      <c r="V59" s="3556"/>
      <c r="W59" s="3556"/>
      <c r="X59" s="5490">
        <f t="shared" si="32"/>
        <v>2752.8420000000001</v>
      </c>
      <c r="Y59" s="5491">
        <v>179</v>
      </c>
      <c r="Z59" s="3556">
        <v>136.06399999999999</v>
      </c>
      <c r="AA59" s="3556"/>
      <c r="AB59" s="3556">
        <f t="shared" si="0"/>
        <v>315.06399999999996</v>
      </c>
      <c r="AC59" s="3556"/>
      <c r="AD59" s="3556"/>
      <c r="AE59" s="3556"/>
      <c r="AF59" s="5491">
        <f t="shared" ref="AF59:AF60" si="133">SUM(AC59:AE59)</f>
        <v>0</v>
      </c>
      <c r="AG59" s="3556">
        <f t="shared" si="100"/>
        <v>315.06399999999996</v>
      </c>
      <c r="AH59" s="3556"/>
      <c r="AI59" s="3556"/>
      <c r="AJ59" s="3556"/>
      <c r="AK59" s="3556">
        <f t="shared" si="3"/>
        <v>0</v>
      </c>
      <c r="AL59" s="3556"/>
      <c r="AM59" s="3556"/>
      <c r="AN59" s="5489"/>
      <c r="AO59" s="3556">
        <f t="shared" si="101"/>
        <v>0</v>
      </c>
      <c r="AP59" s="3556">
        <f t="shared" si="102"/>
        <v>0</v>
      </c>
      <c r="AQ59" s="5492">
        <f t="shared" si="35"/>
        <v>315.06399999999996</v>
      </c>
      <c r="AR59" s="3555">
        <f t="shared" si="36"/>
        <v>3067.9059999999999</v>
      </c>
      <c r="AS59" s="3593"/>
      <c r="AT59" s="5493"/>
      <c r="AU59" s="4496">
        <f t="shared" si="37"/>
        <v>1939</v>
      </c>
      <c r="AV59" s="4894"/>
      <c r="AW59" s="5190">
        <f t="shared" si="38"/>
        <v>1128.9059999999999</v>
      </c>
      <c r="AX59" s="5191"/>
      <c r="AY59" s="5502">
        <f t="shared" si="39"/>
        <v>3067.9059999999999</v>
      </c>
      <c r="AZ59" s="4894"/>
      <c r="BA59" s="3562">
        <f t="shared" ref="BA59" si="134">+H59+AA59</f>
        <v>0</v>
      </c>
      <c r="BB59" s="3561"/>
      <c r="BC59" s="3561">
        <f t="shared" ref="BC59" si="135">AU59+AW59+BA59</f>
        <v>3067.9059999999999</v>
      </c>
      <c r="BD59" s="3561"/>
      <c r="BE59" s="3562">
        <f t="shared" ref="BE59" si="136">+J59+AC59</f>
        <v>0</v>
      </c>
      <c r="BF59" s="3561"/>
      <c r="BG59" s="3561">
        <f t="shared" ref="BG59" si="137">+BC59+BE59</f>
        <v>3067.9059999999999</v>
      </c>
      <c r="BH59" s="3561"/>
      <c r="BI59" s="3562">
        <f t="shared" ref="BI59" si="138">K59+AD59</f>
        <v>0</v>
      </c>
      <c r="BJ59" s="3561"/>
      <c r="BK59" s="3561">
        <f t="shared" ref="BK59" si="139">+BG59+BI59</f>
        <v>3067.9059999999999</v>
      </c>
      <c r="BL59" s="3561"/>
      <c r="BM59" s="3562">
        <f t="shared" ref="BM59" si="140">+L59+AE59</f>
        <v>0</v>
      </c>
      <c r="BN59" s="3561"/>
      <c r="BO59" s="3561">
        <f t="shared" ref="BO59" si="141">BE59+BI59+BM59</f>
        <v>0</v>
      </c>
      <c r="BP59" s="3561"/>
      <c r="BQ59" s="3561">
        <f t="shared" ref="BQ59" si="142">BC59+BO59</f>
        <v>3067.9059999999999</v>
      </c>
      <c r="BR59" s="3561"/>
      <c r="BS59" s="3562">
        <f t="shared" ref="BS59" si="143">+O59+AH59</f>
        <v>0</v>
      </c>
      <c r="BT59" s="3561"/>
      <c r="BU59" s="3561">
        <f t="shared" ref="BU59" si="144">BQ59+BS59</f>
        <v>3067.9059999999999</v>
      </c>
      <c r="BV59" s="3561"/>
      <c r="BW59" s="3562">
        <f t="shared" ref="BW59" si="145">+P59+AI59</f>
        <v>0</v>
      </c>
      <c r="BX59" s="3561"/>
      <c r="BY59" s="3561">
        <f t="shared" ref="BY59" si="146">BU59+BW59</f>
        <v>3067.9059999999999</v>
      </c>
      <c r="BZ59" s="3561"/>
      <c r="CA59" s="3562">
        <f t="shared" ref="CA59" si="147">+Q59+AJ59</f>
        <v>0</v>
      </c>
      <c r="CB59" s="3561"/>
      <c r="CC59" s="3561">
        <f t="shared" ref="CC59" si="148">BS59+BW59+CA59</f>
        <v>0</v>
      </c>
      <c r="CD59" s="3561"/>
      <c r="CE59" s="3561">
        <f t="shared" ref="CE59" si="149">BY59+CA59</f>
        <v>3067.9059999999999</v>
      </c>
      <c r="CF59" s="3561"/>
      <c r="CG59" s="3562">
        <f t="shared" ref="CG59" si="150">+S59+AL59</f>
        <v>0</v>
      </c>
      <c r="CH59" s="3561"/>
      <c r="CI59" s="3561">
        <f t="shared" si="23"/>
        <v>3067.9059999999999</v>
      </c>
      <c r="CJ59" s="3561"/>
      <c r="CK59" s="3562">
        <f t="shared" ref="CK59" si="151">+T59+AM59</f>
        <v>0</v>
      </c>
      <c r="CL59" s="3561"/>
      <c r="CM59" s="3561">
        <f t="shared" ref="CM59" si="152">CI59+CK59</f>
        <v>3067.9059999999999</v>
      </c>
      <c r="CN59" s="3561"/>
      <c r="CO59" s="3562">
        <f t="shared" ref="CO59" si="153">+U59+AN59</f>
        <v>0</v>
      </c>
      <c r="CP59" s="3561"/>
      <c r="CQ59" s="3561">
        <f t="shared" ref="CQ59" si="154">CG59+CK59+CO59</f>
        <v>0</v>
      </c>
      <c r="CR59" s="3561"/>
      <c r="CS59" s="3561">
        <f t="shared" ref="CS59" si="155">CC59+CQ59</f>
        <v>0</v>
      </c>
      <c r="CT59" s="3561"/>
      <c r="CU59" s="5494">
        <f t="shared" ref="CU59" si="156">SUM(AU59,AW59,BA59,BE59,BI59,BM59,BS59,BW59,CA59,CG59,CK59,CO59)</f>
        <v>3067.9059999999999</v>
      </c>
      <c r="CV59" s="5495"/>
      <c r="CW59" s="5496"/>
    </row>
    <row r="60" spans="1:104" s="3585" customFormat="1" ht="16.2" thickBot="1" x14ac:dyDescent="0.35">
      <c r="A60" s="3575"/>
      <c r="B60" s="3575"/>
      <c r="C60" s="3575"/>
      <c r="D60" s="3575"/>
      <c r="E60" s="4175" t="s">
        <v>1281</v>
      </c>
      <c r="F60" s="5488">
        <v>1764</v>
      </c>
      <c r="G60" s="3556">
        <v>1126.78</v>
      </c>
      <c r="H60" s="3556"/>
      <c r="I60" s="3556">
        <f t="shared" si="30"/>
        <v>2890.7799999999997</v>
      </c>
      <c r="J60" s="3556"/>
      <c r="K60" s="3556"/>
      <c r="L60" s="3556"/>
      <c r="M60" s="3556"/>
      <c r="N60" s="3556">
        <f t="shared" si="31"/>
        <v>2890.7799999999997</v>
      </c>
      <c r="O60" s="3556"/>
      <c r="P60" s="3556"/>
      <c r="Q60" s="3556"/>
      <c r="R60" s="3556"/>
      <c r="S60" s="3556"/>
      <c r="T60" s="3556"/>
      <c r="U60" s="5489"/>
      <c r="V60" s="3556"/>
      <c r="W60" s="3556"/>
      <c r="X60" s="5490">
        <f t="shared" si="32"/>
        <v>2890.7799999999997</v>
      </c>
      <c r="Y60" s="5491">
        <v>582</v>
      </c>
      <c r="Z60" s="3556">
        <v>218.97800000000001</v>
      </c>
      <c r="AA60" s="3556"/>
      <c r="AB60" s="3556">
        <f t="shared" si="0"/>
        <v>800.97800000000007</v>
      </c>
      <c r="AC60" s="3556"/>
      <c r="AD60" s="3556"/>
      <c r="AE60" s="3556"/>
      <c r="AF60" s="5491">
        <f t="shared" si="133"/>
        <v>0</v>
      </c>
      <c r="AG60" s="3556">
        <f t="shared" si="100"/>
        <v>800.97800000000007</v>
      </c>
      <c r="AH60" s="3556"/>
      <c r="AI60" s="3556"/>
      <c r="AJ60" s="3556"/>
      <c r="AK60" s="3556">
        <f t="shared" si="3"/>
        <v>0</v>
      </c>
      <c r="AL60" s="3556"/>
      <c r="AM60" s="3556"/>
      <c r="AN60" s="5489"/>
      <c r="AO60" s="3556">
        <f t="shared" si="101"/>
        <v>0</v>
      </c>
      <c r="AP60" s="3556">
        <f t="shared" si="102"/>
        <v>0</v>
      </c>
      <c r="AQ60" s="5492">
        <f t="shared" si="35"/>
        <v>800.97800000000007</v>
      </c>
      <c r="AR60" s="3555">
        <f t="shared" si="36"/>
        <v>3691.7579999999998</v>
      </c>
      <c r="AS60" s="3593"/>
      <c r="AT60" s="5493"/>
      <c r="AU60" s="4496">
        <f t="shared" si="37"/>
        <v>2346</v>
      </c>
      <c r="AV60" s="4894"/>
      <c r="AW60" s="5190">
        <f t="shared" si="38"/>
        <v>1345.758</v>
      </c>
      <c r="AX60" s="5191"/>
      <c r="AY60" s="5502">
        <f t="shared" si="39"/>
        <v>3691.7579999999998</v>
      </c>
      <c r="AZ60" s="4894"/>
      <c r="BA60" s="3562">
        <f>+H60+AA60</f>
        <v>0</v>
      </c>
      <c r="BB60" s="3561"/>
      <c r="BC60" s="3561">
        <f>AU60+AW60+BA60</f>
        <v>3691.7579999999998</v>
      </c>
      <c r="BD60" s="3561"/>
      <c r="BE60" s="3562">
        <f>+J60+AC60</f>
        <v>0</v>
      </c>
      <c r="BF60" s="3561"/>
      <c r="BG60" s="3561">
        <f>+BC60+BE60</f>
        <v>3691.7579999999998</v>
      </c>
      <c r="BH60" s="3561"/>
      <c r="BI60" s="3562">
        <f>K60+AD60</f>
        <v>0</v>
      </c>
      <c r="BJ60" s="3561"/>
      <c r="BK60" s="3561">
        <f>+BG60+BI60</f>
        <v>3691.7579999999998</v>
      </c>
      <c r="BL60" s="3561"/>
      <c r="BM60" s="3562">
        <f>+L60+AE60</f>
        <v>0</v>
      </c>
      <c r="BN60" s="3561"/>
      <c r="BO60" s="3561">
        <f>BE60+BI60+BM60</f>
        <v>0</v>
      </c>
      <c r="BP60" s="3561"/>
      <c r="BQ60" s="3561">
        <f>BC60+BO60</f>
        <v>3691.7579999999998</v>
      </c>
      <c r="BR60" s="3561"/>
      <c r="BS60" s="3562">
        <f>+O60+AH60</f>
        <v>0</v>
      </c>
      <c r="BT60" s="3561"/>
      <c r="BU60" s="3561">
        <f>BQ60+BS60</f>
        <v>3691.7579999999998</v>
      </c>
      <c r="BV60" s="3561"/>
      <c r="BW60" s="3562">
        <f>+P60+AI60</f>
        <v>0</v>
      </c>
      <c r="BX60" s="3561"/>
      <c r="BY60" s="3561">
        <f>BU60+BW60</f>
        <v>3691.7579999999998</v>
      </c>
      <c r="BZ60" s="3561"/>
      <c r="CA60" s="3562">
        <f>+Q60+AJ60</f>
        <v>0</v>
      </c>
      <c r="CB60" s="3561"/>
      <c r="CC60" s="3561">
        <f>BS60+BW60+CA60</f>
        <v>0</v>
      </c>
      <c r="CD60" s="3561"/>
      <c r="CE60" s="3561">
        <f>BY60+CA60</f>
        <v>3691.7579999999998</v>
      </c>
      <c r="CF60" s="3561"/>
      <c r="CG60" s="3562">
        <f>+S60+AL60</f>
        <v>0</v>
      </c>
      <c r="CH60" s="3561"/>
      <c r="CI60" s="3561">
        <f t="shared" si="23"/>
        <v>3691.7579999999998</v>
      </c>
      <c r="CJ60" s="3561"/>
      <c r="CK60" s="3562">
        <f>+T60+AM60</f>
        <v>0</v>
      </c>
      <c r="CL60" s="3561"/>
      <c r="CM60" s="3561">
        <f>CI60+CK60</f>
        <v>3691.7579999999998</v>
      </c>
      <c r="CN60" s="3561"/>
      <c r="CO60" s="3562">
        <f>+U60+AN60</f>
        <v>0</v>
      </c>
      <c r="CP60" s="3561"/>
      <c r="CQ60" s="3561">
        <f>CG60+CK60+CO60</f>
        <v>0</v>
      </c>
      <c r="CR60" s="3561"/>
      <c r="CS60" s="3561">
        <f>CC60+CQ60</f>
        <v>0</v>
      </c>
      <c r="CT60" s="3561"/>
      <c r="CU60" s="5494">
        <f>SUM(AU60,AW60,BA60,BE60,BI60,BM60,BS60,BW60,CA60,CG60,CK60,CO60)</f>
        <v>3691.7579999999998</v>
      </c>
      <c r="CV60" s="5495"/>
      <c r="CW60" s="5496"/>
    </row>
    <row r="61" spans="1:104" ht="16.2" thickBot="1" x14ac:dyDescent="0.35">
      <c r="A61" s="3575"/>
      <c r="B61" s="3575"/>
      <c r="C61" s="3575"/>
      <c r="D61" s="3575"/>
      <c r="E61" s="3584" t="s">
        <v>2</v>
      </c>
      <c r="F61" s="3583">
        <f>SUM(F6:F60)</f>
        <v>77765</v>
      </c>
      <c r="G61" s="3583">
        <f t="shared" ref="G61:AR61" si="157">SUM(G6:G60)</f>
        <v>37415.474000000002</v>
      </c>
      <c r="H61" s="3583">
        <f t="shared" si="157"/>
        <v>0</v>
      </c>
      <c r="I61" s="3583">
        <f t="shared" si="157"/>
        <v>115180.47400000002</v>
      </c>
      <c r="J61" s="3583">
        <f t="shared" si="157"/>
        <v>0</v>
      </c>
      <c r="K61" s="3583">
        <f t="shared" si="157"/>
        <v>0</v>
      </c>
      <c r="L61" s="3583">
        <f t="shared" si="157"/>
        <v>0</v>
      </c>
      <c r="M61" s="3583">
        <f t="shared" si="157"/>
        <v>0</v>
      </c>
      <c r="N61" s="3583">
        <f t="shared" si="157"/>
        <v>115180.47400000002</v>
      </c>
      <c r="O61" s="3583">
        <f t="shared" si="157"/>
        <v>0</v>
      </c>
      <c r="P61" s="3583">
        <f t="shared" si="157"/>
        <v>0</v>
      </c>
      <c r="Q61" s="3583">
        <f t="shared" si="157"/>
        <v>0</v>
      </c>
      <c r="R61" s="3583">
        <f t="shared" si="157"/>
        <v>0</v>
      </c>
      <c r="S61" s="3583">
        <f t="shared" si="157"/>
        <v>0</v>
      </c>
      <c r="T61" s="3583">
        <f t="shared" si="157"/>
        <v>0</v>
      </c>
      <c r="U61" s="3583">
        <f t="shared" si="157"/>
        <v>0</v>
      </c>
      <c r="V61" s="3583">
        <f t="shared" si="157"/>
        <v>0</v>
      </c>
      <c r="W61" s="3583">
        <f t="shared" si="157"/>
        <v>0</v>
      </c>
      <c r="X61" s="3583">
        <f t="shared" si="157"/>
        <v>115180.47400000002</v>
      </c>
      <c r="Y61" s="3583">
        <f t="shared" si="157"/>
        <v>88688</v>
      </c>
      <c r="Z61" s="3583">
        <f t="shared" si="157"/>
        <v>39041.864000000001</v>
      </c>
      <c r="AA61" s="3583">
        <f t="shared" si="157"/>
        <v>0</v>
      </c>
      <c r="AB61" s="3583">
        <f t="shared" si="157"/>
        <v>127721.36</v>
      </c>
      <c r="AC61" s="3583">
        <f t="shared" si="157"/>
        <v>0</v>
      </c>
      <c r="AD61" s="3583">
        <f t="shared" si="157"/>
        <v>0</v>
      </c>
      <c r="AE61" s="3583">
        <f t="shared" si="157"/>
        <v>0</v>
      </c>
      <c r="AF61" s="3583">
        <f t="shared" si="157"/>
        <v>0</v>
      </c>
      <c r="AG61" s="3583">
        <f t="shared" si="157"/>
        <v>127721.36</v>
      </c>
      <c r="AH61" s="3583">
        <f t="shared" si="157"/>
        <v>0</v>
      </c>
      <c r="AI61" s="3583">
        <f t="shared" si="157"/>
        <v>0</v>
      </c>
      <c r="AJ61" s="3583">
        <f t="shared" si="157"/>
        <v>0</v>
      </c>
      <c r="AK61" s="3583">
        <f t="shared" si="157"/>
        <v>0</v>
      </c>
      <c r="AL61" s="3583">
        <f t="shared" si="157"/>
        <v>0</v>
      </c>
      <c r="AM61" s="3583">
        <f t="shared" si="157"/>
        <v>0</v>
      </c>
      <c r="AN61" s="3583">
        <f t="shared" si="157"/>
        <v>0</v>
      </c>
      <c r="AO61" s="3583">
        <f t="shared" si="157"/>
        <v>0</v>
      </c>
      <c r="AP61" s="3583">
        <f t="shared" si="157"/>
        <v>0</v>
      </c>
      <c r="AQ61" s="3583">
        <f t="shared" si="157"/>
        <v>127729.86400000002</v>
      </c>
      <c r="AR61" s="3583">
        <f t="shared" si="157"/>
        <v>242910.33799999999</v>
      </c>
      <c r="AS61" s="3593"/>
      <c r="AT61" s="3582"/>
      <c r="AU61" s="5503">
        <f t="shared" si="37"/>
        <v>166453</v>
      </c>
      <c r="AV61" s="5504"/>
      <c r="AW61" s="5505">
        <f t="shared" si="38"/>
        <v>76457.338000000003</v>
      </c>
      <c r="AX61" s="5505"/>
      <c r="AY61" s="5503">
        <f t="shared" ref="AY61" si="158">AU61+AW61</f>
        <v>242910.33799999999</v>
      </c>
      <c r="AZ61" s="5499">
        <f t="shared" ref="AZ61:CU61" si="159">SUM(AZ6:AZ60)</f>
        <v>0</v>
      </c>
      <c r="BA61" s="3554">
        <f t="shared" si="159"/>
        <v>0</v>
      </c>
      <c r="BB61" s="3581">
        <f t="shared" si="159"/>
        <v>0</v>
      </c>
      <c r="BC61" s="3581">
        <f t="shared" si="159"/>
        <v>242767.834</v>
      </c>
      <c r="BD61" s="3554">
        <f t="shared" si="159"/>
        <v>0</v>
      </c>
      <c r="BE61" s="3554">
        <f t="shared" si="159"/>
        <v>0</v>
      </c>
      <c r="BF61" s="3580">
        <f t="shared" si="159"/>
        <v>0</v>
      </c>
      <c r="BG61" s="3580">
        <f t="shared" si="159"/>
        <v>242767.834</v>
      </c>
      <c r="BH61" s="3554">
        <f t="shared" si="159"/>
        <v>0</v>
      </c>
      <c r="BI61" s="3554">
        <f t="shared" si="159"/>
        <v>0</v>
      </c>
      <c r="BJ61" s="3580">
        <f t="shared" si="159"/>
        <v>0</v>
      </c>
      <c r="BK61" s="3580">
        <f t="shared" si="159"/>
        <v>242767.834</v>
      </c>
      <c r="BL61" s="3554">
        <f t="shared" si="159"/>
        <v>0</v>
      </c>
      <c r="BM61" s="3554">
        <f t="shared" si="159"/>
        <v>0</v>
      </c>
      <c r="BN61" s="3554">
        <f t="shared" si="159"/>
        <v>0</v>
      </c>
      <c r="BO61" s="3581">
        <f t="shared" si="159"/>
        <v>0</v>
      </c>
      <c r="BP61" s="3554">
        <f t="shared" si="159"/>
        <v>0</v>
      </c>
      <c r="BQ61" s="3592">
        <f t="shared" si="159"/>
        <v>242767.834</v>
      </c>
      <c r="BR61" s="3554">
        <f t="shared" si="159"/>
        <v>0</v>
      </c>
      <c r="BS61" s="3554">
        <f t="shared" si="159"/>
        <v>0</v>
      </c>
      <c r="BT61" s="3580">
        <f t="shared" si="159"/>
        <v>0</v>
      </c>
      <c r="BU61" s="3580">
        <f t="shared" si="159"/>
        <v>242767.834</v>
      </c>
      <c r="BV61" s="3554">
        <f t="shared" si="159"/>
        <v>0</v>
      </c>
      <c r="BW61" s="3554">
        <f t="shared" si="159"/>
        <v>0</v>
      </c>
      <c r="BX61" s="3554">
        <f t="shared" si="159"/>
        <v>0</v>
      </c>
      <c r="BY61" s="3554">
        <f t="shared" si="159"/>
        <v>242767.834</v>
      </c>
      <c r="BZ61" s="3554">
        <f t="shared" si="159"/>
        <v>0</v>
      </c>
      <c r="CA61" s="3554">
        <f t="shared" si="159"/>
        <v>0</v>
      </c>
      <c r="CB61" s="3554">
        <f t="shared" si="159"/>
        <v>0</v>
      </c>
      <c r="CC61" s="3581">
        <f t="shared" si="159"/>
        <v>0</v>
      </c>
      <c r="CD61" s="3554">
        <f t="shared" si="159"/>
        <v>0</v>
      </c>
      <c r="CE61" s="3554">
        <f t="shared" si="159"/>
        <v>242767.834</v>
      </c>
      <c r="CF61" s="3554">
        <f t="shared" si="159"/>
        <v>0</v>
      </c>
      <c r="CG61" s="3554">
        <f t="shared" si="159"/>
        <v>0</v>
      </c>
      <c r="CH61" s="3554">
        <f t="shared" si="159"/>
        <v>0</v>
      </c>
      <c r="CI61" s="3554">
        <f t="shared" si="159"/>
        <v>242767.834</v>
      </c>
      <c r="CJ61" s="3554">
        <f t="shared" si="159"/>
        <v>0</v>
      </c>
      <c r="CK61" s="3554">
        <f t="shared" si="159"/>
        <v>0</v>
      </c>
      <c r="CL61" s="3580">
        <f t="shared" si="159"/>
        <v>0</v>
      </c>
      <c r="CM61" s="3580">
        <f t="shared" si="159"/>
        <v>242767.834</v>
      </c>
      <c r="CN61" s="3554">
        <f t="shared" si="159"/>
        <v>0</v>
      </c>
      <c r="CO61" s="3554">
        <f t="shared" si="159"/>
        <v>0</v>
      </c>
      <c r="CP61" s="3554">
        <f t="shared" si="159"/>
        <v>0</v>
      </c>
      <c r="CQ61" s="3581">
        <f t="shared" si="159"/>
        <v>0</v>
      </c>
      <c r="CR61" s="3554">
        <f t="shared" si="159"/>
        <v>0</v>
      </c>
      <c r="CS61" s="3592">
        <f t="shared" si="159"/>
        <v>0</v>
      </c>
      <c r="CT61" s="3580">
        <f t="shared" si="159"/>
        <v>0</v>
      </c>
      <c r="CU61" s="3580">
        <f t="shared" si="159"/>
        <v>242767.834</v>
      </c>
      <c r="CV61" s="4814"/>
      <c r="CW61" s="595"/>
    </row>
    <row r="62" spans="1:104" x14ac:dyDescent="0.3">
      <c r="A62" s="3575"/>
      <c r="B62" s="3575"/>
      <c r="C62" s="3575"/>
      <c r="D62" s="3575"/>
      <c r="E62" s="3574"/>
      <c r="F62" s="3575"/>
      <c r="G62" s="3575"/>
      <c r="H62" s="3575"/>
      <c r="I62" s="3575"/>
      <c r="J62" s="3575"/>
      <c r="K62" s="3575"/>
      <c r="L62" s="3575"/>
      <c r="M62" s="3575"/>
      <c r="N62" s="3575"/>
      <c r="O62" s="3575"/>
      <c r="P62" s="3575"/>
      <c r="Q62" s="3575"/>
      <c r="R62" s="3575"/>
      <c r="S62" s="3575"/>
      <c r="T62" s="3575"/>
      <c r="U62" s="3575"/>
      <c r="V62" s="3575"/>
      <c r="W62" s="3575"/>
      <c r="X62" s="3575"/>
      <c r="Y62" s="3575"/>
      <c r="Z62" s="3575"/>
      <c r="AA62" s="3575"/>
      <c r="AB62" s="3575"/>
      <c r="AC62" s="3575"/>
      <c r="AD62" s="3575"/>
      <c r="AE62" s="3575"/>
      <c r="AF62" s="3575"/>
      <c r="AG62" s="3575"/>
      <c r="AH62" s="3575"/>
      <c r="AI62" s="3575"/>
      <c r="AJ62" s="3575"/>
      <c r="AK62" s="3575"/>
      <c r="AL62" s="3575"/>
      <c r="AM62" s="3575"/>
      <c r="AN62" s="3575"/>
      <c r="AO62" s="3575"/>
      <c r="AP62" s="3575"/>
      <c r="AQ62" s="3575"/>
      <c r="AR62" s="3575"/>
      <c r="AS62" s="3575"/>
      <c r="AT62" s="3575"/>
      <c r="AU62" s="3575"/>
      <c r="AV62" s="3575"/>
      <c r="AW62" s="3575"/>
      <c r="AX62" s="3575"/>
      <c r="AY62" s="3575"/>
      <c r="AZ62" s="3575"/>
      <c r="BA62" s="3575"/>
      <c r="BB62" s="3575"/>
      <c r="BC62" s="3575"/>
      <c r="BD62" s="3575"/>
      <c r="BE62" s="3575"/>
      <c r="BF62" s="3575"/>
      <c r="BG62" s="3575"/>
      <c r="BH62" s="3575"/>
      <c r="BI62" s="3575"/>
      <c r="BJ62" s="3575"/>
      <c r="BK62" s="3575"/>
      <c r="BL62" s="3575"/>
      <c r="BM62" s="3575"/>
      <c r="BN62" s="3575"/>
      <c r="BO62" s="3575"/>
      <c r="BP62" s="3575"/>
      <c r="BQ62" s="3575"/>
      <c r="BR62" s="3575"/>
      <c r="BS62" s="3575"/>
      <c r="BT62" s="3575"/>
      <c r="BU62" s="3575"/>
      <c r="BV62" s="3575"/>
      <c r="BW62" s="3575"/>
      <c r="BX62" s="3575"/>
      <c r="BY62" s="3575"/>
      <c r="BZ62" s="3575"/>
      <c r="CA62" s="3575"/>
      <c r="CB62" s="3575"/>
      <c r="CC62" s="3575"/>
      <c r="CD62" s="3575"/>
      <c r="CE62" s="3575"/>
      <c r="CF62" s="3575"/>
      <c r="CG62" s="3575"/>
      <c r="CH62" s="3575"/>
      <c r="CI62" s="3575"/>
      <c r="CJ62" s="3575"/>
      <c r="CK62" s="3575"/>
      <c r="CL62" s="3575"/>
      <c r="CM62" s="3575"/>
      <c r="CN62" s="3575"/>
      <c r="CO62" s="3575"/>
      <c r="CP62" s="3575"/>
      <c r="CQ62" s="3575"/>
      <c r="CR62" s="3575"/>
      <c r="CS62" s="3575"/>
      <c r="CT62" s="3575"/>
      <c r="CU62" s="3573"/>
      <c r="CV62" s="595"/>
      <c r="CW62" s="595"/>
    </row>
    <row r="63" spans="1:104" ht="16.2" x14ac:dyDescent="0.3">
      <c r="A63" s="3575"/>
      <c r="B63" s="3575"/>
      <c r="C63" s="3575"/>
      <c r="D63" s="3575"/>
      <c r="E63" s="3574" t="s">
        <v>1059</v>
      </c>
      <c r="F63" s="3579">
        <f>+F61-SMS!F29</f>
        <v>-1.9499999999970896</v>
      </c>
      <c r="G63" s="3579">
        <f>+G61-SMS!H29</f>
        <v>4.0000000008149073E-3</v>
      </c>
      <c r="H63" s="3579">
        <f>+H61-SMS!L29</f>
        <v>-84359</v>
      </c>
      <c r="I63" s="3579">
        <f>+I61-SMS!N29</f>
        <v>-84360.945999999967</v>
      </c>
      <c r="J63" s="3579">
        <f>+J61-SMS!P29</f>
        <v>-92367</v>
      </c>
      <c r="K63" s="3579">
        <f>+K61-SMS!T29</f>
        <v>-80201</v>
      </c>
      <c r="L63" s="3579"/>
      <c r="M63" s="3557"/>
      <c r="N63" s="3557"/>
      <c r="O63" s="3579"/>
      <c r="P63" s="3557"/>
      <c r="Q63" s="3557"/>
      <c r="R63" s="3557"/>
      <c r="S63" s="3557"/>
      <c r="T63" s="3557"/>
      <c r="U63" s="3557"/>
      <c r="V63" s="3557"/>
      <c r="W63" s="3557"/>
      <c r="X63" s="3579"/>
      <c r="Y63" s="3579">
        <f>Y61-SMS!F32</f>
        <v>-0.22000000000116415</v>
      </c>
      <c r="Z63" s="3579"/>
      <c r="AA63" s="3579"/>
      <c r="AB63" s="3579"/>
      <c r="AC63" s="3579"/>
      <c r="AD63" s="3579"/>
      <c r="AE63" s="3579"/>
      <c r="AF63" s="3579"/>
      <c r="AG63" s="3557"/>
      <c r="AH63" s="3557"/>
      <c r="AI63" s="3579"/>
      <c r="AJ63" s="3557"/>
      <c r="AK63" s="3557"/>
      <c r="AL63" s="3557"/>
      <c r="AM63" s="3557"/>
      <c r="AN63" s="3557"/>
      <c r="AO63" s="3557"/>
      <c r="AP63" s="3557"/>
      <c r="AQ63" s="3579"/>
      <c r="AR63" s="3579"/>
      <c r="AS63" s="3579"/>
      <c r="AT63" s="3575"/>
      <c r="AU63" s="3579">
        <f>+AU61-(SMS!F29+SMS!F32)</f>
        <v>-2.1699999999837019</v>
      </c>
      <c r="AV63" s="3579"/>
      <c r="AW63" s="3579">
        <f>+AW61-(SMS!H29+SMS!H32)</f>
        <v>8.0000000016298145E-3</v>
      </c>
      <c r="AX63" s="3579"/>
      <c r="AY63" s="3579"/>
      <c r="AZ63" s="3579"/>
      <c r="BA63" s="3579">
        <f>+BA61-(SMS!L29+SMS!L32)</f>
        <v>-182679</v>
      </c>
      <c r="BB63" s="3579"/>
      <c r="BC63" s="3579"/>
      <c r="BD63" s="3579"/>
      <c r="BE63" s="3579">
        <f>+BE61-(SMS!P29+SMS!P32)</f>
        <v>-189051</v>
      </c>
      <c r="BF63" s="3579"/>
      <c r="BG63" s="3579">
        <f>+BG61-(SMS!R29+SMS!R32)</f>
        <v>-371874.66599999997</v>
      </c>
      <c r="BH63" s="3579"/>
      <c r="BI63" s="3579">
        <f>+BI61-(SMS!T29+SMS!T32)</f>
        <v>-179477</v>
      </c>
      <c r="BJ63" s="3579"/>
      <c r="BK63" s="3579">
        <f>+BK61-(SMS!V29+SMS!V32)</f>
        <v>-551351.66599999997</v>
      </c>
      <c r="BL63" s="3579"/>
      <c r="BM63" s="3579">
        <f>+BM61-(SMS!X29+SMS!X32)</f>
        <v>-172079.6</v>
      </c>
      <c r="BN63" s="3579">
        <f>+BN61-(SMS!Y29+SMS!Y32)</f>
        <v>-433247.99868447694</v>
      </c>
      <c r="BO63" s="3579">
        <f>+BO61-(SMS!Z29+SMS!Z32)</f>
        <v>-540607.60000000009</v>
      </c>
      <c r="BP63" s="3579">
        <f>+BP61-(SMS!AA29+SMS!AA32)</f>
        <v>-847090.37898148689</v>
      </c>
      <c r="BQ63" s="3579">
        <f>+BQ61-(SMS!AB29+SMS!AB32)</f>
        <v>-723431.26600000006</v>
      </c>
      <c r="BR63" s="3579"/>
      <c r="BS63" s="3579">
        <f>+BS61-(SMS!AD29+SMS!AD32)</f>
        <v>-135146</v>
      </c>
      <c r="BT63" s="3579">
        <f>+BT61-(SMS!AE29+SMS!AE32)</f>
        <v>-1021042.7589814869</v>
      </c>
      <c r="BU63" s="3579">
        <f>+BU61-(SMS!AF29+SMS!AF32)</f>
        <v>-858577.26600000006</v>
      </c>
      <c r="BV63" s="3579">
        <f>+BV61-(SMS!AG29+SMS!AG32)</f>
        <v>-168508.89847294599</v>
      </c>
      <c r="BW63" s="3579">
        <f>+BW61-(SMS!AH29+SMS!AH32)</f>
        <v>-178010.44</v>
      </c>
      <c r="BX63" s="3579">
        <f>+BX61-(SMS!AI29+SMS!AI32)</f>
        <v>-1189551.6574544329</v>
      </c>
      <c r="BY63" s="3579">
        <f>+BY61-(SMS!AJ29+SMS!AJ32)</f>
        <v>-1036587.706</v>
      </c>
      <c r="BZ63" s="3579">
        <f>+BZ61-(SMS!AK29+SMS!AK32)</f>
        <v>-173424.67255164299</v>
      </c>
      <c r="CA63" s="3579">
        <f>+CA61-(SMS!AL29+SMS!AL32)</f>
        <v>-168743</v>
      </c>
      <c r="CB63" s="3579">
        <f>+CB61-(SMS!AM29+SMS!AM32)</f>
        <v>-515885.95102458901</v>
      </c>
      <c r="CC63" s="3579">
        <f>+CC61-(SMS!AN29+SMS!AN32)</f>
        <v>-481899.44</v>
      </c>
      <c r="CD63" s="3579">
        <f>+CD61-(SMS!AO29+SMS!AO32)</f>
        <v>-1362976.330006076</v>
      </c>
      <c r="CE63" s="3579">
        <f>+CE61-(SMS!AP29+SMS!AP32)</f>
        <v>-1205330.706</v>
      </c>
      <c r="CF63" s="3579">
        <f>+CF61-(SMS!AQ29+SMS!AQ32)</f>
        <v>-176674.11631922389</v>
      </c>
      <c r="CG63" s="3579">
        <f>+CG61-(SMS!AR29+SMS!AR32)</f>
        <v>-164567.28000000003</v>
      </c>
      <c r="CH63" s="3579">
        <f>+CH61-(SMS!AS29+SMS!AS32)</f>
        <v>-1539650.4463252998</v>
      </c>
      <c r="CI63" s="3579">
        <f>+CI61-(SMS!AT29+SMS!AT32)</f>
        <v>-1369897.986</v>
      </c>
      <c r="CJ63" s="3579">
        <f>+CJ61-(SMS!AU29+SMS!AU32)</f>
        <v>-157621.94134457508</v>
      </c>
      <c r="CK63" s="3579">
        <f>+CK61-(SMS!AV29+SMS!AV32)</f>
        <v>-135351.79</v>
      </c>
      <c r="CL63" s="3579">
        <f>+CL61-(SMS!AW29+SMS!AW32)</f>
        <v>-1697272.3876698748</v>
      </c>
      <c r="CM63" s="3579">
        <f>+CM61-(SMS!AX29+SMS!AX32)</f>
        <v>-1505249.7760000001</v>
      </c>
      <c r="CN63" s="3579">
        <f>+CN61-(SMS!AY29+SMS!AY32)</f>
        <v>-176146.41183373574</v>
      </c>
      <c r="CO63" s="3579">
        <f>+CO61-(SMS!AZ29+SMS!AZ32)</f>
        <v>-176540.91</v>
      </c>
      <c r="CP63" s="3579">
        <f>+CP61-(SMS!BA29+SMS!BA32)</f>
        <v>-510442.46949753468</v>
      </c>
      <c r="CQ63" s="3579">
        <f>+CQ61-(SMS!BB29+SMS!BB32)</f>
        <v>-476459.98000000004</v>
      </c>
      <c r="CR63" s="3579">
        <f>+CR61-(SMS!BC29+SMS!BC32)</f>
        <v>-1026328.4205221237</v>
      </c>
      <c r="CS63" s="3579">
        <f>+CS61-(SMS!BD29+SMS!BD32)</f>
        <v>-958359.42</v>
      </c>
      <c r="CT63" s="3579">
        <f>+CT61-(SMS!BE29+SMS!BE32)</f>
        <v>-1873418.7995036105</v>
      </c>
      <c r="CU63" s="3579">
        <f>+CU61-(SMS!BF29+SMS!BF32)</f>
        <v>-1681790.686</v>
      </c>
      <c r="CV63" s="595"/>
      <c r="CW63" s="595"/>
    </row>
    <row r="64" spans="1:104" x14ac:dyDescent="0.3">
      <c r="A64" s="3575"/>
      <c r="B64" s="3575"/>
      <c r="C64" s="3575"/>
      <c r="D64" s="3575"/>
      <c r="E64" s="3574"/>
      <c r="F64" s="3575"/>
      <c r="G64" s="3575"/>
      <c r="H64" s="3575"/>
      <c r="I64" s="3575"/>
      <c r="J64" s="3575"/>
      <c r="K64" s="3575"/>
      <c r="L64" s="3575"/>
      <c r="M64" s="3575"/>
      <c r="N64" s="3575"/>
      <c r="O64" s="3575"/>
      <c r="P64" s="3575"/>
      <c r="Q64" s="3575"/>
      <c r="R64" s="3575"/>
      <c r="S64" s="3575"/>
      <c r="T64" s="3575"/>
      <c r="U64" s="3575"/>
      <c r="V64" s="3575"/>
      <c r="W64" s="3575"/>
      <c r="X64" s="3575"/>
      <c r="Y64" s="3575"/>
      <c r="Z64" s="3575"/>
      <c r="AA64" s="3575"/>
      <c r="AB64" s="3575"/>
      <c r="AC64" s="3575"/>
      <c r="AD64" s="3575"/>
      <c r="AE64" s="3575"/>
      <c r="AF64" s="3575"/>
      <c r="AG64" s="3575"/>
      <c r="AH64" s="3575"/>
      <c r="AI64" s="3575"/>
      <c r="AJ64" s="3575"/>
      <c r="AK64" s="3575"/>
      <c r="AL64" s="3575"/>
      <c r="AM64" s="3575"/>
      <c r="AN64" s="3575"/>
      <c r="AO64" s="3575"/>
      <c r="AP64" s="3575"/>
      <c r="AQ64" s="3575"/>
      <c r="AR64" s="3575"/>
      <c r="AS64" s="3575"/>
      <c r="AT64" s="3575"/>
      <c r="AU64" s="3575"/>
      <c r="AV64" s="3575"/>
      <c r="AW64" s="3575"/>
      <c r="AX64" s="3575"/>
      <c r="AY64" s="3575"/>
      <c r="AZ64" s="3575"/>
      <c r="BA64" s="3575"/>
      <c r="BB64" s="3575"/>
      <c r="BC64" s="3575"/>
      <c r="BD64" s="3575"/>
      <c r="BE64" s="3575"/>
      <c r="BF64" s="3575"/>
      <c r="BG64" s="3575"/>
      <c r="BH64" s="3575"/>
      <c r="BI64" s="3575"/>
      <c r="BJ64" s="3575"/>
      <c r="BK64" s="3575"/>
      <c r="BL64" s="3575"/>
      <c r="BM64" s="3575"/>
      <c r="BN64" s="3575"/>
      <c r="BO64" s="3575"/>
      <c r="BP64" s="3575"/>
      <c r="BQ64" s="3575"/>
      <c r="BR64" s="3575"/>
      <c r="BS64" s="3575"/>
      <c r="BT64" s="3575"/>
      <c r="BU64" s="3575"/>
      <c r="BV64" s="3575"/>
      <c r="BW64" s="3575"/>
      <c r="BX64" s="3575"/>
      <c r="BY64" s="3575"/>
      <c r="BZ64" s="3575"/>
      <c r="CA64" s="3575"/>
      <c r="CB64" s="3575"/>
      <c r="CC64" s="3575"/>
      <c r="CD64" s="3575"/>
      <c r="CE64" s="3575"/>
      <c r="CF64" s="3575"/>
      <c r="CG64" s="3575"/>
      <c r="CH64" s="3575"/>
      <c r="CI64" s="3575"/>
      <c r="CJ64" s="3575"/>
      <c r="CK64" s="3575"/>
      <c r="CL64" s="3575"/>
      <c r="CM64" s="3575"/>
      <c r="CN64" s="3575"/>
      <c r="CO64" s="3575"/>
      <c r="CP64" s="3575"/>
      <c r="CQ64" s="3575"/>
      <c r="CR64" s="3575"/>
      <c r="CS64" s="3575"/>
      <c r="CT64" s="3575"/>
      <c r="CU64" s="3573"/>
      <c r="CV64" s="595"/>
      <c r="CW64" s="595"/>
    </row>
    <row r="65" spans="5:104" x14ac:dyDescent="0.3">
      <c r="AP65" s="3586"/>
      <c r="CV65" s="595"/>
      <c r="CW65" s="595"/>
      <c r="CX65" s="595"/>
      <c r="CY65" s="595"/>
      <c r="CZ65" s="595"/>
    </row>
    <row r="66" spans="5:104" x14ac:dyDescent="0.3">
      <c r="AU66" s="3586"/>
      <c r="AV66" s="3586"/>
      <c r="AW66" s="3586"/>
      <c r="AX66" s="3586"/>
      <c r="AY66" s="3586"/>
      <c r="AZ66" s="3586"/>
      <c r="BA66" s="3586"/>
      <c r="BB66" s="3586"/>
      <c r="BC66" s="3586"/>
      <c r="BD66" s="3586"/>
      <c r="BE66" s="3586"/>
      <c r="BF66" s="3586"/>
      <c r="BG66" s="3586"/>
      <c r="BH66" s="3586"/>
      <c r="BI66" s="3586"/>
      <c r="BJ66" s="3586"/>
      <c r="BK66" s="3586"/>
      <c r="BL66" s="3586"/>
      <c r="BM66" s="3586"/>
      <c r="BN66" s="3586"/>
      <c r="BO66" s="3586"/>
      <c r="BP66" s="3586"/>
      <c r="BQ66" s="3586"/>
      <c r="BR66" s="3586"/>
      <c r="BS66" s="3586"/>
      <c r="BT66" s="3586"/>
      <c r="BU66" s="3586"/>
      <c r="BV66" s="3586"/>
      <c r="CV66" s="595"/>
      <c r="CW66" s="595"/>
      <c r="CX66" s="595"/>
      <c r="CY66" s="595"/>
      <c r="CZ66" s="595"/>
    </row>
    <row r="67" spans="5:104" ht="21" x14ac:dyDescent="0.4">
      <c r="E67" s="4177"/>
      <c r="F67" s="3586"/>
      <c r="I67" s="1049">
        <v>9562</v>
      </c>
      <c r="O67" s="3586"/>
      <c r="BM67" s="3586"/>
    </row>
    <row r="68" spans="5:104" x14ac:dyDescent="0.3">
      <c r="F68" s="3586"/>
      <c r="I68" s="3586">
        <f>I67-L33</f>
        <v>9562</v>
      </c>
      <c r="AH68" s="3586"/>
      <c r="BM68" s="3586"/>
    </row>
  </sheetData>
  <mergeCells count="30">
    <mergeCell ref="E2:CU2"/>
    <mergeCell ref="F4:X4"/>
    <mergeCell ref="Y4:AQ4"/>
    <mergeCell ref="AT4:AU4"/>
    <mergeCell ref="AV4:AW4"/>
    <mergeCell ref="AX4:AY4"/>
    <mergeCell ref="AZ4:BA4"/>
    <mergeCell ref="BB4:BC4"/>
    <mergeCell ref="BD4:BE4"/>
    <mergeCell ref="BF4:BG4"/>
    <mergeCell ref="BH4:BI4"/>
    <mergeCell ref="BJ4:BK4"/>
    <mergeCell ref="BL4:BM4"/>
    <mergeCell ref="BN4:BO4"/>
    <mergeCell ref="BP4:BQ4"/>
    <mergeCell ref="BR4:BS4"/>
    <mergeCell ref="BT4:BU4"/>
    <mergeCell ref="BV4:BW4"/>
    <mergeCell ref="BX4:BY4"/>
    <mergeCell ref="BZ4:CA4"/>
    <mergeCell ref="CB4:CC4"/>
    <mergeCell ref="CN4:CO4"/>
    <mergeCell ref="CP4:CQ4"/>
    <mergeCell ref="CR4:CS4"/>
    <mergeCell ref="CT4:CU4"/>
    <mergeCell ref="CD4:CE4"/>
    <mergeCell ref="CF4:CG4"/>
    <mergeCell ref="CH4:CI4"/>
    <mergeCell ref="CJ4:CK4"/>
    <mergeCell ref="CL4:CM4"/>
  </mergeCells>
  <printOptions horizontalCentered="1" verticalCentered="1"/>
  <pageMargins left="0" right="0" top="0" bottom="0" header="0" footer="0"/>
  <pageSetup paperSize="9" scale="37"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tabColor rgb="FFF97575"/>
    <pageSetUpPr fitToPage="1"/>
  </sheetPr>
  <dimension ref="A1:BI56"/>
  <sheetViews>
    <sheetView zoomScaleNormal="100" workbookViewId="0">
      <pane xSplit="1" topLeftCell="C1" activePane="topRight" state="frozen"/>
      <selection activeCell="BG86" sqref="BG86"/>
      <selection pane="topRight" activeCell="A3" sqref="A3"/>
    </sheetView>
  </sheetViews>
  <sheetFormatPr defaultColWidth="9.109375" defaultRowHeight="15.6" x14ac:dyDescent="0.3"/>
  <cols>
    <col min="1" max="1" width="55.88671875" style="140" customWidth="1"/>
    <col min="2" max="2" width="10.109375" style="140" hidden="1" customWidth="1"/>
    <col min="3" max="3" width="21" style="140" customWidth="1"/>
    <col min="4" max="4" width="10.33203125" style="140" hidden="1" customWidth="1"/>
    <col min="5" max="5" width="10.44140625" style="140" customWidth="1"/>
    <col min="6" max="6" width="10.44140625" style="140" hidden="1" customWidth="1"/>
    <col min="7" max="7" width="10.6640625" style="140" customWidth="1"/>
    <col min="8" max="8" width="9.109375" style="140" hidden="1" customWidth="1"/>
    <col min="9" max="10" width="9.5546875" style="140" hidden="1" customWidth="1"/>
    <col min="11" max="11" width="10.6640625" style="140" hidden="1" customWidth="1"/>
    <col min="12" max="12" width="13" style="140" hidden="1" customWidth="1"/>
    <col min="13" max="14" width="12.5546875" style="140" hidden="1" customWidth="1"/>
    <col min="15" max="15" width="16.88671875" style="140" hidden="1" customWidth="1"/>
    <col min="16" max="16" width="13" style="140" hidden="1" customWidth="1"/>
    <col min="17" max="17" width="12.5546875" style="140" hidden="1" customWidth="1"/>
    <col min="18" max="18" width="10.44140625" style="140" hidden="1" customWidth="1"/>
    <col min="19" max="19" width="10.6640625" style="140" hidden="1" customWidth="1"/>
    <col min="20" max="20" width="17" style="140" hidden="1" customWidth="1"/>
    <col min="21" max="22" width="11" style="140" hidden="1" customWidth="1"/>
    <col min="23" max="26" width="10.6640625" style="140" hidden="1" customWidth="1"/>
    <col min="27" max="28" width="9.109375" style="140" hidden="1" customWidth="1"/>
    <col min="29" max="30" width="10.6640625" style="140" hidden="1" customWidth="1"/>
    <col min="31" max="32" width="9.109375" style="140" hidden="1" customWidth="1"/>
    <col min="33" max="34" width="10.6640625" style="140" hidden="1" customWidth="1"/>
    <col min="35" max="36" width="9.109375" style="140" hidden="1" customWidth="1"/>
    <col min="37" max="38" width="10.6640625" style="140" hidden="1" customWidth="1"/>
    <col min="39" max="39" width="7.88671875" style="140" hidden="1" customWidth="1"/>
    <col min="40" max="40" width="5.44140625" style="140" hidden="1" customWidth="1"/>
    <col min="41" max="42" width="9.109375" style="140" hidden="1" customWidth="1"/>
    <col min="43" max="44" width="10.6640625" style="140" hidden="1" customWidth="1"/>
    <col min="45" max="46" width="9.109375" style="140" hidden="1" customWidth="1"/>
    <col min="47" max="48" width="10.6640625" style="140" hidden="1" customWidth="1"/>
    <col min="49" max="50" width="9.109375" style="140" hidden="1" customWidth="1"/>
    <col min="51" max="51" width="10.6640625" style="140" hidden="1" customWidth="1"/>
    <col min="52" max="52" width="9.109375" style="140" hidden="1" customWidth="1"/>
    <col min="53" max="55" width="10.6640625" style="140" hidden="1" customWidth="1"/>
    <col min="56" max="57" width="9.109375" style="140" customWidth="1"/>
    <col min="58" max="16384" width="9.109375" style="140"/>
  </cols>
  <sheetData>
    <row r="1" spans="1:59" x14ac:dyDescent="0.3">
      <c r="A1" s="2781"/>
      <c r="B1" s="2781"/>
      <c r="C1" s="2765"/>
      <c r="D1" s="2765"/>
      <c r="E1" s="2765"/>
      <c r="F1" s="2765"/>
      <c r="G1" s="2765"/>
      <c r="H1" s="2765"/>
      <c r="I1" s="2765"/>
      <c r="J1" s="2765"/>
      <c r="K1" s="2765"/>
      <c r="L1" s="2765"/>
      <c r="M1" s="2765"/>
      <c r="N1" s="2765"/>
      <c r="O1" s="2765"/>
      <c r="P1" s="2765"/>
      <c r="Q1" s="2765"/>
      <c r="R1" s="2765"/>
      <c r="S1" s="2765"/>
      <c r="T1" s="2765"/>
      <c r="U1" s="2765"/>
      <c r="V1" s="2765"/>
      <c r="W1" s="2765"/>
      <c r="X1" s="2765"/>
      <c r="Y1" s="2765"/>
      <c r="Z1" s="2765"/>
    </row>
    <row r="2" spans="1:59" ht="17.399999999999999" x14ac:dyDescent="0.3">
      <c r="A2" s="6249" t="s">
        <v>2389</v>
      </c>
      <c r="B2" s="6249"/>
      <c r="C2" s="6249"/>
      <c r="D2" s="6249"/>
      <c r="E2" s="6249"/>
      <c r="F2" s="6249"/>
      <c r="G2" s="6249"/>
      <c r="H2" s="6249"/>
      <c r="I2" s="6249"/>
      <c r="J2" s="6249"/>
      <c r="K2" s="6249"/>
      <c r="L2" s="6249"/>
      <c r="M2" s="6249"/>
      <c r="N2" s="6249"/>
      <c r="O2" s="6249"/>
      <c r="P2" s="6249"/>
      <c r="Q2" s="6249"/>
      <c r="R2" s="6249"/>
      <c r="S2" s="6249"/>
      <c r="T2" s="6249"/>
      <c r="U2" s="6249"/>
      <c r="V2" s="6249"/>
      <c r="W2" s="6249"/>
      <c r="X2" s="6249"/>
      <c r="Y2" s="6249"/>
      <c r="Z2" s="6249"/>
      <c r="AA2" s="6249"/>
      <c r="AB2" s="6249"/>
      <c r="AC2" s="6249"/>
      <c r="AD2" s="6249"/>
      <c r="AE2" s="6249"/>
      <c r="AF2" s="6249"/>
      <c r="AG2" s="6249"/>
      <c r="AH2" s="6249"/>
      <c r="AI2" s="6249"/>
      <c r="AJ2" s="6249"/>
      <c r="AK2" s="6249"/>
      <c r="AL2" s="6249"/>
      <c r="AM2" s="6249"/>
      <c r="AN2" s="6249"/>
      <c r="AO2" s="6249"/>
      <c r="AP2" s="6249"/>
      <c r="AQ2" s="6249"/>
      <c r="AR2" s="6249"/>
      <c r="AS2" s="6249"/>
      <c r="AT2" s="6249"/>
      <c r="AU2" s="6249"/>
      <c r="AV2" s="6249"/>
      <c r="AW2" s="6249"/>
      <c r="AX2" s="6249"/>
      <c r="AY2" s="6249"/>
      <c r="AZ2" s="6249"/>
      <c r="BA2" s="6249"/>
      <c r="BB2" s="6249"/>
      <c r="BC2" s="6249"/>
    </row>
    <row r="3" spans="1:59" ht="16.2" thickBot="1" x14ac:dyDescent="0.35">
      <c r="A3" s="2781"/>
      <c r="B3" s="2781"/>
      <c r="C3" s="2765"/>
      <c r="D3" s="2765"/>
      <c r="E3" s="2765"/>
      <c r="F3" s="2765"/>
      <c r="G3" s="2765"/>
      <c r="H3" s="2765"/>
      <c r="I3" s="2765"/>
      <c r="J3" s="2765"/>
      <c r="K3" s="2765"/>
      <c r="L3" s="2765"/>
      <c r="M3" s="2765"/>
      <c r="N3" s="2765"/>
      <c r="O3" s="2765"/>
      <c r="P3" s="2765"/>
      <c r="Q3" s="2765"/>
      <c r="R3" s="2765"/>
      <c r="S3" s="2765"/>
      <c r="T3" s="2765"/>
      <c r="U3" s="2765"/>
      <c r="V3" s="2765"/>
      <c r="W3" s="2765"/>
      <c r="X3" s="2765"/>
      <c r="Y3" s="2765"/>
      <c r="Z3" s="2765"/>
    </row>
    <row r="4" spans="1:59" x14ac:dyDescent="0.3">
      <c r="A4" s="6252"/>
      <c r="B4" s="6228" t="s">
        <v>2211</v>
      </c>
      <c r="C4" s="6229"/>
      <c r="D4" s="6228" t="s">
        <v>2260</v>
      </c>
      <c r="E4" s="6229"/>
      <c r="F4" s="6232" t="s">
        <v>14</v>
      </c>
      <c r="G4" s="6233"/>
      <c r="H4" s="6254" t="s">
        <v>1963</v>
      </c>
      <c r="I4" s="6246"/>
      <c r="J4" s="6247" t="s">
        <v>604</v>
      </c>
      <c r="K4" s="6248"/>
      <c r="L4" s="6228" t="s">
        <v>1985</v>
      </c>
      <c r="M4" s="6229"/>
      <c r="N4" s="6232" t="s">
        <v>17</v>
      </c>
      <c r="O4" s="6233"/>
      <c r="P4" s="6250" t="s">
        <v>1988</v>
      </c>
      <c r="Q4" s="6251"/>
      <c r="R4" s="6232" t="s">
        <v>18</v>
      </c>
      <c r="S4" s="6233"/>
      <c r="T4" s="6234" t="s">
        <v>2019</v>
      </c>
      <c r="U4" s="6235"/>
      <c r="V4" s="6230" t="s">
        <v>797</v>
      </c>
      <c r="W4" s="6230"/>
      <c r="X4" s="6231" t="s">
        <v>623</v>
      </c>
      <c r="Y4" s="6231"/>
      <c r="Z4" s="6228" t="s">
        <v>2043</v>
      </c>
      <c r="AA4" s="6229"/>
      <c r="AB4" s="6232" t="s">
        <v>24</v>
      </c>
      <c r="AC4" s="6233"/>
      <c r="AD4" s="6228" t="s">
        <v>2064</v>
      </c>
      <c r="AE4" s="6229"/>
      <c r="AF4" s="6232" t="s">
        <v>27</v>
      </c>
      <c r="AG4" s="6233"/>
      <c r="AH4" s="6234" t="s">
        <v>2088</v>
      </c>
      <c r="AI4" s="6235"/>
      <c r="AJ4" s="6230" t="s">
        <v>1564</v>
      </c>
      <c r="AK4" s="6230"/>
      <c r="AL4" s="6232" t="s">
        <v>1565</v>
      </c>
      <c r="AM4" s="6233"/>
      <c r="AN4" s="6228" t="s">
        <v>2099</v>
      </c>
      <c r="AO4" s="6229"/>
      <c r="AP4" s="6232" t="s">
        <v>28</v>
      </c>
      <c r="AQ4" s="6233"/>
      <c r="AR4" s="6228" t="s">
        <v>2136</v>
      </c>
      <c r="AS4" s="6229"/>
      <c r="AT4" s="6232" t="s">
        <v>30</v>
      </c>
      <c r="AU4" s="6233"/>
      <c r="AV4" s="6228" t="s">
        <v>2154</v>
      </c>
      <c r="AW4" s="6229"/>
      <c r="AX4" s="6230" t="s">
        <v>1600</v>
      </c>
      <c r="AY4" s="6230"/>
      <c r="AZ4" s="6231" t="s">
        <v>634</v>
      </c>
      <c r="BA4" s="6231"/>
      <c r="BB4" s="6232" t="s">
        <v>1961</v>
      </c>
      <c r="BC4" s="6233"/>
    </row>
    <row r="5" spans="1:59" ht="16.2" thickBot="1" x14ac:dyDescent="0.35">
      <c r="A5" s="6253"/>
      <c r="B5" s="2775" t="s">
        <v>172</v>
      </c>
      <c r="C5" s="2768" t="s">
        <v>173</v>
      </c>
      <c r="D5" s="2775" t="s">
        <v>172</v>
      </c>
      <c r="E5" s="2768" t="s">
        <v>173</v>
      </c>
      <c r="F5" s="2769" t="s">
        <v>172</v>
      </c>
      <c r="G5" s="2770" t="s">
        <v>173</v>
      </c>
      <c r="H5" s="2771" t="s">
        <v>172</v>
      </c>
      <c r="I5" s="2772" t="s">
        <v>173</v>
      </c>
      <c r="J5" s="2773" t="s">
        <v>172</v>
      </c>
      <c r="K5" s="2774" t="s">
        <v>173</v>
      </c>
      <c r="L5" s="2771" t="s">
        <v>172</v>
      </c>
      <c r="M5" s="2768" t="s">
        <v>173</v>
      </c>
      <c r="N5" s="2769" t="s">
        <v>172</v>
      </c>
      <c r="O5" s="2770" t="s">
        <v>173</v>
      </c>
      <c r="P5" s="2771" t="s">
        <v>172</v>
      </c>
      <c r="Q5" s="2768" t="s">
        <v>173</v>
      </c>
      <c r="R5" s="2769" t="s">
        <v>172</v>
      </c>
      <c r="S5" s="2770" t="s">
        <v>173</v>
      </c>
      <c r="T5" s="2767" t="s">
        <v>172</v>
      </c>
      <c r="U5" s="2791" t="s">
        <v>173</v>
      </c>
      <c r="V5" s="2792" t="s">
        <v>172</v>
      </c>
      <c r="W5" s="2792" t="s">
        <v>173</v>
      </c>
      <c r="X5" s="2793" t="s">
        <v>172</v>
      </c>
      <c r="Y5" s="2793" t="s">
        <v>173</v>
      </c>
      <c r="Z5" s="2775" t="s">
        <v>172</v>
      </c>
      <c r="AA5" s="2768" t="s">
        <v>173</v>
      </c>
      <c r="AB5" s="2769" t="s">
        <v>172</v>
      </c>
      <c r="AC5" s="2770" t="s">
        <v>173</v>
      </c>
      <c r="AD5" s="2775" t="s">
        <v>172</v>
      </c>
      <c r="AE5" s="2768" t="s">
        <v>173</v>
      </c>
      <c r="AF5" s="2769" t="s">
        <v>172</v>
      </c>
      <c r="AG5" s="2770" t="s">
        <v>173</v>
      </c>
      <c r="AH5" s="2767" t="s">
        <v>172</v>
      </c>
      <c r="AI5" s="2791" t="s">
        <v>173</v>
      </c>
      <c r="AJ5" s="2792" t="s">
        <v>172</v>
      </c>
      <c r="AK5" s="2792" t="s">
        <v>173</v>
      </c>
      <c r="AL5" s="2769" t="s">
        <v>172</v>
      </c>
      <c r="AM5" s="2770" t="s">
        <v>173</v>
      </c>
      <c r="AN5" s="2775" t="s">
        <v>172</v>
      </c>
      <c r="AO5" s="2768" t="s">
        <v>173</v>
      </c>
      <c r="AP5" s="2769" t="s">
        <v>172</v>
      </c>
      <c r="AQ5" s="2770" t="s">
        <v>173</v>
      </c>
      <c r="AR5" s="2775" t="s">
        <v>172</v>
      </c>
      <c r="AS5" s="2768" t="s">
        <v>173</v>
      </c>
      <c r="AT5" s="2769" t="s">
        <v>172</v>
      </c>
      <c r="AU5" s="2770" t="s">
        <v>173</v>
      </c>
      <c r="AV5" s="2775" t="s">
        <v>172</v>
      </c>
      <c r="AW5" s="2768" t="s">
        <v>173</v>
      </c>
      <c r="AX5" s="2792" t="s">
        <v>172</v>
      </c>
      <c r="AY5" s="2792" t="s">
        <v>173</v>
      </c>
      <c r="AZ5" s="2793" t="s">
        <v>172</v>
      </c>
      <c r="BA5" s="2793" t="s">
        <v>173</v>
      </c>
      <c r="BB5" s="2769" t="s">
        <v>172</v>
      </c>
      <c r="BC5" s="2770" t="s">
        <v>173</v>
      </c>
    </row>
    <row r="6" spans="1:59" x14ac:dyDescent="0.3">
      <c r="A6" s="2785" t="s">
        <v>610</v>
      </c>
      <c r="B6" s="2786"/>
      <c r="C6" s="2794"/>
      <c r="D6" s="2794"/>
      <c r="E6" s="2795"/>
      <c r="F6" s="2795"/>
      <c r="G6" s="2795"/>
      <c r="H6" s="2795"/>
      <c r="I6" s="2795"/>
      <c r="J6" s="2796"/>
      <c r="K6" s="2797"/>
      <c r="L6" s="2795"/>
      <c r="M6" s="2795"/>
      <c r="N6" s="2795"/>
      <c r="O6" s="2795"/>
      <c r="P6" s="2795"/>
      <c r="Q6" s="2795"/>
      <c r="R6" s="2795"/>
      <c r="S6" s="2795"/>
      <c r="T6" s="2799"/>
      <c r="U6" s="2799"/>
      <c r="V6" s="2799"/>
      <c r="W6" s="2797"/>
      <c r="X6" s="2798"/>
      <c r="Y6" s="2799"/>
      <c r="Z6" s="2799"/>
      <c r="AA6" s="2799"/>
      <c r="AB6" s="2799"/>
      <c r="AC6" s="2799"/>
      <c r="AD6" s="2799"/>
      <c r="AE6" s="2799"/>
      <c r="AF6" s="2799"/>
      <c r="AG6" s="2799"/>
      <c r="AH6" s="2799"/>
      <c r="AI6" s="2799"/>
      <c r="AJ6" s="2799"/>
      <c r="AK6" s="2797"/>
      <c r="AL6" s="2798"/>
      <c r="AM6" s="2799"/>
      <c r="AN6" s="2799"/>
      <c r="AO6" s="2799"/>
      <c r="AP6" s="2799"/>
      <c r="AQ6" s="2799"/>
      <c r="AR6" s="2799"/>
      <c r="AS6" s="2799"/>
      <c r="AT6" s="2799"/>
      <c r="AU6" s="2799"/>
      <c r="AV6" s="2799"/>
      <c r="AW6" s="2799"/>
      <c r="AX6" s="2799"/>
      <c r="AY6" s="2797"/>
      <c r="AZ6" s="2798"/>
      <c r="BA6" s="2799"/>
      <c r="BB6" s="2799"/>
      <c r="BC6" s="2800"/>
    </row>
    <row r="7" spans="1:59" x14ac:dyDescent="0.3">
      <c r="A7" s="212" t="s">
        <v>1870</v>
      </c>
      <c r="B7" s="1400"/>
      <c r="C7" s="214"/>
      <c r="D7" s="214"/>
      <c r="E7" s="214"/>
      <c r="F7" s="1341"/>
      <c r="G7" s="1341">
        <f>+C7+E7</f>
        <v>0</v>
      </c>
      <c r="H7" s="1393"/>
      <c r="I7" s="214"/>
      <c r="J7" s="1408"/>
      <c r="K7" s="1110">
        <f>+C7+E7+I7</f>
        <v>0</v>
      </c>
      <c r="L7" s="1393"/>
      <c r="M7" s="214"/>
      <c r="N7" s="1405"/>
      <c r="O7" s="1416">
        <f>+C7+E7+I7+M7</f>
        <v>0</v>
      </c>
      <c r="P7" s="1393"/>
      <c r="Q7" s="214"/>
      <c r="R7" s="1341"/>
      <c r="S7" s="1341">
        <f>+O7+Q7</f>
        <v>0</v>
      </c>
      <c r="T7" s="2385"/>
      <c r="U7" s="214"/>
      <c r="V7" s="1405"/>
      <c r="W7" s="1110">
        <f t="shared" ref="W7:W51" si="0">+M7+Q7+U7</f>
        <v>0</v>
      </c>
      <c r="X7" s="2389"/>
      <c r="Y7" s="2390">
        <f t="shared" ref="Y7:Y51" si="1">+K7+W7</f>
        <v>0</v>
      </c>
      <c r="Z7" s="2391"/>
      <c r="AA7" s="214"/>
      <c r="AB7" s="214"/>
      <c r="AC7" s="2386">
        <f>+Y7+AA7</f>
        <v>0</v>
      </c>
      <c r="AD7" s="2385"/>
      <c r="AE7" s="214"/>
      <c r="AF7" s="214"/>
      <c r="AG7" s="2386">
        <f>+AC7+AE7</f>
        <v>0</v>
      </c>
      <c r="AH7" s="2385"/>
      <c r="AI7" s="214"/>
      <c r="AJ7" s="1405"/>
      <c r="AK7" s="1110">
        <f t="shared" ref="AK7:AK51" si="2">+AA7+AE7+AI7</f>
        <v>0</v>
      </c>
      <c r="AL7" s="2389"/>
      <c r="AM7" s="2386">
        <f>+AG7+AI7</f>
        <v>0</v>
      </c>
      <c r="AN7" s="2385"/>
      <c r="AO7" s="214">
        <v>895</v>
      </c>
      <c r="AP7" s="214"/>
      <c r="AQ7" s="2386">
        <f>AM7+AO7</f>
        <v>895</v>
      </c>
      <c r="AR7" s="2385"/>
      <c r="AS7" s="214"/>
      <c r="AT7" s="214"/>
      <c r="AU7" s="2386">
        <f>AQ7+AS7</f>
        <v>895</v>
      </c>
      <c r="AV7" s="2385"/>
      <c r="AW7" s="214"/>
      <c r="AX7" s="1405"/>
      <c r="AY7" s="1110">
        <f t="shared" ref="AY7:AY51" si="3">+AO7+AS7+AW7</f>
        <v>895</v>
      </c>
      <c r="AZ7" s="2389"/>
      <c r="BA7" s="2390">
        <f>+AK7+AY7</f>
        <v>895</v>
      </c>
      <c r="BB7" s="2386"/>
      <c r="BC7" s="1416">
        <f t="shared" ref="BC7:BC51" si="4">AU7+AW7</f>
        <v>895</v>
      </c>
      <c r="BD7" s="2780"/>
    </row>
    <row r="8" spans="1:59" x14ac:dyDescent="0.3">
      <c r="A8" s="212" t="s">
        <v>1871</v>
      </c>
      <c r="B8" s="1400"/>
      <c r="C8" s="214"/>
      <c r="D8" s="214"/>
      <c r="E8" s="214"/>
      <c r="F8" s="1341"/>
      <c r="G8" s="1341">
        <f t="shared" ref="G8:G19" si="5">+C8+E8</f>
        <v>0</v>
      </c>
      <c r="H8" s="1393"/>
      <c r="I8" s="214"/>
      <c r="J8" s="1408"/>
      <c r="K8" s="1110">
        <f t="shared" ref="K8:K51" si="6">+C8+E8+I8</f>
        <v>0</v>
      </c>
      <c r="L8" s="1393"/>
      <c r="M8" s="214"/>
      <c r="N8" s="1405"/>
      <c r="O8" s="1416">
        <f t="shared" ref="O8:O51" si="7">+C8+E8+I8+M8</f>
        <v>0</v>
      </c>
      <c r="P8" s="1393"/>
      <c r="Q8" s="214">
        <v>307.10399999999998</v>
      </c>
      <c r="R8" s="1341"/>
      <c r="S8" s="1341">
        <f t="shared" ref="S8:S51" si="8">+O8+Q8</f>
        <v>307.10399999999998</v>
      </c>
      <c r="T8" s="2385"/>
      <c r="U8" s="214"/>
      <c r="V8" s="1405"/>
      <c r="W8" s="1110">
        <f t="shared" si="0"/>
        <v>307.10399999999998</v>
      </c>
      <c r="X8" s="2389"/>
      <c r="Y8" s="2390">
        <f t="shared" si="1"/>
        <v>307.10399999999998</v>
      </c>
      <c r="Z8" s="2391"/>
      <c r="AA8" s="214">
        <v>34</v>
      </c>
      <c r="AB8" s="214"/>
      <c r="AC8" s="2386">
        <f t="shared" ref="AC8:AC51" si="9">+Y8+AA8</f>
        <v>341.10399999999998</v>
      </c>
      <c r="AD8" s="2385"/>
      <c r="AE8" s="214"/>
      <c r="AF8" s="214"/>
      <c r="AG8" s="2386">
        <f t="shared" ref="AG8:AG51" si="10">+AC8+AE8</f>
        <v>341.10399999999998</v>
      </c>
      <c r="AH8" s="2385"/>
      <c r="AI8" s="214"/>
      <c r="AJ8" s="1405"/>
      <c r="AK8" s="1110">
        <f t="shared" si="2"/>
        <v>34</v>
      </c>
      <c r="AL8" s="2389"/>
      <c r="AM8" s="2386">
        <f t="shared" ref="AM8:AM51" si="11">+AG8+AI8</f>
        <v>341.10399999999998</v>
      </c>
      <c r="AN8" s="2385"/>
      <c r="AO8" s="214">
        <v>32</v>
      </c>
      <c r="AP8" s="214"/>
      <c r="AQ8" s="2386">
        <f t="shared" ref="AQ8:AQ51" si="12">AM8+AO8</f>
        <v>373.10399999999998</v>
      </c>
      <c r="AR8" s="2385"/>
      <c r="AS8" s="214">
        <v>75.492000000000004</v>
      </c>
      <c r="AT8" s="214"/>
      <c r="AU8" s="2386">
        <f t="shared" ref="AU8:AU51" si="13">AQ8+AS8</f>
        <v>448.596</v>
      </c>
      <c r="AV8" s="2385"/>
      <c r="AW8" s="214">
        <v>5.2160000000000002</v>
      </c>
      <c r="AX8" s="1405"/>
      <c r="AY8" s="1110">
        <f t="shared" si="3"/>
        <v>112.708</v>
      </c>
      <c r="AZ8" s="2389"/>
      <c r="BA8" s="2390">
        <f t="shared" ref="BA8:BA51" si="14">+AK8+AY8</f>
        <v>146.708</v>
      </c>
      <c r="BB8" s="2386"/>
      <c r="BC8" s="1416">
        <f t="shared" si="4"/>
        <v>453.81200000000001</v>
      </c>
      <c r="BD8" s="2780"/>
      <c r="BF8" s="2780"/>
      <c r="BG8" s="2780"/>
    </row>
    <row r="9" spans="1:59" x14ac:dyDescent="0.3">
      <c r="A9" s="4831" t="s">
        <v>2105</v>
      </c>
      <c r="B9" s="1400"/>
      <c r="C9" s="4815"/>
      <c r="D9" s="4815"/>
      <c r="E9" s="4815">
        <v>1253.07</v>
      </c>
      <c r="F9" s="4816"/>
      <c r="G9" s="1341">
        <f t="shared" si="5"/>
        <v>1253.07</v>
      </c>
      <c r="H9" s="4817"/>
      <c r="I9" s="4815"/>
      <c r="J9" s="1408"/>
      <c r="K9" s="4314"/>
      <c r="L9" s="4817"/>
      <c r="M9" s="4815"/>
      <c r="N9" s="1405"/>
      <c r="O9" s="4316"/>
      <c r="P9" s="4817"/>
      <c r="Q9" s="4815"/>
      <c r="R9" s="4816"/>
      <c r="S9" s="4816"/>
      <c r="T9" s="4818"/>
      <c r="U9" s="4815"/>
      <c r="V9" s="1405"/>
      <c r="W9" s="4314"/>
      <c r="X9" s="4819"/>
      <c r="Y9" s="4820"/>
      <c r="Z9" s="4821"/>
      <c r="AA9" s="4815"/>
      <c r="AB9" s="4815"/>
      <c r="AC9" s="4822"/>
      <c r="AD9" s="4818"/>
      <c r="AE9" s="4815"/>
      <c r="AF9" s="4815"/>
      <c r="AG9" s="4822"/>
      <c r="AH9" s="4818"/>
      <c r="AI9" s="4815"/>
      <c r="AJ9" s="1405"/>
      <c r="AK9" s="4314"/>
      <c r="AL9" s="4819"/>
      <c r="AM9" s="2386">
        <f t="shared" si="11"/>
        <v>0</v>
      </c>
      <c r="AN9" s="4818"/>
      <c r="AO9" s="4815">
        <v>1655</v>
      </c>
      <c r="AP9" s="4815"/>
      <c r="AQ9" s="2386">
        <f t="shared" si="12"/>
        <v>1655</v>
      </c>
      <c r="AR9" s="4818"/>
      <c r="AS9" s="4815"/>
      <c r="AT9" s="4815"/>
      <c r="AU9" s="4822">
        <f t="shared" si="13"/>
        <v>1655</v>
      </c>
      <c r="AV9" s="4818"/>
      <c r="AW9" s="4815">
        <v>2258.1779999999999</v>
      </c>
      <c r="AX9" s="1405"/>
      <c r="AY9" s="1110">
        <f t="shared" si="3"/>
        <v>3913.1779999999999</v>
      </c>
      <c r="AZ9" s="4819"/>
      <c r="BA9" s="2390">
        <f t="shared" si="14"/>
        <v>3913.1779999999999</v>
      </c>
      <c r="BB9" s="4822"/>
      <c r="BC9" s="1416">
        <f t="shared" si="4"/>
        <v>3913.1779999999999</v>
      </c>
      <c r="BD9" s="2780"/>
      <c r="BF9" s="2780"/>
      <c r="BG9" s="2780"/>
    </row>
    <row r="10" spans="1:59" x14ac:dyDescent="0.3">
      <c r="A10" s="4831" t="s">
        <v>2106</v>
      </c>
      <c r="B10" s="1400"/>
      <c r="C10" s="4815"/>
      <c r="D10" s="4815"/>
      <c r="E10" s="4815">
        <v>572.83199999999999</v>
      </c>
      <c r="F10" s="4816"/>
      <c r="G10" s="1341">
        <f t="shared" si="5"/>
        <v>572.83199999999999</v>
      </c>
      <c r="H10" s="4817"/>
      <c r="I10" s="4815"/>
      <c r="J10" s="1408"/>
      <c r="K10" s="4314"/>
      <c r="L10" s="4817"/>
      <c r="M10" s="4815"/>
      <c r="N10" s="1405"/>
      <c r="O10" s="4316"/>
      <c r="P10" s="4817"/>
      <c r="Q10" s="4815"/>
      <c r="R10" s="4816"/>
      <c r="S10" s="4816"/>
      <c r="T10" s="4818"/>
      <c r="U10" s="4815"/>
      <c r="V10" s="1405"/>
      <c r="W10" s="4314"/>
      <c r="X10" s="4819"/>
      <c r="Y10" s="4820"/>
      <c r="Z10" s="4821"/>
      <c r="AA10" s="4815"/>
      <c r="AB10" s="4815"/>
      <c r="AC10" s="4822"/>
      <c r="AD10" s="4818"/>
      <c r="AE10" s="4815"/>
      <c r="AF10" s="4815"/>
      <c r="AG10" s="4822"/>
      <c r="AH10" s="4818"/>
      <c r="AI10" s="4815"/>
      <c r="AJ10" s="1405"/>
      <c r="AK10" s="4314"/>
      <c r="AL10" s="4819"/>
      <c r="AM10" s="2386">
        <f t="shared" si="11"/>
        <v>0</v>
      </c>
      <c r="AN10" s="4818"/>
      <c r="AO10" s="4815">
        <v>573</v>
      </c>
      <c r="AP10" s="4815"/>
      <c r="AQ10" s="2386">
        <f t="shared" si="12"/>
        <v>573</v>
      </c>
      <c r="AR10" s="4818"/>
      <c r="AS10" s="4815"/>
      <c r="AT10" s="4815"/>
      <c r="AU10" s="4822">
        <f t="shared" si="13"/>
        <v>573</v>
      </c>
      <c r="AV10" s="4818"/>
      <c r="AW10" s="4815">
        <v>372.60599999999999</v>
      </c>
      <c r="AX10" s="1405"/>
      <c r="AY10" s="1110">
        <f t="shared" si="3"/>
        <v>945.60599999999999</v>
      </c>
      <c r="AZ10" s="4819"/>
      <c r="BA10" s="2390">
        <f t="shared" si="14"/>
        <v>945.60599999999999</v>
      </c>
      <c r="BB10" s="4822"/>
      <c r="BC10" s="1416">
        <f t="shared" si="4"/>
        <v>945.60599999999999</v>
      </c>
      <c r="BD10" s="2780"/>
      <c r="BF10" s="2780"/>
      <c r="BG10" s="2780"/>
    </row>
    <row r="11" spans="1:59" x14ac:dyDescent="0.3">
      <c r="A11" s="4831" t="s">
        <v>2104</v>
      </c>
      <c r="B11" s="1400"/>
      <c r="C11" s="4815"/>
      <c r="D11" s="4815"/>
      <c r="E11" s="4815"/>
      <c r="F11" s="4816"/>
      <c r="G11" s="1341">
        <f t="shared" si="5"/>
        <v>0</v>
      </c>
      <c r="H11" s="4817"/>
      <c r="I11" s="4815"/>
      <c r="J11" s="1408"/>
      <c r="K11" s="4314"/>
      <c r="L11" s="4817"/>
      <c r="M11" s="4815"/>
      <c r="N11" s="1405"/>
      <c r="O11" s="4316"/>
      <c r="P11" s="4817"/>
      <c r="Q11" s="4815"/>
      <c r="R11" s="4816"/>
      <c r="S11" s="4816"/>
      <c r="T11" s="4818"/>
      <c r="U11" s="4815"/>
      <c r="V11" s="1405"/>
      <c r="W11" s="4314"/>
      <c r="X11" s="4819"/>
      <c r="Y11" s="4820"/>
      <c r="Z11" s="4821"/>
      <c r="AA11" s="4815"/>
      <c r="AB11" s="4815"/>
      <c r="AC11" s="4822"/>
      <c r="AD11" s="4818"/>
      <c r="AE11" s="4815"/>
      <c r="AF11" s="4815"/>
      <c r="AG11" s="4822"/>
      <c r="AH11" s="4818"/>
      <c r="AI11" s="4815"/>
      <c r="AJ11" s="1405"/>
      <c r="AK11" s="4314"/>
      <c r="AL11" s="4819"/>
      <c r="AM11" s="2386">
        <f t="shared" si="11"/>
        <v>0</v>
      </c>
      <c r="AN11" s="4818"/>
      <c r="AO11" s="4815">
        <v>1882</v>
      </c>
      <c r="AP11" s="4815"/>
      <c r="AQ11" s="2386">
        <f t="shared" si="12"/>
        <v>1882</v>
      </c>
      <c r="AR11" s="4818"/>
      <c r="AS11" s="4815">
        <v>1221.2460000000001</v>
      </c>
      <c r="AT11" s="4815"/>
      <c r="AU11" s="4822">
        <f t="shared" si="13"/>
        <v>3103.2460000000001</v>
      </c>
      <c r="AV11" s="4818"/>
      <c r="AW11" s="4815"/>
      <c r="AX11" s="1405"/>
      <c r="AY11" s="1110">
        <f t="shared" si="3"/>
        <v>3103.2460000000001</v>
      </c>
      <c r="AZ11" s="4819"/>
      <c r="BA11" s="2390">
        <f t="shared" si="14"/>
        <v>3103.2460000000001</v>
      </c>
      <c r="BB11" s="4822"/>
      <c r="BC11" s="1416">
        <f t="shared" si="4"/>
        <v>3103.2460000000001</v>
      </c>
      <c r="BD11" s="2780"/>
      <c r="BF11" s="2780"/>
      <c r="BG11" s="2780"/>
    </row>
    <row r="12" spans="1:59" x14ac:dyDescent="0.3">
      <c r="A12" s="212" t="s">
        <v>1164</v>
      </c>
      <c r="B12" s="1400"/>
      <c r="C12" s="214"/>
      <c r="D12" s="214"/>
      <c r="E12" s="214"/>
      <c r="F12" s="1341"/>
      <c r="G12" s="1341">
        <f t="shared" si="5"/>
        <v>0</v>
      </c>
      <c r="H12" s="1393"/>
      <c r="I12" s="214"/>
      <c r="J12" s="1408"/>
      <c r="K12" s="1110">
        <f t="shared" si="6"/>
        <v>0</v>
      </c>
      <c r="L12" s="1393"/>
      <c r="M12" s="214"/>
      <c r="N12" s="1405"/>
      <c r="O12" s="1416">
        <f t="shared" si="7"/>
        <v>0</v>
      </c>
      <c r="P12" s="1393"/>
      <c r="Q12" s="214">
        <v>5899.3739999999998</v>
      </c>
      <c r="R12" s="1341"/>
      <c r="S12" s="1341">
        <f t="shared" si="8"/>
        <v>5899.3739999999998</v>
      </c>
      <c r="T12" s="2385"/>
      <c r="U12" s="214"/>
      <c r="V12" s="1405"/>
      <c r="W12" s="1110">
        <f t="shared" si="0"/>
        <v>5899.3739999999998</v>
      </c>
      <c r="X12" s="2389"/>
      <c r="Y12" s="2390">
        <f t="shared" si="1"/>
        <v>5899.3739999999998</v>
      </c>
      <c r="Z12" s="2391"/>
      <c r="AA12" s="214">
        <v>9050</v>
      </c>
      <c r="AB12" s="214"/>
      <c r="AC12" s="2386">
        <f t="shared" si="9"/>
        <v>14949.374</v>
      </c>
      <c r="AD12" s="2385"/>
      <c r="AE12" s="214"/>
      <c r="AF12" s="214"/>
      <c r="AG12" s="2386">
        <f t="shared" si="10"/>
        <v>14949.374</v>
      </c>
      <c r="AH12" s="2385"/>
      <c r="AI12" s="214"/>
      <c r="AJ12" s="1405"/>
      <c r="AK12" s="1110">
        <f t="shared" si="2"/>
        <v>9050</v>
      </c>
      <c r="AL12" s="2389"/>
      <c r="AM12" s="2386">
        <f t="shared" si="11"/>
        <v>14949.374</v>
      </c>
      <c r="AN12" s="2385"/>
      <c r="AO12" s="214"/>
      <c r="AP12" s="214"/>
      <c r="AQ12" s="2386">
        <f t="shared" si="12"/>
        <v>14949.374</v>
      </c>
      <c r="AR12" s="2385"/>
      <c r="AS12" s="214"/>
      <c r="AT12" s="214"/>
      <c r="AU12" s="2386">
        <f t="shared" si="13"/>
        <v>14949.374</v>
      </c>
      <c r="AV12" s="2385"/>
      <c r="AW12" s="214"/>
      <c r="AX12" s="1405"/>
      <c r="AY12" s="1110">
        <f t="shared" si="3"/>
        <v>0</v>
      </c>
      <c r="AZ12" s="2389"/>
      <c r="BA12" s="2390">
        <f t="shared" si="14"/>
        <v>9050</v>
      </c>
      <c r="BB12" s="2386"/>
      <c r="BC12" s="1416">
        <f t="shared" si="4"/>
        <v>14949.374</v>
      </c>
      <c r="BD12" s="2780"/>
      <c r="BF12" s="2780"/>
      <c r="BG12" s="2780"/>
    </row>
    <row r="13" spans="1:59" x14ac:dyDescent="0.3">
      <c r="A13" s="212" t="s">
        <v>1205</v>
      </c>
      <c r="B13" s="1400"/>
      <c r="C13" s="214"/>
      <c r="D13" s="214"/>
      <c r="E13" s="2384"/>
      <c r="F13" s="2384"/>
      <c r="G13" s="1341">
        <f t="shared" si="5"/>
        <v>0</v>
      </c>
      <c r="H13" s="2384"/>
      <c r="I13" s="2384"/>
      <c r="J13" s="2383"/>
      <c r="K13" s="1110">
        <f t="shared" si="6"/>
        <v>0</v>
      </c>
      <c r="L13" s="2384"/>
      <c r="M13" s="2384"/>
      <c r="N13" s="2383"/>
      <c r="O13" s="1416">
        <f t="shared" si="7"/>
        <v>0</v>
      </c>
      <c r="P13" s="2384"/>
      <c r="Q13" s="2384"/>
      <c r="R13" s="2384"/>
      <c r="S13" s="1341">
        <f t="shared" si="8"/>
        <v>0</v>
      </c>
      <c r="T13" s="2386"/>
      <c r="U13" s="2384"/>
      <c r="V13" s="2383"/>
      <c r="W13" s="1110">
        <f t="shared" si="0"/>
        <v>0</v>
      </c>
      <c r="X13" s="2389"/>
      <c r="Y13" s="2390">
        <f t="shared" si="1"/>
        <v>0</v>
      </c>
      <c r="Z13" s="2390"/>
      <c r="AA13" s="2384"/>
      <c r="AB13" s="2384"/>
      <c r="AC13" s="2386">
        <f t="shared" si="9"/>
        <v>0</v>
      </c>
      <c r="AD13" s="2386"/>
      <c r="AE13" s="2384"/>
      <c r="AF13" s="2384"/>
      <c r="AG13" s="2386">
        <f t="shared" si="10"/>
        <v>0</v>
      </c>
      <c r="AH13" s="2386"/>
      <c r="AI13" s="2384"/>
      <c r="AJ13" s="2383"/>
      <c r="AK13" s="1110">
        <f t="shared" si="2"/>
        <v>0</v>
      </c>
      <c r="AL13" s="2389"/>
      <c r="AM13" s="2386">
        <f t="shared" si="11"/>
        <v>0</v>
      </c>
      <c r="AN13" s="2386"/>
      <c r="AO13" s="2384"/>
      <c r="AP13" s="2384"/>
      <c r="AQ13" s="2386">
        <f t="shared" si="12"/>
        <v>0</v>
      </c>
      <c r="AR13" s="2386"/>
      <c r="AS13" s="2384"/>
      <c r="AT13" s="2384"/>
      <c r="AU13" s="2386">
        <f t="shared" si="13"/>
        <v>0</v>
      </c>
      <c r="AV13" s="2386"/>
      <c r="AW13" s="2384"/>
      <c r="AX13" s="2383"/>
      <c r="AY13" s="1110">
        <f t="shared" si="3"/>
        <v>0</v>
      </c>
      <c r="AZ13" s="2389"/>
      <c r="BA13" s="2390">
        <f t="shared" si="14"/>
        <v>0</v>
      </c>
      <c r="BB13" s="2386"/>
      <c r="BC13" s="1416">
        <f t="shared" si="4"/>
        <v>0</v>
      </c>
      <c r="BD13" s="2780"/>
      <c r="BF13" s="2780"/>
      <c r="BG13" s="2780"/>
    </row>
    <row r="14" spans="1:59" ht="15.75" customHeight="1" x14ac:dyDescent="0.3">
      <c r="A14" s="212" t="s">
        <v>1163</v>
      </c>
      <c r="B14" s="1400"/>
      <c r="C14" s="214"/>
      <c r="D14" s="214"/>
      <c r="E14" s="214"/>
      <c r="F14" s="214"/>
      <c r="G14" s="1341">
        <f t="shared" si="5"/>
        <v>0</v>
      </c>
      <c r="H14" s="214"/>
      <c r="I14" s="214"/>
      <c r="J14" s="1405"/>
      <c r="K14" s="1110">
        <f t="shared" si="6"/>
        <v>0</v>
      </c>
      <c r="L14" s="214"/>
      <c r="M14" s="214"/>
      <c r="N14" s="1405"/>
      <c r="O14" s="1416">
        <f t="shared" si="7"/>
        <v>0</v>
      </c>
      <c r="P14" s="214"/>
      <c r="Q14" s="214"/>
      <c r="R14" s="214"/>
      <c r="S14" s="1341">
        <f t="shared" si="8"/>
        <v>0</v>
      </c>
      <c r="T14" s="2385"/>
      <c r="U14" s="214"/>
      <c r="V14" s="1405"/>
      <c r="W14" s="1110">
        <f t="shared" si="0"/>
        <v>0</v>
      </c>
      <c r="X14" s="2389"/>
      <c r="Y14" s="2390">
        <f t="shared" si="1"/>
        <v>0</v>
      </c>
      <c r="Z14" s="2391"/>
      <c r="AA14" s="214"/>
      <c r="AB14" s="214"/>
      <c r="AC14" s="2386">
        <f t="shared" si="9"/>
        <v>0</v>
      </c>
      <c r="AD14" s="2385"/>
      <c r="AE14" s="214"/>
      <c r="AF14" s="214"/>
      <c r="AG14" s="2386">
        <f t="shared" si="10"/>
        <v>0</v>
      </c>
      <c r="AH14" s="2385"/>
      <c r="AI14" s="214"/>
      <c r="AJ14" s="1405"/>
      <c r="AK14" s="1110">
        <f t="shared" si="2"/>
        <v>0</v>
      </c>
      <c r="AL14" s="2389"/>
      <c r="AM14" s="2386">
        <f t="shared" si="11"/>
        <v>0</v>
      </c>
      <c r="AN14" s="2385"/>
      <c r="AO14" s="214"/>
      <c r="AP14" s="214"/>
      <c r="AQ14" s="2386">
        <f t="shared" si="12"/>
        <v>0</v>
      </c>
      <c r="AR14" s="2385"/>
      <c r="AS14" s="214"/>
      <c r="AT14" s="214"/>
      <c r="AU14" s="2386">
        <f t="shared" si="13"/>
        <v>0</v>
      </c>
      <c r="AV14" s="2385"/>
      <c r="AW14" s="214"/>
      <c r="AX14" s="1405"/>
      <c r="AY14" s="1110">
        <f t="shared" si="3"/>
        <v>0</v>
      </c>
      <c r="AZ14" s="2389"/>
      <c r="BA14" s="2390">
        <f t="shared" si="14"/>
        <v>0</v>
      </c>
      <c r="BB14" s="2386"/>
      <c r="BC14" s="1416">
        <f t="shared" si="4"/>
        <v>0</v>
      </c>
      <c r="BD14" s="2780"/>
      <c r="BF14" s="2780"/>
      <c r="BG14" s="2780"/>
    </row>
    <row r="15" spans="1:59" ht="15.75" customHeight="1" x14ac:dyDescent="0.3">
      <c r="A15" s="212" t="s">
        <v>2290</v>
      </c>
      <c r="B15" s="1400"/>
      <c r="C15" s="4815"/>
      <c r="D15" s="4815"/>
      <c r="E15" s="4815">
        <v>869.85599999999999</v>
      </c>
      <c r="F15" s="4815"/>
      <c r="G15" s="1341">
        <f t="shared" si="5"/>
        <v>869.85599999999999</v>
      </c>
      <c r="H15" s="4815"/>
      <c r="I15" s="4815"/>
      <c r="J15" s="1405"/>
      <c r="K15" s="5457"/>
      <c r="L15" s="4815"/>
      <c r="M15" s="4815"/>
      <c r="N15" s="1405"/>
      <c r="O15" s="5458"/>
      <c r="P15" s="4815"/>
      <c r="Q15" s="4815"/>
      <c r="R15" s="4815"/>
      <c r="S15" s="4816"/>
      <c r="T15" s="4818"/>
      <c r="U15" s="4815"/>
      <c r="V15" s="1405"/>
      <c r="W15" s="5457"/>
      <c r="X15" s="4819"/>
      <c r="Y15" s="5459"/>
      <c r="Z15" s="4821"/>
      <c r="AA15" s="4815"/>
      <c r="AB15" s="4815"/>
      <c r="AC15" s="5460"/>
      <c r="AD15" s="4818"/>
      <c r="AE15" s="4815"/>
      <c r="AF15" s="4815"/>
      <c r="AG15" s="5460"/>
      <c r="AH15" s="4818"/>
      <c r="AI15" s="4815"/>
      <c r="AJ15" s="1405"/>
      <c r="AK15" s="5457"/>
      <c r="AL15" s="4819"/>
      <c r="AM15" s="5460"/>
      <c r="AN15" s="4818"/>
      <c r="AO15" s="4815"/>
      <c r="AP15" s="4815"/>
      <c r="AQ15" s="5460"/>
      <c r="AR15" s="4818"/>
      <c r="AS15" s="4815"/>
      <c r="AT15" s="4815"/>
      <c r="AU15" s="5460"/>
      <c r="AV15" s="4818"/>
      <c r="AW15" s="4815"/>
      <c r="AX15" s="1405"/>
      <c r="AY15" s="5457"/>
      <c r="AZ15" s="4819"/>
      <c r="BA15" s="5459"/>
      <c r="BB15" s="5460"/>
      <c r="BC15" s="5458"/>
      <c r="BD15" s="2780"/>
      <c r="BF15" s="2780"/>
      <c r="BG15" s="2780"/>
    </row>
    <row r="16" spans="1:59" ht="15.75" customHeight="1" x14ac:dyDescent="0.3">
      <c r="A16" s="212" t="s">
        <v>2291</v>
      </c>
      <c r="B16" s="1400"/>
      <c r="C16" s="4815"/>
      <c r="D16" s="4815"/>
      <c r="E16" s="4815">
        <v>176.08199999999999</v>
      </c>
      <c r="F16" s="4815"/>
      <c r="G16" s="1341">
        <f t="shared" si="5"/>
        <v>176.08199999999999</v>
      </c>
      <c r="H16" s="4815"/>
      <c r="I16" s="4815"/>
      <c r="J16" s="1405"/>
      <c r="K16" s="5457"/>
      <c r="L16" s="4815"/>
      <c r="M16" s="4815"/>
      <c r="N16" s="1405"/>
      <c r="O16" s="5458"/>
      <c r="P16" s="4815"/>
      <c r="Q16" s="4815"/>
      <c r="R16" s="4815"/>
      <c r="S16" s="4816"/>
      <c r="T16" s="4818"/>
      <c r="U16" s="4815"/>
      <c r="V16" s="1405"/>
      <c r="W16" s="5457"/>
      <c r="X16" s="4819"/>
      <c r="Y16" s="5459"/>
      <c r="Z16" s="4821"/>
      <c r="AA16" s="4815"/>
      <c r="AB16" s="4815"/>
      <c r="AC16" s="5460"/>
      <c r="AD16" s="4818"/>
      <c r="AE16" s="4815"/>
      <c r="AF16" s="4815"/>
      <c r="AG16" s="5460"/>
      <c r="AH16" s="4818"/>
      <c r="AI16" s="4815"/>
      <c r="AJ16" s="1405"/>
      <c r="AK16" s="5457"/>
      <c r="AL16" s="4819"/>
      <c r="AM16" s="5460"/>
      <c r="AN16" s="4818"/>
      <c r="AO16" s="4815"/>
      <c r="AP16" s="4815"/>
      <c r="AQ16" s="5460"/>
      <c r="AR16" s="4818"/>
      <c r="AS16" s="4815"/>
      <c r="AT16" s="4815"/>
      <c r="AU16" s="5460"/>
      <c r="AV16" s="4818"/>
      <c r="AW16" s="4815"/>
      <c r="AX16" s="1405"/>
      <c r="AY16" s="5457"/>
      <c r="AZ16" s="4819"/>
      <c r="BA16" s="5459"/>
      <c r="BB16" s="5460"/>
      <c r="BC16" s="5458"/>
      <c r="BD16" s="2780"/>
      <c r="BF16" s="2780"/>
      <c r="BG16" s="2780"/>
    </row>
    <row r="17" spans="1:59" ht="15.75" customHeight="1" x14ac:dyDescent="0.3">
      <c r="A17" s="4831" t="s">
        <v>2149</v>
      </c>
      <c r="B17" s="1400"/>
      <c r="C17" s="4815"/>
      <c r="D17" s="4815"/>
      <c r="E17" s="4815"/>
      <c r="F17" s="4815"/>
      <c r="G17" s="1341">
        <f t="shared" si="5"/>
        <v>0</v>
      </c>
      <c r="H17" s="4815"/>
      <c r="I17" s="4815"/>
      <c r="J17" s="1405"/>
      <c r="K17" s="4314"/>
      <c r="L17" s="4815"/>
      <c r="M17" s="4815"/>
      <c r="N17" s="1405"/>
      <c r="O17" s="4316"/>
      <c r="P17" s="4815"/>
      <c r="Q17" s="4815"/>
      <c r="R17" s="4815"/>
      <c r="S17" s="4816"/>
      <c r="T17" s="4818"/>
      <c r="U17" s="4815"/>
      <c r="V17" s="1405"/>
      <c r="W17" s="4314"/>
      <c r="X17" s="4819"/>
      <c r="Y17" s="4820"/>
      <c r="Z17" s="4821"/>
      <c r="AA17" s="4815"/>
      <c r="AB17" s="4815"/>
      <c r="AC17" s="4822"/>
      <c r="AD17" s="4818"/>
      <c r="AE17" s="4815"/>
      <c r="AF17" s="4815"/>
      <c r="AG17" s="4822"/>
      <c r="AH17" s="4818"/>
      <c r="AI17" s="4815"/>
      <c r="AJ17" s="1405"/>
      <c r="AK17" s="4314"/>
      <c r="AL17" s="4819"/>
      <c r="AM17" s="4822"/>
      <c r="AN17" s="4818"/>
      <c r="AO17" s="4815"/>
      <c r="AP17" s="4815"/>
      <c r="AQ17" s="4822"/>
      <c r="AR17" s="4818"/>
      <c r="AS17" s="4815">
        <v>451.18200000000002</v>
      </c>
      <c r="AT17" s="4815"/>
      <c r="AU17" s="2386">
        <f t="shared" si="13"/>
        <v>451.18200000000002</v>
      </c>
      <c r="AV17" s="4818"/>
      <c r="AW17" s="4815">
        <v>116.90900000000001</v>
      </c>
      <c r="AX17" s="1405"/>
      <c r="AY17" s="1110">
        <f t="shared" si="3"/>
        <v>568.09100000000001</v>
      </c>
      <c r="AZ17" s="4819"/>
      <c r="BA17" s="2390">
        <f t="shared" si="14"/>
        <v>568.09100000000001</v>
      </c>
      <c r="BB17" s="4822"/>
      <c r="BC17" s="1416">
        <f t="shared" si="4"/>
        <v>568.09100000000001</v>
      </c>
      <c r="BD17" s="2780"/>
      <c r="BF17" s="2780"/>
      <c r="BG17" s="2780"/>
    </row>
    <row r="18" spans="1:59" ht="15.75" customHeight="1" x14ac:dyDescent="0.3">
      <c r="A18" s="212" t="s">
        <v>1246</v>
      </c>
      <c r="B18" s="1400"/>
      <c r="C18" s="214"/>
      <c r="D18" s="214"/>
      <c r="E18" s="214"/>
      <c r="F18" s="214"/>
      <c r="G18" s="1341">
        <f t="shared" si="5"/>
        <v>0</v>
      </c>
      <c r="H18" s="214"/>
      <c r="I18" s="214"/>
      <c r="J18" s="1405"/>
      <c r="K18" s="1110">
        <f t="shared" si="6"/>
        <v>0</v>
      </c>
      <c r="L18" s="214"/>
      <c r="M18" s="214"/>
      <c r="N18" s="1405"/>
      <c r="O18" s="1416">
        <f t="shared" si="7"/>
        <v>0</v>
      </c>
      <c r="P18" s="214"/>
      <c r="Q18" s="214">
        <v>3085.098</v>
      </c>
      <c r="R18" s="214"/>
      <c r="S18" s="1341">
        <f t="shared" si="8"/>
        <v>3085.098</v>
      </c>
      <c r="T18" s="2385"/>
      <c r="U18" s="214"/>
      <c r="V18" s="1405"/>
      <c r="W18" s="1110">
        <f t="shared" si="0"/>
        <v>3085.098</v>
      </c>
      <c r="X18" s="2389"/>
      <c r="Y18" s="2390">
        <f t="shared" si="1"/>
        <v>3085.098</v>
      </c>
      <c r="Z18" s="2391"/>
      <c r="AA18" s="214">
        <v>5633</v>
      </c>
      <c r="AB18" s="214"/>
      <c r="AC18" s="2386">
        <f t="shared" si="9"/>
        <v>8718.098</v>
      </c>
      <c r="AD18" s="2385"/>
      <c r="AE18" s="214"/>
      <c r="AF18" s="214"/>
      <c r="AG18" s="2386">
        <f t="shared" si="10"/>
        <v>8718.098</v>
      </c>
      <c r="AH18" s="2385"/>
      <c r="AI18" s="214"/>
      <c r="AJ18" s="1405"/>
      <c r="AK18" s="1110">
        <f t="shared" si="2"/>
        <v>5633</v>
      </c>
      <c r="AL18" s="2389"/>
      <c r="AM18" s="2386">
        <f t="shared" si="11"/>
        <v>8718.098</v>
      </c>
      <c r="AN18" s="2385"/>
      <c r="AO18" s="214">
        <v>5924</v>
      </c>
      <c r="AP18" s="214"/>
      <c r="AQ18" s="2386">
        <f t="shared" si="12"/>
        <v>14642.098</v>
      </c>
      <c r="AR18" s="2385"/>
      <c r="AS18" s="214">
        <v>6684.3289999999997</v>
      </c>
      <c r="AT18" s="214"/>
      <c r="AU18" s="2386">
        <f t="shared" si="13"/>
        <v>21326.427</v>
      </c>
      <c r="AV18" s="2385"/>
      <c r="AW18" s="214">
        <v>4088.8119999999999</v>
      </c>
      <c r="AX18" s="1405"/>
      <c r="AY18" s="1110">
        <f t="shared" si="3"/>
        <v>16697.141</v>
      </c>
      <c r="AZ18" s="2389"/>
      <c r="BA18" s="2390">
        <f t="shared" si="14"/>
        <v>22330.141</v>
      </c>
      <c r="BB18" s="2386"/>
      <c r="BC18" s="1416">
        <f t="shared" si="4"/>
        <v>25415.239000000001</v>
      </c>
      <c r="BD18" s="2780"/>
      <c r="BF18" s="2780"/>
      <c r="BG18" s="2780"/>
    </row>
    <row r="19" spans="1:59" s="4997" customFormat="1" ht="15.75" customHeight="1" thickBot="1" x14ac:dyDescent="0.35">
      <c r="A19" s="1394" t="s">
        <v>1282</v>
      </c>
      <c r="B19" s="1403"/>
      <c r="C19" s="1393"/>
      <c r="D19" s="1393"/>
      <c r="E19" s="1393">
        <v>66.918000000000006</v>
      </c>
      <c r="F19" s="1393"/>
      <c r="G19" s="1341">
        <f t="shared" si="5"/>
        <v>66.918000000000006</v>
      </c>
      <c r="H19" s="1393"/>
      <c r="I19" s="1393"/>
      <c r="J19" s="4990"/>
      <c r="K19" s="4991">
        <f t="shared" si="6"/>
        <v>66.918000000000006</v>
      </c>
      <c r="L19" s="1393"/>
      <c r="M19" s="1393"/>
      <c r="N19" s="4990"/>
      <c r="O19" s="4991">
        <f t="shared" si="7"/>
        <v>66.918000000000006</v>
      </c>
      <c r="P19" s="1393"/>
      <c r="Q19" s="1393">
        <v>274.29000000000002</v>
      </c>
      <c r="R19" s="1393"/>
      <c r="S19" s="1393">
        <f t="shared" si="8"/>
        <v>341.20800000000003</v>
      </c>
      <c r="T19" s="4992"/>
      <c r="U19" s="1393"/>
      <c r="V19" s="4990"/>
      <c r="W19" s="4991">
        <f t="shared" si="0"/>
        <v>274.29000000000002</v>
      </c>
      <c r="X19" s="4993"/>
      <c r="Y19" s="4994">
        <f t="shared" si="1"/>
        <v>341.20800000000003</v>
      </c>
      <c r="Z19" s="4992"/>
      <c r="AA19" s="1393">
        <v>107</v>
      </c>
      <c r="AB19" s="1393"/>
      <c r="AC19" s="4994">
        <f t="shared" si="9"/>
        <v>448.20800000000003</v>
      </c>
      <c r="AD19" s="4992"/>
      <c r="AE19" s="1393"/>
      <c r="AF19" s="1393"/>
      <c r="AG19" s="4994">
        <f t="shared" si="10"/>
        <v>448.20800000000003</v>
      </c>
      <c r="AH19" s="4992"/>
      <c r="AI19" s="1393"/>
      <c r="AJ19" s="4990"/>
      <c r="AK19" s="4991">
        <f t="shared" si="2"/>
        <v>107</v>
      </c>
      <c r="AL19" s="4993"/>
      <c r="AM19" s="4994">
        <f t="shared" si="11"/>
        <v>448.20800000000003</v>
      </c>
      <c r="AN19" s="4992"/>
      <c r="AO19" s="1393">
        <v>199</v>
      </c>
      <c r="AP19" s="1393"/>
      <c r="AQ19" s="4994">
        <f t="shared" si="12"/>
        <v>647.20800000000008</v>
      </c>
      <c r="AR19" s="1393"/>
      <c r="AS19" s="1393">
        <v>89.55</v>
      </c>
      <c r="AT19" s="1393"/>
      <c r="AU19" s="4994">
        <f t="shared" si="13"/>
        <v>736.75800000000004</v>
      </c>
      <c r="AV19" s="1393"/>
      <c r="AW19" s="1393">
        <v>111.07899999999999</v>
      </c>
      <c r="AX19" s="4990"/>
      <c r="AY19" s="4991">
        <f t="shared" si="3"/>
        <v>399.62900000000002</v>
      </c>
      <c r="AZ19" s="4993"/>
      <c r="BA19" s="4994">
        <f t="shared" si="14"/>
        <v>506.62900000000002</v>
      </c>
      <c r="BB19" s="4995"/>
      <c r="BC19" s="4991">
        <f t="shared" si="4"/>
        <v>847.83699999999999</v>
      </c>
      <c r="BD19" s="4996"/>
      <c r="BF19" s="4996"/>
      <c r="BG19" s="4996"/>
    </row>
    <row r="20" spans="1:59" ht="16.2" thickBot="1" x14ac:dyDescent="0.35">
      <c r="A20" s="2782" t="s">
        <v>619</v>
      </c>
      <c r="B20" s="2783"/>
      <c r="C20" s="2784">
        <f>SUM(C7:C19)</f>
        <v>0</v>
      </c>
      <c r="D20" s="2784"/>
      <c r="E20" s="2784">
        <f>SUM(E7:E19)</f>
        <v>2938.7579999999998</v>
      </c>
      <c r="F20" s="2784"/>
      <c r="G20" s="1341">
        <f t="shared" ref="G20:G51" si="15">+C20+E20</f>
        <v>2938.7579999999998</v>
      </c>
      <c r="H20" s="2784"/>
      <c r="I20" s="2784">
        <f>SUM(I7:I19)</f>
        <v>0</v>
      </c>
      <c r="J20" s="2784"/>
      <c r="K20" s="1110">
        <f t="shared" si="6"/>
        <v>2938.7579999999998</v>
      </c>
      <c r="L20" s="2784"/>
      <c r="M20" s="2784">
        <f>SUM(M7:M19)</f>
        <v>0</v>
      </c>
      <c r="N20" s="2784"/>
      <c r="O20" s="1416">
        <f t="shared" si="7"/>
        <v>2938.7579999999998</v>
      </c>
      <c r="P20" s="2784"/>
      <c r="Q20" s="2784">
        <f>SUM(Q7:Q19)</f>
        <v>9565.8660000000018</v>
      </c>
      <c r="R20" s="2784"/>
      <c r="S20" s="1341">
        <f t="shared" si="8"/>
        <v>12504.624000000002</v>
      </c>
      <c r="T20" s="2784"/>
      <c r="U20" s="2784">
        <f>SUM(U7:U19)</f>
        <v>0</v>
      </c>
      <c r="V20" s="2784"/>
      <c r="W20" s="1110">
        <f t="shared" si="0"/>
        <v>9565.8660000000018</v>
      </c>
      <c r="X20" s="2784"/>
      <c r="Y20" s="2390">
        <f t="shared" si="1"/>
        <v>12504.624000000002</v>
      </c>
      <c r="Z20" s="2784"/>
      <c r="AA20" s="2784">
        <f>SUM(AA7:AA19)</f>
        <v>14824</v>
      </c>
      <c r="AB20" s="2784"/>
      <c r="AC20" s="2386">
        <f t="shared" si="9"/>
        <v>27328.624000000003</v>
      </c>
      <c r="AD20" s="2784"/>
      <c r="AE20" s="2784">
        <f>SUM(AE7:AE19)</f>
        <v>0</v>
      </c>
      <c r="AF20" s="2784"/>
      <c r="AG20" s="2386">
        <f t="shared" si="10"/>
        <v>27328.624000000003</v>
      </c>
      <c r="AH20" s="2784"/>
      <c r="AI20" s="2784">
        <f>SUM(AI7:AI19)</f>
        <v>0</v>
      </c>
      <c r="AJ20" s="2784"/>
      <c r="AK20" s="1110">
        <f t="shared" si="2"/>
        <v>14824</v>
      </c>
      <c r="AL20" s="2784"/>
      <c r="AM20" s="2386">
        <f t="shared" si="11"/>
        <v>27328.624000000003</v>
      </c>
      <c r="AN20" s="2784"/>
      <c r="AO20" s="2784">
        <f>SUM(AO7:AO19)</f>
        <v>11160</v>
      </c>
      <c r="AP20" s="2784"/>
      <c r="AQ20" s="2386">
        <f t="shared" si="12"/>
        <v>38488.624000000003</v>
      </c>
      <c r="AR20" s="2784"/>
      <c r="AS20" s="2784">
        <f>SUM(AS7:AS19)</f>
        <v>8521.7989999999991</v>
      </c>
      <c r="AT20" s="2784"/>
      <c r="AU20" s="2386">
        <f t="shared" si="13"/>
        <v>47010.423000000003</v>
      </c>
      <c r="AV20" s="2784"/>
      <c r="AW20" s="2784">
        <f>SUM(AW7:AW19)</f>
        <v>6952.7999999999993</v>
      </c>
      <c r="AX20" s="2784"/>
      <c r="AY20" s="1110">
        <f t="shared" si="3"/>
        <v>26634.598999999998</v>
      </c>
      <c r="AZ20" s="2784"/>
      <c r="BA20" s="2390">
        <f t="shared" si="14"/>
        <v>41458.599000000002</v>
      </c>
      <c r="BB20" s="2784"/>
      <c r="BC20" s="1416">
        <f t="shared" si="4"/>
        <v>53963.222999999998</v>
      </c>
      <c r="BD20" s="2780"/>
      <c r="BF20" s="2780"/>
      <c r="BG20" s="2780"/>
    </row>
    <row r="21" spans="1:59" ht="16.2" thickBot="1" x14ac:dyDescent="0.35">
      <c r="A21" s="2764"/>
      <c r="B21" s="2764"/>
      <c r="C21" s="2779"/>
      <c r="D21" s="2779"/>
      <c r="E21" s="2779"/>
      <c r="F21" s="2779"/>
      <c r="G21" s="1341">
        <f t="shared" si="15"/>
        <v>0</v>
      </c>
      <c r="H21" s="2779"/>
      <c r="I21" s="2779"/>
      <c r="J21" s="2779"/>
      <c r="K21" s="1110">
        <f t="shared" si="6"/>
        <v>0</v>
      </c>
      <c r="L21" s="2764"/>
      <c r="M21" s="2779"/>
      <c r="N21" s="2779"/>
      <c r="O21" s="1416">
        <f t="shared" si="7"/>
        <v>0</v>
      </c>
      <c r="P21" s="2764"/>
      <c r="Q21" s="2779"/>
      <c r="R21" s="2779"/>
      <c r="S21" s="1341">
        <f t="shared" si="8"/>
        <v>0</v>
      </c>
      <c r="T21" s="2779"/>
      <c r="U21" s="2779"/>
      <c r="V21" s="2779"/>
      <c r="W21" s="1110">
        <f t="shared" si="0"/>
        <v>0</v>
      </c>
      <c r="X21" s="2779"/>
      <c r="Y21" s="2390">
        <f t="shared" si="1"/>
        <v>0</v>
      </c>
      <c r="Z21" s="2779"/>
      <c r="AA21" s="2779"/>
      <c r="AB21" s="2779"/>
      <c r="AC21" s="2386">
        <f t="shared" si="9"/>
        <v>0</v>
      </c>
      <c r="AD21" s="2779"/>
      <c r="AE21" s="2779"/>
      <c r="AF21" s="2779"/>
      <c r="AG21" s="2386">
        <f t="shared" si="10"/>
        <v>0</v>
      </c>
      <c r="AH21" s="2779"/>
      <c r="AI21" s="2779"/>
      <c r="AJ21" s="2779"/>
      <c r="AK21" s="1110">
        <f t="shared" si="2"/>
        <v>0</v>
      </c>
      <c r="AL21" s="2779"/>
      <c r="AM21" s="2386">
        <f t="shared" si="11"/>
        <v>0</v>
      </c>
      <c r="AN21" s="2779"/>
      <c r="AO21" s="2779"/>
      <c r="AP21" s="2779"/>
      <c r="AQ21" s="2386">
        <f t="shared" si="12"/>
        <v>0</v>
      </c>
      <c r="AR21" s="2779"/>
      <c r="AS21" s="2779"/>
      <c r="AT21" s="2779"/>
      <c r="AU21" s="2386">
        <f t="shared" si="13"/>
        <v>0</v>
      </c>
      <c r="AV21" s="2779"/>
      <c r="AW21" s="2779"/>
      <c r="AX21" s="2779"/>
      <c r="AY21" s="1110">
        <f t="shared" si="3"/>
        <v>0</v>
      </c>
      <c r="AZ21" s="2779"/>
      <c r="BA21" s="2390">
        <f t="shared" si="14"/>
        <v>0</v>
      </c>
      <c r="BB21" s="2779"/>
      <c r="BC21" s="1416">
        <f t="shared" si="4"/>
        <v>0</v>
      </c>
      <c r="BD21" s="2780"/>
      <c r="BF21" s="2780"/>
      <c r="BG21" s="2780"/>
    </row>
    <row r="22" spans="1:59" ht="16.2" thickBot="1" x14ac:dyDescent="0.35">
      <c r="A22" s="4193" t="s">
        <v>1033</v>
      </c>
      <c r="B22" s="4194"/>
      <c r="C22" s="1123"/>
      <c r="D22" s="1123"/>
      <c r="E22" s="1123"/>
      <c r="F22" s="1123"/>
      <c r="G22" s="1341">
        <f t="shared" si="15"/>
        <v>0</v>
      </c>
      <c r="H22" s="1123"/>
      <c r="I22" s="1123"/>
      <c r="J22" s="1123"/>
      <c r="K22" s="1110">
        <f t="shared" si="6"/>
        <v>0</v>
      </c>
      <c r="L22" s="1123"/>
      <c r="M22" s="1123"/>
      <c r="N22" s="1123"/>
      <c r="O22" s="1416">
        <f t="shared" si="7"/>
        <v>0</v>
      </c>
      <c r="P22" s="1123"/>
      <c r="Q22" s="1123"/>
      <c r="R22" s="1123"/>
      <c r="S22" s="1341">
        <f t="shared" si="8"/>
        <v>0</v>
      </c>
      <c r="T22" s="1125"/>
      <c r="U22" s="1123"/>
      <c r="V22" s="1123"/>
      <c r="W22" s="1110">
        <f t="shared" si="0"/>
        <v>0</v>
      </c>
      <c r="X22" s="1125"/>
      <c r="Y22" s="2390">
        <f t="shared" si="1"/>
        <v>0</v>
      </c>
      <c r="Z22" s="1125"/>
      <c r="AA22" s="1123"/>
      <c r="AB22" s="1123"/>
      <c r="AC22" s="2386">
        <f t="shared" si="9"/>
        <v>0</v>
      </c>
      <c r="AD22" s="1125"/>
      <c r="AE22" s="1123"/>
      <c r="AF22" s="1123"/>
      <c r="AG22" s="2386">
        <f t="shared" si="10"/>
        <v>0</v>
      </c>
      <c r="AH22" s="1125"/>
      <c r="AI22" s="1123"/>
      <c r="AJ22" s="1123"/>
      <c r="AK22" s="1110">
        <f t="shared" si="2"/>
        <v>0</v>
      </c>
      <c r="AL22" s="1125"/>
      <c r="AM22" s="2386">
        <f t="shared" si="11"/>
        <v>0</v>
      </c>
      <c r="AN22" s="1125"/>
      <c r="AO22" s="1123"/>
      <c r="AP22" s="1123"/>
      <c r="AQ22" s="2386">
        <f t="shared" si="12"/>
        <v>0</v>
      </c>
      <c r="AR22" s="1125"/>
      <c r="AS22" s="1123"/>
      <c r="AT22" s="1123"/>
      <c r="AU22" s="2386">
        <f t="shared" si="13"/>
        <v>0</v>
      </c>
      <c r="AV22" s="1125"/>
      <c r="AW22" s="1123"/>
      <c r="AX22" s="1123"/>
      <c r="AY22" s="1110">
        <f t="shared" si="3"/>
        <v>0</v>
      </c>
      <c r="AZ22" s="1125"/>
      <c r="BA22" s="2390">
        <f t="shared" si="14"/>
        <v>0</v>
      </c>
      <c r="BB22" s="1125"/>
      <c r="BC22" s="1416">
        <f t="shared" si="4"/>
        <v>0</v>
      </c>
      <c r="BD22" s="2780"/>
      <c r="BF22" s="2780"/>
      <c r="BG22" s="2780"/>
    </row>
    <row r="23" spans="1:59" x14ac:dyDescent="0.3">
      <c r="A23" s="4188" t="s">
        <v>1524</v>
      </c>
      <c r="B23" s="4189"/>
      <c r="C23" s="232"/>
      <c r="D23" s="232"/>
      <c r="E23" s="232"/>
      <c r="F23" s="4190"/>
      <c r="G23" s="1341">
        <f t="shared" si="15"/>
        <v>0</v>
      </c>
      <c r="H23" s="4191"/>
      <c r="I23" s="232">
        <v>1357</v>
      </c>
      <c r="J23" s="4192"/>
      <c r="K23" s="1110">
        <f t="shared" si="6"/>
        <v>1357</v>
      </c>
      <c r="L23" s="4191"/>
      <c r="M23" s="1116">
        <v>578</v>
      </c>
      <c r="N23" s="233"/>
      <c r="O23" s="1416">
        <f t="shared" si="7"/>
        <v>1935</v>
      </c>
      <c r="P23" s="4191"/>
      <c r="Q23" s="1116"/>
      <c r="R23" s="4190"/>
      <c r="S23" s="1341">
        <f t="shared" si="8"/>
        <v>1935</v>
      </c>
      <c r="T23" s="2387"/>
      <c r="U23" s="1116">
        <v>296</v>
      </c>
      <c r="V23" s="233"/>
      <c r="W23" s="1110">
        <f t="shared" si="0"/>
        <v>874</v>
      </c>
      <c r="X23" s="2339"/>
      <c r="Y23" s="2390">
        <f t="shared" si="1"/>
        <v>2231</v>
      </c>
      <c r="Z23" s="2392"/>
      <c r="AA23" s="1116"/>
      <c r="AB23" s="1116"/>
      <c r="AC23" s="2386">
        <f t="shared" si="9"/>
        <v>2231</v>
      </c>
      <c r="AD23" s="2387"/>
      <c r="AE23" s="1116">
        <v>423.89100000000002</v>
      </c>
      <c r="AF23" s="1116"/>
      <c r="AG23" s="2386">
        <f t="shared" si="10"/>
        <v>2654.8910000000001</v>
      </c>
      <c r="AH23" s="2387"/>
      <c r="AI23" s="1116"/>
      <c r="AJ23" s="233"/>
      <c r="AK23" s="1110">
        <f t="shared" si="2"/>
        <v>423.89100000000002</v>
      </c>
      <c r="AL23" s="2339"/>
      <c r="AM23" s="2386">
        <f t="shared" si="11"/>
        <v>2654.8910000000001</v>
      </c>
      <c r="AN23" s="2387"/>
      <c r="AO23" s="1116"/>
      <c r="AP23" s="1116"/>
      <c r="AQ23" s="2386">
        <f t="shared" si="12"/>
        <v>2654.8910000000001</v>
      </c>
      <c r="AR23" s="2387"/>
      <c r="AS23" s="1116"/>
      <c r="AT23" s="1116"/>
      <c r="AU23" s="2386">
        <f t="shared" si="13"/>
        <v>2654.8910000000001</v>
      </c>
      <c r="AV23" s="2387"/>
      <c r="AW23" s="1116"/>
      <c r="AX23" s="233"/>
      <c r="AY23" s="1110">
        <f t="shared" si="3"/>
        <v>0</v>
      </c>
      <c r="AZ23" s="2339"/>
      <c r="BA23" s="2390">
        <f t="shared" si="14"/>
        <v>423.89100000000002</v>
      </c>
      <c r="BB23" s="234"/>
      <c r="BC23" s="1416">
        <f t="shared" si="4"/>
        <v>2654.8910000000001</v>
      </c>
      <c r="BD23" s="2780"/>
      <c r="BF23" s="2780"/>
      <c r="BG23" s="2780"/>
    </row>
    <row r="24" spans="1:59" x14ac:dyDescent="0.3">
      <c r="A24" s="2789" t="s">
        <v>1770</v>
      </c>
      <c r="B24" s="2790"/>
      <c r="C24" s="2384"/>
      <c r="D24" s="2384"/>
      <c r="E24" s="2384"/>
      <c r="F24" s="1341"/>
      <c r="G24" s="1341">
        <f t="shared" si="15"/>
        <v>0</v>
      </c>
      <c r="H24" s="1393"/>
      <c r="I24" s="2384"/>
      <c r="J24" s="1408"/>
      <c r="K24" s="1110">
        <f t="shared" si="6"/>
        <v>0</v>
      </c>
      <c r="L24" s="1393"/>
      <c r="M24" s="214"/>
      <c r="N24" s="1405"/>
      <c r="O24" s="1416">
        <f t="shared" si="7"/>
        <v>0</v>
      </c>
      <c r="P24" s="1393"/>
      <c r="Q24" s="214">
        <v>157.30000000000001</v>
      </c>
      <c r="R24" s="1341"/>
      <c r="S24" s="1341">
        <f t="shared" si="8"/>
        <v>157.30000000000001</v>
      </c>
      <c r="T24" s="2387"/>
      <c r="U24" s="214"/>
      <c r="V24" s="233"/>
      <c r="W24" s="1110">
        <f t="shared" si="0"/>
        <v>157.30000000000001</v>
      </c>
      <c r="X24" s="2339"/>
      <c r="Y24" s="2390">
        <f t="shared" si="1"/>
        <v>157.30000000000001</v>
      </c>
      <c r="Z24" s="2392"/>
      <c r="AA24" s="214"/>
      <c r="AB24" s="1116"/>
      <c r="AC24" s="2386">
        <f t="shared" si="9"/>
        <v>157.30000000000001</v>
      </c>
      <c r="AD24" s="2387"/>
      <c r="AE24" s="214">
        <v>260.97500000000002</v>
      </c>
      <c r="AF24" s="1116"/>
      <c r="AG24" s="2386">
        <f t="shared" si="10"/>
        <v>418.27500000000003</v>
      </c>
      <c r="AH24" s="2387"/>
      <c r="AI24" s="214"/>
      <c r="AJ24" s="233"/>
      <c r="AK24" s="1110">
        <f t="shared" si="2"/>
        <v>260.97500000000002</v>
      </c>
      <c r="AL24" s="2339"/>
      <c r="AM24" s="2386">
        <f t="shared" si="11"/>
        <v>418.27500000000003</v>
      </c>
      <c r="AN24" s="2387"/>
      <c r="AO24" s="214"/>
      <c r="AP24" s="214"/>
      <c r="AQ24" s="2386">
        <f t="shared" si="12"/>
        <v>418.27500000000003</v>
      </c>
      <c r="AR24" s="2385"/>
      <c r="AS24" s="214"/>
      <c r="AT24" s="214"/>
      <c r="AU24" s="2386">
        <f t="shared" si="13"/>
        <v>418.27500000000003</v>
      </c>
      <c r="AV24" s="2385"/>
      <c r="AW24" s="214"/>
      <c r="AX24" s="233"/>
      <c r="AY24" s="1110">
        <f t="shared" si="3"/>
        <v>0</v>
      </c>
      <c r="AZ24" s="2339"/>
      <c r="BA24" s="2390">
        <f t="shared" si="14"/>
        <v>260.97500000000002</v>
      </c>
      <c r="BB24" s="2386"/>
      <c r="BC24" s="1416">
        <f t="shared" si="4"/>
        <v>418.27500000000003</v>
      </c>
      <c r="BD24" s="2780"/>
      <c r="BF24" s="2780"/>
      <c r="BG24" s="2780"/>
    </row>
    <row r="25" spans="1:59" x14ac:dyDescent="0.3">
      <c r="A25" s="2789" t="s">
        <v>1032</v>
      </c>
      <c r="B25" s="1401"/>
      <c r="C25" s="321"/>
      <c r="D25" s="321"/>
      <c r="E25" s="321"/>
      <c r="F25" s="1953"/>
      <c r="G25" s="1341">
        <f t="shared" si="15"/>
        <v>0</v>
      </c>
      <c r="H25" s="228"/>
      <c r="I25" s="321">
        <v>3986</v>
      </c>
      <c r="J25" s="1954"/>
      <c r="K25" s="1110">
        <f t="shared" si="6"/>
        <v>3986</v>
      </c>
      <c r="L25" s="228"/>
      <c r="M25" s="321">
        <v>5154</v>
      </c>
      <c r="N25" s="2337"/>
      <c r="O25" s="1416">
        <f t="shared" si="7"/>
        <v>9140</v>
      </c>
      <c r="P25" s="228"/>
      <c r="Q25" s="321">
        <v>4608.1750000000002</v>
      </c>
      <c r="R25" s="1953"/>
      <c r="S25" s="1341">
        <f t="shared" si="8"/>
        <v>13748.174999999999</v>
      </c>
      <c r="T25" s="1955"/>
      <c r="U25" s="321">
        <v>5938</v>
      </c>
      <c r="V25" s="2337"/>
      <c r="W25" s="1110">
        <f t="shared" si="0"/>
        <v>15700.174999999999</v>
      </c>
      <c r="X25" s="2339"/>
      <c r="Y25" s="2390">
        <f t="shared" si="1"/>
        <v>19686.174999999999</v>
      </c>
      <c r="Z25" s="2393"/>
      <c r="AA25" s="321"/>
      <c r="AB25" s="321"/>
      <c r="AC25" s="2386">
        <f t="shared" si="9"/>
        <v>19686.174999999999</v>
      </c>
      <c r="AD25" s="1955"/>
      <c r="AE25" s="321">
        <v>4261.7359999999999</v>
      </c>
      <c r="AF25" s="321"/>
      <c r="AG25" s="2386">
        <f t="shared" si="10"/>
        <v>23947.911</v>
      </c>
      <c r="AH25" s="1955"/>
      <c r="AI25" s="321"/>
      <c r="AJ25" s="2337"/>
      <c r="AK25" s="1110">
        <f t="shared" si="2"/>
        <v>4261.7359999999999</v>
      </c>
      <c r="AL25" s="2339"/>
      <c r="AM25" s="2386">
        <f t="shared" si="11"/>
        <v>23947.911</v>
      </c>
      <c r="AN25" s="1955"/>
      <c r="AO25" s="321"/>
      <c r="AP25" s="321"/>
      <c r="AQ25" s="2386">
        <f t="shared" si="12"/>
        <v>23947.911</v>
      </c>
      <c r="AR25" s="1955"/>
      <c r="AS25" s="321"/>
      <c r="AT25" s="321"/>
      <c r="AU25" s="2386">
        <f t="shared" si="13"/>
        <v>23947.911</v>
      </c>
      <c r="AV25" s="1955"/>
      <c r="AW25" s="321"/>
      <c r="AX25" s="2337"/>
      <c r="AY25" s="1110">
        <f t="shared" si="3"/>
        <v>0</v>
      </c>
      <c r="AZ25" s="2339"/>
      <c r="BA25" s="2390">
        <f t="shared" si="14"/>
        <v>4261.7359999999999</v>
      </c>
      <c r="BB25" s="2386"/>
      <c r="BC25" s="1416">
        <f t="shared" si="4"/>
        <v>23947.911</v>
      </c>
      <c r="BD25" s="2780"/>
      <c r="BF25" s="2780"/>
      <c r="BG25" s="2780"/>
    </row>
    <row r="26" spans="1:59" ht="16.2" thickBot="1" x14ac:dyDescent="0.35">
      <c r="A26" s="2789" t="s">
        <v>1247</v>
      </c>
      <c r="B26" s="1401"/>
      <c r="C26" s="321"/>
      <c r="D26" s="321"/>
      <c r="E26" s="321"/>
      <c r="F26" s="1953"/>
      <c r="G26" s="1341">
        <f t="shared" si="15"/>
        <v>0</v>
      </c>
      <c r="H26" s="228"/>
      <c r="I26" s="321"/>
      <c r="J26" s="1954"/>
      <c r="K26" s="1110">
        <f t="shared" si="6"/>
        <v>0</v>
      </c>
      <c r="L26" s="228"/>
      <c r="M26" s="321">
        <v>122</v>
      </c>
      <c r="N26" s="2337"/>
      <c r="O26" s="1416">
        <f t="shared" si="7"/>
        <v>122</v>
      </c>
      <c r="P26" s="228"/>
      <c r="Q26" s="321"/>
      <c r="R26" s="1953"/>
      <c r="S26" s="1341">
        <f t="shared" si="8"/>
        <v>122</v>
      </c>
      <c r="T26" s="1955"/>
      <c r="U26" s="321"/>
      <c r="V26" s="2337"/>
      <c r="W26" s="1110">
        <f t="shared" si="0"/>
        <v>122</v>
      </c>
      <c r="X26" s="2339"/>
      <c r="Y26" s="2390">
        <f t="shared" si="1"/>
        <v>122</v>
      </c>
      <c r="Z26" s="2393"/>
      <c r="AA26" s="321"/>
      <c r="AB26" s="321"/>
      <c r="AC26" s="2386">
        <f t="shared" si="9"/>
        <v>122</v>
      </c>
      <c r="AD26" s="1955"/>
      <c r="AE26" s="321"/>
      <c r="AF26" s="321"/>
      <c r="AG26" s="2386">
        <f t="shared" si="10"/>
        <v>122</v>
      </c>
      <c r="AH26" s="1955"/>
      <c r="AI26" s="321"/>
      <c r="AJ26" s="2337"/>
      <c r="AK26" s="1110">
        <f t="shared" si="2"/>
        <v>0</v>
      </c>
      <c r="AL26" s="2339"/>
      <c r="AM26" s="2386">
        <f t="shared" si="11"/>
        <v>122</v>
      </c>
      <c r="AN26" s="1955"/>
      <c r="AO26" s="321"/>
      <c r="AP26" s="321"/>
      <c r="AQ26" s="2386">
        <f t="shared" si="12"/>
        <v>122</v>
      </c>
      <c r="AR26" s="1955"/>
      <c r="AS26" s="321"/>
      <c r="AT26" s="321"/>
      <c r="AU26" s="2386">
        <f t="shared" si="13"/>
        <v>122</v>
      </c>
      <c r="AV26" s="1955"/>
      <c r="AW26" s="321"/>
      <c r="AX26" s="2337"/>
      <c r="AY26" s="1110">
        <f t="shared" si="3"/>
        <v>0</v>
      </c>
      <c r="AZ26" s="2339"/>
      <c r="BA26" s="2390">
        <f t="shared" si="14"/>
        <v>0</v>
      </c>
      <c r="BB26" s="2386"/>
      <c r="BC26" s="1416">
        <f t="shared" si="4"/>
        <v>122</v>
      </c>
      <c r="BD26" s="2780"/>
      <c r="BF26" s="2780"/>
      <c r="BG26" s="2780"/>
    </row>
    <row r="27" spans="1:59" ht="16.2" thickBot="1" x14ac:dyDescent="0.35">
      <c r="A27" s="2782" t="s">
        <v>1034</v>
      </c>
      <c r="B27" s="2783"/>
      <c r="C27" s="2784">
        <f>SUM(C23:C26)</f>
        <v>0</v>
      </c>
      <c r="D27" s="2784">
        <f t="shared" ref="D27:BC27" si="16">SUM(D23:D26)</f>
        <v>0</v>
      </c>
      <c r="E27" s="2784">
        <f t="shared" si="16"/>
        <v>0</v>
      </c>
      <c r="F27" s="2784">
        <f t="shared" si="16"/>
        <v>0</v>
      </c>
      <c r="G27" s="2784">
        <f t="shared" si="16"/>
        <v>0</v>
      </c>
      <c r="H27" s="2784">
        <f t="shared" si="16"/>
        <v>0</v>
      </c>
      <c r="I27" s="2784">
        <f t="shared" si="16"/>
        <v>5343</v>
      </c>
      <c r="J27" s="2784">
        <f t="shared" si="16"/>
        <v>0</v>
      </c>
      <c r="K27" s="2784">
        <f t="shared" si="16"/>
        <v>5343</v>
      </c>
      <c r="L27" s="2784">
        <f t="shared" si="16"/>
        <v>0</v>
      </c>
      <c r="M27" s="2784">
        <f t="shared" si="16"/>
        <v>5854</v>
      </c>
      <c r="N27" s="2784">
        <f t="shared" si="16"/>
        <v>0</v>
      </c>
      <c r="O27" s="2784">
        <f t="shared" si="16"/>
        <v>11197</v>
      </c>
      <c r="P27" s="2784">
        <f t="shared" si="16"/>
        <v>0</v>
      </c>
      <c r="Q27" s="2784">
        <f t="shared" si="16"/>
        <v>4765.4750000000004</v>
      </c>
      <c r="R27" s="2784">
        <f t="shared" si="16"/>
        <v>0</v>
      </c>
      <c r="S27" s="2784">
        <f t="shared" si="16"/>
        <v>15962.474999999999</v>
      </c>
      <c r="T27" s="2784">
        <f t="shared" si="16"/>
        <v>0</v>
      </c>
      <c r="U27" s="2784">
        <f t="shared" si="16"/>
        <v>6234</v>
      </c>
      <c r="V27" s="2784">
        <f t="shared" si="16"/>
        <v>0</v>
      </c>
      <c r="W27" s="2784">
        <f t="shared" si="16"/>
        <v>16853.474999999999</v>
      </c>
      <c r="X27" s="2784">
        <f t="shared" si="16"/>
        <v>0</v>
      </c>
      <c r="Y27" s="2784">
        <f t="shared" si="16"/>
        <v>22196.474999999999</v>
      </c>
      <c r="Z27" s="2784">
        <f t="shared" si="16"/>
        <v>0</v>
      </c>
      <c r="AA27" s="2784">
        <f t="shared" ref="AA27" si="17">SUM(AA23:AA26)</f>
        <v>0</v>
      </c>
      <c r="AB27" s="2784">
        <f t="shared" si="16"/>
        <v>0</v>
      </c>
      <c r="AC27" s="2784">
        <f t="shared" si="16"/>
        <v>22196.474999999999</v>
      </c>
      <c r="AD27" s="2784">
        <f t="shared" si="16"/>
        <v>0</v>
      </c>
      <c r="AE27" s="2784">
        <f t="shared" si="16"/>
        <v>4946.6019999999999</v>
      </c>
      <c r="AF27" s="2784">
        <f t="shared" si="16"/>
        <v>0</v>
      </c>
      <c r="AG27" s="2784">
        <f t="shared" si="16"/>
        <v>27143.077000000001</v>
      </c>
      <c r="AH27" s="2784">
        <f t="shared" si="16"/>
        <v>0</v>
      </c>
      <c r="AI27" s="2784">
        <f t="shared" si="16"/>
        <v>0</v>
      </c>
      <c r="AJ27" s="2784">
        <f t="shared" si="16"/>
        <v>0</v>
      </c>
      <c r="AK27" s="1110">
        <f t="shared" si="2"/>
        <v>4946.6019999999999</v>
      </c>
      <c r="AL27" s="2784">
        <f t="shared" si="16"/>
        <v>0</v>
      </c>
      <c r="AM27" s="2386">
        <f t="shared" si="11"/>
        <v>27143.077000000001</v>
      </c>
      <c r="AN27" s="2784">
        <f t="shared" si="16"/>
        <v>0</v>
      </c>
      <c r="AO27" s="2784">
        <f t="shared" si="16"/>
        <v>0</v>
      </c>
      <c r="AP27" s="2784">
        <f t="shared" si="16"/>
        <v>0</v>
      </c>
      <c r="AQ27" s="2784">
        <f t="shared" si="16"/>
        <v>27143.077000000001</v>
      </c>
      <c r="AR27" s="2784">
        <f t="shared" si="16"/>
        <v>0</v>
      </c>
      <c r="AS27" s="2784">
        <f t="shared" ref="AS27" si="18">SUM(AS23:AS26)</f>
        <v>0</v>
      </c>
      <c r="AT27" s="2784">
        <f t="shared" si="16"/>
        <v>0</v>
      </c>
      <c r="AU27" s="2784">
        <f t="shared" si="16"/>
        <v>27143.077000000001</v>
      </c>
      <c r="AV27" s="2784">
        <f t="shared" si="16"/>
        <v>0</v>
      </c>
      <c r="AW27" s="2784">
        <f t="shared" si="16"/>
        <v>0</v>
      </c>
      <c r="AX27" s="2784">
        <f t="shared" si="16"/>
        <v>0</v>
      </c>
      <c r="AY27" s="2784">
        <f t="shared" si="16"/>
        <v>0</v>
      </c>
      <c r="AZ27" s="2784">
        <f t="shared" si="16"/>
        <v>0</v>
      </c>
      <c r="BA27" s="2784">
        <f t="shared" si="16"/>
        <v>4946.6019999999999</v>
      </c>
      <c r="BB27" s="2784">
        <f t="shared" si="16"/>
        <v>0</v>
      </c>
      <c r="BC27" s="2784">
        <f t="shared" si="16"/>
        <v>27143.077000000001</v>
      </c>
      <c r="BD27" s="2780"/>
      <c r="BF27" s="2780"/>
      <c r="BG27" s="2780"/>
    </row>
    <row r="28" spans="1:59" ht="16.2" thickBot="1" x14ac:dyDescent="0.35">
      <c r="A28" s="221"/>
      <c r="B28" s="1401"/>
      <c r="C28" s="228"/>
      <c r="D28" s="228"/>
      <c r="E28" s="228"/>
      <c r="F28" s="228"/>
      <c r="G28" s="1341">
        <f t="shared" si="15"/>
        <v>0</v>
      </c>
      <c r="H28" s="228"/>
      <c r="I28" s="228"/>
      <c r="J28" s="1406"/>
      <c r="K28" s="1110">
        <f t="shared" si="6"/>
        <v>0</v>
      </c>
      <c r="L28" s="228"/>
      <c r="M28" s="228"/>
      <c r="N28" s="1406"/>
      <c r="O28" s="1416">
        <f t="shared" si="7"/>
        <v>0</v>
      </c>
      <c r="P28" s="228"/>
      <c r="Q28" s="228"/>
      <c r="R28" s="228"/>
      <c r="S28" s="1341">
        <f t="shared" si="8"/>
        <v>0</v>
      </c>
      <c r="T28" s="2382"/>
      <c r="U28" s="228"/>
      <c r="V28" s="1406"/>
      <c r="W28" s="1110">
        <f t="shared" si="0"/>
        <v>0</v>
      </c>
      <c r="X28" s="647"/>
      <c r="Y28" s="2390">
        <f t="shared" si="1"/>
        <v>0</v>
      </c>
      <c r="Z28" s="2382"/>
      <c r="AA28" s="228"/>
      <c r="AB28" s="1406"/>
      <c r="AC28" s="2386">
        <f t="shared" si="9"/>
        <v>0</v>
      </c>
      <c r="AD28" s="2382"/>
      <c r="AE28" s="228"/>
      <c r="AF28" s="1406"/>
      <c r="AG28" s="2386">
        <f t="shared" si="10"/>
        <v>0</v>
      </c>
      <c r="AH28" s="2382"/>
      <c r="AI28" s="228"/>
      <c r="AJ28" s="1406"/>
      <c r="AK28" s="1110">
        <f t="shared" si="2"/>
        <v>0</v>
      </c>
      <c r="AL28" s="647"/>
      <c r="AM28" s="2386">
        <f t="shared" si="11"/>
        <v>0</v>
      </c>
      <c r="AN28" s="2382"/>
      <c r="AO28" s="228"/>
      <c r="AP28" s="1406"/>
      <c r="AQ28" s="2386">
        <f t="shared" si="12"/>
        <v>0</v>
      </c>
      <c r="AR28" s="2382"/>
      <c r="AS28" s="228"/>
      <c r="AT28" s="1406"/>
      <c r="AU28" s="2386">
        <f t="shared" si="13"/>
        <v>0</v>
      </c>
      <c r="AV28" s="2382"/>
      <c r="AW28" s="228"/>
      <c r="AX28" s="1406"/>
      <c r="AY28" s="1110">
        <f t="shared" si="3"/>
        <v>0</v>
      </c>
      <c r="AZ28" s="647"/>
      <c r="BA28" s="2390">
        <f t="shared" si="14"/>
        <v>0</v>
      </c>
      <c r="BB28" s="647"/>
      <c r="BC28" s="1416">
        <f t="shared" si="4"/>
        <v>0</v>
      </c>
      <c r="BD28" s="2780"/>
      <c r="BF28" s="2780"/>
      <c r="BG28" s="2780"/>
    </row>
    <row r="29" spans="1:59" ht="16.2" thickBot="1" x14ac:dyDescent="0.35">
      <c r="A29" s="2787" t="s">
        <v>1209</v>
      </c>
      <c r="B29" s="2788"/>
      <c r="C29" s="1121"/>
      <c r="D29" s="1121"/>
      <c r="E29" s="1123"/>
      <c r="F29" s="1123"/>
      <c r="G29" s="1341">
        <f t="shared" si="15"/>
        <v>0</v>
      </c>
      <c r="H29" s="1123"/>
      <c r="I29" s="1123"/>
      <c r="J29" s="1407"/>
      <c r="K29" s="1110">
        <f t="shared" si="6"/>
        <v>0</v>
      </c>
      <c r="L29" s="1123"/>
      <c r="M29" s="1123"/>
      <c r="N29" s="1407"/>
      <c r="O29" s="1416">
        <f t="shared" si="7"/>
        <v>0</v>
      </c>
      <c r="P29" s="1123"/>
      <c r="Q29" s="1123"/>
      <c r="R29" s="1123"/>
      <c r="S29" s="1341">
        <f t="shared" si="8"/>
        <v>0</v>
      </c>
      <c r="T29" s="1122"/>
      <c r="U29" s="1123"/>
      <c r="V29" s="1407"/>
      <c r="W29" s="1110">
        <f t="shared" si="0"/>
        <v>0</v>
      </c>
      <c r="X29" s="1124"/>
      <c r="Y29" s="2390">
        <f t="shared" si="1"/>
        <v>0</v>
      </c>
      <c r="Z29" s="1122"/>
      <c r="AA29" s="1123"/>
      <c r="AB29" s="1407"/>
      <c r="AC29" s="2386">
        <f t="shared" si="9"/>
        <v>0</v>
      </c>
      <c r="AD29" s="1122"/>
      <c r="AE29" s="1123"/>
      <c r="AF29" s="1407"/>
      <c r="AG29" s="2386">
        <f t="shared" si="10"/>
        <v>0</v>
      </c>
      <c r="AH29" s="1122"/>
      <c r="AI29" s="1123"/>
      <c r="AJ29" s="1407"/>
      <c r="AK29" s="1110">
        <f t="shared" si="2"/>
        <v>0</v>
      </c>
      <c r="AL29" s="1124"/>
      <c r="AM29" s="2386">
        <f t="shared" si="11"/>
        <v>0</v>
      </c>
      <c r="AN29" s="1122"/>
      <c r="AO29" s="1123"/>
      <c r="AP29" s="1407"/>
      <c r="AQ29" s="2386">
        <f t="shared" si="12"/>
        <v>0</v>
      </c>
      <c r="AR29" s="1122"/>
      <c r="AS29" s="1123"/>
      <c r="AT29" s="1407"/>
      <c r="AU29" s="2386">
        <f t="shared" si="13"/>
        <v>0</v>
      </c>
      <c r="AV29" s="1122"/>
      <c r="AW29" s="1123"/>
      <c r="AX29" s="1407"/>
      <c r="AY29" s="1110">
        <f t="shared" si="3"/>
        <v>0</v>
      </c>
      <c r="AZ29" s="1124"/>
      <c r="BA29" s="2390">
        <f t="shared" si="14"/>
        <v>0</v>
      </c>
      <c r="BB29" s="1124"/>
      <c r="BC29" s="1416">
        <f t="shared" si="4"/>
        <v>0</v>
      </c>
      <c r="BD29" s="2780"/>
      <c r="BF29" s="2780"/>
      <c r="BG29" s="2780"/>
    </row>
    <row r="30" spans="1:59" x14ac:dyDescent="0.3">
      <c r="A30" s="1334" t="s">
        <v>1167</v>
      </c>
      <c r="B30" s="1402"/>
      <c r="C30" s="214">
        <v>31603</v>
      </c>
      <c r="D30" s="214"/>
      <c r="E30" s="214">
        <v>16439.18</v>
      </c>
      <c r="F30" s="1341"/>
      <c r="G30" s="1341">
        <f t="shared" si="15"/>
        <v>48042.18</v>
      </c>
      <c r="H30" s="1393"/>
      <c r="I30" s="214">
        <v>29786</v>
      </c>
      <c r="J30" s="1408"/>
      <c r="K30" s="1110">
        <f t="shared" si="6"/>
        <v>77828.179999999993</v>
      </c>
      <c r="L30" s="1393"/>
      <c r="M30" s="214">
        <v>32431</v>
      </c>
      <c r="N30" s="1405"/>
      <c r="O30" s="1416">
        <f t="shared" si="7"/>
        <v>110259.18</v>
      </c>
      <c r="P30" s="1393"/>
      <c r="Q30" s="214">
        <v>29596.999</v>
      </c>
      <c r="R30" s="1341"/>
      <c r="S30" s="1341">
        <f t="shared" si="8"/>
        <v>139856.179</v>
      </c>
      <c r="T30" s="2388"/>
      <c r="U30" s="214">
        <v>24669</v>
      </c>
      <c r="V30" s="233"/>
      <c r="W30" s="1110">
        <f t="shared" si="0"/>
        <v>86696.998999999996</v>
      </c>
      <c r="X30" s="2339"/>
      <c r="Y30" s="2390">
        <f t="shared" si="1"/>
        <v>164525.179</v>
      </c>
      <c r="Z30" s="2392"/>
      <c r="AA30" s="214">
        <v>21096</v>
      </c>
      <c r="AB30" s="233"/>
      <c r="AC30" s="2386">
        <f t="shared" si="9"/>
        <v>185621.179</v>
      </c>
      <c r="AD30" s="2388"/>
      <c r="AE30" s="214">
        <v>30506.871999999999</v>
      </c>
      <c r="AF30" s="233"/>
      <c r="AG30" s="2386">
        <f t="shared" si="10"/>
        <v>216128.05100000001</v>
      </c>
      <c r="AH30" s="2388"/>
      <c r="AI30" s="214">
        <v>34796</v>
      </c>
      <c r="AJ30" s="233"/>
      <c r="AK30" s="1110">
        <f t="shared" si="2"/>
        <v>86398.872000000003</v>
      </c>
      <c r="AL30" s="1117"/>
      <c r="AM30" s="2386">
        <f t="shared" si="11"/>
        <v>250924.05100000001</v>
      </c>
      <c r="AN30" s="2388"/>
      <c r="AO30" s="214">
        <v>36065</v>
      </c>
      <c r="AP30" s="214"/>
      <c r="AQ30" s="2386">
        <f t="shared" si="12"/>
        <v>286989.05099999998</v>
      </c>
      <c r="AR30" s="2385"/>
      <c r="AS30" s="214">
        <v>29799.866000000002</v>
      </c>
      <c r="AT30" s="214"/>
      <c r="AU30" s="2386">
        <f t="shared" si="13"/>
        <v>316788.91699999996</v>
      </c>
      <c r="AV30" s="2385"/>
      <c r="AW30" s="214">
        <v>36284.675000000003</v>
      </c>
      <c r="AX30" s="233"/>
      <c r="AY30" s="1110">
        <f t="shared" si="3"/>
        <v>102149.54100000001</v>
      </c>
      <c r="AZ30" s="2339"/>
      <c r="BA30" s="2390">
        <f t="shared" si="14"/>
        <v>188548.413</v>
      </c>
      <c r="BB30" s="2386"/>
      <c r="BC30" s="1416">
        <f t="shared" si="4"/>
        <v>353073.59199999995</v>
      </c>
      <c r="BD30" s="2780"/>
      <c r="BF30" s="2780"/>
      <c r="BG30" s="2780"/>
    </row>
    <row r="31" spans="1:59" x14ac:dyDescent="0.3">
      <c r="A31" s="1334" t="s">
        <v>1975</v>
      </c>
      <c r="B31" s="1402"/>
      <c r="C31" s="4481">
        <v>11669</v>
      </c>
      <c r="D31" s="4481"/>
      <c r="E31" s="4481">
        <v>1481.64</v>
      </c>
      <c r="F31" s="4482"/>
      <c r="G31" s="1341">
        <f t="shared" si="15"/>
        <v>13150.64</v>
      </c>
      <c r="H31" s="4483"/>
      <c r="I31" s="4481">
        <v>6947</v>
      </c>
      <c r="J31" s="4484"/>
      <c r="K31" s="1110">
        <f t="shared" si="6"/>
        <v>20097.64</v>
      </c>
      <c r="L31" s="4483"/>
      <c r="M31" s="4481">
        <v>2608</v>
      </c>
      <c r="N31" s="4485"/>
      <c r="O31" s="1416">
        <f t="shared" si="7"/>
        <v>22705.64</v>
      </c>
      <c r="P31" s="4483"/>
      <c r="Q31" s="4481">
        <v>3665.6750000000002</v>
      </c>
      <c r="R31" s="4482"/>
      <c r="S31" s="1341">
        <f t="shared" si="8"/>
        <v>26371.314999999999</v>
      </c>
      <c r="T31" s="2388"/>
      <c r="U31" s="4481">
        <v>9928</v>
      </c>
      <c r="V31" s="233"/>
      <c r="W31" s="1110">
        <f t="shared" ref="W31:W37" si="19">+M31+Q31+U31</f>
        <v>16201.674999999999</v>
      </c>
      <c r="X31" s="2339"/>
      <c r="Y31" s="2390">
        <f t="shared" ref="Y31:Y37" si="20">+K31+W31</f>
        <v>36299.315000000002</v>
      </c>
      <c r="Z31" s="2392"/>
      <c r="AA31" s="4481">
        <v>6236</v>
      </c>
      <c r="AB31" s="233"/>
      <c r="AC31" s="2386">
        <f t="shared" si="9"/>
        <v>42535.315000000002</v>
      </c>
      <c r="AD31" s="2388"/>
      <c r="AE31" s="4481">
        <v>5710.58</v>
      </c>
      <c r="AF31" s="233"/>
      <c r="AG31" s="2386">
        <f t="shared" si="10"/>
        <v>48245.895000000004</v>
      </c>
      <c r="AH31" s="2388"/>
      <c r="AI31" s="4481"/>
      <c r="AJ31" s="233"/>
      <c r="AK31" s="1110">
        <f t="shared" si="2"/>
        <v>11946.58</v>
      </c>
      <c r="AL31" s="1117"/>
      <c r="AM31" s="2386">
        <f t="shared" si="11"/>
        <v>48245.895000000004</v>
      </c>
      <c r="AN31" s="2388"/>
      <c r="AO31" s="4481">
        <v>4505</v>
      </c>
      <c r="AP31" s="4481"/>
      <c r="AQ31" s="2386">
        <f t="shared" si="12"/>
        <v>52750.895000000004</v>
      </c>
      <c r="AR31" s="4487"/>
      <c r="AS31" s="4481">
        <v>4903.2150000000001</v>
      </c>
      <c r="AT31" s="4481"/>
      <c r="AU31" s="4486">
        <f t="shared" si="13"/>
        <v>57654.11</v>
      </c>
      <c r="AV31" s="4487"/>
      <c r="AW31" s="4481">
        <v>7950.63</v>
      </c>
      <c r="AX31" s="233"/>
      <c r="AY31" s="1110">
        <f t="shared" si="3"/>
        <v>17358.845000000001</v>
      </c>
      <c r="AZ31" s="2339"/>
      <c r="BA31" s="2390">
        <f t="shared" si="14"/>
        <v>29305.425000000003</v>
      </c>
      <c r="BB31" s="4486"/>
      <c r="BC31" s="1416">
        <f t="shared" si="4"/>
        <v>65604.740000000005</v>
      </c>
      <c r="BD31" s="2780"/>
      <c r="BF31" s="2780"/>
      <c r="BG31" s="2780"/>
    </row>
    <row r="32" spans="1:59" ht="18" x14ac:dyDescent="0.3">
      <c r="A32" s="1334" t="s">
        <v>1942</v>
      </c>
      <c r="B32" s="1402"/>
      <c r="C32" s="4310"/>
      <c r="D32" s="4310"/>
      <c r="E32" s="4310"/>
      <c r="F32" s="4311"/>
      <c r="G32" s="1341">
        <f t="shared" si="15"/>
        <v>0</v>
      </c>
      <c r="H32" s="4312"/>
      <c r="I32" s="4310">
        <v>604</v>
      </c>
      <c r="J32" s="4313"/>
      <c r="K32" s="1110">
        <f t="shared" si="6"/>
        <v>604</v>
      </c>
      <c r="L32" s="4312"/>
      <c r="M32" s="4310">
        <v>486</v>
      </c>
      <c r="N32" s="4315"/>
      <c r="O32" s="1416">
        <f t="shared" si="7"/>
        <v>1090</v>
      </c>
      <c r="P32" s="4312"/>
      <c r="Q32" s="4310"/>
      <c r="R32" s="4311"/>
      <c r="S32" s="1341">
        <f t="shared" si="8"/>
        <v>1090</v>
      </c>
      <c r="T32" s="2388"/>
      <c r="U32" s="4310"/>
      <c r="V32" s="233"/>
      <c r="W32" s="1110">
        <f t="shared" si="19"/>
        <v>486</v>
      </c>
      <c r="X32" s="2339"/>
      <c r="Y32" s="2390">
        <f t="shared" si="20"/>
        <v>1090</v>
      </c>
      <c r="Z32" s="2392"/>
      <c r="AA32" s="4310"/>
      <c r="AB32" s="233"/>
      <c r="AC32" s="2386">
        <f t="shared" si="9"/>
        <v>1090</v>
      </c>
      <c r="AD32" s="2388"/>
      <c r="AE32" s="4648"/>
      <c r="AF32" s="233"/>
      <c r="AG32" s="2386">
        <f t="shared" si="10"/>
        <v>1090</v>
      </c>
      <c r="AH32" s="2388"/>
      <c r="AI32" s="4310">
        <v>12990</v>
      </c>
      <c r="AJ32" s="233"/>
      <c r="AK32" s="1110">
        <f t="shared" si="2"/>
        <v>12990</v>
      </c>
      <c r="AL32" s="1117"/>
      <c r="AM32" s="2386">
        <f t="shared" si="11"/>
        <v>14080</v>
      </c>
      <c r="AN32" s="2388"/>
      <c r="AO32" s="4310"/>
      <c r="AP32" s="4310"/>
      <c r="AQ32" s="2386">
        <f t="shared" si="12"/>
        <v>14080</v>
      </c>
      <c r="AR32" s="4318"/>
      <c r="AS32" s="4310"/>
      <c r="AT32" s="4310"/>
      <c r="AU32" s="4397">
        <f t="shared" si="13"/>
        <v>14080</v>
      </c>
      <c r="AV32" s="4318"/>
      <c r="AW32" s="4310"/>
      <c r="AX32" s="233"/>
      <c r="AY32" s="1110">
        <f t="shared" si="3"/>
        <v>0</v>
      </c>
      <c r="AZ32" s="2339"/>
      <c r="BA32" s="2390">
        <f t="shared" si="14"/>
        <v>12990</v>
      </c>
      <c r="BB32" s="4397"/>
      <c r="BC32" s="1416">
        <f t="shared" si="4"/>
        <v>14080</v>
      </c>
      <c r="BD32" s="2780"/>
      <c r="BF32" s="2780"/>
      <c r="BG32" s="2780"/>
    </row>
    <row r="33" spans="1:59" x14ac:dyDescent="0.3">
      <c r="A33" s="1334" t="s">
        <v>2007</v>
      </c>
      <c r="B33" s="1402"/>
      <c r="C33" s="4481"/>
      <c r="D33" s="4481"/>
      <c r="E33" s="4481"/>
      <c r="F33" s="4482"/>
      <c r="G33" s="1341">
        <f t="shared" si="15"/>
        <v>0</v>
      </c>
      <c r="H33" s="4483"/>
      <c r="I33" s="4481"/>
      <c r="J33" s="4484"/>
      <c r="K33" s="1110">
        <f t="shared" si="6"/>
        <v>0</v>
      </c>
      <c r="L33" s="4483"/>
      <c r="M33" s="4481"/>
      <c r="N33" s="4485"/>
      <c r="O33" s="1416">
        <f t="shared" si="7"/>
        <v>0</v>
      </c>
      <c r="P33" s="4483"/>
      <c r="Q33" s="4481">
        <v>102.18</v>
      </c>
      <c r="R33" s="4482"/>
      <c r="S33" s="1341">
        <f t="shared" si="8"/>
        <v>102.18</v>
      </c>
      <c r="T33" s="2388"/>
      <c r="U33" s="4481"/>
      <c r="V33" s="233"/>
      <c r="W33" s="1110">
        <f t="shared" si="19"/>
        <v>102.18</v>
      </c>
      <c r="X33" s="2339"/>
      <c r="Y33" s="2390">
        <f t="shared" si="20"/>
        <v>102.18</v>
      </c>
      <c r="Z33" s="2392"/>
      <c r="AA33" s="4481"/>
      <c r="AB33" s="233"/>
      <c r="AC33" s="2386">
        <f t="shared" si="9"/>
        <v>102.18</v>
      </c>
      <c r="AD33" s="2388"/>
      <c r="AE33" s="4481"/>
      <c r="AF33" s="233"/>
      <c r="AG33" s="2386">
        <f t="shared" si="10"/>
        <v>102.18</v>
      </c>
      <c r="AH33" s="2388"/>
      <c r="AI33" s="4481">
        <v>114</v>
      </c>
      <c r="AJ33" s="233"/>
      <c r="AK33" s="1110">
        <f t="shared" si="2"/>
        <v>114</v>
      </c>
      <c r="AL33" s="1117"/>
      <c r="AM33" s="2386">
        <f t="shared" si="11"/>
        <v>216.18</v>
      </c>
      <c r="AN33" s="2388"/>
      <c r="AO33" s="4481"/>
      <c r="AP33" s="4481"/>
      <c r="AQ33" s="2386">
        <f t="shared" si="12"/>
        <v>216.18</v>
      </c>
      <c r="AR33" s="4487"/>
      <c r="AS33" s="4481"/>
      <c r="AT33" s="4481"/>
      <c r="AU33" s="4486">
        <f t="shared" si="13"/>
        <v>216.18</v>
      </c>
      <c r="AV33" s="4487"/>
      <c r="AW33" s="4481"/>
      <c r="AX33" s="233"/>
      <c r="AY33" s="1110">
        <f t="shared" si="3"/>
        <v>0</v>
      </c>
      <c r="AZ33" s="2339"/>
      <c r="BA33" s="2390">
        <f t="shared" si="14"/>
        <v>114</v>
      </c>
      <c r="BB33" s="4486"/>
      <c r="BC33" s="1416">
        <f t="shared" si="4"/>
        <v>216.18</v>
      </c>
      <c r="BD33" s="2780"/>
      <c r="BF33" s="2780"/>
      <c r="BG33" s="2780"/>
    </row>
    <row r="34" spans="1:59" x14ac:dyDescent="0.3">
      <c r="A34" s="1334" t="s">
        <v>1225</v>
      </c>
      <c r="B34" s="1402"/>
      <c r="C34" s="4310">
        <v>269</v>
      </c>
      <c r="D34" s="4310"/>
      <c r="E34" s="4310">
        <v>368.815</v>
      </c>
      <c r="F34" s="4311"/>
      <c r="G34" s="1341">
        <f t="shared" si="15"/>
        <v>637.81500000000005</v>
      </c>
      <c r="H34" s="4312"/>
      <c r="I34" s="4310">
        <v>165</v>
      </c>
      <c r="J34" s="4313"/>
      <c r="K34" s="1110">
        <f t="shared" si="6"/>
        <v>802.81500000000005</v>
      </c>
      <c r="L34" s="4312"/>
      <c r="M34" s="4310">
        <v>99</v>
      </c>
      <c r="N34" s="4315"/>
      <c r="O34" s="1416">
        <f t="shared" si="7"/>
        <v>901.81500000000005</v>
      </c>
      <c r="P34" s="4312"/>
      <c r="Q34" s="4310"/>
      <c r="R34" s="4311"/>
      <c r="S34" s="1341">
        <f t="shared" si="8"/>
        <v>901.81500000000005</v>
      </c>
      <c r="T34" s="2388"/>
      <c r="U34" s="4310">
        <v>314</v>
      </c>
      <c r="V34" s="233"/>
      <c r="W34" s="1110">
        <f t="shared" si="19"/>
        <v>413</v>
      </c>
      <c r="X34" s="2339"/>
      <c r="Y34" s="2390">
        <f t="shared" si="20"/>
        <v>1215.8150000000001</v>
      </c>
      <c r="Z34" s="2392"/>
      <c r="AA34" s="4310">
        <v>224</v>
      </c>
      <c r="AB34" s="233"/>
      <c r="AC34" s="2386">
        <f t="shared" si="9"/>
        <v>1439.8150000000001</v>
      </c>
      <c r="AD34" s="2388"/>
      <c r="AE34" s="4310">
        <v>455.399</v>
      </c>
      <c r="AF34" s="233"/>
      <c r="AG34" s="2386">
        <f t="shared" si="10"/>
        <v>1895.2139999999999</v>
      </c>
      <c r="AH34" s="2388"/>
      <c r="AI34" s="4310">
        <v>826</v>
      </c>
      <c r="AJ34" s="233"/>
      <c r="AK34" s="1110">
        <f t="shared" si="2"/>
        <v>1505.3989999999999</v>
      </c>
      <c r="AL34" s="1117"/>
      <c r="AM34" s="2386">
        <f t="shared" si="11"/>
        <v>2721.2139999999999</v>
      </c>
      <c r="AN34" s="2388"/>
      <c r="AO34" s="4310">
        <v>312</v>
      </c>
      <c r="AP34" s="4310"/>
      <c r="AQ34" s="2386">
        <f t="shared" si="12"/>
        <v>3033.2139999999999</v>
      </c>
      <c r="AR34" s="4318"/>
      <c r="AS34" s="4310">
        <v>192.94499999999999</v>
      </c>
      <c r="AT34" s="4310"/>
      <c r="AU34" s="4317">
        <f t="shared" si="13"/>
        <v>3226.1590000000001</v>
      </c>
      <c r="AV34" s="4318"/>
      <c r="AW34" s="4310"/>
      <c r="AX34" s="233"/>
      <c r="AY34" s="1110">
        <f t="shared" si="3"/>
        <v>504.94499999999999</v>
      </c>
      <c r="AZ34" s="2339"/>
      <c r="BA34" s="2390">
        <f t="shared" si="14"/>
        <v>2010.3439999999998</v>
      </c>
      <c r="BB34" s="4317"/>
      <c r="BC34" s="1416">
        <f t="shared" si="4"/>
        <v>3226.1590000000001</v>
      </c>
      <c r="BD34" s="2780"/>
      <c r="BF34" s="2780"/>
      <c r="BG34" s="2780"/>
    </row>
    <row r="35" spans="1:59" x14ac:dyDescent="0.3">
      <c r="A35" s="1334" t="s">
        <v>1991</v>
      </c>
      <c r="B35" s="1402"/>
      <c r="C35" s="4481"/>
      <c r="D35" s="4481"/>
      <c r="E35" s="4481"/>
      <c r="F35" s="4482"/>
      <c r="G35" s="1341">
        <f t="shared" si="15"/>
        <v>0</v>
      </c>
      <c r="H35" s="4483"/>
      <c r="I35" s="4481"/>
      <c r="J35" s="4484"/>
      <c r="K35" s="1110">
        <f t="shared" si="6"/>
        <v>0</v>
      </c>
      <c r="L35" s="4483"/>
      <c r="M35" s="4481">
        <v>286</v>
      </c>
      <c r="N35" s="4485"/>
      <c r="O35" s="1416">
        <f t="shared" si="7"/>
        <v>286</v>
      </c>
      <c r="P35" s="4483"/>
      <c r="Q35" s="4481">
        <v>282.27499999999998</v>
      </c>
      <c r="R35" s="4482"/>
      <c r="S35" s="1341">
        <f t="shared" si="8"/>
        <v>568.27499999999998</v>
      </c>
      <c r="T35" s="2388"/>
      <c r="U35" s="4481"/>
      <c r="V35" s="233"/>
      <c r="W35" s="1110">
        <f t="shared" si="19"/>
        <v>568.27499999999998</v>
      </c>
      <c r="X35" s="2339"/>
      <c r="Y35" s="2390">
        <f t="shared" si="20"/>
        <v>568.27499999999998</v>
      </c>
      <c r="Z35" s="2392"/>
      <c r="AA35" s="4481"/>
      <c r="AB35" s="233"/>
      <c r="AC35" s="2386">
        <f t="shared" si="9"/>
        <v>568.27499999999998</v>
      </c>
      <c r="AD35" s="2388"/>
      <c r="AE35" s="4481"/>
      <c r="AF35" s="233"/>
      <c r="AG35" s="2386">
        <f t="shared" si="10"/>
        <v>568.27499999999998</v>
      </c>
      <c r="AH35" s="2388"/>
      <c r="AI35" s="4481"/>
      <c r="AJ35" s="233"/>
      <c r="AK35" s="1110">
        <f t="shared" si="2"/>
        <v>0</v>
      </c>
      <c r="AL35" s="1117"/>
      <c r="AM35" s="2386">
        <f t="shared" si="11"/>
        <v>568.27499999999998</v>
      </c>
      <c r="AN35" s="2388"/>
      <c r="AO35" s="4481">
        <v>702</v>
      </c>
      <c r="AP35" s="4481"/>
      <c r="AQ35" s="2386">
        <f t="shared" si="12"/>
        <v>1270.2750000000001</v>
      </c>
      <c r="AR35" s="4487"/>
      <c r="AS35" s="4481"/>
      <c r="AT35" s="4481"/>
      <c r="AU35" s="4486">
        <f t="shared" si="13"/>
        <v>1270.2750000000001</v>
      </c>
      <c r="AV35" s="4487"/>
      <c r="AW35" s="4481"/>
      <c r="AX35" s="233"/>
      <c r="AY35" s="1110">
        <f t="shared" si="3"/>
        <v>702</v>
      </c>
      <c r="AZ35" s="2339"/>
      <c r="BA35" s="2390">
        <f t="shared" si="14"/>
        <v>702</v>
      </c>
      <c r="BB35" s="4486"/>
      <c r="BC35" s="1416">
        <f t="shared" si="4"/>
        <v>1270.2750000000001</v>
      </c>
      <c r="BD35" s="2780"/>
      <c r="BF35" s="2780"/>
      <c r="BG35" s="2780"/>
    </row>
    <row r="36" spans="1:59" x14ac:dyDescent="0.3">
      <c r="A36" s="1334" t="s">
        <v>1976</v>
      </c>
      <c r="B36" s="1402"/>
      <c r="C36" s="4481"/>
      <c r="D36" s="4481"/>
      <c r="E36" s="4481"/>
      <c r="F36" s="4482"/>
      <c r="G36" s="1341">
        <f t="shared" si="15"/>
        <v>0</v>
      </c>
      <c r="H36" s="4483"/>
      <c r="I36" s="4481">
        <v>250</v>
      </c>
      <c r="J36" s="4484"/>
      <c r="K36" s="1110">
        <f t="shared" si="6"/>
        <v>250</v>
      </c>
      <c r="L36" s="4483"/>
      <c r="M36" s="4481"/>
      <c r="N36" s="4485"/>
      <c r="O36" s="1416">
        <f t="shared" si="7"/>
        <v>250</v>
      </c>
      <c r="P36" s="4483"/>
      <c r="Q36" s="4481"/>
      <c r="R36" s="4482"/>
      <c r="S36" s="1341">
        <f t="shared" si="8"/>
        <v>250</v>
      </c>
      <c r="T36" s="2388"/>
      <c r="U36" s="4481"/>
      <c r="V36" s="233"/>
      <c r="W36" s="1110">
        <f t="shared" si="19"/>
        <v>0</v>
      </c>
      <c r="X36" s="2339"/>
      <c r="Y36" s="2390">
        <f t="shared" si="20"/>
        <v>250</v>
      </c>
      <c r="Z36" s="2392"/>
      <c r="AA36" s="4481"/>
      <c r="AB36" s="233"/>
      <c r="AC36" s="2386">
        <f t="shared" si="9"/>
        <v>250</v>
      </c>
      <c r="AD36" s="2388"/>
      <c r="AE36" s="4481"/>
      <c r="AF36" s="233"/>
      <c r="AG36" s="2386">
        <f t="shared" si="10"/>
        <v>250</v>
      </c>
      <c r="AH36" s="2388"/>
      <c r="AI36" s="4481"/>
      <c r="AJ36" s="233"/>
      <c r="AK36" s="1110">
        <f t="shared" si="2"/>
        <v>0</v>
      </c>
      <c r="AL36" s="1117"/>
      <c r="AM36" s="2386">
        <f t="shared" si="11"/>
        <v>250</v>
      </c>
      <c r="AN36" s="2388"/>
      <c r="AO36" s="4481"/>
      <c r="AP36" s="4481"/>
      <c r="AQ36" s="2386">
        <f t="shared" si="12"/>
        <v>250</v>
      </c>
      <c r="AR36" s="4487"/>
      <c r="AS36" s="4481"/>
      <c r="AT36" s="4481"/>
      <c r="AU36" s="4486">
        <f t="shared" si="13"/>
        <v>250</v>
      </c>
      <c r="AV36" s="4487"/>
      <c r="AW36" s="4481"/>
      <c r="AX36" s="233"/>
      <c r="AY36" s="1110">
        <f t="shared" si="3"/>
        <v>0</v>
      </c>
      <c r="AZ36" s="2339"/>
      <c r="BA36" s="2390">
        <f t="shared" si="14"/>
        <v>0</v>
      </c>
      <c r="BB36" s="4486"/>
      <c r="BC36" s="1416">
        <f t="shared" si="4"/>
        <v>250</v>
      </c>
      <c r="BD36" s="2780"/>
      <c r="BF36" s="2780"/>
      <c r="BG36" s="2780"/>
    </row>
    <row r="37" spans="1:59" x14ac:dyDescent="0.3">
      <c r="A37" s="1394" t="s">
        <v>1922</v>
      </c>
      <c r="B37" s="1403"/>
      <c r="C37" s="214"/>
      <c r="D37" s="214"/>
      <c r="E37" s="214"/>
      <c r="F37" s="1341"/>
      <c r="G37" s="1341">
        <f t="shared" si="15"/>
        <v>0</v>
      </c>
      <c r="H37" s="1393"/>
      <c r="I37" s="214"/>
      <c r="J37" s="1408"/>
      <c r="K37" s="1110">
        <f t="shared" si="6"/>
        <v>0</v>
      </c>
      <c r="L37" s="1393"/>
      <c r="M37" s="214"/>
      <c r="N37" s="1405"/>
      <c r="O37" s="1416">
        <f t="shared" si="7"/>
        <v>0</v>
      </c>
      <c r="P37" s="1393"/>
      <c r="Q37" s="214"/>
      <c r="R37" s="1341"/>
      <c r="S37" s="1341">
        <f t="shared" si="8"/>
        <v>0</v>
      </c>
      <c r="T37" s="2388"/>
      <c r="U37" s="214"/>
      <c r="V37" s="233"/>
      <c r="W37" s="1110">
        <f t="shared" si="19"/>
        <v>0</v>
      </c>
      <c r="X37" s="2339"/>
      <c r="Y37" s="2390">
        <f t="shared" si="20"/>
        <v>0</v>
      </c>
      <c r="Z37" s="2392"/>
      <c r="AA37" s="214"/>
      <c r="AB37" s="233"/>
      <c r="AC37" s="2386">
        <f t="shared" si="9"/>
        <v>0</v>
      </c>
      <c r="AD37" s="2388"/>
      <c r="AE37" s="214"/>
      <c r="AF37" s="233"/>
      <c r="AG37" s="2386">
        <f t="shared" si="10"/>
        <v>0</v>
      </c>
      <c r="AH37" s="2388"/>
      <c r="AI37" s="214"/>
      <c r="AJ37" s="233"/>
      <c r="AK37" s="1110">
        <f t="shared" si="2"/>
        <v>0</v>
      </c>
      <c r="AL37" s="1117"/>
      <c r="AM37" s="2386">
        <f t="shared" si="11"/>
        <v>0</v>
      </c>
      <c r="AN37" s="2388"/>
      <c r="AO37" s="214"/>
      <c r="AP37" s="214"/>
      <c r="AQ37" s="2386">
        <f t="shared" si="12"/>
        <v>0</v>
      </c>
      <c r="AR37" s="2385"/>
      <c r="AS37" s="214"/>
      <c r="AT37" s="214"/>
      <c r="AU37" s="2386">
        <f t="shared" si="13"/>
        <v>0</v>
      </c>
      <c r="AV37" s="2385"/>
      <c r="AW37" s="214"/>
      <c r="AX37" s="233"/>
      <c r="AY37" s="1110">
        <f t="shared" si="3"/>
        <v>0</v>
      </c>
      <c r="AZ37" s="2339"/>
      <c r="BA37" s="2390">
        <f t="shared" si="14"/>
        <v>0</v>
      </c>
      <c r="BB37" s="2386"/>
      <c r="BC37" s="1416">
        <f t="shared" si="4"/>
        <v>0</v>
      </c>
      <c r="BD37" s="2780"/>
      <c r="BF37" s="2780"/>
      <c r="BG37" s="2780"/>
    </row>
    <row r="38" spans="1:59" x14ac:dyDescent="0.3">
      <c r="A38" s="1394" t="s">
        <v>1166</v>
      </c>
      <c r="B38" s="1403"/>
      <c r="C38" s="214">
        <v>2873</v>
      </c>
      <c r="D38" s="214"/>
      <c r="E38" s="214"/>
      <c r="F38" s="1341"/>
      <c r="G38" s="1341">
        <f t="shared" si="15"/>
        <v>2873</v>
      </c>
      <c r="H38" s="1393"/>
      <c r="I38" s="214">
        <v>6593</v>
      </c>
      <c r="J38" s="1408"/>
      <c r="K38" s="1110">
        <f t="shared" si="6"/>
        <v>9466</v>
      </c>
      <c r="L38" s="1393"/>
      <c r="M38" s="214">
        <v>5558</v>
      </c>
      <c r="N38" s="1405"/>
      <c r="O38" s="1416">
        <f t="shared" si="7"/>
        <v>15024</v>
      </c>
      <c r="P38" s="1393"/>
      <c r="Q38" s="214">
        <v>3475.9969999999998</v>
      </c>
      <c r="R38" s="1341"/>
      <c r="S38" s="1341">
        <f t="shared" si="8"/>
        <v>18499.996999999999</v>
      </c>
      <c r="T38" s="2388"/>
      <c r="U38" s="214">
        <v>2816</v>
      </c>
      <c r="V38" s="233"/>
      <c r="W38" s="1110">
        <f t="shared" si="0"/>
        <v>11849.996999999999</v>
      </c>
      <c r="X38" s="2339"/>
      <c r="Y38" s="2390">
        <f t="shared" si="1"/>
        <v>21315.996999999999</v>
      </c>
      <c r="Z38" s="2392"/>
      <c r="AA38" s="214">
        <v>1342</v>
      </c>
      <c r="AB38" s="233"/>
      <c r="AC38" s="2386">
        <f>+Y38+AA38</f>
        <v>22657.996999999999</v>
      </c>
      <c r="AD38" s="2388"/>
      <c r="AE38" s="214">
        <v>2984.761</v>
      </c>
      <c r="AF38" s="233"/>
      <c r="AG38" s="2386">
        <f t="shared" si="10"/>
        <v>25642.757999999998</v>
      </c>
      <c r="AH38" s="2388"/>
      <c r="AI38" s="214">
        <v>7243</v>
      </c>
      <c r="AJ38" s="233"/>
      <c r="AK38" s="1110">
        <f t="shared" si="2"/>
        <v>11569.761</v>
      </c>
      <c r="AL38" s="1117"/>
      <c r="AM38" s="2386">
        <f t="shared" si="11"/>
        <v>32885.758000000002</v>
      </c>
      <c r="AN38" s="2388"/>
      <c r="AO38" s="214">
        <v>583</v>
      </c>
      <c r="AP38" s="214"/>
      <c r="AQ38" s="2386">
        <f t="shared" si="12"/>
        <v>33468.758000000002</v>
      </c>
      <c r="AR38" s="2385"/>
      <c r="AS38" s="214">
        <v>1575.2819999999999</v>
      </c>
      <c r="AT38" s="214"/>
      <c r="AU38" s="2386">
        <f t="shared" si="13"/>
        <v>35044.04</v>
      </c>
      <c r="AV38" s="2385"/>
      <c r="AW38" s="214">
        <v>2154.4659999999999</v>
      </c>
      <c r="AX38" s="233"/>
      <c r="AY38" s="1110">
        <f t="shared" si="3"/>
        <v>4312.7479999999996</v>
      </c>
      <c r="AZ38" s="2339"/>
      <c r="BA38" s="2390">
        <f t="shared" si="14"/>
        <v>15882.509</v>
      </c>
      <c r="BB38" s="2386"/>
      <c r="BC38" s="1416">
        <f t="shared" si="4"/>
        <v>37198.506000000001</v>
      </c>
      <c r="BD38" s="2780"/>
      <c r="BF38" s="2780"/>
      <c r="BG38" s="2780"/>
    </row>
    <row r="39" spans="1:59" ht="16.2" thickBot="1" x14ac:dyDescent="0.35">
      <c r="A39" s="1394" t="s">
        <v>1165</v>
      </c>
      <c r="B39" s="1403"/>
      <c r="C39" s="214"/>
      <c r="D39" s="214"/>
      <c r="E39" s="214"/>
      <c r="F39" s="1341"/>
      <c r="G39" s="1341">
        <f t="shared" si="15"/>
        <v>0</v>
      </c>
      <c r="H39" s="1393"/>
      <c r="I39" s="214">
        <v>5032</v>
      </c>
      <c r="J39" s="1408"/>
      <c r="K39" s="1110">
        <f t="shared" si="6"/>
        <v>5032</v>
      </c>
      <c r="L39" s="1393"/>
      <c r="M39" s="214">
        <v>5978</v>
      </c>
      <c r="N39" s="1405"/>
      <c r="O39" s="1416">
        <f t="shared" si="7"/>
        <v>11010</v>
      </c>
      <c r="P39" s="1393"/>
      <c r="Q39" s="214"/>
      <c r="R39" s="1341"/>
      <c r="S39" s="1341">
        <f t="shared" si="8"/>
        <v>11010</v>
      </c>
      <c r="T39" s="2388"/>
      <c r="U39" s="214"/>
      <c r="V39" s="233"/>
      <c r="W39" s="1110">
        <f t="shared" si="0"/>
        <v>5978</v>
      </c>
      <c r="X39" s="2339"/>
      <c r="Y39" s="2390">
        <f t="shared" si="1"/>
        <v>11010</v>
      </c>
      <c r="Z39" s="2392"/>
      <c r="AA39" s="214"/>
      <c r="AB39" s="233"/>
      <c r="AC39" s="2386">
        <f t="shared" si="9"/>
        <v>11010</v>
      </c>
      <c r="AD39" s="2388"/>
      <c r="AE39" s="214"/>
      <c r="AF39" s="233"/>
      <c r="AG39" s="2386">
        <f t="shared" si="10"/>
        <v>11010</v>
      </c>
      <c r="AH39" s="2388"/>
      <c r="AI39" s="214"/>
      <c r="AJ39" s="233"/>
      <c r="AK39" s="1110">
        <f t="shared" si="2"/>
        <v>0</v>
      </c>
      <c r="AL39" s="1117"/>
      <c r="AM39" s="2386">
        <f t="shared" si="11"/>
        <v>11010</v>
      </c>
      <c r="AN39" s="2388"/>
      <c r="AO39" s="214"/>
      <c r="AP39" s="214"/>
      <c r="AQ39" s="2386">
        <f t="shared" si="12"/>
        <v>11010</v>
      </c>
      <c r="AR39" s="2385"/>
      <c r="AS39" s="214"/>
      <c r="AT39" s="214"/>
      <c r="AU39" s="2386">
        <f t="shared" si="13"/>
        <v>11010</v>
      </c>
      <c r="AV39" s="2385"/>
      <c r="AW39" s="214"/>
      <c r="AX39" s="233"/>
      <c r="AY39" s="1110">
        <f t="shared" si="3"/>
        <v>0</v>
      </c>
      <c r="AZ39" s="2339"/>
      <c r="BA39" s="2390">
        <f t="shared" si="14"/>
        <v>0</v>
      </c>
      <c r="BB39" s="2386"/>
      <c r="BC39" s="1416">
        <f t="shared" si="4"/>
        <v>11010</v>
      </c>
      <c r="BD39" s="2780"/>
      <c r="BF39" s="2780"/>
      <c r="BG39" s="2780"/>
    </row>
    <row r="40" spans="1:59" ht="16.2" thickBot="1" x14ac:dyDescent="0.35">
      <c r="A40" s="2782" t="s">
        <v>620</v>
      </c>
      <c r="B40" s="2783"/>
      <c r="C40" s="2784">
        <f>SUM(C30:C39)</f>
        <v>46414</v>
      </c>
      <c r="D40" s="2784"/>
      <c r="E40" s="2784">
        <f>SUM(E30:E39)</f>
        <v>18289.634999999998</v>
      </c>
      <c r="F40" s="2784"/>
      <c r="G40" s="1341">
        <f t="shared" si="15"/>
        <v>64703.634999999995</v>
      </c>
      <c r="H40" s="2784"/>
      <c r="I40" s="2784">
        <f>SUM(I30:I39)</f>
        <v>49377</v>
      </c>
      <c r="J40" s="2784"/>
      <c r="K40" s="1110">
        <f t="shared" si="6"/>
        <v>114080.63499999999</v>
      </c>
      <c r="L40" s="2784"/>
      <c r="M40" s="2784">
        <f>SUM(M30:M39)</f>
        <v>47446</v>
      </c>
      <c r="N40" s="2784"/>
      <c r="O40" s="1416">
        <f t="shared" si="7"/>
        <v>161526.63500000001</v>
      </c>
      <c r="P40" s="2784"/>
      <c r="Q40" s="2784">
        <f>SUM(Q30:Q39)</f>
        <v>37123.126000000004</v>
      </c>
      <c r="R40" s="2784"/>
      <c r="S40" s="1341">
        <f t="shared" si="8"/>
        <v>198649.761</v>
      </c>
      <c r="T40" s="2784"/>
      <c r="U40" s="2784">
        <f>SUM(U30:U39)</f>
        <v>37727</v>
      </c>
      <c r="V40" s="2784"/>
      <c r="W40" s="1110">
        <f t="shared" si="0"/>
        <v>122296.126</v>
      </c>
      <c r="X40" s="2784"/>
      <c r="Y40" s="2390">
        <f t="shared" si="1"/>
        <v>236376.761</v>
      </c>
      <c r="Z40" s="2784"/>
      <c r="AA40" s="2784">
        <f>SUM(AA30:AA39)</f>
        <v>28898</v>
      </c>
      <c r="AB40" s="2784"/>
      <c r="AC40" s="2386">
        <f t="shared" si="9"/>
        <v>265274.761</v>
      </c>
      <c r="AD40" s="2784"/>
      <c r="AE40" s="2784">
        <f>SUM(AE30:AE39)</f>
        <v>39657.611999999994</v>
      </c>
      <c r="AF40" s="2784"/>
      <c r="AG40" s="2386">
        <f t="shared" si="10"/>
        <v>304932.37300000002</v>
      </c>
      <c r="AH40" s="2784"/>
      <c r="AI40" s="2784">
        <f>SUM(AI30:AI39)</f>
        <v>55969</v>
      </c>
      <c r="AJ40" s="2784"/>
      <c r="AK40" s="1110">
        <f t="shared" si="2"/>
        <v>124524.61199999999</v>
      </c>
      <c r="AL40" s="2784"/>
      <c r="AM40" s="2386">
        <f t="shared" si="11"/>
        <v>360901.37300000002</v>
      </c>
      <c r="AN40" s="2784"/>
      <c r="AO40" s="2784">
        <f>SUM(AO30:AO39)</f>
        <v>42167</v>
      </c>
      <c r="AP40" s="2784"/>
      <c r="AQ40" s="2386">
        <f t="shared" si="12"/>
        <v>403068.37300000002</v>
      </c>
      <c r="AR40" s="2784"/>
      <c r="AS40" s="2784">
        <f>SUM(AS30:AS39)</f>
        <v>36471.308000000005</v>
      </c>
      <c r="AT40" s="2784"/>
      <c r="AU40" s="2386">
        <f t="shared" si="13"/>
        <v>439539.68100000004</v>
      </c>
      <c r="AV40" s="2784"/>
      <c r="AW40" s="2784">
        <f>SUM(AW30:AW39)</f>
        <v>46389.771000000001</v>
      </c>
      <c r="AX40" s="2784"/>
      <c r="AY40" s="1110">
        <f t="shared" si="3"/>
        <v>125028.079</v>
      </c>
      <c r="AZ40" s="2784"/>
      <c r="BA40" s="2390">
        <f t="shared" si="14"/>
        <v>249552.69099999999</v>
      </c>
      <c r="BB40" s="2784"/>
      <c r="BC40" s="1416">
        <f t="shared" si="4"/>
        <v>485929.45200000005</v>
      </c>
      <c r="BD40" s="2780"/>
      <c r="BF40" s="2780"/>
      <c r="BG40" s="2780"/>
    </row>
    <row r="41" spans="1:59" ht="9.75" customHeight="1" thickBot="1" x14ac:dyDescent="0.35">
      <c r="A41" s="1335"/>
      <c r="B41" s="1404"/>
      <c r="C41" s="1119"/>
      <c r="D41" s="1119"/>
      <c r="E41" s="222"/>
      <c r="F41" s="222"/>
      <c r="G41" s="1341">
        <f t="shared" si="15"/>
        <v>0</v>
      </c>
      <c r="H41" s="222"/>
      <c r="I41" s="222"/>
      <c r="J41" s="543"/>
      <c r="K41" s="1110">
        <f t="shared" si="6"/>
        <v>0</v>
      </c>
      <c r="L41" s="222"/>
      <c r="M41" s="222"/>
      <c r="N41" s="543"/>
      <c r="O41" s="1416">
        <f t="shared" si="7"/>
        <v>0</v>
      </c>
      <c r="P41" s="222"/>
      <c r="Q41" s="222"/>
      <c r="R41" s="222"/>
      <c r="S41" s="1341">
        <f t="shared" si="8"/>
        <v>0</v>
      </c>
      <c r="T41" s="1120"/>
      <c r="U41" s="222"/>
      <c r="V41" s="543"/>
      <c r="W41" s="1110">
        <f t="shared" si="0"/>
        <v>0</v>
      </c>
      <c r="X41" s="2340"/>
      <c r="Y41" s="2390">
        <f t="shared" si="1"/>
        <v>0</v>
      </c>
      <c r="Z41" s="1120"/>
      <c r="AA41" s="222"/>
      <c r="AB41" s="222"/>
      <c r="AC41" s="2386">
        <f t="shared" si="9"/>
        <v>0</v>
      </c>
      <c r="AD41" s="1120"/>
      <c r="AE41" s="222"/>
      <c r="AF41" s="222"/>
      <c r="AG41" s="2386">
        <f t="shared" si="10"/>
        <v>0</v>
      </c>
      <c r="AH41" s="1120"/>
      <c r="AI41" s="222"/>
      <c r="AJ41" s="543"/>
      <c r="AK41" s="1110">
        <f t="shared" si="2"/>
        <v>0</v>
      </c>
      <c r="AL41" s="2340"/>
      <c r="AM41" s="2386">
        <f t="shared" si="11"/>
        <v>0</v>
      </c>
      <c r="AN41" s="1120"/>
      <c r="AO41" s="222"/>
      <c r="AP41" s="222"/>
      <c r="AQ41" s="2386">
        <f t="shared" si="12"/>
        <v>0</v>
      </c>
      <c r="AR41" s="1120"/>
      <c r="AS41" s="222"/>
      <c r="AT41" s="222"/>
      <c r="AU41" s="2386">
        <f t="shared" si="13"/>
        <v>0</v>
      </c>
      <c r="AV41" s="1120"/>
      <c r="AW41" s="222"/>
      <c r="AX41" s="543"/>
      <c r="AY41" s="1110">
        <f t="shared" si="3"/>
        <v>0</v>
      </c>
      <c r="AZ41" s="2340"/>
      <c r="BA41" s="2390">
        <f t="shared" si="14"/>
        <v>0</v>
      </c>
      <c r="BB41" s="1120"/>
      <c r="BC41" s="1416">
        <f t="shared" si="4"/>
        <v>0</v>
      </c>
      <c r="BD41" s="2780"/>
      <c r="BF41" s="2780"/>
      <c r="BG41" s="2780"/>
    </row>
    <row r="42" spans="1:59" ht="16.2" thickBot="1" x14ac:dyDescent="0.35">
      <c r="A42" s="2787" t="s">
        <v>611</v>
      </c>
      <c r="B42" s="2788"/>
      <c r="C42" s="1121"/>
      <c r="D42" s="1121"/>
      <c r="E42" s="1123"/>
      <c r="F42" s="1123"/>
      <c r="G42" s="1341">
        <f t="shared" si="15"/>
        <v>0</v>
      </c>
      <c r="H42" s="1123"/>
      <c r="I42" s="1123"/>
      <c r="J42" s="1407"/>
      <c r="K42" s="1110">
        <f t="shared" si="6"/>
        <v>0</v>
      </c>
      <c r="L42" s="1123"/>
      <c r="M42" s="1123"/>
      <c r="N42" s="1407"/>
      <c r="O42" s="1416">
        <f t="shared" si="7"/>
        <v>0</v>
      </c>
      <c r="P42" s="1123"/>
      <c r="Q42" s="1123"/>
      <c r="R42" s="1123"/>
      <c r="S42" s="1341">
        <f t="shared" si="8"/>
        <v>0</v>
      </c>
      <c r="T42" s="1125"/>
      <c r="U42" s="1123"/>
      <c r="V42" s="1407"/>
      <c r="W42" s="1110">
        <f t="shared" si="0"/>
        <v>0</v>
      </c>
      <c r="X42" s="1122"/>
      <c r="Y42" s="2390">
        <f t="shared" si="1"/>
        <v>0</v>
      </c>
      <c r="Z42" s="1125"/>
      <c r="AA42" s="1123"/>
      <c r="AB42" s="1123"/>
      <c r="AC42" s="2386">
        <f t="shared" si="9"/>
        <v>0</v>
      </c>
      <c r="AD42" s="1125"/>
      <c r="AE42" s="1123"/>
      <c r="AF42" s="1123"/>
      <c r="AG42" s="2386">
        <f t="shared" si="10"/>
        <v>0</v>
      </c>
      <c r="AH42" s="1125"/>
      <c r="AI42" s="1123"/>
      <c r="AJ42" s="1407"/>
      <c r="AK42" s="1110">
        <f t="shared" si="2"/>
        <v>0</v>
      </c>
      <c r="AL42" s="1122"/>
      <c r="AM42" s="2386">
        <f t="shared" si="11"/>
        <v>0</v>
      </c>
      <c r="AN42" s="1125"/>
      <c r="AO42" s="1123"/>
      <c r="AP42" s="1123"/>
      <c r="AQ42" s="2386">
        <f t="shared" si="12"/>
        <v>0</v>
      </c>
      <c r="AR42" s="1125"/>
      <c r="AS42" s="1123"/>
      <c r="AT42" s="1123"/>
      <c r="AU42" s="2386">
        <f t="shared" si="13"/>
        <v>0</v>
      </c>
      <c r="AV42" s="1125"/>
      <c r="AW42" s="1123"/>
      <c r="AX42" s="1407"/>
      <c r="AY42" s="1110">
        <f t="shared" si="3"/>
        <v>0</v>
      </c>
      <c r="AZ42" s="1122"/>
      <c r="BA42" s="2390">
        <f t="shared" si="14"/>
        <v>0</v>
      </c>
      <c r="BB42" s="1125"/>
      <c r="BC42" s="1416">
        <f t="shared" si="4"/>
        <v>0</v>
      </c>
      <c r="BD42" s="2780"/>
      <c r="BF42" s="2780"/>
      <c r="BG42" s="2780"/>
    </row>
    <row r="43" spans="1:59" x14ac:dyDescent="0.3">
      <c r="A43" s="1334" t="s">
        <v>1869</v>
      </c>
      <c r="B43" s="1402"/>
      <c r="C43" s="1116">
        <v>199</v>
      </c>
      <c r="D43" s="1116"/>
      <c r="E43" s="1116"/>
      <c r="F43" s="1341"/>
      <c r="G43" s="1341">
        <f t="shared" si="15"/>
        <v>199</v>
      </c>
      <c r="H43" s="1393"/>
      <c r="I43" s="1116"/>
      <c r="J43" s="1408"/>
      <c r="K43" s="1110">
        <f t="shared" si="6"/>
        <v>199</v>
      </c>
      <c r="L43" s="1393"/>
      <c r="M43" s="214"/>
      <c r="N43" s="1405"/>
      <c r="O43" s="1416">
        <f t="shared" si="7"/>
        <v>199</v>
      </c>
      <c r="P43" s="1393"/>
      <c r="Q43" s="214"/>
      <c r="R43" s="1341"/>
      <c r="S43" s="1341">
        <f t="shared" si="8"/>
        <v>199</v>
      </c>
      <c r="T43" s="2387"/>
      <c r="U43" s="214">
        <v>161</v>
      </c>
      <c r="V43" s="233"/>
      <c r="W43" s="1110">
        <f t="shared" si="0"/>
        <v>161</v>
      </c>
      <c r="X43" s="2339"/>
      <c r="Y43" s="2390">
        <f t="shared" si="1"/>
        <v>360</v>
      </c>
      <c r="Z43" s="2392"/>
      <c r="AA43" s="214"/>
      <c r="AB43" s="1116"/>
      <c r="AC43" s="2386">
        <f t="shared" si="9"/>
        <v>360</v>
      </c>
      <c r="AD43" s="2387"/>
      <c r="AE43" s="214">
        <v>320.298</v>
      </c>
      <c r="AF43" s="1116"/>
      <c r="AG43" s="2386">
        <f t="shared" si="10"/>
        <v>680.298</v>
      </c>
      <c r="AH43" s="2387"/>
      <c r="AI43" s="214"/>
      <c r="AJ43" s="233"/>
      <c r="AK43" s="1110">
        <f t="shared" si="2"/>
        <v>320.298</v>
      </c>
      <c r="AL43" s="2339"/>
      <c r="AM43" s="2386">
        <f t="shared" si="11"/>
        <v>680.298</v>
      </c>
      <c r="AN43" s="2387"/>
      <c r="AO43" s="214"/>
      <c r="AP43" s="214"/>
      <c r="AQ43" s="2386">
        <f t="shared" si="12"/>
        <v>680.298</v>
      </c>
      <c r="AR43" s="2385"/>
      <c r="AS43" s="214"/>
      <c r="AT43" s="214"/>
      <c r="AU43" s="2386">
        <f t="shared" si="13"/>
        <v>680.298</v>
      </c>
      <c r="AV43" s="2385"/>
      <c r="AW43" s="214"/>
      <c r="AX43" s="233"/>
      <c r="AY43" s="1110">
        <f t="shared" si="3"/>
        <v>0</v>
      </c>
      <c r="AZ43" s="2339"/>
      <c r="BA43" s="2390">
        <f t="shared" si="14"/>
        <v>320.298</v>
      </c>
      <c r="BB43" s="2386"/>
      <c r="BC43" s="1416">
        <f t="shared" si="4"/>
        <v>680.298</v>
      </c>
      <c r="BD43" s="2780"/>
      <c r="BF43" s="2780"/>
      <c r="BG43" s="2780"/>
    </row>
    <row r="44" spans="1:59" x14ac:dyDescent="0.3">
      <c r="A44" s="212" t="s">
        <v>1571</v>
      </c>
      <c r="B44" s="1400"/>
      <c r="C44" s="214">
        <v>7252</v>
      </c>
      <c r="D44" s="214"/>
      <c r="E44" s="213"/>
      <c r="F44" s="213"/>
      <c r="G44" s="1341">
        <f t="shared" si="15"/>
        <v>7252</v>
      </c>
      <c r="H44" s="213"/>
      <c r="I44" s="213">
        <v>2734</v>
      </c>
      <c r="J44" s="646"/>
      <c r="K44" s="1110">
        <f t="shared" si="6"/>
        <v>9986</v>
      </c>
      <c r="L44" s="213"/>
      <c r="M44" s="213">
        <v>6138</v>
      </c>
      <c r="N44" s="2383"/>
      <c r="O44" s="1416">
        <f t="shared" si="7"/>
        <v>16124</v>
      </c>
      <c r="P44" s="213"/>
      <c r="Q44" s="213">
        <v>3807.866</v>
      </c>
      <c r="R44" s="213"/>
      <c r="S44" s="1341">
        <f t="shared" si="8"/>
        <v>19931.866000000002</v>
      </c>
      <c r="T44" s="234"/>
      <c r="U44" s="213">
        <v>7058</v>
      </c>
      <c r="V44" s="2338"/>
      <c r="W44" s="1110">
        <f t="shared" si="0"/>
        <v>17003.866000000002</v>
      </c>
      <c r="X44" s="2339"/>
      <c r="Y44" s="2390">
        <f t="shared" si="1"/>
        <v>26989.866000000002</v>
      </c>
      <c r="Z44" s="1118"/>
      <c r="AA44" s="213"/>
      <c r="AB44" s="232"/>
      <c r="AC44" s="2386">
        <f t="shared" si="9"/>
        <v>26989.866000000002</v>
      </c>
      <c r="AD44" s="234"/>
      <c r="AE44" s="213">
        <v>5828.7749999999996</v>
      </c>
      <c r="AF44" s="232"/>
      <c r="AG44" s="2386">
        <f t="shared" si="10"/>
        <v>32818.641000000003</v>
      </c>
      <c r="AH44" s="234"/>
      <c r="AI44" s="213">
        <v>7574</v>
      </c>
      <c r="AJ44" s="2338"/>
      <c r="AK44" s="1110">
        <f t="shared" si="2"/>
        <v>13402.775</v>
      </c>
      <c r="AL44" s="2339"/>
      <c r="AM44" s="2386">
        <f t="shared" si="11"/>
        <v>40392.641000000003</v>
      </c>
      <c r="AN44" s="234"/>
      <c r="AO44" s="213">
        <v>7581</v>
      </c>
      <c r="AP44" s="2384"/>
      <c r="AQ44" s="2386">
        <f t="shared" si="12"/>
        <v>47973.641000000003</v>
      </c>
      <c r="AR44" s="2386"/>
      <c r="AS44" s="213">
        <v>3748.4520000000002</v>
      </c>
      <c r="AT44" s="2384"/>
      <c r="AU44" s="2386">
        <f t="shared" si="13"/>
        <v>51722.093000000001</v>
      </c>
      <c r="AV44" s="2386"/>
      <c r="AW44" s="213">
        <v>9082.9809999999998</v>
      </c>
      <c r="AX44" s="2338"/>
      <c r="AY44" s="1110">
        <f t="shared" si="3"/>
        <v>20412.433000000001</v>
      </c>
      <c r="AZ44" s="2339"/>
      <c r="BA44" s="2390">
        <f t="shared" si="14"/>
        <v>33815.207999999999</v>
      </c>
      <c r="BB44" s="2386"/>
      <c r="BC44" s="1416">
        <f t="shared" si="4"/>
        <v>60805.074000000001</v>
      </c>
      <c r="BD44" s="2780"/>
      <c r="BF44" s="2780"/>
      <c r="BG44" s="2780"/>
    </row>
    <row r="45" spans="1:59" x14ac:dyDescent="0.3">
      <c r="A45" s="4537" t="s">
        <v>2027</v>
      </c>
      <c r="B45" s="4538"/>
      <c r="C45" s="4539">
        <v>1077</v>
      </c>
      <c r="D45" s="4539"/>
      <c r="E45" s="4540"/>
      <c r="F45" s="4539"/>
      <c r="G45" s="1341">
        <f t="shared" si="15"/>
        <v>1077</v>
      </c>
      <c r="H45" s="4539"/>
      <c r="I45" s="4540"/>
      <c r="J45" s="4485"/>
      <c r="K45" s="1110">
        <f t="shared" si="6"/>
        <v>1077</v>
      </c>
      <c r="L45" s="4539"/>
      <c r="M45" s="4539"/>
      <c r="N45" s="4485"/>
      <c r="O45" s="4316"/>
      <c r="P45" s="4539"/>
      <c r="Q45" s="4539"/>
      <c r="R45" s="4539"/>
      <c r="S45" s="1341">
        <f t="shared" si="8"/>
        <v>0</v>
      </c>
      <c r="T45" s="2387"/>
      <c r="U45" s="4539">
        <v>2285</v>
      </c>
      <c r="V45" s="233"/>
      <c r="W45" s="1110">
        <f t="shared" ref="W45" si="21">+M45+Q45+U45</f>
        <v>2285</v>
      </c>
      <c r="X45" s="2339"/>
      <c r="Y45" s="2390">
        <f t="shared" ref="Y45" si="22">+K45+W45</f>
        <v>3362</v>
      </c>
      <c r="Z45" s="2392"/>
      <c r="AA45" s="4539"/>
      <c r="AB45" s="1116"/>
      <c r="AC45" s="2386">
        <f t="shared" si="9"/>
        <v>3362</v>
      </c>
      <c r="AD45" s="2387"/>
      <c r="AE45" s="4539">
        <v>85.076999999999998</v>
      </c>
      <c r="AF45" s="1116"/>
      <c r="AG45" s="2386">
        <f t="shared" si="10"/>
        <v>3447.0770000000002</v>
      </c>
      <c r="AH45" s="2387"/>
      <c r="AI45" s="4539">
        <v>569</v>
      </c>
      <c r="AJ45" s="233"/>
      <c r="AK45" s="1110">
        <f t="shared" si="2"/>
        <v>654.077</v>
      </c>
      <c r="AL45" s="2339"/>
      <c r="AM45" s="2386">
        <f t="shared" si="11"/>
        <v>4016.0770000000002</v>
      </c>
      <c r="AN45" s="2387"/>
      <c r="AO45" s="4539">
        <v>1355</v>
      </c>
      <c r="AP45" s="4539"/>
      <c r="AQ45" s="2386">
        <f t="shared" si="12"/>
        <v>5371.0770000000002</v>
      </c>
      <c r="AR45" s="4542"/>
      <c r="AS45" s="4539"/>
      <c r="AT45" s="4539"/>
      <c r="AU45" s="2386">
        <f t="shared" si="13"/>
        <v>5371.0770000000002</v>
      </c>
      <c r="AV45" s="4542"/>
      <c r="AW45" s="4539">
        <v>1237.915</v>
      </c>
      <c r="AX45" s="233"/>
      <c r="AY45" s="1110">
        <f t="shared" si="3"/>
        <v>2592.915</v>
      </c>
      <c r="AZ45" s="2339"/>
      <c r="BA45" s="2390">
        <f t="shared" si="14"/>
        <v>3246.9920000000002</v>
      </c>
      <c r="BB45" s="4541"/>
      <c r="BC45" s="1416">
        <f t="shared" si="4"/>
        <v>6608.9920000000002</v>
      </c>
      <c r="BD45" s="2780"/>
      <c r="BF45" s="2780"/>
      <c r="BG45" s="2780"/>
    </row>
    <row r="46" spans="1:59" x14ac:dyDescent="0.3">
      <c r="A46" s="1334" t="s">
        <v>1204</v>
      </c>
      <c r="B46" s="1402"/>
      <c r="C46" s="214"/>
      <c r="D46" s="214"/>
      <c r="E46" s="213"/>
      <c r="F46" s="1341"/>
      <c r="G46" s="1341">
        <f t="shared" si="15"/>
        <v>0</v>
      </c>
      <c r="H46" s="1393"/>
      <c r="I46" s="213">
        <v>1791</v>
      </c>
      <c r="J46" s="1408"/>
      <c r="K46" s="1110">
        <f t="shared" si="6"/>
        <v>1791</v>
      </c>
      <c r="L46" s="1393"/>
      <c r="M46" s="214">
        <v>2551</v>
      </c>
      <c r="N46" s="1405"/>
      <c r="O46" s="1416">
        <f t="shared" si="7"/>
        <v>4342</v>
      </c>
      <c r="P46" s="1393"/>
      <c r="Q46" s="214">
        <v>622.54499999999996</v>
      </c>
      <c r="R46" s="1341"/>
      <c r="S46" s="1341">
        <f t="shared" si="8"/>
        <v>4964.5450000000001</v>
      </c>
      <c r="T46" s="2387"/>
      <c r="U46" s="214"/>
      <c r="V46" s="233"/>
      <c r="W46" s="1110">
        <f t="shared" si="0"/>
        <v>3173.5450000000001</v>
      </c>
      <c r="X46" s="2339"/>
      <c r="Y46" s="2390">
        <f t="shared" si="1"/>
        <v>4964.5450000000001</v>
      </c>
      <c r="Z46" s="2392"/>
      <c r="AA46" s="214"/>
      <c r="AB46" s="1116"/>
      <c r="AC46" s="2386">
        <f t="shared" si="9"/>
        <v>4964.5450000000001</v>
      </c>
      <c r="AD46" s="2387"/>
      <c r="AE46" s="214"/>
      <c r="AF46" s="1116"/>
      <c r="AG46" s="2386">
        <f t="shared" si="10"/>
        <v>4964.5450000000001</v>
      </c>
      <c r="AH46" s="2387"/>
      <c r="AI46" s="214"/>
      <c r="AJ46" s="233"/>
      <c r="AK46" s="1110">
        <f t="shared" si="2"/>
        <v>0</v>
      </c>
      <c r="AL46" s="2339"/>
      <c r="AM46" s="2386">
        <f t="shared" si="11"/>
        <v>4964.5450000000001</v>
      </c>
      <c r="AN46" s="2387"/>
      <c r="AO46" s="214"/>
      <c r="AP46" s="214"/>
      <c r="AQ46" s="2386">
        <f t="shared" si="12"/>
        <v>4964.5450000000001</v>
      </c>
      <c r="AR46" s="2385"/>
      <c r="AS46" s="214"/>
      <c r="AT46" s="214"/>
      <c r="AU46" s="2386">
        <f t="shared" si="13"/>
        <v>4964.5450000000001</v>
      </c>
      <c r="AV46" s="2385"/>
      <c r="AW46" s="214"/>
      <c r="AX46" s="233"/>
      <c r="AY46" s="1110">
        <f t="shared" si="3"/>
        <v>0</v>
      </c>
      <c r="AZ46" s="2339"/>
      <c r="BA46" s="2390">
        <f t="shared" si="14"/>
        <v>0</v>
      </c>
      <c r="BB46" s="2386"/>
      <c r="BC46" s="1416">
        <f t="shared" si="4"/>
        <v>4964.5450000000001</v>
      </c>
      <c r="BD46" s="2780"/>
      <c r="BF46" s="2780"/>
      <c r="BG46" s="2780"/>
    </row>
    <row r="47" spans="1:59" ht="16.2" thickBot="1" x14ac:dyDescent="0.35">
      <c r="A47" s="212" t="s">
        <v>1213</v>
      </c>
      <c r="B47" s="1400"/>
      <c r="C47" s="214"/>
      <c r="D47" s="214"/>
      <c r="E47" s="214"/>
      <c r="F47" s="214"/>
      <c r="G47" s="1341">
        <f t="shared" si="15"/>
        <v>0</v>
      </c>
      <c r="H47" s="214"/>
      <c r="I47" s="214"/>
      <c r="J47" s="1405"/>
      <c r="K47" s="1110">
        <f t="shared" si="6"/>
        <v>0</v>
      </c>
      <c r="L47" s="214"/>
      <c r="M47" s="214">
        <v>643</v>
      </c>
      <c r="N47" s="1405"/>
      <c r="O47" s="1416">
        <f t="shared" si="7"/>
        <v>643</v>
      </c>
      <c r="P47" s="214"/>
      <c r="Q47" s="214">
        <v>673.99199999999996</v>
      </c>
      <c r="R47" s="214"/>
      <c r="S47" s="1341">
        <f t="shared" si="8"/>
        <v>1316.992</v>
      </c>
      <c r="T47" s="2387"/>
      <c r="U47" s="214"/>
      <c r="V47" s="233"/>
      <c r="W47" s="1110">
        <f t="shared" si="0"/>
        <v>1316.992</v>
      </c>
      <c r="X47" s="2339"/>
      <c r="Y47" s="2390">
        <f t="shared" si="1"/>
        <v>1316.992</v>
      </c>
      <c r="Z47" s="2392"/>
      <c r="AA47" s="214"/>
      <c r="AB47" s="1116"/>
      <c r="AC47" s="2386">
        <f t="shared" si="9"/>
        <v>1316.992</v>
      </c>
      <c r="AD47" s="2387"/>
      <c r="AE47" s="214">
        <v>112.33199999999999</v>
      </c>
      <c r="AF47" s="1116"/>
      <c r="AG47" s="2386">
        <f t="shared" si="10"/>
        <v>1429.3240000000001</v>
      </c>
      <c r="AH47" s="2387"/>
      <c r="AI47" s="214">
        <v>827</v>
      </c>
      <c r="AJ47" s="233"/>
      <c r="AK47" s="1110">
        <f t="shared" si="2"/>
        <v>939.33199999999999</v>
      </c>
      <c r="AL47" s="2339"/>
      <c r="AM47" s="2386">
        <f t="shared" si="11"/>
        <v>2256.3240000000001</v>
      </c>
      <c r="AN47" s="2387"/>
      <c r="AO47" s="214"/>
      <c r="AP47" s="214"/>
      <c r="AQ47" s="2386">
        <f t="shared" si="12"/>
        <v>2256.3240000000001</v>
      </c>
      <c r="AR47" s="2385"/>
      <c r="AS47" s="214"/>
      <c r="AT47" s="214"/>
      <c r="AU47" s="2386">
        <f t="shared" si="13"/>
        <v>2256.3240000000001</v>
      </c>
      <c r="AV47" s="2385"/>
      <c r="AW47" s="214"/>
      <c r="AX47" s="233"/>
      <c r="AY47" s="1110">
        <f t="shared" si="3"/>
        <v>0</v>
      </c>
      <c r="AZ47" s="2339"/>
      <c r="BA47" s="2390">
        <f t="shared" si="14"/>
        <v>939.33199999999999</v>
      </c>
      <c r="BB47" s="2386"/>
      <c r="BC47" s="1416">
        <f t="shared" si="4"/>
        <v>2256.3240000000001</v>
      </c>
      <c r="BD47" s="2780"/>
      <c r="BF47" s="2780"/>
      <c r="BG47" s="2780"/>
    </row>
    <row r="48" spans="1:59" ht="16.2" thickBot="1" x14ac:dyDescent="0.35">
      <c r="A48" s="2782" t="s">
        <v>621</v>
      </c>
      <c r="B48" s="2783"/>
      <c r="C48" s="2784">
        <f>SUM(C43:C47)</f>
        <v>8528</v>
      </c>
      <c r="D48" s="2784"/>
      <c r="E48" s="2784">
        <f>SUM(E43:E47)</f>
        <v>0</v>
      </c>
      <c r="F48" s="2784"/>
      <c r="G48" s="1341">
        <f t="shared" si="15"/>
        <v>8528</v>
      </c>
      <c r="H48" s="2784"/>
      <c r="I48" s="2784">
        <f>SUM(I43:I47)</f>
        <v>4525</v>
      </c>
      <c r="J48" s="2784"/>
      <c r="K48" s="1110">
        <f t="shared" si="6"/>
        <v>13053</v>
      </c>
      <c r="L48" s="2784"/>
      <c r="M48" s="2784">
        <f>SUM(M43:M47)</f>
        <v>9332</v>
      </c>
      <c r="N48" s="2784"/>
      <c r="O48" s="1416">
        <f t="shared" si="7"/>
        <v>22385</v>
      </c>
      <c r="P48" s="2784"/>
      <c r="Q48" s="2784">
        <f>SUM(Q43:Q47)</f>
        <v>5104.4030000000002</v>
      </c>
      <c r="R48" s="2784"/>
      <c r="S48" s="1341">
        <f t="shared" si="8"/>
        <v>27489.402999999998</v>
      </c>
      <c r="T48" s="2784"/>
      <c r="U48" s="2784">
        <f>SUM(U43:U47)</f>
        <v>9504</v>
      </c>
      <c r="V48" s="2784"/>
      <c r="W48" s="1110">
        <f t="shared" si="0"/>
        <v>23940.402999999998</v>
      </c>
      <c r="X48" s="2784"/>
      <c r="Y48" s="2390">
        <f t="shared" si="1"/>
        <v>36993.402999999998</v>
      </c>
      <c r="Z48" s="2784"/>
      <c r="AA48" s="2784">
        <f>SUM(AA43:AA47)</f>
        <v>0</v>
      </c>
      <c r="AB48" s="2784"/>
      <c r="AC48" s="2386">
        <f t="shared" si="9"/>
        <v>36993.402999999998</v>
      </c>
      <c r="AD48" s="2784"/>
      <c r="AE48" s="2784">
        <f>SUM(AE43:AE47)</f>
        <v>6346.482</v>
      </c>
      <c r="AF48" s="2784"/>
      <c r="AG48" s="2386">
        <f t="shared" si="10"/>
        <v>43339.884999999995</v>
      </c>
      <c r="AH48" s="2784"/>
      <c r="AI48" s="2784">
        <f>SUM(AI43:AI47)</f>
        <v>8970</v>
      </c>
      <c r="AJ48" s="2784"/>
      <c r="AK48" s="1110">
        <f t="shared" si="2"/>
        <v>15316.482</v>
      </c>
      <c r="AL48" s="2784"/>
      <c r="AM48" s="2386">
        <f t="shared" si="11"/>
        <v>52309.884999999995</v>
      </c>
      <c r="AN48" s="2784"/>
      <c r="AO48" s="2784">
        <f>SUM(AO43:AO47)</f>
        <v>8936</v>
      </c>
      <c r="AP48" s="2784"/>
      <c r="AQ48" s="2386">
        <f t="shared" si="12"/>
        <v>61245.884999999995</v>
      </c>
      <c r="AR48" s="2784"/>
      <c r="AS48" s="2784">
        <f>SUM(AS43:AS47)</f>
        <v>3748.4520000000002</v>
      </c>
      <c r="AT48" s="2784"/>
      <c r="AU48" s="2386">
        <f t="shared" si="13"/>
        <v>64994.336999999992</v>
      </c>
      <c r="AV48" s="2784"/>
      <c r="AW48" s="2784">
        <f>SUM(AW43:AW47)</f>
        <v>10320.896000000001</v>
      </c>
      <c r="AX48" s="2784"/>
      <c r="AY48" s="1110">
        <f t="shared" si="3"/>
        <v>23005.348000000002</v>
      </c>
      <c r="AZ48" s="2784"/>
      <c r="BA48" s="2390">
        <f t="shared" si="14"/>
        <v>38321.83</v>
      </c>
      <c r="BB48" s="2784"/>
      <c r="BC48" s="1416">
        <f t="shared" si="4"/>
        <v>75315.232999999993</v>
      </c>
      <c r="BD48" s="2780"/>
      <c r="BF48" s="2780"/>
      <c r="BG48" s="2780"/>
    </row>
    <row r="49" spans="1:61" x14ac:dyDescent="0.3">
      <c r="A49" s="4184" t="s">
        <v>1295</v>
      </c>
      <c r="B49" s="4178"/>
      <c r="C49" s="4179">
        <f>1365-167</f>
        <v>1198</v>
      </c>
      <c r="D49" s="4179"/>
      <c r="E49" s="4179">
        <v>164.422</v>
      </c>
      <c r="F49" s="4179"/>
      <c r="G49" s="1341">
        <f t="shared" si="15"/>
        <v>1362.422</v>
      </c>
      <c r="H49" s="4179"/>
      <c r="I49" s="4179">
        <v>950</v>
      </c>
      <c r="J49" s="4181"/>
      <c r="K49" s="1110">
        <f t="shared" si="6"/>
        <v>2312.422</v>
      </c>
      <c r="L49" s="4179"/>
      <c r="M49" s="4179">
        <v>1233</v>
      </c>
      <c r="N49" s="4181"/>
      <c r="O49" s="1416">
        <f t="shared" si="7"/>
        <v>3545.422</v>
      </c>
      <c r="P49" s="4179"/>
      <c r="Q49" s="4179">
        <v>1351</v>
      </c>
      <c r="R49" s="4179"/>
      <c r="S49" s="1341">
        <f t="shared" si="8"/>
        <v>4896.4220000000005</v>
      </c>
      <c r="T49" s="4180"/>
      <c r="U49" s="4179">
        <v>806</v>
      </c>
      <c r="V49" s="4181"/>
      <c r="W49" s="1110">
        <f t="shared" si="0"/>
        <v>3390</v>
      </c>
      <c r="X49" s="4182"/>
      <c r="Y49" s="2390">
        <f t="shared" si="1"/>
        <v>5702.4220000000005</v>
      </c>
      <c r="Z49" s="4180"/>
      <c r="AA49" s="4179">
        <v>86</v>
      </c>
      <c r="AB49" s="4179"/>
      <c r="AC49" s="2386">
        <f t="shared" si="9"/>
        <v>5788.4220000000005</v>
      </c>
      <c r="AD49" s="4180"/>
      <c r="AE49" s="4179">
        <v>532</v>
      </c>
      <c r="AF49" s="4179"/>
      <c r="AG49" s="2386">
        <f t="shared" si="10"/>
        <v>6320.4220000000005</v>
      </c>
      <c r="AH49" s="4180"/>
      <c r="AI49" s="4179">
        <v>569</v>
      </c>
      <c r="AJ49" s="4181"/>
      <c r="AK49" s="1110">
        <f t="shared" si="2"/>
        <v>1187</v>
      </c>
      <c r="AL49" s="4182"/>
      <c r="AM49" s="2386">
        <f t="shared" si="11"/>
        <v>6889.4220000000005</v>
      </c>
      <c r="AN49" s="4180"/>
      <c r="AO49" s="4179">
        <v>542</v>
      </c>
      <c r="AP49" s="4179"/>
      <c r="AQ49" s="2386">
        <f t="shared" si="12"/>
        <v>7431.4220000000005</v>
      </c>
      <c r="AR49" s="4180"/>
      <c r="AS49" s="4179">
        <v>530.798</v>
      </c>
      <c r="AT49" s="4179"/>
      <c r="AU49" s="2386">
        <f t="shared" si="13"/>
        <v>7962.22</v>
      </c>
      <c r="AV49" s="4180"/>
      <c r="AW49" s="4179">
        <v>800</v>
      </c>
      <c r="AX49" s="4181"/>
      <c r="AY49" s="1110">
        <f t="shared" si="3"/>
        <v>1872.798</v>
      </c>
      <c r="AZ49" s="4182"/>
      <c r="BA49" s="2390">
        <f t="shared" si="14"/>
        <v>3059.7979999999998</v>
      </c>
      <c r="BB49" s="4183"/>
      <c r="BC49" s="1416">
        <f t="shared" si="4"/>
        <v>8762.2200000000012</v>
      </c>
      <c r="BD49" s="2780"/>
      <c r="BF49" s="2780"/>
      <c r="BG49" s="2780"/>
      <c r="BI49" s="2780"/>
    </row>
    <row r="50" spans="1:61" ht="16.2" thickBot="1" x14ac:dyDescent="0.35">
      <c r="A50" s="4832" t="s">
        <v>2107</v>
      </c>
      <c r="B50" s="4832"/>
      <c r="C50" s="4833">
        <v>167</v>
      </c>
      <c r="D50" s="4833"/>
      <c r="E50" s="4833">
        <v>37</v>
      </c>
      <c r="F50" s="4833"/>
      <c r="G50" s="1341">
        <f t="shared" si="15"/>
        <v>204</v>
      </c>
      <c r="H50" s="4833"/>
      <c r="I50" s="4833">
        <v>487</v>
      </c>
      <c r="J50" s="4834"/>
      <c r="K50" s="1110">
        <f t="shared" si="6"/>
        <v>691</v>
      </c>
      <c r="L50" s="4833"/>
      <c r="M50" s="4833">
        <v>712</v>
      </c>
      <c r="N50" s="4834"/>
      <c r="O50" s="4316"/>
      <c r="P50" s="4833"/>
      <c r="Q50" s="4833">
        <v>139</v>
      </c>
      <c r="R50" s="4833"/>
      <c r="S50" s="4816"/>
      <c r="T50" s="4835"/>
      <c r="U50" s="4833">
        <v>75</v>
      </c>
      <c r="V50" s="4834"/>
      <c r="W50" s="1110">
        <f t="shared" ref="W50" si="23">+M50+Q50+U50</f>
        <v>926</v>
      </c>
      <c r="X50" s="4182"/>
      <c r="Y50" s="2390">
        <f t="shared" ref="Y50" si="24">+K50+W50</f>
        <v>1617</v>
      </c>
      <c r="Z50" s="4835"/>
      <c r="AA50" s="4833">
        <v>92</v>
      </c>
      <c r="AB50" s="4833"/>
      <c r="AC50" s="2386">
        <f t="shared" si="9"/>
        <v>1709</v>
      </c>
      <c r="AD50" s="4835"/>
      <c r="AE50" s="4833">
        <v>7</v>
      </c>
      <c r="AF50" s="4833"/>
      <c r="AG50" s="2386">
        <f t="shared" si="10"/>
        <v>1716</v>
      </c>
      <c r="AH50" s="4835"/>
      <c r="AI50" s="4833">
        <v>70</v>
      </c>
      <c r="AJ50" s="4834"/>
      <c r="AK50" s="4314">
        <f t="shared" si="2"/>
        <v>169</v>
      </c>
      <c r="AL50" s="4836"/>
      <c r="AM50" s="2386">
        <f t="shared" si="11"/>
        <v>1786</v>
      </c>
      <c r="AN50" s="4835"/>
      <c r="AO50" s="4833">
        <v>94</v>
      </c>
      <c r="AP50" s="4833"/>
      <c r="AQ50" s="2386">
        <f t="shared" si="12"/>
        <v>1880</v>
      </c>
      <c r="AR50" s="4835"/>
      <c r="AS50" s="4833">
        <v>81</v>
      </c>
      <c r="AT50" s="4833"/>
      <c r="AU50" s="2386">
        <f t="shared" si="13"/>
        <v>1961</v>
      </c>
      <c r="AV50" s="4835"/>
      <c r="AW50" s="4833">
        <v>21</v>
      </c>
      <c r="AX50" s="4834"/>
      <c r="AY50" s="1110">
        <f t="shared" ref="AY50" si="25">+AO50+AS50+AW50</f>
        <v>196</v>
      </c>
      <c r="AZ50" s="4182"/>
      <c r="BA50" s="2390">
        <f t="shared" ref="BA50" si="26">+AK50+AY50</f>
        <v>365</v>
      </c>
      <c r="BB50" s="4183"/>
      <c r="BC50" s="1416">
        <f t="shared" ref="BC50" si="27">AU50+AW50</f>
        <v>1982</v>
      </c>
      <c r="BD50" s="2780"/>
      <c r="BF50" s="2780"/>
      <c r="BG50" s="2780"/>
      <c r="BI50" s="2780"/>
    </row>
    <row r="51" spans="1:61" ht="16.2" thickBot="1" x14ac:dyDescent="0.35">
      <c r="A51" s="4185" t="s">
        <v>2</v>
      </c>
      <c r="B51" s="4186"/>
      <c r="C51" s="4187">
        <f>+C48+C40+C27+C20+C49+C50</f>
        <v>56307</v>
      </c>
      <c r="D51" s="4187"/>
      <c r="E51" s="4187">
        <f>+E48+E40+E27+E20+E49+E50</f>
        <v>21429.814999999995</v>
      </c>
      <c r="F51" s="4187"/>
      <c r="G51" s="1341">
        <f t="shared" si="15"/>
        <v>77736.815000000002</v>
      </c>
      <c r="H51" s="4187"/>
      <c r="I51" s="4187">
        <f>+I48+I40+I27+I20+I49+I50</f>
        <v>60682</v>
      </c>
      <c r="J51" s="4187"/>
      <c r="K51" s="1110">
        <f t="shared" si="6"/>
        <v>138418.815</v>
      </c>
      <c r="L51" s="4187"/>
      <c r="M51" s="4187">
        <f>+M48+M40+M27+M20+M49+M50</f>
        <v>64577</v>
      </c>
      <c r="N51" s="4187"/>
      <c r="O51" s="1416">
        <f t="shared" si="7"/>
        <v>202995.815</v>
      </c>
      <c r="P51" s="4187"/>
      <c r="Q51" s="4187">
        <f>+Q48+Q40+Q27+Q20+Q49+Q50</f>
        <v>58048.87</v>
      </c>
      <c r="R51" s="4187"/>
      <c r="S51" s="1341">
        <f t="shared" si="8"/>
        <v>261044.685</v>
      </c>
      <c r="T51" s="4187"/>
      <c r="U51" s="4187">
        <f>+U48+U40+U27+U20+U49+U50</f>
        <v>54346</v>
      </c>
      <c r="V51" s="4187"/>
      <c r="W51" s="1110">
        <f t="shared" si="0"/>
        <v>176971.87</v>
      </c>
      <c r="X51" s="4187"/>
      <c r="Y51" s="2390">
        <f t="shared" si="1"/>
        <v>315390.685</v>
      </c>
      <c r="Z51" s="4187"/>
      <c r="AA51" s="4187">
        <f>+AA48+AA40+AA27+AA20+AA49+AA50</f>
        <v>43900</v>
      </c>
      <c r="AB51" s="4187"/>
      <c r="AC51" s="2386">
        <f t="shared" si="9"/>
        <v>359290.685</v>
      </c>
      <c r="AD51" s="4187"/>
      <c r="AE51" s="4187">
        <f>+AE48+AE40+AE27+AE20+AE49+AE50</f>
        <v>51489.695999999996</v>
      </c>
      <c r="AF51" s="4187"/>
      <c r="AG51" s="2386">
        <f t="shared" si="10"/>
        <v>410780.38099999999</v>
      </c>
      <c r="AH51" s="4187"/>
      <c r="AI51" s="4187">
        <f>+AI48+AI40+AI27+AI20+AI49+AI50</f>
        <v>65578</v>
      </c>
      <c r="AJ51" s="4187"/>
      <c r="AK51" s="1110">
        <f t="shared" si="2"/>
        <v>160967.696</v>
      </c>
      <c r="AL51" s="4187"/>
      <c r="AM51" s="2386">
        <f t="shared" si="11"/>
        <v>476358.38099999999</v>
      </c>
      <c r="AN51" s="4187"/>
      <c r="AO51" s="4187">
        <f>+AO48+AO40+AO27+AO20+AO49+AO50</f>
        <v>62899</v>
      </c>
      <c r="AP51" s="4187">
        <f>+AP48+AP40+AP27+AP20+AP49</f>
        <v>0</v>
      </c>
      <c r="AQ51" s="2386">
        <f t="shared" si="12"/>
        <v>539257.38100000005</v>
      </c>
      <c r="AR51" s="4187">
        <f>+AR48+AR40+AR27+AR20+AR49</f>
        <v>0</v>
      </c>
      <c r="AS51" s="4187">
        <f>+AS48+AS40+AS27+AS20+AS49+AS50</f>
        <v>49353.357000000004</v>
      </c>
      <c r="AT51" s="4187">
        <f>+AT48+AT40+AT27+AT20+AT49</f>
        <v>0</v>
      </c>
      <c r="AU51" s="2386">
        <f t="shared" si="13"/>
        <v>588610.73800000001</v>
      </c>
      <c r="AV51" s="4187">
        <f>+AV48+AV40+AV27+AV20+AV49</f>
        <v>0</v>
      </c>
      <c r="AW51" s="4187">
        <f>+AW48+AW40+AW27+AW20+AW49+AW50</f>
        <v>64484.467000000004</v>
      </c>
      <c r="AX51" s="4187">
        <f>+AX48+AX40+AX27+AX20+AX49</f>
        <v>0</v>
      </c>
      <c r="AY51" s="1110">
        <f t="shared" si="3"/>
        <v>176736.82400000002</v>
      </c>
      <c r="AZ51" s="4187">
        <f>+AZ48+AZ40+AZ27+AZ20+AZ49</f>
        <v>0</v>
      </c>
      <c r="BA51" s="2390">
        <f t="shared" si="14"/>
        <v>337704.52</v>
      </c>
      <c r="BB51" s="4187">
        <f>+BB48+BB40+BB27+BB20+BB49</f>
        <v>0</v>
      </c>
      <c r="BC51" s="1416">
        <f t="shared" si="4"/>
        <v>653095.20500000007</v>
      </c>
      <c r="BD51" s="2780"/>
    </row>
    <row r="53" spans="1:61" x14ac:dyDescent="0.3">
      <c r="C53" s="3524">
        <f>+C51-(SMS!F38+SMS!F39+SMS!F40+SMS!F41)</f>
        <v>-1.069999999999709</v>
      </c>
      <c r="E53" s="3524">
        <f>+E51-(SMS!H38+SMS!H39+SMS!H40+SMS!H41)</f>
        <v>2.3949999999967986</v>
      </c>
      <c r="I53" s="3524">
        <f>+I51-(SMS!L38+SMS!L39+SMS!L40+SMS!L41)</f>
        <v>-2.3000000000029104</v>
      </c>
      <c r="M53" s="3524">
        <f>+M51-(SMS!P38+SMS!P39+SMS!P40+SMS!P41)</f>
        <v>-0.79000000000087311</v>
      </c>
      <c r="O53" s="3524">
        <f>+O51-(SMS!R38+SMS!R39+SMS!R40+SMS!R41)</f>
        <v>-1.7650000000139698</v>
      </c>
      <c r="Q53" s="3524">
        <f>+Q51-(SMS!T38+SMS!T39+SMS!T40+SMS!T41)</f>
        <v>-1.9199999999982538</v>
      </c>
      <c r="U53" s="3524">
        <f>+U51-(SMS!X38+SMS!X39+SMS!X40+SMS!X41)</f>
        <v>-1.000000000007276</v>
      </c>
      <c r="W53" s="3524">
        <f>+W51-(SMS!Z38+SMS!Z39+SMS!Z40+SMS!Z41)</f>
        <v>-3.7099999999918509</v>
      </c>
      <c r="Y53" s="3524">
        <f>+Y51-(SMS!AB38+SMS!AB39+SMS!AB40+SMS!AB41)</f>
        <v>-4.684999999939464</v>
      </c>
      <c r="AA53" s="3524">
        <f>+AA51-(SMS!AD38+SMS!AD39+SMS!AD40+SMS!AD41)</f>
        <v>-0.30999999999767169</v>
      </c>
      <c r="AC53" s="3524">
        <f>+AC51-(SMS!AF38+SMS!AF39+SMS!AF40+SMS!AF41)</f>
        <v>-4.9949999999371357</v>
      </c>
      <c r="AE53" s="3524">
        <f>+AE51-(SMS!AH38+SMS!AH39+SMS!AH40+SMS!AH41)</f>
        <v>-1.5140000000028522</v>
      </c>
      <c r="AF53" s="3524">
        <f>+AF51-(SMS!AI38+SMS!AI39+SMS!AI40+SMS!AI41)</f>
        <v>-499736.55473562016</v>
      </c>
      <c r="AG53" s="3524">
        <f>+AG51-(SMS!AJ38+SMS!AJ39+SMS!AJ40+SMS!AJ41)</f>
        <v>-6.5090000000200234</v>
      </c>
      <c r="AI53" s="3524">
        <f>+AI51-(SMS!AL38+SMS!AL39+SMS!AL40+SMS!AL41)</f>
        <v>-1.3800000000046566</v>
      </c>
      <c r="AK53" s="3524">
        <f>+AK51-(SMS!AN38+SMS!AN39+SMS!AN40+SMS!AN41)</f>
        <v>-3.2039999999979045</v>
      </c>
      <c r="AM53" s="3524">
        <f>+AM51-(SMS!AP38+SMS!AP39+SMS!AP40+SMS!AP41)</f>
        <v>-7.88900000002468</v>
      </c>
      <c r="AO53" s="3524">
        <f>+AO51-(SMS!AR38+SMS!AR39+SMS!AR40+SMS!AR41)</f>
        <v>-0.10000000000582077</v>
      </c>
      <c r="AQ53" s="3524">
        <f>+AQ51-(SMS!AT38+SMS!AT39+SMS!AT40+SMS!AT41)</f>
        <v>-7.9889999999431893</v>
      </c>
      <c r="AS53" s="3524">
        <f>+AS51-(SMS!AV38+SMS!AV39+SMS!AV40+SMS!AV41)</f>
        <v>-2.0229999999937718</v>
      </c>
      <c r="AT53" s="3524">
        <f>+AT51-(SMS!AW38+SMS!AW39+SMS!AW40+SMS!AW41)</f>
        <v>-707124.41753245378</v>
      </c>
      <c r="AU53" s="3524">
        <f>+AU51-(SMS!AX38+SMS!AX39+SMS!AX40+SMS!AX41)</f>
        <v>-10.011999999987893</v>
      </c>
      <c r="AW53" s="3524">
        <f>+AW51-(SMS!AZ38+SMS!AZ39+SMS!AZ40+SMS!AZ41)</f>
        <v>-1.5729999999894062</v>
      </c>
      <c r="AY53" s="3524">
        <f>+AY51-(SMS!BB38+SMS!BB39+SMS!BB40+SMS!BB41)</f>
        <v>-3.6959999999671709</v>
      </c>
      <c r="BA53" s="3524">
        <f>+BA51-(SMS!BD38+SMS!BD39+SMS!BD40+SMS!BD41)</f>
        <v>-6.9000000000232831</v>
      </c>
      <c r="BC53" s="3524">
        <f>+BC51-(SMS!BF38+SMS!BF39+SMS!BF40+SMS!BF41)</f>
        <v>-11.584999999962747</v>
      </c>
    </row>
    <row r="55" spans="1:61" x14ac:dyDescent="0.3">
      <c r="I55" s="140">
        <v>487</v>
      </c>
      <c r="AI55" s="2780"/>
    </row>
    <row r="56" spans="1:61" x14ac:dyDescent="0.3">
      <c r="I56" s="2780">
        <f>I49-I55</f>
        <v>463</v>
      </c>
    </row>
  </sheetData>
  <mergeCells count="29">
    <mergeCell ref="P4:Q4"/>
    <mergeCell ref="R4:S4"/>
    <mergeCell ref="A4:A5"/>
    <mergeCell ref="B4:C4"/>
    <mergeCell ref="D4:E4"/>
    <mergeCell ref="F4:G4"/>
    <mergeCell ref="H4:I4"/>
    <mergeCell ref="A2:BC2"/>
    <mergeCell ref="Z4:AA4"/>
    <mergeCell ref="AB4:AC4"/>
    <mergeCell ref="AD4:AE4"/>
    <mergeCell ref="AF4:AG4"/>
    <mergeCell ref="AH4:AI4"/>
    <mergeCell ref="AJ4:AK4"/>
    <mergeCell ref="AV4:AW4"/>
    <mergeCell ref="AX4:AY4"/>
    <mergeCell ref="AZ4:BA4"/>
    <mergeCell ref="BB4:BC4"/>
    <mergeCell ref="AL4:AM4"/>
    <mergeCell ref="AN4:AO4"/>
    <mergeCell ref="J4:K4"/>
    <mergeCell ref="L4:M4"/>
    <mergeCell ref="N4:O4"/>
    <mergeCell ref="AP4:AQ4"/>
    <mergeCell ref="AR4:AS4"/>
    <mergeCell ref="AT4:AU4"/>
    <mergeCell ref="T4:U4"/>
    <mergeCell ref="V4:W4"/>
    <mergeCell ref="X4:Y4"/>
  </mergeCells>
  <pageMargins left="0.7" right="0.7" top="0.75" bottom="0.75" header="0.3" footer="0.3"/>
  <pageSetup paperSize="9" scale="7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B2:BF131"/>
  <sheetViews>
    <sheetView zoomScaleNormal="100" workbookViewId="0">
      <pane xSplit="4" topLeftCell="E1" activePane="topRight" state="frozen"/>
      <selection pane="topRight" activeCell="I94" sqref="I94"/>
    </sheetView>
  </sheetViews>
  <sheetFormatPr defaultColWidth="9.109375" defaultRowHeight="14.4" x14ac:dyDescent="0.3"/>
  <cols>
    <col min="2" max="2" width="11.6640625" customWidth="1"/>
    <col min="3" max="3" width="42.6640625" customWidth="1"/>
    <col min="4" max="4" width="11" hidden="1" customWidth="1"/>
    <col min="5" max="5" width="12" customWidth="1"/>
    <col min="6" max="6" width="10.5546875" hidden="1" customWidth="1"/>
    <col min="7" max="7" width="10.5546875" customWidth="1"/>
    <col min="8" max="8" width="10.5546875" hidden="1" customWidth="1"/>
    <col min="9" max="9" width="10.5546875" customWidth="1"/>
    <col min="10" max="28" width="10.5546875" hidden="1" customWidth="1"/>
    <col min="29" max="29" width="10.5546875" style="209" hidden="1" customWidth="1"/>
    <col min="30" max="36" width="10.5546875" hidden="1" customWidth="1"/>
    <col min="37" max="37" width="10.5546875" style="209" hidden="1" customWidth="1"/>
    <col min="38" max="56" width="10.5546875" hidden="1" customWidth="1"/>
    <col min="57" max="57" width="11.5546875" hidden="1" customWidth="1"/>
    <col min="58" max="58" width="9.109375" hidden="1" customWidth="1"/>
  </cols>
  <sheetData>
    <row r="2" spans="3:57" ht="15" thickBot="1" x14ac:dyDescent="0.35"/>
    <row r="3" spans="3:57" s="29" customFormat="1" ht="15" hidden="1" thickBot="1" x14ac:dyDescent="0.35">
      <c r="C3" s="2354"/>
      <c r="D3" s="2354"/>
      <c r="E3" s="2354" t="s">
        <v>1657</v>
      </c>
      <c r="F3" s="2354"/>
      <c r="G3" s="2354" t="s">
        <v>1335</v>
      </c>
      <c r="H3" s="2354"/>
      <c r="I3" s="2354"/>
      <c r="J3" s="2354"/>
      <c r="K3" s="2354" t="s">
        <v>1391</v>
      </c>
      <c r="L3" s="2354"/>
      <c r="M3" s="2354"/>
      <c r="N3" s="2354"/>
      <c r="O3" s="2354" t="s">
        <v>1442</v>
      </c>
      <c r="P3" s="2354"/>
      <c r="Q3" s="2354"/>
      <c r="R3" s="2354"/>
      <c r="S3" s="2354" t="s">
        <v>1467</v>
      </c>
      <c r="T3" s="2354"/>
      <c r="U3" s="2354"/>
      <c r="V3" s="2354"/>
      <c r="W3" s="2354" t="s">
        <v>1521</v>
      </c>
      <c r="X3" s="2354"/>
      <c r="Y3" s="2354"/>
      <c r="Z3" s="2354"/>
      <c r="AA3" s="2354"/>
      <c r="AB3" s="2354"/>
      <c r="AC3" s="4105" t="s">
        <v>1534</v>
      </c>
      <c r="AD3" s="2354"/>
      <c r="AE3" s="2354"/>
      <c r="AF3" s="2354"/>
      <c r="AG3" s="2354" t="s">
        <v>1553</v>
      </c>
      <c r="AH3" s="2354"/>
      <c r="AI3" s="2354"/>
      <c r="AJ3" s="2354"/>
      <c r="AK3" s="4105" t="s">
        <v>1568</v>
      </c>
      <c r="AL3" s="2354"/>
      <c r="AM3" s="2354"/>
      <c r="AN3" s="2354"/>
      <c r="AO3" s="2354"/>
      <c r="AP3" s="2354"/>
      <c r="AQ3" s="2354" t="s">
        <v>1584</v>
      </c>
      <c r="AR3" s="2354"/>
      <c r="AS3" s="2354"/>
      <c r="AT3" s="2354"/>
      <c r="AU3" s="2354"/>
      <c r="AV3" s="2354"/>
      <c r="AW3" s="2354"/>
      <c r="AX3" s="2354"/>
      <c r="AY3" s="2354"/>
      <c r="AZ3" s="2354"/>
      <c r="BA3" s="2354"/>
      <c r="BB3" s="2354" t="s">
        <v>1590</v>
      </c>
      <c r="BC3" s="2354"/>
      <c r="BD3" s="2354" t="s">
        <v>1603</v>
      </c>
      <c r="BE3" s="2354" t="s">
        <v>1330</v>
      </c>
    </row>
    <row r="4" spans="3:57" ht="15" hidden="1" thickBot="1" x14ac:dyDescent="0.35">
      <c r="C4" s="2396" t="s">
        <v>1153</v>
      </c>
      <c r="D4" s="2396"/>
      <c r="E4" s="2504">
        <v>5753.3300000000008</v>
      </c>
      <c r="F4" s="2504"/>
      <c r="G4" s="2504">
        <v>7402.9009999999989</v>
      </c>
      <c r="H4" s="2504"/>
      <c r="I4" s="2504"/>
      <c r="J4" s="2504"/>
      <c r="K4" s="2504">
        <v>3517.8110000000006</v>
      </c>
      <c r="L4" s="2504"/>
      <c r="M4" s="2504"/>
      <c r="N4" s="2504"/>
      <c r="O4" s="2504">
        <v>4868.7290000000012</v>
      </c>
      <c r="P4" s="2504"/>
      <c r="Q4" s="2504"/>
      <c r="R4" s="2504"/>
      <c r="S4" s="2504">
        <v>5449.8919999999998</v>
      </c>
      <c r="T4" s="2504"/>
      <c r="U4" s="2504"/>
      <c r="V4" s="2504"/>
      <c r="W4" s="2504">
        <v>4386.5499999999993</v>
      </c>
      <c r="X4" s="2504"/>
      <c r="Y4" s="2504"/>
      <c r="Z4" s="2504"/>
      <c r="AA4" s="2504"/>
      <c r="AB4" s="2504"/>
      <c r="AC4" s="4106">
        <v>7058.6459999999988</v>
      </c>
      <c r="AD4" s="2504"/>
      <c r="AE4" s="2504"/>
      <c r="AF4" s="2504"/>
      <c r="AG4" s="2504">
        <v>5486</v>
      </c>
      <c r="AH4" s="2504"/>
      <c r="AI4" s="2504"/>
      <c r="AJ4" s="2504"/>
      <c r="AK4" s="4106">
        <v>8003</v>
      </c>
      <c r="AL4" s="2504"/>
      <c r="AM4" s="2504"/>
      <c r="AN4" s="2504"/>
      <c r="AO4" s="2504"/>
      <c r="AP4" s="2504"/>
      <c r="AQ4" s="2504">
        <v>5811</v>
      </c>
      <c r="AR4" s="2504"/>
      <c r="AS4" s="2504"/>
      <c r="AT4" s="2504"/>
      <c r="AU4" s="2504"/>
      <c r="AV4" s="2504"/>
      <c r="AW4" s="2504"/>
      <c r="AX4" s="2504"/>
      <c r="AY4" s="2504"/>
      <c r="AZ4" s="2504"/>
      <c r="BA4" s="2504"/>
      <c r="BB4" s="2504">
        <v>7902.131999999996</v>
      </c>
      <c r="BC4" s="2504"/>
      <c r="BD4" s="2504">
        <v>5583</v>
      </c>
      <c r="BE4" s="2504">
        <v>71222.990999999995</v>
      </c>
    </row>
    <row r="5" spans="3:57" ht="15" hidden="1" thickBot="1" x14ac:dyDescent="0.35">
      <c r="C5" s="2396" t="s">
        <v>1340</v>
      </c>
      <c r="D5" s="2396"/>
      <c r="E5" s="2504">
        <v>5558.0140000000001</v>
      </c>
      <c r="F5" s="2504"/>
      <c r="G5" s="2504">
        <v>3052.8740000000007</v>
      </c>
      <c r="H5" s="2504"/>
      <c r="I5" s="2504"/>
      <c r="J5" s="2504"/>
      <c r="K5" s="2504">
        <v>6780.8620000000001</v>
      </c>
      <c r="L5" s="2504"/>
      <c r="M5" s="2504"/>
      <c r="N5" s="2504"/>
      <c r="O5" s="2504">
        <v>3450.0789999999997</v>
      </c>
      <c r="P5" s="2504"/>
      <c r="Q5" s="2504"/>
      <c r="R5" s="2504"/>
      <c r="S5" s="2504">
        <v>4758.6139999999996</v>
      </c>
      <c r="T5" s="2504"/>
      <c r="U5" s="2504"/>
      <c r="V5" s="2504"/>
      <c r="W5" s="2504">
        <v>6105.2320000000009</v>
      </c>
      <c r="X5" s="2504"/>
      <c r="Y5" s="2504"/>
      <c r="Z5" s="2504"/>
      <c r="AA5" s="2504"/>
      <c r="AB5" s="2504"/>
      <c r="AC5" s="4106">
        <v>3640.308</v>
      </c>
      <c r="AD5" s="2504"/>
      <c r="AE5" s="2504"/>
      <c r="AF5" s="2504"/>
      <c r="AG5" s="2504">
        <v>6947</v>
      </c>
      <c r="AH5" s="2504"/>
      <c r="AI5" s="2504"/>
      <c r="AJ5" s="2504"/>
      <c r="AK5" s="4106">
        <v>7777</v>
      </c>
      <c r="AL5" s="2504"/>
      <c r="AM5" s="2504"/>
      <c r="AN5" s="2504"/>
      <c r="AO5" s="2504"/>
      <c r="AP5" s="2504"/>
      <c r="AQ5" s="2504">
        <v>9148</v>
      </c>
      <c r="AR5" s="2504"/>
      <c r="AS5" s="2504"/>
      <c r="AT5" s="2504"/>
      <c r="AU5" s="2504"/>
      <c r="AV5" s="2504"/>
      <c r="AW5" s="2504"/>
      <c r="AX5" s="2504"/>
      <c r="AY5" s="2504"/>
      <c r="AZ5" s="2504"/>
      <c r="BA5" s="2504"/>
      <c r="BB5" s="2504">
        <v>3545.1780000000003</v>
      </c>
      <c r="BC5" s="2504"/>
      <c r="BD5" s="2504">
        <v>10058</v>
      </c>
      <c r="BE5" s="2504">
        <v>70821.160999999993</v>
      </c>
    </row>
    <row r="6" spans="3:57" ht="15" hidden="1" thickBot="1" x14ac:dyDescent="0.35">
      <c r="C6" s="2396" t="s">
        <v>1341</v>
      </c>
      <c r="D6" s="2396"/>
      <c r="E6" s="2504">
        <v>4443.4390000000003</v>
      </c>
      <c r="F6" s="2504"/>
      <c r="G6" s="2504">
        <v>7288.2589999999982</v>
      </c>
      <c r="H6" s="2504"/>
      <c r="I6" s="2504"/>
      <c r="J6" s="2504"/>
      <c r="K6" s="2504">
        <v>1320.5059999999999</v>
      </c>
      <c r="L6" s="2504"/>
      <c r="M6" s="2504"/>
      <c r="N6" s="2504"/>
      <c r="O6" s="2504">
        <v>4462.0449999999992</v>
      </c>
      <c r="P6" s="2504"/>
      <c r="Q6" s="2504"/>
      <c r="R6" s="2504"/>
      <c r="S6" s="2504">
        <v>5506.9699999999984</v>
      </c>
      <c r="T6" s="2504"/>
      <c r="U6" s="2504"/>
      <c r="V6" s="2504"/>
      <c r="W6" s="2504">
        <v>4458.4260000000004</v>
      </c>
      <c r="X6" s="2504"/>
      <c r="Y6" s="2504"/>
      <c r="Z6" s="2504"/>
      <c r="AA6" s="2504"/>
      <c r="AB6" s="2504"/>
      <c r="AC6" s="4106">
        <v>3595.9140000000007</v>
      </c>
      <c r="AD6" s="2504"/>
      <c r="AE6" s="2504"/>
      <c r="AF6" s="2504"/>
      <c r="AG6" s="2504">
        <v>2604</v>
      </c>
      <c r="AH6" s="2504"/>
      <c r="AI6" s="2504"/>
      <c r="AJ6" s="2504"/>
      <c r="AK6" s="4106">
        <v>5331</v>
      </c>
      <c r="AL6" s="2504"/>
      <c r="AM6" s="2504"/>
      <c r="AN6" s="2504"/>
      <c r="AO6" s="2504"/>
      <c r="AP6" s="2504"/>
      <c r="AQ6" s="2504">
        <v>7591</v>
      </c>
      <c r="AR6" s="2504"/>
      <c r="AS6" s="2504"/>
      <c r="AT6" s="2504"/>
      <c r="AU6" s="2504"/>
      <c r="AV6" s="2504"/>
      <c r="AW6" s="2504"/>
      <c r="AX6" s="2504"/>
      <c r="AY6" s="2504"/>
      <c r="AZ6" s="2504"/>
      <c r="BA6" s="2504"/>
      <c r="BB6" s="2504">
        <v>4384.4360000000006</v>
      </c>
      <c r="BC6" s="2504"/>
      <c r="BD6" s="2504">
        <v>2070</v>
      </c>
      <c r="BE6" s="2504">
        <v>53055.994999999995</v>
      </c>
    </row>
    <row r="7" spans="3:57" ht="15" hidden="1" thickBot="1" x14ac:dyDescent="0.35">
      <c r="C7" s="2396" t="s">
        <v>1394</v>
      </c>
      <c r="D7" s="2396"/>
      <c r="E7" s="2504">
        <v>0</v>
      </c>
      <c r="F7" s="2504"/>
      <c r="G7" s="2504">
        <v>0</v>
      </c>
      <c r="H7" s="2504"/>
      <c r="I7" s="2504"/>
      <c r="J7" s="2504"/>
      <c r="K7" s="2504">
        <v>89.165999999999997</v>
      </c>
      <c r="L7" s="2504"/>
      <c r="M7" s="2504"/>
      <c r="N7" s="2504"/>
      <c r="O7" s="2504">
        <v>0</v>
      </c>
      <c r="P7" s="2504"/>
      <c r="Q7" s="2504"/>
      <c r="R7" s="2504"/>
      <c r="S7" s="2504">
        <v>0</v>
      </c>
      <c r="T7" s="2504"/>
      <c r="U7" s="2504"/>
      <c r="V7" s="2504"/>
      <c r="W7" s="2504">
        <v>0</v>
      </c>
      <c r="X7" s="2504"/>
      <c r="Y7" s="2504"/>
      <c r="Z7" s="2504"/>
      <c r="AA7" s="2504"/>
      <c r="AB7" s="2504"/>
      <c r="AC7" s="4106">
        <v>0</v>
      </c>
      <c r="AD7" s="2504"/>
      <c r="AE7" s="2504"/>
      <c r="AF7" s="2504"/>
      <c r="AG7" s="2504">
        <v>0</v>
      </c>
      <c r="AH7" s="2504"/>
      <c r="AI7" s="2504"/>
      <c r="AJ7" s="2504"/>
      <c r="AK7" s="4106">
        <v>0</v>
      </c>
      <c r="AL7" s="2504"/>
      <c r="AM7" s="2504"/>
      <c r="AN7" s="2504"/>
      <c r="AO7" s="2504"/>
      <c r="AP7" s="2504"/>
      <c r="AQ7" s="2504">
        <v>0</v>
      </c>
      <c r="AR7" s="2504"/>
      <c r="AS7" s="2504"/>
      <c r="AT7" s="2504"/>
      <c r="AU7" s="2504"/>
      <c r="AV7" s="2504"/>
      <c r="AW7" s="2504"/>
      <c r="AX7" s="2504"/>
      <c r="AY7" s="2504"/>
      <c r="AZ7" s="2504"/>
      <c r="BA7" s="2504"/>
      <c r="BB7" s="2504">
        <v>0</v>
      </c>
      <c r="BC7" s="2504"/>
      <c r="BD7" s="2504">
        <v>0</v>
      </c>
      <c r="BE7" s="2504">
        <v>89.165999999999997</v>
      </c>
    </row>
    <row r="8" spans="3:57" ht="15" hidden="1" thickBot="1" x14ac:dyDescent="0.35">
      <c r="C8" s="2396" t="s">
        <v>1570</v>
      </c>
      <c r="D8" s="2396"/>
      <c r="E8" s="2504">
        <v>0</v>
      </c>
      <c r="F8" s="2504"/>
      <c r="G8" s="2504">
        <v>0</v>
      </c>
      <c r="H8" s="2504"/>
      <c r="I8" s="2504"/>
      <c r="J8" s="2504"/>
      <c r="K8" s="2504">
        <v>0</v>
      </c>
      <c r="L8" s="2504"/>
      <c r="M8" s="2504"/>
      <c r="N8" s="2504"/>
      <c r="O8" s="2504">
        <v>0</v>
      </c>
      <c r="P8" s="2504"/>
      <c r="Q8" s="2504"/>
      <c r="R8" s="2504"/>
      <c r="S8" s="2504">
        <v>0</v>
      </c>
      <c r="T8" s="2504"/>
      <c r="U8" s="2504"/>
      <c r="V8" s="2504"/>
      <c r="W8" s="2504">
        <v>0</v>
      </c>
      <c r="X8" s="2504"/>
      <c r="Y8" s="2504"/>
      <c r="Z8" s="2504"/>
      <c r="AA8" s="2504"/>
      <c r="AB8" s="2504"/>
      <c r="AC8" s="4106">
        <v>0</v>
      </c>
      <c r="AD8" s="2504"/>
      <c r="AE8" s="2504"/>
      <c r="AF8" s="2504"/>
      <c r="AG8" s="2504">
        <v>0</v>
      </c>
      <c r="AH8" s="2504"/>
      <c r="AI8" s="2504"/>
      <c r="AJ8" s="2504"/>
      <c r="AK8" s="4106">
        <v>95</v>
      </c>
      <c r="AL8" s="2504"/>
      <c r="AM8" s="2504"/>
      <c r="AN8" s="2504"/>
      <c r="AO8" s="2504"/>
      <c r="AP8" s="2504"/>
      <c r="AQ8" s="2504">
        <v>0</v>
      </c>
      <c r="AR8" s="2504"/>
      <c r="AS8" s="2504"/>
      <c r="AT8" s="2504"/>
      <c r="AU8" s="2504"/>
      <c r="AV8" s="2504"/>
      <c r="AW8" s="2504"/>
      <c r="AX8" s="2504"/>
      <c r="AY8" s="2504"/>
      <c r="AZ8" s="2504"/>
      <c r="BA8" s="2504"/>
      <c r="BB8" s="2504">
        <v>0</v>
      </c>
      <c r="BC8" s="2504"/>
      <c r="BD8" s="2504">
        <v>0</v>
      </c>
      <c r="BE8" s="2504">
        <v>95</v>
      </c>
    </row>
    <row r="9" spans="3:57" ht="15" hidden="1" thickBot="1" x14ac:dyDescent="0.35">
      <c r="C9" s="2396" t="s">
        <v>1342</v>
      </c>
      <c r="D9" s="2396"/>
      <c r="E9" s="2504">
        <v>367.279</v>
      </c>
      <c r="F9" s="2504"/>
      <c r="G9" s="2504">
        <v>420.35399999999998</v>
      </c>
      <c r="H9" s="2504"/>
      <c r="I9" s="2504"/>
      <c r="J9" s="2504"/>
      <c r="K9" s="2504">
        <v>709.08199999999988</v>
      </c>
      <c r="L9" s="2504"/>
      <c r="M9" s="2504"/>
      <c r="N9" s="2504"/>
      <c r="O9" s="2504">
        <v>0</v>
      </c>
      <c r="P9" s="2504"/>
      <c r="Q9" s="2504"/>
      <c r="R9" s="2504"/>
      <c r="S9" s="2504">
        <v>555.98199999999997</v>
      </c>
      <c r="T9" s="2504"/>
      <c r="U9" s="2504"/>
      <c r="V9" s="2504"/>
      <c r="W9" s="2504">
        <v>661.68200000000002</v>
      </c>
      <c r="X9" s="2504"/>
      <c r="Y9" s="2504"/>
      <c r="Z9" s="2504"/>
      <c r="AA9" s="2504"/>
      <c r="AB9" s="2504"/>
      <c r="AC9" s="4106">
        <v>112.042</v>
      </c>
      <c r="AD9" s="2504"/>
      <c r="AE9" s="2504"/>
      <c r="AF9" s="2504"/>
      <c r="AG9" s="2504">
        <v>702</v>
      </c>
      <c r="AH9" s="2504"/>
      <c r="AI9" s="2504"/>
      <c r="AJ9" s="2504"/>
      <c r="AK9" s="4106">
        <v>0</v>
      </c>
      <c r="AL9" s="2504"/>
      <c r="AM9" s="2504"/>
      <c r="AN9" s="2504"/>
      <c r="AO9" s="2504"/>
      <c r="AP9" s="2504"/>
      <c r="AQ9" s="2504">
        <v>715</v>
      </c>
      <c r="AR9" s="2504"/>
      <c r="AS9" s="2504"/>
      <c r="AT9" s="2504"/>
      <c r="AU9" s="2504"/>
      <c r="AV9" s="2504"/>
      <c r="AW9" s="2504"/>
      <c r="AX9" s="2504"/>
      <c r="AY9" s="2504"/>
      <c r="AZ9" s="2504"/>
      <c r="BA9" s="2504"/>
      <c r="BB9" s="2504">
        <v>0</v>
      </c>
      <c r="BC9" s="2504"/>
      <c r="BD9" s="2504">
        <v>564</v>
      </c>
      <c r="BE9" s="2504">
        <v>4807.4210000000003</v>
      </c>
    </row>
    <row r="10" spans="3:57" ht="15" hidden="1" thickBot="1" x14ac:dyDescent="0.35">
      <c r="C10" s="2396" t="s">
        <v>1343</v>
      </c>
      <c r="D10" s="2396"/>
      <c r="E10" s="2504">
        <v>0</v>
      </c>
      <c r="F10" s="2504"/>
      <c r="G10" s="2504">
        <v>2891.5260000000003</v>
      </c>
      <c r="H10" s="2504"/>
      <c r="I10" s="2504"/>
      <c r="J10" s="2504"/>
      <c r="K10" s="2504">
        <v>2857.5580000000004</v>
      </c>
      <c r="L10" s="2504"/>
      <c r="M10" s="2504"/>
      <c r="N10" s="2504"/>
      <c r="O10" s="2504">
        <v>5052.4599999999991</v>
      </c>
      <c r="P10" s="2504"/>
      <c r="Q10" s="2504"/>
      <c r="R10" s="2504"/>
      <c r="S10" s="2504">
        <v>1002.0359999999999</v>
      </c>
      <c r="T10" s="2504"/>
      <c r="U10" s="2504"/>
      <c r="V10" s="2504"/>
      <c r="W10" s="2504">
        <v>5160.2740000000003</v>
      </c>
      <c r="X10" s="2504"/>
      <c r="Y10" s="2504"/>
      <c r="Z10" s="2504"/>
      <c r="AA10" s="2504"/>
      <c r="AB10" s="2504"/>
      <c r="AC10" s="4106">
        <v>6481.5239999999985</v>
      </c>
      <c r="AD10" s="2504"/>
      <c r="AE10" s="2504"/>
      <c r="AF10" s="2504"/>
      <c r="AG10" s="2504">
        <v>2530</v>
      </c>
      <c r="AH10" s="2504"/>
      <c r="AI10" s="2504"/>
      <c r="AJ10" s="2504"/>
      <c r="AK10" s="4106">
        <v>2927</v>
      </c>
      <c r="AL10" s="2504"/>
      <c r="AM10" s="2504"/>
      <c r="AN10" s="2504"/>
      <c r="AO10" s="2504"/>
      <c r="AP10" s="2504"/>
      <c r="AQ10" s="2504">
        <v>0</v>
      </c>
      <c r="AR10" s="2504"/>
      <c r="AS10" s="2504"/>
      <c r="AT10" s="2504"/>
      <c r="AU10" s="2504"/>
      <c r="AV10" s="2504"/>
      <c r="AW10" s="2504"/>
      <c r="AX10" s="2504"/>
      <c r="AY10" s="2504"/>
      <c r="AZ10" s="2504"/>
      <c r="BA10" s="2504"/>
      <c r="BB10" s="2504">
        <v>0</v>
      </c>
      <c r="BC10" s="2504"/>
      <c r="BD10" s="2504">
        <v>1454</v>
      </c>
      <c r="BE10" s="2504">
        <v>30356.377999999997</v>
      </c>
    </row>
    <row r="11" spans="3:57" ht="15" hidden="1" thickBot="1" x14ac:dyDescent="0.35">
      <c r="C11" s="2396" t="s">
        <v>1154</v>
      </c>
      <c r="D11" s="2396"/>
      <c r="E11" s="2504">
        <v>2246.134</v>
      </c>
      <c r="F11" s="2504"/>
      <c r="G11" s="2504">
        <v>1167.6500000000001</v>
      </c>
      <c r="H11" s="2504"/>
      <c r="I11" s="2504"/>
      <c r="J11" s="2504"/>
      <c r="K11" s="2504">
        <v>2660.1189999999997</v>
      </c>
      <c r="L11" s="2504"/>
      <c r="M11" s="2504"/>
      <c r="N11" s="2504"/>
      <c r="O11" s="2504">
        <v>3776.8170000000005</v>
      </c>
      <c r="P11" s="2504"/>
      <c r="Q11" s="2504"/>
      <c r="R11" s="2504"/>
      <c r="S11" s="2504">
        <v>8745.6179999999986</v>
      </c>
      <c r="T11" s="2504"/>
      <c r="U11" s="2504"/>
      <c r="V11" s="2504"/>
      <c r="W11" s="2504">
        <v>3684.7019999999998</v>
      </c>
      <c r="X11" s="2504"/>
      <c r="Y11" s="2504"/>
      <c r="Z11" s="2504"/>
      <c r="AA11" s="2504"/>
      <c r="AB11" s="2504"/>
      <c r="AC11" s="4106">
        <v>3094.8960000000002</v>
      </c>
      <c r="AD11" s="2504"/>
      <c r="AE11" s="2504"/>
      <c r="AF11" s="2504"/>
      <c r="AG11" s="2504">
        <v>302</v>
      </c>
      <c r="AH11" s="2504"/>
      <c r="AI11" s="2504"/>
      <c r="AJ11" s="2504"/>
      <c r="AK11" s="4106">
        <v>1471</v>
      </c>
      <c r="AL11" s="2504"/>
      <c r="AM11" s="2504"/>
      <c r="AN11" s="2504"/>
      <c r="AO11" s="2504"/>
      <c r="AP11" s="2504"/>
      <c r="AQ11" s="2504">
        <v>4657</v>
      </c>
      <c r="AR11" s="2504"/>
      <c r="AS11" s="2504"/>
      <c r="AT11" s="2504"/>
      <c r="AU11" s="2504"/>
      <c r="AV11" s="2504"/>
      <c r="AW11" s="2504"/>
      <c r="AX11" s="2504"/>
      <c r="AY11" s="2504"/>
      <c r="AZ11" s="2504"/>
      <c r="BA11" s="2504"/>
      <c r="BB11" s="2504">
        <v>2534.6860000000001</v>
      </c>
      <c r="BC11" s="2504"/>
      <c r="BD11" s="2504">
        <v>1152</v>
      </c>
      <c r="BE11" s="2504">
        <v>35492.622000000003</v>
      </c>
    </row>
    <row r="12" spans="3:57" ht="15" hidden="1" thickBot="1" x14ac:dyDescent="0.35">
      <c r="C12" s="2396" t="s">
        <v>1203</v>
      </c>
      <c r="D12" s="2396"/>
      <c r="E12" s="2504">
        <v>683.60599999999999</v>
      </c>
      <c r="F12" s="2504"/>
      <c r="G12" s="2504">
        <v>1946.7909999999997</v>
      </c>
      <c r="H12" s="2504"/>
      <c r="I12" s="2504"/>
      <c r="J12" s="2504"/>
      <c r="K12" s="2504">
        <v>3651.5600000000013</v>
      </c>
      <c r="L12" s="2504"/>
      <c r="M12" s="2504"/>
      <c r="N12" s="2504"/>
      <c r="O12" s="2504">
        <v>4077.0480000000011</v>
      </c>
      <c r="P12" s="2504"/>
      <c r="Q12" s="2504"/>
      <c r="R12" s="2504"/>
      <c r="S12" s="2504">
        <v>6033.3559999999979</v>
      </c>
      <c r="T12" s="2504"/>
      <c r="U12" s="2504"/>
      <c r="V12" s="2504"/>
      <c r="W12" s="2504">
        <v>2545.2559999999999</v>
      </c>
      <c r="X12" s="2504"/>
      <c r="Y12" s="2504"/>
      <c r="Z12" s="2504"/>
      <c r="AA12" s="2504"/>
      <c r="AB12" s="2504"/>
      <c r="AC12" s="4106">
        <v>2001.9580000000001</v>
      </c>
      <c r="AD12" s="2504"/>
      <c r="AE12" s="2504"/>
      <c r="AF12" s="2504"/>
      <c r="AG12" s="2504">
        <v>3205</v>
      </c>
      <c r="AH12" s="2504"/>
      <c r="AI12" s="2504"/>
      <c r="AJ12" s="2504"/>
      <c r="AK12" s="4106">
        <v>1311</v>
      </c>
      <c r="AL12" s="2504"/>
      <c r="AM12" s="2504"/>
      <c r="AN12" s="2504"/>
      <c r="AO12" s="2504"/>
      <c r="AP12" s="2504"/>
      <c r="AQ12" s="2504">
        <v>3619</v>
      </c>
      <c r="AR12" s="2504"/>
      <c r="AS12" s="2504"/>
      <c r="AT12" s="2504"/>
      <c r="AU12" s="2504"/>
      <c r="AV12" s="2504"/>
      <c r="AW12" s="2504"/>
      <c r="AX12" s="2504"/>
      <c r="AY12" s="2504"/>
      <c r="AZ12" s="2504"/>
      <c r="BA12" s="2504"/>
      <c r="BB12" s="2504">
        <v>2101.3160000000003</v>
      </c>
      <c r="BC12" s="2504"/>
      <c r="BD12" s="2504">
        <v>127</v>
      </c>
      <c r="BE12" s="2504">
        <v>31302.891</v>
      </c>
    </row>
    <row r="13" spans="3:57" ht="15" hidden="1" thickBot="1" x14ac:dyDescent="0.35">
      <c r="C13" s="2396" t="s">
        <v>1155</v>
      </c>
      <c r="D13" s="2396"/>
      <c r="E13" s="2504">
        <v>4390.3640000000005</v>
      </c>
      <c r="F13" s="2504"/>
      <c r="G13" s="2504">
        <v>0</v>
      </c>
      <c r="H13" s="2504"/>
      <c r="I13" s="2504"/>
      <c r="J13" s="2504"/>
      <c r="K13" s="2504">
        <v>0</v>
      </c>
      <c r="L13" s="2504"/>
      <c r="M13" s="2504"/>
      <c r="N13" s="2504"/>
      <c r="O13" s="2504">
        <v>0</v>
      </c>
      <c r="P13" s="2504"/>
      <c r="Q13" s="2504"/>
      <c r="R13" s="2504"/>
      <c r="S13" s="2504">
        <v>0</v>
      </c>
      <c r="T13" s="2504"/>
      <c r="U13" s="2504"/>
      <c r="V13" s="2504"/>
      <c r="W13" s="2504">
        <v>0</v>
      </c>
      <c r="X13" s="2504"/>
      <c r="Y13" s="2504"/>
      <c r="Z13" s="2504"/>
      <c r="AA13" s="2504"/>
      <c r="AB13" s="2504"/>
      <c r="AC13" s="4106">
        <v>0</v>
      </c>
      <c r="AD13" s="2504"/>
      <c r="AE13" s="2504"/>
      <c r="AF13" s="2504"/>
      <c r="AG13" s="2504">
        <v>0</v>
      </c>
      <c r="AH13" s="2504"/>
      <c r="AI13" s="2504"/>
      <c r="AJ13" s="2504"/>
      <c r="AK13" s="4106">
        <v>0</v>
      </c>
      <c r="AL13" s="2504"/>
      <c r="AM13" s="2504"/>
      <c r="AN13" s="2504"/>
      <c r="AO13" s="2504"/>
      <c r="AP13" s="2504"/>
      <c r="AQ13" s="2504">
        <v>0</v>
      </c>
      <c r="AR13" s="2504"/>
      <c r="AS13" s="2504"/>
      <c r="AT13" s="2504"/>
      <c r="AU13" s="2504"/>
      <c r="AV13" s="2504"/>
      <c r="AW13" s="2504"/>
      <c r="AX13" s="2504"/>
      <c r="AY13" s="2504"/>
      <c r="AZ13" s="2504"/>
      <c r="BA13" s="2504"/>
      <c r="BB13" s="2504">
        <v>0</v>
      </c>
      <c r="BC13" s="2504"/>
      <c r="BD13" s="2504">
        <v>0</v>
      </c>
      <c r="BE13" s="2504">
        <v>4390.3640000000005</v>
      </c>
    </row>
    <row r="14" spans="3:57" ht="15" hidden="1" thickBot="1" x14ac:dyDescent="0.35">
      <c r="C14" s="2396" t="s">
        <v>1314</v>
      </c>
      <c r="D14" s="2396"/>
      <c r="E14" s="2504">
        <v>118.88800000000001</v>
      </c>
      <c r="F14" s="2504"/>
      <c r="G14" s="2504">
        <v>0</v>
      </c>
      <c r="H14" s="2504"/>
      <c r="I14" s="2504"/>
      <c r="J14" s="2504"/>
      <c r="K14" s="2504">
        <v>0</v>
      </c>
      <c r="L14" s="2504"/>
      <c r="M14" s="2504"/>
      <c r="N14" s="2504"/>
      <c r="O14" s="2504">
        <v>0</v>
      </c>
      <c r="P14" s="2504"/>
      <c r="Q14" s="2504"/>
      <c r="R14" s="2504"/>
      <c r="S14" s="2504">
        <v>0</v>
      </c>
      <c r="T14" s="2504"/>
      <c r="U14" s="2504"/>
      <c r="V14" s="2504"/>
      <c r="W14" s="2504">
        <v>0</v>
      </c>
      <c r="X14" s="2504"/>
      <c r="Y14" s="2504"/>
      <c r="Z14" s="2504"/>
      <c r="AA14" s="2504"/>
      <c r="AB14" s="2504"/>
      <c r="AC14" s="4106">
        <v>0</v>
      </c>
      <c r="AD14" s="2504"/>
      <c r="AE14" s="2504"/>
      <c r="AF14" s="2504"/>
      <c r="AG14" s="2504">
        <v>0</v>
      </c>
      <c r="AH14" s="2504"/>
      <c r="AI14" s="2504"/>
      <c r="AJ14" s="2504"/>
      <c r="AK14" s="4106">
        <v>0</v>
      </c>
      <c r="AL14" s="2504"/>
      <c r="AM14" s="2504"/>
      <c r="AN14" s="2504"/>
      <c r="AO14" s="2504"/>
      <c r="AP14" s="2504"/>
      <c r="AQ14" s="2504">
        <v>0</v>
      </c>
      <c r="AR14" s="2504"/>
      <c r="AS14" s="2504"/>
      <c r="AT14" s="2504"/>
      <c r="AU14" s="2504"/>
      <c r="AV14" s="2504"/>
      <c r="AW14" s="2504"/>
      <c r="AX14" s="2504"/>
      <c r="AY14" s="2504"/>
      <c r="AZ14" s="2504"/>
      <c r="BA14" s="2504"/>
      <c r="BB14" s="2504">
        <v>0</v>
      </c>
      <c r="BC14" s="2504"/>
      <c r="BD14" s="2504">
        <v>0</v>
      </c>
      <c r="BE14" s="2504">
        <v>118.88800000000001</v>
      </c>
    </row>
    <row r="15" spans="3:57" ht="15" hidden="1" thickBot="1" x14ac:dyDescent="0.35">
      <c r="C15" s="2396" t="s">
        <v>1156</v>
      </c>
      <c r="D15" s="2396"/>
      <c r="E15" s="2504">
        <v>0</v>
      </c>
      <c r="F15" s="2504"/>
      <c r="G15" s="2504">
        <v>0</v>
      </c>
      <c r="H15" s="2504"/>
      <c r="I15" s="2504"/>
      <c r="J15" s="2504"/>
      <c r="K15" s="2504">
        <v>1010.5480000000001</v>
      </c>
      <c r="L15" s="2504"/>
      <c r="M15" s="2504"/>
      <c r="N15" s="2504"/>
      <c r="O15" s="2504">
        <v>982.94899999999996</v>
      </c>
      <c r="P15" s="2504"/>
      <c r="Q15" s="2504"/>
      <c r="R15" s="2504"/>
      <c r="S15" s="2504">
        <v>0</v>
      </c>
      <c r="T15" s="2504"/>
      <c r="U15" s="2504"/>
      <c r="V15" s="2504"/>
      <c r="W15" s="2504">
        <v>1714.4540000000002</v>
      </c>
      <c r="X15" s="2504"/>
      <c r="Y15" s="2504"/>
      <c r="Z15" s="2504"/>
      <c r="AA15" s="2504"/>
      <c r="AB15" s="2504"/>
      <c r="AC15" s="4106">
        <v>0</v>
      </c>
      <c r="AD15" s="2504"/>
      <c r="AE15" s="2504"/>
      <c r="AF15" s="2504"/>
      <c r="AG15" s="2504">
        <v>0</v>
      </c>
      <c r="AH15" s="2504"/>
      <c r="AI15" s="2504"/>
      <c r="AJ15" s="2504"/>
      <c r="AK15" s="4106">
        <v>0</v>
      </c>
      <c r="AL15" s="2504"/>
      <c r="AM15" s="2504"/>
      <c r="AN15" s="2504"/>
      <c r="AO15" s="2504"/>
      <c r="AP15" s="2504"/>
      <c r="AQ15" s="2504">
        <v>0</v>
      </c>
      <c r="AR15" s="2504"/>
      <c r="AS15" s="2504"/>
      <c r="AT15" s="2504"/>
      <c r="AU15" s="2504"/>
      <c r="AV15" s="2504"/>
      <c r="AW15" s="2504"/>
      <c r="AX15" s="2504"/>
      <c r="AY15" s="2504"/>
      <c r="AZ15" s="2504"/>
      <c r="BA15" s="2504"/>
      <c r="BB15" s="2504">
        <v>1224.0060000000001</v>
      </c>
      <c r="BC15" s="2504"/>
      <c r="BD15" s="2504">
        <v>1123</v>
      </c>
      <c r="BE15" s="2504">
        <v>6054.9570000000003</v>
      </c>
    </row>
    <row r="16" spans="3:57" ht="15" hidden="1" thickBot="1" x14ac:dyDescent="0.35">
      <c r="C16" s="2396" t="s">
        <v>1200</v>
      </c>
      <c r="D16" s="2396"/>
      <c r="E16" s="2504">
        <v>2210.0430000000001</v>
      </c>
      <c r="F16" s="2504"/>
      <c r="G16" s="2504">
        <v>420.35399999999998</v>
      </c>
      <c r="H16" s="2504"/>
      <c r="I16" s="2504"/>
      <c r="J16" s="2504"/>
      <c r="K16" s="2504">
        <v>0</v>
      </c>
      <c r="L16" s="2504"/>
      <c r="M16" s="2504"/>
      <c r="N16" s="2504"/>
      <c r="O16" s="2504">
        <v>3913.0140000000006</v>
      </c>
      <c r="P16" s="2504"/>
      <c r="Q16" s="2504"/>
      <c r="R16" s="2504"/>
      <c r="S16" s="2504">
        <v>0</v>
      </c>
      <c r="T16" s="2504"/>
      <c r="U16" s="2504"/>
      <c r="V16" s="2504"/>
      <c r="W16" s="2504">
        <v>868.85399999999993</v>
      </c>
      <c r="X16" s="2504"/>
      <c r="Y16" s="2504"/>
      <c r="Z16" s="2504"/>
      <c r="AA16" s="2504"/>
      <c r="AB16" s="2504"/>
      <c r="AC16" s="4106">
        <v>3061.0720000000001</v>
      </c>
      <c r="AD16" s="2504"/>
      <c r="AE16" s="2504"/>
      <c r="AF16" s="2504"/>
      <c r="AG16" s="2504">
        <v>1323</v>
      </c>
      <c r="AH16" s="2504"/>
      <c r="AI16" s="2504"/>
      <c r="AJ16" s="2504"/>
      <c r="AK16" s="4106">
        <v>3761</v>
      </c>
      <c r="AL16" s="2504"/>
      <c r="AM16" s="2504"/>
      <c r="AN16" s="2504"/>
      <c r="AO16" s="2504"/>
      <c r="AP16" s="2504"/>
      <c r="AQ16" s="2504">
        <v>493</v>
      </c>
      <c r="AR16" s="2504"/>
      <c r="AS16" s="2504"/>
      <c r="AT16" s="2504"/>
      <c r="AU16" s="2504"/>
      <c r="AV16" s="2504"/>
      <c r="AW16" s="2504"/>
      <c r="AX16" s="2504"/>
      <c r="AY16" s="2504"/>
      <c r="AZ16" s="2504"/>
      <c r="BA16" s="2504"/>
      <c r="BB16" s="2504">
        <v>1904.7140000000004</v>
      </c>
      <c r="BC16" s="2504"/>
      <c r="BD16" s="2504">
        <v>0</v>
      </c>
      <c r="BE16" s="2504">
        <v>17955.050999999999</v>
      </c>
    </row>
    <row r="17" spans="3:57" ht="15" hidden="1" thickBot="1" x14ac:dyDescent="0.35">
      <c r="C17" s="2396" t="s">
        <v>1201</v>
      </c>
      <c r="D17" s="2396"/>
      <c r="E17" s="2504">
        <v>2320.4390000000003</v>
      </c>
      <c r="F17" s="2504"/>
      <c r="G17" s="2504">
        <v>0</v>
      </c>
      <c r="H17" s="2504"/>
      <c r="I17" s="2504"/>
      <c r="J17" s="2504"/>
      <c r="K17" s="2504">
        <v>1636.8330000000001</v>
      </c>
      <c r="L17" s="2504"/>
      <c r="M17" s="2504"/>
      <c r="N17" s="2504"/>
      <c r="O17" s="2504">
        <v>5010.1799999999994</v>
      </c>
      <c r="P17" s="2504"/>
      <c r="Q17" s="2504"/>
      <c r="R17" s="2504"/>
      <c r="S17" s="2504">
        <v>0</v>
      </c>
      <c r="T17" s="2504"/>
      <c r="U17" s="2504"/>
      <c r="V17" s="2504"/>
      <c r="W17" s="2504">
        <v>2875.04</v>
      </c>
      <c r="X17" s="2504"/>
      <c r="Y17" s="2504"/>
      <c r="Z17" s="2504"/>
      <c r="AA17" s="2504"/>
      <c r="AB17" s="2504"/>
      <c r="AC17" s="4106">
        <v>1329.7059999999999</v>
      </c>
      <c r="AD17" s="2504"/>
      <c r="AE17" s="2504"/>
      <c r="AF17" s="2504"/>
      <c r="AG17" s="2504">
        <v>2649</v>
      </c>
      <c r="AH17" s="2504"/>
      <c r="AI17" s="2504"/>
      <c r="AJ17" s="2504"/>
      <c r="AK17" s="4106">
        <v>3981</v>
      </c>
      <c r="AL17" s="2504"/>
      <c r="AM17" s="2504"/>
      <c r="AN17" s="2504"/>
      <c r="AO17" s="2504"/>
      <c r="AP17" s="2504"/>
      <c r="AQ17" s="2504">
        <v>2397</v>
      </c>
      <c r="AR17" s="2504"/>
      <c r="AS17" s="2504"/>
      <c r="AT17" s="2504"/>
      <c r="AU17" s="2504"/>
      <c r="AV17" s="2504"/>
      <c r="AW17" s="2504"/>
      <c r="AX17" s="2504"/>
      <c r="AY17" s="2504"/>
      <c r="AZ17" s="2504"/>
      <c r="BA17" s="2504"/>
      <c r="BB17" s="2504">
        <v>1560.1320000000001</v>
      </c>
      <c r="BC17" s="2504"/>
      <c r="BD17" s="2504">
        <v>2046</v>
      </c>
      <c r="BE17" s="2504">
        <v>25805.329999999998</v>
      </c>
    </row>
    <row r="18" spans="3:57" ht="15" hidden="1" thickBot="1" x14ac:dyDescent="0.35">
      <c r="C18" s="2396" t="s">
        <v>1234</v>
      </c>
      <c r="D18" s="2396"/>
      <c r="E18" s="2504">
        <v>104.027</v>
      </c>
      <c r="F18" s="2504"/>
      <c r="G18" s="2504">
        <v>0</v>
      </c>
      <c r="H18" s="2504"/>
      <c r="I18" s="2504"/>
      <c r="J18" s="2504"/>
      <c r="K18" s="2504">
        <v>0</v>
      </c>
      <c r="L18" s="2504"/>
      <c r="M18" s="2504"/>
      <c r="N18" s="2504"/>
      <c r="O18" s="2504">
        <v>0</v>
      </c>
      <c r="P18" s="2504"/>
      <c r="Q18" s="2504"/>
      <c r="R18" s="2504"/>
      <c r="S18" s="2504">
        <v>0</v>
      </c>
      <c r="T18" s="2504"/>
      <c r="U18" s="2504"/>
      <c r="V18" s="2504"/>
      <c r="W18" s="2504">
        <v>0</v>
      </c>
      <c r="X18" s="2504"/>
      <c r="Y18" s="2504"/>
      <c r="Z18" s="2504"/>
      <c r="AA18" s="2504"/>
      <c r="AB18" s="2504"/>
      <c r="AC18" s="4106">
        <v>0</v>
      </c>
      <c r="AD18" s="2504"/>
      <c r="AE18" s="2504"/>
      <c r="AF18" s="2504"/>
      <c r="AG18" s="2504">
        <v>0</v>
      </c>
      <c r="AH18" s="2504"/>
      <c r="AI18" s="2504"/>
      <c r="AJ18" s="2504"/>
      <c r="AK18" s="4106">
        <v>0</v>
      </c>
      <c r="AL18" s="2504"/>
      <c r="AM18" s="2504"/>
      <c r="AN18" s="2504"/>
      <c r="AO18" s="2504"/>
      <c r="AP18" s="2504"/>
      <c r="AQ18" s="2504">
        <v>0</v>
      </c>
      <c r="AR18" s="2504"/>
      <c r="AS18" s="2504"/>
      <c r="AT18" s="2504"/>
      <c r="AU18" s="2504"/>
      <c r="AV18" s="2504"/>
      <c r="AW18" s="2504"/>
      <c r="AX18" s="2504"/>
      <c r="AY18" s="2504"/>
      <c r="AZ18" s="2504"/>
      <c r="BA18" s="2504"/>
      <c r="BB18" s="2504">
        <v>0</v>
      </c>
      <c r="BC18" s="2504"/>
      <c r="BD18" s="2504">
        <v>0</v>
      </c>
      <c r="BE18" s="2504">
        <v>104.027</v>
      </c>
    </row>
    <row r="19" spans="3:57" ht="15" hidden="1" thickBot="1" x14ac:dyDescent="0.35">
      <c r="C19" s="2396" t="s">
        <v>1474</v>
      </c>
      <c r="D19" s="2396"/>
      <c r="E19" s="2504">
        <v>0</v>
      </c>
      <c r="F19" s="2504"/>
      <c r="G19" s="2504">
        <v>0</v>
      </c>
      <c r="H19" s="2504"/>
      <c r="I19" s="2504"/>
      <c r="J19" s="2504"/>
      <c r="K19" s="2504">
        <v>0</v>
      </c>
      <c r="L19" s="2504"/>
      <c r="M19" s="2504"/>
      <c r="N19" s="2504"/>
      <c r="O19" s="2504">
        <v>0</v>
      </c>
      <c r="P19" s="2504"/>
      <c r="Q19" s="2504"/>
      <c r="R19" s="2504"/>
      <c r="S19" s="2504">
        <v>849.8280000000002</v>
      </c>
      <c r="T19" s="2504"/>
      <c r="U19" s="2504"/>
      <c r="V19" s="2504"/>
      <c r="W19" s="2504">
        <v>769.49599999999998</v>
      </c>
      <c r="X19" s="2504"/>
      <c r="Y19" s="2504"/>
      <c r="Z19" s="2504"/>
      <c r="AA19" s="2504"/>
      <c r="AB19" s="2504"/>
      <c r="AC19" s="4106">
        <v>2272.5499999999997</v>
      </c>
      <c r="AD19" s="2504"/>
      <c r="AE19" s="2504"/>
      <c r="AF19" s="2504"/>
      <c r="AG19" s="2504">
        <v>1201</v>
      </c>
      <c r="AH19" s="2504"/>
      <c r="AI19" s="2504"/>
      <c r="AJ19" s="2504"/>
      <c r="AK19" s="4106">
        <v>865</v>
      </c>
      <c r="AL19" s="2504"/>
      <c r="AM19" s="2504"/>
      <c r="AN19" s="2504"/>
      <c r="AO19" s="2504"/>
      <c r="AP19" s="2504"/>
      <c r="AQ19" s="2504">
        <v>243</v>
      </c>
      <c r="AR19" s="2504"/>
      <c r="AS19" s="2504"/>
      <c r="AT19" s="2504"/>
      <c r="AU19" s="2504"/>
      <c r="AV19" s="2504"/>
      <c r="AW19" s="2504"/>
      <c r="AX19" s="2504"/>
      <c r="AY19" s="2504"/>
      <c r="AZ19" s="2504"/>
      <c r="BA19" s="2504"/>
      <c r="BB19" s="2504">
        <v>1325.4780000000001</v>
      </c>
      <c r="BC19" s="2504"/>
      <c r="BD19" s="2504">
        <v>839</v>
      </c>
      <c r="BE19" s="2504">
        <v>8365.351999999999</v>
      </c>
    </row>
    <row r="20" spans="3:57" ht="15" hidden="1" thickBot="1" x14ac:dyDescent="0.35">
      <c r="C20" s="2396" t="s">
        <v>1292</v>
      </c>
      <c r="D20" s="2396"/>
      <c r="E20" s="2504">
        <v>0</v>
      </c>
      <c r="F20" s="2504"/>
      <c r="G20" s="2504">
        <v>0</v>
      </c>
      <c r="H20" s="2504"/>
      <c r="I20" s="2504"/>
      <c r="J20" s="2504"/>
      <c r="K20" s="2504">
        <v>0</v>
      </c>
      <c r="L20" s="2504"/>
      <c r="M20" s="2504"/>
      <c r="N20" s="2504"/>
      <c r="O20" s="2504">
        <v>0</v>
      </c>
      <c r="P20" s="2504"/>
      <c r="Q20" s="2504"/>
      <c r="R20" s="2504"/>
      <c r="S20" s="2504">
        <v>0</v>
      </c>
      <c r="T20" s="2504"/>
      <c r="U20" s="2504"/>
      <c r="V20" s="2504"/>
      <c r="W20" s="2504">
        <v>0</v>
      </c>
      <c r="X20" s="2504"/>
      <c r="Y20" s="2504"/>
      <c r="Z20" s="2504"/>
      <c r="AA20" s="2504"/>
      <c r="AB20" s="2504"/>
      <c r="AC20" s="4106">
        <v>0</v>
      </c>
      <c r="AD20" s="2504"/>
      <c r="AE20" s="2504"/>
      <c r="AF20" s="2504"/>
      <c r="AG20" s="2504">
        <v>0</v>
      </c>
      <c r="AH20" s="2504"/>
      <c r="AI20" s="2504"/>
      <c r="AJ20" s="2504"/>
      <c r="AK20" s="4106">
        <v>171</v>
      </c>
      <c r="AL20" s="2504"/>
      <c r="AM20" s="2504"/>
      <c r="AN20" s="2504"/>
      <c r="AO20" s="2504"/>
      <c r="AP20" s="2504"/>
      <c r="AQ20" s="2504">
        <v>0</v>
      </c>
      <c r="AR20" s="2504"/>
      <c r="AS20" s="2504"/>
      <c r="AT20" s="2504"/>
      <c r="AU20" s="2504"/>
      <c r="AV20" s="2504"/>
      <c r="AW20" s="2504"/>
      <c r="AX20" s="2504"/>
      <c r="AY20" s="2504"/>
      <c r="AZ20" s="2504"/>
      <c r="BA20" s="2504"/>
      <c r="BB20" s="2504">
        <v>207.172</v>
      </c>
      <c r="BC20" s="2504"/>
      <c r="BD20" s="2504">
        <v>228</v>
      </c>
      <c r="BE20" s="2504">
        <v>606.17200000000003</v>
      </c>
    </row>
    <row r="21" spans="3:57" ht="15" hidden="1" thickBot="1" x14ac:dyDescent="0.35">
      <c r="C21" s="2396" t="s">
        <v>1344</v>
      </c>
      <c r="D21" s="2396"/>
      <c r="E21" s="2504">
        <v>2012.6040000000003</v>
      </c>
      <c r="F21" s="2504"/>
      <c r="G21" s="2504">
        <v>1305.6450000000002</v>
      </c>
      <c r="H21" s="2504"/>
      <c r="I21" s="2504"/>
      <c r="J21" s="2504"/>
      <c r="K21" s="2504">
        <v>2515.7550000000001</v>
      </c>
      <c r="L21" s="2504"/>
      <c r="M21" s="2504"/>
      <c r="N21" s="2504"/>
      <c r="O21" s="2504">
        <v>0</v>
      </c>
      <c r="P21" s="2504"/>
      <c r="Q21" s="2504"/>
      <c r="R21" s="2504"/>
      <c r="S21" s="2504">
        <v>1678.5159999999998</v>
      </c>
      <c r="T21" s="2504"/>
      <c r="U21" s="2504"/>
      <c r="V21" s="2504"/>
      <c r="W21" s="2504">
        <v>600.37599999999998</v>
      </c>
      <c r="X21" s="2504"/>
      <c r="Y21" s="2504"/>
      <c r="Z21" s="2504"/>
      <c r="AA21" s="2504"/>
      <c r="AB21" s="2504"/>
      <c r="AC21" s="4106">
        <v>1031.6319999999998</v>
      </c>
      <c r="AD21" s="2504"/>
      <c r="AE21" s="2504"/>
      <c r="AF21" s="2504"/>
      <c r="AG21" s="2504">
        <v>888</v>
      </c>
      <c r="AH21" s="2504"/>
      <c r="AI21" s="2504"/>
      <c r="AJ21" s="2504"/>
      <c r="AK21" s="4106">
        <v>1230</v>
      </c>
      <c r="AL21" s="2504"/>
      <c r="AM21" s="2504"/>
      <c r="AN21" s="2504"/>
      <c r="AO21" s="2504"/>
      <c r="AP21" s="2504"/>
      <c r="AQ21" s="2504">
        <v>2594</v>
      </c>
      <c r="AR21" s="2504"/>
      <c r="AS21" s="2504"/>
      <c r="AT21" s="2504"/>
      <c r="AU21" s="2504"/>
      <c r="AV21" s="2504"/>
      <c r="AW21" s="2504"/>
      <c r="AX21" s="2504"/>
      <c r="AY21" s="2504"/>
      <c r="AZ21" s="2504"/>
      <c r="BA21" s="2504"/>
      <c r="BB21" s="2504">
        <v>145.86600000000001</v>
      </c>
      <c r="BC21" s="2504"/>
      <c r="BD21" s="2504">
        <v>1055</v>
      </c>
      <c r="BE21" s="2504">
        <v>15057.394</v>
      </c>
    </row>
    <row r="22" spans="3:57" ht="15" hidden="1" thickBot="1" x14ac:dyDescent="0.35">
      <c r="C22" s="2396" t="s">
        <v>1345</v>
      </c>
      <c r="D22" s="2396"/>
      <c r="E22" s="2504">
        <v>607.17800000000011</v>
      </c>
      <c r="F22" s="2504"/>
      <c r="G22" s="2504">
        <v>0</v>
      </c>
      <c r="H22" s="2504"/>
      <c r="I22" s="2504"/>
      <c r="J22" s="2504"/>
      <c r="K22" s="2504">
        <v>0</v>
      </c>
      <c r="L22" s="2504"/>
      <c r="M22" s="2504"/>
      <c r="N22" s="2504"/>
      <c r="O22" s="2504">
        <v>150.09399999999999</v>
      </c>
      <c r="P22" s="2504"/>
      <c r="Q22" s="2504"/>
      <c r="R22" s="2504"/>
      <c r="S22" s="2504">
        <v>0</v>
      </c>
      <c r="T22" s="2504"/>
      <c r="U22" s="2504"/>
      <c r="V22" s="2504"/>
      <c r="W22" s="2504">
        <v>0</v>
      </c>
      <c r="X22" s="2504"/>
      <c r="Y22" s="2504"/>
      <c r="Z22" s="2504"/>
      <c r="AA22" s="2504"/>
      <c r="AB22" s="2504"/>
      <c r="AC22" s="4106">
        <v>0</v>
      </c>
      <c r="AD22" s="2504"/>
      <c r="AE22" s="2504"/>
      <c r="AF22" s="2504"/>
      <c r="AG22" s="2504">
        <v>131</v>
      </c>
      <c r="AH22" s="2504"/>
      <c r="AI22" s="2504"/>
      <c r="AJ22" s="2504"/>
      <c r="AK22" s="4106">
        <v>0</v>
      </c>
      <c r="AL22" s="2504"/>
      <c r="AM22" s="2504"/>
      <c r="AN22" s="2504"/>
      <c r="AO22" s="2504"/>
      <c r="AP22" s="2504"/>
      <c r="AQ22" s="2504">
        <v>0</v>
      </c>
      <c r="AR22" s="2504"/>
      <c r="AS22" s="2504"/>
      <c r="AT22" s="2504"/>
      <c r="AU22" s="2504"/>
      <c r="AV22" s="2504"/>
      <c r="AW22" s="2504"/>
      <c r="AX22" s="2504"/>
      <c r="AY22" s="2504"/>
      <c r="AZ22" s="2504"/>
      <c r="BA22" s="2504"/>
      <c r="BB22" s="2504">
        <v>0</v>
      </c>
      <c r="BC22" s="2504"/>
      <c r="BD22" s="2504">
        <v>0</v>
      </c>
      <c r="BE22" s="2504">
        <v>888.27200000000016</v>
      </c>
    </row>
    <row r="23" spans="3:57" ht="15" hidden="1" thickBot="1" x14ac:dyDescent="0.35">
      <c r="C23" s="2396" t="s">
        <v>1338</v>
      </c>
      <c r="D23" s="2396"/>
      <c r="E23" s="2504">
        <v>1740.86</v>
      </c>
      <c r="F23" s="2504"/>
      <c r="G23" s="2504">
        <v>1672.924</v>
      </c>
      <c r="H23" s="2504"/>
      <c r="I23" s="2504"/>
      <c r="J23" s="2504"/>
      <c r="K23" s="2504">
        <v>3299.1419999999998</v>
      </c>
      <c r="L23" s="2504"/>
      <c r="M23" s="2504"/>
      <c r="N23" s="2504"/>
      <c r="O23" s="2504">
        <v>3369.7160000000008</v>
      </c>
      <c r="P23" s="2504"/>
      <c r="Q23" s="2504"/>
      <c r="R23" s="2504"/>
      <c r="S23" s="2504">
        <v>3111.808</v>
      </c>
      <c r="T23" s="2504"/>
      <c r="U23" s="2504"/>
      <c r="V23" s="2504"/>
      <c r="W23" s="2504">
        <v>1035.8600000000001</v>
      </c>
      <c r="X23" s="2504"/>
      <c r="Y23" s="2504"/>
      <c r="Z23" s="2504"/>
      <c r="AA23" s="2504"/>
      <c r="AB23" s="2504"/>
      <c r="AC23" s="4106">
        <v>0</v>
      </c>
      <c r="AD23" s="2504"/>
      <c r="AE23" s="2504"/>
      <c r="AF23" s="2504"/>
      <c r="AG23" s="2504">
        <v>1541</v>
      </c>
      <c r="AH23" s="2504"/>
      <c r="AI23" s="2504"/>
      <c r="AJ23" s="2504"/>
      <c r="AK23" s="4106">
        <v>230</v>
      </c>
      <c r="AL23" s="2504"/>
      <c r="AM23" s="2504"/>
      <c r="AN23" s="2504"/>
      <c r="AO23" s="2504"/>
      <c r="AP23" s="2504"/>
      <c r="AQ23" s="2504">
        <v>1605</v>
      </c>
      <c r="AR23" s="2504"/>
      <c r="AS23" s="2504"/>
      <c r="AT23" s="2504"/>
      <c r="AU23" s="2504"/>
      <c r="AV23" s="2504"/>
      <c r="AW23" s="2504"/>
      <c r="AX23" s="2504"/>
      <c r="AY23" s="2504"/>
      <c r="AZ23" s="2504"/>
      <c r="BA23" s="2504"/>
      <c r="BB23" s="2504">
        <v>0</v>
      </c>
      <c r="BC23" s="2504"/>
      <c r="BD23" s="2504">
        <v>738</v>
      </c>
      <c r="BE23" s="2504">
        <v>18344.310000000001</v>
      </c>
    </row>
    <row r="24" spans="3:57" ht="15" hidden="1" thickBot="1" x14ac:dyDescent="0.35">
      <c r="C24" s="2396" t="s">
        <v>1557</v>
      </c>
      <c r="D24" s="2396"/>
      <c r="E24" s="2504">
        <v>0</v>
      </c>
      <c r="F24" s="2504"/>
      <c r="G24" s="2504">
        <v>0</v>
      </c>
      <c r="H24" s="2504"/>
      <c r="I24" s="2504"/>
      <c r="J24" s="2504"/>
      <c r="K24" s="2504">
        <v>0</v>
      </c>
      <c r="L24" s="2504"/>
      <c r="M24" s="2504"/>
      <c r="N24" s="2504"/>
      <c r="O24" s="2504">
        <v>0</v>
      </c>
      <c r="P24" s="2504"/>
      <c r="Q24" s="2504"/>
      <c r="R24" s="2504"/>
      <c r="S24" s="2504">
        <v>0</v>
      </c>
      <c r="T24" s="2504"/>
      <c r="U24" s="2504"/>
      <c r="V24" s="2504"/>
      <c r="W24" s="2504">
        <v>0</v>
      </c>
      <c r="X24" s="2504"/>
      <c r="Y24" s="2504"/>
      <c r="Z24" s="2504"/>
      <c r="AA24" s="2504"/>
      <c r="AB24" s="2504"/>
      <c r="AC24" s="4106">
        <v>0</v>
      </c>
      <c r="AD24" s="2504"/>
      <c r="AE24" s="2504"/>
      <c r="AF24" s="2504"/>
      <c r="AG24" s="2504">
        <v>729</v>
      </c>
      <c r="AH24" s="2504"/>
      <c r="AI24" s="2504"/>
      <c r="AJ24" s="2504"/>
      <c r="AK24" s="4106">
        <v>0</v>
      </c>
      <c r="AL24" s="2504"/>
      <c r="AM24" s="2504"/>
      <c r="AN24" s="2504"/>
      <c r="AO24" s="2504"/>
      <c r="AP24" s="2504"/>
      <c r="AQ24" s="2504">
        <v>0</v>
      </c>
      <c r="AR24" s="2504"/>
      <c r="AS24" s="2504"/>
      <c r="AT24" s="2504"/>
      <c r="AU24" s="2504"/>
      <c r="AV24" s="2504"/>
      <c r="AW24" s="2504"/>
      <c r="AX24" s="2504"/>
      <c r="AY24" s="2504"/>
      <c r="AZ24" s="2504"/>
      <c r="BA24" s="2504"/>
      <c r="BB24" s="2504">
        <v>528.5</v>
      </c>
      <c r="BC24" s="2504"/>
      <c r="BD24" s="2504">
        <v>573</v>
      </c>
      <c r="BE24" s="2504">
        <v>1830.5</v>
      </c>
    </row>
    <row r="25" spans="3:57" ht="15" hidden="1" thickBot="1" x14ac:dyDescent="0.35">
      <c r="C25" s="2396" t="s">
        <v>804</v>
      </c>
      <c r="D25" s="2396"/>
      <c r="E25" s="2504">
        <v>5572.875</v>
      </c>
      <c r="F25" s="2504"/>
      <c r="G25" s="2504">
        <v>4275.7219999999998</v>
      </c>
      <c r="H25" s="2504"/>
      <c r="I25" s="2504"/>
      <c r="J25" s="2504"/>
      <c r="K25" s="2504">
        <v>5165.259</v>
      </c>
      <c r="L25" s="2504"/>
      <c r="M25" s="2504"/>
      <c r="N25" s="2504"/>
      <c r="O25" s="2504">
        <v>4726.5600000000004</v>
      </c>
      <c r="P25" s="2504"/>
      <c r="Q25" s="2504"/>
      <c r="R25" s="2504"/>
      <c r="S25" s="2504">
        <v>8582.84</v>
      </c>
      <c r="T25" s="2504"/>
      <c r="U25" s="2504"/>
      <c r="V25" s="2504"/>
      <c r="W25" s="2504">
        <v>11607.973999999997</v>
      </c>
      <c r="X25" s="2504"/>
      <c r="Y25" s="2504"/>
      <c r="Z25" s="2504"/>
      <c r="AA25" s="2504"/>
      <c r="AB25" s="2504"/>
      <c r="AC25" s="4106">
        <v>13165.992</v>
      </c>
      <c r="AD25" s="2504"/>
      <c r="AE25" s="2504"/>
      <c r="AF25" s="2504"/>
      <c r="AG25" s="2504">
        <v>0</v>
      </c>
      <c r="AH25" s="2504"/>
      <c r="AI25" s="2504"/>
      <c r="AJ25" s="2504"/>
      <c r="AK25" s="4106">
        <v>0</v>
      </c>
      <c r="AL25" s="2504"/>
      <c r="AM25" s="2504"/>
      <c r="AN25" s="2504"/>
      <c r="AO25" s="2504"/>
      <c r="AP25" s="2504"/>
      <c r="AQ25" s="2504">
        <v>5112</v>
      </c>
      <c r="AR25" s="2504"/>
      <c r="AS25" s="2504"/>
      <c r="AT25" s="2504"/>
      <c r="AU25" s="2504"/>
      <c r="AV25" s="2504"/>
      <c r="AW25" s="2504"/>
      <c r="AX25" s="2504"/>
      <c r="AY25" s="2504"/>
      <c r="AZ25" s="2504"/>
      <c r="BA25" s="2504"/>
      <c r="BB25" s="2504">
        <v>6965.63</v>
      </c>
      <c r="BC25" s="2504"/>
      <c r="BD25" s="2504">
        <v>13859</v>
      </c>
      <c r="BE25" s="2504">
        <v>79033.851999999984</v>
      </c>
    </row>
    <row r="26" spans="3:57" ht="15" hidden="1" thickBot="1" x14ac:dyDescent="0.35">
      <c r="C26" s="2396" t="s">
        <v>1592</v>
      </c>
      <c r="D26" s="2396"/>
      <c r="E26" s="2504">
        <v>0</v>
      </c>
      <c r="F26" s="2504"/>
      <c r="G26" s="2504">
        <v>0</v>
      </c>
      <c r="H26" s="2504"/>
      <c r="I26" s="2504"/>
      <c r="J26" s="2504"/>
      <c r="K26" s="2504">
        <v>0</v>
      </c>
      <c r="L26" s="2504"/>
      <c r="M26" s="2504"/>
      <c r="N26" s="2504"/>
      <c r="O26" s="2504">
        <v>0</v>
      </c>
      <c r="P26" s="2504"/>
      <c r="Q26" s="2504"/>
      <c r="R26" s="2504"/>
      <c r="S26" s="2504">
        <v>0</v>
      </c>
      <c r="T26" s="2504"/>
      <c r="U26" s="2504"/>
      <c r="V26" s="2504"/>
      <c r="W26" s="2504">
        <v>0</v>
      </c>
      <c r="X26" s="2504"/>
      <c r="Y26" s="2504"/>
      <c r="Z26" s="2504"/>
      <c r="AA26" s="2504"/>
      <c r="AB26" s="2504"/>
      <c r="AC26" s="4106">
        <v>0</v>
      </c>
      <c r="AD26" s="2504"/>
      <c r="AE26" s="2504"/>
      <c r="AF26" s="2504"/>
      <c r="AG26" s="2504">
        <v>0</v>
      </c>
      <c r="AH26" s="2504"/>
      <c r="AI26" s="2504"/>
      <c r="AJ26" s="2504"/>
      <c r="AK26" s="4106">
        <v>0</v>
      </c>
      <c r="AL26" s="2504"/>
      <c r="AM26" s="2504"/>
      <c r="AN26" s="2504"/>
      <c r="AO26" s="2504"/>
      <c r="AP26" s="2504"/>
      <c r="AQ26" s="2504">
        <v>0</v>
      </c>
      <c r="AR26" s="2504"/>
      <c r="AS26" s="2504"/>
      <c r="AT26" s="2504"/>
      <c r="AU26" s="2504"/>
      <c r="AV26" s="2504"/>
      <c r="AW26" s="2504"/>
      <c r="AX26" s="2504"/>
      <c r="AY26" s="2504"/>
      <c r="AZ26" s="2504"/>
      <c r="BA26" s="2504"/>
      <c r="BB26" s="2504">
        <v>1103.5080000000003</v>
      </c>
      <c r="BC26" s="2504"/>
      <c r="BD26" s="2504">
        <v>884</v>
      </c>
      <c r="BE26" s="2504">
        <v>1987.5080000000003</v>
      </c>
    </row>
    <row r="27" spans="3:57" ht="15" hidden="1" thickBot="1" x14ac:dyDescent="0.35">
      <c r="C27" s="2396" t="s">
        <v>1593</v>
      </c>
      <c r="D27" s="2396"/>
      <c r="E27" s="2504">
        <v>0</v>
      </c>
      <c r="F27" s="2504"/>
      <c r="G27" s="2504">
        <v>0</v>
      </c>
      <c r="H27" s="2504"/>
      <c r="I27" s="2504"/>
      <c r="J27" s="2504"/>
      <c r="K27" s="2504">
        <v>0</v>
      </c>
      <c r="L27" s="2504"/>
      <c r="M27" s="2504"/>
      <c r="N27" s="2504"/>
      <c r="O27" s="2504">
        <v>0</v>
      </c>
      <c r="P27" s="2504"/>
      <c r="Q27" s="2504"/>
      <c r="R27" s="2504"/>
      <c r="S27" s="2504">
        <v>0</v>
      </c>
      <c r="T27" s="2504"/>
      <c r="U27" s="2504"/>
      <c r="V27" s="2504"/>
      <c r="W27" s="2504">
        <v>0</v>
      </c>
      <c r="X27" s="2504"/>
      <c r="Y27" s="2504"/>
      <c r="Z27" s="2504"/>
      <c r="AA27" s="2504"/>
      <c r="AB27" s="2504"/>
      <c r="AC27" s="4106">
        <v>0</v>
      </c>
      <c r="AD27" s="2504"/>
      <c r="AE27" s="2504"/>
      <c r="AF27" s="2504"/>
      <c r="AG27" s="2504">
        <v>0</v>
      </c>
      <c r="AH27" s="2504"/>
      <c r="AI27" s="2504"/>
      <c r="AJ27" s="2504"/>
      <c r="AK27" s="4106">
        <v>0</v>
      </c>
      <c r="AL27" s="2504"/>
      <c r="AM27" s="2504"/>
      <c r="AN27" s="2504"/>
      <c r="AO27" s="2504"/>
      <c r="AP27" s="2504"/>
      <c r="AQ27" s="2504">
        <v>0</v>
      </c>
      <c r="AR27" s="2504"/>
      <c r="AS27" s="2504"/>
      <c r="AT27" s="2504"/>
      <c r="AU27" s="2504"/>
      <c r="AV27" s="2504"/>
      <c r="AW27" s="2504"/>
      <c r="AX27" s="2504"/>
      <c r="AY27" s="2504"/>
      <c r="AZ27" s="2504"/>
      <c r="BA27" s="2504"/>
      <c r="BB27" s="2504">
        <v>613.06000000000006</v>
      </c>
      <c r="BC27" s="2504"/>
      <c r="BD27" s="2504">
        <v>0</v>
      </c>
      <c r="BE27" s="2504">
        <v>613.06000000000006</v>
      </c>
    </row>
    <row r="28" spans="3:57" ht="15" hidden="1" thickBot="1" x14ac:dyDescent="0.35">
      <c r="C28" s="2396" t="s">
        <v>1346</v>
      </c>
      <c r="D28" s="2396"/>
      <c r="E28" s="2504">
        <v>137.995</v>
      </c>
      <c r="F28" s="2504"/>
      <c r="G28" s="2504">
        <v>365.15600000000001</v>
      </c>
      <c r="H28" s="2504"/>
      <c r="I28" s="2504"/>
      <c r="J28" s="2504"/>
      <c r="K28" s="2504">
        <v>0</v>
      </c>
      <c r="L28" s="2504"/>
      <c r="M28" s="2504"/>
      <c r="N28" s="2504"/>
      <c r="O28" s="2504">
        <v>271.74400000000003</v>
      </c>
      <c r="P28" s="2504"/>
      <c r="Q28" s="2504"/>
      <c r="R28" s="2504"/>
      <c r="S28" s="2504">
        <v>0</v>
      </c>
      <c r="T28" s="2504"/>
      <c r="U28" s="2504"/>
      <c r="V28" s="2504"/>
      <c r="W28" s="2504">
        <v>0</v>
      </c>
      <c r="X28" s="2504"/>
      <c r="Y28" s="2504"/>
      <c r="Z28" s="2504"/>
      <c r="AA28" s="2504"/>
      <c r="AB28" s="2504"/>
      <c r="AC28" s="4106">
        <v>0</v>
      </c>
      <c r="AD28" s="2504"/>
      <c r="AE28" s="2504"/>
      <c r="AF28" s="2504"/>
      <c r="AG28" s="2504">
        <v>0</v>
      </c>
      <c r="AH28" s="2504"/>
      <c r="AI28" s="2504"/>
      <c r="AJ28" s="2504"/>
      <c r="AK28" s="4106">
        <v>0</v>
      </c>
      <c r="AL28" s="2504"/>
      <c r="AM28" s="2504"/>
      <c r="AN28" s="2504"/>
      <c r="AO28" s="2504"/>
      <c r="AP28" s="2504"/>
      <c r="AQ28" s="2504">
        <v>0</v>
      </c>
      <c r="AR28" s="2504"/>
      <c r="AS28" s="2504"/>
      <c r="AT28" s="2504"/>
      <c r="AU28" s="2504"/>
      <c r="AV28" s="2504"/>
      <c r="AW28" s="2504"/>
      <c r="AX28" s="2504"/>
      <c r="AY28" s="2504"/>
      <c r="AZ28" s="2504"/>
      <c r="BA28" s="2504"/>
      <c r="BB28" s="2504">
        <v>112.042</v>
      </c>
      <c r="BC28" s="2504"/>
      <c r="BD28" s="2504">
        <v>146</v>
      </c>
      <c r="BE28" s="2504">
        <v>1032.9369999999999</v>
      </c>
    </row>
    <row r="29" spans="3:57" ht="15" hidden="1" thickBot="1" x14ac:dyDescent="0.35">
      <c r="C29" s="2396" t="s">
        <v>1235</v>
      </c>
      <c r="D29" s="2396"/>
      <c r="E29" s="2504">
        <v>0</v>
      </c>
      <c r="F29" s="2504"/>
      <c r="G29" s="2504">
        <v>0</v>
      </c>
      <c r="H29" s="2504"/>
      <c r="I29" s="2504"/>
      <c r="J29" s="2504"/>
      <c r="K29" s="2504">
        <v>881.04499999999996</v>
      </c>
      <c r="L29" s="2504"/>
      <c r="M29" s="2504"/>
      <c r="N29" s="2504"/>
      <c r="O29" s="2504">
        <v>0</v>
      </c>
      <c r="P29" s="2504"/>
      <c r="Q29" s="2504"/>
      <c r="R29" s="2504"/>
      <c r="S29" s="2504">
        <v>0</v>
      </c>
      <c r="T29" s="2504"/>
      <c r="U29" s="2504"/>
      <c r="V29" s="2504"/>
      <c r="W29" s="2504">
        <v>0</v>
      </c>
      <c r="X29" s="2504"/>
      <c r="Y29" s="2504"/>
      <c r="Z29" s="2504"/>
      <c r="AA29" s="2504"/>
      <c r="AB29" s="2504"/>
      <c r="AC29" s="4106">
        <v>336.12599999999998</v>
      </c>
      <c r="AD29" s="2504"/>
      <c r="AE29" s="2504"/>
      <c r="AF29" s="2504"/>
      <c r="AG29" s="2504">
        <v>6202</v>
      </c>
      <c r="AH29" s="2504"/>
      <c r="AI29" s="2504"/>
      <c r="AJ29" s="2504"/>
      <c r="AK29" s="4106">
        <v>6896</v>
      </c>
      <c r="AL29" s="2504"/>
      <c r="AM29" s="2504"/>
      <c r="AN29" s="2504"/>
      <c r="AO29" s="2504"/>
      <c r="AP29" s="2504"/>
      <c r="AQ29" s="2504">
        <v>865</v>
      </c>
      <c r="AR29" s="2504"/>
      <c r="AS29" s="2504"/>
      <c r="AT29" s="2504"/>
      <c r="AU29" s="2504"/>
      <c r="AV29" s="2504"/>
      <c r="AW29" s="2504"/>
      <c r="AX29" s="2504"/>
      <c r="AY29" s="2504"/>
      <c r="AZ29" s="2504"/>
      <c r="BA29" s="2504"/>
      <c r="BB29" s="2504">
        <v>192.374</v>
      </c>
      <c r="BC29" s="2504"/>
      <c r="BD29" s="2504">
        <v>0</v>
      </c>
      <c r="BE29" s="2504">
        <v>15372.545</v>
      </c>
    </row>
    <row r="30" spans="3:57" ht="15" hidden="1" thickBot="1" x14ac:dyDescent="0.35">
      <c r="C30" s="2396" t="s">
        <v>1347</v>
      </c>
      <c r="D30" s="2396"/>
      <c r="E30" s="2504">
        <v>1129.4360000000001</v>
      </c>
      <c r="F30" s="2504"/>
      <c r="G30" s="2504">
        <v>254.96</v>
      </c>
      <c r="H30" s="2504"/>
      <c r="I30" s="2504"/>
      <c r="J30" s="2504"/>
      <c r="K30" s="2504">
        <v>0</v>
      </c>
      <c r="L30" s="2504"/>
      <c r="M30" s="2504"/>
      <c r="N30" s="2504"/>
      <c r="O30" s="2504">
        <v>157.102</v>
      </c>
      <c r="P30" s="2504"/>
      <c r="Q30" s="2504"/>
      <c r="R30" s="2504"/>
      <c r="S30" s="2504">
        <v>350.92400000000004</v>
      </c>
      <c r="T30" s="2504"/>
      <c r="U30" s="2504"/>
      <c r="V30" s="2504"/>
      <c r="W30" s="2504">
        <v>454.51</v>
      </c>
      <c r="X30" s="2504"/>
      <c r="Y30" s="2504"/>
      <c r="Z30" s="2504"/>
      <c r="AA30" s="2504"/>
      <c r="AB30" s="2504"/>
      <c r="AC30" s="4106">
        <v>845.59999999999991</v>
      </c>
      <c r="AD30" s="2504"/>
      <c r="AE30" s="2504"/>
      <c r="AF30" s="2504"/>
      <c r="AG30" s="2504">
        <v>507</v>
      </c>
      <c r="AH30" s="2504"/>
      <c r="AI30" s="2504"/>
      <c r="AJ30" s="2504"/>
      <c r="AK30" s="4106">
        <v>875</v>
      </c>
      <c r="AL30" s="2504"/>
      <c r="AM30" s="2504"/>
      <c r="AN30" s="2504"/>
      <c r="AO30" s="2504"/>
      <c r="AP30" s="2504"/>
      <c r="AQ30" s="2504">
        <v>480</v>
      </c>
      <c r="AR30" s="2504"/>
      <c r="AS30" s="2504"/>
      <c r="AT30" s="2504"/>
      <c r="AU30" s="2504"/>
      <c r="AV30" s="2504"/>
      <c r="AW30" s="2504"/>
      <c r="AX30" s="2504"/>
      <c r="AY30" s="2504"/>
      <c r="AZ30" s="2504"/>
      <c r="BA30" s="2504"/>
      <c r="BB30" s="2504">
        <v>435.48399999999998</v>
      </c>
      <c r="BC30" s="2504"/>
      <c r="BD30" s="2504">
        <v>797</v>
      </c>
      <c r="BE30" s="2504">
        <v>6287.0160000000005</v>
      </c>
    </row>
    <row r="31" spans="3:57" ht="15" hidden="1" thickBot="1" x14ac:dyDescent="0.35">
      <c r="C31" s="2396" t="s">
        <v>1348</v>
      </c>
      <c r="D31" s="2396"/>
      <c r="E31" s="2504">
        <v>0</v>
      </c>
      <c r="F31" s="2504"/>
      <c r="G31" s="2504">
        <v>0</v>
      </c>
      <c r="H31" s="2504"/>
      <c r="I31" s="2504"/>
      <c r="J31" s="2504"/>
      <c r="K31" s="2504">
        <v>99.781000000000006</v>
      </c>
      <c r="L31" s="2504"/>
      <c r="M31" s="2504"/>
      <c r="N31" s="2504"/>
      <c r="O31" s="2504">
        <v>0</v>
      </c>
      <c r="P31" s="2504"/>
      <c r="Q31" s="2504"/>
      <c r="R31" s="2504"/>
      <c r="S31" s="2504">
        <v>0</v>
      </c>
      <c r="T31" s="2504"/>
      <c r="U31" s="2504"/>
      <c r="V31" s="2504"/>
      <c r="W31" s="2504">
        <v>0</v>
      </c>
      <c r="X31" s="2504"/>
      <c r="Y31" s="2504"/>
      <c r="Z31" s="2504"/>
      <c r="AA31" s="2504"/>
      <c r="AB31" s="2504"/>
      <c r="AC31" s="4106">
        <v>0</v>
      </c>
      <c r="AD31" s="2504"/>
      <c r="AE31" s="2504"/>
      <c r="AF31" s="2504"/>
      <c r="AG31" s="2504">
        <v>0</v>
      </c>
      <c r="AH31" s="2504"/>
      <c r="AI31" s="2504"/>
      <c r="AJ31" s="2504"/>
      <c r="AK31" s="4106">
        <v>0</v>
      </c>
      <c r="AL31" s="2504"/>
      <c r="AM31" s="2504"/>
      <c r="AN31" s="2504"/>
      <c r="AO31" s="2504"/>
      <c r="AP31" s="2504"/>
      <c r="AQ31" s="2504">
        <v>0</v>
      </c>
      <c r="AR31" s="2504"/>
      <c r="AS31" s="2504"/>
      <c r="AT31" s="2504"/>
      <c r="AU31" s="2504"/>
      <c r="AV31" s="2504"/>
      <c r="AW31" s="2504"/>
      <c r="AX31" s="2504"/>
      <c r="AY31" s="2504"/>
      <c r="AZ31" s="2504"/>
      <c r="BA31" s="2504"/>
      <c r="BB31" s="2504">
        <v>0</v>
      </c>
      <c r="BC31" s="2504"/>
      <c r="BD31" s="2504">
        <v>0</v>
      </c>
      <c r="BE31" s="2504">
        <v>99.781000000000006</v>
      </c>
    </row>
    <row r="32" spans="3:57" ht="15" hidden="1" thickBot="1" x14ac:dyDescent="0.35">
      <c r="C32" s="2396" t="s">
        <v>1349</v>
      </c>
      <c r="D32" s="2396"/>
      <c r="E32" s="2504">
        <v>1426.6559999999999</v>
      </c>
      <c r="F32" s="2504"/>
      <c r="G32" s="2504">
        <v>0</v>
      </c>
      <c r="H32" s="2504"/>
      <c r="I32" s="2504"/>
      <c r="J32" s="2504"/>
      <c r="K32" s="2504">
        <v>0</v>
      </c>
      <c r="L32" s="2504"/>
      <c r="M32" s="2504"/>
      <c r="N32" s="2504"/>
      <c r="O32" s="2504">
        <v>105.7</v>
      </c>
      <c r="P32" s="2504"/>
      <c r="Q32" s="2504"/>
      <c r="R32" s="2504"/>
      <c r="S32" s="2504">
        <v>0</v>
      </c>
      <c r="T32" s="2504"/>
      <c r="U32" s="2504"/>
      <c r="V32" s="2504"/>
      <c r="W32" s="2504">
        <v>103.586</v>
      </c>
      <c r="X32" s="2504"/>
      <c r="Y32" s="2504"/>
      <c r="Z32" s="2504"/>
      <c r="AA32" s="2504"/>
      <c r="AB32" s="2504"/>
      <c r="AC32" s="4106">
        <v>215.62799999999999</v>
      </c>
      <c r="AD32" s="2504"/>
      <c r="AE32" s="2504"/>
      <c r="AF32" s="2504"/>
      <c r="AG32" s="2504">
        <v>632</v>
      </c>
      <c r="AH32" s="2504"/>
      <c r="AI32" s="2504"/>
      <c r="AJ32" s="2504"/>
      <c r="AK32" s="4106">
        <v>696</v>
      </c>
      <c r="AL32" s="2504"/>
      <c r="AM32" s="2504"/>
      <c r="AN32" s="2504"/>
      <c r="AO32" s="2504"/>
      <c r="AP32" s="2504"/>
      <c r="AQ32" s="2504">
        <v>1723</v>
      </c>
      <c r="AR32" s="2504"/>
      <c r="AS32" s="2504"/>
      <c r="AT32" s="2504"/>
      <c r="AU32" s="2504"/>
      <c r="AV32" s="2504"/>
      <c r="AW32" s="2504"/>
      <c r="AX32" s="2504"/>
      <c r="AY32" s="2504"/>
      <c r="AZ32" s="2504"/>
      <c r="BA32" s="2504"/>
      <c r="BB32" s="2504">
        <v>450.28199999999998</v>
      </c>
      <c r="BC32" s="2504"/>
      <c r="BD32" s="2504">
        <v>708</v>
      </c>
      <c r="BE32" s="2504">
        <v>6060.8519999999999</v>
      </c>
    </row>
    <row r="33" spans="3:57" ht="15" hidden="1" thickBot="1" x14ac:dyDescent="0.35">
      <c r="C33" s="2396" t="s">
        <v>1350</v>
      </c>
      <c r="D33" s="2396"/>
      <c r="E33" s="2504">
        <v>137.995</v>
      </c>
      <c r="F33" s="2504"/>
      <c r="G33" s="2504">
        <v>0</v>
      </c>
      <c r="H33" s="2504"/>
      <c r="I33" s="2504"/>
      <c r="J33" s="2504"/>
      <c r="K33" s="2504">
        <v>0</v>
      </c>
      <c r="L33" s="2504"/>
      <c r="M33" s="2504"/>
      <c r="N33" s="2504"/>
      <c r="O33" s="2504">
        <v>0</v>
      </c>
      <c r="P33" s="2504"/>
      <c r="Q33" s="2504"/>
      <c r="R33" s="2504"/>
      <c r="S33" s="2504">
        <v>0</v>
      </c>
      <c r="T33" s="2504"/>
      <c r="U33" s="2504"/>
      <c r="V33" s="2504"/>
      <c r="W33" s="2504">
        <v>0</v>
      </c>
      <c r="X33" s="2504"/>
      <c r="Y33" s="2504"/>
      <c r="Z33" s="2504"/>
      <c r="AA33" s="2504"/>
      <c r="AB33" s="2504"/>
      <c r="AC33" s="4106">
        <v>0</v>
      </c>
      <c r="AD33" s="2504"/>
      <c r="AE33" s="2504"/>
      <c r="AF33" s="2504"/>
      <c r="AG33" s="2504">
        <v>0</v>
      </c>
      <c r="AH33" s="2504"/>
      <c r="AI33" s="2504"/>
      <c r="AJ33" s="2504"/>
      <c r="AK33" s="4106">
        <v>0</v>
      </c>
      <c r="AL33" s="2504"/>
      <c r="AM33" s="2504"/>
      <c r="AN33" s="2504"/>
      <c r="AO33" s="2504"/>
      <c r="AP33" s="2504"/>
      <c r="AQ33" s="2504">
        <v>0</v>
      </c>
      <c r="AR33" s="2504"/>
      <c r="AS33" s="2504"/>
      <c r="AT33" s="2504"/>
      <c r="AU33" s="2504"/>
      <c r="AV33" s="2504"/>
      <c r="AW33" s="2504"/>
      <c r="AX33" s="2504"/>
      <c r="AY33" s="2504"/>
      <c r="AZ33" s="2504"/>
      <c r="BA33" s="2504"/>
      <c r="BB33" s="2504">
        <v>0</v>
      </c>
      <c r="BC33" s="2504"/>
      <c r="BD33" s="2504">
        <v>0</v>
      </c>
      <c r="BE33" s="2504">
        <v>137.995</v>
      </c>
    </row>
    <row r="34" spans="3:57" ht="15" hidden="1" thickBot="1" x14ac:dyDescent="0.35">
      <c r="C34" s="2396" t="s">
        <v>1545</v>
      </c>
      <c r="D34" s="2396"/>
      <c r="E34" s="2504"/>
      <c r="F34" s="2504"/>
      <c r="G34" s="2504"/>
      <c r="H34" s="2504"/>
      <c r="I34" s="2504"/>
      <c r="J34" s="2504"/>
      <c r="K34" s="2504"/>
      <c r="L34" s="2504"/>
      <c r="M34" s="2504"/>
      <c r="N34" s="2504"/>
      <c r="O34" s="2504"/>
      <c r="P34" s="2504"/>
      <c r="Q34" s="2504"/>
      <c r="R34" s="2504"/>
      <c r="S34" s="2504"/>
      <c r="T34" s="2504"/>
      <c r="U34" s="2504"/>
      <c r="V34" s="2504"/>
      <c r="W34" s="2504"/>
      <c r="X34" s="2504"/>
      <c r="Y34" s="2504"/>
      <c r="Z34" s="2504"/>
      <c r="AA34" s="2504"/>
      <c r="AB34" s="2504"/>
      <c r="AC34" s="4106">
        <v>126.84</v>
      </c>
      <c r="AD34" s="2504"/>
      <c r="AE34" s="2504"/>
      <c r="AF34" s="2504"/>
      <c r="AG34" s="2504">
        <v>0</v>
      </c>
      <c r="AH34" s="2504"/>
      <c r="AI34" s="2504"/>
      <c r="AJ34" s="2504"/>
      <c r="AK34" s="4106">
        <v>0</v>
      </c>
      <c r="AL34" s="2504"/>
      <c r="AM34" s="2504"/>
      <c r="AN34" s="2504"/>
      <c r="AO34" s="2504"/>
      <c r="AP34" s="2504"/>
      <c r="AQ34" s="2504">
        <v>0</v>
      </c>
      <c r="AR34" s="2504"/>
      <c r="AS34" s="2504"/>
      <c r="AT34" s="2504"/>
      <c r="AU34" s="2504"/>
      <c r="AV34" s="2504"/>
      <c r="AW34" s="2504"/>
      <c r="AX34" s="2504"/>
      <c r="AY34" s="2504"/>
      <c r="AZ34" s="2504"/>
      <c r="BA34" s="2504"/>
      <c r="BB34" s="2504">
        <v>0</v>
      </c>
      <c r="BC34" s="2504"/>
      <c r="BD34" s="2504">
        <v>0</v>
      </c>
      <c r="BE34" s="2504">
        <v>126.84</v>
      </c>
    </row>
    <row r="35" spans="3:57" ht="15" hidden="1" thickBot="1" x14ac:dyDescent="0.35">
      <c r="C35" s="2396" t="s">
        <v>1351</v>
      </c>
      <c r="D35" s="2396"/>
      <c r="E35" s="2504">
        <v>0</v>
      </c>
      <c r="F35" s="2504"/>
      <c r="G35" s="2504">
        <v>0</v>
      </c>
      <c r="H35" s="2504"/>
      <c r="I35" s="2504"/>
      <c r="J35" s="2504"/>
      <c r="K35" s="2504">
        <v>0</v>
      </c>
      <c r="L35" s="2504"/>
      <c r="M35" s="2504"/>
      <c r="N35" s="2504"/>
      <c r="O35" s="2504">
        <v>410.11599999999999</v>
      </c>
      <c r="P35" s="2504"/>
      <c r="Q35" s="2504"/>
      <c r="R35" s="2504"/>
      <c r="S35" s="2504">
        <v>0</v>
      </c>
      <c r="T35" s="2504"/>
      <c r="U35" s="2504"/>
      <c r="V35" s="2504"/>
      <c r="W35" s="2504">
        <v>0</v>
      </c>
      <c r="X35" s="2504"/>
      <c r="Y35" s="2504"/>
      <c r="Z35" s="2504"/>
      <c r="AA35" s="2504"/>
      <c r="AB35" s="2504"/>
      <c r="AC35" s="4106">
        <v>1018.9480000000001</v>
      </c>
      <c r="AD35" s="2504"/>
      <c r="AE35" s="2504"/>
      <c r="AF35" s="2504"/>
      <c r="AG35" s="2504">
        <v>112</v>
      </c>
      <c r="AH35" s="2504"/>
      <c r="AI35" s="2504"/>
      <c r="AJ35" s="2504"/>
      <c r="AK35" s="4106">
        <v>550</v>
      </c>
      <c r="AL35" s="2504"/>
      <c r="AM35" s="2504"/>
      <c r="AN35" s="2504"/>
      <c r="AO35" s="2504"/>
      <c r="AP35" s="2504"/>
      <c r="AQ35" s="2504">
        <v>683</v>
      </c>
      <c r="AR35" s="2504"/>
      <c r="AS35" s="2504"/>
      <c r="AT35" s="2504"/>
      <c r="AU35" s="2504"/>
      <c r="AV35" s="2504"/>
      <c r="AW35" s="2504"/>
      <c r="AX35" s="2504"/>
      <c r="AY35" s="2504"/>
      <c r="AZ35" s="2504"/>
      <c r="BA35" s="2504"/>
      <c r="BB35" s="2504">
        <v>272.70600000000002</v>
      </c>
      <c r="BC35" s="2504"/>
      <c r="BD35" s="2504">
        <v>575</v>
      </c>
      <c r="BE35" s="2504">
        <v>3621.7700000000004</v>
      </c>
    </row>
    <row r="36" spans="3:57" ht="15" hidden="1" thickBot="1" x14ac:dyDescent="0.35">
      <c r="C36" s="2396" t="s">
        <v>1393</v>
      </c>
      <c r="D36" s="2396"/>
      <c r="E36" s="2504">
        <v>0</v>
      </c>
      <c r="F36" s="2504"/>
      <c r="G36" s="2504">
        <v>0</v>
      </c>
      <c r="H36" s="2504"/>
      <c r="I36" s="2504"/>
      <c r="J36" s="2504"/>
      <c r="K36" s="2504">
        <v>324.81900000000002</v>
      </c>
      <c r="L36" s="2504"/>
      <c r="M36" s="2504"/>
      <c r="N36" s="2504"/>
      <c r="O36" s="2504">
        <v>922.452</v>
      </c>
      <c r="P36" s="2504"/>
      <c r="Q36" s="2504"/>
      <c r="R36" s="2504"/>
      <c r="S36" s="2504">
        <v>1779.9879999999996</v>
      </c>
      <c r="T36" s="2504"/>
      <c r="U36" s="2504"/>
      <c r="V36" s="2504"/>
      <c r="W36" s="2504">
        <v>0</v>
      </c>
      <c r="X36" s="2504"/>
      <c r="Y36" s="2504"/>
      <c r="Z36" s="2504"/>
      <c r="AA36" s="2504"/>
      <c r="AB36" s="2504"/>
      <c r="AC36" s="4106">
        <v>317.09999999999997</v>
      </c>
      <c r="AD36" s="2504"/>
      <c r="AE36" s="2504"/>
      <c r="AF36" s="2504"/>
      <c r="AG36" s="2504">
        <v>2222</v>
      </c>
      <c r="AH36" s="2504"/>
      <c r="AI36" s="2504"/>
      <c r="AJ36" s="2504"/>
      <c r="AK36" s="4106">
        <v>0</v>
      </c>
      <c r="AL36" s="2504"/>
      <c r="AM36" s="2504"/>
      <c r="AN36" s="2504"/>
      <c r="AO36" s="2504"/>
      <c r="AP36" s="2504"/>
      <c r="AQ36" s="2504">
        <v>252</v>
      </c>
      <c r="AR36" s="2504"/>
      <c r="AS36" s="2504"/>
      <c r="AT36" s="2504"/>
      <c r="AU36" s="2504"/>
      <c r="AV36" s="2504"/>
      <c r="AW36" s="2504"/>
      <c r="AX36" s="2504"/>
      <c r="AY36" s="2504"/>
      <c r="AZ36" s="2504"/>
      <c r="BA36" s="2504"/>
      <c r="BB36" s="2504">
        <v>97.244</v>
      </c>
      <c r="BC36" s="2504"/>
      <c r="BD36" s="2504">
        <v>0</v>
      </c>
      <c r="BE36" s="2504">
        <v>5915.6029999999992</v>
      </c>
    </row>
    <row r="37" spans="3:57" ht="15" hidden="1" thickBot="1" x14ac:dyDescent="0.35">
      <c r="C37" s="2396" t="s">
        <v>1352</v>
      </c>
      <c r="D37" s="2396"/>
      <c r="E37" s="2504">
        <v>592.31700000000001</v>
      </c>
      <c r="F37" s="2504"/>
      <c r="G37" s="2504">
        <v>0</v>
      </c>
      <c r="H37" s="2504"/>
      <c r="I37" s="2504"/>
      <c r="J37" s="2504"/>
      <c r="K37" s="2504">
        <v>0</v>
      </c>
      <c r="L37" s="2504"/>
      <c r="M37" s="2504"/>
      <c r="N37" s="2504"/>
      <c r="O37" s="2504">
        <v>0</v>
      </c>
      <c r="P37" s="2504"/>
      <c r="Q37" s="2504"/>
      <c r="R37" s="2504"/>
      <c r="S37" s="2504">
        <v>1306.4520000000002</v>
      </c>
      <c r="T37" s="2504"/>
      <c r="U37" s="2504"/>
      <c r="V37" s="2504"/>
      <c r="W37" s="2504">
        <v>0</v>
      </c>
      <c r="X37" s="2504"/>
      <c r="Y37" s="2504"/>
      <c r="Z37" s="2504"/>
      <c r="AA37" s="2504"/>
      <c r="AB37" s="2504"/>
      <c r="AC37" s="4106">
        <v>0</v>
      </c>
      <c r="AD37" s="2504"/>
      <c r="AE37" s="2504"/>
      <c r="AF37" s="2504"/>
      <c r="AG37" s="2504">
        <v>873</v>
      </c>
      <c r="AH37" s="2504"/>
      <c r="AI37" s="2504"/>
      <c r="AJ37" s="2504"/>
      <c r="AK37" s="4106">
        <v>0</v>
      </c>
      <c r="AL37" s="2504"/>
      <c r="AM37" s="2504"/>
      <c r="AN37" s="2504"/>
      <c r="AO37" s="2504"/>
      <c r="AP37" s="2504"/>
      <c r="AQ37" s="2504">
        <v>0</v>
      </c>
      <c r="AR37" s="2504"/>
      <c r="AS37" s="2504"/>
      <c r="AT37" s="2504"/>
      <c r="AU37" s="2504"/>
      <c r="AV37" s="2504"/>
      <c r="AW37" s="2504"/>
      <c r="AX37" s="2504"/>
      <c r="AY37" s="2504"/>
      <c r="AZ37" s="2504"/>
      <c r="BA37" s="2504"/>
      <c r="BB37" s="2504">
        <v>433.37</v>
      </c>
      <c r="BC37" s="2504"/>
      <c r="BD37" s="2504">
        <v>0</v>
      </c>
      <c r="BE37" s="2504">
        <v>3205.1390000000001</v>
      </c>
    </row>
    <row r="38" spans="3:57" ht="15" hidden="1" thickBot="1" x14ac:dyDescent="0.35">
      <c r="C38" s="2396" t="s">
        <v>1353</v>
      </c>
      <c r="D38" s="2396"/>
      <c r="E38" s="2504">
        <v>420.35399999999998</v>
      </c>
      <c r="F38" s="2504"/>
      <c r="G38" s="2504">
        <v>0</v>
      </c>
      <c r="H38" s="2504"/>
      <c r="I38" s="2504"/>
      <c r="J38" s="2504"/>
      <c r="K38" s="2504">
        <v>0</v>
      </c>
      <c r="L38" s="2504"/>
      <c r="M38" s="2504"/>
      <c r="N38" s="2504"/>
      <c r="O38" s="2504">
        <v>0</v>
      </c>
      <c r="P38" s="2504"/>
      <c r="Q38" s="2504"/>
      <c r="R38" s="2504"/>
      <c r="S38" s="2504">
        <v>0</v>
      </c>
      <c r="T38" s="2504"/>
      <c r="U38" s="2504"/>
      <c r="V38" s="2504"/>
      <c r="W38" s="2504">
        <v>0</v>
      </c>
      <c r="X38" s="2504"/>
      <c r="Y38" s="2504"/>
      <c r="Z38" s="2504"/>
      <c r="AA38" s="2504"/>
      <c r="AB38" s="2504"/>
      <c r="AC38" s="4106">
        <v>0</v>
      </c>
      <c r="AD38" s="2504"/>
      <c r="AE38" s="2504"/>
      <c r="AF38" s="2504"/>
      <c r="AG38" s="2504">
        <v>0</v>
      </c>
      <c r="AH38" s="2504"/>
      <c r="AI38" s="2504"/>
      <c r="AJ38" s="2504"/>
      <c r="AK38" s="4106">
        <v>0</v>
      </c>
      <c r="AL38" s="2504"/>
      <c r="AM38" s="2504"/>
      <c r="AN38" s="2504"/>
      <c r="AO38" s="2504"/>
      <c r="AP38" s="2504"/>
      <c r="AQ38" s="2504">
        <v>0</v>
      </c>
      <c r="AR38" s="2504"/>
      <c r="AS38" s="2504"/>
      <c r="AT38" s="2504"/>
      <c r="AU38" s="2504"/>
      <c r="AV38" s="2504"/>
      <c r="AW38" s="2504"/>
      <c r="AX38" s="2504"/>
      <c r="AY38" s="2504"/>
      <c r="AZ38" s="2504"/>
      <c r="BA38" s="2504"/>
      <c r="BB38" s="2504">
        <v>363.608</v>
      </c>
      <c r="BC38" s="2504"/>
      <c r="BD38" s="2504">
        <v>0</v>
      </c>
      <c r="BE38" s="2504">
        <v>783.96199999999999</v>
      </c>
    </row>
    <row r="39" spans="3:57" ht="15" hidden="1" thickBot="1" x14ac:dyDescent="0.35">
      <c r="C39" s="2396" t="s">
        <v>1604</v>
      </c>
      <c r="D39" s="2396"/>
      <c r="E39" s="2504">
        <v>0</v>
      </c>
      <c r="F39" s="2504"/>
      <c r="G39" s="2504">
        <v>0</v>
      </c>
      <c r="H39" s="2504"/>
      <c r="I39" s="2504"/>
      <c r="J39" s="2504"/>
      <c r="K39" s="2504">
        <v>0</v>
      </c>
      <c r="L39" s="2504"/>
      <c r="M39" s="2504"/>
      <c r="N39" s="2504"/>
      <c r="O39" s="2504">
        <v>0</v>
      </c>
      <c r="P39" s="2504"/>
      <c r="Q39" s="2504"/>
      <c r="R39" s="2504"/>
      <c r="S39" s="2504">
        <v>0</v>
      </c>
      <c r="T39" s="2504"/>
      <c r="U39" s="2504"/>
      <c r="V39" s="2504"/>
      <c r="W39" s="2504">
        <v>0</v>
      </c>
      <c r="X39" s="2504"/>
      <c r="Y39" s="2504"/>
      <c r="Z39" s="2504"/>
      <c r="AA39" s="2504"/>
      <c r="AB39" s="2504"/>
      <c r="AC39" s="4106">
        <v>0</v>
      </c>
      <c r="AD39" s="2504"/>
      <c r="AE39" s="2504"/>
      <c r="AF39" s="2504"/>
      <c r="AG39" s="2504">
        <v>0</v>
      </c>
      <c r="AH39" s="2504"/>
      <c r="AI39" s="2504"/>
      <c r="AJ39" s="2504"/>
      <c r="AK39" s="4106">
        <v>0</v>
      </c>
      <c r="AL39" s="2504"/>
      <c r="AM39" s="2504"/>
      <c r="AN39" s="2504"/>
      <c r="AO39" s="2504"/>
      <c r="AP39" s="2504"/>
      <c r="AQ39" s="2504">
        <v>0</v>
      </c>
      <c r="AR39" s="2504"/>
      <c r="AS39" s="2504"/>
      <c r="AT39" s="2504"/>
      <c r="AU39" s="2504"/>
      <c r="AV39" s="2504"/>
      <c r="AW39" s="2504"/>
      <c r="AX39" s="2504"/>
      <c r="AY39" s="2504"/>
      <c r="AZ39" s="2504"/>
      <c r="BA39" s="2504"/>
      <c r="BB39" s="2504">
        <v>0</v>
      </c>
      <c r="BC39" s="2504"/>
      <c r="BD39" s="2504">
        <v>541</v>
      </c>
      <c r="BE39" s="2504">
        <v>541</v>
      </c>
    </row>
    <row r="40" spans="3:57" ht="15" hidden="1" thickBot="1" x14ac:dyDescent="0.35">
      <c r="C40" s="2396" t="s">
        <v>1605</v>
      </c>
      <c r="D40" s="2396"/>
      <c r="E40" s="2504">
        <v>0</v>
      </c>
      <c r="F40" s="2504"/>
      <c r="G40" s="2504">
        <v>0</v>
      </c>
      <c r="H40" s="2504"/>
      <c r="I40" s="2504"/>
      <c r="J40" s="2504"/>
      <c r="K40" s="2504">
        <v>0</v>
      </c>
      <c r="L40" s="2504"/>
      <c r="M40" s="2504"/>
      <c r="N40" s="2504"/>
      <c r="O40" s="2504">
        <v>0</v>
      </c>
      <c r="P40" s="2504"/>
      <c r="Q40" s="2504"/>
      <c r="R40" s="2504"/>
      <c r="S40" s="2504">
        <v>0</v>
      </c>
      <c r="T40" s="2504"/>
      <c r="U40" s="2504"/>
      <c r="V40" s="2504"/>
      <c r="W40" s="2504">
        <v>0</v>
      </c>
      <c r="X40" s="2504"/>
      <c r="Y40" s="2504"/>
      <c r="Z40" s="2504"/>
      <c r="AA40" s="2504"/>
      <c r="AB40" s="2504"/>
      <c r="AC40" s="4106">
        <v>0</v>
      </c>
      <c r="AD40" s="2504"/>
      <c r="AE40" s="2504"/>
      <c r="AF40" s="2504"/>
      <c r="AG40" s="2504">
        <v>0</v>
      </c>
      <c r="AH40" s="2504"/>
      <c r="AI40" s="2504"/>
      <c r="AJ40" s="2504"/>
      <c r="AK40" s="4106">
        <v>0</v>
      </c>
      <c r="AL40" s="2504"/>
      <c r="AM40" s="2504"/>
      <c r="AN40" s="2504"/>
      <c r="AO40" s="2504"/>
      <c r="AP40" s="2504"/>
      <c r="AQ40" s="2504">
        <v>0</v>
      </c>
      <c r="AR40" s="2504"/>
      <c r="AS40" s="2504"/>
      <c r="AT40" s="2504"/>
      <c r="AU40" s="2504"/>
      <c r="AV40" s="2504"/>
      <c r="AW40" s="2504"/>
      <c r="AX40" s="2504"/>
      <c r="AY40" s="2504"/>
      <c r="AZ40" s="2504"/>
      <c r="BA40" s="2504"/>
      <c r="BB40" s="2504">
        <v>0</v>
      </c>
      <c r="BC40" s="2504"/>
      <c r="BD40" s="2504">
        <v>264</v>
      </c>
      <c r="BE40" s="2504">
        <v>264</v>
      </c>
    </row>
    <row r="41" spans="3:57" ht="15" hidden="1" thickBot="1" x14ac:dyDescent="0.35">
      <c r="C41" s="2396" t="s">
        <v>1556</v>
      </c>
      <c r="D41" s="2396"/>
      <c r="E41" s="2504">
        <v>0</v>
      </c>
      <c r="F41" s="2504"/>
      <c r="G41" s="2504">
        <v>0</v>
      </c>
      <c r="H41" s="2504"/>
      <c r="I41" s="2504"/>
      <c r="J41" s="2504"/>
      <c r="K41" s="2504">
        <v>0</v>
      </c>
      <c r="L41" s="2504"/>
      <c r="M41" s="2504"/>
      <c r="N41" s="2504"/>
      <c r="O41" s="2504">
        <v>0</v>
      </c>
      <c r="P41" s="2504"/>
      <c r="Q41" s="2504"/>
      <c r="R41" s="2504"/>
      <c r="S41" s="2504">
        <v>0</v>
      </c>
      <c r="T41" s="2504"/>
      <c r="U41" s="2504"/>
      <c r="V41" s="2504"/>
      <c r="W41" s="2504">
        <v>0</v>
      </c>
      <c r="X41" s="2504"/>
      <c r="Y41" s="2504"/>
      <c r="Z41" s="2504"/>
      <c r="AA41" s="2504"/>
      <c r="AB41" s="2504"/>
      <c r="AC41" s="4106">
        <v>0</v>
      </c>
      <c r="AD41" s="2504"/>
      <c r="AE41" s="2504"/>
      <c r="AF41" s="2504"/>
      <c r="AG41" s="2504">
        <v>1492</v>
      </c>
      <c r="AH41" s="2504"/>
      <c r="AI41" s="2504"/>
      <c r="AJ41" s="2504"/>
      <c r="AK41" s="4106">
        <v>0</v>
      </c>
      <c r="AL41" s="2504"/>
      <c r="AM41" s="2504"/>
      <c r="AN41" s="2504"/>
      <c r="AO41" s="2504"/>
      <c r="AP41" s="2504"/>
      <c r="AQ41" s="2504">
        <v>0</v>
      </c>
      <c r="AR41" s="2504"/>
      <c r="AS41" s="2504"/>
      <c r="AT41" s="2504"/>
      <c r="AU41" s="2504"/>
      <c r="AV41" s="2504"/>
      <c r="AW41" s="2504"/>
      <c r="AX41" s="2504"/>
      <c r="AY41" s="2504"/>
      <c r="AZ41" s="2504"/>
      <c r="BA41" s="2504"/>
      <c r="BB41" s="2504">
        <v>0</v>
      </c>
      <c r="BC41" s="2504"/>
      <c r="BD41" s="2504">
        <v>0</v>
      </c>
      <c r="BE41" s="2504">
        <v>1492</v>
      </c>
    </row>
    <row r="42" spans="3:57" ht="15" hidden="1" thickBot="1" x14ac:dyDescent="0.35">
      <c r="C42" s="2396" t="s">
        <v>1354</v>
      </c>
      <c r="D42" s="2396"/>
      <c r="E42" s="2504">
        <v>1689.9079999999999</v>
      </c>
      <c r="F42" s="2504"/>
      <c r="G42" s="2504">
        <v>269.62099999999998</v>
      </c>
      <c r="H42" s="2504"/>
      <c r="I42" s="2504"/>
      <c r="J42" s="2504"/>
      <c r="K42" s="2504">
        <v>1195.249</v>
      </c>
      <c r="L42" s="2504"/>
      <c r="M42" s="2504"/>
      <c r="N42" s="2504"/>
      <c r="O42" s="2504">
        <v>3688.9300000000012</v>
      </c>
      <c r="P42" s="2504"/>
      <c r="Q42" s="2504"/>
      <c r="R42" s="2504"/>
      <c r="S42" s="2504">
        <v>1333.9340000000002</v>
      </c>
      <c r="T42" s="2504"/>
      <c r="U42" s="2504"/>
      <c r="V42" s="2504"/>
      <c r="W42" s="2504">
        <v>1067.5700000000002</v>
      </c>
      <c r="X42" s="2504"/>
      <c r="Y42" s="2504"/>
      <c r="Z42" s="2504"/>
      <c r="AA42" s="2504"/>
      <c r="AB42" s="2504"/>
      <c r="AC42" s="4106">
        <v>2101.3159999999998</v>
      </c>
      <c r="AD42" s="2504"/>
      <c r="AE42" s="2504"/>
      <c r="AF42" s="2504"/>
      <c r="AG42" s="2504">
        <v>0</v>
      </c>
      <c r="AH42" s="2504"/>
      <c r="AI42" s="2504"/>
      <c r="AJ42" s="2504"/>
      <c r="AK42" s="4106">
        <v>4697</v>
      </c>
      <c r="AL42" s="2504"/>
      <c r="AM42" s="2504"/>
      <c r="AN42" s="2504"/>
      <c r="AO42" s="2504"/>
      <c r="AP42" s="2504"/>
      <c r="AQ42" s="2504">
        <v>3232</v>
      </c>
      <c r="AR42" s="2504"/>
      <c r="AS42" s="2504"/>
      <c r="AT42" s="2504"/>
      <c r="AU42" s="2504"/>
      <c r="AV42" s="2504"/>
      <c r="AW42" s="2504"/>
      <c r="AX42" s="2504"/>
      <c r="AY42" s="2504"/>
      <c r="AZ42" s="2504"/>
      <c r="BA42" s="2504"/>
      <c r="BB42" s="2504">
        <v>4488.021999999999</v>
      </c>
      <c r="BC42" s="2504"/>
      <c r="BD42" s="2504">
        <v>2287</v>
      </c>
      <c r="BE42" s="2504">
        <v>26050.550000000003</v>
      </c>
    </row>
    <row r="43" spans="3:57" ht="15" hidden="1" thickBot="1" x14ac:dyDescent="0.35">
      <c r="C43" s="2396" t="s">
        <v>1451</v>
      </c>
      <c r="D43" s="2396"/>
      <c r="E43" s="2504">
        <v>0</v>
      </c>
      <c r="F43" s="2504"/>
      <c r="G43" s="2504">
        <v>0</v>
      </c>
      <c r="H43" s="2504"/>
      <c r="I43" s="2504"/>
      <c r="J43" s="2504"/>
      <c r="K43" s="2504">
        <v>0</v>
      </c>
      <c r="L43" s="2504"/>
      <c r="M43" s="2504"/>
      <c r="N43" s="2504"/>
      <c r="O43" s="2504">
        <v>312.87199999999996</v>
      </c>
      <c r="P43" s="2504"/>
      <c r="Q43" s="2504"/>
      <c r="R43" s="2504"/>
      <c r="S43" s="2504">
        <v>0</v>
      </c>
      <c r="T43" s="2504"/>
      <c r="U43" s="2504"/>
      <c r="V43" s="2504"/>
      <c r="W43" s="2504">
        <v>131.06800000000001</v>
      </c>
      <c r="X43" s="2504"/>
      <c r="Y43" s="2504"/>
      <c r="Z43" s="2504"/>
      <c r="AA43" s="2504"/>
      <c r="AB43" s="2504"/>
      <c r="AC43" s="4106">
        <v>989.35199999999998</v>
      </c>
      <c r="AD43" s="2504"/>
      <c r="AE43" s="2504"/>
      <c r="AF43" s="2504"/>
      <c r="AG43" s="2504">
        <v>710</v>
      </c>
      <c r="AH43" s="2504"/>
      <c r="AI43" s="2504"/>
      <c r="AJ43" s="2504"/>
      <c r="AK43" s="4106">
        <v>0</v>
      </c>
      <c r="AL43" s="2504"/>
      <c r="AM43" s="2504"/>
      <c r="AN43" s="2504"/>
      <c r="AO43" s="2504"/>
      <c r="AP43" s="2504"/>
      <c r="AQ43" s="2504">
        <v>0</v>
      </c>
      <c r="AR43" s="2504"/>
      <c r="AS43" s="2504"/>
      <c r="AT43" s="2504"/>
      <c r="AU43" s="2504"/>
      <c r="AV43" s="2504"/>
      <c r="AW43" s="2504"/>
      <c r="AX43" s="2504"/>
      <c r="AY43" s="2504"/>
      <c r="AZ43" s="2504"/>
      <c r="BA43" s="2504"/>
      <c r="BB43" s="2504">
        <v>0</v>
      </c>
      <c r="BC43" s="2504"/>
      <c r="BD43" s="2504">
        <v>0</v>
      </c>
      <c r="BE43" s="2504">
        <v>2143.2919999999999</v>
      </c>
    </row>
    <row r="44" spans="3:57" ht="15" hidden="1" thickBot="1" x14ac:dyDescent="0.35">
      <c r="C44" s="2396" t="s">
        <v>1202</v>
      </c>
      <c r="D44" s="2396"/>
      <c r="E44" s="2504">
        <v>0</v>
      </c>
      <c r="F44" s="2504"/>
      <c r="G44" s="2504">
        <v>0</v>
      </c>
      <c r="H44" s="2504"/>
      <c r="I44" s="2504"/>
      <c r="J44" s="2504"/>
      <c r="K44" s="2504">
        <v>0</v>
      </c>
      <c r="L44" s="2504"/>
      <c r="M44" s="2504"/>
      <c r="N44" s="2504"/>
      <c r="O44" s="2504">
        <v>0</v>
      </c>
      <c r="P44" s="2504"/>
      <c r="Q44" s="2504"/>
      <c r="R44" s="2504"/>
      <c r="S44" s="2504">
        <v>0</v>
      </c>
      <c r="T44" s="2504"/>
      <c r="U44" s="2504"/>
      <c r="V44" s="2504"/>
      <c r="W44" s="2504">
        <v>0</v>
      </c>
      <c r="X44" s="2504"/>
      <c r="Y44" s="2504"/>
      <c r="Z44" s="2504"/>
      <c r="AA44" s="2504"/>
      <c r="AB44" s="2504"/>
      <c r="AC44" s="4106">
        <v>1959.6780000000001</v>
      </c>
      <c r="AD44" s="2504"/>
      <c r="AE44" s="2504"/>
      <c r="AF44" s="2504"/>
      <c r="AG44" s="2504">
        <v>0</v>
      </c>
      <c r="AH44" s="2504"/>
      <c r="AI44" s="2504"/>
      <c r="AJ44" s="2504"/>
      <c r="AK44" s="4106">
        <v>397</v>
      </c>
      <c r="AL44" s="2504"/>
      <c r="AM44" s="2504"/>
      <c r="AN44" s="2504"/>
      <c r="AO44" s="2504"/>
      <c r="AP44" s="2504"/>
      <c r="AQ44" s="2504">
        <v>560</v>
      </c>
      <c r="AR44" s="2504"/>
      <c r="AS44" s="2504"/>
      <c r="AT44" s="2504"/>
      <c r="AU44" s="2504"/>
      <c r="AV44" s="2504"/>
      <c r="AW44" s="2504"/>
      <c r="AX44" s="2504"/>
      <c r="AY44" s="2504"/>
      <c r="AZ44" s="2504"/>
      <c r="BA44" s="2504"/>
      <c r="BB44" s="2504">
        <v>0</v>
      </c>
      <c r="BC44" s="2504"/>
      <c r="BD44" s="2504">
        <v>0</v>
      </c>
      <c r="BE44" s="2504">
        <v>2916.6779999999999</v>
      </c>
    </row>
    <row r="45" spans="3:57" ht="15" hidden="1" thickBot="1" x14ac:dyDescent="0.35">
      <c r="C45" s="2396" t="s">
        <v>1233</v>
      </c>
      <c r="D45" s="2396"/>
      <c r="E45" s="2504">
        <v>2562.4609999999998</v>
      </c>
      <c r="F45" s="2504"/>
      <c r="G45" s="2504">
        <v>4063.422</v>
      </c>
      <c r="H45" s="2504"/>
      <c r="I45" s="2504"/>
      <c r="J45" s="2504"/>
      <c r="K45" s="2504">
        <v>8160.811999999999</v>
      </c>
      <c r="L45" s="2504"/>
      <c r="M45" s="2504"/>
      <c r="N45" s="2504"/>
      <c r="O45" s="2504">
        <v>5310.884</v>
      </c>
      <c r="P45" s="2504"/>
      <c r="Q45" s="2504"/>
      <c r="R45" s="2504"/>
      <c r="S45" s="2504">
        <v>6625.2760000000017</v>
      </c>
      <c r="T45" s="2504"/>
      <c r="U45" s="2504"/>
      <c r="V45" s="2504"/>
      <c r="W45" s="2504">
        <v>11633.342000000001</v>
      </c>
      <c r="X45" s="2504"/>
      <c r="Y45" s="2504"/>
      <c r="Z45" s="2504"/>
      <c r="AA45" s="2504"/>
      <c r="AB45" s="2504"/>
      <c r="AC45" s="4106">
        <v>5466.8040000000001</v>
      </c>
      <c r="AD45" s="2504"/>
      <c r="AE45" s="2504"/>
      <c r="AF45" s="2504"/>
      <c r="AG45" s="2504">
        <v>2664</v>
      </c>
      <c r="AH45" s="2504"/>
      <c r="AI45" s="2504"/>
      <c r="AJ45" s="2504"/>
      <c r="AK45" s="4106">
        <v>6374</v>
      </c>
      <c r="AL45" s="2504"/>
      <c r="AM45" s="2504"/>
      <c r="AN45" s="2504"/>
      <c r="AO45" s="2504"/>
      <c r="AP45" s="2504"/>
      <c r="AQ45" s="2504">
        <v>6621</v>
      </c>
      <c r="AR45" s="2504"/>
      <c r="AS45" s="2504"/>
      <c r="AT45" s="2504"/>
      <c r="AU45" s="2504"/>
      <c r="AV45" s="2504"/>
      <c r="AW45" s="2504"/>
      <c r="AX45" s="2504"/>
      <c r="AY45" s="2504"/>
      <c r="AZ45" s="2504"/>
      <c r="BA45" s="2504"/>
      <c r="BB45" s="2504">
        <v>2811.62</v>
      </c>
      <c r="BC45" s="2504"/>
      <c r="BD45" s="2504">
        <v>10003</v>
      </c>
      <c r="BE45" s="2504">
        <v>72296.621000000014</v>
      </c>
    </row>
    <row r="46" spans="3:57" ht="15" hidden="1" thickBot="1" x14ac:dyDescent="0.35">
      <c r="C46" s="2396" t="s">
        <v>1157</v>
      </c>
      <c r="D46" s="2396"/>
      <c r="E46" s="2504">
        <v>9428.2430000000004</v>
      </c>
      <c r="F46" s="2504"/>
      <c r="G46" s="2504">
        <v>3657.9290000000001</v>
      </c>
      <c r="H46" s="2504"/>
      <c r="I46" s="2504"/>
      <c r="J46" s="2504"/>
      <c r="K46" s="2504">
        <v>5320.2379999999994</v>
      </c>
      <c r="L46" s="2504"/>
      <c r="M46" s="2504"/>
      <c r="N46" s="2504"/>
      <c r="O46" s="2504">
        <v>7259.8770000000004</v>
      </c>
      <c r="P46" s="2504"/>
      <c r="Q46" s="2504"/>
      <c r="R46" s="2504"/>
      <c r="S46" s="2504">
        <v>8713.9079999999976</v>
      </c>
      <c r="T46" s="2504"/>
      <c r="U46" s="2504"/>
      <c r="V46" s="2504"/>
      <c r="W46" s="2504">
        <v>4633.8880000000008</v>
      </c>
      <c r="X46" s="2504"/>
      <c r="Y46" s="2504"/>
      <c r="Z46" s="2504"/>
      <c r="AA46" s="2504"/>
      <c r="AB46" s="2504"/>
      <c r="AC46" s="4106">
        <v>9367.1339999999982</v>
      </c>
      <c r="AD46" s="2504"/>
      <c r="AE46" s="2504"/>
      <c r="AF46" s="2504"/>
      <c r="AG46" s="2504">
        <v>7078</v>
      </c>
      <c r="AH46" s="2504"/>
      <c r="AI46" s="2504"/>
      <c r="AJ46" s="2504"/>
      <c r="AK46" s="4106">
        <v>13468.4</v>
      </c>
      <c r="AL46" s="2504"/>
      <c r="AM46" s="2504"/>
      <c r="AN46" s="2504"/>
      <c r="AO46" s="2504"/>
      <c r="AP46" s="2504"/>
      <c r="AQ46" s="2504">
        <v>11435</v>
      </c>
      <c r="AR46" s="2504"/>
      <c r="AS46" s="2504"/>
      <c r="AT46" s="2504"/>
      <c r="AU46" s="2504"/>
      <c r="AV46" s="2504"/>
      <c r="AW46" s="2504"/>
      <c r="AX46" s="2504"/>
      <c r="AY46" s="2504"/>
      <c r="AZ46" s="2504"/>
      <c r="BA46" s="2504"/>
      <c r="BB46" s="2504">
        <v>11007.597999999994</v>
      </c>
      <c r="BC46" s="2504"/>
      <c r="BD46" s="2504">
        <v>12682</v>
      </c>
      <c r="BE46" s="2504">
        <v>104052.215</v>
      </c>
    </row>
    <row r="47" spans="3:57" ht="15" hidden="1" thickBot="1" x14ac:dyDescent="0.35">
      <c r="C47" s="2396" t="s">
        <v>1212</v>
      </c>
      <c r="D47" s="2396"/>
      <c r="E47" s="2504">
        <v>0</v>
      </c>
      <c r="F47" s="2504"/>
      <c r="G47" s="2504">
        <v>0</v>
      </c>
      <c r="H47" s="2504"/>
      <c r="I47" s="2504"/>
      <c r="J47" s="2504"/>
      <c r="K47" s="2504">
        <v>713.32800000000009</v>
      </c>
      <c r="L47" s="2504"/>
      <c r="M47" s="2504"/>
      <c r="N47" s="2504"/>
      <c r="O47" s="2504">
        <v>0</v>
      </c>
      <c r="P47" s="2504"/>
      <c r="Q47" s="2504"/>
      <c r="R47" s="2504"/>
      <c r="S47" s="2504">
        <v>0</v>
      </c>
      <c r="T47" s="2504"/>
      <c r="U47" s="2504"/>
      <c r="V47" s="2504"/>
      <c r="W47" s="2504">
        <v>0</v>
      </c>
      <c r="X47" s="2504"/>
      <c r="Y47" s="2504"/>
      <c r="Z47" s="2504"/>
      <c r="AA47" s="2504"/>
      <c r="AB47" s="2504"/>
      <c r="AC47" s="4106">
        <v>0</v>
      </c>
      <c r="AD47" s="2504"/>
      <c r="AE47" s="2504"/>
      <c r="AF47" s="2504"/>
      <c r="AG47" s="2504">
        <v>0</v>
      </c>
      <c r="AH47" s="2504"/>
      <c r="AI47" s="2504"/>
      <c r="AJ47" s="2504"/>
      <c r="AK47" s="4106">
        <v>0</v>
      </c>
      <c r="AL47" s="2504"/>
      <c r="AM47" s="2504"/>
      <c r="AN47" s="2504"/>
      <c r="AO47" s="2504"/>
      <c r="AP47" s="2504"/>
      <c r="AQ47" s="2504">
        <v>0</v>
      </c>
      <c r="AR47" s="2504"/>
      <c r="AS47" s="2504"/>
      <c r="AT47" s="2504"/>
      <c r="AU47" s="2504"/>
      <c r="AV47" s="2504"/>
      <c r="AW47" s="2504"/>
      <c r="AX47" s="2504"/>
      <c r="AY47" s="2504"/>
      <c r="AZ47" s="2504"/>
      <c r="BA47" s="2504"/>
      <c r="BB47" s="2504">
        <v>0</v>
      </c>
      <c r="BC47" s="2504"/>
      <c r="BD47" s="2504">
        <v>0</v>
      </c>
      <c r="BE47" s="2504">
        <v>713.32800000000009</v>
      </c>
    </row>
    <row r="48" spans="3:57" ht="15" hidden="1" thickBot="1" x14ac:dyDescent="0.35">
      <c r="C48" s="2396" t="s">
        <v>1158</v>
      </c>
      <c r="D48" s="2396"/>
      <c r="E48" s="2504">
        <v>600.80900000000008</v>
      </c>
      <c r="F48" s="2504"/>
      <c r="G48" s="2504">
        <v>101.904</v>
      </c>
      <c r="H48" s="2504"/>
      <c r="I48" s="2504"/>
      <c r="J48" s="2504"/>
      <c r="K48" s="2504">
        <v>0</v>
      </c>
      <c r="L48" s="2504"/>
      <c r="M48" s="2504"/>
      <c r="N48" s="2504"/>
      <c r="O48" s="2504">
        <v>0</v>
      </c>
      <c r="P48" s="2504"/>
      <c r="Q48" s="2504"/>
      <c r="R48" s="2504"/>
      <c r="S48" s="2504">
        <v>293.846</v>
      </c>
      <c r="T48" s="2504"/>
      <c r="U48" s="2504"/>
      <c r="V48" s="2504"/>
      <c r="W48" s="2504">
        <v>441.82599999999996</v>
      </c>
      <c r="X48" s="2504"/>
      <c r="Y48" s="2504"/>
      <c r="Z48" s="2504"/>
      <c r="AA48" s="2504"/>
      <c r="AB48" s="2504"/>
      <c r="AC48" s="4106">
        <v>217.74199999999999</v>
      </c>
      <c r="AD48" s="2504"/>
      <c r="AE48" s="2504"/>
      <c r="AF48" s="2504"/>
      <c r="AG48" s="2504">
        <v>2763</v>
      </c>
      <c r="AH48" s="2504"/>
      <c r="AI48" s="2504"/>
      <c r="AJ48" s="2504"/>
      <c r="AK48" s="4106">
        <v>0</v>
      </c>
      <c r="AL48" s="2504"/>
      <c r="AM48" s="2504"/>
      <c r="AN48" s="2504"/>
      <c r="AO48" s="2504"/>
      <c r="AP48" s="2504"/>
      <c r="AQ48" s="2504">
        <v>0</v>
      </c>
      <c r="AR48" s="2504"/>
      <c r="AS48" s="2504"/>
      <c r="AT48" s="2504"/>
      <c r="AU48" s="2504"/>
      <c r="AV48" s="2504"/>
      <c r="AW48" s="2504"/>
      <c r="AX48" s="2504"/>
      <c r="AY48" s="2504"/>
      <c r="AZ48" s="2504"/>
      <c r="BA48" s="2504"/>
      <c r="BB48" s="2504">
        <v>213.51400000000001</v>
      </c>
      <c r="BC48" s="2504"/>
      <c r="BD48" s="2504">
        <v>0</v>
      </c>
      <c r="BE48" s="2504">
        <v>4632.6410000000005</v>
      </c>
    </row>
    <row r="49" spans="3:57" ht="15" hidden="1" thickBot="1" x14ac:dyDescent="0.35">
      <c r="C49" s="2396" t="s">
        <v>1355</v>
      </c>
      <c r="D49" s="2396"/>
      <c r="E49" s="2504">
        <v>721.81999999999994</v>
      </c>
      <c r="F49" s="2504"/>
      <c r="G49" s="2504">
        <v>588.07100000000003</v>
      </c>
      <c r="H49" s="2504"/>
      <c r="I49" s="2504"/>
      <c r="J49" s="2504"/>
      <c r="K49" s="2504">
        <v>1180.3880000000001</v>
      </c>
      <c r="L49" s="2504"/>
      <c r="M49" s="2504"/>
      <c r="N49" s="2504"/>
      <c r="O49" s="2504">
        <v>568.66599999999994</v>
      </c>
      <c r="P49" s="2504"/>
      <c r="Q49" s="2504"/>
      <c r="R49" s="2504"/>
      <c r="S49" s="2504">
        <v>0</v>
      </c>
      <c r="T49" s="2504"/>
      <c r="U49" s="2504"/>
      <c r="V49" s="2504"/>
      <c r="W49" s="2504">
        <v>0</v>
      </c>
      <c r="X49" s="2504"/>
      <c r="Y49" s="2504"/>
      <c r="Z49" s="2504"/>
      <c r="AA49" s="2504"/>
      <c r="AB49" s="2504"/>
      <c r="AC49" s="4106">
        <v>124.726</v>
      </c>
      <c r="AD49" s="2504"/>
      <c r="AE49" s="2504"/>
      <c r="AF49" s="2504"/>
      <c r="AG49" s="2504">
        <v>0</v>
      </c>
      <c r="AH49" s="2504"/>
      <c r="AI49" s="2504"/>
      <c r="AJ49" s="2504"/>
      <c r="AK49" s="4106">
        <v>0</v>
      </c>
      <c r="AL49" s="2504"/>
      <c r="AM49" s="2504"/>
      <c r="AN49" s="2504"/>
      <c r="AO49" s="2504"/>
      <c r="AP49" s="2504"/>
      <c r="AQ49" s="2504">
        <v>0</v>
      </c>
      <c r="AR49" s="2504"/>
      <c r="AS49" s="2504"/>
      <c r="AT49" s="2504"/>
      <c r="AU49" s="2504"/>
      <c r="AV49" s="2504"/>
      <c r="AW49" s="2504"/>
      <c r="AX49" s="2504"/>
      <c r="AY49" s="2504"/>
      <c r="AZ49" s="2504"/>
      <c r="BA49" s="2504"/>
      <c r="BB49" s="2504">
        <v>566.55200000000002</v>
      </c>
      <c r="BC49" s="2504"/>
      <c r="BD49" s="2504">
        <v>0</v>
      </c>
      <c r="BE49" s="2504">
        <v>3750.2230000000009</v>
      </c>
    </row>
    <row r="50" spans="3:57" ht="15" hidden="1" thickBot="1" x14ac:dyDescent="0.35">
      <c r="C50" s="2396" t="s">
        <v>1356</v>
      </c>
      <c r="D50" s="2396"/>
      <c r="E50" s="2504">
        <v>0</v>
      </c>
      <c r="F50" s="2504"/>
      <c r="G50" s="2504">
        <v>0</v>
      </c>
      <c r="H50" s="2504"/>
      <c r="I50" s="2504"/>
      <c r="J50" s="2504"/>
      <c r="K50" s="2504">
        <v>0</v>
      </c>
      <c r="L50" s="2504"/>
      <c r="M50" s="2504"/>
      <c r="N50" s="2504"/>
      <c r="O50" s="2504">
        <v>0</v>
      </c>
      <c r="P50" s="2504"/>
      <c r="Q50" s="2504"/>
      <c r="R50" s="2504"/>
      <c r="S50" s="2504">
        <v>99.358000000000004</v>
      </c>
      <c r="T50" s="2504"/>
      <c r="U50" s="2504"/>
      <c r="V50" s="2504"/>
      <c r="W50" s="2504">
        <v>298.07399999999996</v>
      </c>
      <c r="X50" s="2504"/>
      <c r="Y50" s="2504"/>
      <c r="Z50" s="2504"/>
      <c r="AA50" s="2504"/>
      <c r="AB50" s="2504"/>
      <c r="AC50" s="4106">
        <v>0</v>
      </c>
      <c r="AD50" s="2504"/>
      <c r="AE50" s="2504"/>
      <c r="AF50" s="2504"/>
      <c r="AG50" s="2504">
        <v>0</v>
      </c>
      <c r="AH50" s="2504"/>
      <c r="AI50" s="2504"/>
      <c r="AJ50" s="2504"/>
      <c r="AK50" s="4106">
        <v>0</v>
      </c>
      <c r="AL50" s="2504"/>
      <c r="AM50" s="2504"/>
      <c r="AN50" s="2504"/>
      <c r="AO50" s="2504"/>
      <c r="AP50" s="2504"/>
      <c r="AQ50" s="2504">
        <v>0</v>
      </c>
      <c r="AR50" s="2504"/>
      <c r="AS50" s="2504"/>
      <c r="AT50" s="2504"/>
      <c r="AU50" s="2504"/>
      <c r="AV50" s="2504"/>
      <c r="AW50" s="2504"/>
      <c r="AX50" s="2504"/>
      <c r="AY50" s="2504"/>
      <c r="AZ50" s="2504"/>
      <c r="BA50" s="2504"/>
      <c r="BB50" s="2504">
        <v>120.498</v>
      </c>
      <c r="BC50" s="2504"/>
      <c r="BD50" s="2504">
        <v>0</v>
      </c>
      <c r="BE50" s="2504">
        <v>517.92999999999995</v>
      </c>
    </row>
    <row r="51" spans="3:57" ht="15" hidden="1" thickBot="1" x14ac:dyDescent="0.35">
      <c r="C51" s="2396" t="s">
        <v>1357</v>
      </c>
      <c r="D51" s="2396"/>
      <c r="E51" s="2504">
        <v>630.53099999999995</v>
      </c>
      <c r="F51" s="2504"/>
      <c r="G51" s="2504">
        <v>0</v>
      </c>
      <c r="H51" s="2504"/>
      <c r="I51" s="2504"/>
      <c r="J51" s="2504"/>
      <c r="K51" s="2504">
        <v>0</v>
      </c>
      <c r="L51" s="2504"/>
      <c r="M51" s="2504"/>
      <c r="N51" s="2504"/>
      <c r="O51" s="2504">
        <v>913.24800000000005</v>
      </c>
      <c r="P51" s="2504"/>
      <c r="Q51" s="2504"/>
      <c r="R51" s="2504"/>
      <c r="S51" s="2504">
        <v>587.69200000000012</v>
      </c>
      <c r="T51" s="2504"/>
      <c r="U51" s="2504"/>
      <c r="V51" s="2504"/>
      <c r="W51" s="2504">
        <v>1143.674</v>
      </c>
      <c r="X51" s="2504"/>
      <c r="Y51" s="2504"/>
      <c r="Z51" s="2504"/>
      <c r="AA51" s="2504"/>
      <c r="AB51" s="2504"/>
      <c r="AC51" s="4106">
        <v>0</v>
      </c>
      <c r="AD51" s="2504"/>
      <c r="AE51" s="2504"/>
      <c r="AF51" s="2504"/>
      <c r="AG51" s="2504">
        <v>127</v>
      </c>
      <c r="AH51" s="2504"/>
      <c r="AI51" s="2504"/>
      <c r="AJ51" s="2504"/>
      <c r="AK51" s="4106">
        <v>0</v>
      </c>
      <c r="AL51" s="2504"/>
      <c r="AM51" s="2504"/>
      <c r="AN51" s="2504"/>
      <c r="AO51" s="2504"/>
      <c r="AP51" s="2504"/>
      <c r="AQ51" s="2504">
        <v>0</v>
      </c>
      <c r="AR51" s="2504"/>
      <c r="AS51" s="2504"/>
      <c r="AT51" s="2504"/>
      <c r="AU51" s="2504"/>
      <c r="AV51" s="2504"/>
      <c r="AW51" s="2504"/>
      <c r="AX51" s="2504"/>
      <c r="AY51" s="2504"/>
      <c r="AZ51" s="2504"/>
      <c r="BA51" s="2504"/>
      <c r="BB51" s="2504">
        <v>255.79400000000001</v>
      </c>
      <c r="BC51" s="2504"/>
      <c r="BD51" s="2504">
        <v>345</v>
      </c>
      <c r="BE51" s="2504">
        <v>4002.9389999999999</v>
      </c>
    </row>
    <row r="52" spans="3:57" ht="15" hidden="1" thickBot="1" x14ac:dyDescent="0.35">
      <c r="C52" s="2396" t="s">
        <v>1358</v>
      </c>
      <c r="D52" s="2396"/>
      <c r="E52" s="2504">
        <v>2897.8950000000004</v>
      </c>
      <c r="F52" s="2504"/>
      <c r="G52" s="2504">
        <v>2766.2690000000007</v>
      </c>
      <c r="H52" s="2504"/>
      <c r="I52" s="2504"/>
      <c r="J52" s="2504"/>
      <c r="K52" s="2504">
        <v>3146.2860000000001</v>
      </c>
      <c r="L52" s="2504"/>
      <c r="M52" s="2504"/>
      <c r="N52" s="2504"/>
      <c r="O52" s="2504">
        <v>3143.5219999999999</v>
      </c>
      <c r="P52" s="2504"/>
      <c r="Q52" s="2504"/>
      <c r="R52" s="2504"/>
      <c r="S52" s="2504">
        <v>0</v>
      </c>
      <c r="T52" s="2504"/>
      <c r="U52" s="2504"/>
      <c r="V52" s="2504"/>
      <c r="W52" s="2504">
        <v>0</v>
      </c>
      <c r="X52" s="2504"/>
      <c r="Y52" s="2504"/>
      <c r="Z52" s="2504"/>
      <c r="AA52" s="2504"/>
      <c r="AB52" s="2504"/>
      <c r="AC52" s="4106">
        <v>1268.4000000000001</v>
      </c>
      <c r="AD52" s="2504"/>
      <c r="AE52" s="2504"/>
      <c r="AF52" s="2504"/>
      <c r="AG52" s="2504">
        <v>1222</v>
      </c>
      <c r="AH52" s="2504"/>
      <c r="AI52" s="2504"/>
      <c r="AJ52" s="2504"/>
      <c r="AK52" s="4106">
        <v>0</v>
      </c>
      <c r="AL52" s="2504"/>
      <c r="AM52" s="2504"/>
      <c r="AN52" s="2504"/>
      <c r="AO52" s="2504"/>
      <c r="AP52" s="2504"/>
      <c r="AQ52" s="2504">
        <v>871</v>
      </c>
      <c r="AR52" s="2504"/>
      <c r="AS52" s="2504"/>
      <c r="AT52" s="2504"/>
      <c r="AU52" s="2504"/>
      <c r="AV52" s="2504"/>
      <c r="AW52" s="2504"/>
      <c r="AX52" s="2504"/>
      <c r="AY52" s="2504"/>
      <c r="AZ52" s="2504"/>
      <c r="BA52" s="2504"/>
      <c r="BB52" s="2504">
        <v>536.95600000000002</v>
      </c>
      <c r="BC52" s="2504"/>
      <c r="BD52" s="2504">
        <v>0</v>
      </c>
      <c r="BE52" s="2504">
        <v>15852.328000000001</v>
      </c>
    </row>
    <row r="53" spans="3:57" ht="15" hidden="1" thickBot="1" x14ac:dyDescent="0.35">
      <c r="C53" s="2396" t="s">
        <v>1359</v>
      </c>
      <c r="D53" s="2396"/>
      <c r="E53" s="2504">
        <v>3662.1749999999997</v>
      </c>
      <c r="F53" s="2504"/>
      <c r="G53" s="2504">
        <v>10029.052</v>
      </c>
      <c r="H53" s="2504"/>
      <c r="I53" s="2504"/>
      <c r="J53" s="2504"/>
      <c r="K53" s="2504">
        <v>3953.0259999999998</v>
      </c>
      <c r="L53" s="2504"/>
      <c r="M53" s="2504"/>
      <c r="N53" s="2504"/>
      <c r="O53" s="2504">
        <v>2753.7340000000008</v>
      </c>
      <c r="P53" s="2504"/>
      <c r="Q53" s="2504"/>
      <c r="R53" s="2504"/>
      <c r="S53" s="2504">
        <v>6862.0440000000008</v>
      </c>
      <c r="T53" s="2504"/>
      <c r="U53" s="2504"/>
      <c r="V53" s="2504"/>
      <c r="W53" s="2504">
        <v>2955.3719999999998</v>
      </c>
      <c r="X53" s="2504"/>
      <c r="Y53" s="2504"/>
      <c r="Z53" s="2504"/>
      <c r="AA53" s="2504"/>
      <c r="AB53" s="2504"/>
      <c r="AC53" s="4106">
        <v>2782.0240000000003</v>
      </c>
      <c r="AD53" s="2504"/>
      <c r="AE53" s="2504"/>
      <c r="AF53" s="2504"/>
      <c r="AG53" s="2504">
        <v>4401</v>
      </c>
      <c r="AH53" s="2504"/>
      <c r="AI53" s="2504"/>
      <c r="AJ53" s="2504"/>
      <c r="AK53" s="4106">
        <v>8596.4</v>
      </c>
      <c r="AL53" s="2504"/>
      <c r="AM53" s="2504"/>
      <c r="AN53" s="2504"/>
      <c r="AO53" s="2504"/>
      <c r="AP53" s="2504"/>
      <c r="AQ53" s="2504">
        <v>4232</v>
      </c>
      <c r="AR53" s="2504"/>
      <c r="AS53" s="2504"/>
      <c r="AT53" s="2504"/>
      <c r="AU53" s="2504"/>
      <c r="AV53" s="2504"/>
      <c r="AW53" s="2504"/>
      <c r="AX53" s="2504"/>
      <c r="AY53" s="2504"/>
      <c r="AZ53" s="2504"/>
      <c r="BA53" s="2504"/>
      <c r="BB53" s="2504">
        <v>2638.2720000000004</v>
      </c>
      <c r="BC53" s="2504"/>
      <c r="BD53" s="2504">
        <v>4040</v>
      </c>
      <c r="BE53" s="2504">
        <v>56905.098999999995</v>
      </c>
    </row>
    <row r="54" spans="3:57" ht="15" hidden="1" thickBot="1" x14ac:dyDescent="0.35">
      <c r="C54" s="2396" t="s">
        <v>1360</v>
      </c>
      <c r="D54" s="2396"/>
      <c r="E54" s="2504">
        <v>1494.5920000000001</v>
      </c>
      <c r="F54" s="2504"/>
      <c r="G54" s="2504">
        <v>0</v>
      </c>
      <c r="H54" s="2504"/>
      <c r="I54" s="2504"/>
      <c r="J54" s="2504"/>
      <c r="K54" s="2504">
        <v>0</v>
      </c>
      <c r="L54" s="2504"/>
      <c r="M54" s="2504"/>
      <c r="N54" s="2504"/>
      <c r="O54" s="2504">
        <v>0</v>
      </c>
      <c r="P54" s="2504"/>
      <c r="Q54" s="2504"/>
      <c r="R54" s="2504"/>
      <c r="S54" s="2504">
        <v>0</v>
      </c>
      <c r="T54" s="2504"/>
      <c r="U54" s="2504"/>
      <c r="V54" s="2504"/>
      <c r="W54" s="2504">
        <v>0</v>
      </c>
      <c r="X54" s="2504"/>
      <c r="Y54" s="2504"/>
      <c r="Z54" s="2504"/>
      <c r="AA54" s="2504"/>
      <c r="AB54" s="2504"/>
      <c r="AC54" s="4106">
        <v>0</v>
      </c>
      <c r="AD54" s="2504"/>
      <c r="AE54" s="2504"/>
      <c r="AF54" s="2504"/>
      <c r="AG54" s="2504">
        <v>693</v>
      </c>
      <c r="AH54" s="2504"/>
      <c r="AI54" s="2504"/>
      <c r="AJ54" s="2504"/>
      <c r="AK54" s="4106">
        <v>3097</v>
      </c>
      <c r="AL54" s="2504"/>
      <c r="AM54" s="2504"/>
      <c r="AN54" s="2504"/>
      <c r="AO54" s="2504"/>
      <c r="AP54" s="2504"/>
      <c r="AQ54" s="2504">
        <v>581</v>
      </c>
      <c r="AR54" s="2504"/>
      <c r="AS54" s="2504"/>
      <c r="AT54" s="2504"/>
      <c r="AU54" s="2504"/>
      <c r="AV54" s="2504"/>
      <c r="AW54" s="2504"/>
      <c r="AX54" s="2504"/>
      <c r="AY54" s="2504"/>
      <c r="AZ54" s="2504"/>
      <c r="BA54" s="2504"/>
      <c r="BB54" s="2504">
        <v>731.44400000000007</v>
      </c>
      <c r="BC54" s="2504"/>
      <c r="BD54" s="2504">
        <v>0</v>
      </c>
      <c r="BE54" s="2504">
        <v>6597.036000000001</v>
      </c>
    </row>
    <row r="55" spans="3:57" ht="15" hidden="1" thickBot="1" x14ac:dyDescent="0.35">
      <c r="C55" s="2396" t="s">
        <v>1339</v>
      </c>
      <c r="D55" s="2396"/>
      <c r="E55" s="2504">
        <v>13151.984999999999</v>
      </c>
      <c r="F55" s="2504"/>
      <c r="G55" s="2504">
        <v>15759.029</v>
      </c>
      <c r="H55" s="2504"/>
      <c r="I55" s="2504"/>
      <c r="J55" s="2504"/>
      <c r="K55" s="2504">
        <v>9969.608000000002</v>
      </c>
      <c r="L55" s="2504"/>
      <c r="M55" s="2504"/>
      <c r="N55" s="2504"/>
      <c r="O55" s="2504">
        <v>13321.243000000002</v>
      </c>
      <c r="P55" s="2504"/>
      <c r="Q55" s="2504"/>
      <c r="R55" s="2504"/>
      <c r="S55" s="2504">
        <v>6217.2740000000013</v>
      </c>
      <c r="T55" s="2504"/>
      <c r="U55" s="2504"/>
      <c r="V55" s="2504"/>
      <c r="W55" s="2504">
        <v>4249.1400000000003</v>
      </c>
      <c r="X55" s="2504"/>
      <c r="Y55" s="2504"/>
      <c r="Z55" s="2504"/>
      <c r="AA55" s="2504"/>
      <c r="AB55" s="2504"/>
      <c r="AC55" s="4106">
        <v>11221.111999999997</v>
      </c>
      <c r="AD55" s="2504"/>
      <c r="AE55" s="2504"/>
      <c r="AF55" s="2504"/>
      <c r="AG55" s="2504">
        <v>9972</v>
      </c>
      <c r="AH55" s="2504"/>
      <c r="AI55" s="2504"/>
      <c r="AJ55" s="2504"/>
      <c r="AK55" s="4106">
        <v>9069</v>
      </c>
      <c r="AL55" s="2504"/>
      <c r="AM55" s="2504"/>
      <c r="AN55" s="2504"/>
      <c r="AO55" s="2504"/>
      <c r="AP55" s="2504"/>
      <c r="AQ55" s="2504">
        <v>5758</v>
      </c>
      <c r="AR55" s="2504"/>
      <c r="AS55" s="2504"/>
      <c r="AT55" s="2504"/>
      <c r="AU55" s="2504"/>
      <c r="AV55" s="2504"/>
      <c r="AW55" s="2504"/>
      <c r="AX55" s="2504"/>
      <c r="AY55" s="2504"/>
      <c r="AZ55" s="2504"/>
      <c r="BA55" s="2504"/>
      <c r="BB55" s="2504">
        <v>8713.1600000000017</v>
      </c>
      <c r="BC55" s="2504"/>
      <c r="BD55" s="2504">
        <v>3457</v>
      </c>
      <c r="BE55" s="2504">
        <v>110858.55100000001</v>
      </c>
    </row>
    <row r="56" spans="3:57" ht="15" hidden="1" thickBot="1" x14ac:dyDescent="0.35">
      <c r="C56" s="2396" t="s">
        <v>1159</v>
      </c>
      <c r="D56" s="2396"/>
      <c r="E56" s="2504">
        <v>4895.6380000000008</v>
      </c>
      <c r="F56" s="2504"/>
      <c r="G56" s="2504">
        <v>4526.2360000000008</v>
      </c>
      <c r="H56" s="2504"/>
      <c r="I56" s="2504"/>
      <c r="J56" s="2504"/>
      <c r="K56" s="2504">
        <v>9409.1360000000004</v>
      </c>
      <c r="L56" s="2504"/>
      <c r="M56" s="2504"/>
      <c r="N56" s="2504"/>
      <c r="O56" s="2504">
        <v>4096.9070000000011</v>
      </c>
      <c r="P56" s="2504"/>
      <c r="Q56" s="2504"/>
      <c r="R56" s="2504"/>
      <c r="S56" s="2504">
        <v>6938.1479999999992</v>
      </c>
      <c r="T56" s="2504"/>
      <c r="U56" s="2504"/>
      <c r="V56" s="2504"/>
      <c r="W56" s="2504">
        <v>9345.9940000000024</v>
      </c>
      <c r="X56" s="2504"/>
      <c r="Y56" s="2504"/>
      <c r="Z56" s="2504"/>
      <c r="AA56" s="2504"/>
      <c r="AB56" s="2504"/>
      <c r="AC56" s="4106">
        <v>11536.097999999998</v>
      </c>
      <c r="AD56" s="2504"/>
      <c r="AE56" s="2504"/>
      <c r="AF56" s="2504"/>
      <c r="AG56" s="2504">
        <v>4427</v>
      </c>
      <c r="AH56" s="2504"/>
      <c r="AI56" s="2504"/>
      <c r="AJ56" s="2504"/>
      <c r="AK56" s="4106">
        <v>2714</v>
      </c>
      <c r="AL56" s="2504"/>
      <c r="AM56" s="2504"/>
      <c r="AN56" s="2504"/>
      <c r="AO56" s="2504"/>
      <c r="AP56" s="2504"/>
      <c r="AQ56" s="2504">
        <v>2448</v>
      </c>
      <c r="AR56" s="2504"/>
      <c r="AS56" s="2504"/>
      <c r="AT56" s="2504"/>
      <c r="AU56" s="2504"/>
      <c r="AV56" s="2504"/>
      <c r="AW56" s="2504"/>
      <c r="AX56" s="2504"/>
      <c r="AY56" s="2504"/>
      <c r="AZ56" s="2504"/>
      <c r="BA56" s="2504"/>
      <c r="BB56" s="2504">
        <v>9931.5719999999965</v>
      </c>
      <c r="BC56" s="2504"/>
      <c r="BD56" s="2504">
        <v>6135</v>
      </c>
      <c r="BE56" s="2504">
        <v>76403.729000000007</v>
      </c>
    </row>
    <row r="57" spans="3:57" ht="15" hidden="1" thickBot="1" x14ac:dyDescent="0.35">
      <c r="C57" s="2396" t="s">
        <v>1160</v>
      </c>
      <c r="D57" s="2396"/>
      <c r="E57" s="2504">
        <v>74606.466</v>
      </c>
      <c r="F57" s="2504"/>
      <c r="G57" s="2504">
        <v>62184.792999999976</v>
      </c>
      <c r="H57" s="2504"/>
      <c r="I57" s="2504"/>
      <c r="J57" s="2504"/>
      <c r="K57" s="2504">
        <v>57066.240000000085</v>
      </c>
      <c r="L57" s="2504"/>
      <c r="M57" s="2504"/>
      <c r="N57" s="2504"/>
      <c r="O57" s="2504">
        <v>81044.896000000022</v>
      </c>
      <c r="P57" s="2504"/>
      <c r="Q57" s="2504"/>
      <c r="R57" s="2504"/>
      <c r="S57" s="2504">
        <v>79862.691999999952</v>
      </c>
      <c r="T57" s="2504"/>
      <c r="U57" s="2504"/>
      <c r="V57" s="2504"/>
      <c r="W57" s="2504">
        <v>73550.288000000059</v>
      </c>
      <c r="X57" s="2504"/>
      <c r="Y57" s="2504"/>
      <c r="Z57" s="2504"/>
      <c r="AA57" s="2504"/>
      <c r="AB57" s="2504"/>
      <c r="AC57" s="4106">
        <v>66265.444000000032</v>
      </c>
      <c r="AD57" s="2504"/>
      <c r="AE57" s="2504"/>
      <c r="AF57" s="2504"/>
      <c r="AG57" s="2504">
        <v>60441</v>
      </c>
      <c r="AH57" s="2504"/>
      <c r="AI57" s="2504"/>
      <c r="AJ57" s="2504"/>
      <c r="AK57" s="4106">
        <v>65319.4</v>
      </c>
      <c r="AL57" s="2504"/>
      <c r="AM57" s="2504"/>
      <c r="AN57" s="2504"/>
      <c r="AO57" s="2504"/>
      <c r="AP57" s="2504"/>
      <c r="AQ57" s="2504">
        <v>73720</v>
      </c>
      <c r="AR57" s="2504"/>
      <c r="AS57" s="2504"/>
      <c r="AT57" s="2504"/>
      <c r="AU57" s="2504"/>
      <c r="AV57" s="2504"/>
      <c r="AW57" s="2504"/>
      <c r="AX57" s="2504"/>
      <c r="AY57" s="2504"/>
      <c r="AZ57" s="2504"/>
      <c r="BA57" s="2504"/>
      <c r="BB57" s="2504">
        <v>74292.301999999981</v>
      </c>
      <c r="BC57" s="2504"/>
      <c r="BD57" s="2504">
        <v>76611</v>
      </c>
      <c r="BE57" s="2504">
        <v>844964.52100000018</v>
      </c>
    </row>
    <row r="58" spans="3:57" ht="15" hidden="1" thickBot="1" x14ac:dyDescent="0.35">
      <c r="C58" s="2396" t="s">
        <v>1473</v>
      </c>
      <c r="D58" s="2396"/>
      <c r="E58" s="2504">
        <v>0</v>
      </c>
      <c r="F58" s="2504"/>
      <c r="G58" s="2504">
        <v>0</v>
      </c>
      <c r="H58" s="2504"/>
      <c r="I58" s="2504"/>
      <c r="J58" s="2504"/>
      <c r="K58" s="2504">
        <v>0</v>
      </c>
      <c r="L58" s="2504"/>
      <c r="M58" s="2504"/>
      <c r="N58" s="2504"/>
      <c r="O58" s="2504">
        <v>0</v>
      </c>
      <c r="P58" s="2504"/>
      <c r="Q58" s="2504"/>
      <c r="R58" s="2504"/>
      <c r="S58" s="2504">
        <v>1519.9659999999999</v>
      </c>
      <c r="T58" s="2504"/>
      <c r="U58" s="2504"/>
      <c r="V58" s="2504"/>
      <c r="W58" s="2504">
        <v>1329.7059999999999</v>
      </c>
      <c r="X58" s="2504"/>
      <c r="Y58" s="2504"/>
      <c r="Z58" s="2504"/>
      <c r="AA58" s="2504"/>
      <c r="AB58" s="2504"/>
      <c r="AC58" s="4106">
        <v>0</v>
      </c>
      <c r="AD58" s="2504"/>
      <c r="AE58" s="2504"/>
      <c r="AF58" s="2504"/>
      <c r="AG58" s="2504"/>
      <c r="AH58" s="2504"/>
      <c r="AI58" s="2504"/>
      <c r="AJ58" s="2504"/>
      <c r="AK58" s="4106">
        <v>0</v>
      </c>
      <c r="AL58" s="2504"/>
      <c r="AM58" s="2504"/>
      <c r="AN58" s="2504"/>
      <c r="AO58" s="2504"/>
      <c r="AP58" s="2504"/>
      <c r="AQ58" s="2504">
        <v>0</v>
      </c>
      <c r="AR58" s="2504"/>
      <c r="AS58" s="2504"/>
      <c r="AT58" s="2504"/>
      <c r="AU58" s="2504"/>
      <c r="AV58" s="2504"/>
      <c r="AW58" s="2504"/>
      <c r="AX58" s="2504"/>
      <c r="AY58" s="2504"/>
      <c r="AZ58" s="2504"/>
      <c r="BA58" s="2504"/>
      <c r="BB58" s="2504">
        <v>0</v>
      </c>
      <c r="BC58" s="2504"/>
      <c r="BD58" s="2504">
        <v>0</v>
      </c>
      <c r="BE58" s="2504">
        <v>2849.6719999999996</v>
      </c>
    </row>
    <row r="59" spans="3:57" ht="15" hidden="1" thickBot="1" x14ac:dyDescent="0.35">
      <c r="C59" s="2396" t="s">
        <v>1392</v>
      </c>
      <c r="D59" s="2396"/>
      <c r="E59" s="2504">
        <v>0</v>
      </c>
      <c r="F59" s="2504"/>
      <c r="G59" s="2504">
        <v>0</v>
      </c>
      <c r="H59" s="2504"/>
      <c r="I59" s="2504"/>
      <c r="J59" s="2504"/>
      <c r="K59" s="2504">
        <v>267.49799999999999</v>
      </c>
      <c r="L59" s="2504"/>
      <c r="M59" s="2504"/>
      <c r="N59" s="2504"/>
      <c r="O59" s="2504">
        <v>1533.847</v>
      </c>
      <c r="P59" s="2504"/>
      <c r="Q59" s="2504"/>
      <c r="R59" s="2504"/>
      <c r="S59" s="2504">
        <v>1179.6119999999999</v>
      </c>
      <c r="T59" s="2504"/>
      <c r="U59" s="2504"/>
      <c r="V59" s="2504"/>
      <c r="W59" s="2504">
        <v>1327.5919999999996</v>
      </c>
      <c r="X59" s="2504"/>
      <c r="Y59" s="2504"/>
      <c r="Z59" s="2504"/>
      <c r="AA59" s="2504"/>
      <c r="AB59" s="2504"/>
      <c r="AC59" s="4106">
        <v>1773.646</v>
      </c>
      <c r="AD59" s="2504"/>
      <c r="AE59" s="2504"/>
      <c r="AF59" s="2504"/>
      <c r="AG59" s="2504">
        <v>1753</v>
      </c>
      <c r="AH59" s="2504"/>
      <c r="AI59" s="2504"/>
      <c r="AJ59" s="2504"/>
      <c r="AK59" s="4106">
        <v>744.3</v>
      </c>
      <c r="AL59" s="2504"/>
      <c r="AM59" s="2504"/>
      <c r="AN59" s="2504"/>
      <c r="AO59" s="2504"/>
      <c r="AP59" s="2504"/>
      <c r="AQ59" s="2504">
        <v>879</v>
      </c>
      <c r="AR59" s="2504"/>
      <c r="AS59" s="2504"/>
      <c r="AT59" s="2504"/>
      <c r="AU59" s="2504"/>
      <c r="AV59" s="2504"/>
      <c r="AW59" s="2504"/>
      <c r="AX59" s="2504"/>
      <c r="AY59" s="2504"/>
      <c r="AZ59" s="2504"/>
      <c r="BA59" s="2504"/>
      <c r="BB59" s="2504">
        <v>1902.6000000000004</v>
      </c>
      <c r="BC59" s="2504"/>
      <c r="BD59" s="2504">
        <v>0</v>
      </c>
      <c r="BE59" s="2504">
        <v>11361.094999999999</v>
      </c>
    </row>
    <row r="60" spans="3:57" ht="15" hidden="1" thickBot="1" x14ac:dyDescent="0.35">
      <c r="C60" s="2396" t="s">
        <v>1452</v>
      </c>
      <c r="D60" s="2396"/>
      <c r="E60" s="2504">
        <v>0</v>
      </c>
      <c r="F60" s="2504"/>
      <c r="G60" s="2504">
        <v>0</v>
      </c>
      <c r="H60" s="2504"/>
      <c r="I60" s="2504"/>
      <c r="J60" s="2504"/>
      <c r="K60" s="2504">
        <v>0</v>
      </c>
      <c r="L60" s="2504"/>
      <c r="M60" s="2504"/>
      <c r="N60" s="2504"/>
      <c r="O60" s="2504">
        <v>412.22999999999996</v>
      </c>
      <c r="P60" s="2504"/>
      <c r="Q60" s="2504"/>
      <c r="R60" s="2504"/>
      <c r="S60" s="2504">
        <v>0</v>
      </c>
      <c r="T60" s="2504"/>
      <c r="U60" s="2504"/>
      <c r="V60" s="2504"/>
      <c r="W60" s="2504">
        <v>0</v>
      </c>
      <c r="X60" s="2504"/>
      <c r="Y60" s="2504"/>
      <c r="Z60" s="2504"/>
      <c r="AA60" s="2504"/>
      <c r="AB60" s="2504"/>
      <c r="AC60" s="4106">
        <v>0</v>
      </c>
      <c r="AD60" s="2504"/>
      <c r="AE60" s="2504"/>
      <c r="AF60" s="2504"/>
      <c r="AG60" s="2504">
        <v>0</v>
      </c>
      <c r="AH60" s="2504"/>
      <c r="AI60" s="2504"/>
      <c r="AJ60" s="2504"/>
      <c r="AK60" s="4106">
        <v>0</v>
      </c>
      <c r="AL60" s="2504"/>
      <c r="AM60" s="2504"/>
      <c r="AN60" s="2504"/>
      <c r="AO60" s="2504"/>
      <c r="AP60" s="2504"/>
      <c r="AQ60" s="2504">
        <v>0</v>
      </c>
      <c r="AR60" s="2504"/>
      <c r="AS60" s="2504"/>
      <c r="AT60" s="2504"/>
      <c r="AU60" s="2504"/>
      <c r="AV60" s="2504"/>
      <c r="AW60" s="2504"/>
      <c r="AX60" s="2504"/>
      <c r="AY60" s="2504"/>
      <c r="AZ60" s="2504"/>
      <c r="BA60" s="2504"/>
      <c r="BB60" s="2504">
        <v>0</v>
      </c>
      <c r="BC60" s="2504"/>
      <c r="BD60" s="2504">
        <v>0</v>
      </c>
      <c r="BE60" s="2504">
        <v>412.22999999999996</v>
      </c>
    </row>
    <row r="61" spans="3:57" ht="15" hidden="1" thickBot="1" x14ac:dyDescent="0.35">
      <c r="C61" s="2396" t="s">
        <v>1450</v>
      </c>
      <c r="D61" s="2396"/>
      <c r="E61" s="2504">
        <v>0</v>
      </c>
      <c r="F61" s="2504"/>
      <c r="G61" s="2504">
        <v>0</v>
      </c>
      <c r="H61" s="2504"/>
      <c r="I61" s="2504"/>
      <c r="J61" s="2504"/>
      <c r="K61" s="2504">
        <v>0</v>
      </c>
      <c r="L61" s="2504"/>
      <c r="M61" s="2504"/>
      <c r="N61" s="2504"/>
      <c r="O61" s="2504">
        <v>309.95799999999997</v>
      </c>
      <c r="P61" s="2504"/>
      <c r="Q61" s="2504"/>
      <c r="R61" s="2504"/>
      <c r="S61" s="2504">
        <v>302.30200000000002</v>
      </c>
      <c r="T61" s="2504"/>
      <c r="U61" s="2504"/>
      <c r="V61" s="2504"/>
      <c r="W61" s="2504">
        <v>0</v>
      </c>
      <c r="X61" s="2504"/>
      <c r="Y61" s="2504"/>
      <c r="Z61" s="2504"/>
      <c r="AA61" s="2504"/>
      <c r="AB61" s="2504"/>
      <c r="AC61" s="4106">
        <v>0</v>
      </c>
      <c r="AD61" s="2504"/>
      <c r="AE61" s="2504"/>
      <c r="AF61" s="2504"/>
      <c r="AG61" s="2504">
        <v>0</v>
      </c>
      <c r="AH61" s="2504"/>
      <c r="AI61" s="2504"/>
      <c r="AJ61" s="2504"/>
      <c r="AK61" s="4106">
        <v>0</v>
      </c>
      <c r="AL61" s="2504"/>
      <c r="AM61" s="2504"/>
      <c r="AN61" s="2504"/>
      <c r="AO61" s="2504"/>
      <c r="AP61" s="2504"/>
      <c r="AQ61" s="2504">
        <v>0</v>
      </c>
      <c r="AR61" s="2504"/>
      <c r="AS61" s="2504"/>
      <c r="AT61" s="2504"/>
      <c r="AU61" s="2504"/>
      <c r="AV61" s="2504"/>
      <c r="AW61" s="2504"/>
      <c r="AX61" s="2504"/>
      <c r="AY61" s="2504"/>
      <c r="AZ61" s="2504"/>
      <c r="BA61" s="2504"/>
      <c r="BB61" s="2504">
        <v>0</v>
      </c>
      <c r="BC61" s="2504"/>
      <c r="BD61" s="2504">
        <v>0</v>
      </c>
      <c r="BE61" s="2504">
        <v>612.26</v>
      </c>
    </row>
    <row r="62" spans="3:57" ht="15" hidden="1" thickBot="1" x14ac:dyDescent="0.35">
      <c r="C62" s="2396" t="s">
        <v>1161</v>
      </c>
      <c r="D62" s="2396"/>
      <c r="E62" s="2504">
        <v>2511.5090000000014</v>
      </c>
      <c r="F62" s="2504"/>
      <c r="G62" s="2504">
        <v>978.90300000000002</v>
      </c>
      <c r="H62" s="2504"/>
      <c r="I62" s="2504"/>
      <c r="J62" s="2504"/>
      <c r="K62" s="2504">
        <v>2725.9320000000007</v>
      </c>
      <c r="L62" s="2504"/>
      <c r="M62" s="2504"/>
      <c r="N62" s="2504"/>
      <c r="O62" s="2504">
        <v>2674.2389999999996</v>
      </c>
      <c r="P62" s="2504"/>
      <c r="Q62" s="2504"/>
      <c r="R62" s="2504"/>
      <c r="S62" s="2504">
        <v>1684.8579999999997</v>
      </c>
      <c r="T62" s="2504"/>
      <c r="U62" s="2504"/>
      <c r="V62" s="2504"/>
      <c r="W62" s="2504">
        <v>1492.4840000000002</v>
      </c>
      <c r="X62" s="2504"/>
      <c r="Y62" s="2504"/>
      <c r="Z62" s="2504"/>
      <c r="AA62" s="2504"/>
      <c r="AB62" s="2504"/>
      <c r="AC62" s="4106">
        <v>1291.6540000000005</v>
      </c>
      <c r="AD62" s="2504"/>
      <c r="AE62" s="2504"/>
      <c r="AF62" s="2504"/>
      <c r="AG62" s="2504">
        <v>2182</v>
      </c>
      <c r="AH62" s="2504"/>
      <c r="AI62" s="2504"/>
      <c r="AJ62" s="2504"/>
      <c r="AK62" s="4106">
        <v>2429</v>
      </c>
      <c r="AL62" s="2504"/>
      <c r="AM62" s="2504"/>
      <c r="AN62" s="2504"/>
      <c r="AO62" s="2504"/>
      <c r="AP62" s="2504"/>
      <c r="AQ62" s="2504">
        <v>2216</v>
      </c>
      <c r="AR62" s="2504"/>
      <c r="AS62" s="2504"/>
      <c r="AT62" s="2504"/>
      <c r="AU62" s="2504"/>
      <c r="AV62" s="2504"/>
      <c r="AW62" s="2504"/>
      <c r="AX62" s="2504"/>
      <c r="AY62" s="2504"/>
      <c r="AZ62" s="2504"/>
      <c r="BA62" s="2504"/>
      <c r="BB62" s="2504">
        <v>2449.6199999999994</v>
      </c>
      <c r="BC62" s="2504"/>
      <c r="BD62" s="2504">
        <v>1717</v>
      </c>
      <c r="BE62" s="2504">
        <v>24353.199000000004</v>
      </c>
    </row>
    <row r="63" spans="3:57" ht="15" hidden="1" thickBot="1" x14ac:dyDescent="0.35">
      <c r="C63" s="2396" t="s">
        <v>1162</v>
      </c>
      <c r="D63" s="2396"/>
      <c r="E63" s="2504">
        <v>1053.008</v>
      </c>
      <c r="F63" s="2504"/>
      <c r="G63" s="2504">
        <v>0</v>
      </c>
      <c r="H63" s="2504"/>
      <c r="I63" s="2504"/>
      <c r="J63" s="2504"/>
      <c r="K63" s="2504">
        <v>827.97</v>
      </c>
      <c r="L63" s="2504"/>
      <c r="M63" s="2504"/>
      <c r="N63" s="2504"/>
      <c r="O63" s="2504">
        <v>178.33199999999999</v>
      </c>
      <c r="P63" s="2504"/>
      <c r="Q63" s="2504"/>
      <c r="R63" s="2504"/>
      <c r="S63" s="2504">
        <v>0</v>
      </c>
      <c r="T63" s="2504"/>
      <c r="U63" s="2504"/>
      <c r="V63" s="2504"/>
      <c r="W63" s="2504">
        <v>181.804</v>
      </c>
      <c r="X63" s="2504"/>
      <c r="Y63" s="2504"/>
      <c r="Z63" s="2504"/>
      <c r="AA63" s="2504"/>
      <c r="AB63" s="2504"/>
      <c r="AC63" s="4106">
        <v>338.24</v>
      </c>
      <c r="AD63" s="2504"/>
      <c r="AE63" s="2504"/>
      <c r="AF63" s="2504"/>
      <c r="AG63" s="2504">
        <v>340</v>
      </c>
      <c r="AH63" s="2504"/>
      <c r="AI63" s="2504"/>
      <c r="AJ63" s="2504"/>
      <c r="AK63" s="4106">
        <v>0</v>
      </c>
      <c r="AL63" s="2504"/>
      <c r="AM63" s="2504"/>
      <c r="AN63" s="2504"/>
      <c r="AO63" s="2504"/>
      <c r="AP63" s="2504"/>
      <c r="AQ63" s="2504">
        <v>1214</v>
      </c>
      <c r="AR63" s="2504"/>
      <c r="AS63" s="2504"/>
      <c r="AT63" s="2504"/>
      <c r="AU63" s="2504"/>
      <c r="AV63" s="2504"/>
      <c r="AW63" s="2504"/>
      <c r="AX63" s="2504"/>
      <c r="AY63" s="2504"/>
      <c r="AZ63" s="2504"/>
      <c r="BA63" s="2504"/>
      <c r="BB63" s="2504">
        <v>661.6819999999999</v>
      </c>
      <c r="BC63" s="2504"/>
      <c r="BD63" s="2504">
        <v>178</v>
      </c>
      <c r="BE63" s="2504">
        <v>4973.0360000000001</v>
      </c>
    </row>
    <row r="64" spans="3:57" ht="15" hidden="1" thickBot="1" x14ac:dyDescent="0.35">
      <c r="C64" s="2396" t="s">
        <v>1658</v>
      </c>
      <c r="D64" s="2396"/>
      <c r="E64" s="2504">
        <v>1659.586</v>
      </c>
      <c r="F64" s="2504"/>
      <c r="G64" s="2504">
        <v>694.22099999999978</v>
      </c>
      <c r="H64" s="2504"/>
      <c r="I64" s="2504"/>
      <c r="J64" s="2504"/>
      <c r="K64" s="2504">
        <v>1278.0460000000005</v>
      </c>
      <c r="L64" s="2504"/>
      <c r="M64" s="2504"/>
      <c r="N64" s="2504"/>
      <c r="O64" s="2504">
        <v>1695.4650000000004</v>
      </c>
      <c r="P64" s="2504"/>
      <c r="Q64" s="2504"/>
      <c r="R64" s="2504"/>
      <c r="S64" s="2504">
        <v>1471.3440000000005</v>
      </c>
      <c r="T64" s="2504"/>
      <c r="U64" s="2504"/>
      <c r="V64" s="2504"/>
      <c r="W64" s="2504">
        <v>1340.2760000000007</v>
      </c>
      <c r="X64" s="2504"/>
      <c r="Y64" s="2504"/>
      <c r="Z64" s="2504"/>
      <c r="AA64" s="2504"/>
      <c r="AB64" s="2504"/>
      <c r="AC64" s="4106">
        <v>1555.9040000000009</v>
      </c>
      <c r="AD64" s="2504"/>
      <c r="AE64" s="2504"/>
      <c r="AF64" s="2504"/>
      <c r="AG64" s="2504">
        <v>1742</v>
      </c>
      <c r="AH64" s="2504"/>
      <c r="AI64" s="2504"/>
      <c r="AJ64" s="2504"/>
      <c r="AK64" s="4106">
        <v>1268.6999999999998</v>
      </c>
      <c r="AL64" s="2504"/>
      <c r="AM64" s="2504"/>
      <c r="AN64" s="2504"/>
      <c r="AO64" s="2504"/>
      <c r="AP64" s="2504"/>
      <c r="AQ64" s="2504">
        <v>962</v>
      </c>
      <c r="AR64" s="2504"/>
      <c r="AS64" s="2504"/>
      <c r="AT64" s="2504"/>
      <c r="AU64" s="2504"/>
      <c r="AV64" s="2504"/>
      <c r="AW64" s="2504"/>
      <c r="AX64" s="2504"/>
      <c r="AY64" s="2504"/>
      <c r="AZ64" s="2504"/>
      <c r="BA64" s="2504"/>
      <c r="BB64" s="2504">
        <v>2474.9680000000017</v>
      </c>
      <c r="BC64" s="2504"/>
      <c r="BD64" s="2504">
        <v>1674</v>
      </c>
      <c r="BE64" s="2504">
        <v>17816.510000000002</v>
      </c>
    </row>
    <row r="65" spans="3:57" ht="15" hidden="1" thickBot="1" x14ac:dyDescent="0.35">
      <c r="C65" s="2505" t="s">
        <v>2</v>
      </c>
      <c r="D65" s="2505"/>
      <c r="E65" s="2506">
        <v>163540.45900000003</v>
      </c>
      <c r="F65" s="2506"/>
      <c r="G65" s="2506">
        <v>138084.56599999996</v>
      </c>
      <c r="H65" s="2506"/>
      <c r="I65" s="2506"/>
      <c r="J65" s="2506"/>
      <c r="K65" s="2506">
        <v>141733.60300000009</v>
      </c>
      <c r="L65" s="2506"/>
      <c r="M65" s="2506"/>
      <c r="N65" s="2506"/>
      <c r="O65" s="2506">
        <v>174925.65500000006</v>
      </c>
      <c r="P65" s="2506"/>
      <c r="Q65" s="2506"/>
      <c r="R65" s="2506"/>
      <c r="S65" s="2506">
        <v>173405.07799999992</v>
      </c>
      <c r="T65" s="2506"/>
      <c r="U65" s="2506"/>
      <c r="V65" s="2506"/>
      <c r="W65" s="2506">
        <v>162154.37000000011</v>
      </c>
      <c r="X65" s="2506"/>
      <c r="Y65" s="2506"/>
      <c r="Z65" s="2506"/>
      <c r="AA65" s="2506"/>
      <c r="AB65" s="2506"/>
      <c r="AC65" s="4107">
        <v>167965.75599999999</v>
      </c>
      <c r="AD65" s="2506"/>
      <c r="AE65" s="2506"/>
      <c r="AF65" s="2506"/>
      <c r="AG65" s="2506">
        <v>142793</v>
      </c>
      <c r="AH65" s="2506"/>
      <c r="AI65" s="2506"/>
      <c r="AJ65" s="2506"/>
      <c r="AK65" s="4107">
        <v>164344.19999999998</v>
      </c>
      <c r="AL65" s="2506"/>
      <c r="AM65" s="2506"/>
      <c r="AN65" s="2506"/>
      <c r="AO65" s="2506"/>
      <c r="AP65" s="2506"/>
      <c r="AQ65" s="2506">
        <v>162717</v>
      </c>
      <c r="AR65" s="2506"/>
      <c r="AS65" s="2506"/>
      <c r="AT65" s="2506"/>
      <c r="AU65" s="2506"/>
      <c r="AV65" s="2506"/>
      <c r="AW65" s="2506"/>
      <c r="AX65" s="2506"/>
      <c r="AY65" s="2506"/>
      <c r="AZ65" s="2506"/>
      <c r="BA65" s="2506"/>
      <c r="BB65" s="2506">
        <v>162199.09799999997</v>
      </c>
      <c r="BC65" s="2506"/>
      <c r="BD65" s="2506">
        <v>164513</v>
      </c>
      <c r="BE65" s="2506">
        <v>1918375.7850000004</v>
      </c>
    </row>
    <row r="66" spans="3:57" ht="24" thickBot="1" x14ac:dyDescent="0.5">
      <c r="C66" s="6255" t="s">
        <v>1659</v>
      </c>
      <c r="D66" s="6256"/>
      <c r="E66" s="6256"/>
      <c r="F66" s="6256"/>
      <c r="G66" s="6256"/>
      <c r="H66" s="6256"/>
      <c r="I66" s="6256"/>
      <c r="J66" s="6256"/>
      <c r="K66" s="6256"/>
      <c r="L66" s="6256"/>
      <c r="M66" s="6256"/>
      <c r="N66" s="6256"/>
      <c r="O66" s="6256"/>
      <c r="P66" s="6256"/>
      <c r="Q66" s="6256"/>
      <c r="R66" s="6256"/>
      <c r="S66" s="6256"/>
      <c r="T66" s="6256"/>
      <c r="U66" s="6256"/>
      <c r="V66" s="6256"/>
      <c r="W66" s="6256"/>
      <c r="X66" s="6256"/>
      <c r="Y66" s="6256"/>
      <c r="Z66" s="6256"/>
      <c r="AA66" s="6256"/>
      <c r="AB66" s="6256"/>
      <c r="AC66" s="6256"/>
      <c r="AD66" s="6256"/>
      <c r="AE66" s="6256"/>
      <c r="AF66" s="6256"/>
      <c r="AG66" s="6256"/>
      <c r="AH66" s="6256"/>
      <c r="AI66" s="6256"/>
      <c r="AJ66" s="6256"/>
      <c r="AK66" s="6256"/>
      <c r="AL66" s="6256"/>
      <c r="AM66" s="6256"/>
      <c r="AN66" s="6256"/>
      <c r="AO66" s="6256"/>
      <c r="AP66" s="6256"/>
      <c r="AQ66" s="6256"/>
      <c r="AR66" s="6256"/>
      <c r="AS66" s="6256"/>
      <c r="AT66" s="6256"/>
      <c r="AU66" s="6256"/>
      <c r="AV66" s="6256"/>
      <c r="AW66" s="6256"/>
      <c r="AX66" s="6256"/>
      <c r="AY66" s="6256"/>
      <c r="AZ66" s="6256"/>
      <c r="BA66" s="6256"/>
      <c r="BB66" s="6256"/>
      <c r="BC66" s="6256"/>
      <c r="BD66" s="6256"/>
      <c r="BE66" s="6257"/>
    </row>
    <row r="67" spans="3:57" ht="15.6" x14ac:dyDescent="0.3">
      <c r="C67" s="2507"/>
      <c r="D67" s="2527"/>
      <c r="E67" s="2508" t="s">
        <v>2232</v>
      </c>
      <c r="F67" s="6258" t="s">
        <v>2263</v>
      </c>
      <c r="G67" s="6259"/>
      <c r="H67" s="6258" t="s">
        <v>624</v>
      </c>
      <c r="I67" s="6259"/>
      <c r="J67" s="6258" t="s">
        <v>1950</v>
      </c>
      <c r="K67" s="6259"/>
      <c r="L67" s="6258" t="s">
        <v>604</v>
      </c>
      <c r="M67" s="6259"/>
      <c r="N67" s="6258" t="s">
        <v>1951</v>
      </c>
      <c r="O67" s="6259"/>
      <c r="P67" s="6258" t="s">
        <v>617</v>
      </c>
      <c r="Q67" s="6259"/>
      <c r="R67" s="6258" t="s">
        <v>1952</v>
      </c>
      <c r="S67" s="6259"/>
      <c r="T67" s="6258" t="s">
        <v>794</v>
      </c>
      <c r="U67" s="6259"/>
      <c r="V67" s="6258" t="s">
        <v>1953</v>
      </c>
      <c r="W67" s="6259"/>
      <c r="X67" s="6258" t="s">
        <v>625</v>
      </c>
      <c r="Y67" s="6259"/>
      <c r="Z67" s="6258" t="s">
        <v>623</v>
      </c>
      <c r="AA67" s="6259"/>
      <c r="AB67" s="6258" t="s">
        <v>1954</v>
      </c>
      <c r="AC67" s="6259"/>
      <c r="AD67" s="6258" t="s">
        <v>1051</v>
      </c>
      <c r="AE67" s="6259"/>
      <c r="AF67" s="6258" t="s">
        <v>1955</v>
      </c>
      <c r="AG67" s="6259"/>
      <c r="AH67" s="6258" t="s">
        <v>1552</v>
      </c>
      <c r="AI67" s="6259"/>
      <c r="AJ67" s="6258" t="s">
        <v>1956</v>
      </c>
      <c r="AK67" s="6259"/>
      <c r="AL67" s="6258" t="s">
        <v>627</v>
      </c>
      <c r="AM67" s="6259"/>
      <c r="AN67" s="6258" t="s">
        <v>872</v>
      </c>
      <c r="AO67" s="6259"/>
      <c r="AP67" s="6258" t="s">
        <v>1957</v>
      </c>
      <c r="AQ67" s="6259"/>
      <c r="AR67" s="6258" t="s">
        <v>1583</v>
      </c>
      <c r="AS67" s="6259"/>
      <c r="AT67" s="6258" t="s">
        <v>1958</v>
      </c>
      <c r="AU67" s="6259"/>
      <c r="AV67" s="6258" t="s">
        <v>1589</v>
      </c>
      <c r="AW67" s="6259"/>
      <c r="AX67" s="6258" t="s">
        <v>1959</v>
      </c>
      <c r="AY67" s="6259"/>
      <c r="AZ67" s="6258" t="s">
        <v>628</v>
      </c>
      <c r="BA67" s="6259"/>
      <c r="BB67" s="6258" t="s">
        <v>634</v>
      </c>
      <c r="BC67" s="6259"/>
      <c r="BD67" s="6258" t="s">
        <v>1961</v>
      </c>
      <c r="BE67" s="6259"/>
    </row>
    <row r="68" spans="3:57" x14ac:dyDescent="0.3">
      <c r="C68" s="2" t="s">
        <v>1605</v>
      </c>
      <c r="D68" s="276"/>
      <c r="E68" s="4417">
        <f>+'GRD SUMM RCL 150X150 '!AU9</f>
        <v>0</v>
      </c>
      <c r="F68" s="2504"/>
      <c r="G68" s="4417">
        <f>+'GRD SUMM RCL 150X150 '!AW9</f>
        <v>0</v>
      </c>
      <c r="H68" s="2504"/>
      <c r="I68" s="2504">
        <f>+E68+G68</f>
        <v>0</v>
      </c>
      <c r="J68" s="2504"/>
      <c r="K68" s="4417">
        <f>+'GRD SUMM RCL 150X150 '!BA9</f>
        <v>0</v>
      </c>
      <c r="L68" s="2504"/>
      <c r="M68" s="2504">
        <f>+E68+G68+K68</f>
        <v>0</v>
      </c>
      <c r="N68" s="2504"/>
      <c r="O68" s="4417">
        <f>+'GRD SUMM RCL 150X150 '!BE9</f>
        <v>0</v>
      </c>
      <c r="P68" s="2504"/>
      <c r="Q68" s="2504">
        <f>+O68+K68+G68+E68</f>
        <v>0</v>
      </c>
      <c r="R68" s="2504"/>
      <c r="S68" s="4417">
        <f>+'GRD SUMM RCL 150X150 '!BI9</f>
        <v>0</v>
      </c>
      <c r="T68" s="2504"/>
      <c r="U68" s="2504">
        <f>+S68+O68+K68+G68+E68</f>
        <v>0</v>
      </c>
      <c r="V68" s="2504"/>
      <c r="W68" s="4417">
        <f>+'GRD SUMM RCL 150X150 '!BM9</f>
        <v>0</v>
      </c>
      <c r="X68" s="2504"/>
      <c r="Y68" s="2504">
        <f>+W68+S68+O68</f>
        <v>0</v>
      </c>
      <c r="Z68" s="2504"/>
      <c r="AA68" s="2504">
        <f>+E68+G68+K68+O68+S68+W68</f>
        <v>0</v>
      </c>
      <c r="AB68" s="2504"/>
      <c r="AC68" s="4417">
        <f>+'GRD SUMM RCL 150X150 '!BS9</f>
        <v>0</v>
      </c>
      <c r="AD68" s="2504"/>
      <c r="AE68" s="2504">
        <f>+AC68+W68+S68+O68+K68+G68+E68</f>
        <v>0</v>
      </c>
      <c r="AF68" s="2504"/>
      <c r="AG68" s="4417">
        <f>+'GRD SUMM RCL 150X150 '!BW9</f>
        <v>0</v>
      </c>
      <c r="AH68" s="2504"/>
      <c r="AI68" s="2504">
        <f>+AG68+AC68+W68+S68+O68+K68+G68+E68</f>
        <v>0</v>
      </c>
      <c r="AJ68" s="2504"/>
      <c r="AK68" s="4913">
        <f>+'GRD SUMM RCL 150X150 '!CA9</f>
        <v>0</v>
      </c>
      <c r="AL68" s="2504"/>
      <c r="AM68" s="2504">
        <f>+AK68+AG68+AC68</f>
        <v>0</v>
      </c>
      <c r="AN68" s="2504"/>
      <c r="AO68" s="2504">
        <f>+AK68+AG68+AC68+W68+S68+O68+K68+G68+E68</f>
        <v>0</v>
      </c>
      <c r="AP68" s="2504"/>
      <c r="AQ68" s="4417">
        <f>+'GRD SUMM RCL 150X150 '!CG9</f>
        <v>0</v>
      </c>
      <c r="AR68" s="2504"/>
      <c r="AS68" s="2504">
        <f>+AO68+AQ68</f>
        <v>0</v>
      </c>
      <c r="AT68" s="2504"/>
      <c r="AU68" s="4417">
        <f>+'GRD SUMM RCL 150X150 '!CK9</f>
        <v>0</v>
      </c>
      <c r="AV68" s="2504"/>
      <c r="AW68" s="2504">
        <f>+AS68+AU68</f>
        <v>0</v>
      </c>
      <c r="AX68" s="2504"/>
      <c r="AY68" s="4417">
        <f>+'GRD SUMM RCL 150X150 '!CO9</f>
        <v>0</v>
      </c>
      <c r="AZ68" s="2504"/>
      <c r="BA68" s="4417">
        <f>+AY68+AU68+AQ68</f>
        <v>0</v>
      </c>
      <c r="BB68" s="2504"/>
      <c r="BC68" s="4417">
        <f>+BA68+AM68</f>
        <v>0</v>
      </c>
      <c r="BD68" s="2504"/>
      <c r="BE68" s="4417">
        <f>+E68+G68+K68+O68+S68+W68+AC68+AG68+AK68+AQ68+AU68+AY68</f>
        <v>0</v>
      </c>
    </row>
    <row r="69" spans="3:57" x14ac:dyDescent="0.3">
      <c r="C69" s="2" t="s">
        <v>1796</v>
      </c>
      <c r="D69" s="276"/>
      <c r="E69" s="4417">
        <f>+'GRD SUMM RCL 150X150 '!AU19</f>
        <v>0</v>
      </c>
      <c r="F69" s="2504"/>
      <c r="G69" s="4417">
        <f>+'GRD SUMM RCL 150X150 '!AW19</f>
        <v>0</v>
      </c>
      <c r="H69" s="2504"/>
      <c r="I69" s="2504">
        <f t="shared" ref="I69:I88" si="0">+E69+G69</f>
        <v>0</v>
      </c>
      <c r="J69" s="2504"/>
      <c r="K69" s="4417">
        <f>+'GRD SUMM RCL 150X150 '!BA19</f>
        <v>0</v>
      </c>
      <c r="L69" s="2504"/>
      <c r="M69" s="2504">
        <f t="shared" ref="M69:M100" si="1">+E69+G69+K69</f>
        <v>0</v>
      </c>
      <c r="N69" s="2504"/>
      <c r="O69" s="4417">
        <f>+'GRD SUMM RCL 150X150 '!BE19</f>
        <v>0</v>
      </c>
      <c r="P69" s="2504"/>
      <c r="Q69" s="2504">
        <f t="shared" ref="Q69:Q100" si="2">+O69+K69+G69+E69</f>
        <v>0</v>
      </c>
      <c r="R69" s="2504"/>
      <c r="S69" s="4417">
        <f>+'GRD SUMM RCL 150X150 '!BI19</f>
        <v>0</v>
      </c>
      <c r="T69" s="2504"/>
      <c r="U69" s="2504">
        <f t="shared" ref="U69:U100" si="3">+S69+O69+K69+G69+E69</f>
        <v>0</v>
      </c>
      <c r="V69" s="2504"/>
      <c r="W69" s="4417">
        <f>+'GRD SUMM RCL 150X150 '!BM19</f>
        <v>0</v>
      </c>
      <c r="X69" s="2504"/>
      <c r="Y69" s="2504">
        <f t="shared" ref="Y69:Y100" si="4">+W69+S69+O69</f>
        <v>0</v>
      </c>
      <c r="Z69" s="2504"/>
      <c r="AA69" s="2504">
        <f t="shared" ref="AA69:AA100" si="5">+E69+G69+K69+O69+S69+W69</f>
        <v>0</v>
      </c>
      <c r="AB69" s="2504"/>
      <c r="AC69" s="4417">
        <f>+'GRD SUMM RCL 150X150 '!BS19</f>
        <v>0</v>
      </c>
      <c r="AD69" s="2504"/>
      <c r="AE69" s="2504">
        <f t="shared" ref="AE69:AE100" si="6">+AC69+W69+S69+O69+K69+G69+E69</f>
        <v>0</v>
      </c>
      <c r="AF69" s="2504"/>
      <c r="AG69" s="4417">
        <f>+'GRD SUMM RCL 150X150 '!BW19</f>
        <v>0</v>
      </c>
      <c r="AH69" s="2504"/>
      <c r="AI69" s="2504">
        <f t="shared" ref="AI69:AI100" si="7">+AG69+AC69+W69+S69+O69+K69+G69+E69</f>
        <v>0</v>
      </c>
      <c r="AJ69" s="2504"/>
      <c r="AK69" s="4913">
        <f>+'GRD SUMM RCL 150X150 '!CA19</f>
        <v>0</v>
      </c>
      <c r="AL69" s="2504"/>
      <c r="AM69" s="2504">
        <f t="shared" ref="AM69:AM100" si="8">+AK69+AG69+AC69</f>
        <v>0</v>
      </c>
      <c r="AN69" s="2504"/>
      <c r="AO69" s="2504">
        <f t="shared" ref="AO69:AO100" si="9">+AK69+AG69+AC69+W69+S69+O69+K69+G69+E69</f>
        <v>0</v>
      </c>
      <c r="AP69" s="2504"/>
      <c r="AQ69" s="4417">
        <f>+'GRD SUMM RCL 150X150 '!CG19</f>
        <v>0</v>
      </c>
      <c r="AR69" s="2504"/>
      <c r="AS69" s="2504">
        <f t="shared" ref="AS69:AS100" si="10">+AO69+AQ69</f>
        <v>0</v>
      </c>
      <c r="AT69" s="2504"/>
      <c r="AU69" s="4417">
        <f>+'GRD SUMM RCL 150X150 '!CK19</f>
        <v>0</v>
      </c>
      <c r="AV69" s="2504"/>
      <c r="AW69" s="2504">
        <f t="shared" ref="AW69:AW100" si="11">+AS69+AU69</f>
        <v>0</v>
      </c>
      <c r="AX69" s="2504"/>
      <c r="AY69" s="4417">
        <f>+'GRD SUMM RCL 150X150 '!CO19</f>
        <v>0</v>
      </c>
      <c r="AZ69" s="2504"/>
      <c r="BA69" s="4417">
        <f t="shared" ref="BA69:BA102" si="12">+AY69+AU69+AQ69</f>
        <v>0</v>
      </c>
      <c r="BB69" s="2504"/>
      <c r="BC69" s="4417">
        <f t="shared" ref="BC69:BC102" si="13">+BA69+AM69</f>
        <v>0</v>
      </c>
      <c r="BD69" s="2504"/>
      <c r="BE69" s="4417">
        <f t="shared" ref="BE69:BE102" si="14">+E69+G69+K69+O69+S69+W69+AC69+AG69+AK69+AQ69+AU69+AY69</f>
        <v>0</v>
      </c>
    </row>
    <row r="70" spans="3:57" x14ac:dyDescent="0.3">
      <c r="C70" s="2" t="s">
        <v>1960</v>
      </c>
      <c r="D70" s="276"/>
      <c r="E70" s="4417">
        <f>+'GRD SUMM RCL 150X150 '!AU20</f>
        <v>0</v>
      </c>
      <c r="F70" s="2504"/>
      <c r="G70" s="4417">
        <f>+'GRD SUMM RCL 150X150 '!AW20</f>
        <v>0</v>
      </c>
      <c r="H70" s="2504"/>
      <c r="I70" s="2504">
        <f t="shared" si="0"/>
        <v>0</v>
      </c>
      <c r="J70" s="2504"/>
      <c r="K70" s="4417">
        <f>+'GRD SUMM RCL 150X150 '!BA20</f>
        <v>0</v>
      </c>
      <c r="L70" s="2504"/>
      <c r="M70" s="2504">
        <f t="shared" si="1"/>
        <v>0</v>
      </c>
      <c r="N70" s="2504"/>
      <c r="O70" s="4417">
        <f>+'GRD SUMM RCL 150X150 '!BE20</f>
        <v>0</v>
      </c>
      <c r="P70" s="2504"/>
      <c r="Q70" s="2504">
        <f t="shared" si="2"/>
        <v>0</v>
      </c>
      <c r="R70" s="2504"/>
      <c r="S70" s="4417">
        <f>+'GRD SUMM RCL 150X150 '!BI20</f>
        <v>0</v>
      </c>
      <c r="T70" s="2504"/>
      <c r="U70" s="2504">
        <f t="shared" si="3"/>
        <v>0</v>
      </c>
      <c r="V70" s="2504"/>
      <c r="W70" s="4417">
        <f>+'GRD SUMM RCL 150X150 '!BM20</f>
        <v>0</v>
      </c>
      <c r="X70" s="2504"/>
      <c r="Y70" s="2504">
        <f t="shared" si="4"/>
        <v>0</v>
      </c>
      <c r="Z70" s="2504"/>
      <c r="AA70" s="2504">
        <f t="shared" si="5"/>
        <v>0</v>
      </c>
      <c r="AB70" s="2504"/>
      <c r="AC70" s="4417">
        <f>+'GRD SUMM RCL 150X150 '!BS20</f>
        <v>0</v>
      </c>
      <c r="AD70" s="2504"/>
      <c r="AE70" s="2504">
        <f t="shared" si="6"/>
        <v>0</v>
      </c>
      <c r="AF70" s="2504"/>
      <c r="AG70" s="4417">
        <f>+'GRD SUMM RCL 150X150 '!BW20</f>
        <v>0</v>
      </c>
      <c r="AH70" s="2504"/>
      <c r="AI70" s="2504">
        <f t="shared" si="7"/>
        <v>0</v>
      </c>
      <c r="AJ70" s="2504"/>
      <c r="AK70" s="4913">
        <f>+'GRD SUMM RCL 150X150 '!CA20</f>
        <v>0</v>
      </c>
      <c r="AL70" s="2504"/>
      <c r="AM70" s="2504">
        <f t="shared" si="8"/>
        <v>0</v>
      </c>
      <c r="AN70" s="2504"/>
      <c r="AO70" s="2504">
        <f t="shared" si="9"/>
        <v>0</v>
      </c>
      <c r="AP70" s="2504"/>
      <c r="AQ70" s="4417">
        <f>+'GRD SUMM RCL 150X150 '!CG20</f>
        <v>0</v>
      </c>
      <c r="AR70" s="2504"/>
      <c r="AS70" s="2504">
        <f t="shared" si="10"/>
        <v>0</v>
      </c>
      <c r="AT70" s="2504"/>
      <c r="AU70" s="4417">
        <f>+'GRD SUMM RCL 150X150 '!CK20</f>
        <v>0</v>
      </c>
      <c r="AV70" s="2504"/>
      <c r="AW70" s="2504">
        <f t="shared" si="11"/>
        <v>0</v>
      </c>
      <c r="AX70" s="2504"/>
      <c r="AY70" s="4417">
        <f>+'GRD SUMM RCL 150X150 '!CO20</f>
        <v>0</v>
      </c>
      <c r="AZ70" s="2504"/>
      <c r="BA70" s="4417">
        <f t="shared" si="12"/>
        <v>0</v>
      </c>
      <c r="BB70" s="2504"/>
      <c r="BC70" s="4417">
        <f t="shared" si="13"/>
        <v>0</v>
      </c>
      <c r="BD70" s="2504"/>
      <c r="BE70" s="4417">
        <f t="shared" si="14"/>
        <v>0</v>
      </c>
    </row>
    <row r="71" spans="3:57" x14ac:dyDescent="0.3">
      <c r="C71" s="2" t="s">
        <v>1920</v>
      </c>
      <c r="D71" s="276"/>
      <c r="E71" s="4417">
        <f>+'GRD SUMM RCL 150X150 '!AU21</f>
        <v>0</v>
      </c>
      <c r="F71" s="2504"/>
      <c r="G71" s="4417">
        <f>+'GRD SUMM RCL 150X150 '!AW21</f>
        <v>0</v>
      </c>
      <c r="H71" s="2504"/>
      <c r="I71" s="2504">
        <f t="shared" si="0"/>
        <v>0</v>
      </c>
      <c r="J71" s="2504"/>
      <c r="K71" s="4417">
        <f>+'GRD SUMM RCL 150X150 '!BA21</f>
        <v>0</v>
      </c>
      <c r="L71" s="2504"/>
      <c r="M71" s="2504">
        <f t="shared" si="1"/>
        <v>0</v>
      </c>
      <c r="N71" s="2504"/>
      <c r="O71" s="4417">
        <f>+'GRD SUMM RCL 150X150 '!BE21</f>
        <v>0</v>
      </c>
      <c r="P71" s="2504"/>
      <c r="Q71" s="2504">
        <f t="shared" si="2"/>
        <v>0</v>
      </c>
      <c r="R71" s="2504"/>
      <c r="S71" s="4417">
        <f>+'GRD SUMM RCL 150X150 '!BI21</f>
        <v>0</v>
      </c>
      <c r="T71" s="2504"/>
      <c r="U71" s="2504">
        <f t="shared" si="3"/>
        <v>0</v>
      </c>
      <c r="V71" s="2504"/>
      <c r="W71" s="4417">
        <f>+'GRD SUMM RCL 150X150 '!BM21</f>
        <v>0</v>
      </c>
      <c r="X71" s="2504"/>
      <c r="Y71" s="2504">
        <f t="shared" si="4"/>
        <v>0</v>
      </c>
      <c r="Z71" s="2504"/>
      <c r="AA71" s="2504">
        <f t="shared" si="5"/>
        <v>0</v>
      </c>
      <c r="AB71" s="2504"/>
      <c r="AC71" s="4417">
        <f>+'GRD SUMM RCL 150X150 '!BS21</f>
        <v>0</v>
      </c>
      <c r="AD71" s="2504"/>
      <c r="AE71" s="2504">
        <f t="shared" si="6"/>
        <v>0</v>
      </c>
      <c r="AF71" s="2504"/>
      <c r="AG71" s="4417">
        <f>+'GRD SUMM RCL 150X150 '!BW21</f>
        <v>0</v>
      </c>
      <c r="AH71" s="2504"/>
      <c r="AI71" s="2504">
        <f t="shared" si="7"/>
        <v>0</v>
      </c>
      <c r="AJ71" s="2504"/>
      <c r="AK71" s="4913">
        <f>+'GRD SUMM RCL 150X150 '!CA21</f>
        <v>0</v>
      </c>
      <c r="AL71" s="2504"/>
      <c r="AM71" s="2504">
        <f t="shared" si="8"/>
        <v>0</v>
      </c>
      <c r="AN71" s="2504"/>
      <c r="AO71" s="2504">
        <f t="shared" si="9"/>
        <v>0</v>
      </c>
      <c r="AP71" s="2504"/>
      <c r="AQ71" s="4417">
        <f>+'GRD SUMM RCL 150X150 '!CG21</f>
        <v>0</v>
      </c>
      <c r="AR71" s="2504"/>
      <c r="AS71" s="2504">
        <f t="shared" si="10"/>
        <v>0</v>
      </c>
      <c r="AT71" s="2504"/>
      <c r="AU71" s="4417">
        <f>+'GRD SUMM RCL 150X150 '!CK21</f>
        <v>0</v>
      </c>
      <c r="AV71" s="2504"/>
      <c r="AW71" s="2504">
        <f t="shared" si="11"/>
        <v>0</v>
      </c>
      <c r="AX71" s="2504"/>
      <c r="AY71" s="4417">
        <f>+'GRD SUMM RCL 150X150 '!CO21</f>
        <v>0</v>
      </c>
      <c r="AZ71" s="2504"/>
      <c r="BA71" s="4417">
        <f t="shared" si="12"/>
        <v>0</v>
      </c>
      <c r="BB71" s="2504"/>
      <c r="BC71" s="4417">
        <f t="shared" si="13"/>
        <v>0</v>
      </c>
      <c r="BD71" s="2504"/>
      <c r="BE71" s="4417">
        <f t="shared" si="14"/>
        <v>0</v>
      </c>
    </row>
    <row r="72" spans="3:57" x14ac:dyDescent="0.3">
      <c r="C72" s="2" t="s">
        <v>1862</v>
      </c>
      <c r="D72" s="276"/>
      <c r="E72" s="4417">
        <f>+'GRD SUMM RCL 150X150 '!AU22</f>
        <v>4594</v>
      </c>
      <c r="F72" s="2504"/>
      <c r="G72" s="4417">
        <f>+'GRD SUMM RCL 150X150 '!AW22</f>
        <v>2421.5140000000001</v>
      </c>
      <c r="H72" s="2504"/>
      <c r="I72" s="2504">
        <f t="shared" si="0"/>
        <v>7015.5140000000001</v>
      </c>
      <c r="J72" s="2504"/>
      <c r="K72" s="4417">
        <f>+'GRD SUMM RCL 150X150 '!BA22</f>
        <v>0</v>
      </c>
      <c r="L72" s="2504"/>
      <c r="M72" s="2504">
        <f t="shared" si="1"/>
        <v>7015.5140000000001</v>
      </c>
      <c r="N72" s="2504"/>
      <c r="O72" s="4417">
        <f>+'GRD SUMM RCL 150X150 '!BE22</f>
        <v>0</v>
      </c>
      <c r="P72" s="2504"/>
      <c r="Q72" s="2504">
        <f t="shared" si="2"/>
        <v>7015.5140000000001</v>
      </c>
      <c r="R72" s="2504"/>
      <c r="S72" s="4417">
        <f>+'GRD SUMM RCL 150X150 '!BI22</f>
        <v>0</v>
      </c>
      <c r="T72" s="2504"/>
      <c r="U72" s="2504">
        <f t="shared" si="3"/>
        <v>7015.5140000000001</v>
      </c>
      <c r="V72" s="2504"/>
      <c r="W72" s="4417">
        <f>+'GRD SUMM RCL 150X150 '!BM22</f>
        <v>0</v>
      </c>
      <c r="X72" s="2504"/>
      <c r="Y72" s="2504">
        <f t="shared" si="4"/>
        <v>0</v>
      </c>
      <c r="Z72" s="2504"/>
      <c r="AA72" s="2504">
        <f t="shared" si="5"/>
        <v>7015.5140000000001</v>
      </c>
      <c r="AB72" s="2504"/>
      <c r="AC72" s="4417">
        <f>+'GRD SUMM RCL 150X150 '!BS22</f>
        <v>0</v>
      </c>
      <c r="AD72" s="2504"/>
      <c r="AE72" s="2504">
        <f t="shared" si="6"/>
        <v>7015.5140000000001</v>
      </c>
      <c r="AF72" s="2504"/>
      <c r="AG72" s="4417">
        <f>+'GRD SUMM RCL 150X150 '!BW22</f>
        <v>0</v>
      </c>
      <c r="AH72" s="2504"/>
      <c r="AI72" s="2504">
        <f t="shared" si="7"/>
        <v>7015.5140000000001</v>
      </c>
      <c r="AJ72" s="2504"/>
      <c r="AK72" s="4913">
        <f>+'GRD SUMM RCL 150X150 '!CA22</f>
        <v>0</v>
      </c>
      <c r="AL72" s="2504"/>
      <c r="AM72" s="2504">
        <f t="shared" si="8"/>
        <v>0</v>
      </c>
      <c r="AN72" s="2504"/>
      <c r="AO72" s="2504">
        <f t="shared" si="9"/>
        <v>7015.5140000000001</v>
      </c>
      <c r="AP72" s="2504"/>
      <c r="AQ72" s="4417">
        <f>+'GRD SUMM RCL 150X150 '!CG22</f>
        <v>0</v>
      </c>
      <c r="AR72" s="2504"/>
      <c r="AS72" s="2504">
        <f t="shared" si="10"/>
        <v>7015.5140000000001</v>
      </c>
      <c r="AT72" s="2504"/>
      <c r="AU72" s="4417">
        <f>+'GRD SUMM RCL 150X150 '!CK22</f>
        <v>0</v>
      </c>
      <c r="AV72" s="2504"/>
      <c r="AW72" s="2504">
        <f t="shared" si="11"/>
        <v>7015.5140000000001</v>
      </c>
      <c r="AX72" s="2504"/>
      <c r="AY72" s="4417">
        <f>+'GRD SUMM RCL 150X150 '!CO22</f>
        <v>0</v>
      </c>
      <c r="AZ72" s="2504"/>
      <c r="BA72" s="4417">
        <f t="shared" si="12"/>
        <v>0</v>
      </c>
      <c r="BB72" s="2504"/>
      <c r="BC72" s="4417">
        <f t="shared" si="13"/>
        <v>0</v>
      </c>
      <c r="BD72" s="2504"/>
      <c r="BE72" s="4417">
        <f t="shared" si="14"/>
        <v>7015.5140000000001</v>
      </c>
    </row>
    <row r="73" spans="3:57" x14ac:dyDescent="0.3">
      <c r="C73" s="2" t="s">
        <v>1861</v>
      </c>
      <c r="D73" s="276"/>
      <c r="E73" s="4417">
        <f>+'GRD SUMM RCL 150X150 '!AU27</f>
        <v>0</v>
      </c>
      <c r="F73" s="2504"/>
      <c r="G73" s="4417">
        <f>+'GRD SUMM RCL 150X150 '!AW27</f>
        <v>0</v>
      </c>
      <c r="H73" s="2504"/>
      <c r="I73" s="2504">
        <f t="shared" si="0"/>
        <v>0</v>
      </c>
      <c r="J73" s="2504"/>
      <c r="K73" s="4417">
        <f>+'GRD SUMM RCL 150X150 '!BA27</f>
        <v>0</v>
      </c>
      <c r="L73" s="2504"/>
      <c r="M73" s="2504">
        <f t="shared" si="1"/>
        <v>0</v>
      </c>
      <c r="N73" s="2504"/>
      <c r="O73" s="4417">
        <f>+'GRD SUMM RCL 150X150 '!BE27</f>
        <v>0</v>
      </c>
      <c r="P73" s="2504"/>
      <c r="Q73" s="2504">
        <f t="shared" si="2"/>
        <v>0</v>
      </c>
      <c r="R73" s="2504"/>
      <c r="S73" s="4417">
        <f>+'GRD SUMM RCL 150X150 '!BI27</f>
        <v>0</v>
      </c>
      <c r="T73" s="2504"/>
      <c r="U73" s="2504">
        <f t="shared" si="3"/>
        <v>0</v>
      </c>
      <c r="V73" s="2504"/>
      <c r="W73" s="4417">
        <f>+'GRD SUMM RCL 150X150 '!BM27</f>
        <v>0</v>
      </c>
      <c r="X73" s="2504"/>
      <c r="Y73" s="2504">
        <f t="shared" si="4"/>
        <v>0</v>
      </c>
      <c r="Z73" s="2504"/>
      <c r="AA73" s="2504">
        <f t="shared" si="5"/>
        <v>0</v>
      </c>
      <c r="AB73" s="2504"/>
      <c r="AC73" s="4417">
        <f>+'GRD SUMM RCL 150X150 '!BS27</f>
        <v>0</v>
      </c>
      <c r="AD73" s="2504"/>
      <c r="AE73" s="2504">
        <f t="shared" si="6"/>
        <v>0</v>
      </c>
      <c r="AF73" s="2504"/>
      <c r="AG73" s="4417">
        <f>+'GRD SUMM RCL 150X150 '!BW27</f>
        <v>0</v>
      </c>
      <c r="AH73" s="2504"/>
      <c r="AI73" s="2504">
        <f t="shared" si="7"/>
        <v>0</v>
      </c>
      <c r="AJ73" s="2504"/>
      <c r="AK73" s="4913">
        <f>+'GRD SUMM RCL 150X150 '!CA27</f>
        <v>0</v>
      </c>
      <c r="AL73" s="2504"/>
      <c r="AM73" s="2504">
        <f t="shared" si="8"/>
        <v>0</v>
      </c>
      <c r="AN73" s="2504"/>
      <c r="AO73" s="2504">
        <f t="shared" si="9"/>
        <v>0</v>
      </c>
      <c r="AP73" s="2504"/>
      <c r="AQ73" s="4417">
        <f>+'GRD SUMM RCL 150X150 '!CG27</f>
        <v>0</v>
      </c>
      <c r="AR73" s="2504"/>
      <c r="AS73" s="2504">
        <f t="shared" si="10"/>
        <v>0</v>
      </c>
      <c r="AT73" s="2504"/>
      <c r="AU73" s="4417">
        <f>+'GRD SUMM RCL 150X150 '!CK27</f>
        <v>0</v>
      </c>
      <c r="AV73" s="2504"/>
      <c r="AW73" s="2504">
        <f t="shared" si="11"/>
        <v>0</v>
      </c>
      <c r="AX73" s="2504"/>
      <c r="AY73" s="4417">
        <f>+'GRD SUMM RCL 150X150 '!CO27</f>
        <v>0</v>
      </c>
      <c r="AZ73" s="2504"/>
      <c r="BA73" s="4417">
        <f t="shared" si="12"/>
        <v>0</v>
      </c>
      <c r="BB73" s="2504"/>
      <c r="BC73" s="4417">
        <f t="shared" si="13"/>
        <v>0</v>
      </c>
      <c r="BD73" s="2504"/>
      <c r="BE73" s="4417">
        <f t="shared" si="14"/>
        <v>0</v>
      </c>
    </row>
    <row r="74" spans="3:57" x14ac:dyDescent="0.3">
      <c r="C74" s="2" t="s">
        <v>1474</v>
      </c>
      <c r="D74" s="276"/>
      <c r="E74" s="4417">
        <f>+'GRD SUMM RCL 150X150 '!AU38</f>
        <v>0</v>
      </c>
      <c r="F74" s="2504"/>
      <c r="G74" s="4417">
        <f>+'GRD SUMM RCL 150X150 '!AW38</f>
        <v>0</v>
      </c>
      <c r="H74" s="2504"/>
      <c r="I74" s="2504">
        <f t="shared" si="0"/>
        <v>0</v>
      </c>
      <c r="J74" s="2504"/>
      <c r="K74" s="4417">
        <f>+'GRD SUMM RCL 150X150 '!BA38</f>
        <v>0</v>
      </c>
      <c r="L74" s="2504"/>
      <c r="M74" s="2504">
        <f t="shared" si="1"/>
        <v>0</v>
      </c>
      <c r="N74" s="2504"/>
      <c r="O74" s="4417">
        <f>+'GRD SUMM RCL 150X150 '!BE38</f>
        <v>0</v>
      </c>
      <c r="P74" s="2504"/>
      <c r="Q74" s="2504">
        <f t="shared" si="2"/>
        <v>0</v>
      </c>
      <c r="R74" s="2504"/>
      <c r="S74" s="4417">
        <f>+'GRD SUMM RCL 150X150 '!BI38</f>
        <v>0</v>
      </c>
      <c r="T74" s="2504"/>
      <c r="U74" s="2504">
        <f t="shared" si="3"/>
        <v>0</v>
      </c>
      <c r="V74" s="2504"/>
      <c r="W74" s="4417">
        <f>+'GRD SUMM RCL 150X150 '!BM38</f>
        <v>0</v>
      </c>
      <c r="X74" s="2504"/>
      <c r="Y74" s="2504">
        <f t="shared" si="4"/>
        <v>0</v>
      </c>
      <c r="Z74" s="2504"/>
      <c r="AA74" s="2504">
        <f t="shared" si="5"/>
        <v>0</v>
      </c>
      <c r="AB74" s="2504"/>
      <c r="AC74" s="4417">
        <f>+'GRD SUMM RCL 150X150 '!BS38</f>
        <v>0</v>
      </c>
      <c r="AD74" s="2504"/>
      <c r="AE74" s="2504">
        <f t="shared" si="6"/>
        <v>0</v>
      </c>
      <c r="AF74" s="2504"/>
      <c r="AG74" s="4417">
        <f>+'GRD SUMM RCL 150X150 '!BW38</f>
        <v>0</v>
      </c>
      <c r="AH74" s="2504"/>
      <c r="AI74" s="2504">
        <f t="shared" si="7"/>
        <v>0</v>
      </c>
      <c r="AJ74" s="2504"/>
      <c r="AK74" s="4913">
        <f>+'GRD SUMM RCL 150X150 '!CA38</f>
        <v>0</v>
      </c>
      <c r="AL74" s="2504"/>
      <c r="AM74" s="2504">
        <f t="shared" si="8"/>
        <v>0</v>
      </c>
      <c r="AN74" s="2504"/>
      <c r="AO74" s="2504">
        <f t="shared" si="9"/>
        <v>0</v>
      </c>
      <c r="AP74" s="2504"/>
      <c r="AQ74" s="4417">
        <f>+'GRD SUMM RCL 150X150 '!CG38</f>
        <v>0</v>
      </c>
      <c r="AR74" s="2504"/>
      <c r="AS74" s="2504">
        <f t="shared" si="10"/>
        <v>0</v>
      </c>
      <c r="AT74" s="2504"/>
      <c r="AU74" s="4417">
        <f>+'GRD SUMM RCL 150X150 '!CK38</f>
        <v>0</v>
      </c>
      <c r="AV74" s="2504"/>
      <c r="AW74" s="2504">
        <f t="shared" si="11"/>
        <v>0</v>
      </c>
      <c r="AX74" s="2504"/>
      <c r="AY74" s="4417">
        <f>+'GRD SUMM RCL 150X150 '!CO38</f>
        <v>0</v>
      </c>
      <c r="AZ74" s="2504"/>
      <c r="BA74" s="4417">
        <f t="shared" si="12"/>
        <v>0</v>
      </c>
      <c r="BB74" s="2504"/>
      <c r="BC74" s="4417">
        <f t="shared" si="13"/>
        <v>0</v>
      </c>
      <c r="BD74" s="2504"/>
      <c r="BE74" s="4417">
        <f t="shared" si="14"/>
        <v>0</v>
      </c>
    </row>
    <row r="75" spans="3:57" x14ac:dyDescent="0.3">
      <c r="C75" s="2" t="s">
        <v>1356</v>
      </c>
      <c r="D75" s="276"/>
      <c r="E75" s="4417">
        <v>0</v>
      </c>
      <c r="F75" s="2504"/>
      <c r="G75" s="4417">
        <v>0</v>
      </c>
      <c r="H75" s="4417">
        <v>0</v>
      </c>
      <c r="I75" s="2504">
        <f t="shared" si="0"/>
        <v>0</v>
      </c>
      <c r="J75" s="4417">
        <v>0</v>
      </c>
      <c r="K75" s="4417">
        <v>0</v>
      </c>
      <c r="L75" s="4417">
        <v>0</v>
      </c>
      <c r="M75" s="4417">
        <v>0</v>
      </c>
      <c r="N75" s="4417">
        <v>0</v>
      </c>
      <c r="O75" s="4417">
        <v>0</v>
      </c>
      <c r="P75" s="4417">
        <v>0</v>
      </c>
      <c r="Q75" s="4417">
        <v>0</v>
      </c>
      <c r="R75" s="4417">
        <v>0</v>
      </c>
      <c r="S75" s="4417">
        <v>0</v>
      </c>
      <c r="T75" s="4417">
        <v>0</v>
      </c>
      <c r="U75" s="4417">
        <v>0</v>
      </c>
      <c r="V75" s="4417">
        <v>0</v>
      </c>
      <c r="W75" s="4417">
        <v>0</v>
      </c>
      <c r="X75" s="4417">
        <v>0</v>
      </c>
      <c r="Y75" s="4417">
        <v>0</v>
      </c>
      <c r="Z75" s="4417">
        <v>0</v>
      </c>
      <c r="AA75" s="4417">
        <v>0</v>
      </c>
      <c r="AB75" s="4417">
        <v>0</v>
      </c>
      <c r="AC75" s="4417">
        <v>0</v>
      </c>
      <c r="AD75" s="4417">
        <v>0</v>
      </c>
      <c r="AE75" s="4417">
        <v>0</v>
      </c>
      <c r="AF75" s="4417">
        <v>0</v>
      </c>
      <c r="AG75" s="4417">
        <v>0</v>
      </c>
      <c r="AH75" s="2504"/>
      <c r="AI75" s="2504">
        <f t="shared" si="7"/>
        <v>0</v>
      </c>
      <c r="AJ75" s="2504"/>
      <c r="AK75" s="4913">
        <v>0</v>
      </c>
      <c r="AL75" s="2504"/>
      <c r="AM75" s="2504">
        <f t="shared" si="8"/>
        <v>0</v>
      </c>
      <c r="AN75" s="2504"/>
      <c r="AO75" s="2504">
        <f t="shared" si="9"/>
        <v>0</v>
      </c>
      <c r="AP75" s="2504"/>
      <c r="AQ75" s="4417">
        <v>0</v>
      </c>
      <c r="AR75" s="2504"/>
      <c r="AS75" s="2504">
        <f t="shared" si="10"/>
        <v>0</v>
      </c>
      <c r="AT75" s="2504"/>
      <c r="AU75" s="4417">
        <v>0</v>
      </c>
      <c r="AV75" s="2504"/>
      <c r="AW75" s="2504">
        <f t="shared" si="11"/>
        <v>0</v>
      </c>
      <c r="AX75" s="2504"/>
      <c r="AY75" s="4417">
        <v>0</v>
      </c>
      <c r="AZ75" s="2504"/>
      <c r="BA75" s="4417">
        <f t="shared" si="12"/>
        <v>0</v>
      </c>
      <c r="BB75" s="2504"/>
      <c r="BC75" s="4417">
        <f t="shared" si="13"/>
        <v>0</v>
      </c>
      <c r="BD75" s="2504"/>
      <c r="BE75" s="4417">
        <f t="shared" si="14"/>
        <v>0</v>
      </c>
    </row>
    <row r="76" spans="3:57" x14ac:dyDescent="0.3">
      <c r="C76" s="2" t="s">
        <v>1866</v>
      </c>
      <c r="D76" s="276"/>
      <c r="E76" s="4417">
        <f>+'GRD SUMM RCL 150X150 '!AU42</f>
        <v>0</v>
      </c>
      <c r="F76" s="2504"/>
      <c r="G76" s="4417">
        <f>+'GRD SUMM RCL 150X150 '!AW42</f>
        <v>0</v>
      </c>
      <c r="H76" s="2504"/>
      <c r="I76" s="2504">
        <f t="shared" si="0"/>
        <v>0</v>
      </c>
      <c r="J76" s="2504"/>
      <c r="K76" s="4417">
        <f>+'GRD SUMM RCL 150X150 '!BA42</f>
        <v>0</v>
      </c>
      <c r="L76" s="2504"/>
      <c r="M76" s="2504">
        <f t="shared" si="1"/>
        <v>0</v>
      </c>
      <c r="N76" s="2504"/>
      <c r="O76" s="4417">
        <f>+'GRD SUMM RCL 150X150 '!BE42</f>
        <v>0</v>
      </c>
      <c r="P76" s="2504"/>
      <c r="Q76" s="2504">
        <f t="shared" si="2"/>
        <v>0</v>
      </c>
      <c r="R76" s="2504"/>
      <c r="S76" s="4417">
        <f>+'GRD SUMM RCL 150X150 '!BI42</f>
        <v>0</v>
      </c>
      <c r="T76" s="2504"/>
      <c r="U76" s="2504">
        <f t="shared" si="3"/>
        <v>0</v>
      </c>
      <c r="V76" s="2504"/>
      <c r="W76" s="4417">
        <f>+'GRD SUMM RCL 150X150 '!BM42</f>
        <v>0</v>
      </c>
      <c r="X76" s="2504"/>
      <c r="Y76" s="2504">
        <f t="shared" si="4"/>
        <v>0</v>
      </c>
      <c r="Z76" s="2504"/>
      <c r="AA76" s="2504">
        <f t="shared" si="5"/>
        <v>0</v>
      </c>
      <c r="AB76" s="2504"/>
      <c r="AC76" s="4417">
        <f>+'GRD SUMM RCL 150X150 '!BS42</f>
        <v>0</v>
      </c>
      <c r="AD76" s="2504"/>
      <c r="AE76" s="2504">
        <f t="shared" si="6"/>
        <v>0</v>
      </c>
      <c r="AF76" s="2504"/>
      <c r="AG76" s="4417">
        <f>+'GRD SUMM RCL 150X150 '!BW42</f>
        <v>0</v>
      </c>
      <c r="AH76" s="2504"/>
      <c r="AI76" s="2504">
        <f t="shared" si="7"/>
        <v>0</v>
      </c>
      <c r="AJ76" s="2504"/>
      <c r="AK76" s="4913">
        <f>+'GRD SUMM RCL 150X150 '!CA42</f>
        <v>0</v>
      </c>
      <c r="AL76" s="2504"/>
      <c r="AM76" s="2504">
        <f t="shared" si="8"/>
        <v>0</v>
      </c>
      <c r="AN76" s="2504"/>
      <c r="AO76" s="2504">
        <f t="shared" si="9"/>
        <v>0</v>
      </c>
      <c r="AP76" s="2504"/>
      <c r="AQ76" s="4417">
        <f>+'GRD SUMM RCL 150X150 '!CG42</f>
        <v>0</v>
      </c>
      <c r="AR76" s="2504"/>
      <c r="AS76" s="2504">
        <f t="shared" si="10"/>
        <v>0</v>
      </c>
      <c r="AT76" s="2504"/>
      <c r="AU76" s="4417">
        <f>+'GRD SUMM RCL 150X150 '!CK42</f>
        <v>0</v>
      </c>
      <c r="AV76" s="2504"/>
      <c r="AW76" s="2504">
        <f t="shared" si="11"/>
        <v>0</v>
      </c>
      <c r="AX76" s="2504"/>
      <c r="AY76" s="4417">
        <f>+'GRD SUMM RCL 150X150 '!CO42</f>
        <v>0</v>
      </c>
      <c r="AZ76" s="2504"/>
      <c r="BA76" s="4417">
        <f t="shared" si="12"/>
        <v>0</v>
      </c>
      <c r="BB76" s="2504"/>
      <c r="BC76" s="4417">
        <f t="shared" si="13"/>
        <v>0</v>
      </c>
      <c r="BD76" s="2504"/>
      <c r="BE76" s="4417">
        <f t="shared" si="14"/>
        <v>0</v>
      </c>
    </row>
    <row r="77" spans="3:57" x14ac:dyDescent="0.3">
      <c r="C77" s="2" t="s">
        <v>1158</v>
      </c>
      <c r="D77" s="276"/>
      <c r="E77" s="4417">
        <f>+'GRD SUMM RCL 150X150 '!AU43</f>
        <v>3712</v>
      </c>
      <c r="F77" s="2504"/>
      <c r="G77" s="4417">
        <f>+'GRD SUMM RCL 150X150 '!AW43</f>
        <v>0</v>
      </c>
      <c r="H77" s="2504"/>
      <c r="I77" s="2504">
        <f t="shared" si="0"/>
        <v>3712</v>
      </c>
      <c r="J77" s="2504"/>
      <c r="K77" s="4417">
        <f>+'GRD SUMM RCL 150X150 '!BA43</f>
        <v>0</v>
      </c>
      <c r="L77" s="2504"/>
      <c r="M77" s="2504">
        <f t="shared" si="1"/>
        <v>3712</v>
      </c>
      <c r="N77" s="2504"/>
      <c r="O77" s="4417">
        <f>+'GRD SUMM RCL 150X150 '!BE43</f>
        <v>0</v>
      </c>
      <c r="P77" s="2504"/>
      <c r="Q77" s="2504">
        <f t="shared" si="2"/>
        <v>3712</v>
      </c>
      <c r="R77" s="2504"/>
      <c r="S77" s="4417">
        <f>+'GRD SUMM RCL 150X150 '!BI43</f>
        <v>0</v>
      </c>
      <c r="T77" s="2504"/>
      <c r="U77" s="2504">
        <f t="shared" si="3"/>
        <v>3712</v>
      </c>
      <c r="V77" s="2504"/>
      <c r="W77" s="4417">
        <f>+'GRD SUMM RCL 150X150 '!BM43</f>
        <v>0</v>
      </c>
      <c r="X77" s="2504"/>
      <c r="Y77" s="2504">
        <f t="shared" si="4"/>
        <v>0</v>
      </c>
      <c r="Z77" s="2504"/>
      <c r="AA77" s="2504">
        <f t="shared" si="5"/>
        <v>3712</v>
      </c>
      <c r="AB77" s="2504"/>
      <c r="AC77" s="4417">
        <f>+'GRD SUMM RCL 150X150 '!BS43</f>
        <v>0</v>
      </c>
      <c r="AD77" s="2504"/>
      <c r="AE77" s="2504">
        <f t="shared" si="6"/>
        <v>3712</v>
      </c>
      <c r="AF77" s="2504"/>
      <c r="AG77" s="4417">
        <f>+'GRD SUMM RCL 150X150 '!BW43</f>
        <v>0</v>
      </c>
      <c r="AH77" s="2504"/>
      <c r="AI77" s="2504">
        <f t="shared" si="7"/>
        <v>3712</v>
      </c>
      <c r="AJ77" s="2504"/>
      <c r="AK77" s="4913">
        <f>+'GRD SUMM RCL 150X150 '!CA43</f>
        <v>0</v>
      </c>
      <c r="AL77" s="2504"/>
      <c r="AM77" s="2504">
        <f t="shared" si="8"/>
        <v>0</v>
      </c>
      <c r="AN77" s="2504"/>
      <c r="AO77" s="2504">
        <f t="shared" si="9"/>
        <v>3712</v>
      </c>
      <c r="AP77" s="2504"/>
      <c r="AQ77" s="4417">
        <f>+'GRD SUMM RCL 150X150 '!CG43</f>
        <v>0</v>
      </c>
      <c r="AR77" s="2504"/>
      <c r="AS77" s="2504">
        <f t="shared" si="10"/>
        <v>3712</v>
      </c>
      <c r="AT77" s="2504"/>
      <c r="AU77" s="4417">
        <f>+'GRD SUMM RCL 150X150 '!CK43</f>
        <v>0</v>
      </c>
      <c r="AV77" s="2504"/>
      <c r="AW77" s="2504">
        <f t="shared" si="11"/>
        <v>3712</v>
      </c>
      <c r="AX77" s="2504"/>
      <c r="AY77" s="4417">
        <f>+'GRD SUMM RCL 150X150 '!CO43</f>
        <v>0</v>
      </c>
      <c r="AZ77" s="2504"/>
      <c r="BA77" s="4417">
        <f t="shared" si="12"/>
        <v>0</v>
      </c>
      <c r="BB77" s="2504"/>
      <c r="BC77" s="4417">
        <f t="shared" si="13"/>
        <v>0</v>
      </c>
      <c r="BD77" s="2504"/>
      <c r="BE77" s="4417">
        <f t="shared" si="14"/>
        <v>3712</v>
      </c>
    </row>
    <row r="78" spans="3:57" x14ac:dyDescent="0.3">
      <c r="C78" s="2" t="s">
        <v>1157</v>
      </c>
      <c r="D78" s="276"/>
      <c r="E78" s="4417">
        <f>+'GRD SUMM RCL 150X150 '!AU45</f>
        <v>0</v>
      </c>
      <c r="F78" s="2504"/>
      <c r="G78" s="4417">
        <f>+'GRD SUMM RCL 150X150 '!AW45</f>
        <v>0</v>
      </c>
      <c r="H78" s="2504"/>
      <c r="I78" s="2504">
        <f t="shared" si="0"/>
        <v>0</v>
      </c>
      <c r="J78" s="2504"/>
      <c r="K78" s="4417">
        <f>+'GRD SUMM RCL 150X150 '!BA45</f>
        <v>0</v>
      </c>
      <c r="L78" s="2504"/>
      <c r="M78" s="2504">
        <f t="shared" si="1"/>
        <v>0</v>
      </c>
      <c r="N78" s="2504"/>
      <c r="O78" s="4417">
        <f>+'GRD SUMM RCL 150X150 '!BE45</f>
        <v>0</v>
      </c>
      <c r="P78" s="2504"/>
      <c r="Q78" s="2504">
        <f t="shared" si="2"/>
        <v>0</v>
      </c>
      <c r="R78" s="2504"/>
      <c r="S78" s="4417">
        <f>+'GRD SUMM RCL 150X150 '!BI45</f>
        <v>0</v>
      </c>
      <c r="T78" s="2504"/>
      <c r="U78" s="2504">
        <f t="shared" si="3"/>
        <v>0</v>
      </c>
      <c r="V78" s="2504"/>
      <c r="W78" s="4417">
        <f>+'GRD SUMM RCL 150X150 '!BM45</f>
        <v>0</v>
      </c>
      <c r="X78" s="2504"/>
      <c r="Y78" s="2504">
        <f t="shared" si="4"/>
        <v>0</v>
      </c>
      <c r="Z78" s="2504"/>
      <c r="AA78" s="2504">
        <f t="shared" si="5"/>
        <v>0</v>
      </c>
      <c r="AB78" s="2504"/>
      <c r="AC78" s="4417">
        <f>+'GRD SUMM RCL 150X150 '!BS45</f>
        <v>0</v>
      </c>
      <c r="AD78" s="2504"/>
      <c r="AE78" s="2504">
        <f t="shared" si="6"/>
        <v>0</v>
      </c>
      <c r="AF78" s="2504"/>
      <c r="AG78" s="4417">
        <f>+'GRD SUMM RCL 150X150 '!BW45</f>
        <v>0</v>
      </c>
      <c r="AH78" s="2504"/>
      <c r="AI78" s="2504">
        <f t="shared" si="7"/>
        <v>0</v>
      </c>
      <c r="AJ78" s="2504"/>
      <c r="AK78" s="4913">
        <f>+'GRD SUMM RCL 150X150 '!CA45</f>
        <v>0</v>
      </c>
      <c r="AL78" s="2504"/>
      <c r="AM78" s="2504">
        <f t="shared" si="8"/>
        <v>0</v>
      </c>
      <c r="AN78" s="2504"/>
      <c r="AO78" s="2504">
        <f t="shared" si="9"/>
        <v>0</v>
      </c>
      <c r="AP78" s="2504"/>
      <c r="AQ78" s="4417">
        <f>+'GRD SUMM RCL 150X150 '!CG45</f>
        <v>0</v>
      </c>
      <c r="AR78" s="2504"/>
      <c r="AS78" s="2504">
        <f t="shared" si="10"/>
        <v>0</v>
      </c>
      <c r="AT78" s="2504"/>
      <c r="AU78" s="4417">
        <f>+'GRD SUMM RCL 150X150 '!CK45</f>
        <v>0</v>
      </c>
      <c r="AV78" s="2504"/>
      <c r="AW78" s="2504">
        <f t="shared" si="11"/>
        <v>0</v>
      </c>
      <c r="AX78" s="2504"/>
      <c r="AY78" s="4417">
        <f>+'GRD SUMM RCL 150X150 '!CO45</f>
        <v>0</v>
      </c>
      <c r="AZ78" s="2504"/>
      <c r="BA78" s="4417">
        <f t="shared" si="12"/>
        <v>0</v>
      </c>
      <c r="BB78" s="2504"/>
      <c r="BC78" s="4417">
        <f t="shared" si="13"/>
        <v>0</v>
      </c>
      <c r="BD78" s="2504"/>
      <c r="BE78" s="4417">
        <f t="shared" si="14"/>
        <v>0</v>
      </c>
    </row>
    <row r="79" spans="3:57" x14ac:dyDescent="0.3">
      <c r="C79" s="2" t="s">
        <v>1860</v>
      </c>
      <c r="D79" s="276"/>
      <c r="E79" s="4417">
        <f>+'GRD SUMM RCL 150X150 '!AU47</f>
        <v>0</v>
      </c>
      <c r="F79" s="2504"/>
      <c r="G79" s="4417">
        <f>+'GRD SUMM RCL 150X150 '!AW47</f>
        <v>125.434</v>
      </c>
      <c r="H79" s="2504"/>
      <c r="I79" s="2504">
        <f t="shared" si="0"/>
        <v>125.434</v>
      </c>
      <c r="J79" s="2504"/>
      <c r="K79" s="4417">
        <f>+'GRD SUMM RCL 150X150 '!BA47</f>
        <v>0</v>
      </c>
      <c r="L79" s="2504"/>
      <c r="M79" s="2504">
        <f t="shared" si="1"/>
        <v>125.434</v>
      </c>
      <c r="N79" s="2504"/>
      <c r="O79" s="4417">
        <f>+'GRD SUMM RCL 150X150 '!BE47</f>
        <v>0</v>
      </c>
      <c r="P79" s="2504"/>
      <c r="Q79" s="2504">
        <f t="shared" si="2"/>
        <v>125.434</v>
      </c>
      <c r="R79" s="2504"/>
      <c r="S79" s="4417">
        <f>+'GRD SUMM RCL 150X150 '!BI47</f>
        <v>0</v>
      </c>
      <c r="T79" s="2504"/>
      <c r="U79" s="2504">
        <f t="shared" si="3"/>
        <v>125.434</v>
      </c>
      <c r="V79" s="2504"/>
      <c r="W79" s="4417">
        <f>+'GRD SUMM RCL 150X150 '!BM47</f>
        <v>0</v>
      </c>
      <c r="X79" s="2504"/>
      <c r="Y79" s="2504">
        <f t="shared" si="4"/>
        <v>0</v>
      </c>
      <c r="Z79" s="2504"/>
      <c r="AA79" s="2504">
        <f t="shared" si="5"/>
        <v>125.434</v>
      </c>
      <c r="AB79" s="2504"/>
      <c r="AC79" s="4417">
        <f>+'GRD SUMM RCL 150X150 '!BS47</f>
        <v>0</v>
      </c>
      <c r="AD79" s="2504"/>
      <c r="AE79" s="2504">
        <f t="shared" si="6"/>
        <v>125.434</v>
      </c>
      <c r="AF79" s="2504"/>
      <c r="AG79" s="4417">
        <f>+'GRD SUMM RCL 150X150 '!BW47</f>
        <v>0</v>
      </c>
      <c r="AH79" s="2504"/>
      <c r="AI79" s="2504">
        <f t="shared" si="7"/>
        <v>125.434</v>
      </c>
      <c r="AJ79" s="2504"/>
      <c r="AK79" s="4913">
        <f>+'GRD SUMM RCL 150X150 '!CA47</f>
        <v>0</v>
      </c>
      <c r="AL79" s="2504"/>
      <c r="AM79" s="2504">
        <f t="shared" si="8"/>
        <v>0</v>
      </c>
      <c r="AN79" s="2504"/>
      <c r="AO79" s="2504">
        <f t="shared" si="9"/>
        <v>125.434</v>
      </c>
      <c r="AP79" s="2504"/>
      <c r="AQ79" s="4417">
        <f>+'GRD SUMM RCL 150X150 '!CG47</f>
        <v>0</v>
      </c>
      <c r="AR79" s="2504"/>
      <c r="AS79" s="2504">
        <f t="shared" si="10"/>
        <v>125.434</v>
      </c>
      <c r="AT79" s="2504"/>
      <c r="AU79" s="4417">
        <f>+'GRD SUMM RCL 150X150 '!CK47</f>
        <v>0</v>
      </c>
      <c r="AV79" s="2504"/>
      <c r="AW79" s="2504">
        <f t="shared" si="11"/>
        <v>125.434</v>
      </c>
      <c r="AX79" s="2504"/>
      <c r="AY79" s="4417">
        <f>+'GRD SUMM RCL 150X150 '!CO47</f>
        <v>0</v>
      </c>
      <c r="AZ79" s="2504"/>
      <c r="BA79" s="4417">
        <f t="shared" si="12"/>
        <v>0</v>
      </c>
      <c r="BB79" s="2504"/>
      <c r="BC79" s="4417">
        <f t="shared" si="13"/>
        <v>0</v>
      </c>
      <c r="BD79" s="2504"/>
      <c r="BE79" s="4417">
        <f t="shared" si="14"/>
        <v>125.434</v>
      </c>
    </row>
    <row r="80" spans="3:57" x14ac:dyDescent="0.3">
      <c r="C80" s="2" t="s">
        <v>1157</v>
      </c>
      <c r="D80" s="276"/>
      <c r="E80" s="4417">
        <f>+'GRD SUMM RCL 150X150 '!AU48</f>
        <v>0</v>
      </c>
      <c r="F80" s="2504"/>
      <c r="G80" s="4417">
        <f>+'GRD SUMM RCL 150X150 '!AW48</f>
        <v>0</v>
      </c>
      <c r="H80" s="2504"/>
      <c r="I80" s="2504">
        <f t="shared" si="0"/>
        <v>0</v>
      </c>
      <c r="J80" s="2504"/>
      <c r="K80" s="4417">
        <f>+'GRD SUMM RCL 150X150 '!BA48</f>
        <v>0</v>
      </c>
      <c r="L80" s="2504"/>
      <c r="M80" s="2504">
        <f t="shared" si="1"/>
        <v>0</v>
      </c>
      <c r="N80" s="2504"/>
      <c r="O80" s="4417">
        <f>+'GRD SUMM RCL 150X150 '!BE48</f>
        <v>0</v>
      </c>
      <c r="P80" s="2504"/>
      <c r="Q80" s="2504">
        <f t="shared" si="2"/>
        <v>0</v>
      </c>
      <c r="R80" s="2504"/>
      <c r="S80" s="4417">
        <f>+'GRD SUMM RCL 150X150 '!BI48</f>
        <v>0</v>
      </c>
      <c r="T80" s="2504"/>
      <c r="U80" s="2504">
        <f t="shared" si="3"/>
        <v>0</v>
      </c>
      <c r="V80" s="2504"/>
      <c r="W80" s="4417">
        <f>+'GRD SUMM RCL 150X150 '!BM48</f>
        <v>0</v>
      </c>
      <c r="X80" s="2504"/>
      <c r="Y80" s="2504">
        <f t="shared" si="4"/>
        <v>0</v>
      </c>
      <c r="Z80" s="2504"/>
      <c r="AA80" s="2504">
        <f t="shared" si="5"/>
        <v>0</v>
      </c>
      <c r="AB80" s="2504"/>
      <c r="AC80" s="4417">
        <f>+'GRD SUMM RCL 150X150 '!BS48</f>
        <v>0</v>
      </c>
      <c r="AD80" s="2504"/>
      <c r="AE80" s="2504">
        <f t="shared" si="6"/>
        <v>0</v>
      </c>
      <c r="AF80" s="2504"/>
      <c r="AG80" s="4417">
        <f>+'GRD SUMM RCL 150X150 '!BW48</f>
        <v>0</v>
      </c>
      <c r="AH80" s="2504"/>
      <c r="AI80" s="2504">
        <f t="shared" si="7"/>
        <v>0</v>
      </c>
      <c r="AJ80" s="2504"/>
      <c r="AK80" s="4913">
        <f>+'GRD SUMM RCL 150X150 '!CA48</f>
        <v>0</v>
      </c>
      <c r="AL80" s="2504"/>
      <c r="AM80" s="2504">
        <f t="shared" si="8"/>
        <v>0</v>
      </c>
      <c r="AN80" s="2504"/>
      <c r="AO80" s="2504">
        <f t="shared" si="9"/>
        <v>0</v>
      </c>
      <c r="AP80" s="2504"/>
      <c r="AQ80" s="4417">
        <f>+'GRD SUMM RCL 150X150 '!CG48</f>
        <v>0</v>
      </c>
      <c r="AR80" s="2504"/>
      <c r="AS80" s="2504">
        <f t="shared" si="10"/>
        <v>0</v>
      </c>
      <c r="AT80" s="2504"/>
      <c r="AU80" s="4417">
        <f>+'GRD SUMM RCL 150X150 '!CK48</f>
        <v>0</v>
      </c>
      <c r="AV80" s="2504"/>
      <c r="AW80" s="2504">
        <f t="shared" si="11"/>
        <v>0</v>
      </c>
      <c r="AX80" s="2504"/>
      <c r="AY80" s="4417">
        <f>+'GRD SUMM RCL 150X150 '!CO48</f>
        <v>0</v>
      </c>
      <c r="AZ80" s="2504"/>
      <c r="BA80" s="4417">
        <f t="shared" si="12"/>
        <v>0</v>
      </c>
      <c r="BB80" s="2504"/>
      <c r="BC80" s="4417">
        <f t="shared" si="13"/>
        <v>0</v>
      </c>
      <c r="BD80" s="2504"/>
      <c r="BE80" s="4417">
        <f t="shared" si="14"/>
        <v>0</v>
      </c>
    </row>
    <row r="81" spans="3:58" x14ac:dyDescent="0.3">
      <c r="C81" s="2" t="s">
        <v>1865</v>
      </c>
      <c r="D81" s="276"/>
      <c r="E81" s="4417">
        <f>+'GRD SUMM RCL 150X150 '!AU49</f>
        <v>1424</v>
      </c>
      <c r="F81" s="2504"/>
      <c r="G81" s="4417">
        <f>+'GRD SUMM RCL 150X150 '!AW49</f>
        <v>0</v>
      </c>
      <c r="H81" s="2504"/>
      <c r="I81" s="2504">
        <f t="shared" si="0"/>
        <v>1424</v>
      </c>
      <c r="J81" s="2504"/>
      <c r="K81" s="4417">
        <f>+'GRD SUMM RCL 150X150 '!BA49</f>
        <v>0</v>
      </c>
      <c r="L81" s="2504"/>
      <c r="M81" s="2504">
        <f t="shared" si="1"/>
        <v>1424</v>
      </c>
      <c r="N81" s="2504"/>
      <c r="O81" s="4417">
        <f>+'GRD SUMM RCL 150X150 '!BE49</f>
        <v>0</v>
      </c>
      <c r="P81" s="2504"/>
      <c r="Q81" s="2504">
        <f t="shared" si="2"/>
        <v>1424</v>
      </c>
      <c r="R81" s="2504"/>
      <c r="S81" s="4417">
        <f>+'GRD SUMM RCL 150X150 '!BI49</f>
        <v>0</v>
      </c>
      <c r="T81" s="2504"/>
      <c r="U81" s="2504">
        <f t="shared" si="3"/>
        <v>1424</v>
      </c>
      <c r="V81" s="2504"/>
      <c r="W81" s="4417">
        <f>+'GRD SUMM RCL 150X150 '!BM49</f>
        <v>0</v>
      </c>
      <c r="X81" s="2504"/>
      <c r="Y81" s="2504">
        <f t="shared" si="4"/>
        <v>0</v>
      </c>
      <c r="Z81" s="2504"/>
      <c r="AA81" s="2504">
        <f t="shared" si="5"/>
        <v>1424</v>
      </c>
      <c r="AB81" s="2504"/>
      <c r="AC81" s="4417">
        <f>+'GRD SUMM RCL 150X150 '!BS49</f>
        <v>0</v>
      </c>
      <c r="AD81" s="2504"/>
      <c r="AE81" s="2504">
        <f t="shared" si="6"/>
        <v>1424</v>
      </c>
      <c r="AF81" s="2504"/>
      <c r="AG81" s="4417">
        <f>+'GRD SUMM RCL 150X150 '!BW49</f>
        <v>0</v>
      </c>
      <c r="AH81" s="2504"/>
      <c r="AI81" s="2504">
        <f t="shared" si="7"/>
        <v>1424</v>
      </c>
      <c r="AJ81" s="2504"/>
      <c r="AK81" s="4913">
        <f>+'GRD SUMM RCL 150X150 '!CA49</f>
        <v>0</v>
      </c>
      <c r="AL81" s="2504"/>
      <c r="AM81" s="2504">
        <f t="shared" si="8"/>
        <v>0</v>
      </c>
      <c r="AN81" s="2504"/>
      <c r="AO81" s="2504">
        <f t="shared" si="9"/>
        <v>1424</v>
      </c>
      <c r="AP81" s="2504"/>
      <c r="AQ81" s="4417">
        <f>+'GRD SUMM RCL 150X150 '!CG49</f>
        <v>0</v>
      </c>
      <c r="AR81" s="2504"/>
      <c r="AS81" s="2504">
        <f t="shared" si="10"/>
        <v>1424</v>
      </c>
      <c r="AT81" s="2504"/>
      <c r="AU81" s="4417">
        <f>+'GRD SUMM RCL 150X150 '!CK49</f>
        <v>0</v>
      </c>
      <c r="AV81" s="2504"/>
      <c r="AW81" s="2504">
        <f t="shared" si="11"/>
        <v>1424</v>
      </c>
      <c r="AX81" s="2504"/>
      <c r="AY81" s="4417">
        <f>+'GRD SUMM RCL 150X150 '!CO49</f>
        <v>0</v>
      </c>
      <c r="AZ81" s="2504"/>
      <c r="BA81" s="4417">
        <f t="shared" si="12"/>
        <v>0</v>
      </c>
      <c r="BB81" s="2504"/>
      <c r="BC81" s="4417">
        <f t="shared" si="13"/>
        <v>0</v>
      </c>
      <c r="BD81" s="2504"/>
      <c r="BE81" s="4417">
        <f t="shared" si="14"/>
        <v>1424</v>
      </c>
    </row>
    <row r="82" spans="3:58" x14ac:dyDescent="0.3">
      <c r="C82" s="4543" t="str">
        <f>+'GRD SUMM RCL 150X150 '!E50</f>
        <v>BLOOM CB C25 HMN MA V65 150*150</v>
      </c>
      <c r="D82" s="5228"/>
      <c r="E82" s="4417">
        <f>+'GRD SUMM RCL 150X150 '!AU50</f>
        <v>134</v>
      </c>
      <c r="F82" s="5229"/>
      <c r="G82" s="4545"/>
      <c r="H82" s="5229"/>
      <c r="I82" s="2504">
        <f t="shared" si="0"/>
        <v>134</v>
      </c>
      <c r="J82" s="5229"/>
      <c r="K82" s="4545"/>
      <c r="L82" s="5229"/>
      <c r="M82" s="5229"/>
      <c r="N82" s="5229"/>
      <c r="O82" s="4545"/>
      <c r="P82" s="5229"/>
      <c r="Q82" s="5229"/>
      <c r="R82" s="5229"/>
      <c r="S82" s="4545"/>
      <c r="T82" s="5229"/>
      <c r="U82" s="5229"/>
      <c r="V82" s="5229"/>
      <c r="W82" s="4545"/>
      <c r="X82" s="5229"/>
      <c r="Y82" s="5229"/>
      <c r="Z82" s="5229"/>
      <c r="AA82" s="5229"/>
      <c r="AB82" s="5229"/>
      <c r="AC82" s="4545"/>
      <c r="AD82" s="5229"/>
      <c r="AE82" s="5229"/>
      <c r="AF82" s="5229"/>
      <c r="AG82" s="4545"/>
      <c r="AH82" s="5229"/>
      <c r="AI82" s="5229"/>
      <c r="AJ82" s="5229"/>
      <c r="AK82" s="4914"/>
      <c r="AL82" s="5229"/>
      <c r="AM82" s="5229"/>
      <c r="AN82" s="5229"/>
      <c r="AO82" s="5229"/>
      <c r="AP82" s="5229"/>
      <c r="AQ82" s="4545"/>
      <c r="AR82" s="5229"/>
      <c r="AS82" s="5229"/>
      <c r="AT82" s="5229"/>
      <c r="AU82" s="4545"/>
      <c r="AV82" s="5229"/>
      <c r="AW82" s="5229"/>
      <c r="AX82" s="5229"/>
      <c r="AY82" s="4545"/>
      <c r="AZ82" s="5229"/>
      <c r="BA82" s="4545"/>
      <c r="BB82" s="5229"/>
      <c r="BC82" s="4545"/>
      <c r="BD82" s="5229"/>
      <c r="BE82" s="4545"/>
    </row>
    <row r="83" spans="3:58" x14ac:dyDescent="0.3">
      <c r="C83" s="2" t="s">
        <v>1815</v>
      </c>
      <c r="D83" s="276"/>
      <c r="E83" s="4417">
        <f>+'GRD SUMM RCL 150X150 '!AU51</f>
        <v>6490</v>
      </c>
      <c r="F83" s="2504"/>
      <c r="G83" s="4417">
        <f>+'GRD SUMM RCL 150X150 '!AW51</f>
        <v>7912.9719999999998</v>
      </c>
      <c r="H83" s="2504"/>
      <c r="I83" s="2504">
        <f t="shared" si="0"/>
        <v>14402.972</v>
      </c>
      <c r="J83" s="2504"/>
      <c r="K83" s="4417">
        <f>+'GRD SUMM RCL 150X150 '!BA51</f>
        <v>0</v>
      </c>
      <c r="L83" s="2504"/>
      <c r="M83" s="2504">
        <f t="shared" si="1"/>
        <v>14402.972</v>
      </c>
      <c r="N83" s="2504"/>
      <c r="O83" s="4417">
        <f>+'GRD SUMM RCL 150X150 '!BE51</f>
        <v>0</v>
      </c>
      <c r="P83" s="2504"/>
      <c r="Q83" s="2504">
        <f t="shared" si="2"/>
        <v>14402.972</v>
      </c>
      <c r="R83" s="2504"/>
      <c r="S83" s="4417">
        <f>+'GRD SUMM RCL 150X150 '!BI51</f>
        <v>0</v>
      </c>
      <c r="T83" s="2504"/>
      <c r="U83" s="2504">
        <f t="shared" si="3"/>
        <v>14402.972</v>
      </c>
      <c r="V83" s="2504"/>
      <c r="W83" s="4417">
        <f>+'GRD SUMM RCL 150X150 '!BM51</f>
        <v>0</v>
      </c>
      <c r="X83" s="2504"/>
      <c r="Y83" s="2504">
        <f t="shared" si="4"/>
        <v>0</v>
      </c>
      <c r="Z83" s="2504"/>
      <c r="AA83" s="2504">
        <f t="shared" si="5"/>
        <v>14402.972</v>
      </c>
      <c r="AB83" s="2504"/>
      <c r="AC83" s="4417">
        <f>+'GRD SUMM RCL 150X150 '!BS51</f>
        <v>0</v>
      </c>
      <c r="AD83" s="2504"/>
      <c r="AE83" s="2504">
        <f t="shared" si="6"/>
        <v>14402.972</v>
      </c>
      <c r="AF83" s="2504"/>
      <c r="AG83" s="4417">
        <f>+'GRD SUMM RCL 150X150 '!BW51</f>
        <v>0</v>
      </c>
      <c r="AH83" s="2504"/>
      <c r="AI83" s="2504">
        <f t="shared" si="7"/>
        <v>14402.972</v>
      </c>
      <c r="AJ83" s="2504"/>
      <c r="AK83" s="4913">
        <f>+'GRD SUMM RCL 150X150 '!CA51</f>
        <v>0</v>
      </c>
      <c r="AL83" s="2504"/>
      <c r="AM83" s="2504">
        <f t="shared" si="8"/>
        <v>0</v>
      </c>
      <c r="AN83" s="2504"/>
      <c r="AO83" s="2504">
        <f t="shared" si="9"/>
        <v>14402.972</v>
      </c>
      <c r="AP83" s="2504"/>
      <c r="AQ83" s="4417">
        <f>+'GRD SUMM RCL 150X150 '!CG51</f>
        <v>0</v>
      </c>
      <c r="AR83" s="2504"/>
      <c r="AS83" s="2504">
        <f t="shared" si="10"/>
        <v>14402.972</v>
      </c>
      <c r="AT83" s="2504"/>
      <c r="AU83" s="4417">
        <f>+'GRD SUMM RCL 150X150 '!CK51</f>
        <v>0</v>
      </c>
      <c r="AV83" s="2504"/>
      <c r="AW83" s="2504">
        <f t="shared" si="11"/>
        <v>14402.972</v>
      </c>
      <c r="AX83" s="2504"/>
      <c r="AY83" s="4417">
        <f>+'GRD SUMM RCL 150X150 '!CO51</f>
        <v>0</v>
      </c>
      <c r="AZ83" s="2504"/>
      <c r="BA83" s="4417">
        <f t="shared" si="12"/>
        <v>0</v>
      </c>
      <c r="BB83" s="2504"/>
      <c r="BC83" s="4417">
        <f t="shared" si="13"/>
        <v>0</v>
      </c>
      <c r="BD83" s="2504"/>
      <c r="BE83" s="4417">
        <f t="shared" si="14"/>
        <v>14402.972</v>
      </c>
    </row>
    <row r="84" spans="3:58" x14ac:dyDescent="0.3">
      <c r="C84" s="2" t="s">
        <v>1159</v>
      </c>
      <c r="D84" s="276"/>
      <c r="E84" s="4417">
        <f>+'GRD SUMM RCL 150X150 '!AU52</f>
        <v>10001</v>
      </c>
      <c r="F84" s="2504"/>
      <c r="G84" s="4417">
        <f>+'GRD SUMM RCL 150X150 '!AW52</f>
        <v>6503.4340000000002</v>
      </c>
      <c r="H84" s="2504"/>
      <c r="I84" s="2504">
        <f t="shared" si="0"/>
        <v>16504.434000000001</v>
      </c>
      <c r="J84" s="2504"/>
      <c r="K84" s="4417">
        <f>+'GRD SUMM RCL 150X150 '!BA52</f>
        <v>0</v>
      </c>
      <c r="L84" s="2504"/>
      <c r="M84" s="2504">
        <f t="shared" si="1"/>
        <v>16504.434000000001</v>
      </c>
      <c r="N84" s="2504"/>
      <c r="O84" s="4417">
        <f>+'GRD SUMM RCL 150X150 '!BE52</f>
        <v>0</v>
      </c>
      <c r="P84" s="2504"/>
      <c r="Q84" s="2504">
        <f t="shared" si="2"/>
        <v>16504.434000000001</v>
      </c>
      <c r="R84" s="2504"/>
      <c r="S84" s="4417">
        <f>+'GRD SUMM RCL 150X150 '!BI52</f>
        <v>0</v>
      </c>
      <c r="T84" s="2504"/>
      <c r="U84" s="2504">
        <f t="shared" si="3"/>
        <v>16504.434000000001</v>
      </c>
      <c r="V84" s="2504"/>
      <c r="W84" s="4417">
        <f>+'GRD SUMM RCL 150X150 '!BM52</f>
        <v>0</v>
      </c>
      <c r="X84" s="2504"/>
      <c r="Y84" s="2504">
        <f t="shared" si="4"/>
        <v>0</v>
      </c>
      <c r="Z84" s="2504"/>
      <c r="AA84" s="2504">
        <f t="shared" si="5"/>
        <v>16504.434000000001</v>
      </c>
      <c r="AB84" s="2504"/>
      <c r="AC84" s="4417">
        <f>+'GRD SUMM RCL 150X150 '!BS52</f>
        <v>0</v>
      </c>
      <c r="AD84" s="2504"/>
      <c r="AE84" s="2504">
        <f t="shared" si="6"/>
        <v>16504.434000000001</v>
      </c>
      <c r="AF84" s="2504"/>
      <c r="AG84" s="4417">
        <f>+'GRD SUMM RCL 150X150 '!BW52</f>
        <v>0</v>
      </c>
      <c r="AH84" s="2504"/>
      <c r="AI84" s="2504">
        <f t="shared" si="7"/>
        <v>16504.434000000001</v>
      </c>
      <c r="AJ84" s="2504"/>
      <c r="AK84" s="4913">
        <f>+'GRD SUMM RCL 150X150 '!CA52</f>
        <v>0</v>
      </c>
      <c r="AL84" s="2504"/>
      <c r="AM84" s="2504">
        <f t="shared" si="8"/>
        <v>0</v>
      </c>
      <c r="AN84" s="2504"/>
      <c r="AO84" s="2504">
        <f t="shared" si="9"/>
        <v>16504.434000000001</v>
      </c>
      <c r="AP84" s="2504"/>
      <c r="AQ84" s="4417">
        <f>+'GRD SUMM RCL 150X150 '!CG52</f>
        <v>0</v>
      </c>
      <c r="AR84" s="2504"/>
      <c r="AS84" s="2504">
        <f t="shared" si="10"/>
        <v>16504.434000000001</v>
      </c>
      <c r="AT84" s="2504"/>
      <c r="AU84" s="4417">
        <f>+'GRD SUMM RCL 150X150 '!CK52</f>
        <v>0</v>
      </c>
      <c r="AV84" s="2504"/>
      <c r="AW84" s="2504">
        <f t="shared" si="11"/>
        <v>16504.434000000001</v>
      </c>
      <c r="AX84" s="2504"/>
      <c r="AY84" s="4417">
        <f>+'GRD SUMM RCL 150X150 '!CO52</f>
        <v>0</v>
      </c>
      <c r="AZ84" s="2504"/>
      <c r="BA84" s="4417">
        <f t="shared" si="12"/>
        <v>0</v>
      </c>
      <c r="BB84" s="2504"/>
      <c r="BC84" s="4417">
        <f t="shared" si="13"/>
        <v>0</v>
      </c>
      <c r="BD84" s="2504"/>
      <c r="BE84" s="4417">
        <f t="shared" si="14"/>
        <v>16504.434000000001</v>
      </c>
    </row>
    <row r="85" spans="3:58" x14ac:dyDescent="0.3">
      <c r="C85" s="2" t="s">
        <v>1941</v>
      </c>
      <c r="D85" s="276"/>
      <c r="E85" s="4417">
        <f>+'GRD SUMM RCL 150X150 '!AU56</f>
        <v>0</v>
      </c>
      <c r="F85" s="2504"/>
      <c r="G85" s="4417">
        <f>+'GRD SUMM RCL 150X150 '!AW56</f>
        <v>0</v>
      </c>
      <c r="H85" s="2504"/>
      <c r="I85" s="2504">
        <f t="shared" si="0"/>
        <v>0</v>
      </c>
      <c r="J85" s="2504"/>
      <c r="K85" s="4417">
        <f>+'GRD SUMM RCL 150X150 '!BA56</f>
        <v>0</v>
      </c>
      <c r="L85" s="2504"/>
      <c r="M85" s="2504">
        <f t="shared" si="1"/>
        <v>0</v>
      </c>
      <c r="N85" s="2504"/>
      <c r="O85" s="4417">
        <f>+'GRD SUMM RCL 150X150 '!BE56</f>
        <v>0</v>
      </c>
      <c r="P85" s="2504"/>
      <c r="Q85" s="2504">
        <f t="shared" si="2"/>
        <v>0</v>
      </c>
      <c r="R85" s="2504"/>
      <c r="S85" s="4417">
        <f>+'GRD SUMM RCL 150X150 '!BI56</f>
        <v>0</v>
      </c>
      <c r="T85" s="2504"/>
      <c r="U85" s="2504">
        <f t="shared" si="3"/>
        <v>0</v>
      </c>
      <c r="V85" s="2504"/>
      <c r="W85" s="4417">
        <f>+'GRD SUMM RCL 150X150 '!BM56</f>
        <v>0</v>
      </c>
      <c r="X85" s="2504"/>
      <c r="Y85" s="2504">
        <f t="shared" si="4"/>
        <v>0</v>
      </c>
      <c r="Z85" s="2504"/>
      <c r="AA85" s="2504">
        <f t="shared" si="5"/>
        <v>0</v>
      </c>
      <c r="AB85" s="2504"/>
      <c r="AC85" s="4417">
        <f>+'GRD SUMM RCL 150X150 '!BS56</f>
        <v>0</v>
      </c>
      <c r="AD85" s="2504"/>
      <c r="AE85" s="2504">
        <f t="shared" si="6"/>
        <v>0</v>
      </c>
      <c r="AF85" s="2504"/>
      <c r="AG85" s="4417">
        <f>+'GRD SUMM RCL 150X150 '!BW56</f>
        <v>0</v>
      </c>
      <c r="AH85" s="2504"/>
      <c r="AI85" s="2504">
        <f t="shared" si="7"/>
        <v>0</v>
      </c>
      <c r="AJ85" s="2504"/>
      <c r="AK85" s="4913">
        <f>+'GRD SUMM RCL 150X150 '!CA56</f>
        <v>0</v>
      </c>
      <c r="AL85" s="2504"/>
      <c r="AM85" s="2504">
        <f t="shared" si="8"/>
        <v>0</v>
      </c>
      <c r="AN85" s="2504"/>
      <c r="AO85" s="2504">
        <f t="shared" si="9"/>
        <v>0</v>
      </c>
      <c r="AP85" s="2504"/>
      <c r="AQ85" s="4417">
        <f>+'GRD SUMM RCL 150X150 '!CG56</f>
        <v>0</v>
      </c>
      <c r="AR85" s="2504"/>
      <c r="AS85" s="2504">
        <f t="shared" si="10"/>
        <v>0</v>
      </c>
      <c r="AT85" s="2504"/>
      <c r="AU85" s="4417">
        <f>+'GRD SUMM RCL 150X150 '!CK56</f>
        <v>0</v>
      </c>
      <c r="AV85" s="2504"/>
      <c r="AW85" s="2504">
        <f t="shared" si="11"/>
        <v>0</v>
      </c>
      <c r="AX85" s="2504"/>
      <c r="AY85" s="4417">
        <f>+'GRD SUMM RCL 150X150 '!CO56</f>
        <v>0</v>
      </c>
      <c r="AZ85" s="2504"/>
      <c r="BA85" s="4417">
        <f t="shared" si="12"/>
        <v>0</v>
      </c>
      <c r="BB85" s="2504"/>
      <c r="BC85" s="4417">
        <f t="shared" si="13"/>
        <v>0</v>
      </c>
      <c r="BD85" s="2504"/>
      <c r="BE85" s="4417">
        <f t="shared" si="14"/>
        <v>0</v>
      </c>
    </row>
    <row r="86" spans="3:58" x14ac:dyDescent="0.3">
      <c r="C86" s="4543" t="s">
        <v>2026</v>
      </c>
      <c r="D86" s="4544"/>
      <c r="E86" s="4545">
        <f>'GRD SUMM RCL 150X150 '!AU58</f>
        <v>0</v>
      </c>
      <c r="F86" s="4546"/>
      <c r="G86" s="4545">
        <f>'GRD SUMM RCL 150X150 '!AW58</f>
        <v>0</v>
      </c>
      <c r="H86" s="4546"/>
      <c r="I86" s="2504">
        <f t="shared" si="0"/>
        <v>0</v>
      </c>
      <c r="J86" s="4546"/>
      <c r="K86" s="4545">
        <f>'GRD SUMM RCL 150X150 '!BA58</f>
        <v>0</v>
      </c>
      <c r="L86" s="4546"/>
      <c r="M86" s="4546"/>
      <c r="N86" s="4546"/>
      <c r="O86" s="4545">
        <f>'GRD SUMM RCL 150X150 '!BE58</f>
        <v>0</v>
      </c>
      <c r="P86" s="4546"/>
      <c r="Q86" s="4546"/>
      <c r="R86" s="4546"/>
      <c r="S86" s="4545">
        <f>'GRD SUMM RCL 150X150 '!BI58</f>
        <v>0</v>
      </c>
      <c r="T86" s="4546"/>
      <c r="U86" s="2504">
        <f t="shared" si="3"/>
        <v>0</v>
      </c>
      <c r="V86" s="4546"/>
      <c r="W86" s="4545">
        <f>'GRD SUMM RCL 150X150 '!BM58</f>
        <v>0</v>
      </c>
      <c r="X86" s="4546"/>
      <c r="Y86" s="2504">
        <f t="shared" si="4"/>
        <v>0</v>
      </c>
      <c r="Z86" s="4546"/>
      <c r="AA86" s="2504">
        <f t="shared" si="5"/>
        <v>0</v>
      </c>
      <c r="AB86" s="4546"/>
      <c r="AC86" s="4545">
        <f>'GRD SUMM RCL 150X150 '!BS58</f>
        <v>0</v>
      </c>
      <c r="AD86" s="4546"/>
      <c r="AE86" s="2504">
        <f t="shared" ref="AE86" si="15">+AC86+W86+S86+O86+K86+G86+E86</f>
        <v>0</v>
      </c>
      <c r="AF86" s="2504"/>
      <c r="AG86" s="4545">
        <f>'GRD SUMM RCL 150X150 '!BW58</f>
        <v>0</v>
      </c>
      <c r="AH86" s="2504"/>
      <c r="AI86" s="2504">
        <f t="shared" ref="AI86" si="16">+AG86+AC86+W86+S86+O86+K86+G86+E86</f>
        <v>0</v>
      </c>
      <c r="AJ86" s="2504"/>
      <c r="AK86" s="4914">
        <f>'GRD SUMM RCL 150X150 '!CA58</f>
        <v>0</v>
      </c>
      <c r="AL86" s="2504"/>
      <c r="AM86" s="2504">
        <f t="shared" ref="AM86" si="17">+AK86+AG86+AC86</f>
        <v>0</v>
      </c>
      <c r="AN86" s="2504"/>
      <c r="AO86" s="2504">
        <f t="shared" ref="AO86" si="18">+AK86+AG86+AC86+W86+S86+O86+K86+G86+E86</f>
        <v>0</v>
      </c>
      <c r="AP86" s="2504"/>
      <c r="AQ86" s="4545">
        <f>'GRD SUMM RCL 150X150 '!CG58</f>
        <v>0</v>
      </c>
      <c r="AR86" s="2504"/>
      <c r="AS86" s="2504">
        <f t="shared" ref="AS86" si="19">+AO86+AQ86</f>
        <v>0</v>
      </c>
      <c r="AT86" s="2504"/>
      <c r="AU86" s="4545">
        <f>'GRD SUMM RCL 150X150 '!CK58</f>
        <v>0</v>
      </c>
      <c r="AV86" s="2504"/>
      <c r="AW86" s="2504">
        <f t="shared" ref="AW86" si="20">+AS86+AU86</f>
        <v>0</v>
      </c>
      <c r="AX86" s="2504"/>
      <c r="AY86" s="4545">
        <f>'GRD SUMM RCL 150X150 '!CO58</f>
        <v>0</v>
      </c>
      <c r="AZ86" s="2504"/>
      <c r="BA86" s="4545">
        <f t="shared" si="12"/>
        <v>0</v>
      </c>
      <c r="BB86" s="2504"/>
      <c r="BC86" s="4545">
        <f t="shared" si="13"/>
        <v>0</v>
      </c>
      <c r="BD86" s="2504"/>
      <c r="BE86" s="4545">
        <f t="shared" si="14"/>
        <v>0</v>
      </c>
    </row>
    <row r="87" spans="3:58" x14ac:dyDescent="0.3">
      <c r="C87" s="2" t="s">
        <v>1864</v>
      </c>
      <c r="D87" s="276"/>
      <c r="E87" s="4417">
        <f>+'GRD SUMM RCL 150X150 '!AU59</f>
        <v>1939</v>
      </c>
      <c r="F87" s="2504"/>
      <c r="G87" s="4417">
        <f>+'GRD SUMM RCL 150X150 '!AW59</f>
        <v>1128.9059999999999</v>
      </c>
      <c r="H87" s="2504"/>
      <c r="I87" s="2504">
        <f t="shared" si="0"/>
        <v>3067.9059999999999</v>
      </c>
      <c r="J87" s="2504"/>
      <c r="K87" s="4417">
        <f>+'GRD SUMM RCL 150X150 '!BA59</f>
        <v>0</v>
      </c>
      <c r="L87" s="2504"/>
      <c r="M87" s="2504">
        <f t="shared" si="1"/>
        <v>3067.9059999999999</v>
      </c>
      <c r="N87" s="2504"/>
      <c r="O87" s="4417">
        <f>+'GRD SUMM RCL 150X150 '!BE59</f>
        <v>0</v>
      </c>
      <c r="P87" s="2504"/>
      <c r="Q87" s="2504">
        <f t="shared" si="2"/>
        <v>3067.9059999999999</v>
      </c>
      <c r="R87" s="2504"/>
      <c r="S87" s="4417">
        <f>+'GRD SUMM RCL 150X150 '!BI59</f>
        <v>0</v>
      </c>
      <c r="T87" s="2504"/>
      <c r="U87" s="2504">
        <f t="shared" si="3"/>
        <v>3067.9059999999999</v>
      </c>
      <c r="V87" s="2504"/>
      <c r="W87" s="4417">
        <f>+'GRD SUMM RCL 150X150 '!BM59</f>
        <v>0</v>
      </c>
      <c r="X87" s="2504"/>
      <c r="Y87" s="2504">
        <f t="shared" si="4"/>
        <v>0</v>
      </c>
      <c r="Z87" s="2504"/>
      <c r="AA87" s="2504">
        <f t="shared" si="5"/>
        <v>3067.9059999999999</v>
      </c>
      <c r="AB87" s="2504"/>
      <c r="AC87" s="4417">
        <f>+'GRD SUMM RCL 150X150 '!BS59</f>
        <v>0</v>
      </c>
      <c r="AD87" s="2504"/>
      <c r="AE87" s="2504">
        <f t="shared" si="6"/>
        <v>3067.9059999999999</v>
      </c>
      <c r="AF87" s="2504"/>
      <c r="AG87" s="4417">
        <f>+'GRD SUMM RCL 150X150 '!BW59</f>
        <v>0</v>
      </c>
      <c r="AH87" s="2504"/>
      <c r="AI87" s="2504">
        <f t="shared" si="7"/>
        <v>3067.9059999999999</v>
      </c>
      <c r="AJ87" s="2504"/>
      <c r="AK87" s="4913">
        <f>+'GRD SUMM RCL 150X150 '!CA59</f>
        <v>0</v>
      </c>
      <c r="AL87" s="2504"/>
      <c r="AM87" s="2504">
        <f t="shared" si="8"/>
        <v>0</v>
      </c>
      <c r="AN87" s="2504"/>
      <c r="AO87" s="2504">
        <f t="shared" si="9"/>
        <v>3067.9059999999999</v>
      </c>
      <c r="AP87" s="2504"/>
      <c r="AQ87" s="4417">
        <f>+'GRD SUMM RCL 150X150 '!CG59</f>
        <v>0</v>
      </c>
      <c r="AR87" s="2504"/>
      <c r="AS87" s="2504">
        <f t="shared" si="10"/>
        <v>3067.9059999999999</v>
      </c>
      <c r="AT87" s="2504"/>
      <c r="AU87" s="4417">
        <f>+'GRD SUMM RCL 150X150 '!CK59</f>
        <v>0</v>
      </c>
      <c r="AV87" s="2504"/>
      <c r="AW87" s="2504">
        <f t="shared" si="11"/>
        <v>3067.9059999999999</v>
      </c>
      <c r="AX87" s="2504"/>
      <c r="AY87" s="4417">
        <f>+'GRD SUMM RCL 150X150 '!CO59</f>
        <v>0</v>
      </c>
      <c r="AZ87" s="2504"/>
      <c r="BA87" s="4417">
        <f t="shared" si="12"/>
        <v>0</v>
      </c>
      <c r="BB87" s="2504"/>
      <c r="BC87" s="4417">
        <f t="shared" si="13"/>
        <v>0</v>
      </c>
      <c r="BD87" s="2504"/>
      <c r="BE87" s="4417">
        <f t="shared" si="14"/>
        <v>3067.9059999999999</v>
      </c>
    </row>
    <row r="88" spans="3:58" x14ac:dyDescent="0.3">
      <c r="C88" s="2" t="s">
        <v>1281</v>
      </c>
      <c r="D88" s="276"/>
      <c r="E88" s="4417">
        <f>+'GRD SUMM RCL 150X150 '!AU60</f>
        <v>2346</v>
      </c>
      <c r="F88" s="2504"/>
      <c r="G88" s="4417">
        <f>+'GRD SUMM RCL 150X150 '!AW60</f>
        <v>1345.758</v>
      </c>
      <c r="H88" s="2504"/>
      <c r="I88" s="2504">
        <f t="shared" si="0"/>
        <v>3691.7579999999998</v>
      </c>
      <c r="J88" s="2504"/>
      <c r="K88" s="4417">
        <f>+'GRD SUMM RCL 150X150 '!BA60</f>
        <v>0</v>
      </c>
      <c r="L88" s="2504"/>
      <c r="M88" s="2504">
        <f t="shared" si="1"/>
        <v>3691.7579999999998</v>
      </c>
      <c r="N88" s="2504"/>
      <c r="O88" s="4417">
        <f>+'GRD SUMM RCL 150X150 '!BE60</f>
        <v>0</v>
      </c>
      <c r="P88" s="2504"/>
      <c r="Q88" s="2504">
        <f t="shared" si="2"/>
        <v>3691.7579999999998</v>
      </c>
      <c r="R88" s="2504"/>
      <c r="S88" s="4417">
        <f>+'GRD SUMM RCL 150X150 '!BI60</f>
        <v>0</v>
      </c>
      <c r="T88" s="2504"/>
      <c r="U88" s="2504">
        <f t="shared" si="3"/>
        <v>3691.7579999999998</v>
      </c>
      <c r="V88" s="2504"/>
      <c r="W88" s="4417">
        <f>+'GRD SUMM RCL 150X150 '!BM60</f>
        <v>0</v>
      </c>
      <c r="X88" s="2504"/>
      <c r="Y88" s="2504">
        <f t="shared" si="4"/>
        <v>0</v>
      </c>
      <c r="Z88" s="2504"/>
      <c r="AA88" s="2504">
        <f t="shared" si="5"/>
        <v>3691.7579999999998</v>
      </c>
      <c r="AB88" s="2504"/>
      <c r="AC88" s="4417">
        <f>+'GRD SUMM RCL 150X150 '!BS60</f>
        <v>0</v>
      </c>
      <c r="AD88" s="2504"/>
      <c r="AE88" s="2504">
        <f t="shared" si="6"/>
        <v>3691.7579999999998</v>
      </c>
      <c r="AF88" s="2504"/>
      <c r="AG88" s="4417">
        <f>+'GRD SUMM RCL 150X150 '!BW60</f>
        <v>0</v>
      </c>
      <c r="AH88" s="2504"/>
      <c r="AI88" s="2504">
        <f t="shared" si="7"/>
        <v>3691.7579999999998</v>
      </c>
      <c r="AJ88" s="2504"/>
      <c r="AK88" s="4913">
        <f>+'GRD SUMM RCL 150X150 '!CA60</f>
        <v>0</v>
      </c>
      <c r="AL88" s="2504"/>
      <c r="AM88" s="2504">
        <f t="shared" si="8"/>
        <v>0</v>
      </c>
      <c r="AN88" s="2504"/>
      <c r="AO88" s="2504">
        <f t="shared" si="9"/>
        <v>3691.7579999999998</v>
      </c>
      <c r="AP88" s="2504"/>
      <c r="AQ88" s="4417">
        <f>+'GRD SUMM RCL 150X150 '!CG60</f>
        <v>0</v>
      </c>
      <c r="AR88" s="2504"/>
      <c r="AS88" s="2504">
        <f t="shared" si="10"/>
        <v>3691.7579999999998</v>
      </c>
      <c r="AT88" s="2504"/>
      <c r="AU88" s="4417">
        <f>+'GRD SUMM RCL 150X150 '!CK60</f>
        <v>0</v>
      </c>
      <c r="AV88" s="2504"/>
      <c r="AW88" s="2504">
        <f t="shared" si="11"/>
        <v>3691.7579999999998</v>
      </c>
      <c r="AX88" s="2504"/>
      <c r="AY88" s="4417">
        <f>+'GRD SUMM RCL 150X150 '!CO60</f>
        <v>0</v>
      </c>
      <c r="AZ88" s="2504"/>
      <c r="BA88" s="4417">
        <f t="shared" si="12"/>
        <v>0</v>
      </c>
      <c r="BB88" s="2504"/>
      <c r="BC88" s="4417">
        <f t="shared" si="13"/>
        <v>0</v>
      </c>
      <c r="BD88" s="2504"/>
      <c r="BE88" s="4417">
        <f t="shared" si="14"/>
        <v>3691.7579999999998</v>
      </c>
    </row>
    <row r="89" spans="3:58" ht="15.6" x14ac:dyDescent="0.3">
      <c r="C89" s="2509" t="s">
        <v>2</v>
      </c>
      <c r="D89" s="2528"/>
      <c r="E89" s="2510">
        <f>SUM(E68:E88)</f>
        <v>30640</v>
      </c>
      <c r="F89" s="2510"/>
      <c r="G89" s="2510">
        <f>+SUM(G68:G88)</f>
        <v>19438.018</v>
      </c>
      <c r="H89" s="2510"/>
      <c r="I89" s="2510">
        <f t="shared" ref="I89:I100" si="21">+E89+G89</f>
        <v>50078.017999999996</v>
      </c>
      <c r="J89" s="2510"/>
      <c r="K89" s="2510">
        <f>+SUM(K68:K88)</f>
        <v>0</v>
      </c>
      <c r="L89" s="2510"/>
      <c r="M89" s="2510">
        <f t="shared" si="1"/>
        <v>50078.017999999996</v>
      </c>
      <c r="N89" s="2510"/>
      <c r="O89" s="2510">
        <f>+SUM(O68:O88)</f>
        <v>0</v>
      </c>
      <c r="P89" s="2510"/>
      <c r="Q89" s="2510">
        <f t="shared" si="2"/>
        <v>50078.017999999996</v>
      </c>
      <c r="R89" s="2510"/>
      <c r="S89" s="2510">
        <f>+SUM(S68:S88)</f>
        <v>0</v>
      </c>
      <c r="T89" s="2510"/>
      <c r="U89" s="2510">
        <f t="shared" si="3"/>
        <v>50078.017999999996</v>
      </c>
      <c r="V89" s="2510"/>
      <c r="W89" s="2510">
        <f>+SUM(W68:W88)</f>
        <v>0</v>
      </c>
      <c r="X89" s="2510"/>
      <c r="Y89" s="2510">
        <f t="shared" si="4"/>
        <v>0</v>
      </c>
      <c r="Z89" s="2510"/>
      <c r="AA89" s="2510">
        <f t="shared" si="5"/>
        <v>50078.017999999996</v>
      </c>
      <c r="AB89" s="2510"/>
      <c r="AC89" s="2510">
        <f>+SUM(AC68:AC88)</f>
        <v>0</v>
      </c>
      <c r="AD89" s="2510"/>
      <c r="AE89" s="2510">
        <f t="shared" si="6"/>
        <v>50078.017999999996</v>
      </c>
      <c r="AF89" s="2510"/>
      <c r="AG89" s="2510">
        <f>+SUM(AG68:AG88)</f>
        <v>0</v>
      </c>
      <c r="AH89" s="2510"/>
      <c r="AI89" s="2510">
        <f t="shared" si="7"/>
        <v>50078.017999999996</v>
      </c>
      <c r="AJ89" s="2510"/>
      <c r="AK89" s="4915">
        <f>+SUM(AK68:AK88)</f>
        <v>0</v>
      </c>
      <c r="AL89" s="2510"/>
      <c r="AM89" s="2510">
        <f t="shared" si="8"/>
        <v>0</v>
      </c>
      <c r="AN89" s="2510"/>
      <c r="AO89" s="2510">
        <f t="shared" si="9"/>
        <v>50078.017999999996</v>
      </c>
      <c r="AP89" s="2510"/>
      <c r="AQ89" s="2510">
        <f>+SUM(AQ68:AQ88)</f>
        <v>0</v>
      </c>
      <c r="AR89" s="2510"/>
      <c r="AS89" s="2510">
        <f t="shared" si="10"/>
        <v>50078.017999999996</v>
      </c>
      <c r="AT89" s="2510"/>
      <c r="AU89" s="2510">
        <f>+SUM(AU68:AU88)</f>
        <v>0</v>
      </c>
      <c r="AV89" s="2510"/>
      <c r="AW89" s="2510">
        <f t="shared" si="11"/>
        <v>50078.017999999996</v>
      </c>
      <c r="AX89" s="2510"/>
      <c r="AY89" s="2510">
        <f>+SUM(AY68:AY88)</f>
        <v>0</v>
      </c>
      <c r="AZ89" s="2510"/>
      <c r="BA89" s="2510">
        <f t="shared" si="12"/>
        <v>0</v>
      </c>
      <c r="BB89" s="2510"/>
      <c r="BC89" s="2510">
        <f t="shared" si="13"/>
        <v>0</v>
      </c>
      <c r="BD89" s="2510"/>
      <c r="BE89" s="2510">
        <f t="shared" si="14"/>
        <v>50078.017999999996</v>
      </c>
    </row>
    <row r="90" spans="3:58" x14ac:dyDescent="0.3">
      <c r="C90" s="2511" t="s">
        <v>1437</v>
      </c>
      <c r="D90" s="2529"/>
      <c r="E90" s="2355">
        <f>+SMS!F36</f>
        <v>290</v>
      </c>
      <c r="F90" s="2355"/>
      <c r="G90" s="2355">
        <f>+SMS!H36</f>
        <v>43</v>
      </c>
      <c r="H90" s="2355"/>
      <c r="I90" s="2355">
        <f t="shared" si="21"/>
        <v>333</v>
      </c>
      <c r="J90" s="2355"/>
      <c r="K90" s="2355">
        <f>+SMS!L36</f>
        <v>56</v>
      </c>
      <c r="L90" s="2355"/>
      <c r="M90" s="2355">
        <f t="shared" si="1"/>
        <v>389</v>
      </c>
      <c r="N90" s="2355"/>
      <c r="O90" s="2355">
        <f>+SMS!P36</f>
        <v>26</v>
      </c>
      <c r="P90" s="2355"/>
      <c r="Q90" s="2355">
        <f t="shared" si="2"/>
        <v>415</v>
      </c>
      <c r="R90" s="2355"/>
      <c r="S90" s="2355">
        <f>+SMS!T36</f>
        <v>66</v>
      </c>
      <c r="T90" s="2355"/>
      <c r="U90" s="2355">
        <f t="shared" si="3"/>
        <v>481</v>
      </c>
      <c r="V90" s="2355"/>
      <c r="W90" s="2355">
        <f>+SMS!X36</f>
        <v>260</v>
      </c>
      <c r="X90" s="2355"/>
      <c r="Y90" s="2355">
        <f t="shared" si="4"/>
        <v>352</v>
      </c>
      <c r="Z90" s="2355"/>
      <c r="AA90" s="2355">
        <f t="shared" si="5"/>
        <v>741</v>
      </c>
      <c r="AB90" s="2355"/>
      <c r="AC90" s="2355">
        <f>+SMS!AD36</f>
        <v>95</v>
      </c>
      <c r="AD90" s="2355"/>
      <c r="AE90" s="2355">
        <f t="shared" si="6"/>
        <v>836</v>
      </c>
      <c r="AF90" s="2355"/>
      <c r="AG90" s="2355">
        <f>+SMS!AH36</f>
        <v>0</v>
      </c>
      <c r="AH90" s="2355"/>
      <c r="AI90" s="2355">
        <f t="shared" si="7"/>
        <v>836</v>
      </c>
      <c r="AJ90" s="2355"/>
      <c r="AK90" s="4916">
        <f>+SMS!AL36</f>
        <v>38</v>
      </c>
      <c r="AL90" s="2355"/>
      <c r="AM90" s="2355">
        <f t="shared" si="8"/>
        <v>133</v>
      </c>
      <c r="AN90" s="2355"/>
      <c r="AO90" s="2355">
        <f t="shared" si="9"/>
        <v>874</v>
      </c>
      <c r="AP90" s="2355"/>
      <c r="AQ90" s="2355">
        <f>+SMS!AR36</f>
        <v>367</v>
      </c>
      <c r="AR90" s="2355"/>
      <c r="AS90" s="2355">
        <f t="shared" si="10"/>
        <v>1241</v>
      </c>
      <c r="AT90" s="2355"/>
      <c r="AU90" s="2355">
        <f>+SMS!AV36</f>
        <v>256</v>
      </c>
      <c r="AV90" s="2355"/>
      <c r="AW90" s="2355">
        <f t="shared" si="11"/>
        <v>1497</v>
      </c>
      <c r="AX90" s="2355"/>
      <c r="AY90" s="2355">
        <f>+SMS!AZ36</f>
        <v>104</v>
      </c>
      <c r="AZ90" s="2355"/>
      <c r="BA90" s="2355">
        <f t="shared" si="12"/>
        <v>727</v>
      </c>
      <c r="BB90" s="2355"/>
      <c r="BC90" s="2355">
        <f t="shared" si="13"/>
        <v>860</v>
      </c>
      <c r="BD90" s="2355"/>
      <c r="BE90" s="2355">
        <f t="shared" si="14"/>
        <v>1601</v>
      </c>
    </row>
    <row r="91" spans="3:58" x14ac:dyDescent="0.3">
      <c r="C91" s="4110" t="s">
        <v>1660</v>
      </c>
      <c r="D91" s="4111"/>
      <c r="E91" s="4112">
        <f>+SUM(E92:E95)</f>
        <v>5030.3</v>
      </c>
      <c r="F91" s="4112"/>
      <c r="G91" s="4112">
        <f>+SUM(G92:G95)</f>
        <v>1470.527</v>
      </c>
      <c r="H91" s="4112"/>
      <c r="I91" s="4112">
        <f t="shared" si="21"/>
        <v>6500.8270000000002</v>
      </c>
      <c r="J91" s="4112"/>
      <c r="K91" s="4112">
        <f>+SUM(K92:K95)</f>
        <v>6752</v>
      </c>
      <c r="L91" s="4112"/>
      <c r="M91" s="4112">
        <f t="shared" si="1"/>
        <v>13252.827000000001</v>
      </c>
      <c r="N91" s="4112"/>
      <c r="O91" s="4112">
        <f>+SUM(O92:O95)</f>
        <v>5864</v>
      </c>
      <c r="P91" s="4112"/>
      <c r="Q91" s="4112">
        <f t="shared" si="2"/>
        <v>19116.827000000001</v>
      </c>
      <c r="R91" s="4112"/>
      <c r="S91" s="4112">
        <f>+SUM(S92:S95)</f>
        <v>6517.4620000000004</v>
      </c>
      <c r="T91" s="4112"/>
      <c r="U91" s="4112">
        <f t="shared" si="3"/>
        <v>25634.289000000001</v>
      </c>
      <c r="V91" s="4112"/>
      <c r="W91" s="4112">
        <f>+SUM(W92:W95)</f>
        <v>8118</v>
      </c>
      <c r="X91" s="4112"/>
      <c r="Y91" s="4112">
        <f t="shared" si="4"/>
        <v>20499.462</v>
      </c>
      <c r="Z91" s="4112"/>
      <c r="AA91" s="4112">
        <f t="shared" si="5"/>
        <v>33752.289000000004</v>
      </c>
      <c r="AB91" s="4112"/>
      <c r="AC91" s="4112">
        <f>+SUM(AC92:AC95)</f>
        <v>2680.55</v>
      </c>
      <c r="AD91" s="4112"/>
      <c r="AE91" s="4112">
        <f t="shared" si="6"/>
        <v>36432.839</v>
      </c>
      <c r="AF91" s="4112"/>
      <c r="AG91" s="4112">
        <f>+SUM(AG92:AG95)</f>
        <v>4501.1049999999996</v>
      </c>
      <c r="AH91" s="4112"/>
      <c r="AI91" s="4112">
        <f t="shared" si="7"/>
        <v>40933.944000000003</v>
      </c>
      <c r="AJ91" s="4112"/>
      <c r="AK91" s="4917">
        <f>+SUM(AK92:AK95)</f>
        <v>7125.1909999999998</v>
      </c>
      <c r="AL91" s="4112"/>
      <c r="AM91" s="4112">
        <f t="shared" si="8"/>
        <v>14306.845999999998</v>
      </c>
      <c r="AN91" s="4112"/>
      <c r="AO91" s="4112">
        <f t="shared" si="9"/>
        <v>48059.135000000002</v>
      </c>
      <c r="AP91" s="4112"/>
      <c r="AQ91" s="4112">
        <f>+SUM(AQ92:AQ95)</f>
        <v>5258.3330000000005</v>
      </c>
      <c r="AR91" s="4112"/>
      <c r="AS91" s="4112">
        <f t="shared" si="10"/>
        <v>53317.468000000001</v>
      </c>
      <c r="AT91" s="4112"/>
      <c r="AU91" s="4112">
        <f>+SUM(AU92:AU95)</f>
        <v>2960.277</v>
      </c>
      <c r="AV91" s="4112"/>
      <c r="AW91" s="4112">
        <f t="shared" si="11"/>
        <v>56277.745000000003</v>
      </c>
      <c r="AX91" s="4112"/>
      <c r="AY91" s="4112">
        <f>+SUM(AY92:AY95)</f>
        <v>3075.6949999999997</v>
      </c>
      <c r="AZ91" s="4112"/>
      <c r="BA91" s="4112">
        <f t="shared" si="12"/>
        <v>11294.305</v>
      </c>
      <c r="BB91" s="4112"/>
      <c r="BC91" s="4112">
        <f t="shared" si="13"/>
        <v>25601.150999999998</v>
      </c>
      <c r="BD91" s="4112"/>
      <c r="BE91" s="4112">
        <f t="shared" si="14"/>
        <v>59353.440000000002</v>
      </c>
    </row>
    <row r="92" spans="3:58" hidden="1" x14ac:dyDescent="0.3">
      <c r="C92" s="2512" t="s">
        <v>1661</v>
      </c>
      <c r="D92" s="2530"/>
      <c r="E92" s="2429">
        <v>0</v>
      </c>
      <c r="F92" s="2429"/>
      <c r="G92" s="2429"/>
      <c r="H92" s="2429"/>
      <c r="I92" s="2429">
        <f t="shared" si="21"/>
        <v>0</v>
      </c>
      <c r="J92" s="2429"/>
      <c r="K92" s="2429">
        <v>0</v>
      </c>
      <c r="L92" s="2429"/>
      <c r="M92" s="2429">
        <f t="shared" si="1"/>
        <v>0</v>
      </c>
      <c r="N92" s="2429"/>
      <c r="O92" s="2429">
        <v>2</v>
      </c>
      <c r="P92" s="2429"/>
      <c r="Q92" s="2429">
        <f t="shared" si="2"/>
        <v>2</v>
      </c>
      <c r="R92" s="2429"/>
      <c r="S92" s="2429">
        <v>0</v>
      </c>
      <c r="T92" s="2429"/>
      <c r="U92" s="2429">
        <f t="shared" si="3"/>
        <v>2</v>
      </c>
      <c r="V92" s="2429"/>
      <c r="W92" s="2429">
        <v>0</v>
      </c>
      <c r="X92" s="2429"/>
      <c r="Y92" s="2429">
        <f t="shared" si="4"/>
        <v>2</v>
      </c>
      <c r="Z92" s="2429"/>
      <c r="AA92" s="2429">
        <f t="shared" si="5"/>
        <v>2</v>
      </c>
      <c r="AB92" s="2429"/>
      <c r="AC92" s="2429">
        <v>0</v>
      </c>
      <c r="AD92" s="2429"/>
      <c r="AE92" s="2429">
        <f t="shared" si="6"/>
        <v>2</v>
      </c>
      <c r="AF92" s="2429"/>
      <c r="AG92" s="2429">
        <v>0</v>
      </c>
      <c r="AH92" s="2429"/>
      <c r="AI92" s="2429">
        <f t="shared" si="7"/>
        <v>2</v>
      </c>
      <c r="AJ92" s="2429"/>
      <c r="AK92" s="2429">
        <v>0</v>
      </c>
      <c r="AL92" s="2429"/>
      <c r="AM92" s="2429">
        <f t="shared" si="8"/>
        <v>0</v>
      </c>
      <c r="AN92" s="2429"/>
      <c r="AO92" s="2429">
        <f t="shared" si="9"/>
        <v>2</v>
      </c>
      <c r="AP92" s="2429"/>
      <c r="AQ92" s="2429">
        <v>0</v>
      </c>
      <c r="AR92" s="2429"/>
      <c r="AS92" s="2429">
        <f t="shared" si="10"/>
        <v>2</v>
      </c>
      <c r="AT92" s="2429"/>
      <c r="AU92" s="2429">
        <v>0</v>
      </c>
      <c r="AV92" s="2429"/>
      <c r="AW92" s="2429">
        <f t="shared" si="11"/>
        <v>2</v>
      </c>
      <c r="AX92" s="2429"/>
      <c r="AY92" s="2429">
        <v>0</v>
      </c>
      <c r="AZ92" s="2429"/>
      <c r="BA92" s="2429">
        <f t="shared" si="12"/>
        <v>0</v>
      </c>
      <c r="BB92" s="2429"/>
      <c r="BC92" s="2429">
        <f t="shared" si="13"/>
        <v>0</v>
      </c>
      <c r="BD92" s="2429"/>
      <c r="BE92" s="2429">
        <f t="shared" si="14"/>
        <v>2</v>
      </c>
    </row>
    <row r="93" spans="3:58" ht="15" hidden="1" customHeight="1" x14ac:dyDescent="0.3">
      <c r="C93" s="2512" t="s">
        <v>1662</v>
      </c>
      <c r="D93" s="2530"/>
      <c r="E93" s="2429">
        <v>0</v>
      </c>
      <c r="F93" s="2429"/>
      <c r="G93" s="2429"/>
      <c r="H93" s="2429"/>
      <c r="I93" s="2429">
        <f t="shared" si="21"/>
        <v>0</v>
      </c>
      <c r="J93" s="2429"/>
      <c r="K93" s="2429"/>
      <c r="L93" s="2429"/>
      <c r="M93" s="2429">
        <f t="shared" si="1"/>
        <v>0</v>
      </c>
      <c r="N93" s="2429"/>
      <c r="O93" s="2429"/>
      <c r="P93" s="2429"/>
      <c r="Q93" s="2429">
        <f t="shared" si="2"/>
        <v>0</v>
      </c>
      <c r="R93" s="2429"/>
      <c r="S93" s="2429"/>
      <c r="T93" s="2429"/>
      <c r="U93" s="2429">
        <f t="shared" si="3"/>
        <v>0</v>
      </c>
      <c r="V93" s="2429"/>
      <c r="W93" s="2429"/>
      <c r="X93" s="2429"/>
      <c r="Y93" s="2429">
        <f t="shared" si="4"/>
        <v>0</v>
      </c>
      <c r="Z93" s="2429"/>
      <c r="AA93" s="2429">
        <f t="shared" si="5"/>
        <v>0</v>
      </c>
      <c r="AB93" s="2429"/>
      <c r="AC93" s="2429"/>
      <c r="AD93" s="2429"/>
      <c r="AE93" s="2429">
        <f t="shared" si="6"/>
        <v>0</v>
      </c>
      <c r="AF93" s="2429"/>
      <c r="AG93" s="2429"/>
      <c r="AH93" s="2429"/>
      <c r="AI93" s="2429">
        <f t="shared" si="7"/>
        <v>0</v>
      </c>
      <c r="AJ93" s="2429"/>
      <c r="AK93" s="2429"/>
      <c r="AL93" s="2429"/>
      <c r="AM93" s="2429">
        <f t="shared" si="8"/>
        <v>0</v>
      </c>
      <c r="AN93" s="2429"/>
      <c r="AO93" s="2429">
        <f t="shared" si="9"/>
        <v>0</v>
      </c>
      <c r="AP93" s="2429"/>
      <c r="AQ93" s="2429"/>
      <c r="AR93" s="2429"/>
      <c r="AS93" s="2429">
        <f t="shared" si="10"/>
        <v>0</v>
      </c>
      <c r="AT93" s="2429"/>
      <c r="AU93" s="2429"/>
      <c r="AV93" s="2429"/>
      <c r="AW93" s="2429">
        <f t="shared" si="11"/>
        <v>0</v>
      </c>
      <c r="AX93" s="2429"/>
      <c r="AY93" s="2429"/>
      <c r="AZ93" s="2429"/>
      <c r="BA93" s="2429">
        <f t="shared" si="12"/>
        <v>0</v>
      </c>
      <c r="BB93" s="2429"/>
      <c r="BC93" s="2429">
        <f t="shared" si="13"/>
        <v>0</v>
      </c>
      <c r="BD93" s="2429"/>
      <c r="BE93" s="2429">
        <f t="shared" si="14"/>
        <v>0</v>
      </c>
    </row>
    <row r="94" spans="3:58" x14ac:dyDescent="0.3">
      <c r="C94" s="4103" t="s">
        <v>1854</v>
      </c>
      <c r="D94" s="4104"/>
      <c r="E94" s="2429">
        <v>5021.8</v>
      </c>
      <c r="F94" s="4114"/>
      <c r="G94" s="4114">
        <v>1075.6130000000001</v>
      </c>
      <c r="H94" s="4114"/>
      <c r="I94" s="2429">
        <f t="shared" si="21"/>
        <v>6097.4130000000005</v>
      </c>
      <c r="J94" s="4114"/>
      <c r="K94" s="4114">
        <v>6752</v>
      </c>
      <c r="L94" s="4114"/>
      <c r="M94" s="2429">
        <f t="shared" si="1"/>
        <v>12849.413</v>
      </c>
      <c r="N94" s="4114"/>
      <c r="O94" s="4114">
        <v>5862</v>
      </c>
      <c r="P94" s="4114"/>
      <c r="Q94" s="2429">
        <f t="shared" si="2"/>
        <v>18711.413</v>
      </c>
      <c r="R94" s="4114"/>
      <c r="S94" s="4114">
        <v>6517.4620000000004</v>
      </c>
      <c r="T94" s="4114"/>
      <c r="U94" s="2429">
        <f t="shared" si="3"/>
        <v>25228.875</v>
      </c>
      <c r="V94" s="4114"/>
      <c r="W94" s="4114">
        <v>7401</v>
      </c>
      <c r="X94" s="4114"/>
      <c r="Y94" s="2429">
        <f t="shared" si="4"/>
        <v>19780.462</v>
      </c>
      <c r="Z94" s="4114"/>
      <c r="AA94" s="2429">
        <f t="shared" si="5"/>
        <v>32629.875</v>
      </c>
      <c r="AB94" s="4114"/>
      <c r="AC94" s="4114">
        <v>2680.55</v>
      </c>
      <c r="AD94" s="4114"/>
      <c r="AE94" s="2429">
        <f t="shared" si="6"/>
        <v>35310.425000000003</v>
      </c>
      <c r="AF94" s="4114"/>
      <c r="AG94" s="4114">
        <v>4501.1049999999996</v>
      </c>
      <c r="AH94" s="4114"/>
      <c r="AI94" s="2429">
        <f>+AG94+AC94+W94+S94+O94+K94+G94+E94</f>
        <v>39811.53</v>
      </c>
      <c r="AJ94" s="4114"/>
      <c r="AK94" s="4114">
        <v>5860.241</v>
      </c>
      <c r="AL94" s="4114"/>
      <c r="AM94" s="2429">
        <f t="shared" si="8"/>
        <v>13041.896000000001</v>
      </c>
      <c r="AN94" s="4114"/>
      <c r="AO94" s="2429">
        <f t="shared" si="9"/>
        <v>45671.771000000001</v>
      </c>
      <c r="AP94" s="4114"/>
      <c r="AQ94" s="4114">
        <v>4443.1850000000004</v>
      </c>
      <c r="AR94" s="4114"/>
      <c r="AS94" s="2429">
        <f t="shared" si="10"/>
        <v>50114.955999999998</v>
      </c>
      <c r="AT94" s="4114"/>
      <c r="AU94" s="4114">
        <v>2371.7429999999999</v>
      </c>
      <c r="AV94" s="4114"/>
      <c r="AW94" s="2429">
        <f t="shared" si="11"/>
        <v>52486.699000000001</v>
      </c>
      <c r="AX94" s="4114"/>
      <c r="AY94" s="4114">
        <v>2984.5819999999999</v>
      </c>
      <c r="AZ94" s="4114"/>
      <c r="BA94" s="4114">
        <f t="shared" si="12"/>
        <v>9799.51</v>
      </c>
      <c r="BB94" s="4114"/>
      <c r="BC94" s="4114">
        <f t="shared" si="13"/>
        <v>22841.406000000003</v>
      </c>
      <c r="BD94" s="4114"/>
      <c r="BE94" s="4114">
        <f t="shared" si="14"/>
        <v>55471.281000000003</v>
      </c>
    </row>
    <row r="95" spans="3:58" x14ac:dyDescent="0.3">
      <c r="C95" s="2512" t="s">
        <v>2057</v>
      </c>
      <c r="D95" s="2530"/>
      <c r="E95" s="5234">
        <v>8.5</v>
      </c>
      <c r="F95" s="2429"/>
      <c r="G95" s="2429">
        <v>394.91399999999999</v>
      </c>
      <c r="H95" s="2429"/>
      <c r="I95" s="2429">
        <f t="shared" si="21"/>
        <v>403.41399999999999</v>
      </c>
      <c r="J95" s="2429"/>
      <c r="K95" s="2429"/>
      <c r="L95" s="2429"/>
      <c r="M95" s="2429">
        <f t="shared" si="1"/>
        <v>403.41399999999999</v>
      </c>
      <c r="N95" s="2429"/>
      <c r="O95" s="2429"/>
      <c r="P95" s="2429"/>
      <c r="Q95" s="2429">
        <f t="shared" si="2"/>
        <v>403.41399999999999</v>
      </c>
      <c r="R95" s="2429"/>
      <c r="S95" s="2429"/>
      <c r="T95" s="2429"/>
      <c r="U95" s="2429">
        <f t="shared" si="3"/>
        <v>403.41399999999999</v>
      </c>
      <c r="V95" s="2429"/>
      <c r="W95" s="2429">
        <v>717</v>
      </c>
      <c r="X95" s="2429"/>
      <c r="Y95" s="2429">
        <f t="shared" si="4"/>
        <v>717</v>
      </c>
      <c r="Z95" s="2429"/>
      <c r="AA95" s="2429">
        <f t="shared" si="5"/>
        <v>1120.414</v>
      </c>
      <c r="AB95" s="2429"/>
      <c r="AC95" s="2429">
        <v>0</v>
      </c>
      <c r="AD95" s="2429"/>
      <c r="AE95" s="2429">
        <f t="shared" si="6"/>
        <v>1120.414</v>
      </c>
      <c r="AF95" s="2429"/>
      <c r="AG95" s="2429">
        <v>0</v>
      </c>
      <c r="AH95" s="2429"/>
      <c r="AI95" s="2429">
        <f t="shared" si="7"/>
        <v>1120.414</v>
      </c>
      <c r="AJ95" s="2429"/>
      <c r="AK95" s="2429">
        <v>1264.95</v>
      </c>
      <c r="AL95" s="2429"/>
      <c r="AM95" s="2429">
        <f t="shared" si="8"/>
        <v>1264.95</v>
      </c>
      <c r="AN95" s="2429"/>
      <c r="AO95" s="2429">
        <f t="shared" si="9"/>
        <v>2385.364</v>
      </c>
      <c r="AP95" s="2429"/>
      <c r="AQ95" s="2429">
        <v>815.14800000000002</v>
      </c>
      <c r="AR95" s="2429"/>
      <c r="AS95" s="2429">
        <f t="shared" si="10"/>
        <v>3200.5120000000002</v>
      </c>
      <c r="AT95" s="2429"/>
      <c r="AU95" s="2429">
        <v>588.53399999999999</v>
      </c>
      <c r="AV95" s="2429"/>
      <c r="AW95" s="2429">
        <f t="shared" si="11"/>
        <v>3789.0460000000003</v>
      </c>
      <c r="AX95" s="2429"/>
      <c r="AY95" s="2429">
        <v>91.113</v>
      </c>
      <c r="AZ95" s="2429"/>
      <c r="BA95" s="2429">
        <f t="shared" si="12"/>
        <v>1494.7950000000001</v>
      </c>
      <c r="BB95" s="2429"/>
      <c r="BC95" s="2429">
        <f t="shared" si="13"/>
        <v>2759.7449999999999</v>
      </c>
      <c r="BD95" s="2429"/>
      <c r="BE95" s="2429">
        <f t="shared" si="14"/>
        <v>3880.1590000000001</v>
      </c>
    </row>
    <row r="96" spans="3:58" ht="16.2" thickBot="1" x14ac:dyDescent="0.35">
      <c r="C96" s="2513" t="s">
        <v>1663</v>
      </c>
      <c r="D96" s="2531"/>
      <c r="E96" s="2514">
        <f>+E89+E90+E91</f>
        <v>35960.300000000003</v>
      </c>
      <c r="F96" s="2514"/>
      <c r="G96" s="2514">
        <f>+G89+G90+G91</f>
        <v>20951.544999999998</v>
      </c>
      <c r="H96" s="2514"/>
      <c r="I96" s="2514">
        <f t="shared" si="21"/>
        <v>56911.845000000001</v>
      </c>
      <c r="J96" s="2514"/>
      <c r="K96" s="2514">
        <f>+K89+K90+K91</f>
        <v>6808</v>
      </c>
      <c r="L96" s="2514"/>
      <c r="M96" s="2514">
        <f t="shared" si="1"/>
        <v>63719.845000000001</v>
      </c>
      <c r="N96" s="2514"/>
      <c r="O96" s="2514">
        <f>+O89+O90+O91</f>
        <v>5890</v>
      </c>
      <c r="P96" s="2514"/>
      <c r="Q96" s="2514">
        <f t="shared" si="2"/>
        <v>69609.845000000001</v>
      </c>
      <c r="R96" s="2514"/>
      <c r="S96" s="2514">
        <f>+S89+S90+S91</f>
        <v>6583.4620000000004</v>
      </c>
      <c r="T96" s="2514"/>
      <c r="U96" s="2514">
        <f t="shared" si="3"/>
        <v>76193.307000000001</v>
      </c>
      <c r="V96" s="2514"/>
      <c r="W96" s="2514">
        <f>+W89+W90+W91</f>
        <v>8378</v>
      </c>
      <c r="X96" s="2514"/>
      <c r="Y96" s="2514">
        <f t="shared" si="4"/>
        <v>20851.462</v>
      </c>
      <c r="Z96" s="2514"/>
      <c r="AA96" s="2514">
        <f t="shared" si="5"/>
        <v>84571.307000000001</v>
      </c>
      <c r="AB96" s="2514"/>
      <c r="AC96" s="2514">
        <f>+AC89+AC90+AC91</f>
        <v>2775.55</v>
      </c>
      <c r="AD96" s="2514"/>
      <c r="AE96" s="2514">
        <f t="shared" si="6"/>
        <v>87346.857000000004</v>
      </c>
      <c r="AF96" s="2514"/>
      <c r="AG96" s="2514">
        <f>+AG89+AG90+AG91</f>
        <v>4501.1049999999996</v>
      </c>
      <c r="AH96" s="2514"/>
      <c r="AI96" s="2514">
        <f t="shared" si="7"/>
        <v>91847.962</v>
      </c>
      <c r="AJ96" s="2514"/>
      <c r="AK96" s="2514">
        <f>+AK89+AK90+AK91</f>
        <v>7163.1909999999998</v>
      </c>
      <c r="AL96" s="2514"/>
      <c r="AM96" s="2514">
        <f t="shared" si="8"/>
        <v>14439.845999999998</v>
      </c>
      <c r="AN96" s="2514"/>
      <c r="AO96" s="2514">
        <f t="shared" si="9"/>
        <v>99011.152999999991</v>
      </c>
      <c r="AP96" s="2514"/>
      <c r="AQ96" s="2514">
        <f>+AQ89+AQ90+AQ91</f>
        <v>5625.3330000000005</v>
      </c>
      <c r="AR96" s="2514"/>
      <c r="AS96" s="2514">
        <f t="shared" si="10"/>
        <v>104636.48599999999</v>
      </c>
      <c r="AT96" s="2514"/>
      <c r="AU96" s="2514">
        <f>+AU89+AU90+AU91</f>
        <v>3216.277</v>
      </c>
      <c r="AV96" s="2514"/>
      <c r="AW96" s="2514">
        <f t="shared" si="11"/>
        <v>107852.76299999999</v>
      </c>
      <c r="AX96" s="2514"/>
      <c r="AY96" s="2514">
        <f>+AY89+AY90+AY91</f>
        <v>3179.6949999999997</v>
      </c>
      <c r="AZ96" s="2514"/>
      <c r="BA96" s="2514">
        <f t="shared" si="12"/>
        <v>12021.305</v>
      </c>
      <c r="BB96" s="2514"/>
      <c r="BC96" s="2514">
        <f t="shared" si="13"/>
        <v>26461.150999999998</v>
      </c>
      <c r="BD96" s="2514"/>
      <c r="BE96" s="2514">
        <f t="shared" si="14"/>
        <v>111032.45800000001</v>
      </c>
      <c r="BF96" s="23"/>
    </row>
    <row r="97" spans="2:58" x14ac:dyDescent="0.3">
      <c r="C97" s="2515"/>
      <c r="AC97"/>
      <c r="AK97"/>
      <c r="BF97" s="23"/>
    </row>
    <row r="98" spans="2:58" ht="15" hidden="1" customHeight="1" x14ac:dyDescent="0.3">
      <c r="C98" s="2516" t="s">
        <v>1359</v>
      </c>
      <c r="D98" s="2532"/>
      <c r="E98" s="2517">
        <v>3662.1749999999997</v>
      </c>
      <c r="F98" s="2517"/>
      <c r="G98" s="2517">
        <v>3662.1749999999997</v>
      </c>
      <c r="H98" s="2517"/>
      <c r="I98" s="2517">
        <f t="shared" si="21"/>
        <v>7324.3499999999995</v>
      </c>
      <c r="J98" s="2517"/>
      <c r="K98" s="2517">
        <v>3662.1749999999997</v>
      </c>
      <c r="L98" s="2517"/>
      <c r="M98" s="2517">
        <f t="shared" si="1"/>
        <v>10986.525</v>
      </c>
      <c r="N98" s="2517"/>
      <c r="O98" s="2517">
        <v>3662.1749999999997</v>
      </c>
      <c r="P98" s="2517"/>
      <c r="Q98" s="2517">
        <f t="shared" si="2"/>
        <v>14648.699999999999</v>
      </c>
      <c r="R98" s="2517"/>
      <c r="S98" s="2517">
        <v>3662.1749999999997</v>
      </c>
      <c r="T98" s="2517"/>
      <c r="U98" s="2517">
        <f t="shared" si="3"/>
        <v>18310.875</v>
      </c>
      <c r="V98" s="2517"/>
      <c r="W98" s="2517">
        <v>3662.1749999999997</v>
      </c>
      <c r="X98" s="2517"/>
      <c r="Y98" s="2517">
        <f t="shared" si="4"/>
        <v>10986.525</v>
      </c>
      <c r="Z98" s="2517"/>
      <c r="AA98" s="2517">
        <f t="shared" si="5"/>
        <v>21973.05</v>
      </c>
      <c r="AB98" s="2517"/>
      <c r="AC98" s="2517">
        <v>3662.1749999999997</v>
      </c>
      <c r="AD98" s="2517"/>
      <c r="AE98" s="2517">
        <f t="shared" si="6"/>
        <v>25635.224999999999</v>
      </c>
      <c r="AF98" s="2517"/>
      <c r="AG98" s="2517">
        <v>3662.1749999999997</v>
      </c>
      <c r="AH98" s="2517"/>
      <c r="AI98" s="2517">
        <f t="shared" si="7"/>
        <v>29297.399999999998</v>
      </c>
      <c r="AJ98" s="2517"/>
      <c r="AK98" s="2517">
        <v>3662.1749999999997</v>
      </c>
      <c r="AL98" s="2517"/>
      <c r="AM98" s="2517">
        <f t="shared" si="8"/>
        <v>10986.525</v>
      </c>
      <c r="AN98" s="2517"/>
      <c r="AO98" s="2517">
        <f t="shared" si="9"/>
        <v>32959.574999999997</v>
      </c>
      <c r="AP98" s="2517"/>
      <c r="AQ98" s="2517">
        <v>3662.1749999999997</v>
      </c>
      <c r="AR98" s="2517"/>
      <c r="AS98" s="2517">
        <f t="shared" si="10"/>
        <v>36621.75</v>
      </c>
      <c r="AT98" s="2517"/>
      <c r="AU98" s="2517">
        <v>3662.1749999999997</v>
      </c>
      <c r="AV98" s="2517"/>
      <c r="AW98" s="2517">
        <f t="shared" si="11"/>
        <v>40283.925000000003</v>
      </c>
      <c r="AX98" s="2517"/>
      <c r="AY98" s="2517">
        <v>3662.1749999999997</v>
      </c>
      <c r="AZ98" s="2517"/>
      <c r="BA98" s="2517">
        <f t="shared" si="12"/>
        <v>10986.525</v>
      </c>
      <c r="BB98" s="2517"/>
      <c r="BC98" s="2517">
        <f t="shared" si="13"/>
        <v>21973.05</v>
      </c>
      <c r="BD98" s="2517"/>
      <c r="BE98" s="2517">
        <f t="shared" si="14"/>
        <v>43946.100000000006</v>
      </c>
    </row>
    <row r="99" spans="2:58" ht="15" hidden="1" customHeight="1" x14ac:dyDescent="0.3">
      <c r="C99" s="2516" t="s">
        <v>1160</v>
      </c>
      <c r="D99" s="2532"/>
      <c r="E99" s="2517">
        <v>74606.466</v>
      </c>
      <c r="F99" s="2517"/>
      <c r="G99" s="2517">
        <v>74606.466</v>
      </c>
      <c r="H99" s="2517"/>
      <c r="I99" s="2517">
        <f t="shared" si="21"/>
        <v>149212.932</v>
      </c>
      <c r="J99" s="2517"/>
      <c r="K99" s="2517">
        <v>74606.466</v>
      </c>
      <c r="L99" s="2517"/>
      <c r="M99" s="2517">
        <f t="shared" si="1"/>
        <v>223819.39799999999</v>
      </c>
      <c r="N99" s="2517"/>
      <c r="O99" s="2517">
        <v>74606.466</v>
      </c>
      <c r="P99" s="2517"/>
      <c r="Q99" s="2517">
        <f t="shared" si="2"/>
        <v>298425.864</v>
      </c>
      <c r="R99" s="2517"/>
      <c r="S99" s="2517">
        <v>74606.466</v>
      </c>
      <c r="T99" s="2517"/>
      <c r="U99" s="2517">
        <f t="shared" si="3"/>
        <v>373032.33</v>
      </c>
      <c r="V99" s="2517"/>
      <c r="W99" s="2517">
        <v>74606.466</v>
      </c>
      <c r="X99" s="2517"/>
      <c r="Y99" s="2517">
        <f t="shared" si="4"/>
        <v>223819.39799999999</v>
      </c>
      <c r="Z99" s="2517"/>
      <c r="AA99" s="2517">
        <f t="shared" si="5"/>
        <v>447638.79600000003</v>
      </c>
      <c r="AB99" s="2517"/>
      <c r="AC99" s="2517">
        <v>74606.466</v>
      </c>
      <c r="AD99" s="2517"/>
      <c r="AE99" s="2517">
        <f t="shared" si="6"/>
        <v>522245.26200000005</v>
      </c>
      <c r="AF99" s="2517"/>
      <c r="AG99" s="2517">
        <v>74606.466</v>
      </c>
      <c r="AH99" s="2517"/>
      <c r="AI99" s="2517">
        <f t="shared" si="7"/>
        <v>596851.728</v>
      </c>
      <c r="AJ99" s="2517"/>
      <c r="AK99" s="2517">
        <v>74606.466</v>
      </c>
      <c r="AL99" s="2517"/>
      <c r="AM99" s="2517">
        <f t="shared" si="8"/>
        <v>223819.39799999999</v>
      </c>
      <c r="AN99" s="2517"/>
      <c r="AO99" s="2517">
        <f t="shared" si="9"/>
        <v>671458.19400000002</v>
      </c>
      <c r="AP99" s="2517"/>
      <c r="AQ99" s="2517">
        <v>74606.466</v>
      </c>
      <c r="AR99" s="2517"/>
      <c r="AS99" s="2517">
        <f t="shared" si="10"/>
        <v>746064.66</v>
      </c>
      <c r="AT99" s="2517"/>
      <c r="AU99" s="2517">
        <v>74606.466</v>
      </c>
      <c r="AV99" s="2517"/>
      <c r="AW99" s="2517">
        <f t="shared" si="11"/>
        <v>820671.12600000005</v>
      </c>
      <c r="AX99" s="2517"/>
      <c r="AY99" s="2517">
        <v>74606.466</v>
      </c>
      <c r="AZ99" s="2517"/>
      <c r="BA99" s="2517">
        <f t="shared" si="12"/>
        <v>223819.39799999999</v>
      </c>
      <c r="BB99" s="2517"/>
      <c r="BC99" s="2517">
        <f t="shared" si="13"/>
        <v>447638.79599999997</v>
      </c>
      <c r="BD99" s="2517"/>
      <c r="BE99" s="2517">
        <f t="shared" si="14"/>
        <v>895277.59200000006</v>
      </c>
    </row>
    <row r="100" spans="2:58" ht="16.2" thickBot="1" x14ac:dyDescent="0.35">
      <c r="C100" s="2513" t="s">
        <v>1664</v>
      </c>
      <c r="D100" s="2531"/>
      <c r="E100" s="2514">
        <f>+'Maj Production Summ'!F34</f>
        <v>38383.019999999997</v>
      </c>
      <c r="F100" s="2514"/>
      <c r="G100" s="2514">
        <f>+'Maj Production Summ'!H34</f>
        <v>19414.02</v>
      </c>
      <c r="H100" s="2514"/>
      <c r="I100" s="2514">
        <f t="shared" si="21"/>
        <v>57797.039999999994</v>
      </c>
      <c r="J100" s="2514"/>
      <c r="K100" s="2514">
        <f>+'Maj Production Summ'!L34</f>
        <v>56218</v>
      </c>
      <c r="L100" s="2514"/>
      <c r="M100" s="2514">
        <f t="shared" si="1"/>
        <v>114015.03999999999</v>
      </c>
      <c r="N100" s="2514"/>
      <c r="O100" s="2514">
        <f>+'Maj Production Summ'!P34</f>
        <v>50303</v>
      </c>
      <c r="P100" s="2514"/>
      <c r="Q100" s="2514">
        <f t="shared" si="2"/>
        <v>164318.04</v>
      </c>
      <c r="R100" s="2514"/>
      <c r="S100" s="2514">
        <f>+'Maj Production Summ'!T34</f>
        <v>51235.42</v>
      </c>
      <c r="T100" s="2514"/>
      <c r="U100" s="2514">
        <f t="shared" si="3"/>
        <v>215553.45999999996</v>
      </c>
      <c r="V100" s="2514"/>
      <c r="W100" s="2514">
        <f>+'Maj Production Summ'!X34</f>
        <v>54076</v>
      </c>
      <c r="X100" s="2514"/>
      <c r="Y100" s="2514">
        <f t="shared" si="4"/>
        <v>155614.41999999998</v>
      </c>
      <c r="Z100" s="2514"/>
      <c r="AA100" s="2514">
        <f t="shared" si="5"/>
        <v>269629.45999999996</v>
      </c>
      <c r="AB100" s="2514"/>
      <c r="AC100" s="2514">
        <f>+'Maj Production Summ'!AD34</f>
        <v>54595</v>
      </c>
      <c r="AD100" s="2514"/>
      <c r="AE100" s="2514">
        <f t="shared" si="6"/>
        <v>324224.46000000002</v>
      </c>
      <c r="AF100" s="2514"/>
      <c r="AG100" s="2514">
        <f>+'Maj Production Summ'!AH34</f>
        <v>61080</v>
      </c>
      <c r="AH100" s="2514"/>
      <c r="AI100" s="2514">
        <f t="shared" si="7"/>
        <v>385304.46</v>
      </c>
      <c r="AJ100" s="2514"/>
      <c r="AK100" s="2514">
        <f>+'Maj Production Summ'!AL34</f>
        <v>52347.66</v>
      </c>
      <c r="AL100" s="2514"/>
      <c r="AM100" s="2514">
        <f t="shared" si="8"/>
        <v>168022.66</v>
      </c>
      <c r="AN100" s="2514"/>
      <c r="AO100" s="2514">
        <f t="shared" si="9"/>
        <v>437652.12000000005</v>
      </c>
      <c r="AP100" s="2514"/>
      <c r="AQ100" s="2514">
        <f>+'Maj Production Summ'!AR34</f>
        <v>30958</v>
      </c>
      <c r="AR100" s="2514"/>
      <c r="AS100" s="2514">
        <f t="shared" si="10"/>
        <v>468610.12000000005</v>
      </c>
      <c r="AT100" s="2514"/>
      <c r="AU100" s="2514">
        <f>+'Maj Production Summ'!AV34</f>
        <v>16550</v>
      </c>
      <c r="AV100" s="2514"/>
      <c r="AW100" s="2514">
        <f t="shared" si="11"/>
        <v>485160.12000000005</v>
      </c>
      <c r="AX100" s="2514"/>
      <c r="AY100" s="2514">
        <f>+'Maj Production Summ'!AZ34</f>
        <v>38028.639000000003</v>
      </c>
      <c r="AZ100" s="2514"/>
      <c r="BA100" s="2514">
        <f t="shared" si="12"/>
        <v>85536.638999999996</v>
      </c>
      <c r="BB100" s="2514"/>
      <c r="BC100" s="2514">
        <f t="shared" si="13"/>
        <v>253559.299</v>
      </c>
      <c r="BD100" s="2514"/>
      <c r="BE100" s="2514">
        <f t="shared" si="14"/>
        <v>523188.75900000002</v>
      </c>
    </row>
    <row r="101" spans="2:58" x14ac:dyDescent="0.3">
      <c r="B101" s="2436"/>
      <c r="AC101"/>
    </row>
    <row r="102" spans="2:58" ht="18" x14ac:dyDescent="0.3">
      <c r="B102" s="2436"/>
      <c r="C102" s="2518" t="s">
        <v>1665</v>
      </c>
      <c r="D102" s="2518"/>
      <c r="E102" s="2519">
        <f>+E100-E96</f>
        <v>2422.7199999999939</v>
      </c>
      <c r="F102" s="2519">
        <f t="shared" ref="F102:BD102" si="22">+F100-F96</f>
        <v>0</v>
      </c>
      <c r="G102" s="2519">
        <f t="shared" si="22"/>
        <v>-1537.5249999999978</v>
      </c>
      <c r="H102" s="2519">
        <f t="shared" si="22"/>
        <v>0</v>
      </c>
      <c r="I102" s="2519">
        <f t="shared" si="22"/>
        <v>885.19499999999243</v>
      </c>
      <c r="J102" s="2519">
        <f t="shared" si="22"/>
        <v>0</v>
      </c>
      <c r="K102" s="2519">
        <f t="shared" si="22"/>
        <v>49410</v>
      </c>
      <c r="L102" s="2519">
        <f t="shared" si="22"/>
        <v>0</v>
      </c>
      <c r="M102" s="2519">
        <f t="shared" si="22"/>
        <v>50295.194999999992</v>
      </c>
      <c r="N102" s="2519">
        <f t="shared" si="22"/>
        <v>0</v>
      </c>
      <c r="O102" s="2519">
        <f t="shared" si="22"/>
        <v>44413</v>
      </c>
      <c r="P102" s="2519">
        <f t="shared" si="22"/>
        <v>0</v>
      </c>
      <c r="Q102" s="2519">
        <f t="shared" si="22"/>
        <v>94708.195000000007</v>
      </c>
      <c r="R102" s="2519">
        <f t="shared" si="22"/>
        <v>0</v>
      </c>
      <c r="S102" s="2519">
        <f t="shared" ref="S102" si="23">+S100-S96</f>
        <v>44651.957999999999</v>
      </c>
      <c r="T102" s="2519">
        <f t="shared" si="22"/>
        <v>0</v>
      </c>
      <c r="U102" s="2519">
        <f t="shared" si="22"/>
        <v>139360.15299999996</v>
      </c>
      <c r="V102" s="2519">
        <f t="shared" si="22"/>
        <v>0</v>
      </c>
      <c r="W102" s="2519">
        <f t="shared" si="22"/>
        <v>45698</v>
      </c>
      <c r="X102" s="2519">
        <f t="shared" si="22"/>
        <v>0</v>
      </c>
      <c r="Y102" s="2519">
        <f t="shared" si="22"/>
        <v>134762.95799999998</v>
      </c>
      <c r="Z102" s="2519">
        <f t="shared" si="22"/>
        <v>0</v>
      </c>
      <c r="AA102" s="2519">
        <f t="shared" si="22"/>
        <v>185058.15299999996</v>
      </c>
      <c r="AB102" s="2519">
        <f t="shared" si="22"/>
        <v>0</v>
      </c>
      <c r="AC102" s="2519">
        <f t="shared" ref="AC102" si="24">+AC100-AC96</f>
        <v>51819.45</v>
      </c>
      <c r="AD102" s="2519">
        <f t="shared" si="22"/>
        <v>0</v>
      </c>
      <c r="AE102" s="2519">
        <f t="shared" si="22"/>
        <v>236877.603</v>
      </c>
      <c r="AF102" s="2519">
        <f t="shared" si="22"/>
        <v>0</v>
      </c>
      <c r="AG102" s="2519">
        <f t="shared" si="22"/>
        <v>56578.895000000004</v>
      </c>
      <c r="AH102" s="2519">
        <f t="shared" si="22"/>
        <v>0</v>
      </c>
      <c r="AI102" s="2519">
        <f t="shared" si="22"/>
        <v>293456.49800000002</v>
      </c>
      <c r="AJ102" s="2519">
        <f t="shared" si="22"/>
        <v>0</v>
      </c>
      <c r="AK102" s="2519">
        <f t="shared" si="22"/>
        <v>45184.469000000005</v>
      </c>
      <c r="AL102" s="2519">
        <f t="shared" si="22"/>
        <v>0</v>
      </c>
      <c r="AM102" s="2519">
        <f t="shared" si="22"/>
        <v>153582.81400000001</v>
      </c>
      <c r="AN102" s="2519">
        <f t="shared" si="22"/>
        <v>0</v>
      </c>
      <c r="AO102" s="2519">
        <f t="shared" si="22"/>
        <v>338640.96700000006</v>
      </c>
      <c r="AP102" s="2519">
        <f t="shared" si="22"/>
        <v>0</v>
      </c>
      <c r="AQ102" s="2519">
        <f t="shared" si="22"/>
        <v>25332.667000000001</v>
      </c>
      <c r="AR102" s="2519">
        <f t="shared" si="22"/>
        <v>0</v>
      </c>
      <c r="AS102" s="2519">
        <f t="shared" si="22"/>
        <v>363973.63400000008</v>
      </c>
      <c r="AT102" s="2519">
        <f t="shared" si="22"/>
        <v>0</v>
      </c>
      <c r="AU102" s="2519">
        <f t="shared" si="22"/>
        <v>13333.723</v>
      </c>
      <c r="AV102" s="2519">
        <f t="shared" si="22"/>
        <v>0</v>
      </c>
      <c r="AW102" s="2519">
        <f t="shared" si="22"/>
        <v>377307.35700000008</v>
      </c>
      <c r="AX102" s="2519">
        <f t="shared" si="22"/>
        <v>0</v>
      </c>
      <c r="AY102" s="2519">
        <f t="shared" si="22"/>
        <v>34848.944000000003</v>
      </c>
      <c r="AZ102" s="2519">
        <f t="shared" si="22"/>
        <v>0</v>
      </c>
      <c r="BA102" s="2519">
        <f t="shared" si="12"/>
        <v>73515.334000000003</v>
      </c>
      <c r="BB102" s="2519">
        <f t="shared" si="22"/>
        <v>0</v>
      </c>
      <c r="BC102" s="2519">
        <f t="shared" si="13"/>
        <v>227098.14800000002</v>
      </c>
      <c r="BD102" s="2519">
        <f t="shared" si="22"/>
        <v>0</v>
      </c>
      <c r="BE102" s="2519">
        <f t="shared" si="14"/>
        <v>412156.30100000004</v>
      </c>
    </row>
    <row r="103" spans="2:58" x14ac:dyDescent="0.3">
      <c r="B103" s="2436"/>
    </row>
    <row r="104" spans="2:58" ht="15" thickBot="1" x14ac:dyDescent="0.35">
      <c r="B104" s="2436"/>
    </row>
    <row r="105" spans="2:58" ht="24" thickBot="1" x14ac:dyDescent="0.5">
      <c r="B105" s="2436"/>
      <c r="C105" s="4101" t="s">
        <v>1666</v>
      </c>
      <c r="D105" s="4102"/>
      <c r="E105" s="4102"/>
      <c r="F105" s="4102"/>
      <c r="G105" s="4102"/>
      <c r="H105" s="4102"/>
      <c r="I105" s="4102"/>
      <c r="J105" s="4102"/>
      <c r="K105" s="4102"/>
      <c r="L105" s="4102"/>
      <c r="M105" s="4102"/>
      <c r="N105" s="4102"/>
      <c r="O105" s="4102"/>
      <c r="P105" s="4102"/>
      <c r="Q105" s="4102"/>
      <c r="R105" s="4102"/>
      <c r="S105" s="4102"/>
      <c r="T105" s="4102"/>
      <c r="U105" s="4102"/>
      <c r="V105" s="4102"/>
      <c r="W105" s="4102"/>
      <c r="X105" s="4102"/>
      <c r="Y105" s="4102"/>
      <c r="Z105" s="4102"/>
      <c r="AA105" s="4102"/>
      <c r="AB105" s="4102"/>
      <c r="AC105" s="4108"/>
      <c r="AD105" s="4102"/>
      <c r="AE105" s="4102"/>
      <c r="AF105" s="4102"/>
      <c r="AG105" s="4102"/>
      <c r="AH105" s="4102"/>
      <c r="AI105" s="4102"/>
      <c r="AJ105" s="4102"/>
      <c r="AK105" s="4108"/>
      <c r="AL105" s="4102"/>
      <c r="AM105" s="4102"/>
      <c r="AN105" s="4102"/>
      <c r="AO105" s="4102"/>
      <c r="AP105" s="4102"/>
      <c r="AQ105" s="4102"/>
      <c r="AR105" s="4102"/>
      <c r="AS105" s="4102"/>
      <c r="AT105" s="4102"/>
      <c r="AU105" s="4102"/>
      <c r="AV105" s="4102"/>
      <c r="AW105" s="4102"/>
      <c r="AX105" s="4102"/>
      <c r="AY105" s="4102"/>
      <c r="AZ105" s="4102"/>
      <c r="BA105" s="4102"/>
      <c r="BB105" s="4102"/>
      <c r="BC105" s="4102"/>
      <c r="BD105" s="4102"/>
      <c r="BE105" s="4102"/>
    </row>
    <row r="106" spans="2:58" ht="15.6" x14ac:dyDescent="0.3">
      <c r="B106" s="2436"/>
      <c r="C106" s="2520"/>
      <c r="D106" s="2520"/>
      <c r="E106" s="2508" t="str">
        <f t="shared" ref="E106:AJ106" si="25">+E67</f>
        <v>APR'26</v>
      </c>
      <c r="F106" s="6258" t="str">
        <f>+F67</f>
        <v>MAY'26</v>
      </c>
      <c r="G106" s="6259">
        <f t="shared" si="25"/>
        <v>0</v>
      </c>
      <c r="H106" s="6258" t="str">
        <f t="shared" si="25"/>
        <v>2 M</v>
      </c>
      <c r="I106" s="6259">
        <f t="shared" si="25"/>
        <v>0</v>
      </c>
      <c r="J106" s="6258" t="str">
        <f t="shared" si="25"/>
        <v>JUN'25</v>
      </c>
      <c r="K106" s="6259">
        <f t="shared" si="25"/>
        <v>0</v>
      </c>
      <c r="L106" s="6258" t="str">
        <f t="shared" si="25"/>
        <v>QTR-1</v>
      </c>
      <c r="M106" s="6259">
        <f t="shared" si="25"/>
        <v>0</v>
      </c>
      <c r="N106" s="6258" t="str">
        <f t="shared" si="25"/>
        <v>JUL'25</v>
      </c>
      <c r="O106" s="6259">
        <f t="shared" si="25"/>
        <v>0</v>
      </c>
      <c r="P106" s="6258" t="str">
        <f t="shared" si="25"/>
        <v>4 M</v>
      </c>
      <c r="Q106" s="6259">
        <f t="shared" si="25"/>
        <v>0</v>
      </c>
      <c r="R106" s="6258" t="str">
        <f t="shared" si="25"/>
        <v>AUG'25</v>
      </c>
      <c r="S106" s="6259">
        <f t="shared" si="25"/>
        <v>0</v>
      </c>
      <c r="T106" s="6258" t="str">
        <f t="shared" si="25"/>
        <v>5 M</v>
      </c>
      <c r="U106" s="6259">
        <f t="shared" si="25"/>
        <v>0</v>
      </c>
      <c r="V106" s="6258" t="str">
        <f t="shared" si="25"/>
        <v>SEP'25</v>
      </c>
      <c r="W106" s="6259">
        <f t="shared" si="25"/>
        <v>0</v>
      </c>
      <c r="X106" s="6258" t="str">
        <f t="shared" si="25"/>
        <v>QTR-2</v>
      </c>
      <c r="Y106" s="6259">
        <f t="shared" si="25"/>
        <v>0</v>
      </c>
      <c r="Z106" s="6258" t="str">
        <f t="shared" si="25"/>
        <v>H1</v>
      </c>
      <c r="AA106" s="6259">
        <f t="shared" si="25"/>
        <v>0</v>
      </c>
      <c r="AB106" s="6258" t="str">
        <f t="shared" si="25"/>
        <v>OCT'25</v>
      </c>
      <c r="AC106" s="6259">
        <f t="shared" si="25"/>
        <v>0</v>
      </c>
      <c r="AD106" s="6258" t="str">
        <f t="shared" si="25"/>
        <v>7 M</v>
      </c>
      <c r="AE106" s="6259">
        <f t="shared" si="25"/>
        <v>0</v>
      </c>
      <c r="AF106" s="6258" t="str">
        <f t="shared" si="25"/>
        <v>NOV'25</v>
      </c>
      <c r="AG106" s="6259">
        <f t="shared" si="25"/>
        <v>0</v>
      </c>
      <c r="AH106" s="6258" t="str">
        <f t="shared" si="25"/>
        <v>8 M</v>
      </c>
      <c r="AI106" s="6259">
        <f t="shared" si="25"/>
        <v>0</v>
      </c>
      <c r="AJ106" s="6258" t="str">
        <f t="shared" si="25"/>
        <v>DEC'25</v>
      </c>
      <c r="AK106" s="6259">
        <f t="shared" ref="AK106:BE106" si="26">+AK67</f>
        <v>0</v>
      </c>
      <c r="AL106" s="6258" t="str">
        <f t="shared" si="26"/>
        <v>QTR-3</v>
      </c>
      <c r="AM106" s="6259">
        <f t="shared" si="26"/>
        <v>0</v>
      </c>
      <c r="AN106" s="6258" t="str">
        <f t="shared" si="26"/>
        <v>9 M</v>
      </c>
      <c r="AO106" s="6259">
        <f t="shared" si="26"/>
        <v>0</v>
      </c>
      <c r="AP106" s="6258" t="str">
        <f t="shared" si="26"/>
        <v>JAN'26</v>
      </c>
      <c r="AQ106" s="6259">
        <f t="shared" si="26"/>
        <v>0</v>
      </c>
      <c r="AR106" s="6258" t="str">
        <f t="shared" si="26"/>
        <v>10 M</v>
      </c>
      <c r="AS106" s="6259">
        <f t="shared" si="26"/>
        <v>0</v>
      </c>
      <c r="AT106" s="6258" t="str">
        <f t="shared" si="26"/>
        <v>FEB'26</v>
      </c>
      <c r="AU106" s="6259">
        <f t="shared" si="26"/>
        <v>0</v>
      </c>
      <c r="AV106" s="6258" t="str">
        <f t="shared" si="26"/>
        <v>11 M</v>
      </c>
      <c r="AW106" s="6259">
        <f t="shared" si="26"/>
        <v>0</v>
      </c>
      <c r="AX106" s="6258" t="str">
        <f t="shared" si="26"/>
        <v>MAR'26</v>
      </c>
      <c r="AY106" s="6259">
        <f t="shared" si="26"/>
        <v>0</v>
      </c>
      <c r="AZ106" s="6258" t="str">
        <f t="shared" si="26"/>
        <v>QTR-4</v>
      </c>
      <c r="BA106" s="6259">
        <f t="shared" si="26"/>
        <v>0</v>
      </c>
      <c r="BB106" s="6258" t="str">
        <f t="shared" si="26"/>
        <v>H2</v>
      </c>
      <c r="BC106" s="6259">
        <f t="shared" si="26"/>
        <v>0</v>
      </c>
      <c r="BD106" s="6258" t="str">
        <f t="shared" si="26"/>
        <v>2025-26</v>
      </c>
      <c r="BE106" s="6259">
        <f t="shared" si="26"/>
        <v>0</v>
      </c>
    </row>
    <row r="107" spans="2:58" ht="18" x14ac:dyDescent="0.3">
      <c r="B107" s="2436"/>
      <c r="C107" s="2522" t="str">
        <f>+'GRD SUMM RCL CASTER 3'!A7</f>
        <v>BLOOM CB C20 MMNC 200*280</v>
      </c>
      <c r="D107" s="2521"/>
      <c r="E107" s="2504">
        <f>+'GRD SUMM RCL CASTER 3'!C7</f>
        <v>0</v>
      </c>
      <c r="F107" s="2504">
        <f>+'GRD SUMM RCL CASTER 3'!D7</f>
        <v>0</v>
      </c>
      <c r="G107" s="2504">
        <f>+'GRD SUMM RCL CASTER 3'!E7</f>
        <v>0</v>
      </c>
      <c r="H107" s="2504">
        <f>+'GRD SUMM RCL CASTER 3'!F7</f>
        <v>0</v>
      </c>
      <c r="I107" s="2504">
        <f>+'GRD SUMM RCL CASTER 3'!G7</f>
        <v>0</v>
      </c>
      <c r="J107" s="2504">
        <f>+'GRD SUMM RCL CASTER 3'!H7</f>
        <v>0</v>
      </c>
      <c r="K107" s="2504">
        <f>+'GRD SUMM RCL CASTER 3'!I7</f>
        <v>0</v>
      </c>
      <c r="L107" s="2504">
        <f>+'GRD SUMM RCL CASTER 3'!J7</f>
        <v>0</v>
      </c>
      <c r="M107" s="2504">
        <f>+'GRD SUMM RCL CASTER 3'!K7</f>
        <v>0</v>
      </c>
      <c r="N107" s="2504">
        <f>+'GRD SUMM RCL CASTER 3'!L7</f>
        <v>0</v>
      </c>
      <c r="O107" s="2504">
        <f>+'GRD SUMM RCL CASTER 3'!M7</f>
        <v>0</v>
      </c>
      <c r="P107" s="2504">
        <f>+'GRD SUMM RCL CASTER 3'!N7</f>
        <v>0</v>
      </c>
      <c r="Q107" s="2504">
        <f>+'GRD SUMM RCL CASTER 3'!O7</f>
        <v>0</v>
      </c>
      <c r="R107" s="2504">
        <f>+'GRD SUMM RCL CASTER 3'!P7</f>
        <v>0</v>
      </c>
      <c r="S107" s="2504">
        <f>+'GRD SUMM RCL CASTER 3'!Q7</f>
        <v>0</v>
      </c>
      <c r="T107" s="2504">
        <f>+'GRD SUMM RCL CASTER 3'!R7</f>
        <v>0</v>
      </c>
      <c r="U107" s="2504">
        <f>+'GRD SUMM RCL CASTER 3'!S7</f>
        <v>0</v>
      </c>
      <c r="V107" s="2504">
        <f>+'GRD SUMM RCL CASTER 3'!T7</f>
        <v>0</v>
      </c>
      <c r="W107" s="2504">
        <f>+'GRD SUMM RCL CASTER 3'!U7</f>
        <v>0</v>
      </c>
      <c r="X107" s="2504">
        <f>+'GRD SUMM RCL CASTER 3'!V7</f>
        <v>0</v>
      </c>
      <c r="Y107" s="2504">
        <f>+'GRD SUMM RCL CASTER 3'!W7</f>
        <v>0</v>
      </c>
      <c r="Z107" s="2504">
        <f>+'GRD SUMM RCL CASTER 3'!X7</f>
        <v>0</v>
      </c>
      <c r="AA107" s="2504">
        <f>+'GRD SUMM RCL CASTER 3'!Y7</f>
        <v>0</v>
      </c>
      <c r="AB107" s="2504">
        <f>+'GRD SUMM RCL CASTER 3'!Z7</f>
        <v>0</v>
      </c>
      <c r="AC107" s="2504">
        <f>+'GRD SUMM RCL CASTER 3'!AA7</f>
        <v>0</v>
      </c>
      <c r="AD107" s="2504">
        <f>+'GRD SUMM RCL CASTER 3'!AB7</f>
        <v>0</v>
      </c>
      <c r="AE107" s="2504">
        <f>+'GRD SUMM RCL CASTER 3'!AC7</f>
        <v>0</v>
      </c>
      <c r="AF107" s="2504">
        <f>+'GRD SUMM RCL CASTER 3'!AD7</f>
        <v>0</v>
      </c>
      <c r="AG107" s="2504">
        <f>+'GRD SUMM RCL CASTER 3'!AE7</f>
        <v>0</v>
      </c>
      <c r="AH107" s="2504">
        <f>+'GRD SUMM RCL CASTER 3'!AF7</f>
        <v>0</v>
      </c>
      <c r="AI107" s="2504">
        <f>+'GRD SUMM RCL CASTER 3'!AG7</f>
        <v>0</v>
      </c>
      <c r="AJ107" s="2504">
        <f>+'GRD SUMM RCL CASTER 3'!AH7</f>
        <v>0</v>
      </c>
      <c r="AK107" s="2504">
        <f>+'GRD SUMM RCL CASTER 3'!AI7</f>
        <v>0</v>
      </c>
      <c r="AL107" s="2504">
        <f>+'GRD SUMM RCL CASTER 3'!AJ7</f>
        <v>0</v>
      </c>
      <c r="AM107" s="2504">
        <f>+'GRD SUMM RCL CASTER 3'!AK7</f>
        <v>0</v>
      </c>
      <c r="AN107" s="2504">
        <f>+'GRD SUMM RCL CASTER 3'!AL7</f>
        <v>0</v>
      </c>
      <c r="AO107" s="2504">
        <f>+'GRD SUMM RCL CASTER 3'!AM7</f>
        <v>0</v>
      </c>
      <c r="AP107" s="2504">
        <f>+'GRD SUMM RCL CASTER 3'!AN7</f>
        <v>0</v>
      </c>
      <c r="AQ107" s="2504">
        <f>+'GRD SUMM RCL CASTER 3'!AO7</f>
        <v>895</v>
      </c>
      <c r="AR107" s="2504">
        <f>+'GRD SUMM RCL CASTER 3'!AP7</f>
        <v>0</v>
      </c>
      <c r="AS107" s="2504">
        <f>+'GRD SUMM RCL CASTER 3'!AQ7</f>
        <v>895</v>
      </c>
      <c r="AT107" s="2504">
        <f>+'GRD SUMM RCL CASTER 3'!AR7</f>
        <v>0</v>
      </c>
      <c r="AU107" s="2504">
        <f>+'GRD SUMM RCL CASTER 3'!AS7</f>
        <v>0</v>
      </c>
      <c r="AV107" s="2504">
        <f>+'GRD SUMM RCL CASTER 3'!AT7</f>
        <v>0</v>
      </c>
      <c r="AW107" s="2504">
        <f>+'GRD SUMM RCL CASTER 3'!AU7</f>
        <v>895</v>
      </c>
      <c r="AX107" s="2504">
        <f>+'GRD SUMM RCL CASTER 3'!AV7</f>
        <v>0</v>
      </c>
      <c r="AY107" s="2504">
        <f>+'GRD SUMM RCL CASTER 3'!AW7</f>
        <v>0</v>
      </c>
      <c r="AZ107" s="2504">
        <f>+'GRD SUMM RCL CASTER 3'!AX7</f>
        <v>0</v>
      </c>
      <c r="BA107" s="2504">
        <f t="shared" ref="BA107:BA131" si="27">+AY107+AU107+AQ107</f>
        <v>895</v>
      </c>
      <c r="BB107" s="2504">
        <f>+'GRD SUMM RCL CASTER 3'!AZ7</f>
        <v>0</v>
      </c>
      <c r="BC107" s="2504">
        <f t="shared" ref="BC107:BC131" si="28">+BA107+AM107</f>
        <v>895</v>
      </c>
      <c r="BD107" s="2504">
        <f>+'GRD SUMM RCL CASTER 3'!BB7</f>
        <v>0</v>
      </c>
      <c r="BE107" s="2504">
        <f t="shared" ref="BE107:BE131" si="29">+E107+G107+K107+O107+S107+W107+AC107+AG107+AK107+AQ107+AU107+AY107</f>
        <v>895</v>
      </c>
    </row>
    <row r="108" spans="2:58" ht="18" x14ac:dyDescent="0.3">
      <c r="B108" s="2436"/>
      <c r="C108" s="2522" t="str">
        <f>+'GRD SUMM RCL CASTER 3'!A8</f>
        <v>BLOOM CB C25 HMN 200*280</v>
      </c>
      <c r="D108" s="4911"/>
      <c r="E108" s="2504">
        <f>+'GRD SUMM RCL CASTER 3'!C8</f>
        <v>0</v>
      </c>
      <c r="F108" s="2504">
        <f>+'GRD SUMM RCL CASTER 3'!D8</f>
        <v>0</v>
      </c>
      <c r="G108" s="2504">
        <f>+'GRD SUMM RCL CASTER 3'!E8</f>
        <v>0</v>
      </c>
      <c r="H108" s="2504">
        <f>+'GRD SUMM RCL CASTER 3'!F8</f>
        <v>0</v>
      </c>
      <c r="I108" s="2504">
        <f>+'GRD SUMM RCL CASTER 3'!G8</f>
        <v>0</v>
      </c>
      <c r="J108" s="2504">
        <f>+'GRD SUMM RCL CASTER 3'!H8</f>
        <v>0</v>
      </c>
      <c r="K108" s="2504">
        <f>+'GRD SUMM RCL CASTER 3'!I8</f>
        <v>0</v>
      </c>
      <c r="L108" s="2504">
        <f>+'GRD SUMM RCL CASTER 3'!J8</f>
        <v>0</v>
      </c>
      <c r="M108" s="2504">
        <f>+'GRD SUMM RCL CASTER 3'!K8</f>
        <v>0</v>
      </c>
      <c r="N108" s="2504">
        <f>+'GRD SUMM RCL CASTER 3'!L8</f>
        <v>0</v>
      </c>
      <c r="O108" s="2504">
        <f>+'GRD SUMM RCL CASTER 3'!M8</f>
        <v>0</v>
      </c>
      <c r="P108" s="2504">
        <f>+'GRD SUMM RCL CASTER 3'!N8</f>
        <v>0</v>
      </c>
      <c r="Q108" s="2504">
        <f>+'GRD SUMM RCL CASTER 3'!O8</f>
        <v>0</v>
      </c>
      <c r="R108" s="2504">
        <f>+'GRD SUMM RCL CASTER 3'!P8</f>
        <v>0</v>
      </c>
      <c r="S108" s="2504">
        <f>+'GRD SUMM RCL CASTER 3'!Q8</f>
        <v>307.10399999999998</v>
      </c>
      <c r="T108" s="2504">
        <f>+'GRD SUMM RCL CASTER 3'!R8</f>
        <v>0</v>
      </c>
      <c r="U108" s="2504">
        <f>+'GRD SUMM RCL CASTER 3'!S8</f>
        <v>307.10399999999998</v>
      </c>
      <c r="V108" s="2504">
        <f>+'GRD SUMM RCL CASTER 3'!T8</f>
        <v>0</v>
      </c>
      <c r="W108" s="2504">
        <f>+'GRD SUMM RCL CASTER 3'!U8</f>
        <v>0</v>
      </c>
      <c r="X108" s="2504">
        <f>+'GRD SUMM RCL CASTER 3'!V8</f>
        <v>0</v>
      </c>
      <c r="Y108" s="2504">
        <f>+'GRD SUMM RCL CASTER 3'!W8</f>
        <v>307.10399999999998</v>
      </c>
      <c r="Z108" s="2504">
        <f>+'GRD SUMM RCL CASTER 3'!X8</f>
        <v>0</v>
      </c>
      <c r="AA108" s="2504">
        <f>+'GRD SUMM RCL CASTER 3'!Y8</f>
        <v>307.10399999999998</v>
      </c>
      <c r="AB108" s="2504">
        <f>+'GRD SUMM RCL CASTER 3'!Z8</f>
        <v>0</v>
      </c>
      <c r="AC108" s="2504">
        <f>+'GRD SUMM RCL CASTER 3'!AA8</f>
        <v>34</v>
      </c>
      <c r="AD108" s="2504">
        <f>+'GRD SUMM RCL CASTER 3'!AB8</f>
        <v>0</v>
      </c>
      <c r="AE108" s="2504">
        <f>+'GRD SUMM RCL CASTER 3'!AC8</f>
        <v>341.10399999999998</v>
      </c>
      <c r="AF108" s="2504">
        <f>+'GRD SUMM RCL CASTER 3'!AD8</f>
        <v>0</v>
      </c>
      <c r="AG108" s="2504">
        <f>+'GRD SUMM RCL CASTER 3'!AE8</f>
        <v>0</v>
      </c>
      <c r="AH108" s="2504">
        <f>+'GRD SUMM RCL CASTER 3'!AF8</f>
        <v>0</v>
      </c>
      <c r="AI108" s="2504">
        <f>+'GRD SUMM RCL CASTER 3'!AG8</f>
        <v>341.10399999999998</v>
      </c>
      <c r="AJ108" s="2504">
        <f>+'GRD SUMM RCL CASTER 3'!AH8</f>
        <v>0</v>
      </c>
      <c r="AK108" s="2504">
        <f>+'GRD SUMM RCL CASTER 3'!AI8</f>
        <v>0</v>
      </c>
      <c r="AL108" s="2504">
        <f>+'GRD SUMM RCL CASTER 3'!AJ8</f>
        <v>0</v>
      </c>
      <c r="AM108" s="2504">
        <f>+'GRD SUMM RCL CASTER 3'!AK8</f>
        <v>34</v>
      </c>
      <c r="AN108" s="2504">
        <f>+'GRD SUMM RCL CASTER 3'!AL8</f>
        <v>0</v>
      </c>
      <c r="AO108" s="2504">
        <f>+'GRD SUMM RCL CASTER 3'!AM8</f>
        <v>341.10399999999998</v>
      </c>
      <c r="AP108" s="2504">
        <f>+'GRD SUMM RCL CASTER 3'!AN8</f>
        <v>0</v>
      </c>
      <c r="AQ108" s="2504">
        <f>+'GRD SUMM RCL CASTER 3'!AO8</f>
        <v>32</v>
      </c>
      <c r="AR108" s="2504">
        <f>+'GRD SUMM RCL CASTER 3'!AP8</f>
        <v>0</v>
      </c>
      <c r="AS108" s="2504">
        <f>+'GRD SUMM RCL CASTER 3'!AQ8</f>
        <v>373.10399999999998</v>
      </c>
      <c r="AT108" s="2504">
        <f>+'GRD SUMM RCL CASTER 3'!AR8</f>
        <v>0</v>
      </c>
      <c r="AU108" s="2504">
        <f>+'GRD SUMM RCL CASTER 3'!AS8</f>
        <v>75.492000000000004</v>
      </c>
      <c r="AV108" s="2504">
        <f>+'GRD SUMM RCL CASTER 3'!AT8</f>
        <v>0</v>
      </c>
      <c r="AW108" s="2504">
        <f>+'GRD SUMM RCL CASTER 3'!AU8</f>
        <v>448.596</v>
      </c>
      <c r="AX108" s="2504">
        <f>+'GRD SUMM RCL CASTER 3'!AV8</f>
        <v>0</v>
      </c>
      <c r="AY108" s="2504">
        <f>+'GRD SUMM RCL CASTER 3'!AW8</f>
        <v>5.2160000000000002</v>
      </c>
      <c r="AZ108" s="2504">
        <f>+'GRD SUMM RCL CASTER 3'!AX8</f>
        <v>0</v>
      </c>
      <c r="BA108" s="2504">
        <f t="shared" si="27"/>
        <v>112.708</v>
      </c>
      <c r="BB108" s="2504">
        <f>+'GRD SUMM RCL CASTER 3'!AZ8</f>
        <v>0</v>
      </c>
      <c r="BC108" s="2504">
        <f t="shared" si="28"/>
        <v>146.708</v>
      </c>
      <c r="BD108" s="2504">
        <f>+'GRD SUMM RCL CASTER 3'!BB8</f>
        <v>0</v>
      </c>
      <c r="BE108" s="2504">
        <f t="shared" si="29"/>
        <v>453.81200000000001</v>
      </c>
    </row>
    <row r="109" spans="2:58" ht="18" x14ac:dyDescent="0.3">
      <c r="C109" s="2522" t="str">
        <f>+'GRD SUMM RCL CASTER 3'!A9</f>
        <v>BLOOM CB 45C8 ALK(VD) 200*280</v>
      </c>
      <c r="D109" s="4911"/>
      <c r="E109" s="2504">
        <f>+'GRD SUMM RCL CASTER 3'!C9</f>
        <v>0</v>
      </c>
      <c r="F109" s="2504">
        <f>+'GRD SUMM RCL CASTER 3'!D9</f>
        <v>0</v>
      </c>
      <c r="G109" s="2504">
        <f>+'GRD SUMM RCL CASTER 3'!E9</f>
        <v>1253.07</v>
      </c>
      <c r="H109" s="2504">
        <f>+'GRD SUMM RCL CASTER 3'!F9</f>
        <v>0</v>
      </c>
      <c r="I109" s="2504">
        <f>+'GRD SUMM RCL CASTER 3'!G9</f>
        <v>1253.07</v>
      </c>
      <c r="J109" s="2504">
        <f>+'GRD SUMM RCL CASTER 3'!H9</f>
        <v>0</v>
      </c>
      <c r="K109" s="2504">
        <f>+'GRD SUMM RCL CASTER 3'!I9</f>
        <v>0</v>
      </c>
      <c r="L109" s="2504">
        <f>+'GRD SUMM RCL CASTER 3'!J9</f>
        <v>0</v>
      </c>
      <c r="M109" s="2504">
        <f>+'GRD SUMM RCL CASTER 3'!K9</f>
        <v>0</v>
      </c>
      <c r="N109" s="2504">
        <f>+'GRD SUMM RCL CASTER 3'!L9</f>
        <v>0</v>
      </c>
      <c r="O109" s="2504">
        <f>+'GRD SUMM RCL CASTER 3'!M9</f>
        <v>0</v>
      </c>
      <c r="P109" s="2504">
        <f>+'GRD SUMM RCL CASTER 3'!N9</f>
        <v>0</v>
      </c>
      <c r="Q109" s="2504">
        <f>+'GRD SUMM RCL CASTER 3'!O9</f>
        <v>0</v>
      </c>
      <c r="R109" s="2504">
        <f>+'GRD SUMM RCL CASTER 3'!P9</f>
        <v>0</v>
      </c>
      <c r="S109" s="2504">
        <f>+'GRD SUMM RCL CASTER 3'!Q9</f>
        <v>0</v>
      </c>
      <c r="T109" s="2504">
        <f>+'GRD SUMM RCL CASTER 3'!R9</f>
        <v>0</v>
      </c>
      <c r="U109" s="2504">
        <f>+'GRD SUMM RCL CASTER 3'!S9</f>
        <v>0</v>
      </c>
      <c r="V109" s="2504">
        <f>+'GRD SUMM RCL CASTER 3'!T9</f>
        <v>0</v>
      </c>
      <c r="W109" s="2504">
        <f>+'GRD SUMM RCL CASTER 3'!U9</f>
        <v>0</v>
      </c>
      <c r="X109" s="2504">
        <f>+'GRD SUMM RCL CASTER 3'!V9</f>
        <v>0</v>
      </c>
      <c r="Y109" s="2504">
        <f>+'GRD SUMM RCL CASTER 3'!W9</f>
        <v>0</v>
      </c>
      <c r="Z109" s="2504">
        <f>+'GRD SUMM RCL CASTER 3'!X9</f>
        <v>0</v>
      </c>
      <c r="AA109" s="2504">
        <f>+'GRD SUMM RCL CASTER 3'!Y9</f>
        <v>0</v>
      </c>
      <c r="AB109" s="2504">
        <f>+'GRD SUMM RCL CASTER 3'!Z9</f>
        <v>0</v>
      </c>
      <c r="AC109" s="2504">
        <f>+'GRD SUMM RCL CASTER 3'!AA9</f>
        <v>0</v>
      </c>
      <c r="AD109" s="2504">
        <f>+'GRD SUMM RCL CASTER 3'!AB9</f>
        <v>0</v>
      </c>
      <c r="AE109" s="2504">
        <f>+'GRD SUMM RCL CASTER 3'!AC9</f>
        <v>0</v>
      </c>
      <c r="AF109" s="2504">
        <f>+'GRD SUMM RCL CASTER 3'!AD9</f>
        <v>0</v>
      </c>
      <c r="AG109" s="2504">
        <f>+'GRD SUMM RCL CASTER 3'!AE9</f>
        <v>0</v>
      </c>
      <c r="AH109" s="2504">
        <f>+'GRD SUMM RCL CASTER 3'!AF9</f>
        <v>0</v>
      </c>
      <c r="AI109" s="2504">
        <f>+'GRD SUMM RCL CASTER 3'!AG9</f>
        <v>0</v>
      </c>
      <c r="AJ109" s="2504">
        <f>+'GRD SUMM RCL CASTER 3'!AH9</f>
        <v>0</v>
      </c>
      <c r="AK109" s="2504">
        <f>+'GRD SUMM RCL CASTER 3'!AI9</f>
        <v>0</v>
      </c>
      <c r="AL109" s="2504">
        <f>+'GRD SUMM RCL CASTER 3'!AJ9</f>
        <v>0</v>
      </c>
      <c r="AM109" s="2504">
        <f>+'GRD SUMM RCL CASTER 3'!AK9</f>
        <v>0</v>
      </c>
      <c r="AN109" s="2504">
        <f>+'GRD SUMM RCL CASTER 3'!AL9</f>
        <v>0</v>
      </c>
      <c r="AO109" s="2504">
        <f>+'GRD SUMM RCL CASTER 3'!AM9</f>
        <v>0</v>
      </c>
      <c r="AP109" s="2504">
        <f>+'GRD SUMM RCL CASTER 3'!AN9</f>
        <v>0</v>
      </c>
      <c r="AQ109" s="2504">
        <f>+'GRD SUMM RCL CASTER 3'!AO9</f>
        <v>1655</v>
      </c>
      <c r="AR109" s="2504">
        <f>+'GRD SUMM RCL CASTER 3'!AP9</f>
        <v>0</v>
      </c>
      <c r="AS109" s="2504">
        <f>+'GRD SUMM RCL CASTER 3'!AQ9</f>
        <v>1655</v>
      </c>
      <c r="AT109" s="2504">
        <f>+'GRD SUMM RCL CASTER 3'!AR9</f>
        <v>0</v>
      </c>
      <c r="AU109" s="2504">
        <f>+'GRD SUMM RCL CASTER 3'!AS9</f>
        <v>0</v>
      </c>
      <c r="AV109" s="2504">
        <f>+'GRD SUMM RCL CASTER 3'!AT9</f>
        <v>0</v>
      </c>
      <c r="AW109" s="2504">
        <f>+'GRD SUMM RCL CASTER 3'!AU9</f>
        <v>1655</v>
      </c>
      <c r="AX109" s="2504">
        <f>+'GRD SUMM RCL CASTER 3'!AV9</f>
        <v>0</v>
      </c>
      <c r="AY109" s="2504">
        <f>+'GRD SUMM RCL CASTER 3'!AW9</f>
        <v>2258.1779999999999</v>
      </c>
      <c r="AZ109" s="2504">
        <f>+'GRD SUMM RCL CASTER 3'!AX9</f>
        <v>0</v>
      </c>
      <c r="BA109" s="2504">
        <f t="shared" si="27"/>
        <v>3913.1779999999999</v>
      </c>
      <c r="BB109" s="2504">
        <f>+'GRD SUMM RCL CASTER 3'!AZ9</f>
        <v>0</v>
      </c>
      <c r="BC109" s="2504">
        <f t="shared" si="28"/>
        <v>3913.1779999999999</v>
      </c>
      <c r="BD109" s="2504">
        <f>+'GRD SUMM RCL CASTER 3'!BB9</f>
        <v>0</v>
      </c>
      <c r="BE109" s="2504">
        <f t="shared" si="29"/>
        <v>5166.2479999999996</v>
      </c>
    </row>
    <row r="110" spans="2:58" ht="18" x14ac:dyDescent="0.3">
      <c r="C110" s="2522" t="str">
        <f>+'GRD SUMM RCL CASTER 3'!A10</f>
        <v>BLOOM CB 45 C8 (ROLLING) 200*280</v>
      </c>
      <c r="D110" s="4911"/>
      <c r="E110" s="2504">
        <f>+'GRD SUMM RCL CASTER 3'!C10</f>
        <v>0</v>
      </c>
      <c r="F110" s="2504">
        <f>+'GRD SUMM RCL CASTER 3'!D10</f>
        <v>0</v>
      </c>
      <c r="G110" s="2504">
        <f>+'GRD SUMM RCL CASTER 3'!E10</f>
        <v>572.83199999999999</v>
      </c>
      <c r="H110" s="2504">
        <f>+'GRD SUMM RCL CASTER 3'!F10</f>
        <v>0</v>
      </c>
      <c r="I110" s="2504">
        <f>+'GRD SUMM RCL CASTER 3'!G10</f>
        <v>572.83199999999999</v>
      </c>
      <c r="J110" s="2504">
        <f>+'GRD SUMM RCL CASTER 3'!H10</f>
        <v>0</v>
      </c>
      <c r="K110" s="2504">
        <f>+'GRD SUMM RCL CASTER 3'!I10</f>
        <v>0</v>
      </c>
      <c r="L110" s="2504">
        <f>+'GRD SUMM RCL CASTER 3'!J10</f>
        <v>0</v>
      </c>
      <c r="M110" s="2504">
        <f>+'GRD SUMM RCL CASTER 3'!K10</f>
        <v>0</v>
      </c>
      <c r="N110" s="2504">
        <f>+'GRD SUMM RCL CASTER 3'!L10</f>
        <v>0</v>
      </c>
      <c r="O110" s="2504">
        <f>+'GRD SUMM RCL CASTER 3'!M10</f>
        <v>0</v>
      </c>
      <c r="P110" s="2504">
        <f>+'GRD SUMM RCL CASTER 3'!N10</f>
        <v>0</v>
      </c>
      <c r="Q110" s="2504">
        <f>+'GRD SUMM RCL CASTER 3'!O10</f>
        <v>0</v>
      </c>
      <c r="R110" s="2504">
        <f>+'GRD SUMM RCL CASTER 3'!P10</f>
        <v>0</v>
      </c>
      <c r="S110" s="2504">
        <f>+'GRD SUMM RCL CASTER 3'!Q10</f>
        <v>0</v>
      </c>
      <c r="T110" s="2504">
        <f>+'GRD SUMM RCL CASTER 3'!R10</f>
        <v>0</v>
      </c>
      <c r="U110" s="2504">
        <f>+'GRD SUMM RCL CASTER 3'!S10</f>
        <v>0</v>
      </c>
      <c r="V110" s="2504">
        <f>+'GRD SUMM RCL CASTER 3'!T10</f>
        <v>0</v>
      </c>
      <c r="W110" s="2504">
        <f>+'GRD SUMM RCL CASTER 3'!U10</f>
        <v>0</v>
      </c>
      <c r="X110" s="2504">
        <f>+'GRD SUMM RCL CASTER 3'!V10</f>
        <v>0</v>
      </c>
      <c r="Y110" s="2504">
        <f>+'GRD SUMM RCL CASTER 3'!W10</f>
        <v>0</v>
      </c>
      <c r="Z110" s="2504">
        <f>+'GRD SUMM RCL CASTER 3'!X10</f>
        <v>0</v>
      </c>
      <c r="AA110" s="2504">
        <f>+'GRD SUMM RCL CASTER 3'!Y10</f>
        <v>0</v>
      </c>
      <c r="AB110" s="2504">
        <f>+'GRD SUMM RCL CASTER 3'!Z10</f>
        <v>0</v>
      </c>
      <c r="AC110" s="2504">
        <f>+'GRD SUMM RCL CASTER 3'!AA10</f>
        <v>0</v>
      </c>
      <c r="AD110" s="2504">
        <f>+'GRD SUMM RCL CASTER 3'!AB10</f>
        <v>0</v>
      </c>
      <c r="AE110" s="2504">
        <f>+'GRD SUMM RCL CASTER 3'!AC10</f>
        <v>0</v>
      </c>
      <c r="AF110" s="2504">
        <f>+'GRD SUMM RCL CASTER 3'!AD10</f>
        <v>0</v>
      </c>
      <c r="AG110" s="2504">
        <f>+'GRD SUMM RCL CASTER 3'!AE10</f>
        <v>0</v>
      </c>
      <c r="AH110" s="2504">
        <f>+'GRD SUMM RCL CASTER 3'!AF10</f>
        <v>0</v>
      </c>
      <c r="AI110" s="2504">
        <f>+'GRD SUMM RCL CASTER 3'!AG10</f>
        <v>0</v>
      </c>
      <c r="AJ110" s="2504">
        <f>+'GRD SUMM RCL CASTER 3'!AH10</f>
        <v>0</v>
      </c>
      <c r="AK110" s="2504">
        <f>+'GRD SUMM RCL CASTER 3'!AI10</f>
        <v>0</v>
      </c>
      <c r="AL110" s="2504">
        <f>+'GRD SUMM RCL CASTER 3'!AJ10</f>
        <v>0</v>
      </c>
      <c r="AM110" s="2504">
        <f>+'GRD SUMM RCL CASTER 3'!AK10</f>
        <v>0</v>
      </c>
      <c r="AN110" s="2504">
        <f>+'GRD SUMM RCL CASTER 3'!AL10</f>
        <v>0</v>
      </c>
      <c r="AO110" s="2504">
        <f>+'GRD SUMM RCL CASTER 3'!AM10</f>
        <v>0</v>
      </c>
      <c r="AP110" s="2504">
        <f>+'GRD SUMM RCL CASTER 3'!AN10</f>
        <v>0</v>
      </c>
      <c r="AQ110" s="2504">
        <f>+'GRD SUMM RCL CASTER 3'!AO10</f>
        <v>573</v>
      </c>
      <c r="AR110" s="2504">
        <f>+'GRD SUMM RCL CASTER 3'!AP10</f>
        <v>0</v>
      </c>
      <c r="AS110" s="2504">
        <f>+'GRD SUMM RCL CASTER 3'!AQ10</f>
        <v>573</v>
      </c>
      <c r="AT110" s="2504">
        <f>+'GRD SUMM RCL CASTER 3'!AR10</f>
        <v>0</v>
      </c>
      <c r="AU110" s="2504">
        <f>+'GRD SUMM RCL CASTER 3'!AS10</f>
        <v>0</v>
      </c>
      <c r="AV110" s="2504">
        <f>+'GRD SUMM RCL CASTER 3'!AT10</f>
        <v>0</v>
      </c>
      <c r="AW110" s="2504">
        <f>+'GRD SUMM RCL CASTER 3'!AU10</f>
        <v>573</v>
      </c>
      <c r="AX110" s="2504">
        <f>+'GRD SUMM RCL CASTER 3'!AV10</f>
        <v>0</v>
      </c>
      <c r="AY110" s="2504">
        <f>+'GRD SUMM RCL CASTER 3'!AW10</f>
        <v>372.60599999999999</v>
      </c>
      <c r="AZ110" s="2504">
        <f>+'GRD SUMM RCL CASTER 3'!AX10</f>
        <v>0</v>
      </c>
      <c r="BA110" s="2504">
        <f t="shared" si="27"/>
        <v>945.60599999999999</v>
      </c>
      <c r="BB110" s="2504">
        <f>+'GRD SUMM RCL CASTER 3'!AZ10</f>
        <v>0</v>
      </c>
      <c r="BC110" s="2504">
        <f t="shared" si="28"/>
        <v>945.60599999999999</v>
      </c>
      <c r="BD110" s="2504">
        <f>+'GRD SUMM RCL CASTER 3'!BB10</f>
        <v>0</v>
      </c>
      <c r="BE110" s="2504">
        <f t="shared" si="29"/>
        <v>1518.4379999999999</v>
      </c>
    </row>
    <row r="111" spans="2:58" ht="18" x14ac:dyDescent="0.3">
      <c r="C111" s="2522" t="str">
        <f>+'GRD SUMM RCL CASTER 3'!A11</f>
        <v>BLOOM CB SAILTOWER6 V 200*280</v>
      </c>
      <c r="D111" s="4911"/>
      <c r="E111" s="2504">
        <f>+'GRD SUMM RCL CASTER 3'!C11</f>
        <v>0</v>
      </c>
      <c r="F111" s="2504">
        <f>+'GRD SUMM RCL CASTER 3'!D11</f>
        <v>0</v>
      </c>
      <c r="G111" s="2504">
        <f>+'GRD SUMM RCL CASTER 3'!E11</f>
        <v>0</v>
      </c>
      <c r="H111" s="2504">
        <f>+'GRD SUMM RCL CASTER 3'!F11</f>
        <v>0</v>
      </c>
      <c r="I111" s="2504">
        <f>+'GRD SUMM RCL CASTER 3'!G11</f>
        <v>0</v>
      </c>
      <c r="J111" s="2504">
        <f>+'GRD SUMM RCL CASTER 3'!H11</f>
        <v>0</v>
      </c>
      <c r="K111" s="2504">
        <f>+'GRD SUMM RCL CASTER 3'!I11</f>
        <v>0</v>
      </c>
      <c r="L111" s="2504">
        <f>+'GRD SUMM RCL CASTER 3'!J11</f>
        <v>0</v>
      </c>
      <c r="M111" s="2504">
        <f>+'GRD SUMM RCL CASTER 3'!K11</f>
        <v>0</v>
      </c>
      <c r="N111" s="2504">
        <f>+'GRD SUMM RCL CASTER 3'!L11</f>
        <v>0</v>
      </c>
      <c r="O111" s="2504">
        <f>+'GRD SUMM RCL CASTER 3'!M11</f>
        <v>0</v>
      </c>
      <c r="P111" s="2504">
        <f>+'GRD SUMM RCL CASTER 3'!N11</f>
        <v>0</v>
      </c>
      <c r="Q111" s="2504">
        <f>+'GRD SUMM RCL CASTER 3'!O11</f>
        <v>0</v>
      </c>
      <c r="R111" s="2504">
        <f>+'GRD SUMM RCL CASTER 3'!P11</f>
        <v>0</v>
      </c>
      <c r="S111" s="2504">
        <f>+'GRD SUMM RCL CASTER 3'!Q11</f>
        <v>0</v>
      </c>
      <c r="T111" s="2504">
        <f>+'GRD SUMM RCL CASTER 3'!R11</f>
        <v>0</v>
      </c>
      <c r="U111" s="2504">
        <f>+'GRD SUMM RCL CASTER 3'!S11</f>
        <v>0</v>
      </c>
      <c r="V111" s="2504">
        <f>+'GRD SUMM RCL CASTER 3'!T11</f>
        <v>0</v>
      </c>
      <c r="W111" s="2504">
        <f>+'GRD SUMM RCL CASTER 3'!U11</f>
        <v>0</v>
      </c>
      <c r="X111" s="2504">
        <f>+'GRD SUMM RCL CASTER 3'!V11</f>
        <v>0</v>
      </c>
      <c r="Y111" s="2504">
        <f>+'GRD SUMM RCL CASTER 3'!W11</f>
        <v>0</v>
      </c>
      <c r="Z111" s="2504">
        <f>+'GRD SUMM RCL CASTER 3'!X11</f>
        <v>0</v>
      </c>
      <c r="AA111" s="2504">
        <f>+'GRD SUMM RCL CASTER 3'!Y11</f>
        <v>0</v>
      </c>
      <c r="AB111" s="2504">
        <f>+'GRD SUMM RCL CASTER 3'!Z11</f>
        <v>0</v>
      </c>
      <c r="AC111" s="2504">
        <f>+'GRD SUMM RCL CASTER 3'!AA11</f>
        <v>0</v>
      </c>
      <c r="AD111" s="2504">
        <f>+'GRD SUMM RCL CASTER 3'!AB11</f>
        <v>0</v>
      </c>
      <c r="AE111" s="2504">
        <f>+'GRD SUMM RCL CASTER 3'!AC11</f>
        <v>0</v>
      </c>
      <c r="AF111" s="2504">
        <f>+'GRD SUMM RCL CASTER 3'!AD11</f>
        <v>0</v>
      </c>
      <c r="AG111" s="2504">
        <f>+'GRD SUMM RCL CASTER 3'!AE11</f>
        <v>0</v>
      </c>
      <c r="AH111" s="2504">
        <f>+'GRD SUMM RCL CASTER 3'!AF11</f>
        <v>0</v>
      </c>
      <c r="AI111" s="2504">
        <f>+'GRD SUMM RCL CASTER 3'!AG11</f>
        <v>0</v>
      </c>
      <c r="AJ111" s="2504">
        <f>+'GRD SUMM RCL CASTER 3'!AH11</f>
        <v>0</v>
      </c>
      <c r="AK111" s="2504">
        <f>+'GRD SUMM RCL CASTER 3'!AI11</f>
        <v>0</v>
      </c>
      <c r="AL111" s="2504">
        <f>+'GRD SUMM RCL CASTER 3'!AJ11</f>
        <v>0</v>
      </c>
      <c r="AM111" s="2504">
        <f>+'GRD SUMM RCL CASTER 3'!AK11</f>
        <v>0</v>
      </c>
      <c r="AN111" s="2504">
        <f>+'GRD SUMM RCL CASTER 3'!AL11</f>
        <v>0</v>
      </c>
      <c r="AO111" s="2504">
        <f>+'GRD SUMM RCL CASTER 3'!AM11</f>
        <v>0</v>
      </c>
      <c r="AP111" s="2504">
        <f>+'GRD SUMM RCL CASTER 3'!AN11</f>
        <v>0</v>
      </c>
      <c r="AQ111" s="2504">
        <f>+'GRD SUMM RCL CASTER 3'!AO11</f>
        <v>1882</v>
      </c>
      <c r="AR111" s="2504">
        <f>+'GRD SUMM RCL CASTER 3'!AP11</f>
        <v>0</v>
      </c>
      <c r="AS111" s="2504">
        <f>+'GRD SUMM RCL CASTER 3'!AQ11</f>
        <v>1882</v>
      </c>
      <c r="AT111" s="2504">
        <f>+'GRD SUMM RCL CASTER 3'!AR11</f>
        <v>0</v>
      </c>
      <c r="AU111" s="2504">
        <f>+'GRD SUMM RCL CASTER 3'!AS11</f>
        <v>1221.2460000000001</v>
      </c>
      <c r="AV111" s="2504">
        <f>+'GRD SUMM RCL CASTER 3'!AT11</f>
        <v>0</v>
      </c>
      <c r="AW111" s="2504">
        <f>+'GRD SUMM RCL CASTER 3'!AU11</f>
        <v>3103.2460000000001</v>
      </c>
      <c r="AX111" s="2504">
        <f>+'GRD SUMM RCL CASTER 3'!AV11</f>
        <v>0</v>
      </c>
      <c r="AY111" s="2504">
        <f>+'GRD SUMM RCL CASTER 3'!AW11</f>
        <v>0</v>
      </c>
      <c r="AZ111" s="2504">
        <f>+'GRD SUMM RCL CASTER 3'!AX11</f>
        <v>0</v>
      </c>
      <c r="BA111" s="2504">
        <f t="shared" si="27"/>
        <v>3103.2460000000001</v>
      </c>
      <c r="BB111" s="2504">
        <f>+'GRD SUMM RCL CASTER 3'!AZ11</f>
        <v>0</v>
      </c>
      <c r="BC111" s="2504">
        <f t="shared" si="28"/>
        <v>3103.2460000000001</v>
      </c>
      <c r="BD111" s="2504">
        <f>+'GRD SUMM RCL CASTER 3'!BB11</f>
        <v>0</v>
      </c>
      <c r="BE111" s="2504">
        <f t="shared" si="29"/>
        <v>3103.2460000000001</v>
      </c>
    </row>
    <row r="112" spans="2:58" ht="18" x14ac:dyDescent="0.3">
      <c r="C112" s="2522" t="str">
        <f>+'GRD SUMM RCL CASTER 3'!A12</f>
        <v>BLOOM CB SAILTOWER6 NB 200*280</v>
      </c>
      <c r="D112" s="4911"/>
      <c r="E112" s="2504">
        <f>+'GRD SUMM RCL CASTER 3'!C12</f>
        <v>0</v>
      </c>
      <c r="F112" s="2504">
        <f>+'GRD SUMM RCL CASTER 3'!D12</f>
        <v>0</v>
      </c>
      <c r="G112" s="2504">
        <f>+'GRD SUMM RCL CASTER 3'!E12</f>
        <v>0</v>
      </c>
      <c r="H112" s="2504">
        <f>+'GRD SUMM RCL CASTER 3'!F12</f>
        <v>0</v>
      </c>
      <c r="I112" s="2504">
        <f>+'GRD SUMM RCL CASTER 3'!G12</f>
        <v>0</v>
      </c>
      <c r="J112" s="2504">
        <f>+'GRD SUMM RCL CASTER 3'!H12</f>
        <v>0</v>
      </c>
      <c r="K112" s="2504">
        <f>+'GRD SUMM RCL CASTER 3'!I12</f>
        <v>0</v>
      </c>
      <c r="L112" s="2504">
        <f>+'GRD SUMM RCL CASTER 3'!J12</f>
        <v>0</v>
      </c>
      <c r="M112" s="2504">
        <f>+'GRD SUMM RCL CASTER 3'!K12</f>
        <v>0</v>
      </c>
      <c r="N112" s="2504">
        <f>+'GRD SUMM RCL CASTER 3'!L12</f>
        <v>0</v>
      </c>
      <c r="O112" s="2504">
        <f>+'GRD SUMM RCL CASTER 3'!M12</f>
        <v>0</v>
      </c>
      <c r="P112" s="2504">
        <f>+'GRD SUMM RCL CASTER 3'!N12</f>
        <v>0</v>
      </c>
      <c r="Q112" s="2504">
        <f>+'GRD SUMM RCL CASTER 3'!O12</f>
        <v>0</v>
      </c>
      <c r="R112" s="2504">
        <f>+'GRD SUMM RCL CASTER 3'!P12</f>
        <v>0</v>
      </c>
      <c r="S112" s="2504">
        <f>+'GRD SUMM RCL CASTER 3'!Q12</f>
        <v>5899.3739999999998</v>
      </c>
      <c r="T112" s="2504">
        <f>+'GRD SUMM RCL CASTER 3'!R12</f>
        <v>0</v>
      </c>
      <c r="U112" s="2504">
        <f>+'GRD SUMM RCL CASTER 3'!S12</f>
        <v>5899.3739999999998</v>
      </c>
      <c r="V112" s="2504">
        <f>+'GRD SUMM RCL CASTER 3'!T12</f>
        <v>0</v>
      </c>
      <c r="W112" s="2504">
        <f>+'GRD SUMM RCL CASTER 3'!U12</f>
        <v>0</v>
      </c>
      <c r="X112" s="2504">
        <f>+'GRD SUMM RCL CASTER 3'!V12</f>
        <v>0</v>
      </c>
      <c r="Y112" s="2504">
        <f>+'GRD SUMM RCL CASTER 3'!W12</f>
        <v>5899.3739999999998</v>
      </c>
      <c r="Z112" s="2504">
        <f>+'GRD SUMM RCL CASTER 3'!X12</f>
        <v>0</v>
      </c>
      <c r="AA112" s="2504">
        <f>+'GRD SUMM RCL CASTER 3'!Y12</f>
        <v>5899.3739999999998</v>
      </c>
      <c r="AB112" s="2504">
        <f>+'GRD SUMM RCL CASTER 3'!Z12</f>
        <v>0</v>
      </c>
      <c r="AC112" s="2504">
        <f>+'GRD SUMM RCL CASTER 3'!AA12</f>
        <v>9050</v>
      </c>
      <c r="AD112" s="2504">
        <f>+'GRD SUMM RCL CASTER 3'!AB12</f>
        <v>0</v>
      </c>
      <c r="AE112" s="2504">
        <f>+'GRD SUMM RCL CASTER 3'!AC12</f>
        <v>14949.374</v>
      </c>
      <c r="AF112" s="2504">
        <f>+'GRD SUMM RCL CASTER 3'!AD12</f>
        <v>0</v>
      </c>
      <c r="AG112" s="2504">
        <f>+'GRD SUMM RCL CASTER 3'!AE12</f>
        <v>0</v>
      </c>
      <c r="AH112" s="2504">
        <f>+'GRD SUMM RCL CASTER 3'!AF12</f>
        <v>0</v>
      </c>
      <c r="AI112" s="2504">
        <f>+'GRD SUMM RCL CASTER 3'!AG12</f>
        <v>14949.374</v>
      </c>
      <c r="AJ112" s="2504">
        <f>+'GRD SUMM RCL CASTER 3'!AH12</f>
        <v>0</v>
      </c>
      <c r="AK112" s="2504">
        <f>+'GRD SUMM RCL CASTER 3'!AI12</f>
        <v>0</v>
      </c>
      <c r="AL112" s="2504">
        <f>+'GRD SUMM RCL CASTER 3'!AJ12</f>
        <v>0</v>
      </c>
      <c r="AM112" s="2504">
        <f>+'GRD SUMM RCL CASTER 3'!AK12</f>
        <v>9050</v>
      </c>
      <c r="AN112" s="2504">
        <f>+'GRD SUMM RCL CASTER 3'!AL12</f>
        <v>0</v>
      </c>
      <c r="AO112" s="2504">
        <f>+'GRD SUMM RCL CASTER 3'!AM12</f>
        <v>14949.374</v>
      </c>
      <c r="AP112" s="2504">
        <f>+'GRD SUMM RCL CASTER 3'!AN12</f>
        <v>0</v>
      </c>
      <c r="AQ112" s="2504">
        <f>+'GRD SUMM RCL CASTER 3'!AO12</f>
        <v>0</v>
      </c>
      <c r="AR112" s="2504">
        <f>+'GRD SUMM RCL CASTER 3'!AP12</f>
        <v>0</v>
      </c>
      <c r="AS112" s="2504">
        <f>+'GRD SUMM RCL CASTER 3'!AQ12</f>
        <v>14949.374</v>
      </c>
      <c r="AT112" s="2504">
        <f>+'GRD SUMM RCL CASTER 3'!AR12</f>
        <v>0</v>
      </c>
      <c r="AU112" s="2504">
        <f>+'GRD SUMM RCL CASTER 3'!AS12</f>
        <v>0</v>
      </c>
      <c r="AV112" s="2504">
        <f>+'GRD SUMM RCL CASTER 3'!AT12</f>
        <v>0</v>
      </c>
      <c r="AW112" s="2504">
        <f>+'GRD SUMM RCL CASTER 3'!AU12</f>
        <v>14949.374</v>
      </c>
      <c r="AX112" s="2504">
        <f>+'GRD SUMM RCL CASTER 3'!AV12</f>
        <v>0</v>
      </c>
      <c r="AY112" s="2504">
        <f>+'GRD SUMM RCL CASTER 3'!AW12</f>
        <v>0</v>
      </c>
      <c r="AZ112" s="2504">
        <f>+'GRD SUMM RCL CASTER 3'!AX12</f>
        <v>0</v>
      </c>
      <c r="BA112" s="2504">
        <f t="shared" si="27"/>
        <v>0</v>
      </c>
      <c r="BB112" s="2504">
        <f>+'GRD SUMM RCL CASTER 3'!AZ12</f>
        <v>0</v>
      </c>
      <c r="BC112" s="2504">
        <f t="shared" si="28"/>
        <v>9050</v>
      </c>
      <c r="BD112" s="2504">
        <f>+'GRD SUMM RCL CASTER 3'!BB12</f>
        <v>0</v>
      </c>
      <c r="BE112" s="2504">
        <f t="shared" si="29"/>
        <v>14949.374</v>
      </c>
    </row>
    <row r="113" spans="2:57" x14ac:dyDescent="0.3">
      <c r="C113" s="2522" t="str">
        <f>+'GRD SUMM RCL CASTER 3'!A13</f>
        <v>BLOOM CB SAILTOWER-GR6-NB(A) 200*280</v>
      </c>
      <c r="D113" s="2522"/>
      <c r="E113" s="2504">
        <f>+'GRD SUMM RCL CASTER 3'!C13</f>
        <v>0</v>
      </c>
      <c r="F113" s="2504">
        <f>+'GRD SUMM RCL CASTER 3'!D13</f>
        <v>0</v>
      </c>
      <c r="G113" s="2504">
        <f>+'GRD SUMM RCL CASTER 3'!E13</f>
        <v>0</v>
      </c>
      <c r="H113" s="2504">
        <f>+'GRD SUMM RCL CASTER 3'!F13</f>
        <v>0</v>
      </c>
      <c r="I113" s="2504">
        <f>+'GRD SUMM RCL CASTER 3'!G13</f>
        <v>0</v>
      </c>
      <c r="J113" s="2504">
        <f>+'GRD SUMM RCL CASTER 3'!H13</f>
        <v>0</v>
      </c>
      <c r="K113" s="2504">
        <f>+'GRD SUMM RCL CASTER 3'!I13</f>
        <v>0</v>
      </c>
      <c r="L113" s="2504">
        <f>+'GRD SUMM RCL CASTER 3'!J13</f>
        <v>0</v>
      </c>
      <c r="M113" s="2504">
        <f>+'GRD SUMM RCL CASTER 3'!K13</f>
        <v>0</v>
      </c>
      <c r="N113" s="2504">
        <f>+'GRD SUMM RCL CASTER 3'!L13</f>
        <v>0</v>
      </c>
      <c r="O113" s="2504">
        <f>+'GRD SUMM RCL CASTER 3'!M13</f>
        <v>0</v>
      </c>
      <c r="P113" s="2504">
        <f>+'GRD SUMM RCL CASTER 3'!N13</f>
        <v>0</v>
      </c>
      <c r="Q113" s="2504">
        <f>+'GRD SUMM RCL CASTER 3'!O13</f>
        <v>0</v>
      </c>
      <c r="R113" s="2504">
        <f>+'GRD SUMM RCL CASTER 3'!P13</f>
        <v>0</v>
      </c>
      <c r="S113" s="2504">
        <f>+'GRD SUMM RCL CASTER 3'!Q13</f>
        <v>0</v>
      </c>
      <c r="T113" s="2504">
        <f>+'GRD SUMM RCL CASTER 3'!R13</f>
        <v>0</v>
      </c>
      <c r="U113" s="2504">
        <f>+'GRD SUMM RCL CASTER 3'!S13</f>
        <v>0</v>
      </c>
      <c r="V113" s="2504">
        <f>+'GRD SUMM RCL CASTER 3'!T13</f>
        <v>0</v>
      </c>
      <c r="W113" s="2504">
        <f>+'GRD SUMM RCL CASTER 3'!U13</f>
        <v>0</v>
      </c>
      <c r="X113" s="2504">
        <f>+'GRD SUMM RCL CASTER 3'!V13</f>
        <v>0</v>
      </c>
      <c r="Y113" s="2504">
        <f>+'GRD SUMM RCL CASTER 3'!W13</f>
        <v>0</v>
      </c>
      <c r="Z113" s="2504">
        <f>+'GRD SUMM RCL CASTER 3'!X13</f>
        <v>0</v>
      </c>
      <c r="AA113" s="2504">
        <f>+'GRD SUMM RCL CASTER 3'!Y13</f>
        <v>0</v>
      </c>
      <c r="AB113" s="2504">
        <f>+'GRD SUMM RCL CASTER 3'!Z13</f>
        <v>0</v>
      </c>
      <c r="AC113" s="2504">
        <f>+'GRD SUMM RCL CASTER 3'!AA13</f>
        <v>0</v>
      </c>
      <c r="AD113" s="2504">
        <f>+'GRD SUMM RCL CASTER 3'!AB13</f>
        <v>0</v>
      </c>
      <c r="AE113" s="2504">
        <f>+'GRD SUMM RCL CASTER 3'!AC13</f>
        <v>0</v>
      </c>
      <c r="AF113" s="2504">
        <f>+'GRD SUMM RCL CASTER 3'!AD13</f>
        <v>0</v>
      </c>
      <c r="AG113" s="2504">
        <f>+'GRD SUMM RCL CASTER 3'!AE13</f>
        <v>0</v>
      </c>
      <c r="AH113" s="2504">
        <f>+'GRD SUMM RCL CASTER 3'!AF13</f>
        <v>0</v>
      </c>
      <c r="AI113" s="2504">
        <f>+'GRD SUMM RCL CASTER 3'!AG13</f>
        <v>0</v>
      </c>
      <c r="AJ113" s="2504">
        <f>+'GRD SUMM RCL CASTER 3'!AH13</f>
        <v>0</v>
      </c>
      <c r="AK113" s="2504">
        <f>+'GRD SUMM RCL CASTER 3'!AI13</f>
        <v>0</v>
      </c>
      <c r="AL113" s="2504">
        <f>+'GRD SUMM RCL CASTER 3'!AJ13</f>
        <v>0</v>
      </c>
      <c r="AM113" s="2504">
        <f>+'GRD SUMM RCL CASTER 3'!AK13</f>
        <v>0</v>
      </c>
      <c r="AN113" s="2504">
        <f>+'GRD SUMM RCL CASTER 3'!AL13</f>
        <v>0</v>
      </c>
      <c r="AO113" s="2504">
        <f>+'GRD SUMM RCL CASTER 3'!AM13</f>
        <v>0</v>
      </c>
      <c r="AP113" s="2504">
        <f>+'GRD SUMM RCL CASTER 3'!AN13</f>
        <v>0</v>
      </c>
      <c r="AQ113" s="2504">
        <f>+'GRD SUMM RCL CASTER 3'!AO13</f>
        <v>0</v>
      </c>
      <c r="AR113" s="2504">
        <f>+'GRD SUMM RCL CASTER 3'!AP13</f>
        <v>0</v>
      </c>
      <c r="AS113" s="2504">
        <f>+'GRD SUMM RCL CASTER 3'!AQ13</f>
        <v>0</v>
      </c>
      <c r="AT113" s="2504">
        <f>+'GRD SUMM RCL CASTER 3'!AR13</f>
        <v>0</v>
      </c>
      <c r="AU113" s="2504">
        <f>+'GRD SUMM RCL CASTER 3'!AS13</f>
        <v>0</v>
      </c>
      <c r="AV113" s="2504">
        <f>+'GRD SUMM RCL CASTER 3'!AT13</f>
        <v>0</v>
      </c>
      <c r="AW113" s="2504">
        <f>+'GRD SUMM RCL CASTER 3'!AU13</f>
        <v>0</v>
      </c>
      <c r="AX113" s="2504">
        <f>+'GRD SUMM RCL CASTER 3'!AV13</f>
        <v>0</v>
      </c>
      <c r="AY113" s="2504">
        <f>+'GRD SUMM RCL CASTER 3'!AW13</f>
        <v>0</v>
      </c>
      <c r="AZ113" s="2504">
        <f>+'GRD SUMM RCL CASTER 3'!AX13</f>
        <v>0</v>
      </c>
      <c r="BA113" s="2504">
        <f t="shared" si="27"/>
        <v>0</v>
      </c>
      <c r="BB113" s="2504">
        <f>+'GRD SUMM RCL CASTER 3'!AZ13</f>
        <v>0</v>
      </c>
      <c r="BC113" s="2504">
        <f t="shared" si="28"/>
        <v>0</v>
      </c>
      <c r="BD113" s="2504">
        <f>+'GRD SUMM RCL CASTER 3'!BB13</f>
        <v>0</v>
      </c>
      <c r="BE113" s="2504">
        <f t="shared" si="29"/>
        <v>0</v>
      </c>
    </row>
    <row r="114" spans="2:57" x14ac:dyDescent="0.3">
      <c r="C114" s="2522" t="str">
        <f>+'GRD SUMM RCL CASTER 3'!A14</f>
        <v>BLOOM CB SWR 14 200*280</v>
      </c>
      <c r="D114" s="2522"/>
      <c r="E114" s="2504">
        <f>+'GRD SUMM RCL CASTER 3'!C14</f>
        <v>0</v>
      </c>
      <c r="F114" s="2504">
        <f>+'GRD SUMM RCL CASTER 3'!D14</f>
        <v>0</v>
      </c>
      <c r="G114" s="2504">
        <f>+'GRD SUMM RCL CASTER 3'!E14</f>
        <v>0</v>
      </c>
      <c r="H114" s="2504">
        <f>+'GRD SUMM RCL CASTER 3'!F14</f>
        <v>0</v>
      </c>
      <c r="I114" s="2504">
        <f>+'GRD SUMM RCL CASTER 3'!G14</f>
        <v>0</v>
      </c>
      <c r="J114" s="2504">
        <f>+'GRD SUMM RCL CASTER 3'!H14</f>
        <v>0</v>
      </c>
      <c r="K114" s="2504">
        <f>+'GRD SUMM RCL CASTER 3'!I14</f>
        <v>0</v>
      </c>
      <c r="L114" s="2504">
        <f>+'GRD SUMM RCL CASTER 3'!J14</f>
        <v>0</v>
      </c>
      <c r="M114" s="2504">
        <f>+'GRD SUMM RCL CASTER 3'!K14</f>
        <v>0</v>
      </c>
      <c r="N114" s="2504">
        <f>+'GRD SUMM RCL CASTER 3'!L14</f>
        <v>0</v>
      </c>
      <c r="O114" s="2504">
        <f>+'GRD SUMM RCL CASTER 3'!M14</f>
        <v>0</v>
      </c>
      <c r="P114" s="2504">
        <f>+'GRD SUMM RCL CASTER 3'!N14</f>
        <v>0</v>
      </c>
      <c r="Q114" s="2504">
        <f>+'GRD SUMM RCL CASTER 3'!O14</f>
        <v>0</v>
      </c>
      <c r="R114" s="2504">
        <f>+'GRD SUMM RCL CASTER 3'!P14</f>
        <v>0</v>
      </c>
      <c r="S114" s="2504">
        <f>+'GRD SUMM RCL CASTER 3'!Q14</f>
        <v>0</v>
      </c>
      <c r="T114" s="2504">
        <f>+'GRD SUMM RCL CASTER 3'!R14</f>
        <v>0</v>
      </c>
      <c r="U114" s="2504">
        <f>+'GRD SUMM RCL CASTER 3'!S14</f>
        <v>0</v>
      </c>
      <c r="V114" s="2504">
        <f>+'GRD SUMM RCL CASTER 3'!T14</f>
        <v>0</v>
      </c>
      <c r="W114" s="2504">
        <f>+'GRD SUMM RCL CASTER 3'!U14</f>
        <v>0</v>
      </c>
      <c r="X114" s="2504">
        <f>+'GRD SUMM RCL CASTER 3'!V14</f>
        <v>0</v>
      </c>
      <c r="Y114" s="2504">
        <f>+'GRD SUMM RCL CASTER 3'!W14</f>
        <v>0</v>
      </c>
      <c r="Z114" s="2504">
        <f>+'GRD SUMM RCL CASTER 3'!X14</f>
        <v>0</v>
      </c>
      <c r="AA114" s="2504">
        <f>+'GRD SUMM RCL CASTER 3'!Y14</f>
        <v>0</v>
      </c>
      <c r="AB114" s="2504">
        <f>+'GRD SUMM RCL CASTER 3'!Z14</f>
        <v>0</v>
      </c>
      <c r="AC114" s="2504">
        <f>+'GRD SUMM RCL CASTER 3'!AA14</f>
        <v>0</v>
      </c>
      <c r="AD114" s="2504">
        <f>+'GRD SUMM RCL CASTER 3'!AB14</f>
        <v>0</v>
      </c>
      <c r="AE114" s="2504">
        <f>+'GRD SUMM RCL CASTER 3'!AC14</f>
        <v>0</v>
      </c>
      <c r="AF114" s="2504">
        <f>+'GRD SUMM RCL CASTER 3'!AD14</f>
        <v>0</v>
      </c>
      <c r="AG114" s="2504">
        <f>+'GRD SUMM RCL CASTER 3'!AE14</f>
        <v>0</v>
      </c>
      <c r="AH114" s="2504">
        <f>+'GRD SUMM RCL CASTER 3'!AF14</f>
        <v>0</v>
      </c>
      <c r="AI114" s="2504">
        <f>+'GRD SUMM RCL CASTER 3'!AG14</f>
        <v>0</v>
      </c>
      <c r="AJ114" s="2504">
        <f>+'GRD SUMM RCL CASTER 3'!AH14</f>
        <v>0</v>
      </c>
      <c r="AK114" s="2504">
        <f>+'GRD SUMM RCL CASTER 3'!AI14</f>
        <v>0</v>
      </c>
      <c r="AL114" s="2504">
        <f>+'GRD SUMM RCL CASTER 3'!AJ14</f>
        <v>0</v>
      </c>
      <c r="AM114" s="2504">
        <f>+'GRD SUMM RCL CASTER 3'!AK14</f>
        <v>0</v>
      </c>
      <c r="AN114" s="2504">
        <f>+'GRD SUMM RCL CASTER 3'!AL14</f>
        <v>0</v>
      </c>
      <c r="AO114" s="2504">
        <f>+'GRD SUMM RCL CASTER 3'!AM14</f>
        <v>0</v>
      </c>
      <c r="AP114" s="2504">
        <f>+'GRD SUMM RCL CASTER 3'!AN14</f>
        <v>0</v>
      </c>
      <c r="AQ114" s="2504">
        <f>+'GRD SUMM RCL CASTER 3'!AO14</f>
        <v>0</v>
      </c>
      <c r="AR114" s="2504">
        <f>+'GRD SUMM RCL CASTER 3'!AP14</f>
        <v>0</v>
      </c>
      <c r="AS114" s="2504">
        <f>+'GRD SUMM RCL CASTER 3'!AQ14</f>
        <v>0</v>
      </c>
      <c r="AT114" s="2504">
        <f>+'GRD SUMM RCL CASTER 3'!AR14</f>
        <v>0</v>
      </c>
      <c r="AU114" s="2504">
        <f>+'GRD SUMM RCL CASTER 3'!AS14</f>
        <v>0</v>
      </c>
      <c r="AV114" s="2504">
        <f>+'GRD SUMM RCL CASTER 3'!AT14</f>
        <v>0</v>
      </c>
      <c r="AW114" s="2504">
        <f>+'GRD SUMM RCL CASTER 3'!AU14</f>
        <v>0</v>
      </c>
      <c r="AX114" s="2504">
        <f>+'GRD SUMM RCL CASTER 3'!AV14</f>
        <v>0</v>
      </c>
      <c r="AY114" s="2504">
        <f>+'GRD SUMM RCL CASTER 3'!AW14</f>
        <v>0</v>
      </c>
      <c r="AZ114" s="2504">
        <f>+'GRD SUMM RCL CASTER 3'!AX14</f>
        <v>0</v>
      </c>
      <c r="BA114" s="2504">
        <f t="shared" si="27"/>
        <v>0</v>
      </c>
      <c r="BB114" s="2504">
        <f>+'GRD SUMM RCL CASTER 3'!AZ14</f>
        <v>0</v>
      </c>
      <c r="BC114" s="2504">
        <f t="shared" si="28"/>
        <v>0</v>
      </c>
      <c r="BD114" s="2504">
        <f>+'GRD SUMM RCL CASTER 3'!BB14</f>
        <v>0</v>
      </c>
      <c r="BE114" s="2504">
        <f t="shared" si="29"/>
        <v>0</v>
      </c>
    </row>
    <row r="115" spans="2:57" x14ac:dyDescent="0.3">
      <c r="C115" s="2522" t="str">
        <f>+'GRD SUMM RCL CASTER 3'!A15</f>
        <v>BLOOM CB IS2830 C18MMNC-ALK 200*280</v>
      </c>
      <c r="D115" s="5461"/>
      <c r="E115" s="2504">
        <f>+'GRD SUMM RCL CASTER 3'!C15</f>
        <v>0</v>
      </c>
      <c r="F115" s="5462"/>
      <c r="G115" s="2504">
        <f>+'GRD SUMM RCL CASTER 3'!E15</f>
        <v>869.85599999999999</v>
      </c>
      <c r="H115" s="5462"/>
      <c r="I115" s="2504">
        <f>+'GRD SUMM RCL CASTER 3'!G15</f>
        <v>869.85599999999999</v>
      </c>
      <c r="J115" s="5462"/>
      <c r="K115" s="5462"/>
      <c r="L115" s="5462"/>
      <c r="M115" s="5462"/>
      <c r="N115" s="5462"/>
      <c r="O115" s="5462"/>
      <c r="P115" s="5462"/>
      <c r="Q115" s="5462"/>
      <c r="R115" s="5462"/>
      <c r="S115" s="5462"/>
      <c r="T115" s="5462"/>
      <c r="U115" s="5462"/>
      <c r="V115" s="5462"/>
      <c r="W115" s="5462"/>
      <c r="X115" s="5462"/>
      <c r="Y115" s="5462"/>
      <c r="Z115" s="5462"/>
      <c r="AA115" s="5462"/>
      <c r="AB115" s="5462"/>
      <c r="AC115" s="5462"/>
      <c r="AD115" s="5462"/>
      <c r="AE115" s="5462"/>
      <c r="AF115" s="5462"/>
      <c r="AG115" s="5462"/>
      <c r="AH115" s="5462"/>
      <c r="AI115" s="5462"/>
      <c r="AJ115" s="5462"/>
      <c r="AK115" s="5462"/>
      <c r="AL115" s="5462"/>
      <c r="AM115" s="5462"/>
      <c r="AN115" s="5462"/>
      <c r="AO115" s="5462"/>
      <c r="AP115" s="5462"/>
      <c r="AQ115" s="5462"/>
      <c r="AR115" s="5462"/>
      <c r="AS115" s="5462"/>
      <c r="AT115" s="5462"/>
      <c r="AU115" s="5462"/>
      <c r="AV115" s="5462"/>
      <c r="AW115" s="5462"/>
      <c r="AX115" s="5462"/>
      <c r="AY115" s="5462"/>
      <c r="AZ115" s="5462"/>
      <c r="BA115" s="5462"/>
      <c r="BB115" s="5462"/>
      <c r="BC115" s="5462"/>
      <c r="BD115" s="5462"/>
      <c r="BE115" s="5462"/>
    </row>
    <row r="116" spans="2:57" x14ac:dyDescent="0.3">
      <c r="C116" s="2522" t="str">
        <f>+'GRD SUMM RCL CASTER 3'!A19</f>
        <v>ASSORTED CC BLOOM 200*280</v>
      </c>
      <c r="D116" s="2522"/>
      <c r="E116" s="2504">
        <f>+'GRD SUMM RCL CASTER 3'!C19</f>
        <v>0</v>
      </c>
      <c r="F116" s="2504">
        <f>+'GRD SUMM RCL CASTER 3'!D19</f>
        <v>0</v>
      </c>
      <c r="G116" s="2504">
        <f>+'GRD SUMM RCL CASTER 3'!E19</f>
        <v>66.918000000000006</v>
      </c>
      <c r="H116" s="2504">
        <f>+'GRD SUMM RCL CASTER 3'!F19</f>
        <v>0</v>
      </c>
      <c r="I116" s="2504">
        <f>+'GRD SUMM RCL CASTER 3'!G16</f>
        <v>176.08199999999999</v>
      </c>
      <c r="J116" s="2504">
        <f>+'GRD SUMM RCL CASTER 3'!H19</f>
        <v>0</v>
      </c>
      <c r="K116" s="2504">
        <f>+'GRD SUMM RCL CASTER 3'!I19</f>
        <v>0</v>
      </c>
      <c r="L116" s="2504">
        <f>+'GRD SUMM RCL CASTER 3'!J19</f>
        <v>0</v>
      </c>
      <c r="M116" s="2504">
        <f>+'GRD SUMM RCL CASTER 3'!K19</f>
        <v>66.918000000000006</v>
      </c>
      <c r="N116" s="2504">
        <f>+'GRD SUMM RCL CASTER 3'!L19</f>
        <v>0</v>
      </c>
      <c r="O116" s="2504">
        <f>+'GRD SUMM RCL CASTER 3'!M19</f>
        <v>0</v>
      </c>
      <c r="P116" s="2504">
        <f>+'GRD SUMM RCL CASTER 3'!N19</f>
        <v>0</v>
      </c>
      <c r="Q116" s="2504">
        <f>+'GRD SUMM RCL CASTER 3'!O19</f>
        <v>66.918000000000006</v>
      </c>
      <c r="R116" s="2504">
        <f>+'GRD SUMM RCL CASTER 3'!P19</f>
        <v>0</v>
      </c>
      <c r="S116" s="2504">
        <f>+'GRD SUMM RCL CASTER 3'!Q19</f>
        <v>274.29000000000002</v>
      </c>
      <c r="T116" s="2504">
        <f>+'GRD SUMM RCL CASTER 3'!R19</f>
        <v>0</v>
      </c>
      <c r="U116" s="2504">
        <f>+'GRD SUMM RCL CASTER 3'!S19</f>
        <v>341.20800000000003</v>
      </c>
      <c r="V116" s="2504">
        <f>+'GRD SUMM RCL CASTER 3'!T19</f>
        <v>0</v>
      </c>
      <c r="W116" s="2504">
        <f>+'GRD SUMM RCL CASTER 3'!U19</f>
        <v>0</v>
      </c>
      <c r="X116" s="2504">
        <f>+'GRD SUMM RCL CASTER 3'!V19</f>
        <v>0</v>
      </c>
      <c r="Y116" s="2504">
        <f>+'GRD SUMM RCL CASTER 3'!W19</f>
        <v>274.29000000000002</v>
      </c>
      <c r="Z116" s="2504">
        <f>+'GRD SUMM RCL CASTER 3'!X19</f>
        <v>0</v>
      </c>
      <c r="AA116" s="2504">
        <f>+'GRD SUMM RCL CASTER 3'!Y19</f>
        <v>341.20800000000003</v>
      </c>
      <c r="AB116" s="2504">
        <f>+'GRD SUMM RCL CASTER 3'!Z19</f>
        <v>0</v>
      </c>
      <c r="AC116" s="2504">
        <f>+'GRD SUMM RCL CASTER 3'!AA19</f>
        <v>107</v>
      </c>
      <c r="AD116" s="2504">
        <f>+'GRD SUMM RCL CASTER 3'!AB19</f>
        <v>0</v>
      </c>
      <c r="AE116" s="2504">
        <f>+'GRD SUMM RCL CASTER 3'!AC19</f>
        <v>448.20800000000003</v>
      </c>
      <c r="AF116" s="2504">
        <f>+'GRD SUMM RCL CASTER 3'!AD19</f>
        <v>0</v>
      </c>
      <c r="AG116" s="2504">
        <f>+'GRD SUMM RCL CASTER 3'!AE19</f>
        <v>0</v>
      </c>
      <c r="AH116" s="2504">
        <f>+'GRD SUMM RCL CASTER 3'!AF19</f>
        <v>0</v>
      </c>
      <c r="AI116" s="2504">
        <f>+'GRD SUMM RCL CASTER 3'!AG19</f>
        <v>448.20800000000003</v>
      </c>
      <c r="AJ116" s="2504">
        <f>+'GRD SUMM RCL CASTER 3'!AH19</f>
        <v>0</v>
      </c>
      <c r="AK116" s="2504">
        <f>+'GRD SUMM RCL CASTER 3'!AI19</f>
        <v>0</v>
      </c>
      <c r="AL116" s="2504">
        <f>+'GRD SUMM RCL CASTER 3'!AJ19</f>
        <v>0</v>
      </c>
      <c r="AM116" s="2504">
        <f>+'GRD SUMM RCL CASTER 3'!AK19</f>
        <v>107</v>
      </c>
      <c r="AN116" s="2504">
        <f>+'GRD SUMM RCL CASTER 3'!AL19</f>
        <v>0</v>
      </c>
      <c r="AO116" s="2504">
        <f>+'GRD SUMM RCL CASTER 3'!AM19</f>
        <v>448.20800000000003</v>
      </c>
      <c r="AP116" s="2504">
        <f>+'GRD SUMM RCL CASTER 3'!AN19</f>
        <v>0</v>
      </c>
      <c r="AQ116" s="2504">
        <f>+'GRD SUMM RCL CASTER 3'!AO19</f>
        <v>199</v>
      </c>
      <c r="AR116" s="2504">
        <f>+'GRD SUMM RCL CASTER 3'!AP19</f>
        <v>0</v>
      </c>
      <c r="AS116" s="2504">
        <f>+'GRD SUMM RCL CASTER 3'!AQ19</f>
        <v>647.20800000000008</v>
      </c>
      <c r="AT116" s="2504">
        <f>+'GRD SUMM RCL CASTER 3'!AR19</f>
        <v>0</v>
      </c>
      <c r="AU116" s="2504">
        <f>+'GRD SUMM RCL CASTER 3'!AS19</f>
        <v>89.55</v>
      </c>
      <c r="AV116" s="2504">
        <f>+'GRD SUMM RCL CASTER 3'!AT19</f>
        <v>0</v>
      </c>
      <c r="AW116" s="2504">
        <f>+'GRD SUMM RCL CASTER 3'!AU19</f>
        <v>736.75800000000004</v>
      </c>
      <c r="AX116" s="2504">
        <f>+'GRD SUMM RCL CASTER 3'!AV19</f>
        <v>0</v>
      </c>
      <c r="AY116" s="2504">
        <f>+'GRD SUMM RCL CASTER 3'!AW19</f>
        <v>111.07899999999999</v>
      </c>
      <c r="AZ116" s="2504">
        <f>+'GRD SUMM RCL CASTER 3'!AX19</f>
        <v>0</v>
      </c>
      <c r="BA116" s="2504">
        <f t="shared" si="27"/>
        <v>399.62900000000002</v>
      </c>
      <c r="BB116" s="2504">
        <f>+'GRD SUMM RCL CASTER 3'!AZ19</f>
        <v>0</v>
      </c>
      <c r="BC116" s="2504">
        <f t="shared" si="28"/>
        <v>506.62900000000002</v>
      </c>
      <c r="BD116" s="2504">
        <f>+'GRD SUMM RCL CASTER 3'!BB19</f>
        <v>0</v>
      </c>
      <c r="BE116" s="2504">
        <f t="shared" si="29"/>
        <v>847.83699999999999</v>
      </c>
    </row>
    <row r="117" spans="2:57" ht="16.2" thickBot="1" x14ac:dyDescent="0.35">
      <c r="B117" s="251"/>
      <c r="C117" s="2513" t="s">
        <v>1667</v>
      </c>
      <c r="D117" s="2531"/>
      <c r="E117" s="2514">
        <f>SUM(E107:E116)</f>
        <v>0</v>
      </c>
      <c r="F117" s="2514"/>
      <c r="G117" s="2514">
        <f>SUM(G107:G116)</f>
        <v>2762.6759999999999</v>
      </c>
      <c r="H117" s="2514"/>
      <c r="I117" s="2514">
        <f t="shared" ref="I117:I122" si="30">+E117+G117</f>
        <v>2762.6759999999999</v>
      </c>
      <c r="J117" s="2514"/>
      <c r="K117" s="2514">
        <f>SUM(K107:K116)</f>
        <v>0</v>
      </c>
      <c r="L117" s="2514"/>
      <c r="M117" s="2514">
        <f t="shared" ref="M117:M129" si="31">+E117+G117+K117</f>
        <v>2762.6759999999999</v>
      </c>
      <c r="N117" s="2514"/>
      <c r="O117" s="2514">
        <f>SUM(O107:O116)</f>
        <v>0</v>
      </c>
      <c r="P117" s="2514"/>
      <c r="Q117" s="2514">
        <f t="shared" ref="Q117:Q129" si="32">+O117+K117+G117+E117</f>
        <v>2762.6759999999999</v>
      </c>
      <c r="R117" s="2514"/>
      <c r="S117" s="2514">
        <f>SUM(S107:S116)</f>
        <v>6480.768</v>
      </c>
      <c r="T117" s="2514"/>
      <c r="U117" s="2514">
        <f t="shared" ref="U117:U129" si="33">+S117+O117+K117+G117+E117</f>
        <v>9243.4439999999995</v>
      </c>
      <c r="V117" s="2514"/>
      <c r="W117" s="2514">
        <f>SUM(W107:W116)</f>
        <v>0</v>
      </c>
      <c r="X117" s="2514"/>
      <c r="Y117" s="2514">
        <f t="shared" ref="Y117:Y129" si="34">+W117+S117+O117</f>
        <v>6480.768</v>
      </c>
      <c r="Z117" s="2514"/>
      <c r="AA117" s="2514">
        <f t="shared" ref="AA117:AA129" si="35">+E117+G117+K117+O117+S117+W117</f>
        <v>9243.4439999999995</v>
      </c>
      <c r="AB117" s="2514"/>
      <c r="AC117" s="2514">
        <f>SUM(AC107:AC116)</f>
        <v>9191</v>
      </c>
      <c r="AD117" s="2514"/>
      <c r="AE117" s="2514">
        <f t="shared" ref="AE117:AE129" si="36">+AC117+W117+S117+O117+K117+G117+E117</f>
        <v>18434.444</v>
      </c>
      <c r="AF117" s="2514"/>
      <c r="AG117" s="2514">
        <f>SUM(AG107:AG116)</f>
        <v>0</v>
      </c>
      <c r="AH117" s="2514"/>
      <c r="AI117" s="2514">
        <f t="shared" ref="AI117:AI129" si="37">+AG117+AC117+W117+S117+O117+K117+G117+E117</f>
        <v>18434.444</v>
      </c>
      <c r="AJ117" s="2514"/>
      <c r="AK117" s="2514">
        <f>SUM(AK107:AK116)</f>
        <v>0</v>
      </c>
      <c r="AL117" s="2514"/>
      <c r="AM117" s="2514">
        <f t="shared" ref="AM117:AM129" si="38">+AK117+AG117+AC117</f>
        <v>9191</v>
      </c>
      <c r="AN117" s="2514"/>
      <c r="AO117" s="2514">
        <f t="shared" ref="AO117:AO129" si="39">+AK117+AG117+AC117+W117+S117+O117+K117+G117+E117</f>
        <v>18434.444</v>
      </c>
      <c r="AP117" s="2514"/>
      <c r="AQ117" s="2514">
        <f>SUM(AQ107:AQ116)</f>
        <v>5236</v>
      </c>
      <c r="AR117" s="2514"/>
      <c r="AS117" s="2514">
        <f t="shared" ref="AS117:AS129" si="40">+AO117+AQ117</f>
        <v>23670.444</v>
      </c>
      <c r="AT117" s="2514"/>
      <c r="AU117" s="2514">
        <f>SUM(AU107:AU116)</f>
        <v>1386.288</v>
      </c>
      <c r="AV117" s="2514"/>
      <c r="AW117" s="2514">
        <f t="shared" ref="AW117:AW129" si="41">+AS117+AU117</f>
        <v>25056.732</v>
      </c>
      <c r="AX117" s="2514"/>
      <c r="AY117" s="2514">
        <f>SUM(AY107:AY116)</f>
        <v>2747.0790000000002</v>
      </c>
      <c r="AZ117" s="2514"/>
      <c r="BA117" s="2514">
        <f t="shared" si="27"/>
        <v>9369.3670000000002</v>
      </c>
      <c r="BB117" s="2514"/>
      <c r="BC117" s="2514">
        <f t="shared" si="28"/>
        <v>18560.366999999998</v>
      </c>
      <c r="BD117" s="2514"/>
      <c r="BE117" s="2514">
        <f t="shared" si="29"/>
        <v>27803.811000000002</v>
      </c>
    </row>
    <row r="118" spans="2:57" x14ac:dyDescent="0.3">
      <c r="B118" s="252"/>
      <c r="C118" s="236"/>
      <c r="D118" s="236"/>
      <c r="S118" s="137"/>
      <c r="T118" s="137"/>
      <c r="U118" s="137"/>
      <c r="V118" s="137"/>
      <c r="W118" s="137"/>
      <c r="X118" s="137"/>
      <c r="Y118" s="137"/>
      <c r="Z118" s="137"/>
      <c r="AA118" s="137"/>
      <c r="AB118" s="137"/>
      <c r="AC118" s="137"/>
      <c r="AD118" s="137"/>
      <c r="AE118" s="137"/>
      <c r="AF118" s="137"/>
      <c r="AG118" s="137"/>
      <c r="AH118" s="137"/>
      <c r="AI118" s="137"/>
      <c r="AJ118" s="137"/>
      <c r="AK118" s="1419"/>
      <c r="AL118" s="137"/>
      <c r="AM118" s="137"/>
      <c r="AN118" s="137"/>
      <c r="AO118" s="137"/>
      <c r="AP118" s="137"/>
      <c r="AQ118" s="137"/>
      <c r="AR118" s="137"/>
      <c r="AS118" s="137"/>
      <c r="AT118" s="137"/>
      <c r="AU118" s="137"/>
      <c r="AV118" s="137"/>
      <c r="AW118" s="137"/>
      <c r="AX118" s="137"/>
      <c r="AY118" s="137"/>
      <c r="AZ118" s="137"/>
      <c r="BA118" s="137"/>
      <c r="BB118" s="137"/>
      <c r="BC118" s="137"/>
      <c r="BD118" s="137"/>
      <c r="BE118" s="137"/>
    </row>
    <row r="119" spans="2:57" x14ac:dyDescent="0.3">
      <c r="B119" s="252"/>
      <c r="C119" s="2523" t="s">
        <v>1668</v>
      </c>
      <c r="D119" s="2523"/>
      <c r="E119" s="2355">
        <f>+SMS!F42</f>
        <v>0</v>
      </c>
      <c r="F119" s="2355">
        <f>+SMS!G42</f>
        <v>0</v>
      </c>
      <c r="G119" s="2355">
        <f>+SMS!H42</f>
        <v>33</v>
      </c>
      <c r="H119" s="2355">
        <f>+SMS!I42</f>
        <v>0</v>
      </c>
      <c r="I119" s="2355">
        <f>+SMS!J42</f>
        <v>33</v>
      </c>
      <c r="J119" s="2355">
        <f>+SMS!K42</f>
        <v>0</v>
      </c>
      <c r="K119" s="2355">
        <f>+SMS!L42</f>
        <v>0</v>
      </c>
      <c r="L119" s="2355">
        <f>+SMS!M42</f>
        <v>0</v>
      </c>
      <c r="M119" s="2355">
        <f>+SMS!N42</f>
        <v>33</v>
      </c>
      <c r="N119" s="2355">
        <f>+SMS!O42</f>
        <v>0</v>
      </c>
      <c r="O119" s="2355">
        <f>+SMS!P42</f>
        <v>0</v>
      </c>
      <c r="P119" s="2355">
        <f>+SMS!Q42</f>
        <v>0</v>
      </c>
      <c r="Q119" s="2355">
        <f>+SMS!R42</f>
        <v>33</v>
      </c>
      <c r="R119" s="2355">
        <f>+SMS!S42</f>
        <v>0</v>
      </c>
      <c r="S119" s="2355">
        <f>+SMS!T42</f>
        <v>0</v>
      </c>
      <c r="T119" s="2355">
        <f>+SMS!U42</f>
        <v>0</v>
      </c>
      <c r="U119" s="2355">
        <f>+SMS!V42</f>
        <v>33</v>
      </c>
      <c r="V119" s="2355">
        <f>+SMS!W42</f>
        <v>0</v>
      </c>
      <c r="W119" s="2355">
        <f>+SMS!X42</f>
        <v>0</v>
      </c>
      <c r="X119" s="2355">
        <f>+SMS!Y42</f>
        <v>0</v>
      </c>
      <c r="Y119" s="2355">
        <f>+SMS!Z42</f>
        <v>0</v>
      </c>
      <c r="Z119" s="2355">
        <f>+SMS!AA42</f>
        <v>0</v>
      </c>
      <c r="AA119" s="2355">
        <f>+SMS!AB42</f>
        <v>33</v>
      </c>
      <c r="AB119" s="2355">
        <f>+SMS!AC42</f>
        <v>0</v>
      </c>
      <c r="AC119" s="2355">
        <f>+SMS!AD42</f>
        <v>17</v>
      </c>
      <c r="AD119" s="2355">
        <f>+SMS!AE42</f>
        <v>0</v>
      </c>
      <c r="AE119" s="2355">
        <f>+SMS!AF42</f>
        <v>50</v>
      </c>
      <c r="AF119" s="2355">
        <f>+SMS!AG42</f>
        <v>0</v>
      </c>
      <c r="AG119" s="2355">
        <f>+SMS!AH42</f>
        <v>0</v>
      </c>
      <c r="AH119" s="2355">
        <f>+SMS!AI42</f>
        <v>0</v>
      </c>
      <c r="AI119" s="2355">
        <f>+SMS!AJ42</f>
        <v>50</v>
      </c>
      <c r="AJ119" s="2355">
        <f>+SMS!AK42</f>
        <v>0</v>
      </c>
      <c r="AK119" s="2355">
        <f>+SMS!AL42</f>
        <v>0</v>
      </c>
      <c r="AL119" s="2355">
        <f>+SMS!AM42</f>
        <v>0</v>
      </c>
      <c r="AM119" s="2355">
        <f>+SMS!AN42</f>
        <v>17</v>
      </c>
      <c r="AN119" s="2355">
        <f>+SMS!AO42</f>
        <v>0</v>
      </c>
      <c r="AO119" s="2355">
        <f>+SMS!AP42</f>
        <v>50</v>
      </c>
      <c r="AP119" s="2355">
        <f>+SMS!AQ42</f>
        <v>0</v>
      </c>
      <c r="AQ119" s="2355">
        <f>+SMS!AR42</f>
        <v>35</v>
      </c>
      <c r="AR119" s="2355">
        <f>+SMS!AS42</f>
        <v>0</v>
      </c>
      <c r="AS119" s="2355">
        <f>+SMS!AT42</f>
        <v>85</v>
      </c>
      <c r="AT119" s="2355">
        <f>+SMS!AU42</f>
        <v>0</v>
      </c>
      <c r="AU119" s="2355">
        <f>+SMS!AV42</f>
        <v>22</v>
      </c>
      <c r="AV119" s="2355">
        <f>+SMS!AW42</f>
        <v>0</v>
      </c>
      <c r="AW119" s="2355">
        <f>+SMS!AX42</f>
        <v>107</v>
      </c>
      <c r="AX119" s="2355"/>
      <c r="AY119" s="2355">
        <f>+SMS!AZ42</f>
        <v>0</v>
      </c>
      <c r="AZ119" s="2355"/>
      <c r="BA119" s="2355">
        <f t="shared" si="27"/>
        <v>57</v>
      </c>
      <c r="BB119" s="2355"/>
      <c r="BC119" s="2355">
        <f t="shared" si="28"/>
        <v>74</v>
      </c>
      <c r="BD119" s="2355"/>
      <c r="BE119" s="2355">
        <f t="shared" si="29"/>
        <v>107</v>
      </c>
    </row>
    <row r="120" spans="2:57" x14ac:dyDescent="0.3">
      <c r="B120" s="252"/>
      <c r="C120" s="2523" t="s">
        <v>1669</v>
      </c>
      <c r="D120" s="2523"/>
      <c r="E120" s="2355">
        <f>+'Direct sales IPT details'!E20</f>
        <v>1625.08</v>
      </c>
      <c r="F120" s="2355">
        <f>+'Direct sales IPT details'!F20</f>
        <v>0</v>
      </c>
      <c r="G120" s="2355">
        <f>+'Direct sales IPT details'!G20</f>
        <v>888.68</v>
      </c>
      <c r="H120" s="2355">
        <f>+'Direct sales IPT details'!H20</f>
        <v>0</v>
      </c>
      <c r="I120" s="2355">
        <f>+'Direct sales IPT details'!I20</f>
        <v>2513.7599999999998</v>
      </c>
      <c r="J120" s="2355">
        <f>+'Direct sales IPT details'!J20</f>
        <v>0</v>
      </c>
      <c r="K120" s="2355">
        <f>+'Direct sales IPT details'!K20</f>
        <v>1065.5999999999999</v>
      </c>
      <c r="L120" s="2355">
        <f>+'Direct sales IPT details'!L20</f>
        <v>0</v>
      </c>
      <c r="M120" s="2355">
        <f>+'Direct sales IPT details'!M20</f>
        <v>3579.3599999999997</v>
      </c>
      <c r="N120" s="2355">
        <f>+'Direct sales IPT details'!N20</f>
        <v>0</v>
      </c>
      <c r="O120" s="2355">
        <f>+'Direct sales IPT details'!O20</f>
        <v>463.1</v>
      </c>
      <c r="P120" s="2355">
        <f>+'Direct sales IPT details'!P20</f>
        <v>0</v>
      </c>
      <c r="Q120" s="2355">
        <f>+'Direct sales IPT details'!Q20</f>
        <v>4042.4599999999996</v>
      </c>
      <c r="R120" s="2355">
        <f>+'Direct sales IPT details'!R20</f>
        <v>0</v>
      </c>
      <c r="S120" s="2355">
        <f>+'Direct sales IPT details'!S20</f>
        <v>2248.92</v>
      </c>
      <c r="T120" s="2355">
        <f>+'Direct sales IPT details'!T20</f>
        <v>0</v>
      </c>
      <c r="U120" s="2355">
        <f>+'Direct sales IPT details'!U20</f>
        <v>6291.3799999999992</v>
      </c>
      <c r="V120" s="2355">
        <f>+'Direct sales IPT details'!V20</f>
        <v>0</v>
      </c>
      <c r="W120" s="2355">
        <f>+'Direct sales IPT details'!W20</f>
        <v>1413.7700000000002</v>
      </c>
      <c r="X120" s="2355">
        <f>+'Direct sales IPT details'!X20</f>
        <v>0</v>
      </c>
      <c r="Y120" s="2355">
        <f>+'Direct sales IPT details'!Y20</f>
        <v>4125.79</v>
      </c>
      <c r="Z120" s="2355">
        <f>+'Direct sales IPT details'!Z20</f>
        <v>0</v>
      </c>
      <c r="AA120" s="2355">
        <f>+'Direct sales IPT details'!AA20</f>
        <v>7705.15</v>
      </c>
      <c r="AB120" s="2355">
        <f>+'Direct sales IPT details'!AB20</f>
        <v>0</v>
      </c>
      <c r="AC120" s="2355">
        <f>+'Direct sales IPT details'!AC20</f>
        <v>2004.1</v>
      </c>
      <c r="AD120" s="2355">
        <f>+'Direct sales IPT details'!AD20</f>
        <v>0</v>
      </c>
      <c r="AE120" s="2355">
        <f>+'Direct sales IPT details'!AE20</f>
        <v>9709.25</v>
      </c>
      <c r="AF120" s="2355">
        <f>+'Direct sales IPT details'!AF20</f>
        <v>0</v>
      </c>
      <c r="AG120" s="2355">
        <f>+'Direct sales IPT details'!AG20</f>
        <v>0</v>
      </c>
      <c r="AH120" s="2355">
        <f>+'Direct sales IPT details'!AH20</f>
        <v>0</v>
      </c>
      <c r="AI120" s="2355">
        <f>+'Direct sales IPT details'!AI20</f>
        <v>9709.25</v>
      </c>
      <c r="AJ120" s="2355">
        <f>+'Direct sales IPT details'!AJ20</f>
        <v>0</v>
      </c>
      <c r="AK120" s="2355">
        <f>+'Direct sales IPT details'!AK20</f>
        <v>703.34</v>
      </c>
      <c r="AL120" s="2355">
        <f>+'Direct sales IPT details'!AL20</f>
        <v>0</v>
      </c>
      <c r="AM120" s="2355">
        <f>+'Direct sales IPT details'!AM20</f>
        <v>2707.44</v>
      </c>
      <c r="AN120" s="2355">
        <f>+'Direct sales IPT details'!AN20</f>
        <v>0</v>
      </c>
      <c r="AO120" s="2355">
        <f>+'Direct sales IPT details'!AO20</f>
        <v>10412.59</v>
      </c>
      <c r="AP120" s="2355">
        <f>+'Direct sales IPT details'!AP20</f>
        <v>0</v>
      </c>
      <c r="AQ120" s="2355">
        <f>+'Direct sales IPT details'!AQ20</f>
        <v>1589.84</v>
      </c>
      <c r="AR120" s="2355">
        <f>+'Direct sales IPT details'!AR20</f>
        <v>0</v>
      </c>
      <c r="AS120" s="2355">
        <f>+'Direct sales IPT details'!AS20</f>
        <v>12002.43</v>
      </c>
      <c r="AT120" s="2355">
        <f>+'Direct sales IPT details'!AT20</f>
        <v>0</v>
      </c>
      <c r="AU120" s="2355">
        <f>+'Direct sales IPT details'!AU20</f>
        <v>481.34000000000003</v>
      </c>
      <c r="AV120" s="2355">
        <f>+'Direct sales IPT details'!AV20</f>
        <v>0</v>
      </c>
      <c r="AW120" s="2355">
        <f>+'Direct sales IPT details'!AW20</f>
        <v>12483.77</v>
      </c>
      <c r="AX120" s="2355"/>
      <c r="AY120" s="2355">
        <f>+'Direct sales IPT details'!AY20</f>
        <v>1544.2600000000002</v>
      </c>
      <c r="AZ120" s="2355"/>
      <c r="BA120" s="2355">
        <f t="shared" si="27"/>
        <v>3615.4400000000005</v>
      </c>
      <c r="BB120" s="2355"/>
      <c r="BC120" s="2355">
        <f t="shared" si="28"/>
        <v>6322.880000000001</v>
      </c>
      <c r="BD120" s="2355"/>
      <c r="BE120" s="2355">
        <f t="shared" si="29"/>
        <v>14028.03</v>
      </c>
    </row>
    <row r="121" spans="2:57" x14ac:dyDescent="0.3">
      <c r="C121" s="2524"/>
      <c r="D121" s="2524"/>
      <c r="E121" s="2396"/>
      <c r="F121" s="2396"/>
      <c r="G121" s="2396"/>
      <c r="H121" s="2396"/>
      <c r="I121" s="2396"/>
      <c r="J121" s="2396"/>
      <c r="K121" s="2396"/>
      <c r="L121" s="2396"/>
      <c r="M121" s="2396"/>
      <c r="N121" s="2396"/>
      <c r="O121" s="2396"/>
      <c r="P121" s="2396"/>
      <c r="Q121" s="2396"/>
      <c r="R121" s="2396"/>
      <c r="S121" s="2396"/>
      <c r="T121" s="2396"/>
      <c r="U121" s="2396"/>
      <c r="V121" s="2396"/>
      <c r="W121" s="2396"/>
      <c r="X121" s="2396"/>
      <c r="Y121" s="2396"/>
      <c r="Z121" s="2396"/>
      <c r="AA121" s="2396"/>
      <c r="AB121" s="2396"/>
      <c r="AC121" s="2396"/>
      <c r="AD121" s="2396"/>
      <c r="AE121" s="2396"/>
      <c r="AF121" s="2396"/>
      <c r="AG121" s="2396"/>
      <c r="AH121" s="2396"/>
      <c r="AI121" s="2396"/>
      <c r="AJ121" s="2396"/>
      <c r="AK121" s="4109"/>
      <c r="AL121" s="2396"/>
      <c r="AM121" s="2396"/>
      <c r="AN121" s="2396"/>
      <c r="AO121" s="2396"/>
      <c r="AP121" s="2396"/>
      <c r="AQ121" s="2396"/>
      <c r="AR121" s="2396"/>
      <c r="AS121" s="2396"/>
      <c r="AT121" s="2396"/>
      <c r="AU121" s="2396"/>
      <c r="AV121" s="2396"/>
      <c r="AW121" s="2396"/>
      <c r="AX121" s="2396"/>
      <c r="AY121" s="2396"/>
      <c r="AZ121" s="2396"/>
      <c r="BA121" s="2396"/>
      <c r="BB121" s="2396"/>
      <c r="BC121" s="2396"/>
      <c r="BD121" s="2396"/>
      <c r="BE121" s="2396"/>
    </row>
    <row r="122" spans="2:57" ht="16.2" thickBot="1" x14ac:dyDescent="0.35">
      <c r="C122" s="2513" t="s">
        <v>1670</v>
      </c>
      <c r="D122" s="2531"/>
      <c r="E122" s="2514">
        <f>+E117+E119+E120</f>
        <v>1625.08</v>
      </c>
      <c r="F122" s="2514"/>
      <c r="G122" s="2514">
        <f>+G117+G119+G120</f>
        <v>3684.3559999999998</v>
      </c>
      <c r="H122" s="2514"/>
      <c r="I122" s="2514">
        <f t="shared" si="30"/>
        <v>5309.4359999999997</v>
      </c>
      <c r="J122" s="2514"/>
      <c r="K122" s="2514">
        <f>+K117+K119+K120</f>
        <v>1065.5999999999999</v>
      </c>
      <c r="L122" s="2514"/>
      <c r="M122" s="2514">
        <f t="shared" si="31"/>
        <v>6375.0360000000001</v>
      </c>
      <c r="N122" s="2514"/>
      <c r="O122" s="2514">
        <f>+O117+O119+O120</f>
        <v>463.1</v>
      </c>
      <c r="P122" s="2514"/>
      <c r="Q122" s="2514">
        <f t="shared" si="32"/>
        <v>6838.1359999999995</v>
      </c>
      <c r="R122" s="2514"/>
      <c r="S122" s="2514">
        <f>+S117+S119+S120</f>
        <v>8729.6880000000001</v>
      </c>
      <c r="T122" s="2514"/>
      <c r="U122" s="2514">
        <f t="shared" si="33"/>
        <v>15567.824000000001</v>
      </c>
      <c r="V122" s="2514"/>
      <c r="W122" s="2514">
        <f>+W117+W119+W120</f>
        <v>1413.7700000000002</v>
      </c>
      <c r="X122" s="2514"/>
      <c r="Y122" s="2514">
        <f t="shared" si="34"/>
        <v>10606.558000000001</v>
      </c>
      <c r="Z122" s="2514"/>
      <c r="AA122" s="2514">
        <f t="shared" si="35"/>
        <v>16981.594000000001</v>
      </c>
      <c r="AB122" s="2514"/>
      <c r="AC122" s="2514">
        <f>+AC117+AC119+AC120</f>
        <v>11212.1</v>
      </c>
      <c r="AD122" s="2514"/>
      <c r="AE122" s="2514">
        <f t="shared" si="36"/>
        <v>28193.693999999996</v>
      </c>
      <c r="AF122" s="2514"/>
      <c r="AG122" s="2514">
        <f>+AG117+AG119+AG120</f>
        <v>0</v>
      </c>
      <c r="AH122" s="2514"/>
      <c r="AI122" s="2514">
        <f t="shared" si="37"/>
        <v>28193.693999999996</v>
      </c>
      <c r="AJ122" s="2514"/>
      <c r="AK122" s="4912">
        <f>+AK117+AK119+AK120</f>
        <v>703.34</v>
      </c>
      <c r="AL122" s="2514"/>
      <c r="AM122" s="2514">
        <f t="shared" si="38"/>
        <v>11915.44</v>
      </c>
      <c r="AN122" s="2514"/>
      <c r="AO122" s="2514">
        <f t="shared" si="39"/>
        <v>28897.034</v>
      </c>
      <c r="AP122" s="2514"/>
      <c r="AQ122" s="2514">
        <f>+AQ117+AQ119+AQ120</f>
        <v>6860.84</v>
      </c>
      <c r="AR122" s="2514"/>
      <c r="AS122" s="2514">
        <f t="shared" si="40"/>
        <v>35757.873999999996</v>
      </c>
      <c r="AT122" s="2514"/>
      <c r="AU122" s="2514">
        <f>+AU117+AU119+AU120</f>
        <v>1889.6280000000002</v>
      </c>
      <c r="AV122" s="2514"/>
      <c r="AW122" s="2514">
        <f t="shared" si="41"/>
        <v>37647.501999999993</v>
      </c>
      <c r="AX122" s="2514"/>
      <c r="AY122" s="2514">
        <f>+AY117+AY119+AY120</f>
        <v>4291.3389999999999</v>
      </c>
      <c r="AZ122" s="2514"/>
      <c r="BA122" s="2514">
        <f t="shared" si="27"/>
        <v>13041.807000000001</v>
      </c>
      <c r="BB122" s="2514"/>
      <c r="BC122" s="2514">
        <f t="shared" si="28"/>
        <v>24957.247000000003</v>
      </c>
      <c r="BD122" s="2514"/>
      <c r="BE122" s="2514">
        <f t="shared" si="29"/>
        <v>41938.841</v>
      </c>
    </row>
    <row r="123" spans="2:57" x14ac:dyDescent="0.3">
      <c r="C123" s="236"/>
      <c r="D123" s="236"/>
      <c r="AC123"/>
      <c r="AK123" s="88"/>
    </row>
    <row r="124" spans="2:57" ht="16.2" thickBot="1" x14ac:dyDescent="0.35">
      <c r="C124" s="2513" t="s">
        <v>1671</v>
      </c>
      <c r="D124" s="2531"/>
      <c r="E124" s="2514">
        <f>+'Maj Production Summ'!F35</f>
        <v>1625.08</v>
      </c>
      <c r="F124" s="2514">
        <f>+'Maj Production Summ'!G35</f>
        <v>0.1346321899764007</v>
      </c>
      <c r="G124" s="2514">
        <f>+'Maj Production Summ'!H35</f>
        <v>3684.44</v>
      </c>
      <c r="H124" s="2514">
        <f>+'Maj Production Summ'!I35</f>
        <v>0.40803377307020128</v>
      </c>
      <c r="I124" s="2514">
        <f>+'Maj Production Summ'!J35</f>
        <v>5309.52</v>
      </c>
      <c r="J124" s="2514">
        <f>+'Maj Production Summ'!K35</f>
        <v>0</v>
      </c>
      <c r="K124" s="2514">
        <f>+'Maj Production Summ'!L35</f>
        <v>1066</v>
      </c>
      <c r="L124" s="2514">
        <f>+'Maj Production Summ'!M35</f>
        <v>0.40803377307020128</v>
      </c>
      <c r="M124" s="2514">
        <f>+'Maj Production Summ'!N35</f>
        <v>6375.52</v>
      </c>
      <c r="N124" s="2514">
        <f>+'Maj Production Summ'!O35</f>
        <v>0</v>
      </c>
      <c r="O124" s="2514">
        <f>+'Maj Production Summ'!P35</f>
        <v>463</v>
      </c>
      <c r="P124" s="2514">
        <f>+'Maj Production Summ'!Q35</f>
        <v>0.40803377307020128</v>
      </c>
      <c r="Q124" s="2514">
        <f>+'Maj Production Summ'!R35</f>
        <v>6838.52</v>
      </c>
      <c r="R124" s="2514">
        <f>+'Maj Production Summ'!S35</f>
        <v>0</v>
      </c>
      <c r="S124" s="2514">
        <f>+'Maj Production Summ'!T35</f>
        <v>8811.77</v>
      </c>
      <c r="T124" s="2514">
        <f>+'Maj Production Summ'!U35</f>
        <v>0.40803377307020128</v>
      </c>
      <c r="U124" s="2514">
        <f>+'Maj Production Summ'!V35</f>
        <v>15650.29</v>
      </c>
      <c r="V124" s="2514">
        <f>+'Maj Production Summ'!W35</f>
        <v>0</v>
      </c>
      <c r="W124" s="2514">
        <f>+'Maj Production Summ'!X35</f>
        <v>1414</v>
      </c>
      <c r="X124" s="2514">
        <f>+'Maj Production Summ'!Y35</f>
        <v>0</v>
      </c>
      <c r="Y124" s="2514">
        <f>+'Maj Production Summ'!Z35</f>
        <v>10688.77</v>
      </c>
      <c r="Z124" s="2514">
        <f>+'Maj Production Summ'!AA35</f>
        <v>0.40803377307020128</v>
      </c>
      <c r="AA124" s="2514">
        <f>+'Maj Production Summ'!AB35</f>
        <v>17064.29</v>
      </c>
      <c r="AB124" s="2514">
        <f>+'Maj Production Summ'!AC35</f>
        <v>0</v>
      </c>
      <c r="AC124" s="2514">
        <f>+'Maj Production Summ'!AD35</f>
        <v>11212</v>
      </c>
      <c r="AD124" s="2514">
        <f>+'Maj Production Summ'!AE35</f>
        <v>0.40803377307020128</v>
      </c>
      <c r="AE124" s="2514">
        <f>+'Maj Production Summ'!AF35</f>
        <v>28276.29</v>
      </c>
      <c r="AF124" s="2514">
        <f>+'Maj Production Summ'!AG35</f>
        <v>0</v>
      </c>
      <c r="AG124" s="2514">
        <f>+'Maj Production Summ'!AH35</f>
        <v>0</v>
      </c>
      <c r="AH124" s="2514">
        <f>+'Maj Production Summ'!AI35</f>
        <v>0.40803377307020128</v>
      </c>
      <c r="AI124" s="2514">
        <f>+'Maj Production Summ'!AJ35</f>
        <v>28276.29</v>
      </c>
      <c r="AJ124" s="2514">
        <f>+'Maj Production Summ'!AK35</f>
        <v>0</v>
      </c>
      <c r="AK124" s="2514">
        <f>+'Maj Production Summ'!AL35</f>
        <v>703.34</v>
      </c>
      <c r="AL124" s="2514">
        <f>+'Maj Production Summ'!AM35</f>
        <v>0</v>
      </c>
      <c r="AM124" s="2514">
        <f>+'Maj Production Summ'!AN35</f>
        <v>11915.34</v>
      </c>
      <c r="AN124" s="2514">
        <f>+'Maj Production Summ'!AO35</f>
        <v>0.40803377307020128</v>
      </c>
      <c r="AO124" s="2514">
        <f>+'Maj Production Summ'!AP35</f>
        <v>28979.63</v>
      </c>
      <c r="AP124" s="2514">
        <f>+'Maj Production Summ'!AQ35</f>
        <v>0</v>
      </c>
      <c r="AQ124" s="2514">
        <f>+'Maj Production Summ'!AR35</f>
        <v>7040</v>
      </c>
      <c r="AR124" s="2514">
        <f>+'Maj Production Summ'!AS35</f>
        <v>0.40803377307020128</v>
      </c>
      <c r="AS124" s="2514">
        <f>+'Maj Production Summ'!AT35</f>
        <v>36019.630000000005</v>
      </c>
      <c r="AT124" s="2514">
        <f>+'Maj Production Summ'!AU35</f>
        <v>0</v>
      </c>
      <c r="AU124" s="2514">
        <f>+'Maj Production Summ'!AV35</f>
        <v>1892</v>
      </c>
      <c r="AV124" s="2514">
        <f>+'Maj Production Summ'!AW35</f>
        <v>0.40803377307020128</v>
      </c>
      <c r="AW124" s="2514">
        <f>+'Maj Production Summ'!AX35</f>
        <v>37911.630000000005</v>
      </c>
      <c r="AX124" s="2514">
        <f>+'Maj Production Summ'!AY35</f>
        <v>0</v>
      </c>
      <c r="AY124" s="2514">
        <f>+'Maj Production Summ'!AZ35</f>
        <v>4291.26</v>
      </c>
      <c r="AZ124" s="2514">
        <f>+'Maj Production Summ'!BA35</f>
        <v>0</v>
      </c>
      <c r="BA124" s="2514">
        <f t="shared" si="27"/>
        <v>13223.26</v>
      </c>
      <c r="BB124" s="2514">
        <f>+'Maj Production Summ'!BC35</f>
        <v>0</v>
      </c>
      <c r="BC124" s="2514">
        <f t="shared" si="28"/>
        <v>25138.6</v>
      </c>
      <c r="BD124" s="2514">
        <f>+'Maj Production Summ'!BE35</f>
        <v>0.40803377307020128</v>
      </c>
      <c r="BE124" s="2514">
        <f t="shared" si="29"/>
        <v>42202.890000000007</v>
      </c>
    </row>
    <row r="125" spans="2:57" x14ac:dyDescent="0.3">
      <c r="C125" s="236"/>
      <c r="D125" s="236"/>
      <c r="AC125"/>
    </row>
    <row r="126" spans="2:57" ht="18" x14ac:dyDescent="0.3">
      <c r="C126" s="2518" t="s">
        <v>1665</v>
      </c>
      <c r="D126" s="2518"/>
      <c r="E126" s="2519">
        <f>+E124-E122</f>
        <v>0</v>
      </c>
      <c r="F126" s="2519">
        <f t="shared" ref="F126:BD126" si="42">+F124-F122</f>
        <v>0.1346321899764007</v>
      </c>
      <c r="G126" s="2519">
        <f t="shared" si="42"/>
        <v>8.40000000002874E-2</v>
      </c>
      <c r="H126" s="2519">
        <f t="shared" si="42"/>
        <v>0.40803377307020128</v>
      </c>
      <c r="I126" s="2519">
        <f t="shared" si="42"/>
        <v>8.4000000000742148E-2</v>
      </c>
      <c r="J126" s="2519">
        <f t="shared" si="42"/>
        <v>0</v>
      </c>
      <c r="K126" s="2519">
        <f t="shared" si="42"/>
        <v>0.40000000000009095</v>
      </c>
      <c r="L126" s="2519">
        <f t="shared" si="42"/>
        <v>0.40803377307020128</v>
      </c>
      <c r="M126" s="2519">
        <f t="shared" si="42"/>
        <v>0.48400000000037835</v>
      </c>
      <c r="N126" s="2519">
        <f t="shared" si="42"/>
        <v>0</v>
      </c>
      <c r="O126" s="2519">
        <f t="shared" si="42"/>
        <v>-0.10000000000002274</v>
      </c>
      <c r="P126" s="2519">
        <f t="shared" si="42"/>
        <v>0.40803377307020128</v>
      </c>
      <c r="Q126" s="2519">
        <f t="shared" si="42"/>
        <v>0.38400000000092405</v>
      </c>
      <c r="R126" s="2519">
        <f t="shared" si="42"/>
        <v>0</v>
      </c>
      <c r="S126" s="2519">
        <f t="shared" ref="S126" si="43">+S124-S122</f>
        <v>82.082000000000335</v>
      </c>
      <c r="T126" s="2519">
        <f t="shared" si="42"/>
        <v>0.40803377307020128</v>
      </c>
      <c r="U126" s="2519">
        <f t="shared" si="42"/>
        <v>82.466000000000349</v>
      </c>
      <c r="V126" s="2519">
        <f t="shared" si="42"/>
        <v>0</v>
      </c>
      <c r="W126" s="2519">
        <f t="shared" si="42"/>
        <v>0.22999999999979082</v>
      </c>
      <c r="X126" s="2519">
        <f t="shared" si="42"/>
        <v>0</v>
      </c>
      <c r="Y126" s="2519">
        <f t="shared" si="42"/>
        <v>82.211999999999534</v>
      </c>
      <c r="Z126" s="2519">
        <f t="shared" si="42"/>
        <v>0.40803377307020128</v>
      </c>
      <c r="AA126" s="2519">
        <f t="shared" si="42"/>
        <v>82.695999999999913</v>
      </c>
      <c r="AB126" s="2519">
        <f t="shared" si="42"/>
        <v>0</v>
      </c>
      <c r="AC126" s="2519">
        <f t="shared" ref="AC126" si="44">+AC124-AC122</f>
        <v>-0.1000000000003638</v>
      </c>
      <c r="AD126" s="2519">
        <f t="shared" si="42"/>
        <v>0.40803377307020128</v>
      </c>
      <c r="AE126" s="2519">
        <f t="shared" si="42"/>
        <v>82.596000000005006</v>
      </c>
      <c r="AF126" s="2519">
        <f t="shared" si="42"/>
        <v>0</v>
      </c>
      <c r="AG126" s="2519">
        <f t="shared" si="42"/>
        <v>0</v>
      </c>
      <c r="AH126" s="2519">
        <f t="shared" si="42"/>
        <v>0.40803377307020128</v>
      </c>
      <c r="AI126" s="2519">
        <f t="shared" si="42"/>
        <v>82.596000000005006</v>
      </c>
      <c r="AJ126" s="2519">
        <f t="shared" si="42"/>
        <v>0</v>
      </c>
      <c r="AK126" s="2519">
        <f t="shared" si="42"/>
        <v>0</v>
      </c>
      <c r="AL126" s="2519">
        <f t="shared" si="42"/>
        <v>0</v>
      </c>
      <c r="AM126" s="2519">
        <f t="shared" si="42"/>
        <v>-0.1000000000003638</v>
      </c>
      <c r="AN126" s="2519">
        <f t="shared" si="42"/>
        <v>0.40803377307020128</v>
      </c>
      <c r="AO126" s="2519">
        <f t="shared" si="42"/>
        <v>82.596000000001368</v>
      </c>
      <c r="AP126" s="2519">
        <f t="shared" si="42"/>
        <v>0</v>
      </c>
      <c r="AQ126" s="2519">
        <f t="shared" si="42"/>
        <v>179.15999999999985</v>
      </c>
      <c r="AR126" s="2519">
        <f t="shared" si="42"/>
        <v>0.40803377307020128</v>
      </c>
      <c r="AS126" s="2519">
        <f t="shared" si="42"/>
        <v>261.7560000000085</v>
      </c>
      <c r="AT126" s="2519">
        <f t="shared" si="42"/>
        <v>0</v>
      </c>
      <c r="AU126" s="2519">
        <f t="shared" si="42"/>
        <v>2.3719999999998436</v>
      </c>
      <c r="AV126" s="2519">
        <f t="shared" si="42"/>
        <v>0.40803377307020128</v>
      </c>
      <c r="AW126" s="2519">
        <f t="shared" si="42"/>
        <v>264.12800000001153</v>
      </c>
      <c r="AX126" s="2519">
        <f t="shared" si="42"/>
        <v>0</v>
      </c>
      <c r="AY126" s="2519">
        <f t="shared" ref="AY126" si="45">+AY124-AY122</f>
        <v>-7.8999999999723514E-2</v>
      </c>
      <c r="AZ126" s="2519">
        <f t="shared" si="42"/>
        <v>0</v>
      </c>
      <c r="BA126" s="2519">
        <f t="shared" si="27"/>
        <v>181.45299999999997</v>
      </c>
      <c r="BB126" s="2519">
        <f t="shared" si="42"/>
        <v>0</v>
      </c>
      <c r="BC126" s="2519">
        <f t="shared" si="28"/>
        <v>181.35299999999961</v>
      </c>
      <c r="BD126" s="2519">
        <f t="shared" si="42"/>
        <v>0.40803377307020128</v>
      </c>
      <c r="BE126" s="2519">
        <f t="shared" si="29"/>
        <v>264.04900000000009</v>
      </c>
    </row>
    <row r="127" spans="2:57" x14ac:dyDescent="0.3">
      <c r="AC127"/>
    </row>
    <row r="128" spans="2:57" ht="18" x14ac:dyDescent="0.3">
      <c r="C128" s="2525" t="s">
        <v>1672</v>
      </c>
      <c r="D128" s="2525"/>
      <c r="E128" s="4113">
        <f>+E96+E122</f>
        <v>37585.380000000005</v>
      </c>
      <c r="F128" s="4113"/>
      <c r="G128" s="4113">
        <f>+G96+G122</f>
        <v>24635.900999999998</v>
      </c>
      <c r="H128" s="4113"/>
      <c r="I128" s="4113">
        <f t="shared" ref="I128:I129" si="46">+E128+G128</f>
        <v>62221.281000000003</v>
      </c>
      <c r="J128" s="4113"/>
      <c r="K128" s="4113">
        <f>+K96+K122</f>
        <v>7873.6</v>
      </c>
      <c r="L128" s="2526"/>
      <c r="M128" s="2526">
        <f t="shared" si="31"/>
        <v>70094.881000000008</v>
      </c>
      <c r="N128" s="2526"/>
      <c r="O128" s="4113">
        <f>+O96+O122</f>
        <v>6353.1</v>
      </c>
      <c r="P128" s="2526"/>
      <c r="Q128" s="2526">
        <f t="shared" si="32"/>
        <v>76447.981</v>
      </c>
      <c r="R128" s="2526"/>
      <c r="S128" s="4113">
        <f>+S96+S122</f>
        <v>15313.150000000001</v>
      </c>
      <c r="T128" s="2526"/>
      <c r="U128" s="2526">
        <f t="shared" si="33"/>
        <v>91761.130999999994</v>
      </c>
      <c r="V128" s="2526"/>
      <c r="W128" s="4113">
        <f>+W96+W122</f>
        <v>9791.77</v>
      </c>
      <c r="X128" s="2526"/>
      <c r="Y128" s="2526">
        <f t="shared" si="34"/>
        <v>31458.020000000004</v>
      </c>
      <c r="Z128" s="2526"/>
      <c r="AA128" s="2526">
        <f t="shared" si="35"/>
        <v>101552.90100000003</v>
      </c>
      <c r="AB128" s="2526"/>
      <c r="AC128" s="4113">
        <f>+AC96+AC122</f>
        <v>13987.650000000001</v>
      </c>
      <c r="AD128" s="2526"/>
      <c r="AE128" s="2526">
        <f t="shared" si="36"/>
        <v>115540.55100000001</v>
      </c>
      <c r="AF128" s="2526"/>
      <c r="AG128" s="4113">
        <f>+AG96+AG122</f>
        <v>4501.1049999999996</v>
      </c>
      <c r="AH128" s="2526"/>
      <c r="AI128" s="2526">
        <f t="shared" si="37"/>
        <v>120041.656</v>
      </c>
      <c r="AJ128" s="2526"/>
      <c r="AK128" s="2526">
        <f>+AK96+AK122</f>
        <v>7866.5309999999999</v>
      </c>
      <c r="AL128" s="2526"/>
      <c r="AM128" s="2526">
        <f t="shared" si="38"/>
        <v>26355.286</v>
      </c>
      <c r="AN128" s="2526"/>
      <c r="AO128" s="2526">
        <f t="shared" si="39"/>
        <v>127908.18700000001</v>
      </c>
      <c r="AP128" s="2526"/>
      <c r="AQ128" s="2526">
        <f>+AQ96+AQ122</f>
        <v>12486.173000000001</v>
      </c>
      <c r="AR128" s="2526"/>
      <c r="AS128" s="2526">
        <f t="shared" si="40"/>
        <v>140394.36000000002</v>
      </c>
      <c r="AT128" s="2526"/>
      <c r="AU128" s="2526">
        <f>+AU96+AU122</f>
        <v>5105.9050000000007</v>
      </c>
      <c r="AV128" s="2526"/>
      <c r="AW128" s="2526">
        <f t="shared" si="41"/>
        <v>145500.26500000001</v>
      </c>
      <c r="AX128" s="2526"/>
      <c r="AY128" s="2526">
        <f>+AY96+AY122</f>
        <v>7471.0339999999997</v>
      </c>
      <c r="AZ128" s="2526"/>
      <c r="BA128" s="2526">
        <f t="shared" si="27"/>
        <v>25063.112000000001</v>
      </c>
      <c r="BB128" s="2526"/>
      <c r="BC128" s="2526">
        <f t="shared" si="28"/>
        <v>51418.398000000001</v>
      </c>
      <c r="BD128" s="2526"/>
      <c r="BE128" s="2526">
        <f t="shared" si="29"/>
        <v>152971.29900000006</v>
      </c>
    </row>
    <row r="129" spans="3:57" ht="18" x14ac:dyDescent="0.3">
      <c r="C129" s="2525" t="s">
        <v>1673</v>
      </c>
      <c r="D129" s="2525"/>
      <c r="E129" s="4113">
        <f>+E100+E124</f>
        <v>40008.1</v>
      </c>
      <c r="F129" s="2526"/>
      <c r="G129" s="2526">
        <f>+G100+G124</f>
        <v>23098.46</v>
      </c>
      <c r="H129" s="2526"/>
      <c r="I129" s="2526">
        <f t="shared" si="46"/>
        <v>63106.559999999998</v>
      </c>
      <c r="J129" s="2526"/>
      <c r="K129" s="2526">
        <f>+K100+K124</f>
        <v>57284</v>
      </c>
      <c r="L129" s="2526"/>
      <c r="M129" s="2526">
        <f t="shared" si="31"/>
        <v>120390.56</v>
      </c>
      <c r="N129" s="2526"/>
      <c r="O129" s="2526">
        <f>+O100+O124</f>
        <v>50766</v>
      </c>
      <c r="P129" s="2526"/>
      <c r="Q129" s="2526">
        <f t="shared" si="32"/>
        <v>171156.56</v>
      </c>
      <c r="R129" s="2526"/>
      <c r="S129" s="4113">
        <f>+S100+S124</f>
        <v>60047.19</v>
      </c>
      <c r="T129" s="2526"/>
      <c r="U129" s="2526">
        <f t="shared" si="33"/>
        <v>231203.75</v>
      </c>
      <c r="V129" s="2526"/>
      <c r="W129" s="4113">
        <f>+W100+W124</f>
        <v>55490</v>
      </c>
      <c r="X129" s="2526"/>
      <c r="Y129" s="2526">
        <f t="shared" si="34"/>
        <v>166303.19</v>
      </c>
      <c r="Z129" s="2526"/>
      <c r="AA129" s="2526">
        <f t="shared" si="35"/>
        <v>286693.75</v>
      </c>
      <c r="AB129" s="2526"/>
      <c r="AC129" s="4113">
        <f>+AC100+AC124</f>
        <v>65807</v>
      </c>
      <c r="AD129" s="2526"/>
      <c r="AE129" s="2526">
        <f t="shared" si="36"/>
        <v>352500.75</v>
      </c>
      <c r="AF129" s="2526"/>
      <c r="AG129" s="4113">
        <f>+AG100+AG124</f>
        <v>61080</v>
      </c>
      <c r="AH129" s="2526"/>
      <c r="AI129" s="2526">
        <f t="shared" si="37"/>
        <v>413580.75</v>
      </c>
      <c r="AJ129" s="2526"/>
      <c r="AK129" s="2526">
        <f>+AK100+AK124</f>
        <v>53051</v>
      </c>
      <c r="AL129" s="2526"/>
      <c r="AM129" s="2526">
        <f t="shared" si="38"/>
        <v>179938</v>
      </c>
      <c r="AN129" s="2526"/>
      <c r="AO129" s="2526">
        <f t="shared" si="39"/>
        <v>466631.75</v>
      </c>
      <c r="AP129" s="2526"/>
      <c r="AQ129" s="2526">
        <f>+AQ100+AQ124</f>
        <v>37998</v>
      </c>
      <c r="AR129" s="2526"/>
      <c r="AS129" s="2526">
        <f t="shared" si="40"/>
        <v>504629.75</v>
      </c>
      <c r="AT129" s="2526"/>
      <c r="AU129" s="2526">
        <f>+AU100+AU124</f>
        <v>18442</v>
      </c>
      <c r="AV129" s="2526"/>
      <c r="AW129" s="2526">
        <f t="shared" si="41"/>
        <v>523071.75</v>
      </c>
      <c r="AX129" s="2526"/>
      <c r="AY129" s="2526">
        <f>+AY100+AY124</f>
        <v>42319.899000000005</v>
      </c>
      <c r="AZ129" s="2526"/>
      <c r="BA129" s="2526">
        <f t="shared" si="27"/>
        <v>98759.899000000005</v>
      </c>
      <c r="BB129" s="2526"/>
      <c r="BC129" s="2526">
        <f t="shared" si="28"/>
        <v>278697.89899999998</v>
      </c>
      <c r="BD129" s="2526"/>
      <c r="BE129" s="2526">
        <f t="shared" si="29"/>
        <v>565391.64899999998</v>
      </c>
    </row>
    <row r="130" spans="3:57" x14ac:dyDescent="0.3">
      <c r="AC130"/>
    </row>
    <row r="131" spans="3:57" ht="18" x14ac:dyDescent="0.3">
      <c r="C131" s="2518" t="s">
        <v>1665</v>
      </c>
      <c r="D131" s="2518"/>
      <c r="E131" s="2519">
        <f>+E129-E128</f>
        <v>2422.7199999999939</v>
      </c>
      <c r="F131" s="2519">
        <f t="shared" ref="F131:BD131" si="47">+F129-F128</f>
        <v>0</v>
      </c>
      <c r="G131" s="2519">
        <f t="shared" si="47"/>
        <v>-1537.4409999999989</v>
      </c>
      <c r="H131" s="2519">
        <f t="shared" si="47"/>
        <v>0</v>
      </c>
      <c r="I131" s="2519">
        <f t="shared" si="47"/>
        <v>885.27899999999499</v>
      </c>
      <c r="J131" s="2519">
        <f t="shared" si="47"/>
        <v>0</v>
      </c>
      <c r="K131" s="2519">
        <f t="shared" si="47"/>
        <v>49410.400000000001</v>
      </c>
      <c r="L131" s="2519">
        <f t="shared" si="47"/>
        <v>0</v>
      </c>
      <c r="M131" s="2519">
        <f t="shared" si="47"/>
        <v>50295.678999999989</v>
      </c>
      <c r="N131" s="2519">
        <f t="shared" si="47"/>
        <v>0</v>
      </c>
      <c r="O131" s="2519">
        <f t="shared" si="47"/>
        <v>44412.9</v>
      </c>
      <c r="P131" s="2519">
        <f t="shared" si="47"/>
        <v>0</v>
      </c>
      <c r="Q131" s="2519">
        <f t="shared" si="47"/>
        <v>94708.578999999998</v>
      </c>
      <c r="R131" s="2519">
        <f t="shared" si="47"/>
        <v>0</v>
      </c>
      <c r="S131" s="2519">
        <f t="shared" ref="S131" si="48">+S129-S128</f>
        <v>44734.04</v>
      </c>
      <c r="T131" s="2519">
        <f t="shared" si="47"/>
        <v>0</v>
      </c>
      <c r="U131" s="2519">
        <f t="shared" si="47"/>
        <v>139442.61900000001</v>
      </c>
      <c r="V131" s="2519">
        <f t="shared" si="47"/>
        <v>0</v>
      </c>
      <c r="W131" s="2519">
        <f t="shared" si="47"/>
        <v>45698.229999999996</v>
      </c>
      <c r="X131" s="2519">
        <f t="shared" si="47"/>
        <v>0</v>
      </c>
      <c r="Y131" s="2519">
        <f t="shared" si="47"/>
        <v>134845.16999999998</v>
      </c>
      <c r="Z131" s="2519">
        <f t="shared" si="47"/>
        <v>0</v>
      </c>
      <c r="AA131" s="2519">
        <f t="shared" si="47"/>
        <v>185140.84899999999</v>
      </c>
      <c r="AB131" s="2519">
        <f t="shared" si="47"/>
        <v>0</v>
      </c>
      <c r="AC131" s="2519">
        <f t="shared" ref="AC131" si="49">+AC129-AC128</f>
        <v>51819.35</v>
      </c>
      <c r="AD131" s="2519">
        <f t="shared" si="47"/>
        <v>0</v>
      </c>
      <c r="AE131" s="2519">
        <f t="shared" si="47"/>
        <v>236960.19899999999</v>
      </c>
      <c r="AF131" s="2519">
        <f t="shared" si="47"/>
        <v>0</v>
      </c>
      <c r="AG131" s="2519">
        <f t="shared" si="47"/>
        <v>56578.895000000004</v>
      </c>
      <c r="AH131" s="2519">
        <f t="shared" si="47"/>
        <v>0</v>
      </c>
      <c r="AI131" s="2519">
        <f t="shared" si="47"/>
        <v>293539.09399999998</v>
      </c>
      <c r="AJ131" s="2519">
        <f t="shared" si="47"/>
        <v>0</v>
      </c>
      <c r="AK131" s="2519">
        <f t="shared" si="47"/>
        <v>45184.468999999997</v>
      </c>
      <c r="AL131" s="2519">
        <f t="shared" si="47"/>
        <v>0</v>
      </c>
      <c r="AM131" s="2519">
        <f t="shared" si="47"/>
        <v>153582.71400000001</v>
      </c>
      <c r="AN131" s="2519">
        <f t="shared" si="47"/>
        <v>0</v>
      </c>
      <c r="AO131" s="2519">
        <f t="shared" si="47"/>
        <v>338723.56299999997</v>
      </c>
      <c r="AP131" s="2519">
        <f t="shared" si="47"/>
        <v>0</v>
      </c>
      <c r="AQ131" s="2519">
        <f t="shared" si="47"/>
        <v>25511.826999999997</v>
      </c>
      <c r="AR131" s="2519">
        <f t="shared" si="47"/>
        <v>0</v>
      </c>
      <c r="AS131" s="2519">
        <f t="shared" si="47"/>
        <v>364235.39</v>
      </c>
      <c r="AT131" s="2519">
        <f t="shared" si="47"/>
        <v>0</v>
      </c>
      <c r="AU131" s="2519">
        <f t="shared" si="47"/>
        <v>13336.094999999999</v>
      </c>
      <c r="AV131" s="2519">
        <f t="shared" si="47"/>
        <v>0</v>
      </c>
      <c r="AW131" s="2519">
        <f t="shared" si="47"/>
        <v>377571.48499999999</v>
      </c>
      <c r="AX131" s="2519">
        <f t="shared" si="47"/>
        <v>0</v>
      </c>
      <c r="AY131" s="2519">
        <f t="shared" ref="AY131" si="50">+AY129-AY128</f>
        <v>34848.865000000005</v>
      </c>
      <c r="AZ131" s="2519">
        <f t="shared" si="47"/>
        <v>0</v>
      </c>
      <c r="BA131" s="2519">
        <f t="shared" si="27"/>
        <v>73696.787000000011</v>
      </c>
      <c r="BB131" s="2519">
        <f t="shared" si="47"/>
        <v>0</v>
      </c>
      <c r="BC131" s="2519">
        <f t="shared" si="28"/>
        <v>227279.50100000002</v>
      </c>
      <c r="BD131" s="2519">
        <f t="shared" si="47"/>
        <v>0</v>
      </c>
      <c r="BE131" s="2519">
        <f t="shared" si="29"/>
        <v>412420.34999999992</v>
      </c>
    </row>
  </sheetData>
  <mergeCells count="53">
    <mergeCell ref="AZ106:BA106"/>
    <mergeCell ref="BB106:BC106"/>
    <mergeCell ref="BD106:BE106"/>
    <mergeCell ref="AP106:AQ106"/>
    <mergeCell ref="AR106:AS106"/>
    <mergeCell ref="AT106:AU106"/>
    <mergeCell ref="AV106:AW106"/>
    <mergeCell ref="AX106:AY106"/>
    <mergeCell ref="AF106:AG106"/>
    <mergeCell ref="AH106:AI106"/>
    <mergeCell ref="AJ106:AK106"/>
    <mergeCell ref="AL106:AM106"/>
    <mergeCell ref="AN106:AO106"/>
    <mergeCell ref="BB67:BC67"/>
    <mergeCell ref="BD67:BE67"/>
    <mergeCell ref="F106:G106"/>
    <mergeCell ref="H106:I106"/>
    <mergeCell ref="J106:K106"/>
    <mergeCell ref="L106:M106"/>
    <mergeCell ref="N106:O106"/>
    <mergeCell ref="P106:Q106"/>
    <mergeCell ref="R106:S106"/>
    <mergeCell ref="T106:U106"/>
    <mergeCell ref="V106:W106"/>
    <mergeCell ref="X106:Y106"/>
    <mergeCell ref="Z106:AA106"/>
    <mergeCell ref="AB106:AC106"/>
    <mergeCell ref="AD106:AE106"/>
    <mergeCell ref="AR67:AS67"/>
    <mergeCell ref="AV67:AW67"/>
    <mergeCell ref="AX67:AY67"/>
    <mergeCell ref="AZ67:BA67"/>
    <mergeCell ref="AH67:AI67"/>
    <mergeCell ref="AJ67:AK67"/>
    <mergeCell ref="AL67:AM67"/>
    <mergeCell ref="AN67:AO67"/>
    <mergeCell ref="AP67:AQ67"/>
    <mergeCell ref="C66:BE66"/>
    <mergeCell ref="F67:G67"/>
    <mergeCell ref="H67:I67"/>
    <mergeCell ref="J67:K67"/>
    <mergeCell ref="L67:M67"/>
    <mergeCell ref="N67:O67"/>
    <mergeCell ref="P67:Q67"/>
    <mergeCell ref="R67:S67"/>
    <mergeCell ref="T67:U67"/>
    <mergeCell ref="V67:W67"/>
    <mergeCell ref="X67:Y67"/>
    <mergeCell ref="Z67:AA67"/>
    <mergeCell ref="AB67:AC67"/>
    <mergeCell ref="AD67:AE67"/>
    <mergeCell ref="AF67:AG67"/>
    <mergeCell ref="AT67:AU67"/>
  </mergeCells>
  <printOptions horizontalCentered="1" verticalCentered="1"/>
  <pageMargins left="0" right="0" top="0" bottom="0" header="0" footer="0"/>
  <pageSetup scale="83"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9">
    <tabColor rgb="FFFFC000"/>
    <pageSetUpPr fitToPage="1"/>
  </sheetPr>
  <dimension ref="A1:BI188"/>
  <sheetViews>
    <sheetView zoomScaleNormal="100" workbookViewId="0">
      <pane xSplit="6" ySplit="1" topLeftCell="G2" activePane="bottomRight" state="frozen"/>
      <selection pane="topRight" activeCell="G1" sqref="G1"/>
      <selection pane="bottomLeft" activeCell="A2" sqref="A2"/>
      <selection pane="bottomRight" activeCell="BL79" sqref="BL79"/>
    </sheetView>
  </sheetViews>
  <sheetFormatPr defaultRowHeight="14.4" x14ac:dyDescent="0.3"/>
  <cols>
    <col min="1" max="1" width="3.5546875" customWidth="1"/>
    <col min="2" max="2" width="4.44140625" customWidth="1"/>
    <col min="3" max="3" width="16.5546875" bestFit="1" customWidth="1"/>
    <col min="4" max="4" width="67.88671875" bestFit="1" customWidth="1"/>
    <col min="5" max="5" width="7.5546875" style="251" customWidth="1"/>
    <col min="6" max="6" width="15.44140625" hidden="1" customWidth="1"/>
    <col min="7" max="7" width="10.5546875" customWidth="1"/>
    <col min="8" max="8" width="9.88671875" hidden="1" customWidth="1"/>
    <col min="9" max="9" width="10.44140625" customWidth="1"/>
    <col min="10" max="10" width="10.109375" hidden="1" customWidth="1"/>
    <col min="11" max="11" width="10.109375" style="584" customWidth="1"/>
    <col min="12" max="12" width="10.109375" hidden="1" customWidth="1"/>
    <col min="13" max="13" width="10.44140625" hidden="1" customWidth="1"/>
    <col min="14" max="14" width="10.109375" hidden="1" customWidth="1"/>
    <col min="15" max="15" width="13.33203125" style="3816" hidden="1" customWidth="1"/>
    <col min="16" max="16" width="10" hidden="1" customWidth="1"/>
    <col min="17" max="17" width="10.88671875" hidden="1" customWidth="1"/>
    <col min="18" max="18" width="7.88671875" hidden="1" customWidth="1"/>
    <col min="19" max="19" width="9" style="584" hidden="1" customWidth="1"/>
    <col min="20" max="20" width="10" hidden="1" customWidth="1"/>
    <col min="21" max="21" width="12" hidden="1" customWidth="1"/>
    <col min="22" max="22" width="14.88671875" hidden="1" customWidth="1"/>
    <col min="23" max="23" width="17.109375" style="584" hidden="1" customWidth="1"/>
    <col min="24" max="24" width="17.109375" style="137" hidden="1" customWidth="1"/>
    <col min="25" max="25" width="12.44140625" style="137" hidden="1" customWidth="1"/>
    <col min="26" max="26" width="10.109375" hidden="1" customWidth="1"/>
    <col min="27" max="27" width="9.88671875" style="3816" hidden="1" customWidth="1"/>
    <col min="28" max="28" width="9.88671875" style="417" hidden="1" customWidth="1"/>
    <col min="29" max="29" width="14.5546875" style="417" hidden="1" customWidth="1"/>
    <col min="30" max="31" width="11.33203125" hidden="1" customWidth="1"/>
    <col min="32" max="32" width="9.109375" hidden="1" customWidth="1"/>
    <col min="33" max="33" width="11.33203125" style="584" hidden="1" customWidth="1"/>
    <col min="34" max="34" width="11.33203125" hidden="1" customWidth="1"/>
    <col min="35" max="35" width="10.44140625" hidden="1" customWidth="1"/>
    <col min="36" max="36" width="9.109375" hidden="1" customWidth="1"/>
    <col min="37" max="37" width="10.33203125" style="584" hidden="1" customWidth="1"/>
    <col min="38" max="41" width="9.109375" hidden="1" customWidth="1"/>
    <col min="42" max="42" width="10.5546875" hidden="1" customWidth="1"/>
    <col min="43" max="43" width="10.33203125" hidden="1" customWidth="1"/>
    <col min="44" max="44" width="9.109375" hidden="1" customWidth="1"/>
    <col min="45" max="45" width="10.5546875" hidden="1" customWidth="1"/>
    <col min="46" max="46" width="9.109375" hidden="1" customWidth="1"/>
    <col min="47" max="47" width="10.5546875" hidden="1" customWidth="1"/>
    <col min="48" max="50" width="9.109375" hidden="1" customWidth="1"/>
    <col min="51" max="51" width="10.33203125" hidden="1" customWidth="1"/>
    <col min="52" max="56" width="9.109375" hidden="1" customWidth="1"/>
    <col min="57" max="57" width="10.33203125" hidden="1" customWidth="1"/>
    <col min="58" max="58" width="9.109375" hidden="1" customWidth="1"/>
    <col min="59" max="59" width="10.33203125" hidden="1" customWidth="1"/>
    <col min="60" max="60" width="14.109375" customWidth="1"/>
  </cols>
  <sheetData>
    <row r="1" spans="3:60" s="137" customFormat="1" ht="23.4" x14ac:dyDescent="0.45">
      <c r="C1" s="6276" t="s">
        <v>1849</v>
      </c>
      <c r="D1" s="6276"/>
      <c r="E1" s="6276"/>
      <c r="F1" s="6276"/>
      <c r="G1" s="6276"/>
      <c r="H1" s="6276"/>
      <c r="I1" s="6276"/>
      <c r="J1" s="6276"/>
      <c r="K1" s="6276"/>
      <c r="L1" s="6276"/>
      <c r="M1" s="6276"/>
      <c r="N1" s="6276"/>
      <c r="O1" s="6276"/>
      <c r="P1" s="6276"/>
      <c r="Q1" s="6276"/>
      <c r="R1" s="6276"/>
      <c r="S1" s="6276"/>
      <c r="T1" s="6276"/>
      <c r="U1" s="6276"/>
      <c r="V1" s="6276"/>
      <c r="W1" s="6276"/>
      <c r="X1" s="6276"/>
      <c r="Y1" s="6276"/>
      <c r="Z1" s="6276"/>
      <c r="AA1" s="6276"/>
      <c r="AB1" s="6276"/>
      <c r="AC1" s="6276"/>
      <c r="AD1" s="6276"/>
      <c r="AE1" s="6276"/>
      <c r="AF1" s="6276"/>
      <c r="AG1" s="6276"/>
      <c r="AH1" s="6276"/>
      <c r="AI1" s="6276"/>
      <c r="AJ1" s="6276"/>
      <c r="AK1" s="6276"/>
      <c r="AL1" s="6276"/>
      <c r="AM1" s="6276"/>
      <c r="AN1" s="6276"/>
      <c r="AO1" s="6276"/>
      <c r="AP1" s="6276"/>
      <c r="AQ1" s="6276"/>
    </row>
    <row r="2" spans="3:60" x14ac:dyDescent="0.3">
      <c r="E2"/>
      <c r="K2"/>
      <c r="O2"/>
      <c r="S2"/>
      <c r="W2"/>
      <c r="X2"/>
      <c r="Y2"/>
      <c r="AA2"/>
      <c r="AB2"/>
      <c r="AC2"/>
      <c r="AG2"/>
      <c r="AK2"/>
    </row>
    <row r="3" spans="3:60" s="251" customFormat="1" ht="16.8" x14ac:dyDescent="0.3">
      <c r="C3" s="3817" t="s">
        <v>919</v>
      </c>
      <c r="D3" s="3817" t="s">
        <v>808</v>
      </c>
      <c r="E3" s="3817" t="s">
        <v>171</v>
      </c>
      <c r="F3" s="6272" t="s">
        <v>2239</v>
      </c>
      <c r="G3" s="6273"/>
      <c r="H3" s="6272" t="s">
        <v>2260</v>
      </c>
      <c r="I3" s="6273"/>
      <c r="J3" s="6284" t="s">
        <v>624</v>
      </c>
      <c r="K3" s="6285"/>
      <c r="L3" s="6272" t="s">
        <v>1963</v>
      </c>
      <c r="M3" s="6273"/>
      <c r="N3" s="6267" t="s">
        <v>604</v>
      </c>
      <c r="O3" s="6268"/>
      <c r="P3" s="6261" t="s">
        <v>1985</v>
      </c>
      <c r="Q3" s="6261"/>
      <c r="R3" s="6262" t="s">
        <v>617</v>
      </c>
      <c r="S3" s="6262"/>
      <c r="T3" s="6261" t="s">
        <v>1988</v>
      </c>
      <c r="U3" s="6261"/>
      <c r="V3" s="6262" t="s">
        <v>794</v>
      </c>
      <c r="W3" s="6262"/>
      <c r="X3" s="3885"/>
      <c r="Y3" s="3874" t="s">
        <v>2019</v>
      </c>
      <c r="Z3" s="6267" t="s">
        <v>625</v>
      </c>
      <c r="AA3" s="6268"/>
      <c r="AB3" s="3886"/>
      <c r="AC3" s="3818" t="s">
        <v>486</v>
      </c>
      <c r="AD3" s="6261" t="s">
        <v>2043</v>
      </c>
      <c r="AE3" s="6261"/>
      <c r="AF3" s="6262" t="s">
        <v>1051</v>
      </c>
      <c r="AG3" s="6262"/>
      <c r="AH3" s="6261" t="s">
        <v>2064</v>
      </c>
      <c r="AI3" s="6261"/>
      <c r="AJ3" s="6262" t="s">
        <v>1552</v>
      </c>
      <c r="AK3" s="6262"/>
      <c r="AL3" s="6261" t="s">
        <v>2088</v>
      </c>
      <c r="AM3" s="6261"/>
      <c r="AN3" s="6263" t="s">
        <v>1808</v>
      </c>
      <c r="AO3" s="6264"/>
      <c r="AP3" s="6262" t="s">
        <v>872</v>
      </c>
      <c r="AQ3" s="6262"/>
      <c r="AR3" s="6261" t="s">
        <v>2099</v>
      </c>
      <c r="AS3" s="6261"/>
      <c r="AT3" s="6262" t="s">
        <v>1583</v>
      </c>
      <c r="AU3" s="6262"/>
      <c r="AV3" s="6261" t="s">
        <v>2136</v>
      </c>
      <c r="AW3" s="6261"/>
      <c r="AX3" s="6262" t="s">
        <v>1589</v>
      </c>
      <c r="AY3" s="6262"/>
      <c r="AZ3" s="6260">
        <v>46082</v>
      </c>
      <c r="BA3" s="6261"/>
      <c r="BB3" s="6263" t="s">
        <v>1842</v>
      </c>
      <c r="BC3" s="6264"/>
      <c r="BD3" s="3886"/>
      <c r="BE3" s="3818" t="s">
        <v>524</v>
      </c>
      <c r="BF3" s="6262" t="s">
        <v>1961</v>
      </c>
      <c r="BG3" s="6262"/>
    </row>
    <row r="4" spans="3:60" ht="16.8" x14ac:dyDescent="0.3">
      <c r="C4" s="3819" t="s">
        <v>16</v>
      </c>
      <c r="D4" s="3820" t="s">
        <v>1308</v>
      </c>
      <c r="E4" s="6274"/>
      <c r="F4" s="3819"/>
      <c r="G4" s="3821">
        <f>+SUMIF(WRM!$C$7:$C$128,$D4,WRM!$F$7:$F$128)</f>
        <v>7943.75</v>
      </c>
      <c r="H4" s="3821"/>
      <c r="I4" s="3821">
        <f>+SUMIF(WRM!$C$7:$C$128,$D4,WRM!$H$7:$H$128)</f>
        <v>5102.4500000000007</v>
      </c>
      <c r="J4" s="3822"/>
      <c r="K4" s="3822">
        <f>+G4+I4</f>
        <v>13046.2</v>
      </c>
      <c r="L4" s="3821"/>
      <c r="M4" s="3821">
        <f>+SUMIF(WRM!$C$7:$C$128,$D4,WRM!$L$7:$L$128)</f>
        <v>301.34999999999997</v>
      </c>
      <c r="N4" s="3823"/>
      <c r="O4" s="3823">
        <f>+G4+I4+M4</f>
        <v>13347.550000000001</v>
      </c>
      <c r="P4" s="3821"/>
      <c r="Q4" s="3821">
        <f>+SUMIF(WRM!$C$7:$C$128,$D4,WRM!$P$7:$P$128)</f>
        <v>990.15000000000009</v>
      </c>
      <c r="R4" s="3824"/>
      <c r="S4" s="3822">
        <f>O4+Q4</f>
        <v>14337.7</v>
      </c>
      <c r="T4" s="3821"/>
      <c r="U4" s="3821">
        <f>+SUMIF(WRM!$C$7:$C$128,$D4,WRM!$T$7:$T$128)</f>
        <v>303.39999999999998</v>
      </c>
      <c r="V4" s="3824"/>
      <c r="W4" s="3822">
        <f>S4+U4</f>
        <v>14641.1</v>
      </c>
      <c r="X4" s="3825"/>
      <c r="Y4" s="3839">
        <f>+SUMIF(WRM!$C$7:$C$128,$D4,WRM!$X$7:$X$128)</f>
        <v>1195.1500000000001</v>
      </c>
      <c r="Z4" s="3823"/>
      <c r="AA4" s="3823">
        <f>Q4+U4+Y4</f>
        <v>2488.7000000000003</v>
      </c>
      <c r="AB4" s="3826"/>
      <c r="AC4" s="3827">
        <f>O4+AA4</f>
        <v>15836.250000000002</v>
      </c>
      <c r="AD4" s="3821"/>
      <c r="AE4" s="3821">
        <f>+SUMIF(WRM!$C$7:$C$128,$D4,WRM!$AD$7:$AD$128)</f>
        <v>442.79999999999995</v>
      </c>
      <c r="AF4" s="3824"/>
      <c r="AG4" s="3822">
        <f>+AC4+AE4</f>
        <v>16279.050000000001</v>
      </c>
      <c r="AH4" s="3821"/>
      <c r="AI4" s="3821">
        <f>+SUMIF(WRM!$C$7:$C$128,$D4,WRM!$AH$7:$AH$128)</f>
        <v>1070.1000000000001</v>
      </c>
      <c r="AJ4" s="3824"/>
      <c r="AK4" s="3822">
        <f>+AG4+AI4</f>
        <v>17349.150000000001</v>
      </c>
      <c r="AL4" s="3821"/>
      <c r="AM4" s="3821">
        <f>+SUMIF(WRM!$C$7:$C$128,$D4,WRM!$AL$7:$AL$128)</f>
        <v>918.4</v>
      </c>
      <c r="AN4" s="3953"/>
      <c r="AO4" s="3823">
        <f>AE4+AI4+AM4</f>
        <v>2431.3000000000002</v>
      </c>
      <c r="AP4" s="3824"/>
      <c r="AQ4" s="3822">
        <f t="shared" ref="AQ4:AQ31" si="0">+AK4+AM4</f>
        <v>18267.550000000003</v>
      </c>
      <c r="AR4" s="3821"/>
      <c r="AS4" s="3821">
        <f>+SUMIF(WRM!$C$7:$C$128,$D4,WRM!$AR$7:$AR$128)</f>
        <v>0</v>
      </c>
      <c r="AT4" s="3824"/>
      <c r="AU4" s="3822">
        <f>+AQ4+AS4</f>
        <v>18267.550000000003</v>
      </c>
      <c r="AV4" s="3821"/>
      <c r="AW4" s="3821">
        <f>+SUMIF(WRM!$C$7:$C$128,$D4,WRM!$AV$7:$AV$128)</f>
        <v>1353</v>
      </c>
      <c r="AX4" s="3824"/>
      <c r="AY4" s="3822">
        <f>+AU4+AW4</f>
        <v>19620.550000000003</v>
      </c>
      <c r="AZ4" s="3821"/>
      <c r="BA4" s="3821">
        <f>+SUMIF(WRM!$C$7:$C$128,$D4,WRM!$AZ$7:$AZ$128)</f>
        <v>5303.3500000000031</v>
      </c>
      <c r="BB4" s="3953"/>
      <c r="BC4" s="3823">
        <f>AS4+AW4+BA4</f>
        <v>6656.3500000000031</v>
      </c>
      <c r="BD4" s="3826"/>
      <c r="BE4" s="3827">
        <f>AO4+BC4</f>
        <v>9087.6500000000033</v>
      </c>
      <c r="BF4" s="3824"/>
      <c r="BG4" s="3822">
        <f>+AY4+BA4</f>
        <v>24923.900000000005</v>
      </c>
      <c r="BH4" s="23"/>
    </row>
    <row r="5" spans="3:60" ht="16.8" x14ac:dyDescent="0.3">
      <c r="C5" s="3819" t="s">
        <v>16</v>
      </c>
      <c r="D5" s="3820" t="s">
        <v>1779</v>
      </c>
      <c r="E5" s="6274"/>
      <c r="F5" s="3819"/>
      <c r="G5" s="3821">
        <f>+SUMIF(WRM!$C$7:$C$128,$D5,WRM!$F$7:$F$128)</f>
        <v>0</v>
      </c>
      <c r="H5" s="3821"/>
      <c r="I5" s="3821">
        <f>+SUMIF(WRM!$C$7:$C$128,$D5,WRM!$H$7:$H$128)</f>
        <v>0</v>
      </c>
      <c r="J5" s="3822"/>
      <c r="K5" s="3822">
        <f t="shared" ref="K5:K68" si="1">+G5+I5</f>
        <v>0</v>
      </c>
      <c r="L5" s="3821"/>
      <c r="M5" s="3821">
        <f>+SUMIF(WRM!$C$7:$C$128,$D5,WRM!$L$7:$L$128)</f>
        <v>0</v>
      </c>
      <c r="N5" s="3823"/>
      <c r="O5" s="3823">
        <f t="shared" ref="O5:O75" si="2">+G5+I5+M5</f>
        <v>0</v>
      </c>
      <c r="P5" s="3821"/>
      <c r="Q5" s="3821">
        <f>+SUMIF(WRM!$C$7:$C$128,$D5,WRM!$P$7:$P$128)</f>
        <v>0</v>
      </c>
      <c r="R5" s="3824"/>
      <c r="S5" s="3822">
        <f t="shared" ref="S5:S75" si="3">O5+Q5</f>
        <v>0</v>
      </c>
      <c r="T5" s="3821"/>
      <c r="U5" s="3821">
        <f>+SUMIF(WRM!$C$7:$C$128,$D5,WRM!$T$7:$T$128)</f>
        <v>0</v>
      </c>
      <c r="V5" s="3824"/>
      <c r="W5" s="3822">
        <f t="shared" ref="W5:W75" si="4">S5+U5</f>
        <v>0</v>
      </c>
      <c r="X5" s="3825"/>
      <c r="Y5" s="3839">
        <f>+SUMIF(WRM!$C$7:$C$128,$D5,WRM!$X$7:$X$128)</f>
        <v>0</v>
      </c>
      <c r="Z5" s="3823"/>
      <c r="AA5" s="3823">
        <f t="shared" ref="AA5:AA75" si="5">Q5+U5+Y5</f>
        <v>0</v>
      </c>
      <c r="AB5" s="3826"/>
      <c r="AC5" s="3827">
        <f t="shared" ref="AC5:AC75" si="6">O5+AA5</f>
        <v>0</v>
      </c>
      <c r="AD5" s="3821"/>
      <c r="AE5" s="3839">
        <f>+SUMIF(WRM!$C$7:$C$128,$D5,WRM!$AD$7:$AD$128)</f>
        <v>0</v>
      </c>
      <c r="AF5" s="3824"/>
      <c r="AG5" s="3822">
        <f t="shared" ref="AG5:AG75" si="7">+AC5+AE5</f>
        <v>0</v>
      </c>
      <c r="AH5" s="3821"/>
      <c r="AI5" s="3821">
        <f>+SUMIF(WRM!$C$7:$C$128,$D5,WRM!$AH$7:$AH$128)</f>
        <v>0</v>
      </c>
      <c r="AJ5" s="3824"/>
      <c r="AK5" s="3822">
        <f t="shared" ref="AK5:AK37" si="8">+AG5+AI5</f>
        <v>0</v>
      </c>
      <c r="AL5" s="3821"/>
      <c r="AM5" s="3821">
        <f>+SUMIF(WRM!$C$7:$C$128,$D5,WRM!$AL$7:$AL$128)</f>
        <v>0</v>
      </c>
      <c r="AN5" s="3953"/>
      <c r="AO5" s="3823">
        <f t="shared" ref="AO5:AO75" si="9">AE5+AI5+AM5</f>
        <v>0</v>
      </c>
      <c r="AP5" s="3824"/>
      <c r="AQ5" s="3822">
        <f t="shared" si="0"/>
        <v>0</v>
      </c>
      <c r="AR5" s="3821"/>
      <c r="AS5" s="3821">
        <f>+SUMIF(WRM!$C$7:$C$128,$D5,WRM!$AR$7:$AR$128)</f>
        <v>0</v>
      </c>
      <c r="AT5" s="3824"/>
      <c r="AU5" s="3822">
        <f t="shared" ref="AU5:AU31" si="10">+AQ5+AS5</f>
        <v>0</v>
      </c>
      <c r="AV5" s="3821"/>
      <c r="AW5" s="3821">
        <f>+SUMIF(WRM!$C$7:$C$128,$D5,WRM!$AV$7:$AV$128)</f>
        <v>0</v>
      </c>
      <c r="AX5" s="3824"/>
      <c r="AY5" s="3822">
        <f t="shared" ref="AY5:AY37" si="11">+AU5+AW5</f>
        <v>0</v>
      </c>
      <c r="AZ5" s="3821"/>
      <c r="BA5" s="3821">
        <f>+SUMIF(WRM!$C$7:$C$128,$D5,WRM!$AZ$7:$AZ$128)</f>
        <v>0</v>
      </c>
      <c r="BB5" s="3953"/>
      <c r="BC5" s="3823">
        <f t="shared" ref="BC5:BC37" si="12">AS5+AW5+BA5</f>
        <v>0</v>
      </c>
      <c r="BD5" s="3826"/>
      <c r="BE5" s="3827">
        <f t="shared" ref="BE5:BE71" si="13">AO5+BC5</f>
        <v>0</v>
      </c>
      <c r="BF5" s="3824"/>
      <c r="BG5" s="3822">
        <f t="shared" ref="BG5:BG37" si="14">+AY5+BA5</f>
        <v>0</v>
      </c>
      <c r="BH5" s="23"/>
    </row>
    <row r="6" spans="3:60" ht="16.8" x14ac:dyDescent="0.3">
      <c r="C6" s="3819" t="s">
        <v>16</v>
      </c>
      <c r="D6" s="3820" t="s">
        <v>1266</v>
      </c>
      <c r="E6" s="6274"/>
      <c r="F6" s="3819"/>
      <c r="G6" s="3821">
        <f>+SUMIF(WRM!$C$7:$C$128,$D6,WRM!$F$7:$F$128)</f>
        <v>0</v>
      </c>
      <c r="H6" s="3821"/>
      <c r="I6" s="3821">
        <f>+SUMIF(WRM!$C$7:$C$128,$D6,WRM!$H$7:$H$128)</f>
        <v>0</v>
      </c>
      <c r="J6" s="3822"/>
      <c r="K6" s="3822">
        <f t="shared" si="1"/>
        <v>0</v>
      </c>
      <c r="L6" s="3821"/>
      <c r="M6" s="3821">
        <f>+SUMIF(WRM!$C$7:$C$128,$D6,WRM!$L$7:$L$128)</f>
        <v>161.95000000000002</v>
      </c>
      <c r="N6" s="3823"/>
      <c r="O6" s="3823">
        <f t="shared" si="2"/>
        <v>161.95000000000002</v>
      </c>
      <c r="P6" s="3821"/>
      <c r="Q6" s="3821">
        <f>+SUMIF(WRM!$C$7:$C$128,$D6,WRM!$P$7:$P$128)</f>
        <v>676.5</v>
      </c>
      <c r="R6" s="3824"/>
      <c r="S6" s="3822">
        <f t="shared" si="3"/>
        <v>838.45</v>
      </c>
      <c r="T6" s="3821"/>
      <c r="U6" s="3821">
        <f>+SUMIF(WRM!$C$7:$C$128,$D6,WRM!$T$7:$T$128)</f>
        <v>211.14999999999998</v>
      </c>
      <c r="V6" s="3824"/>
      <c r="W6" s="3822">
        <f t="shared" si="4"/>
        <v>1049.5999999999999</v>
      </c>
      <c r="X6" s="3825"/>
      <c r="Y6" s="3839">
        <f>+SUMIF(WRM!$C$7:$C$128,$D6,WRM!$X$7:$X$128)</f>
        <v>1326.3500000000001</v>
      </c>
      <c r="Z6" s="3823"/>
      <c r="AA6" s="3823">
        <f t="shared" si="5"/>
        <v>2214</v>
      </c>
      <c r="AB6" s="3826"/>
      <c r="AC6" s="3827">
        <f t="shared" si="6"/>
        <v>2375.9499999999998</v>
      </c>
      <c r="AD6" s="3821"/>
      <c r="AE6" s="3839">
        <f>+SUMIF(WRM!$C$7:$C$128,$D6,WRM!$AD$7:$AD$128)</f>
        <v>0</v>
      </c>
      <c r="AF6" s="3824"/>
      <c r="AG6" s="3822">
        <f t="shared" si="7"/>
        <v>2375.9499999999998</v>
      </c>
      <c r="AH6" s="3821"/>
      <c r="AI6" s="3821">
        <f>+SUMIF(WRM!$C$7:$C$128,$D6,WRM!$AH$7:$AH$128)</f>
        <v>0</v>
      </c>
      <c r="AJ6" s="3824"/>
      <c r="AK6" s="3822">
        <f t="shared" si="8"/>
        <v>2375.9499999999998</v>
      </c>
      <c r="AL6" s="3821"/>
      <c r="AM6" s="3821">
        <f>+SUMIF(WRM!$C$7:$C$128,$D6,WRM!$AL$7:$AL$128)</f>
        <v>0</v>
      </c>
      <c r="AN6" s="3953"/>
      <c r="AO6" s="3823">
        <f t="shared" si="9"/>
        <v>0</v>
      </c>
      <c r="AP6" s="3824"/>
      <c r="AQ6" s="3822">
        <f t="shared" si="0"/>
        <v>2375.9499999999998</v>
      </c>
      <c r="AR6" s="3821"/>
      <c r="AS6" s="3821">
        <f>+SUMIF(WRM!$C$7:$C$128,$D6,WRM!$AR$7:$AR$128)</f>
        <v>670.35</v>
      </c>
      <c r="AT6" s="3824"/>
      <c r="AU6" s="3822">
        <f t="shared" si="10"/>
        <v>3046.2999999999997</v>
      </c>
      <c r="AV6" s="3821"/>
      <c r="AW6" s="3821">
        <f>+SUMIF(WRM!$C$7:$C$128,$D6,WRM!$AV$7:$AV$128)</f>
        <v>0</v>
      </c>
      <c r="AX6" s="3824"/>
      <c r="AY6" s="3822">
        <f t="shared" si="11"/>
        <v>3046.2999999999997</v>
      </c>
      <c r="AZ6" s="3821"/>
      <c r="BA6" s="3821">
        <f>+SUMIF(WRM!$C$7:$C$128,$D6,WRM!$AZ$7:$AZ$128)</f>
        <v>0</v>
      </c>
      <c r="BB6" s="3953"/>
      <c r="BC6" s="3823">
        <f t="shared" si="12"/>
        <v>670.35</v>
      </c>
      <c r="BD6" s="3826"/>
      <c r="BE6" s="3827">
        <f t="shared" si="13"/>
        <v>670.35</v>
      </c>
      <c r="BF6" s="3824"/>
      <c r="BG6" s="3822">
        <f t="shared" si="14"/>
        <v>3046.2999999999997</v>
      </c>
      <c r="BH6" s="23"/>
    </row>
    <row r="7" spans="3:60" ht="16.8" x14ac:dyDescent="0.3">
      <c r="C7" s="3819" t="s">
        <v>16</v>
      </c>
      <c r="D7" s="3820" t="s">
        <v>904</v>
      </c>
      <c r="E7" s="6274"/>
      <c r="F7" s="3819"/>
      <c r="G7" s="3821">
        <f>+SUMIF(WRM!$C$7:$C$128,$D7,WRM!$F$7:$F$128)</f>
        <v>0</v>
      </c>
      <c r="H7" s="3821"/>
      <c r="I7" s="3821">
        <f>+SUMIF(WRM!$C$7:$C$128,$D7,WRM!$H$7:$H$128)</f>
        <v>0</v>
      </c>
      <c r="J7" s="3822"/>
      <c r="K7" s="3822">
        <f t="shared" si="1"/>
        <v>0</v>
      </c>
      <c r="L7" s="3821"/>
      <c r="M7" s="3821">
        <f>+SUMIF(WRM!$C$7:$C$128,$D7,WRM!$L$7:$L$128)</f>
        <v>0</v>
      </c>
      <c r="N7" s="3823"/>
      <c r="O7" s="3823">
        <f t="shared" si="2"/>
        <v>0</v>
      </c>
      <c r="P7" s="3821"/>
      <c r="Q7" s="3821">
        <f>+SUMIF(WRM!$C$7:$C$128,$D7,WRM!$P$7:$P$128)</f>
        <v>0</v>
      </c>
      <c r="R7" s="3824"/>
      <c r="S7" s="3822">
        <f t="shared" si="3"/>
        <v>0</v>
      </c>
      <c r="T7" s="3821"/>
      <c r="U7" s="3821">
        <f>+SUMIF(WRM!$C$7:$C$128,$D7,WRM!$T$7:$T$128)</f>
        <v>0</v>
      </c>
      <c r="V7" s="3824"/>
      <c r="W7" s="3822">
        <f t="shared" si="4"/>
        <v>0</v>
      </c>
      <c r="X7" s="3825"/>
      <c r="Y7" s="3839">
        <f>+SUMIF(WRM!$C$7:$C$128,$D7,WRM!$X$7:$X$128)</f>
        <v>0</v>
      </c>
      <c r="Z7" s="3823"/>
      <c r="AA7" s="3823">
        <f t="shared" si="5"/>
        <v>0</v>
      </c>
      <c r="AB7" s="3826"/>
      <c r="AC7" s="3827">
        <f t="shared" si="6"/>
        <v>0</v>
      </c>
      <c r="AD7" s="3821"/>
      <c r="AE7" s="3839">
        <f>+SUMIF(WRM!$C$7:$C$128,$D7,WRM!$AD$7:$AD$128)</f>
        <v>0</v>
      </c>
      <c r="AF7" s="3824"/>
      <c r="AG7" s="3822">
        <f t="shared" si="7"/>
        <v>0</v>
      </c>
      <c r="AH7" s="3821"/>
      <c r="AI7" s="3821">
        <f>+SUMIF(WRM!$C$7:$C$128,$D7,WRM!$AH$7:$AH$128)</f>
        <v>0</v>
      </c>
      <c r="AJ7" s="3824"/>
      <c r="AK7" s="3822">
        <f t="shared" si="8"/>
        <v>0</v>
      </c>
      <c r="AL7" s="3821"/>
      <c r="AM7" s="3821">
        <f>+SUMIF(WRM!$C$7:$C$128,$D7,WRM!$AL$7:$AL$128)</f>
        <v>0</v>
      </c>
      <c r="AN7" s="3953"/>
      <c r="AO7" s="3823">
        <f t="shared" si="9"/>
        <v>0</v>
      </c>
      <c r="AP7" s="3824"/>
      <c r="AQ7" s="3822">
        <f t="shared" si="0"/>
        <v>0</v>
      </c>
      <c r="AR7" s="3821"/>
      <c r="AS7" s="3821">
        <f>+SUMIF(WRM!$C$7:$C$128,$D7,WRM!$AR$7:$AR$128)</f>
        <v>0</v>
      </c>
      <c r="AT7" s="3824"/>
      <c r="AU7" s="3822">
        <f t="shared" si="10"/>
        <v>0</v>
      </c>
      <c r="AV7" s="3821"/>
      <c r="AW7" s="3821">
        <f>+SUMIF(WRM!$C$7:$C$128,$D7,WRM!$AV$7:$AV$128)</f>
        <v>0</v>
      </c>
      <c r="AX7" s="3824"/>
      <c r="AY7" s="3822">
        <f t="shared" si="11"/>
        <v>0</v>
      </c>
      <c r="AZ7" s="3821"/>
      <c r="BA7" s="3821">
        <f>+SUMIF(WRM!$C$7:$C$128,$D7,WRM!$AZ$7:$AZ$128)</f>
        <v>0</v>
      </c>
      <c r="BB7" s="3953"/>
      <c r="BC7" s="3823">
        <f t="shared" si="12"/>
        <v>0</v>
      </c>
      <c r="BD7" s="3826"/>
      <c r="BE7" s="3827">
        <f t="shared" si="13"/>
        <v>0</v>
      </c>
      <c r="BF7" s="3824"/>
      <c r="BG7" s="3822">
        <f t="shared" si="14"/>
        <v>0</v>
      </c>
      <c r="BH7" s="23"/>
    </row>
    <row r="8" spans="3:60" ht="16.8" x14ac:dyDescent="0.3">
      <c r="C8" s="3819" t="s">
        <v>16</v>
      </c>
      <c r="D8" s="3820" t="s">
        <v>1309</v>
      </c>
      <c r="E8" s="6274"/>
      <c r="F8" s="3819"/>
      <c r="G8" s="3821">
        <f>+SUMIF(WRM!$C$7:$C$128,$D8,WRM!$F$7:$F$128)</f>
        <v>0</v>
      </c>
      <c r="H8" s="3821"/>
      <c r="I8" s="3821">
        <f>+SUMIF(WRM!$C$7:$C$128,$D8,WRM!$H$7:$H$128)</f>
        <v>0</v>
      </c>
      <c r="J8" s="3822"/>
      <c r="K8" s="3822">
        <f t="shared" si="1"/>
        <v>0</v>
      </c>
      <c r="L8" s="3821"/>
      <c r="M8" s="3821">
        <f>+SUMIF(WRM!$C$7:$C$128,$D8,WRM!$L$7:$L$128)</f>
        <v>0</v>
      </c>
      <c r="N8" s="3823"/>
      <c r="O8" s="3823">
        <f t="shared" si="2"/>
        <v>0</v>
      </c>
      <c r="P8" s="3821"/>
      <c r="Q8" s="3821">
        <f>+SUMIF(WRM!$C$7:$C$128,$D8,WRM!$P$7:$P$128)</f>
        <v>0</v>
      </c>
      <c r="R8" s="3824"/>
      <c r="S8" s="3822">
        <f t="shared" si="3"/>
        <v>0</v>
      </c>
      <c r="T8" s="3821"/>
      <c r="U8" s="3821">
        <f>+SUMIF(WRM!$C$7:$C$128,$D8,WRM!$T$7:$T$128)</f>
        <v>0</v>
      </c>
      <c r="V8" s="3824"/>
      <c r="W8" s="3822">
        <f t="shared" si="4"/>
        <v>0</v>
      </c>
      <c r="X8" s="3825"/>
      <c r="Y8" s="3839">
        <f>+SUMIF(WRM!$C$7:$C$128,$D8,WRM!$X$7:$X$128)</f>
        <v>0</v>
      </c>
      <c r="Z8" s="3823"/>
      <c r="AA8" s="3823">
        <f t="shared" si="5"/>
        <v>0</v>
      </c>
      <c r="AB8" s="3826"/>
      <c r="AC8" s="3827">
        <f t="shared" si="6"/>
        <v>0</v>
      </c>
      <c r="AD8" s="3821"/>
      <c r="AE8" s="3839">
        <f>+SUMIF(WRM!$C$7:$C$128,$D8,WRM!$AD$7:$AD$128)</f>
        <v>0</v>
      </c>
      <c r="AF8" s="3824"/>
      <c r="AG8" s="3822">
        <f t="shared" si="7"/>
        <v>0</v>
      </c>
      <c r="AH8" s="3821"/>
      <c r="AI8" s="3821">
        <f>+SUMIF(WRM!$C$7:$C$128,$D8,WRM!$AH$7:$AH$128)</f>
        <v>0</v>
      </c>
      <c r="AJ8" s="3824"/>
      <c r="AK8" s="3822">
        <f t="shared" si="8"/>
        <v>0</v>
      </c>
      <c r="AL8" s="3821"/>
      <c r="AM8" s="3821">
        <f>+SUMIF(WRM!$C$7:$C$128,$D8,WRM!$AL$7:$AL$128)</f>
        <v>0</v>
      </c>
      <c r="AN8" s="3953"/>
      <c r="AO8" s="3823">
        <f t="shared" si="9"/>
        <v>0</v>
      </c>
      <c r="AP8" s="3824"/>
      <c r="AQ8" s="3822">
        <f t="shared" si="0"/>
        <v>0</v>
      </c>
      <c r="AR8" s="3821"/>
      <c r="AS8" s="3821">
        <f>+SUMIF(WRM!$C$7:$C$128,$D8,WRM!$AR$7:$AR$128)</f>
        <v>0</v>
      </c>
      <c r="AT8" s="3824"/>
      <c r="AU8" s="3822">
        <f t="shared" si="10"/>
        <v>0</v>
      </c>
      <c r="AV8" s="3821"/>
      <c r="AW8" s="3821">
        <f>+SUMIF(WRM!$C$7:$C$128,$D8,WRM!$AV$7:$AV$128)</f>
        <v>0</v>
      </c>
      <c r="AX8" s="3824"/>
      <c r="AY8" s="3822">
        <f t="shared" si="11"/>
        <v>0</v>
      </c>
      <c r="AZ8" s="3821"/>
      <c r="BA8" s="3821">
        <f>+SUMIF(WRM!$C$7:$C$128,$D8,WRM!$AZ$7:$AZ$128)</f>
        <v>0</v>
      </c>
      <c r="BB8" s="3953"/>
      <c r="BC8" s="3823">
        <f t="shared" si="12"/>
        <v>0</v>
      </c>
      <c r="BD8" s="3826"/>
      <c r="BE8" s="3827">
        <f t="shared" si="13"/>
        <v>0</v>
      </c>
      <c r="BF8" s="3824"/>
      <c r="BG8" s="3822">
        <f t="shared" si="14"/>
        <v>0</v>
      </c>
      <c r="BH8" s="23"/>
    </row>
    <row r="9" spans="3:60" ht="16.8" x14ac:dyDescent="0.3">
      <c r="C9" s="3819" t="s">
        <v>16</v>
      </c>
      <c r="D9" s="3820" t="s">
        <v>832</v>
      </c>
      <c r="E9" s="6274"/>
      <c r="F9" s="3819"/>
      <c r="G9" s="3821">
        <f>+SUMIF(WRM!$C$7:$C$128,$D9,WRM!$F$7:$F$128)</f>
        <v>8933.9</v>
      </c>
      <c r="H9" s="3821"/>
      <c r="I9" s="3821">
        <f>+SUMIF(WRM!$C$7:$C$128,$D9,WRM!$H$7:$H$128)</f>
        <v>4419.8000000000029</v>
      </c>
      <c r="J9" s="3822"/>
      <c r="K9" s="3822">
        <f t="shared" si="1"/>
        <v>13353.700000000003</v>
      </c>
      <c r="L9" s="3821"/>
      <c r="M9" s="3821">
        <f>+SUMIF(WRM!$C$7:$C$128,$D9,WRM!$L$7:$L$128)</f>
        <v>4954.8500000000004</v>
      </c>
      <c r="N9" s="3823"/>
      <c r="O9" s="3823">
        <f t="shared" si="2"/>
        <v>18308.550000000003</v>
      </c>
      <c r="P9" s="3821"/>
      <c r="Q9" s="3821">
        <f>+SUMIF(WRM!$C$7:$C$128,$D9,WRM!$P$7:$P$128)</f>
        <v>7790.0000000000009</v>
      </c>
      <c r="R9" s="3824"/>
      <c r="S9" s="3822">
        <f t="shared" si="3"/>
        <v>26098.550000000003</v>
      </c>
      <c r="T9" s="3821"/>
      <c r="U9" s="3821">
        <f>+SUMIF(WRM!$C$7:$C$128,$D9,WRM!$T$7:$T$128)</f>
        <v>6562.05</v>
      </c>
      <c r="V9" s="3824"/>
      <c r="W9" s="3822">
        <f t="shared" si="4"/>
        <v>32660.600000000002</v>
      </c>
      <c r="X9" s="3825"/>
      <c r="Y9" s="3839">
        <f>+SUMIF(WRM!$C$7:$C$128,$D9,WRM!$X$7:$X$128)</f>
        <v>8247.15</v>
      </c>
      <c r="Z9" s="3823"/>
      <c r="AA9" s="3823">
        <f t="shared" si="5"/>
        <v>22599.200000000001</v>
      </c>
      <c r="AB9" s="3826"/>
      <c r="AC9" s="3827">
        <f t="shared" si="6"/>
        <v>40907.75</v>
      </c>
      <c r="AD9" s="3821"/>
      <c r="AE9" s="3839">
        <f>+SUMIF(WRM!$C$7:$C$128,$D9,WRM!$AD$7:$AD$128)</f>
        <v>5110.6499999999996</v>
      </c>
      <c r="AF9" s="3824"/>
      <c r="AG9" s="3822">
        <f t="shared" si="7"/>
        <v>46018.400000000001</v>
      </c>
      <c r="AH9" s="3821"/>
      <c r="AI9" s="3821">
        <f>+SUMIF(WRM!$C$7:$C$128,$D9,WRM!$AH$7:$AH$128)</f>
        <v>9261.9000000000051</v>
      </c>
      <c r="AJ9" s="3824"/>
      <c r="AK9" s="3822">
        <f t="shared" si="8"/>
        <v>55280.3</v>
      </c>
      <c r="AL9" s="3821"/>
      <c r="AM9" s="3821">
        <f>+SUMIF(WRM!$C$7:$C$128,$D9,WRM!$AL$7:$AL$128)</f>
        <v>5922.4500000000007</v>
      </c>
      <c r="AN9" s="3953"/>
      <c r="AO9" s="3823">
        <f t="shared" si="9"/>
        <v>20295.000000000007</v>
      </c>
      <c r="AP9" s="3824"/>
      <c r="AQ9" s="3822">
        <f t="shared" si="0"/>
        <v>61202.75</v>
      </c>
      <c r="AR9" s="3821"/>
      <c r="AS9" s="3821">
        <f>+SUMIF(WRM!$C$7:$C$128,$D9,WRM!$AR$7:$AR$128)</f>
        <v>5807.65</v>
      </c>
      <c r="AT9" s="3824"/>
      <c r="AU9" s="3822">
        <f t="shared" si="10"/>
        <v>67010.399999999994</v>
      </c>
      <c r="AV9" s="3821"/>
      <c r="AW9" s="3821">
        <f>+SUMIF(WRM!$C$7:$C$128,$D9,WRM!$AV$7:$AV$128)</f>
        <v>9950.7000000000098</v>
      </c>
      <c r="AX9" s="3824"/>
      <c r="AY9" s="3822">
        <f t="shared" si="11"/>
        <v>76961.100000000006</v>
      </c>
      <c r="AZ9" s="3821"/>
      <c r="BA9" s="3821">
        <f>+SUMIF(WRM!$C$7:$C$128,$D9,WRM!$AZ$7:$AZ$128)</f>
        <v>9653.4499999999989</v>
      </c>
      <c r="BB9" s="3953"/>
      <c r="BC9" s="3823">
        <f t="shared" si="12"/>
        <v>25411.80000000001</v>
      </c>
      <c r="BD9" s="3826"/>
      <c r="BE9" s="3827">
        <f t="shared" si="13"/>
        <v>45706.800000000017</v>
      </c>
      <c r="BF9" s="3824"/>
      <c r="BG9" s="3822">
        <f t="shared" si="14"/>
        <v>86614.55</v>
      </c>
      <c r="BH9" s="23"/>
    </row>
    <row r="10" spans="3:60" ht="16.8" x14ac:dyDescent="0.3">
      <c r="C10" s="3819" t="s">
        <v>16</v>
      </c>
      <c r="D10" s="3820" t="s">
        <v>1965</v>
      </c>
      <c r="E10" s="6274"/>
      <c r="F10" s="3819"/>
      <c r="G10" s="3821">
        <f>+SUMIF(WRM!$C$7:$C$128,$D10,WRM!$F$7:$F$128)</f>
        <v>0</v>
      </c>
      <c r="H10" s="3821"/>
      <c r="I10" s="3821">
        <f>+SUMIF(WRM!$C$7:$C$128,$D10,WRM!$H$7:$H$128)</f>
        <v>0</v>
      </c>
      <c r="J10" s="3822"/>
      <c r="K10" s="3822">
        <f t="shared" si="1"/>
        <v>0</v>
      </c>
      <c r="L10" s="3821"/>
      <c r="M10" s="3821">
        <f>+SUMIF(WRM!$C$7:$C$128,$D10,WRM!$L$7:$L$128)</f>
        <v>3761.75</v>
      </c>
      <c r="N10" s="3823"/>
      <c r="O10" s="3823">
        <f t="shared" si="2"/>
        <v>3761.75</v>
      </c>
      <c r="P10" s="3821"/>
      <c r="Q10" s="3821">
        <f>+SUMIF(WRM!$C$7:$C$128,$D10,WRM!$P$7:$P$128)</f>
        <v>9542.7500000000018</v>
      </c>
      <c r="R10" s="3824"/>
      <c r="S10" s="3822">
        <f t="shared" si="3"/>
        <v>13304.500000000002</v>
      </c>
      <c r="T10" s="3821"/>
      <c r="U10" s="3821">
        <f>+SUMIF(WRM!$C$7:$C$128,$D10,WRM!$T$7:$T$128)</f>
        <v>0</v>
      </c>
      <c r="V10" s="3824"/>
      <c r="W10" s="3822">
        <f t="shared" si="4"/>
        <v>13304.500000000002</v>
      </c>
      <c r="X10" s="3825"/>
      <c r="Y10" s="3839">
        <f>+SUMIF(WRM!$C$7:$C$128,$D10,WRM!$X$7:$X$128)</f>
        <v>0</v>
      </c>
      <c r="Z10" s="3823"/>
      <c r="AA10" s="3823">
        <f t="shared" si="5"/>
        <v>9542.7500000000018</v>
      </c>
      <c r="AB10" s="3826"/>
      <c r="AC10" s="3827">
        <f t="shared" si="6"/>
        <v>13304.500000000002</v>
      </c>
      <c r="AD10" s="3821"/>
      <c r="AE10" s="3839">
        <f>+SUMIF(WRM!$C$7:$C$128,$D10,WRM!$AD$7:$AD$128)</f>
        <v>0</v>
      </c>
      <c r="AF10" s="3824"/>
      <c r="AG10" s="3822">
        <f t="shared" si="7"/>
        <v>13304.500000000002</v>
      </c>
      <c r="AH10" s="3821"/>
      <c r="AI10" s="3821">
        <f>+SUMIF(WRM!$C$7:$C$128,$D10,WRM!$AH$7:$AH$128)</f>
        <v>0</v>
      </c>
      <c r="AJ10" s="3824"/>
      <c r="AK10" s="3822">
        <f t="shared" si="8"/>
        <v>13304.500000000002</v>
      </c>
      <c r="AL10" s="3821"/>
      <c r="AM10" s="3821">
        <f>+SUMIF(WRM!$C$7:$C$128,$D10,WRM!$AL$7:$AL$128)</f>
        <v>0</v>
      </c>
      <c r="AN10" s="3953"/>
      <c r="AO10" s="3823">
        <f t="shared" si="9"/>
        <v>0</v>
      </c>
      <c r="AP10" s="3824"/>
      <c r="AQ10" s="3822">
        <f t="shared" si="0"/>
        <v>13304.500000000002</v>
      </c>
      <c r="AR10" s="3821"/>
      <c r="AS10" s="3821">
        <f>+SUMIF(WRM!$C$7:$C$128,$D10,WRM!$AR$7:$AR$128)</f>
        <v>0</v>
      </c>
      <c r="AT10" s="3824"/>
      <c r="AU10" s="3822">
        <f t="shared" si="10"/>
        <v>13304.500000000002</v>
      </c>
      <c r="AV10" s="3821"/>
      <c r="AW10" s="3821">
        <f>+SUMIF(WRM!$C$7:$C$128,$D10,WRM!$AV$7:$AV$128)</f>
        <v>0</v>
      </c>
      <c r="AX10" s="3824"/>
      <c r="AY10" s="3822">
        <f t="shared" si="11"/>
        <v>13304.500000000002</v>
      </c>
      <c r="AZ10" s="3821"/>
      <c r="BA10" s="3821">
        <f>+SUMIF(WRM!$C$7:$C$128,$D10,WRM!$AZ$7:$AZ$128)</f>
        <v>0</v>
      </c>
      <c r="BB10" s="3953"/>
      <c r="BC10" s="3823">
        <f t="shared" si="12"/>
        <v>0</v>
      </c>
      <c r="BD10" s="3826"/>
      <c r="BE10" s="3827">
        <f t="shared" si="13"/>
        <v>0</v>
      </c>
      <c r="BF10" s="3824"/>
      <c r="BG10" s="3822">
        <f t="shared" si="14"/>
        <v>13304.500000000002</v>
      </c>
      <c r="BH10" s="23"/>
    </row>
    <row r="11" spans="3:60" ht="16.8" x14ac:dyDescent="0.3">
      <c r="C11" s="3819" t="s">
        <v>16</v>
      </c>
      <c r="D11" s="3820" t="s">
        <v>1214</v>
      </c>
      <c r="E11" s="6274"/>
      <c r="F11" s="3819"/>
      <c r="G11" s="3821">
        <f>+SUMIF(WRM!$C$7:$C$128,$D11,WRM!$F$7:$F$128)</f>
        <v>0</v>
      </c>
      <c r="H11" s="3821"/>
      <c r="I11" s="3821">
        <f>+SUMIF(WRM!$C$7:$C$128,$D11,WRM!$H$7:$H$128)</f>
        <v>0</v>
      </c>
      <c r="J11" s="3822"/>
      <c r="K11" s="3822">
        <f t="shared" si="1"/>
        <v>0</v>
      </c>
      <c r="L11" s="3821"/>
      <c r="M11" s="3821">
        <f>+SUMIF(WRM!$C$7:$C$128,$D11,WRM!$L$7:$L$128)</f>
        <v>5600</v>
      </c>
      <c r="N11" s="3823"/>
      <c r="O11" s="3823">
        <f t="shared" si="2"/>
        <v>5600</v>
      </c>
      <c r="P11" s="3821"/>
      <c r="Q11" s="3821">
        <f>+SUMIF(WRM!$C$7:$C$128,$D11,WRM!$P$7:$P$128)</f>
        <v>1705.6</v>
      </c>
      <c r="R11" s="3824"/>
      <c r="S11" s="3822">
        <f t="shared" si="3"/>
        <v>7305.6</v>
      </c>
      <c r="T11" s="3821"/>
      <c r="U11" s="3821">
        <f>+SUMIF(WRM!$C$7:$C$128,$D11,WRM!$T$7:$T$128)</f>
        <v>0</v>
      </c>
      <c r="V11" s="3824"/>
      <c r="W11" s="3822">
        <f t="shared" si="4"/>
        <v>7305.6</v>
      </c>
      <c r="X11" s="3825"/>
      <c r="Y11" s="3839">
        <f>+SUMIF(WRM!$C$7:$C$128,$D11,WRM!$X$7:$X$128)</f>
        <v>0</v>
      </c>
      <c r="Z11" s="3823"/>
      <c r="AA11" s="3823">
        <f t="shared" si="5"/>
        <v>1705.6</v>
      </c>
      <c r="AB11" s="3826"/>
      <c r="AC11" s="3827">
        <f t="shared" si="6"/>
        <v>7305.6</v>
      </c>
      <c r="AD11" s="3821"/>
      <c r="AE11" s="3839">
        <f>+SUMIF(WRM!$C$7:$C$128,$D11,WRM!$AD$7:$AD$128)</f>
        <v>0</v>
      </c>
      <c r="AF11" s="3824"/>
      <c r="AG11" s="3822">
        <f t="shared" si="7"/>
        <v>7305.6</v>
      </c>
      <c r="AH11" s="3821"/>
      <c r="AI11" s="3821">
        <f>+SUMIF(WRM!$C$7:$C$128,$D11,WRM!$AH$7:$AH$128)</f>
        <v>0</v>
      </c>
      <c r="AJ11" s="3824"/>
      <c r="AK11" s="3822">
        <f t="shared" si="8"/>
        <v>7305.6</v>
      </c>
      <c r="AL11" s="3821"/>
      <c r="AM11" s="3821">
        <f>+SUMIF(WRM!$C$7:$C$128,$D11,WRM!$AL$7:$AL$128)</f>
        <v>0</v>
      </c>
      <c r="AN11" s="3953"/>
      <c r="AO11" s="3823">
        <f t="shared" si="9"/>
        <v>0</v>
      </c>
      <c r="AP11" s="3824"/>
      <c r="AQ11" s="3822">
        <f t="shared" si="0"/>
        <v>7305.6</v>
      </c>
      <c r="AR11" s="3821"/>
      <c r="AS11" s="3821">
        <f>+SUMIF(WRM!$C$7:$C$128,$D11,WRM!$AR$7:$AR$128)</f>
        <v>0</v>
      </c>
      <c r="AT11" s="3824"/>
      <c r="AU11" s="3822">
        <f t="shared" si="10"/>
        <v>7305.6</v>
      </c>
      <c r="AV11" s="3821"/>
      <c r="AW11" s="3821">
        <f>+SUMIF(WRM!$C$7:$C$128,$D11,WRM!$AV$7:$AV$128)</f>
        <v>0</v>
      </c>
      <c r="AX11" s="3824"/>
      <c r="AY11" s="3822">
        <f t="shared" si="11"/>
        <v>7305.6</v>
      </c>
      <c r="AZ11" s="3821"/>
      <c r="BA11" s="3821">
        <f>+SUMIF(WRM!$C$7:$C$128,$D11,WRM!$AZ$7:$AZ$128)</f>
        <v>0</v>
      </c>
      <c r="BB11" s="3953"/>
      <c r="BC11" s="3823">
        <f t="shared" si="12"/>
        <v>0</v>
      </c>
      <c r="BD11" s="3826"/>
      <c r="BE11" s="3827">
        <f t="shared" si="13"/>
        <v>0</v>
      </c>
      <c r="BF11" s="3824"/>
      <c r="BG11" s="3822">
        <f t="shared" si="14"/>
        <v>7305.6</v>
      </c>
      <c r="BH11" s="23"/>
    </row>
    <row r="12" spans="3:60" ht="16.8" x14ac:dyDescent="0.3">
      <c r="C12" s="3819" t="s">
        <v>16</v>
      </c>
      <c r="D12" s="3820" t="s">
        <v>925</v>
      </c>
      <c r="E12" s="6274"/>
      <c r="F12" s="3819"/>
      <c r="G12" s="3821">
        <f>+SUMIF(WRM!$C$7:$C$128,$D12,WRM!$F$7:$F$128)</f>
        <v>207.05</v>
      </c>
      <c r="H12" s="3821"/>
      <c r="I12" s="3821">
        <f>+SUMIF(WRM!$C$7:$C$128,$D12,WRM!$H$7:$H$128)</f>
        <v>1373.5</v>
      </c>
      <c r="J12" s="3822"/>
      <c r="K12" s="3822">
        <f t="shared" si="1"/>
        <v>1580.55</v>
      </c>
      <c r="L12" s="3821"/>
      <c r="M12" s="3821">
        <f>+SUMIF(WRM!$C$7:$C$128,$D12,WRM!$L$7:$L$128)</f>
        <v>699.05000000000007</v>
      </c>
      <c r="N12" s="3823"/>
      <c r="O12" s="3823">
        <f t="shared" si="2"/>
        <v>2279.6</v>
      </c>
      <c r="P12" s="3821"/>
      <c r="Q12" s="3821">
        <f>+SUMIF(WRM!$C$7:$C$128,$D12,WRM!$P$7:$P$128)</f>
        <v>455.09999999999997</v>
      </c>
      <c r="R12" s="3824"/>
      <c r="S12" s="3822">
        <f t="shared" si="3"/>
        <v>2734.7</v>
      </c>
      <c r="T12" s="3821"/>
      <c r="U12" s="3821">
        <f>+SUMIF(WRM!$C$7:$C$128,$D12,WRM!$T$7:$T$128)</f>
        <v>1242.3</v>
      </c>
      <c r="V12" s="3824"/>
      <c r="W12" s="3822">
        <f t="shared" si="4"/>
        <v>3977</v>
      </c>
      <c r="X12" s="3825"/>
      <c r="Y12" s="3839">
        <f>+SUMIF(WRM!$C$7:$C$128,$D12,WRM!$X$7:$X$128)</f>
        <v>742.1</v>
      </c>
      <c r="Z12" s="3823"/>
      <c r="AA12" s="3823">
        <f t="shared" si="5"/>
        <v>2439.5</v>
      </c>
      <c r="AB12" s="3826"/>
      <c r="AC12" s="3827">
        <f t="shared" si="6"/>
        <v>4719.1000000000004</v>
      </c>
      <c r="AD12" s="3821"/>
      <c r="AE12" s="3839">
        <f>+SUMIF(WRM!$C$7:$C$128,$D12,WRM!$AD$7:$AD$128)</f>
        <v>0</v>
      </c>
      <c r="AF12" s="3824"/>
      <c r="AG12" s="3822">
        <f t="shared" si="7"/>
        <v>4719.1000000000004</v>
      </c>
      <c r="AH12" s="3821"/>
      <c r="AI12" s="3821">
        <f>+SUMIF(WRM!$C$7:$C$128,$D12,WRM!$AH$7:$AH$128)</f>
        <v>1869.6</v>
      </c>
      <c r="AJ12" s="3824"/>
      <c r="AK12" s="3822">
        <f t="shared" si="8"/>
        <v>6588.7000000000007</v>
      </c>
      <c r="AL12" s="3821"/>
      <c r="AM12" s="3821">
        <f>+SUMIF(WRM!$C$7:$C$128,$D12,WRM!$AL$7:$AL$128)</f>
        <v>399.75</v>
      </c>
      <c r="AN12" s="3953"/>
      <c r="AO12" s="3823">
        <f t="shared" si="9"/>
        <v>2269.35</v>
      </c>
      <c r="AP12" s="3824"/>
      <c r="AQ12" s="3822">
        <f t="shared" si="0"/>
        <v>6988.4500000000007</v>
      </c>
      <c r="AR12" s="3821"/>
      <c r="AS12" s="3821">
        <f>+SUMIF(WRM!$C$7:$C$128,$D12,WRM!$AR$7:$AR$128)</f>
        <v>655.99999999999989</v>
      </c>
      <c r="AT12" s="3824"/>
      <c r="AU12" s="3822">
        <f t="shared" si="10"/>
        <v>7644.4500000000007</v>
      </c>
      <c r="AV12" s="3821"/>
      <c r="AW12" s="3821">
        <f>+SUMIF(WRM!$C$7:$C$128,$D12,WRM!$AV$7:$AV$128)</f>
        <v>979.90000000000009</v>
      </c>
      <c r="AX12" s="3824"/>
      <c r="AY12" s="3822">
        <f t="shared" si="11"/>
        <v>8624.35</v>
      </c>
      <c r="AZ12" s="3821"/>
      <c r="BA12" s="3821">
        <f>+SUMIF(WRM!$C$7:$C$128,$D12,WRM!$AZ$7:$AZ$128)</f>
        <v>186.55</v>
      </c>
      <c r="BB12" s="3953"/>
      <c r="BC12" s="3823">
        <f t="shared" si="12"/>
        <v>1822.45</v>
      </c>
      <c r="BD12" s="3826"/>
      <c r="BE12" s="3827">
        <f t="shared" si="13"/>
        <v>4091.8</v>
      </c>
      <c r="BF12" s="3824"/>
      <c r="BG12" s="3822">
        <f t="shared" si="14"/>
        <v>8810.9</v>
      </c>
      <c r="BH12" s="23"/>
    </row>
    <row r="13" spans="3:60" ht="16.8" x14ac:dyDescent="0.3">
      <c r="C13" s="3819" t="s">
        <v>16</v>
      </c>
      <c r="D13" s="3820" t="s">
        <v>1535</v>
      </c>
      <c r="E13" s="6274"/>
      <c r="F13" s="3819"/>
      <c r="G13" s="3821">
        <f>+SUMIF(WRM!$C$7:$C$128,$D13,WRM!$F$7:$F$128)</f>
        <v>0</v>
      </c>
      <c r="H13" s="3821"/>
      <c r="I13" s="3821">
        <f>+SUMIF(WRM!$C$7:$C$128,$D13,WRM!$H$7:$H$128)</f>
        <v>0</v>
      </c>
      <c r="J13" s="3822"/>
      <c r="K13" s="3822">
        <f t="shared" si="1"/>
        <v>0</v>
      </c>
      <c r="L13" s="3821"/>
      <c r="M13" s="3821">
        <f>+SUMIF(WRM!$C$7:$C$128,$D13,WRM!$L$7:$L$128)</f>
        <v>0</v>
      </c>
      <c r="N13" s="3823"/>
      <c r="O13" s="3823">
        <f t="shared" si="2"/>
        <v>0</v>
      </c>
      <c r="P13" s="3821"/>
      <c r="Q13" s="3821">
        <f>+SUMIF(WRM!$C$7:$C$128,$D13,WRM!$P$7:$P$128)</f>
        <v>0</v>
      </c>
      <c r="R13" s="3824"/>
      <c r="S13" s="3822">
        <f t="shared" si="3"/>
        <v>0</v>
      </c>
      <c r="T13" s="3821"/>
      <c r="U13" s="3821">
        <f>+SUMIF(WRM!$C$7:$C$128,$D13,WRM!$T$7:$T$128)</f>
        <v>0</v>
      </c>
      <c r="V13" s="3824"/>
      <c r="W13" s="3822">
        <f t="shared" si="4"/>
        <v>0</v>
      </c>
      <c r="X13" s="3825"/>
      <c r="Y13" s="3839">
        <f>+SUMIF(WRM!$C$7:$C$128,$D13,WRM!$X$7:$X$128)</f>
        <v>0</v>
      </c>
      <c r="Z13" s="3823"/>
      <c r="AA13" s="3823">
        <f t="shared" si="5"/>
        <v>0</v>
      </c>
      <c r="AB13" s="3826"/>
      <c r="AC13" s="3827">
        <f t="shared" si="6"/>
        <v>0</v>
      </c>
      <c r="AD13" s="3821"/>
      <c r="AE13" s="3839">
        <f>+SUMIF(WRM!$C$7:$C$128,$D13,WRM!$AD$7:$AD$128)</f>
        <v>0</v>
      </c>
      <c r="AF13" s="3824"/>
      <c r="AG13" s="3822">
        <f t="shared" si="7"/>
        <v>0</v>
      </c>
      <c r="AH13" s="3821"/>
      <c r="AI13" s="3821">
        <f>+SUMIF(WRM!$C$7:$C$128,$D13,WRM!$AH$7:$AH$128)</f>
        <v>0</v>
      </c>
      <c r="AJ13" s="3824"/>
      <c r="AK13" s="3822">
        <f t="shared" si="8"/>
        <v>0</v>
      </c>
      <c r="AL13" s="3821"/>
      <c r="AM13" s="3821">
        <f>+SUMIF(WRM!$C$7:$C$128,$D13,WRM!$AL$7:$AL$128)</f>
        <v>0</v>
      </c>
      <c r="AN13" s="3953"/>
      <c r="AO13" s="3823">
        <f t="shared" si="9"/>
        <v>0</v>
      </c>
      <c r="AP13" s="3824"/>
      <c r="AQ13" s="3822">
        <f t="shared" si="0"/>
        <v>0</v>
      </c>
      <c r="AR13" s="3821"/>
      <c r="AS13" s="3821">
        <f>+SUMIF(WRM!$C$7:$C$128,$D13,WRM!$AR$7:$AR$128)</f>
        <v>0</v>
      </c>
      <c r="AT13" s="3824"/>
      <c r="AU13" s="3822">
        <f t="shared" si="10"/>
        <v>0</v>
      </c>
      <c r="AV13" s="3821"/>
      <c r="AW13" s="3821">
        <f>+SUMIF(WRM!$C$7:$C$128,$D13,WRM!$AV$7:$AV$128)</f>
        <v>0</v>
      </c>
      <c r="AX13" s="3824"/>
      <c r="AY13" s="3822">
        <f t="shared" si="11"/>
        <v>0</v>
      </c>
      <c r="AZ13" s="3821"/>
      <c r="BA13" s="3821">
        <f>+SUMIF(WRM!$C$7:$C$128,$D13,WRM!$AZ$7:$AZ$128)</f>
        <v>0</v>
      </c>
      <c r="BB13" s="3953"/>
      <c r="BC13" s="3823">
        <f t="shared" si="12"/>
        <v>0</v>
      </c>
      <c r="BD13" s="3826"/>
      <c r="BE13" s="3827">
        <f t="shared" si="13"/>
        <v>0</v>
      </c>
      <c r="BF13" s="3824"/>
      <c r="BG13" s="3822">
        <f t="shared" si="14"/>
        <v>0</v>
      </c>
      <c r="BH13" s="23"/>
    </row>
    <row r="14" spans="3:60" ht="16.8" x14ac:dyDescent="0.3">
      <c r="C14" s="3828" t="s">
        <v>16</v>
      </c>
      <c r="D14" s="3829" t="s">
        <v>928</v>
      </c>
      <c r="E14" s="6274"/>
      <c r="F14" s="3828"/>
      <c r="G14" s="3821">
        <f>+SUMIF(WRM!$C$7:$C$128,$D14,WRM!$F$7:$F$128)</f>
        <v>0</v>
      </c>
      <c r="H14" s="3830"/>
      <c r="I14" s="3821">
        <f>+SUMIF(WRM!$C$7:$C$128,$D14,WRM!$H$7:$H$128)</f>
        <v>528.90000000000009</v>
      </c>
      <c r="J14" s="3832"/>
      <c r="K14" s="3822">
        <f t="shared" si="1"/>
        <v>528.90000000000009</v>
      </c>
      <c r="L14" s="3830"/>
      <c r="M14" s="3821">
        <f>+SUMIF(WRM!$C$7:$C$128,$D14,WRM!$L$7:$L$128)</f>
        <v>502.24999999999994</v>
      </c>
      <c r="N14" s="3831"/>
      <c r="O14" s="3823">
        <f t="shared" si="2"/>
        <v>1031.1500000000001</v>
      </c>
      <c r="P14" s="3830"/>
      <c r="Q14" s="3821">
        <f>+SUMIF(WRM!$C$7:$C$128,$D14,WRM!$P$7:$P$128)</f>
        <v>338.25</v>
      </c>
      <c r="R14" s="3824"/>
      <c r="S14" s="3822">
        <f t="shared" si="3"/>
        <v>1369.4</v>
      </c>
      <c r="T14" s="3830"/>
      <c r="U14" s="3821">
        <f>+SUMIF(WRM!$C$7:$C$128,$D14,WRM!$T$7:$T$128)</f>
        <v>338.25</v>
      </c>
      <c r="V14" s="3824"/>
      <c r="W14" s="3822">
        <f t="shared" si="4"/>
        <v>1707.65</v>
      </c>
      <c r="X14" s="3825"/>
      <c r="Y14" s="3839">
        <f>+SUMIF(WRM!$C$7:$C$128,$D14,WRM!$X$7:$X$128)</f>
        <v>319.8</v>
      </c>
      <c r="Z14" s="3831"/>
      <c r="AA14" s="3823">
        <f t="shared" si="5"/>
        <v>996.3</v>
      </c>
      <c r="AB14" s="3826"/>
      <c r="AC14" s="3827">
        <f t="shared" si="6"/>
        <v>2027.45</v>
      </c>
      <c r="AD14" s="3830"/>
      <c r="AE14" s="3839">
        <f>+SUMIF(WRM!$C$7:$C$128,$D14,WRM!$AD$7:$AD$128)</f>
        <v>0</v>
      </c>
      <c r="AF14" s="3824"/>
      <c r="AG14" s="3822">
        <f t="shared" si="7"/>
        <v>2027.45</v>
      </c>
      <c r="AH14" s="3830"/>
      <c r="AI14" s="3821">
        <f>+SUMIF(WRM!$C$7:$C$128,$D14,WRM!$AH$7:$AH$128)</f>
        <v>0</v>
      </c>
      <c r="AJ14" s="3824"/>
      <c r="AK14" s="3822">
        <f t="shared" si="8"/>
        <v>2027.45</v>
      </c>
      <c r="AL14" s="3830"/>
      <c r="AM14" s="3821">
        <f>+SUMIF(WRM!$C$7:$C$128,$D14,WRM!$AL$7:$AL$128)</f>
        <v>709.30000000000007</v>
      </c>
      <c r="AN14" s="3953"/>
      <c r="AO14" s="3823">
        <f t="shared" si="9"/>
        <v>709.30000000000007</v>
      </c>
      <c r="AP14" s="3824"/>
      <c r="AQ14" s="3822">
        <f t="shared" si="0"/>
        <v>2736.75</v>
      </c>
      <c r="AR14" s="3830"/>
      <c r="AS14" s="3821">
        <f>+SUMIF(WRM!$C$7:$C$128,$D14,WRM!$AR$7:$AR$128)</f>
        <v>699.05</v>
      </c>
      <c r="AT14" s="3824"/>
      <c r="AU14" s="3822">
        <f t="shared" si="10"/>
        <v>3435.8</v>
      </c>
      <c r="AV14" s="3830"/>
      <c r="AW14" s="3821">
        <f>+SUMIF(WRM!$C$7:$C$128,$D14,WRM!$AV$7:$AV$128)</f>
        <v>0</v>
      </c>
      <c r="AX14" s="3824"/>
      <c r="AY14" s="3822">
        <f t="shared" si="11"/>
        <v>3435.8</v>
      </c>
      <c r="AZ14" s="3830"/>
      <c r="BA14" s="3821">
        <f>+SUMIF(WRM!$C$7:$C$128,$D14,WRM!$AZ$7:$AZ$128)</f>
        <v>120.95</v>
      </c>
      <c r="BB14" s="3953"/>
      <c r="BC14" s="3823">
        <f t="shared" si="12"/>
        <v>820</v>
      </c>
      <c r="BD14" s="3826"/>
      <c r="BE14" s="3827">
        <f t="shared" si="13"/>
        <v>1529.3000000000002</v>
      </c>
      <c r="BF14" s="3824"/>
      <c r="BG14" s="3822">
        <f t="shared" si="14"/>
        <v>3556.75</v>
      </c>
      <c r="BH14" s="23"/>
    </row>
    <row r="15" spans="3:60" ht="16.8" x14ac:dyDescent="0.3">
      <c r="C15" s="3819" t="s">
        <v>16</v>
      </c>
      <c r="D15" s="3820" t="s">
        <v>927</v>
      </c>
      <c r="E15" s="6274"/>
      <c r="F15" s="3819"/>
      <c r="G15" s="3821">
        <f>+SUMIF(WRM!$C$7:$C$128,$D15,WRM!$F$7:$F$128)</f>
        <v>1576.4499999999998</v>
      </c>
      <c r="H15" s="3821"/>
      <c r="I15" s="3821">
        <f>+SUMIF(WRM!$C$7:$C$128,$D15,WRM!$H$7:$H$128)</f>
        <v>1580.55</v>
      </c>
      <c r="J15" s="3822"/>
      <c r="K15" s="3822">
        <f t="shared" si="1"/>
        <v>3157</v>
      </c>
      <c r="L15" s="3821"/>
      <c r="M15" s="3821">
        <f>+SUMIF(WRM!$C$7:$C$128,$D15,WRM!$L$7:$L$128)</f>
        <v>1012.7</v>
      </c>
      <c r="N15" s="3823"/>
      <c r="O15" s="3823">
        <f t="shared" si="2"/>
        <v>4169.7</v>
      </c>
      <c r="P15" s="3821"/>
      <c r="Q15" s="3821">
        <f>+SUMIF(WRM!$C$7:$C$128,$D15,WRM!$P$7:$P$128)</f>
        <v>1246.3999999999999</v>
      </c>
      <c r="R15" s="3824"/>
      <c r="S15" s="3822">
        <f t="shared" si="3"/>
        <v>5416.0999999999995</v>
      </c>
      <c r="T15" s="3821"/>
      <c r="U15" s="3821">
        <f>+SUMIF(WRM!$C$7:$C$128,$D15,WRM!$T$7:$T$128)</f>
        <v>1609.25</v>
      </c>
      <c r="V15" s="3824"/>
      <c r="W15" s="3822">
        <f t="shared" si="4"/>
        <v>7025.3499999999995</v>
      </c>
      <c r="X15" s="3825"/>
      <c r="Y15" s="3839">
        <f>+SUMIF(WRM!$C$7:$C$128,$D15,WRM!$X$7:$X$128)</f>
        <v>1783.5</v>
      </c>
      <c r="Z15" s="3823"/>
      <c r="AA15" s="3823">
        <f t="shared" si="5"/>
        <v>4639.1499999999996</v>
      </c>
      <c r="AB15" s="3826"/>
      <c r="AC15" s="3827">
        <f t="shared" si="6"/>
        <v>8808.8499999999985</v>
      </c>
      <c r="AD15" s="3821"/>
      <c r="AE15" s="3839">
        <f>+SUMIF(WRM!$C$7:$C$128,$D15,WRM!$AD$7:$AD$128)</f>
        <v>813.85</v>
      </c>
      <c r="AF15" s="3824"/>
      <c r="AG15" s="3822">
        <f t="shared" si="7"/>
        <v>9622.6999999999989</v>
      </c>
      <c r="AH15" s="3821"/>
      <c r="AI15" s="3821">
        <f>+SUMIF(WRM!$C$7:$C$128,$D15,WRM!$AH$7:$AH$128)</f>
        <v>1603.1000000000001</v>
      </c>
      <c r="AJ15" s="3824"/>
      <c r="AK15" s="3822">
        <f t="shared" si="8"/>
        <v>11225.8</v>
      </c>
      <c r="AL15" s="3821"/>
      <c r="AM15" s="3821">
        <f>+SUMIF(WRM!$C$7:$C$128,$D15,WRM!$AL$7:$AL$128)</f>
        <v>1227.9500000000003</v>
      </c>
      <c r="AN15" s="3953"/>
      <c r="AO15" s="3823">
        <f t="shared" si="9"/>
        <v>3644.9000000000005</v>
      </c>
      <c r="AP15" s="3824"/>
      <c r="AQ15" s="3822">
        <f t="shared" si="0"/>
        <v>12453.75</v>
      </c>
      <c r="AR15" s="3821"/>
      <c r="AS15" s="3821">
        <f>+SUMIF(WRM!$C$7:$C$128,$D15,WRM!$AR$7:$AR$128)</f>
        <v>2457.9500000000003</v>
      </c>
      <c r="AT15" s="3824"/>
      <c r="AU15" s="3822">
        <f t="shared" si="10"/>
        <v>14911.7</v>
      </c>
      <c r="AV15" s="3821"/>
      <c r="AW15" s="3821">
        <f>+SUMIF(WRM!$C$7:$C$128,$D15,WRM!$AV$7:$AV$128)</f>
        <v>1457.5500000000004</v>
      </c>
      <c r="AX15" s="3824"/>
      <c r="AY15" s="3822">
        <f t="shared" si="11"/>
        <v>16369.250000000002</v>
      </c>
      <c r="AZ15" s="3821"/>
      <c r="BA15" s="3821">
        <f>+SUMIF(WRM!$C$7:$C$128,$D15,WRM!$AZ$7:$AZ$128)</f>
        <v>1371.4499999999998</v>
      </c>
      <c r="BB15" s="3953"/>
      <c r="BC15" s="3823">
        <f t="shared" si="12"/>
        <v>5286.9500000000007</v>
      </c>
      <c r="BD15" s="3826"/>
      <c r="BE15" s="3827">
        <f t="shared" si="13"/>
        <v>8931.8500000000022</v>
      </c>
      <c r="BF15" s="3824"/>
      <c r="BG15" s="3822">
        <f t="shared" si="14"/>
        <v>17740.7</v>
      </c>
      <c r="BH15" s="23"/>
    </row>
    <row r="16" spans="3:60" ht="16.8" x14ac:dyDescent="0.3">
      <c r="C16" s="3819" t="s">
        <v>16</v>
      </c>
      <c r="D16" s="3820" t="s">
        <v>1085</v>
      </c>
      <c r="E16" s="6274"/>
      <c r="F16" s="3819"/>
      <c r="G16" s="3821">
        <f>+SUMIF(WRM!$C$7:$C$128,$D16,WRM!$F$7:$F$128)</f>
        <v>123</v>
      </c>
      <c r="H16" s="3821"/>
      <c r="I16" s="3821">
        <f>+SUMIF(WRM!$C$7:$C$128,$D16,WRM!$H$7:$H$128)</f>
        <v>662.15000000000009</v>
      </c>
      <c r="J16" s="3822"/>
      <c r="K16" s="3822">
        <f t="shared" si="1"/>
        <v>785.15000000000009</v>
      </c>
      <c r="L16" s="3821"/>
      <c r="M16" s="3821">
        <f>+SUMIF(WRM!$C$7:$C$128,$D16,WRM!$L$7:$L$128)</f>
        <v>0</v>
      </c>
      <c r="N16" s="3823"/>
      <c r="O16" s="3823">
        <f t="shared" si="2"/>
        <v>785.15000000000009</v>
      </c>
      <c r="P16" s="3821"/>
      <c r="Q16" s="3821">
        <f>+SUMIF(WRM!$C$7:$C$128,$D16,WRM!$P$7:$P$128)</f>
        <v>202.95</v>
      </c>
      <c r="R16" s="3824"/>
      <c r="S16" s="3822">
        <f t="shared" si="3"/>
        <v>988.10000000000014</v>
      </c>
      <c r="T16" s="3821"/>
      <c r="U16" s="3821">
        <f>+SUMIF(WRM!$C$7:$C$128,$D16,WRM!$T$7:$T$128)</f>
        <v>399.74999999999994</v>
      </c>
      <c r="V16" s="3824"/>
      <c r="W16" s="3822">
        <f t="shared" si="4"/>
        <v>1387.8500000000001</v>
      </c>
      <c r="X16" s="3825"/>
      <c r="Y16" s="3839">
        <f>+SUMIF(WRM!$C$7:$C$128,$D16,WRM!$X$7:$X$128)</f>
        <v>0</v>
      </c>
      <c r="Z16" s="3823"/>
      <c r="AA16" s="3823">
        <f t="shared" si="5"/>
        <v>602.69999999999993</v>
      </c>
      <c r="AB16" s="3826"/>
      <c r="AC16" s="3827">
        <f t="shared" si="6"/>
        <v>1387.85</v>
      </c>
      <c r="AD16" s="3821"/>
      <c r="AE16" s="3839">
        <f>+SUMIF(WRM!$C$7:$C$128,$D16,WRM!$AD$7:$AD$128)</f>
        <v>0</v>
      </c>
      <c r="AF16" s="3824"/>
      <c r="AG16" s="3822">
        <f t="shared" si="7"/>
        <v>1387.85</v>
      </c>
      <c r="AH16" s="3821"/>
      <c r="AI16" s="3821">
        <f>+SUMIF(WRM!$C$7:$C$128,$D16,WRM!$AH$7:$AH$128)</f>
        <v>0</v>
      </c>
      <c r="AJ16" s="3824"/>
      <c r="AK16" s="3822">
        <f t="shared" si="8"/>
        <v>1387.85</v>
      </c>
      <c r="AL16" s="3821"/>
      <c r="AM16" s="3821">
        <f>+SUMIF(WRM!$C$7:$C$128,$D16,WRM!$AL$7:$AL$128)</f>
        <v>340.3</v>
      </c>
      <c r="AN16" s="3953"/>
      <c r="AO16" s="3823">
        <f t="shared" si="9"/>
        <v>340.3</v>
      </c>
      <c r="AP16" s="3824"/>
      <c r="AQ16" s="3822">
        <f t="shared" si="0"/>
        <v>1728.1499999999999</v>
      </c>
      <c r="AR16" s="3821"/>
      <c r="AS16" s="3821">
        <f>+SUMIF(WRM!$C$7:$C$128,$D16,WRM!$AR$7:$AR$128)</f>
        <v>594.5</v>
      </c>
      <c r="AT16" s="3824"/>
      <c r="AU16" s="3822">
        <f t="shared" si="10"/>
        <v>2322.6499999999996</v>
      </c>
      <c r="AV16" s="3821"/>
      <c r="AW16" s="3821">
        <f>+SUMIF(WRM!$C$7:$C$128,$D16,WRM!$AV$7:$AV$128)</f>
        <v>291.10000000000002</v>
      </c>
      <c r="AX16" s="3824"/>
      <c r="AY16" s="3822">
        <f t="shared" si="11"/>
        <v>2613.7499999999995</v>
      </c>
      <c r="AZ16" s="3821"/>
      <c r="BA16" s="3821">
        <f>+SUMIF(WRM!$C$7:$C$128,$D16,WRM!$AZ$7:$AZ$128)</f>
        <v>0</v>
      </c>
      <c r="BB16" s="3953"/>
      <c r="BC16" s="3823">
        <f t="shared" si="12"/>
        <v>885.6</v>
      </c>
      <c r="BD16" s="3826"/>
      <c r="BE16" s="3827">
        <f t="shared" si="13"/>
        <v>1225.9000000000001</v>
      </c>
      <c r="BF16" s="3824"/>
      <c r="BG16" s="3822">
        <f t="shared" si="14"/>
        <v>2613.7499999999995</v>
      </c>
      <c r="BH16" s="23"/>
    </row>
    <row r="17" spans="3:60" ht="16.8" x14ac:dyDescent="0.3">
      <c r="C17" s="3819" t="s">
        <v>16</v>
      </c>
      <c r="D17" s="3820" t="s">
        <v>929</v>
      </c>
      <c r="E17" s="6274"/>
      <c r="F17" s="3819"/>
      <c r="G17" s="3821">
        <f>+SUMIF(WRM!$C$7:$C$128,$D17,WRM!$F$7:$F$128)</f>
        <v>1970.0499999999997</v>
      </c>
      <c r="H17" s="3821"/>
      <c r="I17" s="3821">
        <f>+SUMIF(WRM!$C$7:$C$128,$D17,WRM!$H$7:$H$128)</f>
        <v>1994.6499999999999</v>
      </c>
      <c r="J17" s="3822"/>
      <c r="K17" s="3822">
        <f t="shared" si="1"/>
        <v>3964.7</v>
      </c>
      <c r="L17" s="3821"/>
      <c r="M17" s="3821">
        <f>+SUMIF(WRM!$C$7:$C$128,$D17,WRM!$L$7:$L$128)</f>
        <v>1922.8999999999994</v>
      </c>
      <c r="N17" s="3823"/>
      <c r="O17" s="3823">
        <f t="shared" si="2"/>
        <v>5887.5999999999995</v>
      </c>
      <c r="P17" s="3821"/>
      <c r="Q17" s="3821">
        <f>+SUMIF(WRM!$C$7:$C$128,$D17,WRM!$P$7:$P$128)</f>
        <v>1215.6499999999999</v>
      </c>
      <c r="R17" s="3824"/>
      <c r="S17" s="3822">
        <f t="shared" si="3"/>
        <v>7103.2499999999991</v>
      </c>
      <c r="T17" s="3821"/>
      <c r="U17" s="3821">
        <f>+SUMIF(WRM!$C$7:$C$128,$D17,WRM!$T$7:$T$128)</f>
        <v>2285.7500000000005</v>
      </c>
      <c r="V17" s="3824"/>
      <c r="W17" s="3822">
        <f t="shared" si="4"/>
        <v>9389</v>
      </c>
      <c r="X17" s="3825"/>
      <c r="Y17" s="3839">
        <f>+SUMIF(WRM!$C$7:$C$128,$D17,WRM!$X$7:$X$128)</f>
        <v>1029.0999999999999</v>
      </c>
      <c r="Z17" s="3823"/>
      <c r="AA17" s="3823">
        <f t="shared" si="5"/>
        <v>4530.5</v>
      </c>
      <c r="AB17" s="3826"/>
      <c r="AC17" s="3827">
        <f t="shared" si="6"/>
        <v>10418.099999999999</v>
      </c>
      <c r="AD17" s="3821"/>
      <c r="AE17" s="3839">
        <f>+SUMIF(WRM!$C$7:$C$128,$D17,WRM!$AD$7:$AD$128)</f>
        <v>861.00000000000023</v>
      </c>
      <c r="AF17" s="3824"/>
      <c r="AG17" s="3822">
        <f t="shared" si="7"/>
        <v>11279.099999999999</v>
      </c>
      <c r="AH17" s="3821"/>
      <c r="AI17" s="3821">
        <f>+SUMIF(WRM!$C$7:$C$128,$D17,WRM!$AH$7:$AH$128)</f>
        <v>2410.8000000000002</v>
      </c>
      <c r="AJ17" s="3824"/>
      <c r="AK17" s="3822">
        <f t="shared" si="8"/>
        <v>13689.899999999998</v>
      </c>
      <c r="AL17" s="3821"/>
      <c r="AM17" s="3821">
        <f>+SUMIF(WRM!$C$7:$C$128,$D17,WRM!$AL$7:$AL$128)</f>
        <v>711.34999999999991</v>
      </c>
      <c r="AN17" s="3953"/>
      <c r="AO17" s="3823">
        <f t="shared" si="9"/>
        <v>3983.15</v>
      </c>
      <c r="AP17" s="3824"/>
      <c r="AQ17" s="3822">
        <f t="shared" si="0"/>
        <v>14401.249999999998</v>
      </c>
      <c r="AR17" s="3821"/>
      <c r="AS17" s="3821">
        <f>+SUMIF(WRM!$C$7:$C$128,$D17,WRM!$AR$7:$AR$128)</f>
        <v>2103.3000000000002</v>
      </c>
      <c r="AT17" s="3824"/>
      <c r="AU17" s="3822">
        <f t="shared" si="10"/>
        <v>16504.55</v>
      </c>
      <c r="AV17" s="3821"/>
      <c r="AW17" s="3821">
        <f>+SUMIF(WRM!$C$7:$C$128,$D17,WRM!$AV$7:$AV$128)</f>
        <v>1033.1999999999998</v>
      </c>
      <c r="AX17" s="3824"/>
      <c r="AY17" s="3822">
        <f t="shared" si="11"/>
        <v>17537.75</v>
      </c>
      <c r="AZ17" s="3821"/>
      <c r="BA17" s="3821">
        <f>+SUMIF(WRM!$C$7:$C$128,$D17,WRM!$AZ$7:$AZ$128)</f>
        <v>2339.0499999999997</v>
      </c>
      <c r="BB17" s="3953"/>
      <c r="BC17" s="3823">
        <f t="shared" si="12"/>
        <v>5475.5499999999993</v>
      </c>
      <c r="BD17" s="3826"/>
      <c r="BE17" s="3827">
        <f t="shared" si="13"/>
        <v>9458.6999999999989</v>
      </c>
      <c r="BF17" s="3824"/>
      <c r="BG17" s="3822">
        <f t="shared" si="14"/>
        <v>19876.8</v>
      </c>
      <c r="BH17" s="23"/>
    </row>
    <row r="18" spans="3:60" ht="16.8" x14ac:dyDescent="0.3">
      <c r="C18" s="3819" t="s">
        <v>16</v>
      </c>
      <c r="D18" s="3820" t="s">
        <v>1089</v>
      </c>
      <c r="E18" s="6274"/>
      <c r="F18" s="3819"/>
      <c r="G18" s="3821">
        <f>+SUMIF(WRM!$C$7:$C$128,$D18,WRM!$F$7:$F$128)</f>
        <v>0</v>
      </c>
      <c r="H18" s="3821"/>
      <c r="I18" s="3821">
        <f>+SUMIF(WRM!$C$7:$C$128,$D18,WRM!$H$7:$H$128)</f>
        <v>0</v>
      </c>
      <c r="J18" s="3822"/>
      <c r="K18" s="3822">
        <f t="shared" si="1"/>
        <v>0</v>
      </c>
      <c r="L18" s="3821"/>
      <c r="M18" s="3821">
        <f>+SUMIF(WRM!$C$7:$C$128,$D18,WRM!$L$7:$L$128)</f>
        <v>98.4</v>
      </c>
      <c r="N18" s="3823"/>
      <c r="O18" s="3823">
        <f t="shared" si="2"/>
        <v>98.4</v>
      </c>
      <c r="P18" s="3821"/>
      <c r="Q18" s="3821">
        <f>+SUMIF(WRM!$C$7:$C$128,$D18,WRM!$P$7:$P$128)</f>
        <v>6.1499999999999995</v>
      </c>
      <c r="R18" s="3824"/>
      <c r="S18" s="3822">
        <f t="shared" si="3"/>
        <v>104.55000000000001</v>
      </c>
      <c r="T18" s="3821"/>
      <c r="U18" s="3821">
        <f>+SUMIF(WRM!$C$7:$C$128,$D18,WRM!$T$7:$T$128)</f>
        <v>6.15</v>
      </c>
      <c r="V18" s="3824"/>
      <c r="W18" s="3822">
        <f t="shared" si="4"/>
        <v>110.70000000000002</v>
      </c>
      <c r="X18" s="3825"/>
      <c r="Y18" s="3839">
        <f>+SUMIF(WRM!$C$7:$C$128,$D18,WRM!$X$7:$X$128)</f>
        <v>0</v>
      </c>
      <c r="Z18" s="3823"/>
      <c r="AA18" s="3823">
        <f t="shared" si="5"/>
        <v>12.3</v>
      </c>
      <c r="AB18" s="3826"/>
      <c r="AC18" s="3827">
        <f t="shared" si="6"/>
        <v>110.7</v>
      </c>
      <c r="AD18" s="3821"/>
      <c r="AE18" s="3839">
        <f>+SUMIF(WRM!$C$7:$C$128,$D18,WRM!$AD$7:$AD$128)</f>
        <v>94.3</v>
      </c>
      <c r="AF18" s="3824"/>
      <c r="AG18" s="3822">
        <f t="shared" si="7"/>
        <v>205</v>
      </c>
      <c r="AH18" s="3821"/>
      <c r="AI18" s="3821">
        <f>+SUMIF(WRM!$C$7:$C$128,$D18,WRM!$AH$7:$AH$128)</f>
        <v>2.0499999999999998</v>
      </c>
      <c r="AJ18" s="3824"/>
      <c r="AK18" s="3822">
        <f t="shared" si="8"/>
        <v>207.05</v>
      </c>
      <c r="AL18" s="3821"/>
      <c r="AM18" s="3821">
        <f>+SUMIF(WRM!$C$7:$C$128,$D18,WRM!$AL$7:$AL$128)</f>
        <v>92.25</v>
      </c>
      <c r="AN18" s="3953"/>
      <c r="AO18" s="3823">
        <f t="shared" si="9"/>
        <v>188.6</v>
      </c>
      <c r="AP18" s="3824"/>
      <c r="AQ18" s="3822">
        <f t="shared" si="0"/>
        <v>299.3</v>
      </c>
      <c r="AR18" s="3821"/>
      <c r="AS18" s="3821">
        <f>+SUMIF(WRM!$C$7:$C$128,$D18,WRM!$AR$7:$AR$128)</f>
        <v>0</v>
      </c>
      <c r="AT18" s="3824"/>
      <c r="AU18" s="3822">
        <f t="shared" si="10"/>
        <v>299.3</v>
      </c>
      <c r="AV18" s="3821"/>
      <c r="AW18" s="3821">
        <f>+SUMIF(WRM!$C$7:$C$128,$D18,WRM!$AV$7:$AV$128)</f>
        <v>225.5</v>
      </c>
      <c r="AX18" s="3824"/>
      <c r="AY18" s="3822">
        <f t="shared" si="11"/>
        <v>524.79999999999995</v>
      </c>
      <c r="AZ18" s="3821"/>
      <c r="BA18" s="3821">
        <f>+SUMIF(WRM!$C$7:$C$128,$D18,WRM!$AZ$7:$AZ$128)</f>
        <v>53.3</v>
      </c>
      <c r="BB18" s="3953"/>
      <c r="BC18" s="3823">
        <f t="shared" si="12"/>
        <v>278.8</v>
      </c>
      <c r="BD18" s="3826"/>
      <c r="BE18" s="3827">
        <f t="shared" si="13"/>
        <v>467.4</v>
      </c>
      <c r="BF18" s="3824"/>
      <c r="BG18" s="3822">
        <f t="shared" si="14"/>
        <v>578.09999999999991</v>
      </c>
      <c r="BH18" s="23"/>
    </row>
    <row r="19" spans="3:60" ht="16.8" x14ac:dyDescent="0.3">
      <c r="C19" s="3819" t="s">
        <v>16</v>
      </c>
      <c r="D19" s="3820" t="s">
        <v>930</v>
      </c>
      <c r="E19" s="6274"/>
      <c r="F19" s="3819"/>
      <c r="G19" s="3821">
        <f>+SUMIF(WRM!$C$7:$C$128,$D19,WRM!$F$7:$F$128)</f>
        <v>82</v>
      </c>
      <c r="H19" s="3821"/>
      <c r="I19" s="3821">
        <f>+SUMIF(WRM!$C$7:$C$128,$D19,WRM!$H$7:$H$128)</f>
        <v>0</v>
      </c>
      <c r="J19" s="3822"/>
      <c r="K19" s="3822">
        <f t="shared" si="1"/>
        <v>82</v>
      </c>
      <c r="L19" s="3821"/>
      <c r="M19" s="3821">
        <f>+SUMIF(WRM!$C$7:$C$128,$D19,WRM!$L$7:$L$128)</f>
        <v>0</v>
      </c>
      <c r="N19" s="3823"/>
      <c r="O19" s="3823">
        <f t="shared" si="2"/>
        <v>82</v>
      </c>
      <c r="P19" s="3821"/>
      <c r="Q19" s="3821">
        <f>+SUMIF(WRM!$C$7:$C$128,$D19,WRM!$P$7:$P$128)</f>
        <v>0</v>
      </c>
      <c r="R19" s="3824"/>
      <c r="S19" s="3822">
        <f t="shared" si="3"/>
        <v>82</v>
      </c>
      <c r="T19" s="3821"/>
      <c r="U19" s="3821">
        <f>+SUMIF(WRM!$C$7:$C$128,$D19,WRM!$T$7:$T$128)</f>
        <v>0</v>
      </c>
      <c r="V19" s="3824"/>
      <c r="W19" s="3822">
        <f t="shared" si="4"/>
        <v>82</v>
      </c>
      <c r="X19" s="3825"/>
      <c r="Y19" s="3839">
        <f>+SUMIF(WRM!$C$7:$C$128,$D19,WRM!$X$7:$X$128)</f>
        <v>0</v>
      </c>
      <c r="Z19" s="3823"/>
      <c r="AA19" s="3823">
        <f t="shared" si="5"/>
        <v>0</v>
      </c>
      <c r="AB19" s="3826"/>
      <c r="AC19" s="3827">
        <f t="shared" si="6"/>
        <v>82</v>
      </c>
      <c r="AD19" s="3821"/>
      <c r="AE19" s="3839">
        <f>+SUMIF(WRM!$C$7:$C$128,$D19,WRM!$AD$7:$AD$128)</f>
        <v>0</v>
      </c>
      <c r="AF19" s="3824"/>
      <c r="AG19" s="3822">
        <f t="shared" si="7"/>
        <v>82</v>
      </c>
      <c r="AH19" s="3821"/>
      <c r="AI19" s="3821">
        <f>+SUMIF(WRM!$C$7:$C$128,$D19,WRM!$AH$7:$AH$128)</f>
        <v>0</v>
      </c>
      <c r="AJ19" s="3824"/>
      <c r="AK19" s="3822">
        <f t="shared" si="8"/>
        <v>82</v>
      </c>
      <c r="AL19" s="3821"/>
      <c r="AM19" s="3821">
        <f>+SUMIF(WRM!$C$7:$C$128,$D19,WRM!$AL$7:$AL$128)</f>
        <v>82</v>
      </c>
      <c r="AN19" s="3953"/>
      <c r="AO19" s="3823">
        <f t="shared" si="9"/>
        <v>82</v>
      </c>
      <c r="AP19" s="3824"/>
      <c r="AQ19" s="3822">
        <f t="shared" si="0"/>
        <v>164</v>
      </c>
      <c r="AR19" s="3821"/>
      <c r="AS19" s="3821">
        <f>+SUMIF(WRM!$C$7:$C$128,$D19,WRM!$AR$7:$AR$128)</f>
        <v>0</v>
      </c>
      <c r="AT19" s="3824"/>
      <c r="AU19" s="3822">
        <f t="shared" si="10"/>
        <v>164</v>
      </c>
      <c r="AV19" s="3821"/>
      <c r="AW19" s="3821">
        <f>+SUMIF(WRM!$C$7:$C$128,$D19,WRM!$AV$7:$AV$128)</f>
        <v>375.15</v>
      </c>
      <c r="AX19" s="3824"/>
      <c r="AY19" s="3822">
        <f t="shared" si="11"/>
        <v>539.15</v>
      </c>
      <c r="AZ19" s="3821"/>
      <c r="BA19" s="3821">
        <f>+SUMIF(WRM!$C$7:$C$128,$D19,WRM!$AZ$7:$AZ$128)</f>
        <v>0</v>
      </c>
      <c r="BB19" s="3953"/>
      <c r="BC19" s="3823">
        <f t="shared" si="12"/>
        <v>375.15</v>
      </c>
      <c r="BD19" s="3826"/>
      <c r="BE19" s="3827">
        <f t="shared" si="13"/>
        <v>457.15</v>
      </c>
      <c r="BF19" s="3824"/>
      <c r="BG19" s="3822">
        <f t="shared" si="14"/>
        <v>539.15</v>
      </c>
      <c r="BH19" s="23"/>
    </row>
    <row r="20" spans="3:60" ht="16.8" x14ac:dyDescent="0.3">
      <c r="C20" s="3819" t="s">
        <v>16</v>
      </c>
      <c r="D20" s="3920" t="s">
        <v>1793</v>
      </c>
      <c r="E20" s="6274"/>
      <c r="F20" s="3908"/>
      <c r="G20" s="3821">
        <f>+SUMIF(WRM!$C$7:$C$128,$D20,WRM!$F$7:$F$128)</f>
        <v>0</v>
      </c>
      <c r="H20" s="3939"/>
      <c r="I20" s="3821">
        <f>+SUMIF(WRM!$C$7:$C$128,$D20,WRM!$H$7:$H$128)</f>
        <v>0</v>
      </c>
      <c r="J20" s="3910"/>
      <c r="K20" s="3822">
        <f t="shared" si="1"/>
        <v>0</v>
      </c>
      <c r="L20" s="3939"/>
      <c r="M20" s="3821">
        <f>+SUMIF(WRM!$C$7:$C$128,$D20,WRM!$L$7:$L$128)</f>
        <v>79.95</v>
      </c>
      <c r="N20" s="3911"/>
      <c r="O20" s="3823">
        <f t="shared" si="2"/>
        <v>79.95</v>
      </c>
      <c r="P20" s="3939"/>
      <c r="Q20" s="3821">
        <f>+SUMIF(WRM!$C$7:$C$128,$D20,WRM!$P$7:$P$128)</f>
        <v>0</v>
      </c>
      <c r="R20" s="3824"/>
      <c r="S20" s="3822">
        <f t="shared" si="3"/>
        <v>79.95</v>
      </c>
      <c r="T20" s="3939"/>
      <c r="U20" s="3821">
        <f>+SUMIF(WRM!$C$7:$C$128,$D20,WRM!$T$7:$T$128)</f>
        <v>0</v>
      </c>
      <c r="V20" s="3824"/>
      <c r="W20" s="3822">
        <f t="shared" si="4"/>
        <v>79.95</v>
      </c>
      <c r="X20" s="3940"/>
      <c r="Y20" s="3839">
        <f>+SUMIF(WRM!$C$7:$C$128,$D20,WRM!$X$7:$X$128)</f>
        <v>0</v>
      </c>
      <c r="Z20" s="3911"/>
      <c r="AA20" s="3823">
        <f t="shared" si="5"/>
        <v>0</v>
      </c>
      <c r="AB20" s="3912"/>
      <c r="AC20" s="3827">
        <f t="shared" si="6"/>
        <v>79.95</v>
      </c>
      <c r="AD20" s="3939"/>
      <c r="AE20" s="3839">
        <f>+SUMIF(WRM!$C$7:$C$128,$D20,WRM!$AD$7:$AD$128)</f>
        <v>0</v>
      </c>
      <c r="AF20" s="3824"/>
      <c r="AG20" s="3822">
        <f t="shared" si="7"/>
        <v>79.95</v>
      </c>
      <c r="AH20" s="3939"/>
      <c r="AI20" s="3821">
        <f>+SUMIF(WRM!$C$7:$C$128,$D20,WRM!$AH$7:$AH$128)</f>
        <v>0</v>
      </c>
      <c r="AJ20" s="3824"/>
      <c r="AK20" s="3822">
        <f t="shared" si="8"/>
        <v>79.95</v>
      </c>
      <c r="AL20" s="3939"/>
      <c r="AM20" s="3821">
        <f>+SUMIF(WRM!$C$7:$C$128,$D20,WRM!$AL$7:$AL$128)</f>
        <v>0</v>
      </c>
      <c r="AN20" s="3953"/>
      <c r="AO20" s="3823">
        <f t="shared" si="9"/>
        <v>0</v>
      </c>
      <c r="AP20" s="3824"/>
      <c r="AQ20" s="3822">
        <f t="shared" si="0"/>
        <v>79.95</v>
      </c>
      <c r="AR20" s="3939"/>
      <c r="AS20" s="3821">
        <f>+SUMIF(WRM!$C$7:$C$128,$D20,WRM!$AR$7:$AR$128)</f>
        <v>0</v>
      </c>
      <c r="AT20" s="3824"/>
      <c r="AU20" s="3822">
        <f t="shared" si="10"/>
        <v>79.95</v>
      </c>
      <c r="AV20" s="3939"/>
      <c r="AW20" s="3821">
        <f>+SUMIF(WRM!$C$7:$C$128,$D20,WRM!$AV$7:$AV$128)</f>
        <v>0</v>
      </c>
      <c r="AX20" s="3824"/>
      <c r="AY20" s="3822">
        <f t="shared" si="11"/>
        <v>79.95</v>
      </c>
      <c r="AZ20" s="3939"/>
      <c r="BA20" s="3821">
        <f>+SUMIF(WRM!$C$7:$C$128,$D20,WRM!$AZ$7:$AZ$128)</f>
        <v>0</v>
      </c>
      <c r="BB20" s="3953"/>
      <c r="BC20" s="3823">
        <f t="shared" si="12"/>
        <v>0</v>
      </c>
      <c r="BD20" s="3912"/>
      <c r="BE20" s="3827">
        <f t="shared" si="13"/>
        <v>0</v>
      </c>
      <c r="BF20" s="3824"/>
      <c r="BG20" s="3822">
        <f t="shared" si="14"/>
        <v>79.95</v>
      </c>
      <c r="BH20" s="23"/>
    </row>
    <row r="21" spans="3:60" ht="16.8" x14ac:dyDescent="0.3">
      <c r="C21" s="3819" t="s">
        <v>16</v>
      </c>
      <c r="D21" s="3920" t="s">
        <v>1794</v>
      </c>
      <c r="E21" s="6274"/>
      <c r="F21" s="3941"/>
      <c r="G21" s="3821">
        <f>+SUMIF(WRM!$C$7:$C$128,$D21,WRM!$F$7:$F$128)</f>
        <v>0</v>
      </c>
      <c r="H21" s="3942"/>
      <c r="I21" s="3821">
        <f>+SUMIF(WRM!$C$7:$C$128,$D21,WRM!$H$7:$H$128)</f>
        <v>0</v>
      </c>
      <c r="J21" s="3943"/>
      <c r="K21" s="3822">
        <f t="shared" si="1"/>
        <v>0</v>
      </c>
      <c r="L21" s="3942"/>
      <c r="M21" s="3821">
        <f>+SUMIF(WRM!$C$7:$C$128,$D21,WRM!$L$7:$L$128)</f>
        <v>434.6</v>
      </c>
      <c r="N21" s="3944"/>
      <c r="O21" s="3823">
        <f t="shared" si="2"/>
        <v>434.6</v>
      </c>
      <c r="P21" s="3942"/>
      <c r="Q21" s="3821">
        <f>+SUMIF(WRM!$C$7:$C$128,$D21,WRM!$P$7:$P$128)</f>
        <v>0</v>
      </c>
      <c r="R21" s="3824"/>
      <c r="S21" s="3822">
        <f t="shared" si="3"/>
        <v>434.6</v>
      </c>
      <c r="T21" s="3942"/>
      <c r="U21" s="3821">
        <f>+SUMIF(WRM!$C$7:$C$128,$D21,WRM!$T$7:$T$128)</f>
        <v>0</v>
      </c>
      <c r="V21" s="3824"/>
      <c r="W21" s="3822">
        <f t="shared" si="4"/>
        <v>434.6</v>
      </c>
      <c r="X21" s="3945"/>
      <c r="Y21" s="3839">
        <f>+SUMIF(WRM!$C$7:$C$128,$D21,WRM!$X$7:$X$128)</f>
        <v>0</v>
      </c>
      <c r="Z21" s="3944"/>
      <c r="AA21" s="3823">
        <f t="shared" si="5"/>
        <v>0</v>
      </c>
      <c r="AB21" s="3946"/>
      <c r="AC21" s="3827">
        <f t="shared" si="6"/>
        <v>434.6</v>
      </c>
      <c r="AD21" s="3942"/>
      <c r="AE21" s="3839">
        <f>+SUMIF(WRM!$C$7:$C$128,$D21,WRM!$AD$7:$AD$128)</f>
        <v>0</v>
      </c>
      <c r="AF21" s="3824"/>
      <c r="AG21" s="3822">
        <f t="shared" si="7"/>
        <v>434.6</v>
      </c>
      <c r="AH21" s="3942"/>
      <c r="AI21" s="3821">
        <f>+SUMIF(WRM!$C$7:$C$128,$D21,WRM!$AH$7:$AH$128)</f>
        <v>0</v>
      </c>
      <c r="AJ21" s="3824"/>
      <c r="AK21" s="3822">
        <f t="shared" si="8"/>
        <v>434.6</v>
      </c>
      <c r="AL21" s="3942"/>
      <c r="AM21" s="3821">
        <f>+SUMIF(WRM!$C$7:$C$128,$D21,WRM!$AL$7:$AL$128)</f>
        <v>0</v>
      </c>
      <c r="AN21" s="3953"/>
      <c r="AO21" s="3823">
        <f t="shared" si="9"/>
        <v>0</v>
      </c>
      <c r="AP21" s="3824"/>
      <c r="AQ21" s="3822">
        <f t="shared" si="0"/>
        <v>434.6</v>
      </c>
      <c r="AR21" s="3942"/>
      <c r="AS21" s="3821">
        <f>+SUMIF(WRM!$C$7:$C$128,$D21,WRM!$AR$7:$AR$128)</f>
        <v>0</v>
      </c>
      <c r="AT21" s="3824"/>
      <c r="AU21" s="3822">
        <f t="shared" si="10"/>
        <v>434.6</v>
      </c>
      <c r="AV21" s="3942"/>
      <c r="AW21" s="3821">
        <f>+SUMIF(WRM!$C$7:$C$128,$D21,WRM!$AV$7:$AV$128)</f>
        <v>0</v>
      </c>
      <c r="AX21" s="3824"/>
      <c r="AY21" s="3822">
        <f t="shared" si="11"/>
        <v>434.6</v>
      </c>
      <c r="AZ21" s="3942"/>
      <c r="BA21" s="3821">
        <f>+SUMIF(WRM!$C$7:$C$128,$D21,WRM!$AZ$7:$AZ$128)</f>
        <v>0</v>
      </c>
      <c r="BB21" s="3953"/>
      <c r="BC21" s="3823">
        <f t="shared" si="12"/>
        <v>0</v>
      </c>
      <c r="BD21" s="3946"/>
      <c r="BE21" s="3827">
        <f t="shared" si="13"/>
        <v>0</v>
      </c>
      <c r="BF21" s="3824"/>
      <c r="BG21" s="3822">
        <f t="shared" si="14"/>
        <v>434.6</v>
      </c>
      <c r="BH21" s="23"/>
    </row>
    <row r="22" spans="3:60" ht="16.8" x14ac:dyDescent="0.3">
      <c r="C22" s="3819" t="s">
        <v>16</v>
      </c>
      <c r="D22" s="3920" t="s">
        <v>1757</v>
      </c>
      <c r="E22" s="6274"/>
      <c r="F22" s="3908"/>
      <c r="G22" s="3821">
        <f>+SUMIF(WRM!$C$7:$C$128,$D22,WRM!$F$7:$F$128)</f>
        <v>0</v>
      </c>
      <c r="H22" s="3939"/>
      <c r="I22" s="3821">
        <f>+SUMIF(WRM!$C$7:$C$128,$D22,WRM!$H$7:$H$128)</f>
        <v>0</v>
      </c>
      <c r="J22" s="3910"/>
      <c r="K22" s="3822">
        <f t="shared" si="1"/>
        <v>0</v>
      </c>
      <c r="L22" s="3939"/>
      <c r="M22" s="3821">
        <f>+SUMIF(WRM!$C$7:$C$128,$D22,WRM!$L$7:$L$128)</f>
        <v>0</v>
      </c>
      <c r="N22" s="3911"/>
      <c r="O22" s="3823">
        <f t="shared" si="2"/>
        <v>0</v>
      </c>
      <c r="P22" s="3939"/>
      <c r="Q22" s="3821">
        <f>+SUMIF(WRM!$C$7:$C$128,$D22,WRM!$P$7:$P$128)</f>
        <v>0</v>
      </c>
      <c r="R22" s="3824"/>
      <c r="S22" s="3822">
        <f t="shared" si="3"/>
        <v>0</v>
      </c>
      <c r="T22" s="3939"/>
      <c r="U22" s="3821">
        <f>+SUMIF(WRM!$C$7:$C$128,$D22,WRM!$T$7:$T$128)</f>
        <v>0</v>
      </c>
      <c r="V22" s="3824"/>
      <c r="W22" s="3822">
        <f t="shared" si="4"/>
        <v>0</v>
      </c>
      <c r="X22" s="3940"/>
      <c r="Y22" s="3839">
        <f>+SUMIF(WRM!$C$7:$C$128,$D22,WRM!$X$7:$X$128)</f>
        <v>0</v>
      </c>
      <c r="Z22" s="3911"/>
      <c r="AA22" s="3823">
        <f t="shared" si="5"/>
        <v>0</v>
      </c>
      <c r="AB22" s="3912"/>
      <c r="AC22" s="3827">
        <f t="shared" si="6"/>
        <v>0</v>
      </c>
      <c r="AD22" s="3939"/>
      <c r="AE22" s="3839">
        <f>+SUMIF(WRM!$C$7:$C$128,$D22,WRM!$AD$7:$AD$128)</f>
        <v>0</v>
      </c>
      <c r="AF22" s="3824"/>
      <c r="AG22" s="3822">
        <f t="shared" si="7"/>
        <v>0</v>
      </c>
      <c r="AH22" s="3939"/>
      <c r="AI22" s="3821">
        <f>+SUMIF(WRM!$C$7:$C$128,$D22,WRM!$AH$7:$AH$128)</f>
        <v>0</v>
      </c>
      <c r="AJ22" s="3824"/>
      <c r="AK22" s="3822">
        <f t="shared" si="8"/>
        <v>0</v>
      </c>
      <c r="AL22" s="3939"/>
      <c r="AM22" s="3821">
        <f>+SUMIF(WRM!$C$7:$C$128,$D22,WRM!$AL$7:$AL$128)</f>
        <v>0</v>
      </c>
      <c r="AN22" s="3953"/>
      <c r="AO22" s="3823">
        <f t="shared" si="9"/>
        <v>0</v>
      </c>
      <c r="AP22" s="3824"/>
      <c r="AQ22" s="3822">
        <f t="shared" si="0"/>
        <v>0</v>
      </c>
      <c r="AR22" s="3939"/>
      <c r="AS22" s="3821">
        <f>+SUMIF(WRM!$C$7:$C$128,$D22,WRM!$AR$7:$AR$128)</f>
        <v>0</v>
      </c>
      <c r="AT22" s="3824"/>
      <c r="AU22" s="3822">
        <f t="shared" si="10"/>
        <v>0</v>
      </c>
      <c r="AV22" s="3939"/>
      <c r="AW22" s="3821">
        <f>+SUMIF(WRM!$C$7:$C$128,$D22,WRM!$AV$7:$AV$128)</f>
        <v>0</v>
      </c>
      <c r="AX22" s="3824"/>
      <c r="AY22" s="3822">
        <f t="shared" si="11"/>
        <v>0</v>
      </c>
      <c r="AZ22" s="3939"/>
      <c r="BA22" s="3821">
        <f>+SUMIF(WRM!$C$7:$C$128,$D22,WRM!$AZ$7:$AZ$128)</f>
        <v>0</v>
      </c>
      <c r="BB22" s="3953"/>
      <c r="BC22" s="3823">
        <f t="shared" si="12"/>
        <v>0</v>
      </c>
      <c r="BD22" s="3912"/>
      <c r="BE22" s="3827">
        <f t="shared" si="13"/>
        <v>0</v>
      </c>
      <c r="BF22" s="3824"/>
      <c r="BG22" s="3822">
        <f t="shared" si="14"/>
        <v>0</v>
      </c>
      <c r="BH22" s="23"/>
    </row>
    <row r="23" spans="3:60" ht="16.8" x14ac:dyDescent="0.3">
      <c r="C23" s="3819" t="s">
        <v>16</v>
      </c>
      <c r="D23" s="3820" t="s">
        <v>1519</v>
      </c>
      <c r="E23" s="6274"/>
      <c r="F23" s="3819"/>
      <c r="G23" s="3821">
        <f>+SUMIF(WRM!$C$7:$C$128,$D23,WRM!$F$7:$F$128)</f>
        <v>789.25</v>
      </c>
      <c r="H23" s="3821"/>
      <c r="I23" s="3821">
        <f>+SUMIF(WRM!$C$7:$C$128,$D23,WRM!$H$7:$H$128)</f>
        <v>459.20000000000005</v>
      </c>
      <c r="J23" s="3822"/>
      <c r="K23" s="3822">
        <f t="shared" si="1"/>
        <v>1248.45</v>
      </c>
      <c r="L23" s="3821"/>
      <c r="M23" s="3821">
        <f>+SUMIF(WRM!$C$7:$C$128,$D23,WRM!$L$7:$L$128)</f>
        <v>0</v>
      </c>
      <c r="N23" s="3823"/>
      <c r="O23" s="3823">
        <f t="shared" si="2"/>
        <v>1248.45</v>
      </c>
      <c r="P23" s="3821"/>
      <c r="Q23" s="3821">
        <f>+SUMIF(WRM!$C$7:$C$128,$D23,WRM!$P$7:$P$128)</f>
        <v>0</v>
      </c>
      <c r="R23" s="3824"/>
      <c r="S23" s="3822">
        <f t="shared" si="3"/>
        <v>1248.45</v>
      </c>
      <c r="T23" s="3821"/>
      <c r="U23" s="3821">
        <f>+SUMIF(WRM!$C$7:$C$128,$D23,WRM!$T$7:$T$128)</f>
        <v>0</v>
      </c>
      <c r="V23" s="3824"/>
      <c r="W23" s="3822">
        <f t="shared" si="4"/>
        <v>1248.45</v>
      </c>
      <c r="X23" s="3825"/>
      <c r="Y23" s="3839">
        <f>+SUMIF(WRM!$C$7:$C$128,$D23,WRM!$X$7:$X$128)</f>
        <v>0</v>
      </c>
      <c r="Z23" s="3823"/>
      <c r="AA23" s="3823">
        <f t="shared" si="5"/>
        <v>0</v>
      </c>
      <c r="AB23" s="3826"/>
      <c r="AC23" s="3827">
        <f t="shared" si="6"/>
        <v>1248.45</v>
      </c>
      <c r="AD23" s="3821"/>
      <c r="AE23" s="3839">
        <f>+SUMIF(WRM!$C$7:$C$128,$D23,WRM!$AD$7:$AD$128)</f>
        <v>0</v>
      </c>
      <c r="AF23" s="3824"/>
      <c r="AG23" s="3822">
        <f t="shared" si="7"/>
        <v>1248.45</v>
      </c>
      <c r="AH23" s="3821"/>
      <c r="AI23" s="3821">
        <f>+SUMIF(WRM!$C$7:$C$128,$D23,WRM!$AH$7:$AH$128)</f>
        <v>149.65</v>
      </c>
      <c r="AJ23" s="3824"/>
      <c r="AK23" s="3822">
        <f t="shared" si="8"/>
        <v>1398.1000000000001</v>
      </c>
      <c r="AL23" s="3821"/>
      <c r="AM23" s="3821">
        <f>+SUMIF(WRM!$C$7:$C$128,$D23,WRM!$AL$7:$AL$128)</f>
        <v>0</v>
      </c>
      <c r="AN23" s="3953"/>
      <c r="AO23" s="3823">
        <f t="shared" si="9"/>
        <v>149.65</v>
      </c>
      <c r="AP23" s="3824"/>
      <c r="AQ23" s="3822">
        <f t="shared" si="0"/>
        <v>1398.1000000000001</v>
      </c>
      <c r="AR23" s="3821"/>
      <c r="AS23" s="3821">
        <f>+SUMIF(WRM!$C$7:$C$128,$D23,WRM!$AR$7:$AR$128)</f>
        <v>512.5</v>
      </c>
      <c r="AT23" s="3824"/>
      <c r="AU23" s="3822">
        <f t="shared" si="10"/>
        <v>1910.6000000000001</v>
      </c>
      <c r="AV23" s="3821"/>
      <c r="AW23" s="3821">
        <f>+SUMIF(WRM!$C$7:$C$128,$D23,WRM!$AV$7:$AV$128)</f>
        <v>629.35</v>
      </c>
      <c r="AX23" s="3824"/>
      <c r="AY23" s="3822">
        <f t="shared" si="11"/>
        <v>2539.9500000000003</v>
      </c>
      <c r="AZ23" s="3821"/>
      <c r="BA23" s="3821">
        <f>+SUMIF(WRM!$C$7:$C$128,$D23,WRM!$AZ$7:$AZ$128)</f>
        <v>0</v>
      </c>
      <c r="BB23" s="3953"/>
      <c r="BC23" s="3823">
        <f t="shared" si="12"/>
        <v>1141.8499999999999</v>
      </c>
      <c r="BD23" s="3826"/>
      <c r="BE23" s="3827">
        <f t="shared" si="13"/>
        <v>1291.5</v>
      </c>
      <c r="BF23" s="3824"/>
      <c r="BG23" s="3822">
        <f t="shared" si="14"/>
        <v>2539.9500000000003</v>
      </c>
      <c r="BH23" s="23"/>
    </row>
    <row r="24" spans="3:60" ht="16.8" x14ac:dyDescent="0.3">
      <c r="C24" s="3819" t="s">
        <v>16</v>
      </c>
      <c r="D24" s="3820" t="s">
        <v>1090</v>
      </c>
      <c r="E24" s="6274"/>
      <c r="F24" s="3819"/>
      <c r="G24" s="3821">
        <f>+SUMIF(WRM!$C$7:$C$128,$D24,WRM!$F$7:$F$128)</f>
        <v>17759.149999999994</v>
      </c>
      <c r="H24" s="3821"/>
      <c r="I24" s="3821">
        <f>+SUMIF(WRM!$C$7:$C$128,$D24,WRM!$H$7:$H$128)</f>
        <v>0</v>
      </c>
      <c r="J24" s="3822"/>
      <c r="K24" s="3822">
        <f t="shared" si="1"/>
        <v>17759.149999999994</v>
      </c>
      <c r="L24" s="3821"/>
      <c r="M24" s="3821">
        <f>+SUMIF(WRM!$C$7:$C$128,$D24,WRM!$L$7:$L$128)</f>
        <v>6943.3499999999995</v>
      </c>
      <c r="N24" s="3823"/>
      <c r="O24" s="3823">
        <f t="shared" si="2"/>
        <v>24702.499999999993</v>
      </c>
      <c r="P24" s="3821"/>
      <c r="Q24" s="3821">
        <f>+SUMIF(WRM!$C$7:$C$128,$D24,WRM!$P$7:$P$128)</f>
        <v>6264.8</v>
      </c>
      <c r="R24" s="3824"/>
      <c r="S24" s="3822">
        <f t="shared" si="3"/>
        <v>30967.299999999992</v>
      </c>
      <c r="T24" s="3821"/>
      <c r="U24" s="3821">
        <f>+SUMIF(WRM!$C$7:$C$128,$D24,WRM!$T$7:$T$128)</f>
        <v>4844.1500000000005</v>
      </c>
      <c r="V24" s="3824"/>
      <c r="W24" s="3822">
        <f t="shared" si="4"/>
        <v>35811.44999999999</v>
      </c>
      <c r="X24" s="3825"/>
      <c r="Y24" s="3839">
        <f>+SUMIF(WRM!$C$7:$C$128,$D24,WRM!$X$7:$X$128)</f>
        <v>6642</v>
      </c>
      <c r="Z24" s="3823"/>
      <c r="AA24" s="3823">
        <f t="shared" si="5"/>
        <v>17750.95</v>
      </c>
      <c r="AB24" s="3826"/>
      <c r="AC24" s="3827">
        <f t="shared" si="6"/>
        <v>42453.45</v>
      </c>
      <c r="AD24" s="3821"/>
      <c r="AE24" s="3839">
        <f>+SUMIF(WRM!$C$7:$C$128,$D24,WRM!$AD$7:$AD$128)</f>
        <v>9739.5499999999993</v>
      </c>
      <c r="AF24" s="3824"/>
      <c r="AG24" s="3822">
        <f t="shared" si="7"/>
        <v>52193</v>
      </c>
      <c r="AH24" s="3821"/>
      <c r="AI24" s="3821">
        <f>+SUMIF(WRM!$C$7:$C$128,$D24,WRM!$AH$7:$AH$128)</f>
        <v>5760.5</v>
      </c>
      <c r="AJ24" s="3824"/>
      <c r="AK24" s="3822">
        <f t="shared" si="8"/>
        <v>57953.5</v>
      </c>
      <c r="AL24" s="3821"/>
      <c r="AM24" s="3821">
        <f>+SUMIF(WRM!$C$7:$C$128,$D24,WRM!$AL$7:$AL$128)</f>
        <v>8384.5</v>
      </c>
      <c r="AN24" s="3953"/>
      <c r="AO24" s="3823">
        <f t="shared" si="9"/>
        <v>23884.55</v>
      </c>
      <c r="AP24" s="3824"/>
      <c r="AQ24" s="3822">
        <f t="shared" si="0"/>
        <v>66338</v>
      </c>
      <c r="AR24" s="3821"/>
      <c r="AS24" s="3821">
        <f>+SUMIF(WRM!$C$7:$C$128,$D24,WRM!$AR$7:$AR$128)</f>
        <v>11320.100000000002</v>
      </c>
      <c r="AT24" s="3824"/>
      <c r="AU24" s="3822">
        <f t="shared" si="10"/>
        <v>77658.100000000006</v>
      </c>
      <c r="AV24" s="3821"/>
      <c r="AW24" s="3821">
        <f>+SUMIF(WRM!$C$7:$C$128,$D24,WRM!$AV$7:$AV$128)</f>
        <v>8419.35</v>
      </c>
      <c r="AX24" s="3824"/>
      <c r="AY24" s="3822">
        <f t="shared" si="11"/>
        <v>86077.450000000012</v>
      </c>
      <c r="AZ24" s="3821"/>
      <c r="BA24" s="3821">
        <f>+SUMIF(WRM!$C$7:$C$128,$D24,WRM!$AZ$7:$AZ$128)</f>
        <v>9930.1999999999916</v>
      </c>
      <c r="BB24" s="3953"/>
      <c r="BC24" s="3823">
        <f t="shared" si="12"/>
        <v>29669.649999999994</v>
      </c>
      <c r="BD24" s="3826"/>
      <c r="BE24" s="3827">
        <f t="shared" si="13"/>
        <v>53554.2</v>
      </c>
      <c r="BF24" s="3824"/>
      <c r="BG24" s="3822">
        <f t="shared" si="14"/>
        <v>96007.650000000009</v>
      </c>
      <c r="BH24" s="23"/>
    </row>
    <row r="25" spans="3:60" ht="16.8" x14ac:dyDescent="0.3">
      <c r="C25" s="3819" t="s">
        <v>16</v>
      </c>
      <c r="D25" s="3820" t="s">
        <v>833</v>
      </c>
      <c r="E25" s="6274"/>
      <c r="F25" s="3819"/>
      <c r="G25" s="3821">
        <f>+SUMIF(WRM!$C$7:$C$128,$D25,WRM!$F$7:$F$128)</f>
        <v>0</v>
      </c>
      <c r="H25" s="3821"/>
      <c r="I25" s="3821">
        <f>+SUMIF(WRM!$C$7:$C$128,$D25,WRM!$H$7:$H$128)</f>
        <v>1145.95</v>
      </c>
      <c r="J25" s="3822"/>
      <c r="K25" s="3822">
        <f t="shared" si="1"/>
        <v>1145.95</v>
      </c>
      <c r="L25" s="3821"/>
      <c r="M25" s="3821">
        <f>+SUMIF(WRM!$C$7:$C$128,$D25,WRM!$L$7:$L$128)</f>
        <v>508.40000000000003</v>
      </c>
      <c r="N25" s="3823"/>
      <c r="O25" s="3823">
        <f t="shared" si="2"/>
        <v>1654.3500000000001</v>
      </c>
      <c r="P25" s="3821"/>
      <c r="Q25" s="3821">
        <f>+SUMIF(WRM!$C$7:$C$128,$D25,WRM!$P$7:$P$128)</f>
        <v>0</v>
      </c>
      <c r="R25" s="3824"/>
      <c r="S25" s="3822">
        <f t="shared" si="3"/>
        <v>1654.3500000000001</v>
      </c>
      <c r="T25" s="3821"/>
      <c r="U25" s="3821">
        <f>+SUMIF(WRM!$C$7:$C$128,$D25,WRM!$T$7:$T$128)</f>
        <v>0</v>
      </c>
      <c r="V25" s="3824"/>
      <c r="W25" s="3822">
        <f t="shared" si="4"/>
        <v>1654.3500000000001</v>
      </c>
      <c r="X25" s="3825"/>
      <c r="Y25" s="3839">
        <f>+SUMIF(WRM!$C$7:$C$128,$D25,WRM!$X$7:$X$128)</f>
        <v>0</v>
      </c>
      <c r="Z25" s="3823"/>
      <c r="AA25" s="3823">
        <f t="shared" si="5"/>
        <v>0</v>
      </c>
      <c r="AB25" s="3826"/>
      <c r="AC25" s="3827">
        <f t="shared" si="6"/>
        <v>1654.3500000000001</v>
      </c>
      <c r="AD25" s="3821"/>
      <c r="AE25" s="3839">
        <f>+SUMIF(WRM!$C$7:$C$128,$D25,WRM!$AD$7:$AD$128)</f>
        <v>0</v>
      </c>
      <c r="AF25" s="3824"/>
      <c r="AG25" s="3822">
        <f t="shared" si="7"/>
        <v>1654.3500000000001</v>
      </c>
      <c r="AH25" s="3821"/>
      <c r="AI25" s="3821">
        <f>+SUMIF(WRM!$C$7:$C$128,$D25,WRM!$AH$7:$AH$128)</f>
        <v>166.04999999999998</v>
      </c>
      <c r="AJ25" s="3824"/>
      <c r="AK25" s="3822">
        <f t="shared" si="8"/>
        <v>1820.4</v>
      </c>
      <c r="AL25" s="3821"/>
      <c r="AM25" s="3821">
        <f>+SUMIF(WRM!$C$7:$C$128,$D25,WRM!$AL$7:$AL$128)</f>
        <v>0</v>
      </c>
      <c r="AN25" s="3953"/>
      <c r="AO25" s="3823">
        <f t="shared" si="9"/>
        <v>166.04999999999998</v>
      </c>
      <c r="AP25" s="3824"/>
      <c r="AQ25" s="3822">
        <f t="shared" si="0"/>
        <v>1820.4</v>
      </c>
      <c r="AR25" s="3821"/>
      <c r="AS25" s="3821">
        <f>+SUMIF(WRM!$C$7:$C$128,$D25,WRM!$AR$7:$AR$128)</f>
        <v>0</v>
      </c>
      <c r="AT25" s="3824"/>
      <c r="AU25" s="3822">
        <f t="shared" si="10"/>
        <v>1820.4</v>
      </c>
      <c r="AV25" s="3821"/>
      <c r="AW25" s="3821">
        <f>+SUMIF(WRM!$C$7:$C$128,$D25,WRM!$AV$7:$AV$128)</f>
        <v>379.25000000000006</v>
      </c>
      <c r="AX25" s="3824"/>
      <c r="AY25" s="3822">
        <f t="shared" si="11"/>
        <v>2199.65</v>
      </c>
      <c r="AZ25" s="3821"/>
      <c r="BA25" s="3821">
        <f>+SUMIF(WRM!$C$7:$C$128,$D25,WRM!$AZ$7:$AZ$128)</f>
        <v>373.1</v>
      </c>
      <c r="BB25" s="3953"/>
      <c r="BC25" s="3823">
        <f t="shared" si="12"/>
        <v>752.35000000000014</v>
      </c>
      <c r="BD25" s="3826"/>
      <c r="BE25" s="3827">
        <f t="shared" si="13"/>
        <v>918.40000000000009</v>
      </c>
      <c r="BF25" s="3824"/>
      <c r="BG25" s="3822">
        <f t="shared" si="14"/>
        <v>2572.75</v>
      </c>
      <c r="BH25" s="23"/>
    </row>
    <row r="26" spans="3:60" ht="16.8" x14ac:dyDescent="0.3">
      <c r="C26" s="3819" t="s">
        <v>16</v>
      </c>
      <c r="D26" s="3947" t="s">
        <v>1791</v>
      </c>
      <c r="E26" s="6274"/>
      <c r="F26" s="3941"/>
      <c r="G26" s="3821">
        <f>+SUMIF(WRM!$C$7:$C$128,$D26,WRM!$F$7:$F$128)</f>
        <v>0</v>
      </c>
      <c r="H26" s="3942"/>
      <c r="I26" s="3821">
        <f>+SUMIF(WRM!$C$7:$C$128,$D26,WRM!$H$7:$H$128)</f>
        <v>0</v>
      </c>
      <c r="J26" s="3943"/>
      <c r="K26" s="3822">
        <f t="shared" si="1"/>
        <v>0</v>
      </c>
      <c r="L26" s="3942"/>
      <c r="M26" s="3821">
        <f>+SUMIF(WRM!$C$7:$C$128,$D26,WRM!$L$7:$L$128)</f>
        <v>0</v>
      </c>
      <c r="N26" s="3944"/>
      <c r="O26" s="3823">
        <f t="shared" si="2"/>
        <v>0</v>
      </c>
      <c r="P26" s="3942"/>
      <c r="Q26" s="3821">
        <f>+SUMIF(WRM!$C$7:$C$128,$D26,WRM!$P$7:$P$128)</f>
        <v>0</v>
      </c>
      <c r="R26" s="3824"/>
      <c r="S26" s="3822">
        <f t="shared" si="3"/>
        <v>0</v>
      </c>
      <c r="T26" s="3942"/>
      <c r="U26" s="3821">
        <f>+SUMIF(WRM!$C$7:$C$128,$D26,WRM!$T$7:$T$128)</f>
        <v>0</v>
      </c>
      <c r="V26" s="3824"/>
      <c r="W26" s="3822">
        <f t="shared" si="4"/>
        <v>0</v>
      </c>
      <c r="X26" s="3945"/>
      <c r="Y26" s="3839">
        <f>+SUMIF(WRM!$C$7:$C$128,$D26,WRM!$X$7:$X$128)</f>
        <v>0</v>
      </c>
      <c r="Z26" s="3944"/>
      <c r="AA26" s="3823">
        <f t="shared" si="5"/>
        <v>0</v>
      </c>
      <c r="AB26" s="3946"/>
      <c r="AC26" s="3827">
        <f t="shared" si="6"/>
        <v>0</v>
      </c>
      <c r="AD26" s="3942"/>
      <c r="AE26" s="3839">
        <f>+SUMIF(WRM!$C$7:$C$128,$D26,WRM!$AD$7:$AD$128)</f>
        <v>0</v>
      </c>
      <c r="AF26" s="3824"/>
      <c r="AG26" s="3822">
        <f t="shared" si="7"/>
        <v>0</v>
      </c>
      <c r="AH26" s="3942"/>
      <c r="AI26" s="3821">
        <f>+SUMIF(WRM!$C$7:$C$128,$D26,WRM!$AH$7:$AH$128)</f>
        <v>0</v>
      </c>
      <c r="AJ26" s="3824"/>
      <c r="AK26" s="3822">
        <f t="shared" si="8"/>
        <v>0</v>
      </c>
      <c r="AL26" s="3942"/>
      <c r="AM26" s="3821">
        <f>+SUMIF(WRM!$C$7:$C$128,$D26,WRM!$AL$7:$AL$128)</f>
        <v>0</v>
      </c>
      <c r="AN26" s="3953"/>
      <c r="AO26" s="3823">
        <f t="shared" si="9"/>
        <v>0</v>
      </c>
      <c r="AP26" s="3824"/>
      <c r="AQ26" s="3822">
        <f t="shared" si="0"/>
        <v>0</v>
      </c>
      <c r="AR26" s="3942"/>
      <c r="AS26" s="3821">
        <f>+SUMIF(WRM!$C$7:$C$128,$D26,WRM!$AR$7:$AR$128)</f>
        <v>0</v>
      </c>
      <c r="AT26" s="3824"/>
      <c r="AU26" s="3822">
        <f t="shared" si="10"/>
        <v>0</v>
      </c>
      <c r="AV26" s="3942"/>
      <c r="AW26" s="3821">
        <f>+SUMIF(WRM!$C$7:$C$128,$D26,WRM!$AV$7:$AV$128)</f>
        <v>0</v>
      </c>
      <c r="AX26" s="3824"/>
      <c r="AY26" s="3822">
        <f t="shared" si="11"/>
        <v>0</v>
      </c>
      <c r="AZ26" s="3942"/>
      <c r="BA26" s="3821">
        <f>+SUMIF(WRM!$C$7:$C$128,$D26,WRM!$AZ$7:$AZ$128)</f>
        <v>0</v>
      </c>
      <c r="BB26" s="3953"/>
      <c r="BC26" s="3823">
        <f t="shared" si="12"/>
        <v>0</v>
      </c>
      <c r="BD26" s="3946"/>
      <c r="BE26" s="3827">
        <f t="shared" si="13"/>
        <v>0</v>
      </c>
      <c r="BF26" s="3824"/>
      <c r="BG26" s="3822">
        <f t="shared" si="14"/>
        <v>0</v>
      </c>
      <c r="BH26" s="23"/>
    </row>
    <row r="27" spans="3:60" ht="16.8" x14ac:dyDescent="0.3">
      <c r="C27" s="3819" t="s">
        <v>16</v>
      </c>
      <c r="D27" s="3820" t="s">
        <v>924</v>
      </c>
      <c r="E27" s="6274"/>
      <c r="F27" s="3819"/>
      <c r="G27" s="3821">
        <f>+SUMIF(WRM!$C$7:$C$128,$D27,WRM!$F$7:$F$128)</f>
        <v>0</v>
      </c>
      <c r="H27" s="3821"/>
      <c r="I27" s="3821">
        <f>+SUMIF(WRM!$C$7:$C$128,$D27,WRM!$H$7:$H$128)</f>
        <v>207.04999999999998</v>
      </c>
      <c r="J27" s="3822"/>
      <c r="K27" s="3822">
        <f t="shared" si="1"/>
        <v>207.04999999999998</v>
      </c>
      <c r="L27" s="3821"/>
      <c r="M27" s="3821">
        <f>+SUMIF(WRM!$C$7:$C$128,$D27,WRM!$L$7:$L$128)</f>
        <v>4950.75</v>
      </c>
      <c r="N27" s="3823"/>
      <c r="O27" s="3823">
        <f t="shared" si="2"/>
        <v>5157.8</v>
      </c>
      <c r="P27" s="3821"/>
      <c r="Q27" s="3821">
        <f>+SUMIF(WRM!$C$7:$C$128,$D27,WRM!$P$7:$P$128)</f>
        <v>9462.7999999999993</v>
      </c>
      <c r="R27" s="3824"/>
      <c r="S27" s="3822">
        <f t="shared" si="3"/>
        <v>14620.599999999999</v>
      </c>
      <c r="T27" s="3821"/>
      <c r="U27" s="3821">
        <f>+SUMIF(WRM!$C$7:$C$128,$D27,WRM!$T$7:$T$128)</f>
        <v>10547.25</v>
      </c>
      <c r="V27" s="3824"/>
      <c r="W27" s="3822">
        <f t="shared" si="4"/>
        <v>25167.85</v>
      </c>
      <c r="X27" s="3825"/>
      <c r="Y27" s="3839">
        <f>+SUMIF(WRM!$C$7:$C$128,$D27,WRM!$X$7:$X$128)</f>
        <v>10947</v>
      </c>
      <c r="Z27" s="3823"/>
      <c r="AA27" s="3823">
        <f t="shared" si="5"/>
        <v>30957.05</v>
      </c>
      <c r="AB27" s="3826"/>
      <c r="AC27" s="3827">
        <f t="shared" si="6"/>
        <v>36114.85</v>
      </c>
      <c r="AD27" s="3821"/>
      <c r="AE27" s="3839">
        <f>+SUMIF(WRM!$C$7:$C$128,$D27,WRM!$AD$7:$AD$128)</f>
        <v>7306.2000000000007</v>
      </c>
      <c r="AF27" s="3824"/>
      <c r="AG27" s="3822">
        <f t="shared" si="7"/>
        <v>43421.05</v>
      </c>
      <c r="AH27" s="3821"/>
      <c r="AI27" s="3821">
        <f>+SUMIF(WRM!$C$7:$C$128,$D27,WRM!$AH$7:$AH$128)</f>
        <v>7740.8</v>
      </c>
      <c r="AJ27" s="3824"/>
      <c r="AK27" s="3822">
        <f t="shared" si="8"/>
        <v>51161.850000000006</v>
      </c>
      <c r="AL27" s="3821"/>
      <c r="AM27" s="3821">
        <f>+SUMIF(WRM!$C$7:$C$128,$D27,WRM!$AL$7:$AL$128)</f>
        <v>8146.7</v>
      </c>
      <c r="AN27" s="3953"/>
      <c r="AO27" s="3823">
        <f t="shared" si="9"/>
        <v>23193.7</v>
      </c>
      <c r="AP27" s="3824"/>
      <c r="AQ27" s="3822">
        <f t="shared" si="0"/>
        <v>59308.55</v>
      </c>
      <c r="AR27" s="3821"/>
      <c r="AS27" s="3821">
        <f>+SUMIF(WRM!$C$7:$C$128,$D27,WRM!$AR$7:$AR$128)</f>
        <v>7150.4000000000096</v>
      </c>
      <c r="AT27" s="3824"/>
      <c r="AU27" s="3822">
        <f t="shared" si="10"/>
        <v>66458.950000000012</v>
      </c>
      <c r="AV27" s="3821"/>
      <c r="AW27" s="3821">
        <f>+SUMIF(WRM!$C$7:$C$128,$D27,WRM!$AV$7:$AV$128)</f>
        <v>8312.7500000000036</v>
      </c>
      <c r="AX27" s="3824"/>
      <c r="AY27" s="3822">
        <f t="shared" si="11"/>
        <v>74771.700000000012</v>
      </c>
      <c r="AZ27" s="3821"/>
      <c r="BA27" s="3821">
        <f>+SUMIF(WRM!$C$7:$C$128,$D27,WRM!$AZ$7:$AZ$128)</f>
        <v>0</v>
      </c>
      <c r="BB27" s="3953"/>
      <c r="BC27" s="3823">
        <f t="shared" si="12"/>
        <v>15463.150000000012</v>
      </c>
      <c r="BD27" s="3826"/>
      <c r="BE27" s="3827">
        <f t="shared" si="13"/>
        <v>38656.850000000013</v>
      </c>
      <c r="BF27" s="3824"/>
      <c r="BG27" s="3822">
        <f t="shared" si="14"/>
        <v>74771.700000000012</v>
      </c>
      <c r="BH27" s="23"/>
    </row>
    <row r="28" spans="3:60" ht="16.8" x14ac:dyDescent="0.3">
      <c r="C28" s="4530" t="s">
        <v>16</v>
      </c>
      <c r="D28" s="4531" t="s">
        <v>2023</v>
      </c>
      <c r="E28" s="6274"/>
      <c r="F28" s="4530"/>
      <c r="G28" s="3821">
        <f>+SUMIF(WRM!$C$7:$C$128,$D28,WRM!$F$7:$F$128)</f>
        <v>0</v>
      </c>
      <c r="H28" s="3821"/>
      <c r="I28" s="3821">
        <f>+SUMIF(WRM!$C$7:$C$128,$D28,WRM!$H$7:$H$128)</f>
        <v>0</v>
      </c>
      <c r="J28" s="3822"/>
      <c r="K28" s="3822">
        <f t="shared" si="1"/>
        <v>0</v>
      </c>
      <c r="L28" s="3821"/>
      <c r="M28" s="3821">
        <f>+SUMIF(WRM!$C$7:$C$128,$D28,WRM!$L$7:$L$128)</f>
        <v>0</v>
      </c>
      <c r="N28" s="3823"/>
      <c r="O28" s="3823">
        <f t="shared" ref="O28" si="15">+G28+I28+M28</f>
        <v>0</v>
      </c>
      <c r="P28" s="3821"/>
      <c r="Q28" s="3821">
        <f>+SUMIF(WRM!$C$7:$C$128,$D28,WRM!$P$7:$P$128)</f>
        <v>0</v>
      </c>
      <c r="R28" s="3824"/>
      <c r="S28" s="3822">
        <f t="shared" ref="S28" si="16">O28+Q28</f>
        <v>0</v>
      </c>
      <c r="T28" s="3821"/>
      <c r="U28" s="3821">
        <f>+SUMIF(WRM!$C$7:$C$128,$D28,WRM!$T$7:$T$128)</f>
        <v>0</v>
      </c>
      <c r="V28" s="3824"/>
      <c r="W28" s="3822">
        <f t="shared" ref="W28" si="17">S28+U28</f>
        <v>0</v>
      </c>
      <c r="X28" s="3825"/>
      <c r="Y28" s="3839">
        <f>+SUMIF(WRM!$C$7:$C$128,$D28,WRM!$X$7:$X$128)</f>
        <v>94.3</v>
      </c>
      <c r="Z28" s="3823"/>
      <c r="AA28" s="3823">
        <f t="shared" ref="AA28" si="18">Q28+U28+Y28</f>
        <v>94.3</v>
      </c>
      <c r="AB28" s="3826"/>
      <c r="AC28" s="3827">
        <f t="shared" ref="AC28" si="19">O28+AA28</f>
        <v>94.3</v>
      </c>
      <c r="AD28" s="3821"/>
      <c r="AE28" s="3839">
        <f>+SUMIF(WRM!$C$7:$C$128,$D28,WRM!$AD$7:$AD$128)</f>
        <v>0</v>
      </c>
      <c r="AF28" s="3824"/>
      <c r="AG28" s="3822">
        <f t="shared" ref="AG28" si="20">+AC28+AE28</f>
        <v>94.3</v>
      </c>
      <c r="AH28" s="3821"/>
      <c r="AI28" s="3821">
        <f>+SUMIF(WRM!$C$7:$C$128,$D28,WRM!$AH$7:$AH$128)</f>
        <v>0</v>
      </c>
      <c r="AJ28" s="3824"/>
      <c r="AK28" s="3822">
        <f t="shared" si="8"/>
        <v>94.3</v>
      </c>
      <c r="AL28" s="3821"/>
      <c r="AM28" s="3821">
        <f>+SUMIF(WRM!$C$7:$C$128,$D28,WRM!$AL$7:$AL$128)</f>
        <v>0</v>
      </c>
      <c r="AN28" s="3953"/>
      <c r="AO28" s="3823">
        <f t="shared" ref="AO28" si="21">AE28+AI28+AM28</f>
        <v>0</v>
      </c>
      <c r="AP28" s="3824"/>
      <c r="AQ28" s="3822">
        <f t="shared" ref="AQ28" si="22">+AK28+AM28</f>
        <v>94.3</v>
      </c>
      <c r="AR28" s="3821"/>
      <c r="AS28" s="3821">
        <f>+SUMIF(WRM!$C$7:$C$128,$D28,WRM!$AR$7:$AR$128)</f>
        <v>0</v>
      </c>
      <c r="AT28" s="3824"/>
      <c r="AU28" s="3822">
        <f t="shared" ref="AU28" si="23">+AQ28+AS28</f>
        <v>94.3</v>
      </c>
      <c r="AV28" s="3821"/>
      <c r="AW28" s="3821">
        <f>+SUMIF(WRM!$C$7:$C$128,$D28,WRM!$AV$7:$AV$128)</f>
        <v>0</v>
      </c>
      <c r="AX28" s="3824"/>
      <c r="AY28" s="3822">
        <f t="shared" ref="AY28" si="24">+AU28+AW28</f>
        <v>94.3</v>
      </c>
      <c r="AZ28" s="3821"/>
      <c r="BA28" s="3821">
        <f>+SUMIF(WRM!$C$7:$C$128,$D28,WRM!$AZ$7:$AZ$128)</f>
        <v>0</v>
      </c>
      <c r="BB28" s="3953"/>
      <c r="BC28" s="3823">
        <f t="shared" ref="BC28" si="25">AS28+AW28+BA28</f>
        <v>0</v>
      </c>
      <c r="BD28" s="3826"/>
      <c r="BE28" s="3827">
        <f t="shared" ref="BE28" si="26">AO28+BC28</f>
        <v>0</v>
      </c>
      <c r="BF28" s="3824"/>
      <c r="BG28" s="3822">
        <f t="shared" ref="BG28" si="27">+AY28+BA28</f>
        <v>94.3</v>
      </c>
      <c r="BH28" s="23"/>
    </row>
    <row r="29" spans="3:60" ht="16.8" x14ac:dyDescent="0.3">
      <c r="C29" s="3819" t="s">
        <v>16</v>
      </c>
      <c r="D29" s="3820" t="s">
        <v>926</v>
      </c>
      <c r="E29" s="6274"/>
      <c r="F29" s="3819"/>
      <c r="G29" s="3821">
        <f>+SUMIF(WRM!$C$7:$C$128,$D29,WRM!$F$7:$F$128)</f>
        <v>43.05</v>
      </c>
      <c r="H29" s="3821"/>
      <c r="I29" s="3821">
        <f>+SUMIF(WRM!$C$7:$C$128,$D29,WRM!$H$7:$H$128)</f>
        <v>3550.599999999999</v>
      </c>
      <c r="J29" s="3822"/>
      <c r="K29" s="3822">
        <f t="shared" si="1"/>
        <v>3593.6499999999992</v>
      </c>
      <c r="L29" s="3821"/>
      <c r="M29" s="3821">
        <f>+SUMIF(WRM!$C$7:$C$128,$D29,WRM!$L$7:$L$128)</f>
        <v>1920.8500000000001</v>
      </c>
      <c r="N29" s="3823"/>
      <c r="O29" s="3823">
        <f t="shared" si="2"/>
        <v>5514.4999999999991</v>
      </c>
      <c r="P29" s="3821"/>
      <c r="Q29" s="3821">
        <f>+SUMIF(WRM!$C$7:$C$128,$D29,WRM!$P$7:$P$128)</f>
        <v>2345.1999999999985</v>
      </c>
      <c r="R29" s="3824"/>
      <c r="S29" s="3822">
        <f t="shared" si="3"/>
        <v>7859.6999999999971</v>
      </c>
      <c r="T29" s="3821"/>
      <c r="U29" s="3821">
        <f>+SUMIF(WRM!$C$7:$C$128,$D29,WRM!$T$7:$T$128)</f>
        <v>1430.9</v>
      </c>
      <c r="V29" s="3824"/>
      <c r="W29" s="3822">
        <f t="shared" si="4"/>
        <v>9290.5999999999967</v>
      </c>
      <c r="X29" s="3825"/>
      <c r="Y29" s="3839">
        <f>+SUMIF(WRM!$C$7:$C$128,$D29,WRM!$X$7:$X$128)</f>
        <v>1492.4</v>
      </c>
      <c r="Z29" s="3823"/>
      <c r="AA29" s="3823">
        <f t="shared" si="5"/>
        <v>5268.4999999999982</v>
      </c>
      <c r="AB29" s="3826"/>
      <c r="AC29" s="3827">
        <f t="shared" si="6"/>
        <v>10782.999999999996</v>
      </c>
      <c r="AD29" s="3821"/>
      <c r="AE29" s="3839">
        <f>+SUMIF(WRM!$C$7:$C$128,$D29,WRM!$AD$7:$AD$128)</f>
        <v>535.04999999999995</v>
      </c>
      <c r="AF29" s="3824"/>
      <c r="AG29" s="3822">
        <f t="shared" si="7"/>
        <v>11318.049999999996</v>
      </c>
      <c r="AH29" s="3821"/>
      <c r="AI29" s="3821">
        <f>+SUMIF(WRM!$C$7:$C$128,$D29,WRM!$AH$7:$AH$128)</f>
        <v>2060.25</v>
      </c>
      <c r="AJ29" s="3824"/>
      <c r="AK29" s="3822">
        <f t="shared" si="8"/>
        <v>13378.299999999996</v>
      </c>
      <c r="AL29" s="3821"/>
      <c r="AM29" s="3821">
        <f>+SUMIF(WRM!$C$7:$C$128,$D29,WRM!$AL$7:$AL$128)</f>
        <v>4034.4</v>
      </c>
      <c r="AN29" s="3953"/>
      <c r="AO29" s="3823">
        <f t="shared" si="9"/>
        <v>6629.7000000000007</v>
      </c>
      <c r="AP29" s="3824"/>
      <c r="AQ29" s="3822">
        <f t="shared" si="0"/>
        <v>17412.699999999997</v>
      </c>
      <c r="AR29" s="3821"/>
      <c r="AS29" s="3821">
        <f>+SUMIF(WRM!$C$7:$C$128,$D29,WRM!$AR$7:$AR$128)</f>
        <v>994.25</v>
      </c>
      <c r="AT29" s="3824"/>
      <c r="AU29" s="3822">
        <f t="shared" si="10"/>
        <v>18406.949999999997</v>
      </c>
      <c r="AV29" s="3821"/>
      <c r="AW29" s="3821">
        <f>+SUMIF(WRM!$C$7:$C$128,$D29,WRM!$AV$7:$AV$128)</f>
        <v>1908.55</v>
      </c>
      <c r="AX29" s="3824"/>
      <c r="AY29" s="3822">
        <f t="shared" si="11"/>
        <v>20315.499999999996</v>
      </c>
      <c r="AZ29" s="3821"/>
      <c r="BA29" s="3821">
        <f>+SUMIF(WRM!$C$7:$C$128,$D29,WRM!$AZ$7:$AZ$128)</f>
        <v>1076.2499999999998</v>
      </c>
      <c r="BB29" s="3953"/>
      <c r="BC29" s="3823">
        <f t="shared" si="12"/>
        <v>3979.05</v>
      </c>
      <c r="BD29" s="3826"/>
      <c r="BE29" s="3827">
        <f t="shared" si="13"/>
        <v>10608.75</v>
      </c>
      <c r="BF29" s="3824"/>
      <c r="BG29" s="3822">
        <f t="shared" si="14"/>
        <v>21391.749999999996</v>
      </c>
      <c r="BH29" s="23"/>
    </row>
    <row r="30" spans="3:60" ht="16.8" x14ac:dyDescent="0.3">
      <c r="C30" s="3819" t="s">
        <v>16</v>
      </c>
      <c r="D30" s="3820" t="s">
        <v>1072</v>
      </c>
      <c r="E30" s="6274"/>
      <c r="F30" s="3819"/>
      <c r="G30" s="3821">
        <f>+SUMIF(WRM!$C$7:$C$128,$D30,WRM!$F$7:$F$128)</f>
        <v>1861.3999999999999</v>
      </c>
      <c r="H30" s="3821"/>
      <c r="I30" s="3821">
        <f>+SUMIF(WRM!$C$7:$C$128,$D30,WRM!$H$7:$H$128)</f>
        <v>0</v>
      </c>
      <c r="J30" s="3822"/>
      <c r="K30" s="3822">
        <f t="shared" si="1"/>
        <v>1861.3999999999999</v>
      </c>
      <c r="L30" s="3821"/>
      <c r="M30" s="3821">
        <f>+SUMIF(WRM!$C$7:$C$128,$D30,WRM!$L$7:$L$128)</f>
        <v>0</v>
      </c>
      <c r="N30" s="3823"/>
      <c r="O30" s="3823">
        <f t="shared" si="2"/>
        <v>1861.3999999999999</v>
      </c>
      <c r="P30" s="3821"/>
      <c r="Q30" s="3821">
        <f>+SUMIF(WRM!$C$7:$C$128,$D30,WRM!$P$7:$P$128)</f>
        <v>0</v>
      </c>
      <c r="R30" s="3824"/>
      <c r="S30" s="3822">
        <f t="shared" si="3"/>
        <v>1861.3999999999999</v>
      </c>
      <c r="T30" s="3821"/>
      <c r="U30" s="3821">
        <f>+SUMIF(WRM!$C$7:$C$128,$D30,WRM!$T$7:$T$128)</f>
        <v>940.95000000000016</v>
      </c>
      <c r="V30" s="3824"/>
      <c r="W30" s="3822">
        <f t="shared" si="4"/>
        <v>2802.35</v>
      </c>
      <c r="X30" s="3825"/>
      <c r="Y30" s="3839">
        <f>+SUMIF(WRM!$C$7:$C$128,$D30,WRM!$X$7:$X$128)</f>
        <v>1281.25</v>
      </c>
      <c r="Z30" s="3823"/>
      <c r="AA30" s="3823">
        <f t="shared" si="5"/>
        <v>2222.2000000000003</v>
      </c>
      <c r="AB30" s="3826"/>
      <c r="AC30" s="3827">
        <f t="shared" si="6"/>
        <v>4083.6000000000004</v>
      </c>
      <c r="AD30" s="3821"/>
      <c r="AE30" s="3839">
        <f>+SUMIF(WRM!$C$7:$C$128,$D30,WRM!$AD$7:$AD$128)</f>
        <v>219.35</v>
      </c>
      <c r="AF30" s="3824"/>
      <c r="AG30" s="3822">
        <f t="shared" si="7"/>
        <v>4302.9500000000007</v>
      </c>
      <c r="AH30" s="3821"/>
      <c r="AI30" s="3821">
        <f>+SUMIF(WRM!$C$7:$C$128,$D30,WRM!$AH$7:$AH$128)</f>
        <v>1051.6500000000001</v>
      </c>
      <c r="AJ30" s="3824"/>
      <c r="AK30" s="3822">
        <f t="shared" si="8"/>
        <v>5354.6</v>
      </c>
      <c r="AL30" s="3821"/>
      <c r="AM30" s="3821">
        <f>+SUMIF(WRM!$C$7:$C$128,$D30,WRM!$AL$7:$AL$128)</f>
        <v>1389.9</v>
      </c>
      <c r="AN30" s="3953"/>
      <c r="AO30" s="3823">
        <f t="shared" si="9"/>
        <v>2660.9</v>
      </c>
      <c r="AP30" s="3824"/>
      <c r="AQ30" s="3822">
        <f t="shared" si="0"/>
        <v>6744.5</v>
      </c>
      <c r="AR30" s="3821"/>
      <c r="AS30" s="3821">
        <f>+SUMIF(WRM!$C$7:$C$128,$D30,WRM!$AR$7:$AR$128)</f>
        <v>1799.9</v>
      </c>
      <c r="AT30" s="3824"/>
      <c r="AU30" s="3822">
        <f t="shared" si="10"/>
        <v>8544.4</v>
      </c>
      <c r="AV30" s="3821"/>
      <c r="AW30" s="3821">
        <f>+SUMIF(WRM!$C$7:$C$128,$D30,WRM!$AV$7:$AV$128)</f>
        <v>1605.15</v>
      </c>
      <c r="AX30" s="3824"/>
      <c r="AY30" s="3822">
        <f t="shared" si="11"/>
        <v>10149.549999999999</v>
      </c>
      <c r="AZ30" s="3821"/>
      <c r="BA30" s="3821">
        <f>+SUMIF(WRM!$C$7:$C$128,$D30,WRM!$AZ$7:$AZ$128)</f>
        <v>2865.9</v>
      </c>
      <c r="BB30" s="3953"/>
      <c r="BC30" s="3823">
        <f t="shared" si="12"/>
        <v>6270.9500000000007</v>
      </c>
      <c r="BD30" s="3826"/>
      <c r="BE30" s="3827">
        <f t="shared" si="13"/>
        <v>8931.85</v>
      </c>
      <c r="BF30" s="3824"/>
      <c r="BG30" s="3822">
        <f t="shared" si="14"/>
        <v>13015.449999999999</v>
      </c>
      <c r="BH30" s="23"/>
    </row>
    <row r="31" spans="3:60" ht="16.8" x14ac:dyDescent="0.3">
      <c r="C31" s="3819" t="s">
        <v>16</v>
      </c>
      <c r="D31" s="3820" t="s">
        <v>1520</v>
      </c>
      <c r="E31" s="6274"/>
      <c r="F31" s="3819"/>
      <c r="G31" s="3821">
        <f>+SUMIF(WRM!$C$7:$C$128,$D31,WRM!$F$7:$F$128)</f>
        <v>0</v>
      </c>
      <c r="H31" s="3821"/>
      <c r="I31" s="3821">
        <f>+SUMIF(WRM!$C$7:$C$128,$D31,WRM!$H$7:$H$128)</f>
        <v>0</v>
      </c>
      <c r="J31" s="3822"/>
      <c r="K31" s="3822">
        <f t="shared" si="1"/>
        <v>0</v>
      </c>
      <c r="L31" s="3821"/>
      <c r="M31" s="3821">
        <f>+SUMIF(WRM!$C$7:$C$128,$D31,WRM!$L$7:$L$128)</f>
        <v>0</v>
      </c>
      <c r="N31" s="3823"/>
      <c r="O31" s="3823">
        <f t="shared" si="2"/>
        <v>0</v>
      </c>
      <c r="P31" s="3821"/>
      <c r="Q31" s="3821">
        <f>+SUMIF(WRM!$C$7:$C$128,$D31,WRM!$P$7:$P$128)</f>
        <v>0</v>
      </c>
      <c r="R31" s="3824"/>
      <c r="S31" s="3822">
        <f t="shared" si="3"/>
        <v>0</v>
      </c>
      <c r="T31" s="3821"/>
      <c r="U31" s="3821">
        <f>+SUMIF(WRM!$C$7:$C$128,$D31,WRM!$T$7:$T$128)</f>
        <v>0</v>
      </c>
      <c r="V31" s="3824"/>
      <c r="W31" s="3822">
        <f t="shared" si="4"/>
        <v>0</v>
      </c>
      <c r="X31" s="3825"/>
      <c r="Y31" s="3839">
        <f>+SUMIF(WRM!$C$7:$C$128,$D31,WRM!$X$7:$X$128)</f>
        <v>0</v>
      </c>
      <c r="Z31" s="3823"/>
      <c r="AA31" s="3823">
        <f t="shared" si="5"/>
        <v>0</v>
      </c>
      <c r="AB31" s="3826"/>
      <c r="AC31" s="3827">
        <f t="shared" si="6"/>
        <v>0</v>
      </c>
      <c r="AD31" s="3821"/>
      <c r="AE31" s="3839">
        <f>+SUMIF(WRM!$C$7:$C$128,$D31,WRM!$AD$7:$AD$128)</f>
        <v>0</v>
      </c>
      <c r="AF31" s="3824"/>
      <c r="AG31" s="3822">
        <f t="shared" si="7"/>
        <v>0</v>
      </c>
      <c r="AH31" s="3821"/>
      <c r="AI31" s="3821">
        <f>+SUMIF(WRM!$C$7:$C$128,$D31,WRM!$AH$7:$AH$128)</f>
        <v>0</v>
      </c>
      <c r="AJ31" s="3824"/>
      <c r="AK31" s="3822">
        <f t="shared" si="8"/>
        <v>0</v>
      </c>
      <c r="AL31" s="3821"/>
      <c r="AM31" s="3821">
        <f>+SUMIF(WRM!$C$7:$C$128,$D31,WRM!$AL$7:$AL$128)</f>
        <v>0</v>
      </c>
      <c r="AN31" s="3953"/>
      <c r="AO31" s="3823">
        <f t="shared" si="9"/>
        <v>0</v>
      </c>
      <c r="AP31" s="3824"/>
      <c r="AQ31" s="3822">
        <f t="shared" si="0"/>
        <v>0</v>
      </c>
      <c r="AR31" s="3821"/>
      <c r="AS31" s="3821">
        <f>+SUMIF(WRM!$C$7:$C$128,$D31,WRM!$AR$7:$AR$128)</f>
        <v>0</v>
      </c>
      <c r="AT31" s="3824"/>
      <c r="AU31" s="3822">
        <f t="shared" si="10"/>
        <v>0</v>
      </c>
      <c r="AV31" s="3821"/>
      <c r="AW31" s="3821">
        <f>+SUMIF(WRM!$C$7:$C$128,$D31,WRM!$AV$7:$AV$128)</f>
        <v>0</v>
      </c>
      <c r="AX31" s="3824"/>
      <c r="AY31" s="3822">
        <f t="shared" si="11"/>
        <v>0</v>
      </c>
      <c r="AZ31" s="3821"/>
      <c r="BA31" s="3821">
        <f>+SUMIF(WRM!$C$7:$C$128,$D31,WRM!$AZ$7:$AZ$128)</f>
        <v>0</v>
      </c>
      <c r="BB31" s="3953"/>
      <c r="BC31" s="3823">
        <f t="shared" si="12"/>
        <v>0</v>
      </c>
      <c r="BD31" s="3826"/>
      <c r="BE31" s="3827">
        <f t="shared" si="13"/>
        <v>0</v>
      </c>
      <c r="BF31" s="3824"/>
      <c r="BG31" s="3822">
        <f t="shared" si="14"/>
        <v>0</v>
      </c>
      <c r="BH31" s="23"/>
    </row>
    <row r="32" spans="3:60" ht="16.8" x14ac:dyDescent="0.3">
      <c r="C32" s="3819" t="s">
        <v>16</v>
      </c>
      <c r="D32" s="3820" t="s">
        <v>990</v>
      </c>
      <c r="E32" s="6274"/>
      <c r="F32" s="3819"/>
      <c r="G32" s="3821">
        <f>+SUMIF(WRM!$C$7:$C$128,$D32,WRM!$F$7:$F$128)</f>
        <v>0</v>
      </c>
      <c r="H32" s="3821"/>
      <c r="I32" s="3821">
        <f>+SUMIF(WRM!$C$7:$C$128,$D32,WRM!$H$7:$H$128)</f>
        <v>0</v>
      </c>
      <c r="J32" s="3822"/>
      <c r="K32" s="3822">
        <f t="shared" si="1"/>
        <v>0</v>
      </c>
      <c r="L32" s="3821"/>
      <c r="M32" s="3821">
        <f>+SUMIF(WRM!$C$7:$C$128,$D32,WRM!$L$7:$L$128)</f>
        <v>1785.55</v>
      </c>
      <c r="N32" s="3823"/>
      <c r="O32" s="3823">
        <f t="shared" ref="O32:O37" si="28">+G32+I32+M32</f>
        <v>1785.55</v>
      </c>
      <c r="P32" s="3821"/>
      <c r="Q32" s="3821">
        <f>+SUMIF(WRM!$C$7:$C$128,$D32,WRM!$P$7:$P$128)</f>
        <v>820</v>
      </c>
      <c r="R32" s="3824"/>
      <c r="S32" s="3822">
        <f t="shared" ref="S32:S37" si="29">O32+Q32</f>
        <v>2605.5500000000002</v>
      </c>
      <c r="T32" s="3821"/>
      <c r="U32" s="3821">
        <f>+SUMIF(WRM!$C$7:$C$128,$D32,WRM!$T$7:$T$128)</f>
        <v>578.1</v>
      </c>
      <c r="V32" s="3824"/>
      <c r="W32" s="3822">
        <f t="shared" si="4"/>
        <v>3183.65</v>
      </c>
      <c r="X32" s="3825"/>
      <c r="Y32" s="3839">
        <f>+SUMIF(WRM!$C$7:$C$128,$D32,WRM!$X$7:$X$128)</f>
        <v>0</v>
      </c>
      <c r="Z32" s="3823"/>
      <c r="AA32" s="3823">
        <f t="shared" ref="AA32:AA37" si="30">Q32+U32+Y32</f>
        <v>1398.1</v>
      </c>
      <c r="AB32" s="3826"/>
      <c r="AC32" s="3827">
        <f t="shared" ref="AC32:AC37" si="31">O32+AA32</f>
        <v>3183.6499999999996</v>
      </c>
      <c r="AD32" s="3821"/>
      <c r="AE32" s="3839">
        <f>+SUMIF(WRM!$C$7:$C$128,$D32,WRM!$AD$7:$AD$128)</f>
        <v>1053.6999999999998</v>
      </c>
      <c r="AF32" s="3824"/>
      <c r="AG32" s="3822">
        <f t="shared" ref="AG32:AG37" si="32">+AC32+AE32</f>
        <v>4237.3499999999995</v>
      </c>
      <c r="AH32" s="3821"/>
      <c r="AI32" s="3821">
        <f>+SUMIF(WRM!$C$7:$C$128,$D32,WRM!$AH$7:$AH$128)</f>
        <v>172.2</v>
      </c>
      <c r="AJ32" s="3824"/>
      <c r="AK32" s="3822">
        <f t="shared" si="8"/>
        <v>4409.5499999999993</v>
      </c>
      <c r="AL32" s="3821"/>
      <c r="AM32" s="3821">
        <f>+SUMIF(WRM!$C$7:$C$128,$D32,WRM!$AL$7:$AL$128)</f>
        <v>2509.2000000000007</v>
      </c>
      <c r="AN32" s="3953"/>
      <c r="AO32" s="3823">
        <f t="shared" ref="AO32:AO37" si="33">AE32+AI32+AM32</f>
        <v>3735.1000000000004</v>
      </c>
      <c r="AP32" s="3824"/>
      <c r="AQ32" s="3822">
        <f t="shared" ref="AQ32:AQ37" si="34">+AK32+AM32</f>
        <v>6918.75</v>
      </c>
      <c r="AR32" s="3821"/>
      <c r="AS32" s="3821">
        <f>+SUMIF(WRM!$C$7:$C$128,$D32,WRM!$AR$7:$AR$128)</f>
        <v>774.9</v>
      </c>
      <c r="AT32" s="3824"/>
      <c r="AU32" s="3822">
        <f t="shared" ref="AU32:AU37" si="35">+AQ32+AS32</f>
        <v>7693.65</v>
      </c>
      <c r="AV32" s="3821"/>
      <c r="AW32" s="3821">
        <f>+SUMIF(WRM!$C$7:$C$128,$D32,WRM!$AV$7:$AV$128)</f>
        <v>0</v>
      </c>
      <c r="AX32" s="3824"/>
      <c r="AY32" s="3822">
        <f t="shared" si="11"/>
        <v>7693.65</v>
      </c>
      <c r="AZ32" s="3821"/>
      <c r="BA32" s="3821">
        <f>+SUMIF(WRM!$C$7:$C$128,$D32,WRM!$AZ$7:$AZ$128)</f>
        <v>3372.25</v>
      </c>
      <c r="BB32" s="3953"/>
      <c r="BC32" s="3823">
        <f t="shared" si="12"/>
        <v>4147.1499999999996</v>
      </c>
      <c r="BD32" s="3826"/>
      <c r="BE32" s="3827">
        <f t="shared" si="13"/>
        <v>7882.25</v>
      </c>
      <c r="BF32" s="3824"/>
      <c r="BG32" s="3822">
        <f t="shared" si="14"/>
        <v>11065.9</v>
      </c>
      <c r="BH32" s="23"/>
    </row>
    <row r="33" spans="3:61" ht="16.8" x14ac:dyDescent="0.3">
      <c r="C33" s="3819" t="s">
        <v>16</v>
      </c>
      <c r="D33" s="3820" t="s">
        <v>991</v>
      </c>
      <c r="E33" s="6274"/>
      <c r="F33" s="3819"/>
      <c r="G33" s="3821">
        <f>+SUMIF(WRM!$C$7:$C$128,$D33,WRM!$F$7:$F$128)</f>
        <v>0</v>
      </c>
      <c r="H33" s="3821"/>
      <c r="I33" s="3821">
        <f>+SUMIF(WRM!$C$7:$C$128,$D33,WRM!$H$7:$H$128)</f>
        <v>0</v>
      </c>
      <c r="J33" s="3822"/>
      <c r="K33" s="3822">
        <f t="shared" si="1"/>
        <v>0</v>
      </c>
      <c r="L33" s="3821"/>
      <c r="M33" s="3821">
        <f>+SUMIF(WRM!$C$7:$C$128,$D33,WRM!$L$7:$L$128)</f>
        <v>1814.25</v>
      </c>
      <c r="N33" s="3823"/>
      <c r="O33" s="3823">
        <f t="shared" si="28"/>
        <v>1814.25</v>
      </c>
      <c r="P33" s="3821"/>
      <c r="Q33" s="3821">
        <f>+SUMIF(WRM!$C$7:$C$128,$D33,WRM!$P$7:$P$128)</f>
        <v>1137.75</v>
      </c>
      <c r="R33" s="3824"/>
      <c r="S33" s="3822">
        <f t="shared" si="29"/>
        <v>2952</v>
      </c>
      <c r="T33" s="3821"/>
      <c r="U33" s="3821">
        <f>+SUMIF(WRM!$C$7:$C$128,$D33,WRM!$T$7:$T$128)</f>
        <v>2359.5500000000002</v>
      </c>
      <c r="V33" s="3824"/>
      <c r="W33" s="3822">
        <f t="shared" ref="W33:W37" si="36">S33+U33</f>
        <v>5311.55</v>
      </c>
      <c r="X33" s="3825"/>
      <c r="Y33" s="3839">
        <f>+SUMIF(WRM!$C$7:$C$128,$D33,WRM!$X$7:$X$128)</f>
        <v>2312.3999999999996</v>
      </c>
      <c r="Z33" s="3823"/>
      <c r="AA33" s="3823">
        <f t="shared" si="30"/>
        <v>5809.7</v>
      </c>
      <c r="AB33" s="3826"/>
      <c r="AC33" s="3827">
        <f t="shared" si="31"/>
        <v>7623.95</v>
      </c>
      <c r="AD33" s="3821"/>
      <c r="AE33" s="3839">
        <f>+SUMIF(WRM!$C$7:$C$128,$D33,WRM!$AD$7:$AD$128)</f>
        <v>1941.3499999999997</v>
      </c>
      <c r="AF33" s="3824"/>
      <c r="AG33" s="3822">
        <f t="shared" si="32"/>
        <v>9565.2999999999993</v>
      </c>
      <c r="AH33" s="3821"/>
      <c r="AI33" s="3821">
        <f>+SUMIF(WRM!$C$7:$C$128,$D33,WRM!$AH$7:$AH$128)</f>
        <v>672.39999999999986</v>
      </c>
      <c r="AJ33" s="3824"/>
      <c r="AK33" s="3822">
        <f t="shared" si="8"/>
        <v>10237.699999999999</v>
      </c>
      <c r="AL33" s="3821"/>
      <c r="AM33" s="3821">
        <f>+SUMIF(WRM!$C$7:$C$128,$D33,WRM!$AL$7:$AL$128)</f>
        <v>4637.1000000000004</v>
      </c>
      <c r="AN33" s="3953"/>
      <c r="AO33" s="3823">
        <f t="shared" si="33"/>
        <v>7250.85</v>
      </c>
      <c r="AP33" s="3824"/>
      <c r="AQ33" s="3822">
        <f t="shared" si="34"/>
        <v>14874.8</v>
      </c>
      <c r="AR33" s="3821"/>
      <c r="AS33" s="3821">
        <f>+SUMIF(WRM!$C$7:$C$128,$D33,WRM!$AR$7:$AR$128)</f>
        <v>3862.2</v>
      </c>
      <c r="AT33" s="3824"/>
      <c r="AU33" s="3822">
        <f t="shared" si="35"/>
        <v>18737</v>
      </c>
      <c r="AV33" s="3821"/>
      <c r="AW33" s="3821">
        <f>+SUMIF(WRM!$C$7:$C$128,$D33,WRM!$AV$7:$AV$128)</f>
        <v>0</v>
      </c>
      <c r="AX33" s="3824"/>
      <c r="AY33" s="3822">
        <f t="shared" si="11"/>
        <v>18737</v>
      </c>
      <c r="AZ33" s="3821"/>
      <c r="BA33" s="3821">
        <f>+SUMIF(WRM!$C$7:$C$128,$D33,WRM!$AZ$7:$AZ$128)</f>
        <v>9263.9499999999989</v>
      </c>
      <c r="BB33" s="3953"/>
      <c r="BC33" s="3823">
        <f t="shared" si="12"/>
        <v>13126.149999999998</v>
      </c>
      <c r="BD33" s="3826"/>
      <c r="BE33" s="3827">
        <f t="shared" si="13"/>
        <v>20377</v>
      </c>
      <c r="BF33" s="3824"/>
      <c r="BG33" s="3822">
        <f t="shared" si="14"/>
        <v>28000.949999999997</v>
      </c>
      <c r="BH33" s="23"/>
    </row>
    <row r="34" spans="3:61" ht="16.8" x14ac:dyDescent="0.3">
      <c r="C34" s="3819" t="s">
        <v>16</v>
      </c>
      <c r="D34" s="3820" t="s">
        <v>1337</v>
      </c>
      <c r="E34" s="6274"/>
      <c r="F34" s="3819"/>
      <c r="G34" s="3821">
        <f>+SUMIF(WRM!$C$7:$C$128,$D34,WRM!$F$7:$F$128)</f>
        <v>0</v>
      </c>
      <c r="H34" s="3821"/>
      <c r="I34" s="3821">
        <f>+SUMIF(WRM!$C$7:$C$128,$D34,WRM!$H$7:$H$128)</f>
        <v>0</v>
      </c>
      <c r="J34" s="3822"/>
      <c r="K34" s="3822">
        <f t="shared" si="1"/>
        <v>0</v>
      </c>
      <c r="L34" s="3821"/>
      <c r="M34" s="3821">
        <f>+SUMIF(WRM!$C$7:$C$128,$D34,WRM!$L$7:$L$128)</f>
        <v>0</v>
      </c>
      <c r="N34" s="3823"/>
      <c r="O34" s="3823">
        <f t="shared" si="28"/>
        <v>0</v>
      </c>
      <c r="P34" s="3821"/>
      <c r="Q34" s="3821">
        <f>+SUMIF(WRM!$C$7:$C$128,$D34,WRM!$P$7:$P$128)</f>
        <v>0</v>
      </c>
      <c r="R34" s="3824"/>
      <c r="S34" s="3822">
        <f t="shared" si="29"/>
        <v>0</v>
      </c>
      <c r="T34" s="3821"/>
      <c r="U34" s="3821">
        <f>+SUMIF(WRM!$C$7:$C$128,$D34,WRM!$T$7:$T$128)</f>
        <v>0</v>
      </c>
      <c r="V34" s="3824"/>
      <c r="W34" s="3822">
        <f t="shared" si="36"/>
        <v>0</v>
      </c>
      <c r="X34" s="3825"/>
      <c r="Y34" s="3839">
        <f>+SUMIF(WRM!$C$7:$C$128,$D34,WRM!$X$7:$X$128)</f>
        <v>0</v>
      </c>
      <c r="Z34" s="3823"/>
      <c r="AA34" s="3823">
        <f t="shared" si="30"/>
        <v>0</v>
      </c>
      <c r="AB34" s="3826"/>
      <c r="AC34" s="3827">
        <f t="shared" si="31"/>
        <v>0</v>
      </c>
      <c r="AD34" s="3821"/>
      <c r="AE34" s="3839">
        <f>+SUMIF(WRM!$C$7:$C$128,$D34,WRM!$AD$7:$AD$128)</f>
        <v>0</v>
      </c>
      <c r="AF34" s="3824"/>
      <c r="AG34" s="3822">
        <f t="shared" si="32"/>
        <v>0</v>
      </c>
      <c r="AH34" s="3821"/>
      <c r="AI34" s="3821">
        <f>+SUMIF(WRM!$C$7:$C$128,$D34,WRM!$AH$7:$AH$128)</f>
        <v>0</v>
      </c>
      <c r="AJ34" s="3824"/>
      <c r="AK34" s="3822">
        <f t="shared" si="8"/>
        <v>0</v>
      </c>
      <c r="AL34" s="3821"/>
      <c r="AM34" s="3821">
        <f>+SUMIF(WRM!$C$7:$C$128,$D34,WRM!$AL$7:$AL$128)</f>
        <v>0</v>
      </c>
      <c r="AN34" s="3953"/>
      <c r="AO34" s="3823">
        <f t="shared" si="33"/>
        <v>0</v>
      </c>
      <c r="AP34" s="3824"/>
      <c r="AQ34" s="3822">
        <f t="shared" si="34"/>
        <v>0</v>
      </c>
      <c r="AR34" s="3821"/>
      <c r="AS34" s="3821">
        <f>+SUMIF(WRM!$C$7:$C$128,$D34,WRM!$AR$7:$AR$128)</f>
        <v>0</v>
      </c>
      <c r="AT34" s="3824"/>
      <c r="AU34" s="3822">
        <f t="shared" si="35"/>
        <v>0</v>
      </c>
      <c r="AV34" s="3821"/>
      <c r="AW34" s="3821">
        <f>+SUMIF(WRM!$C$7:$C$128,$D34,WRM!$AV$7:$AV$128)</f>
        <v>0</v>
      </c>
      <c r="AX34" s="3824"/>
      <c r="AY34" s="3822">
        <f t="shared" si="11"/>
        <v>0</v>
      </c>
      <c r="AZ34" s="3821"/>
      <c r="BA34" s="3821">
        <f>+SUMIF(WRM!$C$7:$C$128,$D34,WRM!$AZ$7:$AZ$128)</f>
        <v>0</v>
      </c>
      <c r="BB34" s="3953"/>
      <c r="BC34" s="3823">
        <f t="shared" si="12"/>
        <v>0</v>
      </c>
      <c r="BD34" s="3826"/>
      <c r="BE34" s="3827">
        <f t="shared" si="13"/>
        <v>0</v>
      </c>
      <c r="BF34" s="3824"/>
      <c r="BG34" s="3822">
        <f t="shared" si="14"/>
        <v>0</v>
      </c>
      <c r="BH34" s="23"/>
    </row>
    <row r="35" spans="3:61" ht="16.8" x14ac:dyDescent="0.3">
      <c r="C35" s="3819" t="s">
        <v>16</v>
      </c>
      <c r="D35" s="3820" t="s">
        <v>1387</v>
      </c>
      <c r="E35" s="6274"/>
      <c r="F35" s="3819"/>
      <c r="G35" s="3821">
        <f>+SUMIF(WRM!$C$7:$C$128,$D35,WRM!$F$7:$F$128)</f>
        <v>0</v>
      </c>
      <c r="H35" s="3821"/>
      <c r="I35" s="3821">
        <f>+SUMIF(WRM!$C$7:$C$128,$D35,WRM!$H$7:$H$128)</f>
        <v>0</v>
      </c>
      <c r="J35" s="3822"/>
      <c r="K35" s="3822">
        <f t="shared" si="1"/>
        <v>0</v>
      </c>
      <c r="L35" s="3821"/>
      <c r="M35" s="3821">
        <f>+SUMIF(WRM!$C$7:$C$128,$D35,WRM!$L$7:$L$128)</f>
        <v>0</v>
      </c>
      <c r="N35" s="3823"/>
      <c r="O35" s="3823">
        <f t="shared" si="28"/>
        <v>0</v>
      </c>
      <c r="P35" s="3821"/>
      <c r="Q35" s="3821">
        <f>+SUMIF(WRM!$C$7:$C$128,$D35,WRM!$P$7:$P$128)</f>
        <v>0</v>
      </c>
      <c r="R35" s="3824"/>
      <c r="S35" s="3822">
        <f t="shared" si="29"/>
        <v>0</v>
      </c>
      <c r="T35" s="3821"/>
      <c r="U35" s="3821">
        <f>+SUMIF(WRM!$C$7:$C$128,$D35,WRM!$T$7:$T$128)</f>
        <v>0</v>
      </c>
      <c r="V35" s="3824"/>
      <c r="W35" s="3822">
        <f t="shared" si="36"/>
        <v>0</v>
      </c>
      <c r="X35" s="3825"/>
      <c r="Y35" s="3839">
        <f>+SUMIF(WRM!$C$7:$C$128,$D35,WRM!$X$7:$X$128)</f>
        <v>0</v>
      </c>
      <c r="Z35" s="3823"/>
      <c r="AA35" s="3823">
        <f t="shared" si="30"/>
        <v>0</v>
      </c>
      <c r="AB35" s="3826"/>
      <c r="AC35" s="3827">
        <f t="shared" si="31"/>
        <v>0</v>
      </c>
      <c r="AD35" s="3821"/>
      <c r="AE35" s="3839">
        <f>+SUMIF(WRM!$C$7:$C$128,$D35,WRM!$AD$7:$AD$128)</f>
        <v>0</v>
      </c>
      <c r="AF35" s="3824"/>
      <c r="AG35" s="3822">
        <f t="shared" si="32"/>
        <v>0</v>
      </c>
      <c r="AH35" s="3821"/>
      <c r="AI35" s="3821">
        <f>+SUMIF(WRM!$C$7:$C$128,$D35,WRM!$AH$7:$AH$128)</f>
        <v>0</v>
      </c>
      <c r="AJ35" s="3824"/>
      <c r="AK35" s="3822">
        <f t="shared" si="8"/>
        <v>0</v>
      </c>
      <c r="AL35" s="3821"/>
      <c r="AM35" s="3821">
        <f>+SUMIF(WRM!$C$7:$C$128,$D35,WRM!$AL$7:$AL$128)</f>
        <v>0</v>
      </c>
      <c r="AN35" s="3953"/>
      <c r="AO35" s="3823">
        <f t="shared" si="33"/>
        <v>0</v>
      </c>
      <c r="AP35" s="3824"/>
      <c r="AQ35" s="3822">
        <f t="shared" si="34"/>
        <v>0</v>
      </c>
      <c r="AR35" s="3821"/>
      <c r="AS35" s="3821">
        <f>+SUMIF(WRM!$C$7:$C$128,$D35,WRM!$AR$7:$AR$128)</f>
        <v>0</v>
      </c>
      <c r="AT35" s="3824"/>
      <c r="AU35" s="3822">
        <f t="shared" si="35"/>
        <v>0</v>
      </c>
      <c r="AV35" s="3821"/>
      <c r="AW35" s="3821">
        <f>+SUMIF(WRM!$C$7:$C$128,$D35,WRM!$AV$7:$AV$128)</f>
        <v>0</v>
      </c>
      <c r="AX35" s="3824"/>
      <c r="AY35" s="3822">
        <f t="shared" si="11"/>
        <v>0</v>
      </c>
      <c r="AZ35" s="3821"/>
      <c r="BA35" s="3821">
        <f>+SUMIF(WRM!$C$7:$C$128,$D35,WRM!$AZ$7:$AZ$128)</f>
        <v>0</v>
      </c>
      <c r="BB35" s="3953"/>
      <c r="BC35" s="3823">
        <f t="shared" si="12"/>
        <v>0</v>
      </c>
      <c r="BD35" s="3826"/>
      <c r="BE35" s="3827">
        <f t="shared" si="13"/>
        <v>0</v>
      </c>
      <c r="BF35" s="3824"/>
      <c r="BG35" s="3822">
        <f t="shared" si="14"/>
        <v>0</v>
      </c>
      <c r="BH35" s="23"/>
    </row>
    <row r="36" spans="3:61" ht="16.8" x14ac:dyDescent="0.3">
      <c r="C36" s="3819" t="s">
        <v>16</v>
      </c>
      <c r="D36" s="3820" t="s">
        <v>1443</v>
      </c>
      <c r="E36" s="6274"/>
      <c r="F36" s="3819"/>
      <c r="G36" s="3821">
        <f>+SUMIF(WRM!$C$7:$C$128,$D36,WRM!$F$7:$F$128)</f>
        <v>0</v>
      </c>
      <c r="H36" s="3821"/>
      <c r="I36" s="3821">
        <f>+SUMIF(WRM!$C$7:$C$128,$D36,WRM!$H$7:$H$128)</f>
        <v>0</v>
      </c>
      <c r="J36" s="3822"/>
      <c r="K36" s="3822">
        <f t="shared" si="1"/>
        <v>0</v>
      </c>
      <c r="L36" s="3821"/>
      <c r="M36" s="3821">
        <f>+SUMIF(WRM!$C$7:$C$128,$D36,WRM!$L$7:$L$128)</f>
        <v>0</v>
      </c>
      <c r="N36" s="3823"/>
      <c r="O36" s="3823">
        <f t="shared" si="28"/>
        <v>0</v>
      </c>
      <c r="P36" s="3821"/>
      <c r="Q36" s="3821">
        <f>+SUMIF(WRM!$C$7:$C$128,$D36,WRM!$P$7:$P$128)</f>
        <v>0</v>
      </c>
      <c r="R36" s="3824"/>
      <c r="S36" s="3822">
        <f t="shared" si="29"/>
        <v>0</v>
      </c>
      <c r="T36" s="3821"/>
      <c r="U36" s="3821">
        <f>+SUMIF(WRM!$C$7:$C$128,$D36,WRM!$T$7:$T$128)</f>
        <v>0</v>
      </c>
      <c r="V36" s="3824"/>
      <c r="W36" s="3822">
        <f t="shared" si="36"/>
        <v>0</v>
      </c>
      <c r="X36" s="3825"/>
      <c r="Y36" s="3839">
        <f>+SUMIF(WRM!$C$7:$C$128,$D36,WRM!$X$7:$X$128)</f>
        <v>0</v>
      </c>
      <c r="Z36" s="3823"/>
      <c r="AA36" s="3823">
        <f t="shared" si="30"/>
        <v>0</v>
      </c>
      <c r="AB36" s="3826"/>
      <c r="AC36" s="3827">
        <f t="shared" si="31"/>
        <v>0</v>
      </c>
      <c r="AD36" s="3821"/>
      <c r="AE36" s="3839">
        <f>+SUMIF(WRM!$C$7:$C$128,$D36,WRM!$AD$7:$AD$128)</f>
        <v>0</v>
      </c>
      <c r="AF36" s="3824"/>
      <c r="AG36" s="3822">
        <f t="shared" si="32"/>
        <v>0</v>
      </c>
      <c r="AH36" s="3821"/>
      <c r="AI36" s="3821">
        <f>+SUMIF(WRM!$C$7:$C$128,$D36,WRM!$AH$7:$AH$128)</f>
        <v>0</v>
      </c>
      <c r="AJ36" s="3824"/>
      <c r="AK36" s="3822">
        <f t="shared" si="8"/>
        <v>0</v>
      </c>
      <c r="AL36" s="3821"/>
      <c r="AM36" s="3821">
        <f>+SUMIF(WRM!$C$7:$C$128,$D36,WRM!$AL$7:$AL$128)</f>
        <v>0</v>
      </c>
      <c r="AN36" s="3953"/>
      <c r="AO36" s="3823">
        <f t="shared" si="33"/>
        <v>0</v>
      </c>
      <c r="AP36" s="3824"/>
      <c r="AQ36" s="3822">
        <f t="shared" si="34"/>
        <v>0</v>
      </c>
      <c r="AR36" s="3821"/>
      <c r="AS36" s="3821">
        <f>+SUMIF(WRM!$C$7:$C$128,$D36,WRM!$AR$7:$AR$128)</f>
        <v>0</v>
      </c>
      <c r="AT36" s="3824"/>
      <c r="AU36" s="3822">
        <f t="shared" si="35"/>
        <v>0</v>
      </c>
      <c r="AV36" s="3821"/>
      <c r="AW36" s="3821">
        <f>+SUMIF(WRM!$C$7:$C$128,$D36,WRM!$AV$7:$AV$128)</f>
        <v>0</v>
      </c>
      <c r="AX36" s="3824"/>
      <c r="AY36" s="3822">
        <f t="shared" si="11"/>
        <v>0</v>
      </c>
      <c r="AZ36" s="3821"/>
      <c r="BA36" s="3821">
        <f>+SUMIF(WRM!$C$7:$C$128,$D36,WRM!$AZ$7:$AZ$128)</f>
        <v>0</v>
      </c>
      <c r="BB36" s="3953"/>
      <c r="BC36" s="3823">
        <f t="shared" si="12"/>
        <v>0</v>
      </c>
      <c r="BD36" s="3826"/>
      <c r="BE36" s="3827">
        <f t="shared" si="13"/>
        <v>0</v>
      </c>
      <c r="BF36" s="3824"/>
      <c r="BG36" s="3822">
        <f t="shared" si="14"/>
        <v>0</v>
      </c>
      <c r="BH36" s="23"/>
    </row>
    <row r="37" spans="3:61" ht="16.8" x14ac:dyDescent="0.3">
      <c r="C37" s="3819" t="s">
        <v>16</v>
      </c>
      <c r="D37" s="3820" t="s">
        <v>1389</v>
      </c>
      <c r="E37" s="6274"/>
      <c r="F37" s="3819"/>
      <c r="G37" s="3821">
        <f>+SUMIF(WRM!$C$7:$C$128,$D37,WRM!$F$7:$F$128)</f>
        <v>0</v>
      </c>
      <c r="H37" s="3821"/>
      <c r="I37" s="3821">
        <f>+SUMIF(WRM!$C$7:$C$128,$D37,WRM!$H$7:$H$128)</f>
        <v>0</v>
      </c>
      <c r="J37" s="3822"/>
      <c r="K37" s="3822">
        <f t="shared" si="1"/>
        <v>0</v>
      </c>
      <c r="L37" s="3821"/>
      <c r="M37" s="3821">
        <f>+SUMIF(WRM!$C$7:$C$128,$D37,WRM!$L$7:$L$128)</f>
        <v>0</v>
      </c>
      <c r="N37" s="3823"/>
      <c r="O37" s="3823">
        <f t="shared" si="28"/>
        <v>0</v>
      </c>
      <c r="P37" s="3821"/>
      <c r="Q37" s="3821">
        <f>+SUMIF(WRM!$C$7:$C$128,$D37,WRM!$P$7:$P$128)</f>
        <v>0</v>
      </c>
      <c r="R37" s="3824"/>
      <c r="S37" s="3822">
        <f t="shared" si="29"/>
        <v>0</v>
      </c>
      <c r="T37" s="3821"/>
      <c r="U37" s="3821">
        <f>+SUMIF(WRM!$C$7:$C$128,$D37,WRM!$T$7:$T$128)</f>
        <v>0</v>
      </c>
      <c r="V37" s="3824"/>
      <c r="W37" s="3822">
        <f t="shared" si="36"/>
        <v>0</v>
      </c>
      <c r="X37" s="3825"/>
      <c r="Y37" s="3839">
        <f>+SUMIF(WRM!$C$7:$C$128,$D37,WRM!$X$7:$X$128)</f>
        <v>0</v>
      </c>
      <c r="Z37" s="3823"/>
      <c r="AA37" s="3823">
        <f t="shared" si="30"/>
        <v>0</v>
      </c>
      <c r="AB37" s="3826"/>
      <c r="AC37" s="3827">
        <f t="shared" si="31"/>
        <v>0</v>
      </c>
      <c r="AD37" s="3821"/>
      <c r="AE37" s="3839">
        <f>+SUMIF(WRM!$C$7:$C$128,$D37,WRM!$AD$7:$AD$128)</f>
        <v>0</v>
      </c>
      <c r="AF37" s="3824"/>
      <c r="AG37" s="3822">
        <f t="shared" si="32"/>
        <v>0</v>
      </c>
      <c r="AH37" s="3821"/>
      <c r="AI37" s="3821">
        <f>+SUMIF(WRM!$C$7:$C$128,$D37,WRM!$AH$7:$AH$128)</f>
        <v>0</v>
      </c>
      <c r="AJ37" s="3824"/>
      <c r="AK37" s="3822">
        <f t="shared" si="8"/>
        <v>0</v>
      </c>
      <c r="AL37" s="3821"/>
      <c r="AM37" s="3821">
        <f>+SUMIF(WRM!$C$7:$C$128,$D37,WRM!$AL$7:$AL$128)</f>
        <v>20.5</v>
      </c>
      <c r="AN37" s="3953"/>
      <c r="AO37" s="3823">
        <f t="shared" si="33"/>
        <v>20.5</v>
      </c>
      <c r="AP37" s="3824"/>
      <c r="AQ37" s="3822">
        <f t="shared" si="34"/>
        <v>20.5</v>
      </c>
      <c r="AR37" s="3821"/>
      <c r="AS37" s="3821">
        <f>+SUMIF(WRM!$C$7:$C$128,$D37,WRM!$AR$7:$AR$128)</f>
        <v>182.45</v>
      </c>
      <c r="AT37" s="3824"/>
      <c r="AU37" s="3822">
        <f t="shared" si="35"/>
        <v>202.95</v>
      </c>
      <c r="AV37" s="3821"/>
      <c r="AW37" s="3821">
        <f>+SUMIF(WRM!$C$7:$C$128,$D37,WRM!$AV$7:$AV$128)</f>
        <v>20.5</v>
      </c>
      <c r="AX37" s="3824"/>
      <c r="AY37" s="3822">
        <f t="shared" si="11"/>
        <v>223.45</v>
      </c>
      <c r="AZ37" s="3821"/>
      <c r="BA37" s="3821">
        <f>+SUMIF(WRM!$C$7:$C$128,$D37,WRM!$AZ$7:$AZ$128)</f>
        <v>137.35000000000002</v>
      </c>
      <c r="BB37" s="3953"/>
      <c r="BC37" s="3823">
        <f t="shared" si="12"/>
        <v>340.3</v>
      </c>
      <c r="BD37" s="3826"/>
      <c r="BE37" s="3827">
        <f t="shared" si="13"/>
        <v>360.8</v>
      </c>
      <c r="BF37" s="3824"/>
      <c r="BG37" s="3822">
        <f t="shared" si="14"/>
        <v>360.8</v>
      </c>
      <c r="BH37" s="23"/>
    </row>
    <row r="38" spans="3:61" ht="16.8" x14ac:dyDescent="0.3">
      <c r="C38" s="6270" t="s">
        <v>921</v>
      </c>
      <c r="D38" s="6270"/>
      <c r="E38" s="6274"/>
      <c r="F38" s="3834"/>
      <c r="G38" s="3835">
        <f t="shared" ref="G38:AM38" si="37">SUM(G4:G37)</f>
        <v>41289.049999999996</v>
      </c>
      <c r="H38" s="3835">
        <f t="shared" si="37"/>
        <v>0</v>
      </c>
      <c r="I38" s="3835">
        <f t="shared" si="37"/>
        <v>21024.799999999999</v>
      </c>
      <c r="J38" s="3835">
        <f t="shared" si="37"/>
        <v>0</v>
      </c>
      <c r="K38" s="3822">
        <f t="shared" si="1"/>
        <v>62313.849999999991</v>
      </c>
      <c r="L38" s="3835">
        <f t="shared" si="37"/>
        <v>0</v>
      </c>
      <c r="M38" s="3835">
        <f t="shared" si="37"/>
        <v>37452.9</v>
      </c>
      <c r="N38" s="3835">
        <f t="shared" si="37"/>
        <v>0</v>
      </c>
      <c r="O38" s="3837">
        <f t="shared" si="37"/>
        <v>99766.75</v>
      </c>
      <c r="P38" s="3835">
        <f t="shared" si="37"/>
        <v>0</v>
      </c>
      <c r="Q38" s="3835">
        <f t="shared" si="37"/>
        <v>44200.05</v>
      </c>
      <c r="R38" s="3835">
        <f t="shared" si="37"/>
        <v>0</v>
      </c>
      <c r="S38" s="3836">
        <f t="shared" si="37"/>
        <v>143966.79999999996</v>
      </c>
      <c r="T38" s="3835">
        <f t="shared" si="37"/>
        <v>0</v>
      </c>
      <c r="U38" s="3835">
        <f t="shared" si="37"/>
        <v>33658.950000000004</v>
      </c>
      <c r="V38" s="3835">
        <f t="shared" si="37"/>
        <v>0</v>
      </c>
      <c r="W38" s="3836">
        <f t="shared" si="37"/>
        <v>177625.75</v>
      </c>
      <c r="X38" s="3835">
        <f t="shared" si="37"/>
        <v>0</v>
      </c>
      <c r="Y38" s="3835">
        <f t="shared" si="37"/>
        <v>37412.5</v>
      </c>
      <c r="Z38" s="3835">
        <f t="shared" si="37"/>
        <v>0</v>
      </c>
      <c r="AA38" s="3837">
        <f t="shared" si="37"/>
        <v>115271.50000000001</v>
      </c>
      <c r="AB38" s="3835">
        <f t="shared" si="37"/>
        <v>0</v>
      </c>
      <c r="AC38" s="3838">
        <f t="shared" si="37"/>
        <v>215038.25000000003</v>
      </c>
      <c r="AD38" s="3835">
        <f t="shared" si="37"/>
        <v>0</v>
      </c>
      <c r="AE38" s="3835">
        <f t="shared" si="37"/>
        <v>28117.8</v>
      </c>
      <c r="AF38" s="3835">
        <f t="shared" si="37"/>
        <v>0</v>
      </c>
      <c r="AG38" s="3836">
        <f t="shared" si="37"/>
        <v>243156.05000000002</v>
      </c>
      <c r="AH38" s="3835">
        <f t="shared" si="37"/>
        <v>0</v>
      </c>
      <c r="AI38" s="3835">
        <f t="shared" si="37"/>
        <v>33991.050000000003</v>
      </c>
      <c r="AJ38" s="3835">
        <f t="shared" si="37"/>
        <v>0</v>
      </c>
      <c r="AK38" s="3836">
        <f t="shared" si="37"/>
        <v>277147.09999999998</v>
      </c>
      <c r="AL38" s="3835">
        <f t="shared" si="37"/>
        <v>0</v>
      </c>
      <c r="AM38" s="3835">
        <f t="shared" si="37"/>
        <v>39526.050000000003</v>
      </c>
      <c r="AN38" s="3954"/>
      <c r="AO38" s="3837">
        <f t="shared" ref="AO38:BA38" si="38">SUM(AO4:AO37)</f>
        <v>101634.90000000001</v>
      </c>
      <c r="AP38" s="3835">
        <f t="shared" si="38"/>
        <v>0</v>
      </c>
      <c r="AQ38" s="3836">
        <f t="shared" si="38"/>
        <v>316673.14999999997</v>
      </c>
      <c r="AR38" s="3835">
        <f t="shared" si="38"/>
        <v>0</v>
      </c>
      <c r="AS38" s="3835">
        <f t="shared" si="38"/>
        <v>39585.500000000007</v>
      </c>
      <c r="AT38" s="3835">
        <f t="shared" si="38"/>
        <v>0</v>
      </c>
      <c r="AU38" s="3836">
        <f t="shared" si="38"/>
        <v>356258.65000000008</v>
      </c>
      <c r="AV38" s="3835">
        <f t="shared" si="38"/>
        <v>0</v>
      </c>
      <c r="AW38" s="3835">
        <f t="shared" si="38"/>
        <v>36941.000000000022</v>
      </c>
      <c r="AX38" s="3835">
        <f t="shared" si="38"/>
        <v>0</v>
      </c>
      <c r="AY38" s="3836">
        <f t="shared" si="38"/>
        <v>393199.65000000008</v>
      </c>
      <c r="AZ38" s="3835">
        <f t="shared" si="38"/>
        <v>0</v>
      </c>
      <c r="BA38" s="3835">
        <f t="shared" si="38"/>
        <v>46047.099999999991</v>
      </c>
      <c r="BB38" s="3954"/>
      <c r="BC38" s="3837">
        <f>SUM(BC4:BC37)</f>
        <v>122573.6</v>
      </c>
      <c r="BD38" s="3835">
        <f>SUM(BD4:BD37)</f>
        <v>0</v>
      </c>
      <c r="BE38" s="3838">
        <f>SUM(BE4:BE37)</f>
        <v>224208.5</v>
      </c>
      <c r="BF38" s="3835">
        <f>SUM(BF4:BF37)</f>
        <v>0</v>
      </c>
      <c r="BG38" s="3836">
        <f>SUM(BG4:BG37)</f>
        <v>439246.75000000006</v>
      </c>
      <c r="BH38" s="23"/>
    </row>
    <row r="39" spans="3:61" ht="16.8" x14ac:dyDescent="0.3">
      <c r="C39" s="3819" t="s">
        <v>91</v>
      </c>
      <c r="D39" s="3819" t="s">
        <v>995</v>
      </c>
      <c r="E39" s="6274"/>
      <c r="F39" s="3819"/>
      <c r="G39" s="3821">
        <f>+SUMIF(BM!$C$7:$C$42,$D39,BM!$F$7:$F$42)</f>
        <v>0</v>
      </c>
      <c r="H39" s="3821"/>
      <c r="I39" s="3821">
        <f>+SUMIF(BM!$C$7:$C$42,$D39,BM!$H$7:$H$42)</f>
        <v>0</v>
      </c>
      <c r="J39" s="3822"/>
      <c r="K39" s="3822">
        <f t="shared" si="1"/>
        <v>0</v>
      </c>
      <c r="L39" s="3821"/>
      <c r="M39" s="3821">
        <f>+SUMIF(BM!$C$7:$C$42,$D39,BM!$L$7:$L$42)</f>
        <v>13893.16</v>
      </c>
      <c r="N39" s="3823"/>
      <c r="O39" s="3823">
        <f t="shared" si="2"/>
        <v>13893.16</v>
      </c>
      <c r="P39" s="3821"/>
      <c r="Q39" s="3821">
        <f>+SUMIF(BM!$C$7:$C$42,$D39,BM!$P$7:$P$42)</f>
        <v>22964.860000000015</v>
      </c>
      <c r="R39" s="3824"/>
      <c r="S39" s="3822">
        <f t="shared" si="3"/>
        <v>36858.020000000019</v>
      </c>
      <c r="T39" s="3821"/>
      <c r="U39" s="3821">
        <f>+SUMIF(BM!$C$7:$C$42,$D39,BM!$T$7:$T$42)</f>
        <v>5623.75</v>
      </c>
      <c r="V39" s="3824"/>
      <c r="W39" s="3822">
        <f t="shared" si="4"/>
        <v>42481.770000000019</v>
      </c>
      <c r="X39" s="3825"/>
      <c r="Y39" s="3821">
        <f>+SUMIF(BM!$C$7:$C$42,$D39,BM!$X$7:$X$42)</f>
        <v>7496.6249999999991</v>
      </c>
      <c r="Z39" s="3823"/>
      <c r="AA39" s="3823">
        <f t="shared" si="5"/>
        <v>36085.235000000015</v>
      </c>
      <c r="AB39" s="3826"/>
      <c r="AC39" s="3827">
        <f t="shared" si="6"/>
        <v>49978.395000000019</v>
      </c>
      <c r="AD39" s="3821"/>
      <c r="AE39" s="3821">
        <f>+SUMIF(BM!$C$7:$C$42,$D39,BM!$AD$7:$AD$42)</f>
        <v>1136.0549999999998</v>
      </c>
      <c r="AF39" s="3824"/>
      <c r="AG39" s="3822">
        <f t="shared" si="7"/>
        <v>51114.450000000019</v>
      </c>
      <c r="AH39" s="3821"/>
      <c r="AI39" s="3821">
        <f>+SUMIF(BM!$C$7:$C$42,$D39,BM!$AH$7:$AH$42)</f>
        <v>0</v>
      </c>
      <c r="AJ39" s="3824"/>
      <c r="AK39" s="3822">
        <f t="shared" ref="AK39:AK75" si="39">+AG39+AI39</f>
        <v>51114.450000000019</v>
      </c>
      <c r="AL39" s="3821"/>
      <c r="AM39" s="3821">
        <f>+SUMIF(BM!$C$7:$C$42,$D39,BM!$AL$7:$AL$42)</f>
        <v>2696.335</v>
      </c>
      <c r="AN39" s="3953"/>
      <c r="AO39" s="3823">
        <f t="shared" si="9"/>
        <v>3832.39</v>
      </c>
      <c r="AP39" s="3824"/>
      <c r="AQ39" s="3822">
        <f t="shared" ref="AQ39:AQ45" si="40">+AK39+AM39</f>
        <v>53810.785000000018</v>
      </c>
      <c r="AR39" s="3821"/>
      <c r="AS39" s="3821">
        <f>+SUMIF(BM!$C$7:$C$42,$D39,BM!$AR$7:$AR$42)</f>
        <v>6561.7749999999996</v>
      </c>
      <c r="AT39" s="3824"/>
      <c r="AU39" s="3822">
        <f t="shared" ref="AU39:AU45" si="41">+AQ39+AS39</f>
        <v>60372.560000000019</v>
      </c>
      <c r="AV39" s="3821"/>
      <c r="AW39" s="3821">
        <f>+SUMIF(BM!$C$7:$C$42,$D39,BM!$AV$7:$AV$42)</f>
        <v>8664.6650000000009</v>
      </c>
      <c r="AX39" s="3824"/>
      <c r="AY39" s="3822">
        <f t="shared" ref="AY39:AY45" si="42">+AU39+AW39</f>
        <v>69037.22500000002</v>
      </c>
      <c r="AZ39" s="3821"/>
      <c r="BA39" s="3821">
        <f>+SUMIF(BM!$C$7:$C$42,$D39,BM!$AZ$7:$AZ$42)</f>
        <v>9169.8310753426213</v>
      </c>
      <c r="BB39" s="3953"/>
      <c r="BC39" s="3823">
        <f t="shared" ref="BC39:BC45" si="43">AS39+AW39+BA39</f>
        <v>24396.271075342622</v>
      </c>
      <c r="BD39" s="3826"/>
      <c r="BE39" s="3827">
        <f t="shared" si="13"/>
        <v>28228.661075342621</v>
      </c>
      <c r="BF39" s="3824"/>
      <c r="BG39" s="3822">
        <f t="shared" ref="BG39:BG45" si="44">+AY39+BA39</f>
        <v>78207.05607534264</v>
      </c>
      <c r="BH39" s="23"/>
      <c r="BI39" s="23"/>
    </row>
    <row r="40" spans="3:61" ht="16.8" x14ac:dyDescent="0.3">
      <c r="C40" s="3819" t="s">
        <v>91</v>
      </c>
      <c r="D40" s="3819" t="s">
        <v>996</v>
      </c>
      <c r="E40" s="6274"/>
      <c r="F40" s="3819"/>
      <c r="G40" s="3821">
        <f>+SUMIF(BM!$C$7:$C$42,$D40,BM!$F$7:$F$42)</f>
        <v>37275.245000000046</v>
      </c>
      <c r="H40" s="3821"/>
      <c r="I40" s="3821">
        <f>+SUMIF(BM!$C$7:$C$42,$D40,BM!$H$7:$H$42)</f>
        <v>17029.465000000029</v>
      </c>
      <c r="J40" s="3822"/>
      <c r="K40" s="3822">
        <f t="shared" si="1"/>
        <v>54304.710000000079</v>
      </c>
      <c r="L40" s="3821"/>
      <c r="M40" s="3821">
        <f>+SUMIF(BM!$C$7:$C$42,$D40,BM!$L$7:$L$42)</f>
        <v>24809.215000000015</v>
      </c>
      <c r="N40" s="3823"/>
      <c r="O40" s="3823">
        <f t="shared" si="2"/>
        <v>79113.92500000009</v>
      </c>
      <c r="P40" s="3821"/>
      <c r="Q40" s="3821">
        <f>+SUMIF(BM!$C$7:$C$42,$D40,BM!$P$7:$P$42)</f>
        <v>46228.605000000076</v>
      </c>
      <c r="R40" s="3824"/>
      <c r="S40" s="3822">
        <f t="shared" si="3"/>
        <v>125342.53000000017</v>
      </c>
      <c r="T40" s="3821"/>
      <c r="U40" s="3821">
        <f>+SUMIF(BM!$C$7:$C$42,$D40,BM!$T$7:$T$42)</f>
        <v>36993.745000000017</v>
      </c>
      <c r="V40" s="3824"/>
      <c r="W40" s="3822">
        <f t="shared" si="4"/>
        <v>162336.2750000002</v>
      </c>
      <c r="X40" s="3825"/>
      <c r="Y40" s="3821">
        <f>+SUMIF(BM!$C$7:$C$42,$D40,BM!$X$7:$X$42)</f>
        <v>36854.330000000053</v>
      </c>
      <c r="Z40" s="3823"/>
      <c r="AA40" s="3823">
        <f t="shared" si="5"/>
        <v>120076.68000000014</v>
      </c>
      <c r="AB40" s="3826"/>
      <c r="AC40" s="3827">
        <f t="shared" si="6"/>
        <v>199190.60500000021</v>
      </c>
      <c r="AD40" s="3821"/>
      <c r="AE40" s="3821">
        <f>+SUMIF(BM!$C$7:$C$42,$D40,BM!$AD$7:$AD$42)</f>
        <v>39236.38000000007</v>
      </c>
      <c r="AF40" s="3824"/>
      <c r="AG40" s="3822">
        <f t="shared" si="7"/>
        <v>238426.98500000028</v>
      </c>
      <c r="AH40" s="3821"/>
      <c r="AI40" s="3821">
        <f>+SUMIF(BM!$C$7:$C$42,$D40,BM!$AH$7:$AH$42)</f>
        <v>40296.170000000035</v>
      </c>
      <c r="AJ40" s="3824"/>
      <c r="AK40" s="3822">
        <f t="shared" si="39"/>
        <v>278723.15500000032</v>
      </c>
      <c r="AL40" s="3821"/>
      <c r="AM40" s="3821">
        <f>+SUMIF(BM!$C$7:$C$42,$D40,BM!$AL$7:$AL$42)</f>
        <v>42591.195000000109</v>
      </c>
      <c r="AN40" s="3953"/>
      <c r="AO40" s="3823">
        <f t="shared" si="9"/>
        <v>122123.74500000021</v>
      </c>
      <c r="AP40" s="3824"/>
      <c r="AQ40" s="3822">
        <f t="shared" si="40"/>
        <v>321314.35000000044</v>
      </c>
      <c r="AR40" s="3821"/>
      <c r="AS40" s="3821">
        <f>+SUMIF(BM!$C$7:$C$42,$D40,BM!$AR$7:$AR$42)</f>
        <v>48889.360000000073</v>
      </c>
      <c r="AT40" s="3824"/>
      <c r="AU40" s="3822">
        <f t="shared" si="41"/>
        <v>370203.71000000054</v>
      </c>
      <c r="AV40" s="3821"/>
      <c r="AW40" s="3821">
        <f>+SUMIF(BM!$C$7:$C$42,$D40,BM!$AV$7:$AV$42)</f>
        <v>23043.060000000005</v>
      </c>
      <c r="AX40" s="3824"/>
      <c r="AY40" s="3822">
        <f t="shared" si="42"/>
        <v>393246.77000000054</v>
      </c>
      <c r="AZ40" s="3821"/>
      <c r="BA40" s="3821">
        <f>+SUMIF(BM!$C$7:$C$42,$D40,BM!$AZ$7:$AZ$42)</f>
        <v>47438.358295731814</v>
      </c>
      <c r="BB40" s="3953"/>
      <c r="BC40" s="3823">
        <f t="shared" si="43"/>
        <v>119370.77829573189</v>
      </c>
      <c r="BD40" s="3826"/>
      <c r="BE40" s="3827">
        <f t="shared" si="13"/>
        <v>241494.5232957321</v>
      </c>
      <c r="BF40" s="3824"/>
      <c r="BG40" s="3822">
        <f t="shared" si="44"/>
        <v>440685.12829573237</v>
      </c>
      <c r="BH40" s="23"/>
    </row>
    <row r="41" spans="3:61" ht="16.8" x14ac:dyDescent="0.3">
      <c r="C41" s="3819" t="s">
        <v>91</v>
      </c>
      <c r="D41" s="3819" t="s">
        <v>1095</v>
      </c>
      <c r="E41" s="6274"/>
      <c r="F41" s="3819"/>
      <c r="G41" s="3821">
        <f>+SUMIF(BM!$C$7:$C$42,$D41,BM!$F$7:$F$42)</f>
        <v>34201.175000000025</v>
      </c>
      <c r="H41" s="3821"/>
      <c r="I41" s="3821">
        <f>+SUMIF(BM!$C$7:$C$42,$D41,BM!$H$7:$H$42)</f>
        <v>14161.400000000005</v>
      </c>
      <c r="J41" s="3822"/>
      <c r="K41" s="3822">
        <f t="shared" si="1"/>
        <v>48362.575000000026</v>
      </c>
      <c r="L41" s="3821"/>
      <c r="M41" s="3821">
        <f>+SUMIF(BM!$C$7:$C$42,$D41,BM!$L$7:$L$42)</f>
        <v>32011.095000000038</v>
      </c>
      <c r="N41" s="3823"/>
      <c r="O41" s="3823">
        <f t="shared" si="2"/>
        <v>80373.670000000071</v>
      </c>
      <c r="P41" s="3821"/>
      <c r="Q41" s="3821">
        <f>+SUMIF(BM!$C$7:$C$42,$D41,BM!$P$7:$P$42)</f>
        <v>18863.025000000012</v>
      </c>
      <c r="R41" s="3824"/>
      <c r="S41" s="3822">
        <f t="shared" si="3"/>
        <v>99236.69500000008</v>
      </c>
      <c r="T41" s="3821"/>
      <c r="U41" s="3821">
        <f>+SUMIF(BM!$C$7:$C$42,$D41,BM!$T$7:$T$42)</f>
        <v>28986.125000000029</v>
      </c>
      <c r="V41" s="3824"/>
      <c r="W41" s="3822">
        <f t="shared" si="4"/>
        <v>128222.82000000011</v>
      </c>
      <c r="X41" s="3825"/>
      <c r="Y41" s="3821">
        <f>+SUMIF(BM!$C$7:$C$42,$D41,BM!$X$7:$X$42)</f>
        <v>29188.925000000021</v>
      </c>
      <c r="Z41" s="3823"/>
      <c r="AA41" s="3823">
        <f t="shared" si="5"/>
        <v>77038.075000000055</v>
      </c>
      <c r="AB41" s="3826"/>
      <c r="AC41" s="3827">
        <f t="shared" si="6"/>
        <v>157411.74500000011</v>
      </c>
      <c r="AD41" s="3821"/>
      <c r="AE41" s="3821">
        <f>+SUMIF(BM!$C$7:$C$42,$D41,BM!$AD$7:$AD$42)</f>
        <v>10577.840000000002</v>
      </c>
      <c r="AF41" s="3824"/>
      <c r="AG41" s="3822">
        <f t="shared" si="7"/>
        <v>167989.58500000011</v>
      </c>
      <c r="AH41" s="3821"/>
      <c r="AI41" s="3821">
        <f>+SUMIF(BM!$C$7:$C$42,$D41,BM!$AH$7:$AH$42)</f>
        <v>25310.055000000022</v>
      </c>
      <c r="AJ41" s="3824"/>
      <c r="AK41" s="3822">
        <f t="shared" si="39"/>
        <v>193299.64000000013</v>
      </c>
      <c r="AL41" s="3821"/>
      <c r="AM41" s="3821">
        <f>+SUMIF(BM!$C$7:$C$42,$D41,BM!$AL$7:$AL$42)</f>
        <v>31272.44500000004</v>
      </c>
      <c r="AN41" s="3953"/>
      <c r="AO41" s="3823">
        <f t="shared" si="9"/>
        <v>67160.340000000069</v>
      </c>
      <c r="AP41" s="3824"/>
      <c r="AQ41" s="3822">
        <f t="shared" si="40"/>
        <v>224572.08500000017</v>
      </c>
      <c r="AR41" s="3821"/>
      <c r="AS41" s="3821">
        <f>+SUMIF(BM!$C$7:$C$42,$D41,BM!$AR$7:$AR$42)</f>
        <v>28699.930000000048</v>
      </c>
      <c r="AT41" s="3824"/>
      <c r="AU41" s="3822">
        <f t="shared" si="41"/>
        <v>253272.01500000022</v>
      </c>
      <c r="AV41" s="3821"/>
      <c r="AW41" s="3821">
        <f>+SUMIF(BM!$C$7:$C$42,$D41,BM!$AV$7:$AV$42)</f>
        <v>42350.595000000088</v>
      </c>
      <c r="AX41" s="3824"/>
      <c r="AY41" s="3822">
        <f t="shared" si="42"/>
        <v>295622.61000000034</v>
      </c>
      <c r="AZ41" s="3821"/>
      <c r="BA41" s="3821">
        <f>+SUMIF(BM!$C$7:$C$42,$D41,BM!$AZ$7:$AZ$42)</f>
        <v>24591.810628925559</v>
      </c>
      <c r="BB41" s="3953"/>
      <c r="BC41" s="3823">
        <f t="shared" si="43"/>
        <v>95642.335628925706</v>
      </c>
      <c r="BD41" s="3826"/>
      <c r="BE41" s="3827">
        <f t="shared" si="13"/>
        <v>162802.67562892579</v>
      </c>
      <c r="BF41" s="3824"/>
      <c r="BG41" s="3822">
        <f t="shared" si="44"/>
        <v>320214.4206289259</v>
      </c>
      <c r="BH41" s="23"/>
    </row>
    <row r="42" spans="3:61" ht="16.8" x14ac:dyDescent="0.3">
      <c r="C42" s="3819" t="s">
        <v>91</v>
      </c>
      <c r="D42" s="3819" t="s">
        <v>1444</v>
      </c>
      <c r="E42" s="6274"/>
      <c r="F42" s="3819"/>
      <c r="G42" s="3821">
        <f>+SUMIF(BM!$C$7:$C$42,$D42,BM!$F$7:$F$42)</f>
        <v>0</v>
      </c>
      <c r="H42" s="3821"/>
      <c r="I42" s="3821">
        <f>+SUMIF(BM!$C$7:$C$42,$D42,BM!$H$7:$H$42)</f>
        <v>0</v>
      </c>
      <c r="J42" s="3822"/>
      <c r="K42" s="3822">
        <f t="shared" si="1"/>
        <v>0</v>
      </c>
      <c r="L42" s="3821"/>
      <c r="M42" s="3821">
        <f>+SUMIF(BM!$C$7:$C$42,$D42,BM!$L$7:$L$42)</f>
        <v>0</v>
      </c>
      <c r="N42" s="3823"/>
      <c r="O42" s="3823">
        <f t="shared" si="2"/>
        <v>0</v>
      </c>
      <c r="P42" s="3821"/>
      <c r="Q42" s="3821">
        <f>+SUMIF(BM!$C$7:$C$42,$D42,BM!$P$7:$P$42)</f>
        <v>0</v>
      </c>
      <c r="R42" s="3824"/>
      <c r="S42" s="3822">
        <f t="shared" si="3"/>
        <v>0</v>
      </c>
      <c r="T42" s="3821"/>
      <c r="U42" s="3821">
        <f>+SUMIF(BM!$C$7:$C$42,$D42,BM!$T$7:$T$42)</f>
        <v>0</v>
      </c>
      <c r="V42" s="3824"/>
      <c r="W42" s="3822">
        <f t="shared" si="4"/>
        <v>0</v>
      </c>
      <c r="X42" s="3825"/>
      <c r="Y42" s="3821">
        <f>+SUMIF(BM!$C$7:$C$42,$D42,BM!$X$7:$X$42)</f>
        <v>0</v>
      </c>
      <c r="Z42" s="3823"/>
      <c r="AA42" s="3823">
        <f t="shared" si="5"/>
        <v>0</v>
      </c>
      <c r="AB42" s="3826"/>
      <c r="AC42" s="3827">
        <f t="shared" si="6"/>
        <v>0</v>
      </c>
      <c r="AD42" s="3821"/>
      <c r="AE42" s="3821">
        <f>+SUMIF(BM!$C$7:$C$42,$D42,BM!$AD$7:$AD$42)</f>
        <v>0</v>
      </c>
      <c r="AF42" s="3824"/>
      <c r="AG42" s="3822">
        <f t="shared" si="7"/>
        <v>0</v>
      </c>
      <c r="AH42" s="3821"/>
      <c r="AI42" s="3821">
        <f>+SUMIF(BM!$C$7:$C$42,$D42,BM!$AH$7:$AH$42)</f>
        <v>0</v>
      </c>
      <c r="AJ42" s="3824"/>
      <c r="AK42" s="3822">
        <f t="shared" si="39"/>
        <v>0</v>
      </c>
      <c r="AL42" s="3821"/>
      <c r="AM42" s="3821">
        <f>+SUMIF(BM!$C$7:$C$42,$D42,BM!$AL$7:$AL$42)</f>
        <v>0</v>
      </c>
      <c r="AN42" s="3953"/>
      <c r="AO42" s="3823">
        <f t="shared" si="9"/>
        <v>0</v>
      </c>
      <c r="AP42" s="3824"/>
      <c r="AQ42" s="3822">
        <f t="shared" si="40"/>
        <v>0</v>
      </c>
      <c r="AR42" s="3821"/>
      <c r="AS42" s="3821">
        <f>+SUMIF(BM!$C$7:$C$42,$D42,BM!$AR$7:$AR$42)</f>
        <v>0</v>
      </c>
      <c r="AT42" s="3824"/>
      <c r="AU42" s="3822">
        <f t="shared" si="41"/>
        <v>0</v>
      </c>
      <c r="AV42" s="3821"/>
      <c r="AW42" s="3821">
        <f>+SUMIF(BM!$C$7:$C$42,$D42,BM!$AV$7:$AV$42)</f>
        <v>0</v>
      </c>
      <c r="AX42" s="3824"/>
      <c r="AY42" s="3822">
        <f t="shared" si="42"/>
        <v>0</v>
      </c>
      <c r="AZ42" s="3821"/>
      <c r="BA42" s="3821">
        <f>+SUMIF(BM!$C$7:$C$42,$D42,BM!$AZ$7:$AZ$42)</f>
        <v>0</v>
      </c>
      <c r="BB42" s="3953"/>
      <c r="BC42" s="3823">
        <f t="shared" si="43"/>
        <v>0</v>
      </c>
      <c r="BD42" s="3826"/>
      <c r="BE42" s="3827">
        <f t="shared" si="13"/>
        <v>0</v>
      </c>
      <c r="BF42" s="3824"/>
      <c r="BG42" s="3822">
        <f t="shared" si="44"/>
        <v>0</v>
      </c>
      <c r="BH42" s="23"/>
    </row>
    <row r="43" spans="3:61" ht="16.8" x14ac:dyDescent="0.3">
      <c r="C43" s="3819" t="s">
        <v>91</v>
      </c>
      <c r="D43" s="3819" t="s">
        <v>1075</v>
      </c>
      <c r="E43" s="6274"/>
      <c r="F43" s="3819"/>
      <c r="G43" s="3821">
        <f>+SUMIF(BM!$C$7:$C$42,$D43,BM!$F$7:$F$42)</f>
        <v>0</v>
      </c>
      <c r="H43" s="3821"/>
      <c r="I43" s="3821">
        <f>+SUMIF(BM!$C$7:$C$42,$D43,BM!$H$7:$H$42)</f>
        <v>0</v>
      </c>
      <c r="J43" s="3822"/>
      <c r="K43" s="3822">
        <f t="shared" si="1"/>
        <v>0</v>
      </c>
      <c r="L43" s="3821"/>
      <c r="M43" s="3821">
        <f>+SUMIF(BM!$C$7:$C$42,$D43,BM!$L$7:$L$42)</f>
        <v>1015.7500000000002</v>
      </c>
      <c r="N43" s="3823"/>
      <c r="O43" s="3823">
        <f t="shared" si="2"/>
        <v>1015.7500000000002</v>
      </c>
      <c r="P43" s="3821"/>
      <c r="Q43" s="3821">
        <f>+SUMIF(BM!$C$7:$C$42,$D43,BM!$P$7:$P$42)</f>
        <v>0</v>
      </c>
      <c r="R43" s="3824"/>
      <c r="S43" s="3822">
        <f t="shared" si="3"/>
        <v>1015.7500000000002</v>
      </c>
      <c r="T43" s="3821"/>
      <c r="U43" s="3821">
        <f>+SUMIF(BM!$C$7:$C$42,$D43,BM!$T$7:$T$42)</f>
        <v>0</v>
      </c>
      <c r="V43" s="3824"/>
      <c r="W43" s="3822">
        <f t="shared" si="4"/>
        <v>1015.7500000000002</v>
      </c>
      <c r="X43" s="3825"/>
      <c r="Y43" s="3821">
        <f>+SUMIF(BM!$C$7:$C$42,$D43,BM!$X$7:$X$42)</f>
        <v>0</v>
      </c>
      <c r="Z43" s="3823"/>
      <c r="AA43" s="3823">
        <f t="shared" si="5"/>
        <v>0</v>
      </c>
      <c r="AB43" s="3826"/>
      <c r="AC43" s="3827">
        <f t="shared" si="6"/>
        <v>1015.7500000000002</v>
      </c>
      <c r="AD43" s="3821"/>
      <c r="AE43" s="3821">
        <f>+SUMIF(BM!$C$7:$C$42,$D43,BM!$AD$7:$AD$42)</f>
        <v>0</v>
      </c>
      <c r="AF43" s="3824"/>
      <c r="AG43" s="3822">
        <f t="shared" si="7"/>
        <v>1015.7500000000002</v>
      </c>
      <c r="AH43" s="3821"/>
      <c r="AI43" s="3821">
        <f>+SUMIF(BM!$C$7:$C$42,$D43,BM!$AH$7:$AH$42)</f>
        <v>0</v>
      </c>
      <c r="AJ43" s="3824"/>
      <c r="AK43" s="3822">
        <f t="shared" si="39"/>
        <v>1015.7500000000002</v>
      </c>
      <c r="AL43" s="3821"/>
      <c r="AM43" s="3821">
        <f>+SUMIF(BM!$C$7:$C$42,$D43,BM!$AL$7:$AL$42)</f>
        <v>0</v>
      </c>
      <c r="AN43" s="3953"/>
      <c r="AO43" s="3823">
        <f t="shared" si="9"/>
        <v>0</v>
      </c>
      <c r="AP43" s="3824"/>
      <c r="AQ43" s="3822">
        <f t="shared" si="40"/>
        <v>1015.7500000000002</v>
      </c>
      <c r="AR43" s="3821"/>
      <c r="AS43" s="3821">
        <f>+SUMIF(BM!$C$7:$C$42,$D43,BM!$AR$7:$AR$42)</f>
        <v>0</v>
      </c>
      <c r="AT43" s="3824"/>
      <c r="AU43" s="3822">
        <f t="shared" si="41"/>
        <v>1015.7500000000002</v>
      </c>
      <c r="AV43" s="3821"/>
      <c r="AW43" s="3821">
        <f>+SUMIF(BM!$C$7:$C$42,$D43,BM!$AV$7:$AV$42)</f>
        <v>0</v>
      </c>
      <c r="AX43" s="3824"/>
      <c r="AY43" s="3822">
        <f t="shared" si="42"/>
        <v>1015.7500000000002</v>
      </c>
      <c r="AZ43" s="3821"/>
      <c r="BA43" s="3821">
        <f>+SUMIF(BM!$C$7:$C$42,$D43,BM!$AZ$7:$AZ$42)</f>
        <v>0</v>
      </c>
      <c r="BB43" s="3953"/>
      <c r="BC43" s="3823">
        <f t="shared" si="43"/>
        <v>0</v>
      </c>
      <c r="BD43" s="3826"/>
      <c r="BE43" s="3827">
        <f t="shared" si="13"/>
        <v>0</v>
      </c>
      <c r="BF43" s="3824"/>
      <c r="BG43" s="3822">
        <f t="shared" si="44"/>
        <v>1015.7500000000002</v>
      </c>
      <c r="BH43" s="23"/>
    </row>
    <row r="44" spans="3:61" ht="16.8" x14ac:dyDescent="0.3">
      <c r="C44" s="3819" t="s">
        <v>91</v>
      </c>
      <c r="D44" s="3819" t="s">
        <v>997</v>
      </c>
      <c r="E44" s="6274"/>
      <c r="F44" s="3819"/>
      <c r="G44" s="3821">
        <f>+SUMIF(BM!$C$7:$C$42,$D44,BM!$F$7:$F$42)</f>
        <v>3184.62</v>
      </c>
      <c r="H44" s="3821"/>
      <c r="I44" s="3821">
        <f>+SUMIF(BM!$C$7:$C$42,$D44,BM!$H$7:$H$42)</f>
        <v>2002.0549999999994</v>
      </c>
      <c r="J44" s="3822"/>
      <c r="K44" s="3822">
        <f t="shared" si="1"/>
        <v>5186.6749999999993</v>
      </c>
      <c r="L44" s="3821"/>
      <c r="M44" s="3821">
        <f>+SUMIF(BM!$C$7:$C$42,$D44,BM!$L$7:$L$42)</f>
        <v>1914.7949999999998</v>
      </c>
      <c r="N44" s="3823"/>
      <c r="O44" s="3823">
        <f t="shared" si="2"/>
        <v>7101.4699999999993</v>
      </c>
      <c r="P44" s="3821"/>
      <c r="Q44" s="3821">
        <f>+SUMIF(BM!$C$7:$C$42,$D44,BM!$P$7:$P$42)</f>
        <v>0</v>
      </c>
      <c r="R44" s="3824"/>
      <c r="S44" s="3822">
        <f t="shared" si="3"/>
        <v>7101.4699999999993</v>
      </c>
      <c r="T44" s="3821"/>
      <c r="U44" s="3821">
        <f>+SUMIF(BM!$C$7:$C$42,$D44,BM!$T$7:$T$42)</f>
        <v>4250.0749999999998</v>
      </c>
      <c r="V44" s="3824"/>
      <c r="W44" s="3822">
        <f t="shared" si="4"/>
        <v>11351.544999999998</v>
      </c>
      <c r="X44" s="3825"/>
      <c r="Y44" s="3821">
        <f>+SUMIF(BM!$C$7:$C$42,$D44,BM!$X$7:$X$42)</f>
        <v>2779.1549999999997</v>
      </c>
      <c r="Z44" s="3823"/>
      <c r="AA44" s="3823">
        <f t="shared" si="5"/>
        <v>7029.23</v>
      </c>
      <c r="AB44" s="3826"/>
      <c r="AC44" s="3827">
        <f t="shared" si="6"/>
        <v>14130.699999999999</v>
      </c>
      <c r="AD44" s="3821"/>
      <c r="AE44" s="3821">
        <f>+SUMIF(BM!$C$7:$C$42,$D44,BM!$AD$7:$AD$42)</f>
        <v>0</v>
      </c>
      <c r="AF44" s="3824"/>
      <c r="AG44" s="3822">
        <f t="shared" si="7"/>
        <v>14130.699999999999</v>
      </c>
      <c r="AH44" s="3821"/>
      <c r="AI44" s="3821">
        <f>+SUMIF(BM!$C$7:$C$42,$D44,BM!$AH$7:$AH$42)</f>
        <v>4114.5399999999991</v>
      </c>
      <c r="AJ44" s="3824"/>
      <c r="AK44" s="3822">
        <f t="shared" si="39"/>
        <v>18245.239999999998</v>
      </c>
      <c r="AL44" s="3821"/>
      <c r="AM44" s="3821">
        <f>+SUMIF(BM!$C$7:$C$42,$D44,BM!$AL$7:$AL$42)</f>
        <v>5056.7899999999991</v>
      </c>
      <c r="AN44" s="3953"/>
      <c r="AO44" s="3823">
        <f t="shared" si="9"/>
        <v>9171.3299999999981</v>
      </c>
      <c r="AP44" s="3824"/>
      <c r="AQ44" s="3822">
        <f t="shared" si="40"/>
        <v>23302.03</v>
      </c>
      <c r="AR44" s="3821"/>
      <c r="AS44" s="3821">
        <f>+SUMIF(BM!$C$7:$C$42,$D44,BM!$AR$7:$AR$42)</f>
        <v>1653.5350000000001</v>
      </c>
      <c r="AT44" s="3824"/>
      <c r="AU44" s="3822">
        <f t="shared" si="41"/>
        <v>24955.564999999999</v>
      </c>
      <c r="AV44" s="3821"/>
      <c r="AW44" s="3821">
        <f>+SUMIF(BM!$C$7:$C$42,$D44,BM!$AV$7:$AV$42)</f>
        <v>0</v>
      </c>
      <c r="AX44" s="3824"/>
      <c r="AY44" s="3822">
        <f t="shared" si="42"/>
        <v>24955.564999999999</v>
      </c>
      <c r="AZ44" s="3821"/>
      <c r="BA44" s="3821">
        <f>+SUMIF(BM!$C$7:$C$42,$D44,BM!$AZ$7:$AZ$42)</f>
        <v>0</v>
      </c>
      <c r="BB44" s="3953"/>
      <c r="BC44" s="3823">
        <f t="shared" si="43"/>
        <v>1653.5350000000001</v>
      </c>
      <c r="BD44" s="3826"/>
      <c r="BE44" s="3827">
        <f t="shared" si="13"/>
        <v>10824.864999999998</v>
      </c>
      <c r="BF44" s="3824"/>
      <c r="BG44" s="3822">
        <f t="shared" si="44"/>
        <v>24955.564999999999</v>
      </c>
      <c r="BH44" s="23"/>
    </row>
    <row r="45" spans="3:61" ht="16.8" x14ac:dyDescent="0.3">
      <c r="C45" s="3819" t="s">
        <v>91</v>
      </c>
      <c r="D45" s="3819" t="s">
        <v>965</v>
      </c>
      <c r="E45" s="6274"/>
      <c r="F45" s="3819"/>
      <c r="G45" s="3821">
        <f>+SUMIF(BM!$C$7:$C$42,$D45,BM!$F$7:$F$42)</f>
        <v>0</v>
      </c>
      <c r="H45" s="3821"/>
      <c r="I45" s="3821">
        <f>+SUMIF(BM!$C$7:$C$42,$D45,BM!$H$7:$H$42)</f>
        <v>0</v>
      </c>
      <c r="J45" s="3822"/>
      <c r="K45" s="3822">
        <f t="shared" si="1"/>
        <v>0</v>
      </c>
      <c r="L45" s="3821"/>
      <c r="M45" s="3821">
        <f>+SUMIF(BM!$C$7:$C$42,$D45,BM!$L$7:$L$42)</f>
        <v>0</v>
      </c>
      <c r="N45" s="3823"/>
      <c r="O45" s="3823">
        <f t="shared" si="2"/>
        <v>0</v>
      </c>
      <c r="P45" s="3821"/>
      <c r="Q45" s="3821">
        <f>+SUMIF(BM!$C$7:$C$42,$D45,BM!$P$7:$P$42)</f>
        <v>0</v>
      </c>
      <c r="R45" s="3824"/>
      <c r="S45" s="3822">
        <f t="shared" si="3"/>
        <v>0</v>
      </c>
      <c r="T45" s="3821"/>
      <c r="U45" s="3821">
        <f>+SUMIF(BM!$C$7:$C$42,$D45,BM!$T$7:$T$42)</f>
        <v>0</v>
      </c>
      <c r="V45" s="3824"/>
      <c r="W45" s="3822">
        <f t="shared" si="4"/>
        <v>0</v>
      </c>
      <c r="X45" s="3825"/>
      <c r="Y45" s="3821">
        <f>+SUMIF(BM!$C$7:$C$42,$D45,BM!$X$7:$X$42)</f>
        <v>0</v>
      </c>
      <c r="Z45" s="3823"/>
      <c r="AA45" s="3823">
        <f t="shared" si="5"/>
        <v>0</v>
      </c>
      <c r="AB45" s="3826"/>
      <c r="AC45" s="3827">
        <f t="shared" si="6"/>
        <v>0</v>
      </c>
      <c r="AD45" s="3821"/>
      <c r="AE45" s="3821">
        <f>+SUMIF(BM!$C$7:$C$42,$D45,BM!$AD$7:$AD$42)</f>
        <v>0</v>
      </c>
      <c r="AF45" s="3824"/>
      <c r="AG45" s="3822">
        <f t="shared" si="7"/>
        <v>0</v>
      </c>
      <c r="AH45" s="3821"/>
      <c r="AI45" s="3821">
        <f>+SUMIF(BM!$C$7:$C$42,$D45,BM!$AH$7:$AH$42)</f>
        <v>0</v>
      </c>
      <c r="AJ45" s="3824"/>
      <c r="AK45" s="3822">
        <f t="shared" si="39"/>
        <v>0</v>
      </c>
      <c r="AL45" s="3821"/>
      <c r="AM45" s="3821">
        <f>+SUMIF(BM!$C$7:$C$42,$D45,BM!$AL$7:$AL$42)</f>
        <v>0</v>
      </c>
      <c r="AN45" s="3953"/>
      <c r="AO45" s="3823">
        <f t="shared" si="9"/>
        <v>0</v>
      </c>
      <c r="AP45" s="3824"/>
      <c r="AQ45" s="3822">
        <f t="shared" si="40"/>
        <v>0</v>
      </c>
      <c r="AR45" s="3821"/>
      <c r="AS45" s="3821">
        <f>+SUMIF(BM!$C$7:$C$42,$D45,BM!$AR$7:$AR$42)</f>
        <v>0</v>
      </c>
      <c r="AT45" s="3824"/>
      <c r="AU45" s="3822">
        <f t="shared" si="41"/>
        <v>0</v>
      </c>
      <c r="AV45" s="3821"/>
      <c r="AW45" s="3821">
        <f>+SUMIF(BM!$C$7:$C$42,$D45,BM!$AV$7:$AV$42)</f>
        <v>0</v>
      </c>
      <c r="AX45" s="3824"/>
      <c r="AY45" s="3822">
        <f t="shared" si="42"/>
        <v>0</v>
      </c>
      <c r="AZ45" s="3821"/>
      <c r="BA45" s="3821">
        <f>+SUMIF(BM!$C$7:$C$42,$D45,BM!$AZ$7:$AZ$42)</f>
        <v>0</v>
      </c>
      <c r="BB45" s="3953"/>
      <c r="BC45" s="3823">
        <f t="shared" si="43"/>
        <v>0</v>
      </c>
      <c r="BD45" s="3826"/>
      <c r="BE45" s="3827">
        <f t="shared" si="13"/>
        <v>0</v>
      </c>
      <c r="BF45" s="3824"/>
      <c r="BG45" s="3822">
        <f t="shared" si="44"/>
        <v>0</v>
      </c>
      <c r="BH45" s="23"/>
    </row>
    <row r="46" spans="3:61" ht="16.8" x14ac:dyDescent="0.3">
      <c r="C46" s="6270" t="s">
        <v>922</v>
      </c>
      <c r="D46" s="6270"/>
      <c r="E46" s="6274"/>
      <c r="F46" s="3834"/>
      <c r="G46" s="3835">
        <f>SUM(G39:G45)</f>
        <v>74661.040000000066</v>
      </c>
      <c r="H46" s="3835">
        <f t="shared" ref="H46:AK46" si="45">SUM(H39:H45)</f>
        <v>0</v>
      </c>
      <c r="I46" s="3835">
        <f t="shared" si="45"/>
        <v>33192.920000000035</v>
      </c>
      <c r="J46" s="3835">
        <f t="shared" si="45"/>
        <v>0</v>
      </c>
      <c r="K46" s="3822">
        <f t="shared" si="1"/>
        <v>107853.96000000011</v>
      </c>
      <c r="L46" s="3835">
        <f t="shared" si="45"/>
        <v>0</v>
      </c>
      <c r="M46" s="3835">
        <f t="shared" si="45"/>
        <v>73644.015000000058</v>
      </c>
      <c r="N46" s="3835">
        <f t="shared" si="45"/>
        <v>0</v>
      </c>
      <c r="O46" s="3837">
        <f t="shared" si="45"/>
        <v>181497.97500000018</v>
      </c>
      <c r="P46" s="3835">
        <f t="shared" si="45"/>
        <v>0</v>
      </c>
      <c r="Q46" s="3835">
        <f t="shared" si="45"/>
        <v>88056.490000000093</v>
      </c>
      <c r="R46" s="3835">
        <f t="shared" si="45"/>
        <v>0</v>
      </c>
      <c r="S46" s="3836">
        <f t="shared" si="45"/>
        <v>269554.46500000026</v>
      </c>
      <c r="T46" s="3835">
        <f t="shared" si="45"/>
        <v>0</v>
      </c>
      <c r="U46" s="3835">
        <f t="shared" si="45"/>
        <v>75853.695000000051</v>
      </c>
      <c r="V46" s="3835">
        <f t="shared" si="45"/>
        <v>0</v>
      </c>
      <c r="W46" s="3836">
        <f t="shared" si="45"/>
        <v>345408.16000000032</v>
      </c>
      <c r="X46" s="3835">
        <f t="shared" si="45"/>
        <v>0</v>
      </c>
      <c r="Y46" s="3835">
        <f t="shared" si="45"/>
        <v>76319.035000000076</v>
      </c>
      <c r="Z46" s="3835">
        <f t="shared" si="45"/>
        <v>0</v>
      </c>
      <c r="AA46" s="3837">
        <f t="shared" si="45"/>
        <v>240229.22000000023</v>
      </c>
      <c r="AB46" s="3835">
        <f t="shared" si="45"/>
        <v>0</v>
      </c>
      <c r="AC46" s="3838">
        <f t="shared" si="45"/>
        <v>421727.19500000036</v>
      </c>
      <c r="AD46" s="3835">
        <f t="shared" si="45"/>
        <v>0</v>
      </c>
      <c r="AE46" s="3835">
        <f>SUM(AE39:AE45)</f>
        <v>50950.275000000074</v>
      </c>
      <c r="AF46" s="3835">
        <f t="shared" si="45"/>
        <v>0</v>
      </c>
      <c r="AG46" s="3836">
        <f t="shared" si="45"/>
        <v>472677.47000000038</v>
      </c>
      <c r="AH46" s="3835">
        <f t="shared" si="45"/>
        <v>0</v>
      </c>
      <c r="AI46" s="3835">
        <f t="shared" si="45"/>
        <v>69720.765000000058</v>
      </c>
      <c r="AJ46" s="3835">
        <f t="shared" si="45"/>
        <v>0</v>
      </c>
      <c r="AK46" s="3836">
        <f t="shared" si="45"/>
        <v>542398.23500000045</v>
      </c>
      <c r="AL46" s="3835">
        <f t="shared" ref="AL46:AQ46" si="46">SUM(AL39:AL45)</f>
        <v>0</v>
      </c>
      <c r="AM46" s="3835">
        <f t="shared" si="46"/>
        <v>81616.765000000145</v>
      </c>
      <c r="AN46" s="3954"/>
      <c r="AO46" s="3837">
        <f t="shared" ref="AO46" si="47">SUM(AO39:AO45)</f>
        <v>202287.80500000025</v>
      </c>
      <c r="AP46" s="3835">
        <f t="shared" si="46"/>
        <v>0</v>
      </c>
      <c r="AQ46" s="3836">
        <f t="shared" si="46"/>
        <v>624015.0000000007</v>
      </c>
      <c r="AR46" s="3835">
        <f t="shared" ref="AR46:AU46" si="48">SUM(AR39:AR45)</f>
        <v>0</v>
      </c>
      <c r="AS46" s="3835">
        <f t="shared" si="48"/>
        <v>85804.600000000122</v>
      </c>
      <c r="AT46" s="3835">
        <f t="shared" si="48"/>
        <v>0</v>
      </c>
      <c r="AU46" s="3836">
        <f t="shared" si="48"/>
        <v>709819.60000000068</v>
      </c>
      <c r="AV46" s="3835">
        <f t="shared" ref="AV46:AY46" si="49">SUM(AV39:AV45)</f>
        <v>0</v>
      </c>
      <c r="AW46" s="3835">
        <f t="shared" si="49"/>
        <v>74058.320000000094</v>
      </c>
      <c r="AX46" s="3835">
        <f t="shared" si="49"/>
        <v>0</v>
      </c>
      <c r="AY46" s="3836">
        <f t="shared" si="49"/>
        <v>783877.92000000086</v>
      </c>
      <c r="AZ46" s="3835">
        <f t="shared" ref="AZ46:BG46" si="50">SUM(AZ39:AZ45)</f>
        <v>0</v>
      </c>
      <c r="BA46" s="3835">
        <f t="shared" si="50"/>
        <v>81200</v>
      </c>
      <c r="BB46" s="3954"/>
      <c r="BC46" s="3837">
        <f t="shared" ref="BC46:BE46" si="51">SUM(BC39:BC45)</f>
        <v>241062.92000000022</v>
      </c>
      <c r="BD46" s="3835">
        <f t="shared" si="51"/>
        <v>0</v>
      </c>
      <c r="BE46" s="3838">
        <f t="shared" si="51"/>
        <v>443350.7250000005</v>
      </c>
      <c r="BF46" s="3835">
        <f t="shared" si="50"/>
        <v>0</v>
      </c>
      <c r="BG46" s="3836">
        <f t="shared" si="50"/>
        <v>865077.92000000086</v>
      </c>
      <c r="BH46" s="23"/>
    </row>
    <row r="47" spans="3:61" ht="16.8" x14ac:dyDescent="0.3">
      <c r="C47" s="3819" t="s">
        <v>109</v>
      </c>
      <c r="D47" s="3819" t="s">
        <v>966</v>
      </c>
      <c r="E47" s="6274"/>
      <c r="F47" s="3819"/>
      <c r="G47" s="3821">
        <f>SUMIF(USM!$C$8:$C$103,$D47,USM!G$8:G$103)</f>
        <v>35692.686000000002</v>
      </c>
      <c r="H47" s="3821"/>
      <c r="I47" s="3821">
        <f>SUMIF(USM!$C$8:$C$103,$D47,USM!I$8:I$103)</f>
        <v>7393.7580000000007</v>
      </c>
      <c r="J47" s="3822"/>
      <c r="K47" s="3822">
        <f t="shared" si="1"/>
        <v>43086.444000000003</v>
      </c>
      <c r="L47" s="3821"/>
      <c r="M47" s="3821">
        <f>SUMIF(USM!$C$8:$C$103,$D47,USM!M$8:M$103)</f>
        <v>37591.116999999998</v>
      </c>
      <c r="N47" s="3823"/>
      <c r="O47" s="3823">
        <f t="shared" si="2"/>
        <v>80677.561000000002</v>
      </c>
      <c r="P47" s="3821"/>
      <c r="Q47" s="3821">
        <f>SUMIF(USM!$C$8:$C$103,$D47,USM!Q$8:Q$103)</f>
        <v>37515.043000000005</v>
      </c>
      <c r="R47" s="3824"/>
      <c r="S47" s="3822">
        <f t="shared" si="3"/>
        <v>118192.60400000001</v>
      </c>
      <c r="T47" s="3821"/>
      <c r="U47" s="3821">
        <f>SUMIF(USM!$C$8:$C$103,$D47,USM!U$8:U$103)</f>
        <v>36064.487999999998</v>
      </c>
      <c r="V47" s="3824"/>
      <c r="W47" s="3822">
        <f t="shared" si="4"/>
        <v>154257.092</v>
      </c>
      <c r="X47" s="3825"/>
      <c r="Y47" s="3821">
        <f>SUMIF(USM!$C$8:$C$103,$D47,USM!Y$8:Y$103)</f>
        <v>36027.360000000001</v>
      </c>
      <c r="Z47" s="3823"/>
      <c r="AA47" s="3823">
        <f t="shared" si="5"/>
        <v>109606.891</v>
      </c>
      <c r="AB47" s="3826"/>
      <c r="AC47" s="3827">
        <f t="shared" si="6"/>
        <v>190284.45199999999</v>
      </c>
      <c r="AD47" s="3821"/>
      <c r="AE47" s="3821">
        <f>SUMIF(USM!$C$8:$C$103,$D47,USM!AE$8:AE$103)</f>
        <v>21398.575000000004</v>
      </c>
      <c r="AF47" s="3824"/>
      <c r="AG47" s="3822">
        <f t="shared" si="7"/>
        <v>211683.027</v>
      </c>
      <c r="AH47" s="3821"/>
      <c r="AI47" s="3821">
        <f>SUMIF(USM!$C$8:$C$103,$D47,USM!AI$8:AI$103)</f>
        <v>36895.741999999991</v>
      </c>
      <c r="AJ47" s="3824"/>
      <c r="AK47" s="3822">
        <f t="shared" si="39"/>
        <v>248578.769</v>
      </c>
      <c r="AL47" s="3821"/>
      <c r="AM47" s="3821">
        <f>SUMIF(USM!$C$8:$C$103,$D47,USM!AM$8:AM$103)</f>
        <v>42720.680999999997</v>
      </c>
      <c r="AN47" s="3953"/>
      <c r="AO47" s="3823">
        <f t="shared" si="9"/>
        <v>101014.99799999999</v>
      </c>
      <c r="AP47" s="3824"/>
      <c r="AQ47" s="3822">
        <f t="shared" ref="AQ47:AQ53" si="52">+AK47+AM47</f>
        <v>291299.45</v>
      </c>
      <c r="AR47" s="3821"/>
      <c r="AS47" s="3821">
        <f>SUMIF(USM!$C$8:$C$103,$D47,USM!AS$8:AS$103)</f>
        <v>38285.017999999996</v>
      </c>
      <c r="AT47" s="3824"/>
      <c r="AU47" s="3822">
        <f t="shared" ref="AU47:AU53" si="53">+AQ47+AS47</f>
        <v>329584.46799999999</v>
      </c>
      <c r="AV47" s="3821"/>
      <c r="AW47" s="3821">
        <f>SUMIF(USM!$C$8:$C$103,$D47,USM!AW$8:AW$103)</f>
        <v>47132.118000000009</v>
      </c>
      <c r="AX47" s="3824"/>
      <c r="AY47" s="3822">
        <f t="shared" ref="AY47:AY53" si="54">+AU47+AW47</f>
        <v>376716.58600000001</v>
      </c>
      <c r="AZ47" s="3821"/>
      <c r="BA47" s="3821">
        <f>SUMIF(USM!$C$8:$C$103,$D47,USM!BA$8:BA$103)</f>
        <v>50708.168999999994</v>
      </c>
      <c r="BB47" s="3953"/>
      <c r="BC47" s="3823">
        <f t="shared" ref="BC47:BC53" si="55">AS47+AW47+BA47</f>
        <v>136125.30499999999</v>
      </c>
      <c r="BD47" s="3826"/>
      <c r="BE47" s="3827">
        <f t="shared" si="13"/>
        <v>237140.30299999999</v>
      </c>
      <c r="BF47" s="3824"/>
      <c r="BG47" s="3822">
        <f t="shared" ref="BG47:BG53" si="56">+AY47+BA47</f>
        <v>427424.755</v>
      </c>
      <c r="BH47" s="23"/>
    </row>
    <row r="48" spans="3:61" ht="16.8" x14ac:dyDescent="0.3">
      <c r="C48" s="3819" t="s">
        <v>109</v>
      </c>
      <c r="D48" s="3819" t="s">
        <v>1291</v>
      </c>
      <c r="E48" s="6274"/>
      <c r="F48" s="3819"/>
      <c r="G48" s="3821">
        <f>SUMIF(USM!$C$8:$C$103,$D48,USM!G$8:G$103)</f>
        <v>2426.3939999999998</v>
      </c>
      <c r="H48" s="3821"/>
      <c r="I48" s="3821">
        <f>SUMIF(USM!$C$8:$C$103,$D48,USM!I$8:I$103)</f>
        <v>2879.5259999999994</v>
      </c>
      <c r="J48" s="3822"/>
      <c r="K48" s="3822">
        <f t="shared" si="1"/>
        <v>5305.9199999999992</v>
      </c>
      <c r="L48" s="3821"/>
      <c r="M48" s="3821">
        <f>SUMIF(USM!$C$8:$C$103,$D48,USM!M$8:M$103)</f>
        <v>2518.1869999999999</v>
      </c>
      <c r="N48" s="3823"/>
      <c r="O48" s="3823">
        <f t="shared" si="2"/>
        <v>7824.1069999999991</v>
      </c>
      <c r="P48" s="3821"/>
      <c r="Q48" s="3821">
        <f>SUMIF(USM!$C$8:$C$103,$D48,USM!Q$8:Q$103)</f>
        <v>2855.9759999999992</v>
      </c>
      <c r="R48" s="3824"/>
      <c r="S48" s="3822">
        <f t="shared" si="3"/>
        <v>10680.082999999999</v>
      </c>
      <c r="T48" s="3821"/>
      <c r="U48" s="3821">
        <f>SUMIF(USM!$C$8:$C$103,$D48,USM!U$8:U$103)</f>
        <v>1438.2529999999997</v>
      </c>
      <c r="V48" s="3824"/>
      <c r="W48" s="3822">
        <f t="shared" si="4"/>
        <v>12118.335999999999</v>
      </c>
      <c r="X48" s="3825"/>
      <c r="Y48" s="3821">
        <f>SUMIF(USM!$C$8:$C$103,$D48,USM!Y$8:Y$103)</f>
        <v>57.984000000000009</v>
      </c>
      <c r="Z48" s="3823"/>
      <c r="AA48" s="3823">
        <f t="shared" si="5"/>
        <v>4352.2129999999997</v>
      </c>
      <c r="AB48" s="3826"/>
      <c r="AC48" s="3827">
        <f t="shared" si="6"/>
        <v>12176.32</v>
      </c>
      <c r="AD48" s="3821"/>
      <c r="AE48" s="3821">
        <f>SUMIF(USM!$C$8:$C$103,$D48,USM!AE$8:AE$103)</f>
        <v>215.73599999999999</v>
      </c>
      <c r="AF48" s="3824"/>
      <c r="AG48" s="3822">
        <f t="shared" si="7"/>
        <v>12392.056</v>
      </c>
      <c r="AH48" s="3821"/>
      <c r="AI48" s="3821">
        <f>SUMIF(USM!$C$8:$C$103,$D48,USM!AI$8:AI$103)</f>
        <v>2549.181</v>
      </c>
      <c r="AJ48" s="3824"/>
      <c r="AK48" s="3822">
        <f t="shared" si="39"/>
        <v>14941.237000000001</v>
      </c>
      <c r="AL48" s="3821"/>
      <c r="AM48" s="3821">
        <f>SUMIF(USM!$C$8:$C$103,$D48,USM!AM$8:AM$103)</f>
        <v>0</v>
      </c>
      <c r="AN48" s="3953"/>
      <c r="AO48" s="3823">
        <f t="shared" si="9"/>
        <v>2764.9169999999999</v>
      </c>
      <c r="AP48" s="3824"/>
      <c r="AQ48" s="3822">
        <f t="shared" si="52"/>
        <v>14941.237000000001</v>
      </c>
      <c r="AR48" s="3821"/>
      <c r="AS48" s="3821">
        <f>SUMIF(USM!$C$8:$C$103,$D48,USM!AS$8:AS$103)</f>
        <v>3795.9500000000007</v>
      </c>
      <c r="AT48" s="3824"/>
      <c r="AU48" s="3822">
        <f t="shared" si="53"/>
        <v>18737.187000000002</v>
      </c>
      <c r="AV48" s="3821"/>
      <c r="AW48" s="3821">
        <f>SUMIF(USM!$C$8:$C$103,$D48,USM!AW$8:AW$103)</f>
        <v>0</v>
      </c>
      <c r="AX48" s="3824"/>
      <c r="AY48" s="3822">
        <f t="shared" si="54"/>
        <v>18737.187000000002</v>
      </c>
      <c r="AZ48" s="3821"/>
      <c r="BA48" s="3821">
        <f>SUMIF(USM!$C$8:$C$103,$D48,USM!BA$8:BA$103)</f>
        <v>1738.6020000000001</v>
      </c>
      <c r="BB48" s="3953"/>
      <c r="BC48" s="3823">
        <f t="shared" si="55"/>
        <v>5534.5520000000006</v>
      </c>
      <c r="BD48" s="3826"/>
      <c r="BE48" s="3827">
        <f t="shared" si="13"/>
        <v>8299.469000000001</v>
      </c>
      <c r="BF48" s="3824"/>
      <c r="BG48" s="3822">
        <f t="shared" si="56"/>
        <v>20475.789000000001</v>
      </c>
      <c r="BH48" s="23"/>
    </row>
    <row r="49" spans="3:61" ht="16.8" x14ac:dyDescent="0.3">
      <c r="C49" s="3819" t="s">
        <v>109</v>
      </c>
      <c r="D49" s="3819" t="s">
        <v>1523</v>
      </c>
      <c r="E49" s="6274"/>
      <c r="F49" s="3819"/>
      <c r="G49" s="3821">
        <f>SUMIF(USM!$C$8:$C$103,$D49,USM!G$8:G$103)</f>
        <v>0</v>
      </c>
      <c r="H49" s="3821"/>
      <c r="I49" s="3821">
        <f>SUMIF(USM!$C$8:$C$103,$D49,USM!I$8:I$103)</f>
        <v>0</v>
      </c>
      <c r="J49" s="3822"/>
      <c r="K49" s="3822">
        <f t="shared" si="1"/>
        <v>0</v>
      </c>
      <c r="L49" s="3821"/>
      <c r="M49" s="3821">
        <f>SUMIF(USM!$C$8:$C$103,$D49,USM!M$8:M$103)</f>
        <v>700.48399999999992</v>
      </c>
      <c r="N49" s="3823"/>
      <c r="O49" s="3823">
        <f t="shared" si="2"/>
        <v>700.48399999999992</v>
      </c>
      <c r="P49" s="3821"/>
      <c r="Q49" s="3821">
        <f>SUMIF(USM!$C$8:$C$103,$D49,USM!Q$8:Q$103)</f>
        <v>934.69800000000009</v>
      </c>
      <c r="R49" s="3824"/>
      <c r="S49" s="3822">
        <f t="shared" si="3"/>
        <v>1635.182</v>
      </c>
      <c r="T49" s="3821"/>
      <c r="U49" s="3821">
        <f>SUMIF(USM!$C$8:$C$103,$D49,USM!U$8:U$103)</f>
        <v>84.19</v>
      </c>
      <c r="V49" s="3824"/>
      <c r="W49" s="3822">
        <f t="shared" si="4"/>
        <v>1719.3720000000001</v>
      </c>
      <c r="X49" s="3825"/>
      <c r="Y49" s="3821">
        <f>SUMIF(USM!$C$8:$C$103,$D49,USM!Y$8:Y$103)</f>
        <v>471.18099999999998</v>
      </c>
      <c r="Z49" s="3823"/>
      <c r="AA49" s="3823">
        <f t="shared" si="5"/>
        <v>1490.0690000000002</v>
      </c>
      <c r="AB49" s="3826"/>
      <c r="AC49" s="3827">
        <f t="shared" si="6"/>
        <v>2190.5529999999999</v>
      </c>
      <c r="AD49" s="3821"/>
      <c r="AE49" s="3821">
        <f>SUMIF(USM!$C$8:$C$103,$D49,USM!AE$8:AE$103)</f>
        <v>0</v>
      </c>
      <c r="AF49" s="3824"/>
      <c r="AG49" s="3822">
        <f t="shared" si="7"/>
        <v>2190.5529999999999</v>
      </c>
      <c r="AH49" s="3821"/>
      <c r="AI49" s="3821">
        <f>SUMIF(USM!$C$8:$C$103,$D49,USM!AI$8:AI$103)</f>
        <v>368.22899999999998</v>
      </c>
      <c r="AJ49" s="3824"/>
      <c r="AK49" s="3822">
        <f t="shared" si="39"/>
        <v>2558.7819999999997</v>
      </c>
      <c r="AL49" s="3821"/>
      <c r="AM49" s="3821">
        <f>SUMIF(USM!$C$8:$C$103,$D49,USM!AM$8:AM$103)</f>
        <v>34.414000000000001</v>
      </c>
      <c r="AN49" s="3953"/>
      <c r="AO49" s="3823">
        <f t="shared" si="9"/>
        <v>402.64299999999997</v>
      </c>
      <c r="AP49" s="3824"/>
      <c r="AQ49" s="3822">
        <f t="shared" si="52"/>
        <v>2593.1959999999999</v>
      </c>
      <c r="AR49" s="3821"/>
      <c r="AS49" s="3821">
        <f>SUMIF(USM!$C$8:$C$103,$D49,USM!AS$8:AS$103)</f>
        <v>0</v>
      </c>
      <c r="AT49" s="3824"/>
      <c r="AU49" s="3822">
        <f t="shared" si="53"/>
        <v>2593.1959999999999</v>
      </c>
      <c r="AV49" s="3821"/>
      <c r="AW49" s="3821">
        <f>SUMIF(USM!$C$8:$C$103,$D49,USM!AW$8:AW$103)</f>
        <v>112.935</v>
      </c>
      <c r="AX49" s="3824"/>
      <c r="AY49" s="3822">
        <f t="shared" si="54"/>
        <v>2706.1309999999999</v>
      </c>
      <c r="AZ49" s="3821"/>
      <c r="BA49" s="3821">
        <f>SUMIF(USM!$C$8:$C$103,$D49,USM!BA$8:BA$103)</f>
        <v>360.86999999999995</v>
      </c>
      <c r="BB49" s="3953"/>
      <c r="BC49" s="3823">
        <f t="shared" si="55"/>
        <v>473.80499999999995</v>
      </c>
      <c r="BD49" s="3826"/>
      <c r="BE49" s="3827">
        <f t="shared" si="13"/>
        <v>876.44799999999987</v>
      </c>
      <c r="BF49" s="3824"/>
      <c r="BG49" s="3822">
        <f t="shared" si="56"/>
        <v>3067.0009999999997</v>
      </c>
      <c r="BH49" s="23"/>
      <c r="BI49" s="23"/>
    </row>
    <row r="50" spans="3:61" ht="16.8" x14ac:dyDescent="0.3">
      <c r="C50" s="3819" t="s">
        <v>109</v>
      </c>
      <c r="D50" s="3819" t="s">
        <v>901</v>
      </c>
      <c r="E50" s="6274"/>
      <c r="F50" s="3819"/>
      <c r="G50" s="3821">
        <f>SUMIF(USM!$C$8:$C$103,$D50,USM!G$8:G$103)</f>
        <v>13092.567999999999</v>
      </c>
      <c r="H50" s="3821"/>
      <c r="I50" s="3821">
        <f>SUMIF(USM!$C$8:$C$103,$D50,USM!I$8:I$103)</f>
        <v>262.63400000000001</v>
      </c>
      <c r="J50" s="3822"/>
      <c r="K50" s="3822">
        <f t="shared" si="1"/>
        <v>13355.201999999999</v>
      </c>
      <c r="L50" s="3821"/>
      <c r="M50" s="3821">
        <f>SUMIF(USM!$C$8:$C$103,$D50,USM!M$8:M$103)</f>
        <v>15766.755000000001</v>
      </c>
      <c r="N50" s="3823"/>
      <c r="O50" s="3823">
        <f t="shared" si="2"/>
        <v>29121.957000000002</v>
      </c>
      <c r="P50" s="3821"/>
      <c r="Q50" s="3821">
        <f>SUMIF(USM!$C$8:$C$103,$D50,USM!Q$8:Q$103)</f>
        <v>11945.610999999999</v>
      </c>
      <c r="R50" s="3824"/>
      <c r="S50" s="3822">
        <f t="shared" si="3"/>
        <v>41067.567999999999</v>
      </c>
      <c r="T50" s="3821"/>
      <c r="U50" s="3821">
        <f>SUMIF(USM!$C$8:$C$103,$D50,USM!U$8:U$103)</f>
        <v>5801.0050000000001</v>
      </c>
      <c r="V50" s="3824"/>
      <c r="W50" s="3822">
        <f t="shared" si="4"/>
        <v>46868.572999999997</v>
      </c>
      <c r="X50" s="3825"/>
      <c r="Y50" s="3821">
        <f>SUMIF(USM!$C$8:$C$103,$D50,USM!Y$8:Y$103)</f>
        <v>11476.604000000001</v>
      </c>
      <c r="Z50" s="3823"/>
      <c r="AA50" s="3823">
        <f t="shared" si="5"/>
        <v>29223.22</v>
      </c>
      <c r="AB50" s="3826"/>
      <c r="AC50" s="3827">
        <f t="shared" si="6"/>
        <v>58345.177000000003</v>
      </c>
      <c r="AD50" s="3821"/>
      <c r="AE50" s="3821">
        <f>SUMIF(USM!$C$8:$C$103,$D50,USM!AE$8:AE$103)</f>
        <v>5961.8090000000002</v>
      </c>
      <c r="AF50" s="3824"/>
      <c r="AG50" s="3822">
        <f t="shared" si="7"/>
        <v>64306.986000000004</v>
      </c>
      <c r="AH50" s="3821"/>
      <c r="AI50" s="3821">
        <f>SUMIF(USM!$C$8:$C$103,$D50,USM!AI$8:AI$103)</f>
        <v>6030.4699999999993</v>
      </c>
      <c r="AJ50" s="3824"/>
      <c r="AK50" s="3822">
        <f t="shared" si="39"/>
        <v>70337.456000000006</v>
      </c>
      <c r="AL50" s="3821"/>
      <c r="AM50" s="3821">
        <f>SUMIF(USM!$C$8:$C$103,$D50,USM!AM$8:AM$103)</f>
        <v>9293.3559999999979</v>
      </c>
      <c r="AN50" s="3953"/>
      <c r="AO50" s="3823">
        <f t="shared" si="9"/>
        <v>21285.634999999995</v>
      </c>
      <c r="AP50" s="3824"/>
      <c r="AQ50" s="3822">
        <f t="shared" si="52"/>
        <v>79630.812000000005</v>
      </c>
      <c r="AR50" s="3821"/>
      <c r="AS50" s="3821">
        <f>SUMIF(USM!$C$8:$C$103,$D50,USM!AS$8:AS$103)</f>
        <v>13085.248000000001</v>
      </c>
      <c r="AT50" s="3824"/>
      <c r="AU50" s="3822">
        <f t="shared" si="53"/>
        <v>92716.060000000012</v>
      </c>
      <c r="AV50" s="3821"/>
      <c r="AW50" s="3821">
        <f>SUMIF(USM!$C$8:$C$103,$D50,USM!AW$8:AW$103)</f>
        <v>6516.0370000000003</v>
      </c>
      <c r="AX50" s="3824"/>
      <c r="AY50" s="3822">
        <f t="shared" si="54"/>
        <v>99232.097000000009</v>
      </c>
      <c r="AZ50" s="3821"/>
      <c r="BA50" s="3821">
        <f>SUMIF(USM!$C$8:$C$103,$D50,USM!BA$8:BA$103)</f>
        <v>10155.597999999998</v>
      </c>
      <c r="BB50" s="3953"/>
      <c r="BC50" s="3823">
        <f t="shared" si="55"/>
        <v>29756.883000000002</v>
      </c>
      <c r="BD50" s="3826"/>
      <c r="BE50" s="3827">
        <f t="shared" si="13"/>
        <v>51042.517999999996</v>
      </c>
      <c r="BF50" s="3824"/>
      <c r="BG50" s="3822">
        <f t="shared" si="56"/>
        <v>109387.69500000001</v>
      </c>
      <c r="BH50" s="23"/>
    </row>
    <row r="51" spans="3:61" ht="16.8" x14ac:dyDescent="0.3">
      <c r="C51" s="3819" t="s">
        <v>109</v>
      </c>
      <c r="D51" s="3819" t="s">
        <v>1536</v>
      </c>
      <c r="E51" s="6274"/>
      <c r="F51" s="3819"/>
      <c r="G51" s="3821">
        <f>SUMIF(USM!$C$8:$C$103,$D51,USM!G$8:G$103)</f>
        <v>1308.4059999999999</v>
      </c>
      <c r="H51" s="3821"/>
      <c r="I51" s="3821">
        <f>SUMIF(USM!$C$8:$C$103,$D51,USM!I$8:I$103)</f>
        <v>0</v>
      </c>
      <c r="J51" s="3822"/>
      <c r="K51" s="3822">
        <f t="shared" si="1"/>
        <v>1308.4059999999999</v>
      </c>
      <c r="L51" s="3821"/>
      <c r="M51" s="3821">
        <f>SUMIF(USM!$C$8:$C$103,$D51,USM!M$8:M$103)</f>
        <v>1868.2280000000001</v>
      </c>
      <c r="N51" s="3823"/>
      <c r="O51" s="3823">
        <f t="shared" si="2"/>
        <v>3176.634</v>
      </c>
      <c r="P51" s="3821"/>
      <c r="Q51" s="3821">
        <f>SUMIF(USM!$C$8:$C$103,$D51,USM!Q$8:Q$103)</f>
        <v>3775.3629999999994</v>
      </c>
      <c r="R51" s="3824"/>
      <c r="S51" s="3822">
        <f t="shared" si="3"/>
        <v>6951.9969999999994</v>
      </c>
      <c r="T51" s="3821"/>
      <c r="U51" s="3821">
        <f>SUMIF(USM!$C$8:$C$103,$D51,USM!U$8:U$103)</f>
        <v>225.51100000000002</v>
      </c>
      <c r="V51" s="3824"/>
      <c r="W51" s="3822">
        <f t="shared" si="4"/>
        <v>7177.5079999999998</v>
      </c>
      <c r="X51" s="3825"/>
      <c r="Y51" s="3821">
        <f>SUMIF(USM!$C$8:$C$103,$D51,USM!Y$8:Y$103)</f>
        <v>1963.587</v>
      </c>
      <c r="Z51" s="3823"/>
      <c r="AA51" s="3823">
        <f t="shared" si="5"/>
        <v>5964.4609999999993</v>
      </c>
      <c r="AB51" s="3826"/>
      <c r="AC51" s="3827">
        <f t="shared" si="6"/>
        <v>9141.0949999999993</v>
      </c>
      <c r="AD51" s="3821"/>
      <c r="AE51" s="3821">
        <f>SUMIF(USM!$C$8:$C$103,$D51,USM!AE$8:AE$103)</f>
        <v>2083.777</v>
      </c>
      <c r="AF51" s="3824"/>
      <c r="AG51" s="3822">
        <f t="shared" si="7"/>
        <v>11224.871999999999</v>
      </c>
      <c r="AH51" s="3821"/>
      <c r="AI51" s="3821">
        <f>SUMIF(USM!$C$8:$C$103,$D51,USM!AI$8:AI$103)</f>
        <v>2886.4169999999999</v>
      </c>
      <c r="AJ51" s="3824"/>
      <c r="AK51" s="3822">
        <f t="shared" si="39"/>
        <v>14111.288999999999</v>
      </c>
      <c r="AL51" s="3821"/>
      <c r="AM51" s="3821">
        <f>SUMIF(USM!$C$8:$C$103,$D51,USM!AM$8:AM$103)</f>
        <v>134.703</v>
      </c>
      <c r="AN51" s="3953"/>
      <c r="AO51" s="3823">
        <f t="shared" si="9"/>
        <v>5104.8969999999999</v>
      </c>
      <c r="AP51" s="3824"/>
      <c r="AQ51" s="3822">
        <f t="shared" si="52"/>
        <v>14245.991999999998</v>
      </c>
      <c r="AR51" s="3821"/>
      <c r="AS51" s="3821">
        <f>SUMIF(USM!$C$8:$C$103,$D51,USM!AS$8:AS$103)</f>
        <v>344.72500000000002</v>
      </c>
      <c r="AT51" s="3824"/>
      <c r="AU51" s="3822">
        <f t="shared" si="53"/>
        <v>14590.716999999999</v>
      </c>
      <c r="AV51" s="3821"/>
      <c r="AW51" s="3821">
        <f>SUMIF(USM!$C$8:$C$103,$D51,USM!AW$8:AW$103)</f>
        <v>518.30800000000011</v>
      </c>
      <c r="AX51" s="3824"/>
      <c r="AY51" s="3822">
        <f t="shared" si="54"/>
        <v>15109.025</v>
      </c>
      <c r="AZ51" s="3821"/>
      <c r="BA51" s="3821">
        <f>SUMIF(USM!$C$8:$C$103,$D51,USM!BA$8:BA$103)</f>
        <v>156.90700000000001</v>
      </c>
      <c r="BB51" s="3953"/>
      <c r="BC51" s="3823">
        <f t="shared" si="55"/>
        <v>1019.9400000000002</v>
      </c>
      <c r="BD51" s="3826"/>
      <c r="BE51" s="3827">
        <f t="shared" si="13"/>
        <v>6124.8370000000004</v>
      </c>
      <c r="BF51" s="3824"/>
      <c r="BG51" s="3822">
        <f t="shared" si="56"/>
        <v>15265.931999999999</v>
      </c>
      <c r="BH51" s="23"/>
      <c r="BI51" s="23"/>
    </row>
    <row r="52" spans="3:61" ht="16.8" x14ac:dyDescent="0.3">
      <c r="C52" s="4441" t="s">
        <v>109</v>
      </c>
      <c r="D52" s="4441" t="s">
        <v>1968</v>
      </c>
      <c r="E52" s="6274"/>
      <c r="F52" s="4441"/>
      <c r="G52" s="3821">
        <f>SUMIF(USM!$C$8:$C$103,$D52,USM!G$8:G$103)</f>
        <v>0</v>
      </c>
      <c r="H52" s="3821"/>
      <c r="I52" s="3821">
        <f>SUMIF(USM!$C$8:$C$103,$D52,USM!I$8:I$103)</f>
        <v>0</v>
      </c>
      <c r="J52" s="3822"/>
      <c r="K52" s="3822">
        <f t="shared" si="1"/>
        <v>0</v>
      </c>
      <c r="L52" s="3821"/>
      <c r="M52" s="3821">
        <f>SUMIF(USM!$C$8:$C$103,$D52,USM!M$8:M$103)</f>
        <v>229.86200000000002</v>
      </c>
      <c r="N52" s="3823"/>
      <c r="O52" s="3823">
        <f t="shared" ref="O52" si="57">+G52+I52+M52</f>
        <v>229.86200000000002</v>
      </c>
      <c r="P52" s="3821"/>
      <c r="Q52" s="3821">
        <f>SUMIF(USM!$C$8:$C$103,$D52,USM!Q$8:Q$103)</f>
        <v>0</v>
      </c>
      <c r="R52" s="3824"/>
      <c r="S52" s="3822">
        <f t="shared" ref="S52" si="58">O52+Q52</f>
        <v>229.86200000000002</v>
      </c>
      <c r="T52" s="3821"/>
      <c r="U52" s="3821">
        <f>SUMIF(USM!$C$8:$C$103,$D52,USM!U$8:U$103)</f>
        <v>0</v>
      </c>
      <c r="V52" s="3824"/>
      <c r="W52" s="3822">
        <f t="shared" ref="W52" si="59">S52+U52</f>
        <v>229.86200000000002</v>
      </c>
      <c r="X52" s="3825"/>
      <c r="Y52" s="3821">
        <f>SUMIF(USM!$C$8:$C$103,$D52,USM!Y$8:Y$103)</f>
        <v>0</v>
      </c>
      <c r="Z52" s="3823"/>
      <c r="AA52" s="3823">
        <f t="shared" ref="AA52" si="60">Q52+U52+Y52</f>
        <v>0</v>
      </c>
      <c r="AB52" s="3826"/>
      <c r="AC52" s="3827">
        <f t="shared" ref="AC52" si="61">O52+AA52</f>
        <v>229.86200000000002</v>
      </c>
      <c r="AD52" s="3821"/>
      <c r="AE52" s="3821">
        <f>SUMIF(USM!$C$8:$C$103,$D52,USM!AE$8:AE$103)</f>
        <v>0</v>
      </c>
      <c r="AF52" s="3824"/>
      <c r="AG52" s="3822">
        <f t="shared" ref="AG52" si="62">+AC52+AE52</f>
        <v>229.86200000000002</v>
      </c>
      <c r="AH52" s="3821"/>
      <c r="AI52" s="3821">
        <f>SUMIF(USM!$C$8:$C$103,$D52,USM!AI$8:AI$103)</f>
        <v>0</v>
      </c>
      <c r="AJ52" s="3824"/>
      <c r="AK52" s="3822">
        <f t="shared" ref="AK52" si="63">+AG52+AI52</f>
        <v>229.86200000000002</v>
      </c>
      <c r="AL52" s="3821"/>
      <c r="AM52" s="3821">
        <f>SUMIF(USM!$C$8:$C$103,$D52,USM!AM$8:AM$103)</f>
        <v>0</v>
      </c>
      <c r="AN52" s="3953"/>
      <c r="AO52" s="3823">
        <f t="shared" ref="AO52" si="64">AE52+AI52+AM52</f>
        <v>0</v>
      </c>
      <c r="AP52" s="3824"/>
      <c r="AQ52" s="3822">
        <f t="shared" ref="AQ52" si="65">+AK52+AM52</f>
        <v>229.86200000000002</v>
      </c>
      <c r="AR52" s="3821"/>
      <c r="AS52" s="3821">
        <f>SUMIF(USM!$C$8:$C$103,$D52,USM!AS$8:AS$103)</f>
        <v>0</v>
      </c>
      <c r="AT52" s="3824"/>
      <c r="AU52" s="3822">
        <f t="shared" ref="AU52" si="66">+AQ52+AS52</f>
        <v>229.86200000000002</v>
      </c>
      <c r="AV52" s="3821"/>
      <c r="AW52" s="3821">
        <f>SUMIF(USM!$C$8:$C$103,$D52,USM!AW$8:AW$103)</f>
        <v>0</v>
      </c>
      <c r="AX52" s="3824"/>
      <c r="AY52" s="3822">
        <f t="shared" ref="AY52" si="67">+AU52+AW52</f>
        <v>229.86200000000002</v>
      </c>
      <c r="AZ52" s="3821"/>
      <c r="BA52" s="3821">
        <f>SUMIF(USM!$C$8:$C$103,$D52,USM!BA$8:BA$103)</f>
        <v>0</v>
      </c>
      <c r="BB52" s="3953"/>
      <c r="BC52" s="3823">
        <f t="shared" ref="BC52" si="68">AS52+AW52+BA52</f>
        <v>0</v>
      </c>
      <c r="BD52" s="3826"/>
      <c r="BE52" s="3827">
        <f t="shared" ref="BE52" si="69">AO52+BC52</f>
        <v>0</v>
      </c>
      <c r="BF52" s="3824"/>
      <c r="BG52" s="3822">
        <f t="shared" ref="BG52" si="70">+AY52+BA52</f>
        <v>229.86200000000002</v>
      </c>
      <c r="BH52" s="23"/>
    </row>
    <row r="53" spans="3:61" ht="16.8" x14ac:dyDescent="0.3">
      <c r="C53" s="3819" t="s">
        <v>109</v>
      </c>
      <c r="D53" s="3819" t="s">
        <v>1537</v>
      </c>
      <c r="E53" s="6274"/>
      <c r="F53" s="3819"/>
      <c r="G53" s="3821">
        <f>SUMIF(USM!$C$8:$C$103,$D53,USM!G$8:G$103)</f>
        <v>0</v>
      </c>
      <c r="H53" s="3821"/>
      <c r="I53" s="3821">
        <f>SUMIF(USM!$C$8:$C$103,$D53,USM!I$8:I$103)</f>
        <v>0</v>
      </c>
      <c r="J53" s="3822"/>
      <c r="K53" s="3822">
        <f t="shared" si="1"/>
        <v>0</v>
      </c>
      <c r="L53" s="3821"/>
      <c r="M53" s="3821">
        <f>SUMIF(USM!$C$8:$C$103,$D53,USM!M$8:M$103)</f>
        <v>0</v>
      </c>
      <c r="N53" s="3823"/>
      <c r="O53" s="3823">
        <f t="shared" si="2"/>
        <v>0</v>
      </c>
      <c r="P53" s="3821"/>
      <c r="Q53" s="3821">
        <f>SUMIF(USM!$C$8:$C$103,$D53,USM!Q$8:Q$103)</f>
        <v>300.69599999999997</v>
      </c>
      <c r="R53" s="3824"/>
      <c r="S53" s="3822">
        <f t="shared" si="3"/>
        <v>300.69599999999997</v>
      </c>
      <c r="T53" s="3821"/>
      <c r="U53" s="3821">
        <f>SUMIF(USM!$C$8:$C$103,$D53,USM!U$8:U$103)</f>
        <v>792.84600000000012</v>
      </c>
      <c r="V53" s="3824"/>
      <c r="W53" s="3822">
        <f t="shared" si="4"/>
        <v>1093.5420000000001</v>
      </c>
      <c r="X53" s="3825"/>
      <c r="Y53" s="3821">
        <f>SUMIF(USM!$C$8:$C$103,$D53,USM!Y$8:Y$103)</f>
        <v>0</v>
      </c>
      <c r="Z53" s="3823"/>
      <c r="AA53" s="3823">
        <f t="shared" si="5"/>
        <v>1093.5420000000001</v>
      </c>
      <c r="AB53" s="3826"/>
      <c r="AC53" s="3827">
        <f t="shared" si="6"/>
        <v>1093.5420000000001</v>
      </c>
      <c r="AD53" s="3821"/>
      <c r="AE53" s="3821">
        <f>SUMIF(USM!$C$8:$C$103,$D53,USM!AE$8:AE$103)</f>
        <v>0</v>
      </c>
      <c r="AF53" s="3824"/>
      <c r="AG53" s="3822">
        <f t="shared" si="7"/>
        <v>1093.5420000000001</v>
      </c>
      <c r="AH53" s="3821"/>
      <c r="AI53" s="3821">
        <f>SUMIF(USM!$C$8:$C$103,$D53,USM!AI$8:AI$103)</f>
        <v>330.005</v>
      </c>
      <c r="AJ53" s="3824"/>
      <c r="AK53" s="3822">
        <f t="shared" si="39"/>
        <v>1423.547</v>
      </c>
      <c r="AL53" s="3821"/>
      <c r="AM53" s="3821">
        <f>SUMIF(USM!$C$8:$C$103,$D53,USM!AM$8:AM$103)</f>
        <v>804.02599999999995</v>
      </c>
      <c r="AN53" s="3953"/>
      <c r="AO53" s="3823">
        <f t="shared" si="9"/>
        <v>1134.0309999999999</v>
      </c>
      <c r="AP53" s="3824"/>
      <c r="AQ53" s="3822">
        <f t="shared" si="52"/>
        <v>2227.5729999999999</v>
      </c>
      <c r="AR53" s="3821"/>
      <c r="AS53" s="3821">
        <f>SUMIF(USM!$C$8:$C$103,$D53,USM!AS$8:AS$103)</f>
        <v>659.03700000000003</v>
      </c>
      <c r="AT53" s="3824"/>
      <c r="AU53" s="3822">
        <f t="shared" si="53"/>
        <v>2886.6099999999997</v>
      </c>
      <c r="AV53" s="3821"/>
      <c r="AW53" s="3821">
        <f>SUMIF(USM!$C$8:$C$103,$D53,USM!AW$8:AW$103)</f>
        <v>0</v>
      </c>
      <c r="AX53" s="3824"/>
      <c r="AY53" s="3822">
        <f t="shared" si="54"/>
        <v>2886.6099999999997</v>
      </c>
      <c r="AZ53" s="3821"/>
      <c r="BA53" s="3821">
        <f>SUMIF(USM!$C$8:$C$103,$D53,USM!BA$8:BA$103)</f>
        <v>0</v>
      </c>
      <c r="BB53" s="3953"/>
      <c r="BC53" s="3823">
        <f t="shared" si="55"/>
        <v>659.03700000000003</v>
      </c>
      <c r="BD53" s="3826"/>
      <c r="BE53" s="3827">
        <f t="shared" si="13"/>
        <v>1793.068</v>
      </c>
      <c r="BF53" s="3824"/>
      <c r="BG53" s="3822">
        <f t="shared" si="56"/>
        <v>2886.6099999999997</v>
      </c>
      <c r="BH53" s="23"/>
    </row>
    <row r="54" spans="3:61" ht="16.8" x14ac:dyDescent="0.3">
      <c r="C54" s="6270" t="s">
        <v>923</v>
      </c>
      <c r="D54" s="6270"/>
      <c r="E54" s="6274"/>
      <c r="F54" s="3834"/>
      <c r="G54" s="3835">
        <f t="shared" ref="G54:AM54" si="71">SUM(G47:G53)</f>
        <v>52520.054000000004</v>
      </c>
      <c r="H54" s="3835">
        <f t="shared" si="71"/>
        <v>0</v>
      </c>
      <c r="I54" s="3835">
        <f t="shared" si="71"/>
        <v>10535.918</v>
      </c>
      <c r="J54" s="3835">
        <f t="shared" si="71"/>
        <v>0</v>
      </c>
      <c r="K54" s="3822">
        <f t="shared" si="1"/>
        <v>63055.972000000002</v>
      </c>
      <c r="L54" s="3835">
        <f t="shared" si="71"/>
        <v>0</v>
      </c>
      <c r="M54" s="3835">
        <f t="shared" si="71"/>
        <v>58674.632999999994</v>
      </c>
      <c r="N54" s="3835">
        <f t="shared" si="71"/>
        <v>0</v>
      </c>
      <c r="O54" s="3837">
        <f t="shared" si="71"/>
        <v>121730.605</v>
      </c>
      <c r="P54" s="3835">
        <f t="shared" si="71"/>
        <v>0</v>
      </c>
      <c r="Q54" s="3835">
        <f t="shared" si="71"/>
        <v>57327.387000000002</v>
      </c>
      <c r="R54" s="3835">
        <f t="shared" si="71"/>
        <v>0</v>
      </c>
      <c r="S54" s="3836">
        <f t="shared" si="71"/>
        <v>179057.992</v>
      </c>
      <c r="T54" s="3835">
        <f t="shared" si="71"/>
        <v>0</v>
      </c>
      <c r="U54" s="3835">
        <f t="shared" si="71"/>
        <v>44406.292999999991</v>
      </c>
      <c r="V54" s="3835">
        <f t="shared" si="71"/>
        <v>0</v>
      </c>
      <c r="W54" s="3836">
        <f t="shared" si="71"/>
        <v>223464.285</v>
      </c>
      <c r="X54" s="3835">
        <f t="shared" si="71"/>
        <v>0</v>
      </c>
      <c r="Y54" s="3835">
        <f t="shared" si="71"/>
        <v>49996.715999999993</v>
      </c>
      <c r="Z54" s="3835">
        <f t="shared" si="71"/>
        <v>0</v>
      </c>
      <c r="AA54" s="3837">
        <f t="shared" si="71"/>
        <v>151730.39600000001</v>
      </c>
      <c r="AB54" s="3835">
        <f t="shared" si="71"/>
        <v>0</v>
      </c>
      <c r="AC54" s="3838">
        <f t="shared" si="71"/>
        <v>273461.00100000005</v>
      </c>
      <c r="AD54" s="3835">
        <f t="shared" si="71"/>
        <v>0</v>
      </c>
      <c r="AE54" s="3835">
        <f t="shared" si="71"/>
        <v>29659.897000000004</v>
      </c>
      <c r="AF54" s="3835">
        <f t="shared" si="71"/>
        <v>0</v>
      </c>
      <c r="AG54" s="3836">
        <f t="shared" si="71"/>
        <v>303120.89799999999</v>
      </c>
      <c r="AH54" s="3835">
        <f t="shared" si="71"/>
        <v>0</v>
      </c>
      <c r="AI54" s="3835">
        <f t="shared" si="71"/>
        <v>49060.043999999987</v>
      </c>
      <c r="AJ54" s="3835">
        <f t="shared" si="71"/>
        <v>0</v>
      </c>
      <c r="AK54" s="3836">
        <f t="shared" si="71"/>
        <v>352180.94200000004</v>
      </c>
      <c r="AL54" s="3835">
        <f t="shared" si="71"/>
        <v>0</v>
      </c>
      <c r="AM54" s="3835">
        <f t="shared" si="71"/>
        <v>52987.179999999993</v>
      </c>
      <c r="AN54" s="3954"/>
      <c r="AO54" s="3837">
        <f t="shared" ref="AO54:BA54" si="72">SUM(AO47:AO53)</f>
        <v>131707.12099999998</v>
      </c>
      <c r="AP54" s="3835">
        <f t="shared" si="72"/>
        <v>0</v>
      </c>
      <c r="AQ54" s="3836">
        <f t="shared" si="72"/>
        <v>405168.12200000003</v>
      </c>
      <c r="AR54" s="3835">
        <f t="shared" si="72"/>
        <v>0</v>
      </c>
      <c r="AS54" s="3835">
        <f t="shared" si="72"/>
        <v>56169.977999999988</v>
      </c>
      <c r="AT54" s="3835">
        <f t="shared" si="72"/>
        <v>0</v>
      </c>
      <c r="AU54" s="3836">
        <f t="shared" si="72"/>
        <v>461338.1</v>
      </c>
      <c r="AV54" s="3835">
        <f t="shared" si="72"/>
        <v>0</v>
      </c>
      <c r="AW54" s="3835">
        <f t="shared" si="72"/>
        <v>54279.398000000008</v>
      </c>
      <c r="AX54" s="3835">
        <f t="shared" si="72"/>
        <v>0</v>
      </c>
      <c r="AY54" s="3836">
        <f t="shared" si="72"/>
        <v>515617.49800000002</v>
      </c>
      <c r="AZ54" s="3835">
        <f t="shared" si="72"/>
        <v>0</v>
      </c>
      <c r="BA54" s="3835">
        <f t="shared" si="72"/>
        <v>63120.145999999993</v>
      </c>
      <c r="BB54" s="3954"/>
      <c r="BC54" s="3837">
        <f>SUM(BC47:BC53)</f>
        <v>173569.522</v>
      </c>
      <c r="BD54" s="3835">
        <f>SUM(BD47:BD53)</f>
        <v>0</v>
      </c>
      <c r="BE54" s="3838">
        <f>SUM(BE47:BE53)</f>
        <v>305276.64300000004</v>
      </c>
      <c r="BF54" s="3835">
        <f>SUM(BF47:BF53)</f>
        <v>0</v>
      </c>
      <c r="BG54" s="3836">
        <f>SUM(BG47:BG53)</f>
        <v>578737.64399999997</v>
      </c>
      <c r="BH54" s="23"/>
    </row>
    <row r="55" spans="3:61" ht="18" x14ac:dyDescent="0.35">
      <c r="C55" s="3819" t="s">
        <v>932</v>
      </c>
      <c r="D55" s="3819" t="s">
        <v>1854</v>
      </c>
      <c r="E55" s="6274"/>
      <c r="F55" s="3819"/>
      <c r="G55" s="3839">
        <f>7465-12</f>
        <v>7453</v>
      </c>
      <c r="H55" s="3839"/>
      <c r="I55" s="3839">
        <f>125.435999999999-67</f>
        <v>58.435999999998998</v>
      </c>
      <c r="J55" s="3822"/>
      <c r="K55" s="3822">
        <f t="shared" si="1"/>
        <v>7511.4359999999988</v>
      </c>
      <c r="L55" s="3839"/>
      <c r="M55" s="3839">
        <f>12010-131</f>
        <v>11879</v>
      </c>
      <c r="N55" s="3823"/>
      <c r="O55" s="3823">
        <f t="shared" si="2"/>
        <v>19390.435999999998</v>
      </c>
      <c r="P55" s="3839"/>
      <c r="Q55" s="3839">
        <f>927-685</f>
        <v>242</v>
      </c>
      <c r="R55" s="3824"/>
      <c r="S55" s="3822">
        <f t="shared" si="3"/>
        <v>19632.435999999998</v>
      </c>
      <c r="T55" s="3839"/>
      <c r="U55" s="3839">
        <f>9644.118-410.116</f>
        <v>9234.0020000000004</v>
      </c>
      <c r="V55" s="3824"/>
      <c r="W55" s="3822">
        <f t="shared" si="4"/>
        <v>28866.437999999998</v>
      </c>
      <c r="X55" s="3825"/>
      <c r="Y55" s="3839">
        <f>12381-5355</f>
        <v>7026</v>
      </c>
      <c r="Z55" s="3823"/>
      <c r="AA55" s="3823">
        <f t="shared" si="5"/>
        <v>16502.002</v>
      </c>
      <c r="AB55" s="3826"/>
      <c r="AC55" s="3827">
        <f t="shared" si="6"/>
        <v>35892.437999999995</v>
      </c>
      <c r="AD55" s="3839"/>
      <c r="AE55" s="3839">
        <f>5821-21</f>
        <v>5800</v>
      </c>
      <c r="AF55" s="3824"/>
      <c r="AG55" s="3822">
        <f t="shared" si="7"/>
        <v>41692.437999999995</v>
      </c>
      <c r="AH55" s="3839"/>
      <c r="AI55" s="3839">
        <f>9273.96400000001-5500.251</f>
        <v>3773.7130000000107</v>
      </c>
      <c r="AJ55" s="3824"/>
      <c r="AK55" s="3822">
        <f t="shared" si="39"/>
        <v>45466.151000000005</v>
      </c>
      <c r="AL55" s="3839"/>
      <c r="AM55" s="3839">
        <f>11166.66-4033</f>
        <v>7133.66</v>
      </c>
      <c r="AN55" s="3955"/>
      <c r="AO55" s="3823">
        <f t="shared" si="9"/>
        <v>16707.373000000011</v>
      </c>
      <c r="AP55" s="3824"/>
      <c r="AQ55" s="3822">
        <f t="shared" ref="AQ55:AQ78" si="73">+AK55+AM55</f>
        <v>52599.811000000002</v>
      </c>
      <c r="AR55" s="3839"/>
      <c r="AS55" s="3839">
        <v>4013</v>
      </c>
      <c r="AT55" s="3824"/>
      <c r="AU55" s="3822">
        <f t="shared" ref="AU55:AU78" si="74">+AQ55+AS55</f>
        <v>56612.811000000002</v>
      </c>
      <c r="AV55" s="3839"/>
      <c r="AW55" s="3839">
        <v>4184.3040000000001</v>
      </c>
      <c r="AX55" s="3824"/>
      <c r="AY55" s="3822">
        <f t="shared" ref="AY55:AY78" si="75">+AU55+AW55</f>
        <v>60797.115000000005</v>
      </c>
      <c r="AZ55" s="3839"/>
      <c r="BA55" s="3839">
        <f>3075.691-111</f>
        <v>2964.6909999999998</v>
      </c>
      <c r="BB55" s="3955"/>
      <c r="BC55" s="3823">
        <f t="shared" ref="BC55:BC78" si="76">AS55+AW55+BA55</f>
        <v>11161.994999999999</v>
      </c>
      <c r="BD55" s="3826"/>
      <c r="BE55" s="3827">
        <f t="shared" si="13"/>
        <v>27869.368000000009</v>
      </c>
      <c r="BF55" s="3824"/>
      <c r="BG55" s="3822">
        <f t="shared" ref="BG55:BG78" si="77">+AY55+BA55</f>
        <v>63761.806000000004</v>
      </c>
      <c r="BH55" s="542"/>
    </row>
    <row r="56" spans="3:61" ht="18" x14ac:dyDescent="0.35">
      <c r="C56" s="3819" t="s">
        <v>932</v>
      </c>
      <c r="D56" s="3828" t="s">
        <v>1769</v>
      </c>
      <c r="E56" s="6274"/>
      <c r="F56" s="3828"/>
      <c r="G56" s="3825"/>
      <c r="H56" s="3825"/>
      <c r="I56" s="3825"/>
      <c r="J56" s="3832"/>
      <c r="K56" s="3822">
        <f t="shared" si="1"/>
        <v>0</v>
      </c>
      <c r="L56" s="3825"/>
      <c r="M56" s="3825"/>
      <c r="N56" s="3831"/>
      <c r="O56" s="3823">
        <f t="shared" si="2"/>
        <v>0</v>
      </c>
      <c r="P56" s="3825"/>
      <c r="Q56" s="3825"/>
      <c r="R56" s="3824"/>
      <c r="S56" s="3822">
        <f t="shared" si="3"/>
        <v>0</v>
      </c>
      <c r="T56" s="3825"/>
      <c r="U56" s="3825"/>
      <c r="V56" s="3824"/>
      <c r="W56" s="3822">
        <f t="shared" si="4"/>
        <v>0</v>
      </c>
      <c r="X56" s="3825"/>
      <c r="Y56" s="3825"/>
      <c r="Z56" s="3831"/>
      <c r="AA56" s="3823">
        <f t="shared" si="5"/>
        <v>0</v>
      </c>
      <c r="AB56" s="3826"/>
      <c r="AC56" s="3827">
        <f t="shared" si="6"/>
        <v>0</v>
      </c>
      <c r="AD56" s="3825"/>
      <c r="AE56" s="3825"/>
      <c r="AF56" s="3824"/>
      <c r="AG56" s="3822">
        <f t="shared" si="7"/>
        <v>0</v>
      </c>
      <c r="AH56" s="3825"/>
      <c r="AI56" s="3825"/>
      <c r="AJ56" s="3824"/>
      <c r="AK56" s="3822">
        <f t="shared" si="39"/>
        <v>0</v>
      </c>
      <c r="AL56" s="3825"/>
      <c r="AM56" s="3825"/>
      <c r="AN56" s="3955"/>
      <c r="AO56" s="3823">
        <f t="shared" si="9"/>
        <v>0</v>
      </c>
      <c r="AP56" s="3824"/>
      <c r="AQ56" s="3822">
        <f t="shared" si="73"/>
        <v>0</v>
      </c>
      <c r="AR56" s="3825"/>
      <c r="AS56" s="3825"/>
      <c r="AT56" s="3824"/>
      <c r="AU56" s="3822">
        <f t="shared" si="74"/>
        <v>0</v>
      </c>
      <c r="AV56" s="3825"/>
      <c r="AW56" s="3825"/>
      <c r="AX56" s="3824"/>
      <c r="AY56" s="3822">
        <f t="shared" si="75"/>
        <v>0</v>
      </c>
      <c r="AZ56" s="3825"/>
      <c r="BA56" s="3825"/>
      <c r="BB56" s="3955"/>
      <c r="BC56" s="3823">
        <f t="shared" si="76"/>
        <v>0</v>
      </c>
      <c r="BD56" s="3826"/>
      <c r="BE56" s="3827">
        <f t="shared" si="13"/>
        <v>0</v>
      </c>
      <c r="BF56" s="3824"/>
      <c r="BG56" s="3822">
        <f t="shared" si="77"/>
        <v>0</v>
      </c>
      <c r="BH56" s="542"/>
    </row>
    <row r="57" spans="3:61" ht="18" x14ac:dyDescent="0.35">
      <c r="C57" s="3819" t="s">
        <v>932</v>
      </c>
      <c r="D57" s="3819" t="s">
        <v>1837</v>
      </c>
      <c r="E57" s="6274"/>
      <c r="F57" s="3819"/>
      <c r="G57" s="3839"/>
      <c r="H57" s="3839"/>
      <c r="I57" s="3839"/>
      <c r="J57" s="3822"/>
      <c r="K57" s="3822">
        <f t="shared" si="1"/>
        <v>0</v>
      </c>
      <c r="L57" s="3839"/>
      <c r="M57" s="3839"/>
      <c r="N57" s="3823"/>
      <c r="O57" s="3823">
        <f t="shared" si="2"/>
        <v>0</v>
      </c>
      <c r="P57" s="3839"/>
      <c r="Q57" s="3839"/>
      <c r="R57" s="3824"/>
      <c r="S57" s="3822">
        <f t="shared" si="3"/>
        <v>0</v>
      </c>
      <c r="T57" s="3839"/>
      <c r="U57" s="3839"/>
      <c r="V57" s="3824"/>
      <c r="W57" s="3822">
        <f t="shared" si="4"/>
        <v>0</v>
      </c>
      <c r="X57" s="3825"/>
      <c r="Y57" s="3839"/>
      <c r="Z57" s="3823"/>
      <c r="AA57" s="3823">
        <f t="shared" si="5"/>
        <v>0</v>
      </c>
      <c r="AB57" s="3826"/>
      <c r="AC57" s="3827">
        <f t="shared" si="6"/>
        <v>0</v>
      </c>
      <c r="AD57" s="3839"/>
      <c r="AE57" s="3839"/>
      <c r="AF57" s="3824"/>
      <c r="AG57" s="3822">
        <f t="shared" si="7"/>
        <v>0</v>
      </c>
      <c r="AH57" s="3839"/>
      <c r="AI57" s="3839"/>
      <c r="AJ57" s="3824"/>
      <c r="AK57" s="3822">
        <f t="shared" si="39"/>
        <v>0</v>
      </c>
      <c r="AL57" s="3839"/>
      <c r="AM57" s="3839">
        <v>106</v>
      </c>
      <c r="AN57" s="3955"/>
      <c r="AO57" s="3823">
        <f t="shared" si="9"/>
        <v>106</v>
      </c>
      <c r="AP57" s="3824"/>
      <c r="AQ57" s="3822">
        <f t="shared" si="73"/>
        <v>106</v>
      </c>
      <c r="AR57" s="3839"/>
      <c r="AS57" s="3839">
        <v>108</v>
      </c>
      <c r="AT57" s="3824"/>
      <c r="AU57" s="3822">
        <f t="shared" si="74"/>
        <v>214</v>
      </c>
      <c r="AV57" s="3839"/>
      <c r="AW57" s="3839"/>
      <c r="AX57" s="3824"/>
      <c r="AY57" s="3822">
        <f t="shared" si="75"/>
        <v>214</v>
      </c>
      <c r="AZ57" s="3839"/>
      <c r="BA57" s="3839"/>
      <c r="BB57" s="3955"/>
      <c r="BC57" s="3823">
        <f t="shared" si="76"/>
        <v>108</v>
      </c>
      <c r="BD57" s="3826"/>
      <c r="BE57" s="3827">
        <f t="shared" si="13"/>
        <v>214</v>
      </c>
      <c r="BF57" s="3824"/>
      <c r="BG57" s="3822">
        <f t="shared" si="77"/>
        <v>214</v>
      </c>
      <c r="BH57" s="542"/>
      <c r="BI57" s="23"/>
    </row>
    <row r="58" spans="3:61" ht="18" x14ac:dyDescent="0.35">
      <c r="C58" s="3819" t="s">
        <v>932</v>
      </c>
      <c r="D58" s="3819" t="s">
        <v>1238</v>
      </c>
      <c r="E58" s="6274"/>
      <c r="F58" s="3819"/>
      <c r="G58" s="3839">
        <v>4594</v>
      </c>
      <c r="H58" s="3839"/>
      <c r="I58" s="3839">
        <v>2421.5140000000001</v>
      </c>
      <c r="J58" s="3822"/>
      <c r="K58" s="3822">
        <f t="shared" si="1"/>
        <v>7015.5140000000001</v>
      </c>
      <c r="L58" s="3839"/>
      <c r="M58" s="3839">
        <v>5864</v>
      </c>
      <c r="N58" s="3823"/>
      <c r="O58" s="3823">
        <f t="shared" si="2"/>
        <v>12879.513999999999</v>
      </c>
      <c r="P58" s="3839"/>
      <c r="Q58" s="3839">
        <v>8179</v>
      </c>
      <c r="R58" s="3824"/>
      <c r="S58" s="3822">
        <f t="shared" si="3"/>
        <v>21058.513999999999</v>
      </c>
      <c r="T58" s="3839"/>
      <c r="U58" s="3839">
        <v>6747.8880000000008</v>
      </c>
      <c r="V58" s="3824"/>
      <c r="W58" s="3822">
        <f t="shared" si="4"/>
        <v>27806.402000000002</v>
      </c>
      <c r="X58" s="3825"/>
      <c r="Y58" s="3839">
        <v>6553</v>
      </c>
      <c r="Z58" s="3823"/>
      <c r="AA58" s="3823">
        <f t="shared" si="5"/>
        <v>21479.887999999999</v>
      </c>
      <c r="AB58" s="3826"/>
      <c r="AC58" s="3827">
        <f t="shared" si="6"/>
        <v>34359.402000000002</v>
      </c>
      <c r="AD58" s="3839"/>
      <c r="AE58" s="3839">
        <v>1913</v>
      </c>
      <c r="AF58" s="3824"/>
      <c r="AG58" s="3822">
        <f t="shared" si="7"/>
        <v>36272.402000000002</v>
      </c>
      <c r="AH58" s="3839"/>
      <c r="AI58" s="3839">
        <v>3328.1819999999998</v>
      </c>
      <c r="AJ58" s="3824"/>
      <c r="AK58" s="3822">
        <f t="shared" si="39"/>
        <v>39600.584000000003</v>
      </c>
      <c r="AL58" s="3839"/>
      <c r="AM58" s="3839">
        <v>3132</v>
      </c>
      <c r="AN58" s="3955"/>
      <c r="AO58" s="3823">
        <f t="shared" si="9"/>
        <v>8373.1820000000007</v>
      </c>
      <c r="AP58" s="3824"/>
      <c r="AQ58" s="3822">
        <f t="shared" si="73"/>
        <v>42732.584000000003</v>
      </c>
      <c r="AR58" s="3839"/>
      <c r="AS58" s="3839">
        <v>376</v>
      </c>
      <c r="AT58" s="3824"/>
      <c r="AU58" s="3822">
        <f t="shared" si="74"/>
        <v>43108.584000000003</v>
      </c>
      <c r="AV58" s="3839"/>
      <c r="AW58" s="3839"/>
      <c r="AX58" s="3824"/>
      <c r="AY58" s="3822">
        <f t="shared" si="75"/>
        <v>43108.584000000003</v>
      </c>
      <c r="AZ58" s="3839"/>
      <c r="BA58" s="3839">
        <v>2306.71</v>
      </c>
      <c r="BB58" s="3955"/>
      <c r="BC58" s="3823">
        <f t="shared" si="76"/>
        <v>2682.71</v>
      </c>
      <c r="BD58" s="3826"/>
      <c r="BE58" s="3827">
        <f t="shared" si="13"/>
        <v>11055.892</v>
      </c>
      <c r="BF58" s="3824"/>
      <c r="BG58" s="3822">
        <f t="shared" si="77"/>
        <v>45415.294000000002</v>
      </c>
      <c r="BH58" s="542"/>
    </row>
    <row r="59" spans="3:61" ht="18" x14ac:dyDescent="0.35">
      <c r="C59" s="3819" t="s">
        <v>932</v>
      </c>
      <c r="D59" s="3819" t="s">
        <v>1220</v>
      </c>
      <c r="E59" s="6274"/>
      <c r="F59" s="3819"/>
      <c r="G59" s="3839"/>
      <c r="H59" s="3839"/>
      <c r="I59" s="3839"/>
      <c r="J59" s="3822"/>
      <c r="K59" s="3822">
        <f t="shared" si="1"/>
        <v>0</v>
      </c>
      <c r="L59" s="3839"/>
      <c r="M59" s="3839"/>
      <c r="N59" s="3823"/>
      <c r="O59" s="3823">
        <f t="shared" si="2"/>
        <v>0</v>
      </c>
      <c r="P59" s="3839"/>
      <c r="Q59" s="3839"/>
      <c r="R59" s="3824"/>
      <c r="S59" s="3822">
        <f t="shared" si="3"/>
        <v>0</v>
      </c>
      <c r="T59" s="3839"/>
      <c r="U59" s="3839"/>
      <c r="V59" s="3824"/>
      <c r="W59" s="3822">
        <f t="shared" si="4"/>
        <v>0</v>
      </c>
      <c r="X59" s="3825"/>
      <c r="Y59" s="3839"/>
      <c r="Z59" s="3823"/>
      <c r="AA59" s="3823">
        <f t="shared" si="5"/>
        <v>0</v>
      </c>
      <c r="AB59" s="3826"/>
      <c r="AC59" s="3827">
        <f t="shared" si="6"/>
        <v>0</v>
      </c>
      <c r="AD59" s="3839"/>
      <c r="AE59" s="3839"/>
      <c r="AF59" s="3824"/>
      <c r="AG59" s="3822">
        <f t="shared" si="7"/>
        <v>0</v>
      </c>
      <c r="AH59" s="3839"/>
      <c r="AI59" s="3839"/>
      <c r="AJ59" s="3824"/>
      <c r="AK59" s="3822">
        <f t="shared" si="39"/>
        <v>0</v>
      </c>
      <c r="AL59" s="3839"/>
      <c r="AM59" s="3839"/>
      <c r="AN59" s="3955"/>
      <c r="AO59" s="3823">
        <f t="shared" si="9"/>
        <v>0</v>
      </c>
      <c r="AP59" s="3824"/>
      <c r="AQ59" s="3822">
        <f t="shared" si="73"/>
        <v>0</v>
      </c>
      <c r="AR59" s="3839"/>
      <c r="AS59" s="3839"/>
      <c r="AT59" s="3824"/>
      <c r="AU59" s="3822">
        <f t="shared" si="74"/>
        <v>0</v>
      </c>
      <c r="AV59" s="3839"/>
      <c r="AW59" s="3839"/>
      <c r="AX59" s="3824"/>
      <c r="AY59" s="3822">
        <f t="shared" si="75"/>
        <v>0</v>
      </c>
      <c r="AZ59" s="3839"/>
      <c r="BA59" s="3839"/>
      <c r="BB59" s="3955"/>
      <c r="BC59" s="3823">
        <f t="shared" si="76"/>
        <v>0</v>
      </c>
      <c r="BD59" s="3826"/>
      <c r="BE59" s="3827">
        <f t="shared" si="13"/>
        <v>0</v>
      </c>
      <c r="BF59" s="3824"/>
      <c r="BG59" s="3822">
        <f t="shared" si="77"/>
        <v>0</v>
      </c>
      <c r="BH59" s="542"/>
    </row>
    <row r="60" spans="3:61" ht="18" x14ac:dyDescent="0.35">
      <c r="C60" s="3819" t="s">
        <v>932</v>
      </c>
      <c r="D60" s="3819" t="s">
        <v>1058</v>
      </c>
      <c r="E60" s="6274"/>
      <c r="F60" s="3819"/>
      <c r="G60" s="3839"/>
      <c r="H60" s="3839"/>
      <c r="I60" s="3839"/>
      <c r="J60" s="3822"/>
      <c r="K60" s="3822">
        <f t="shared" si="1"/>
        <v>0</v>
      </c>
      <c r="L60" s="3839"/>
      <c r="M60" s="3839">
        <v>613</v>
      </c>
      <c r="N60" s="3823"/>
      <c r="O60" s="3823">
        <f t="shared" si="2"/>
        <v>613</v>
      </c>
      <c r="P60" s="3839"/>
      <c r="Q60" s="3839"/>
      <c r="R60" s="3824"/>
      <c r="S60" s="3822">
        <f t="shared" si="3"/>
        <v>613</v>
      </c>
      <c r="T60" s="3839"/>
      <c r="U60" s="3839"/>
      <c r="V60" s="3824"/>
      <c r="W60" s="3822">
        <f t="shared" si="4"/>
        <v>613</v>
      </c>
      <c r="X60" s="3825"/>
      <c r="Y60" s="3839"/>
      <c r="Z60" s="3823"/>
      <c r="AA60" s="3823">
        <f t="shared" si="5"/>
        <v>0</v>
      </c>
      <c r="AB60" s="3826"/>
      <c r="AC60" s="3827">
        <f t="shared" si="6"/>
        <v>613</v>
      </c>
      <c r="AD60" s="3839"/>
      <c r="AE60" s="3839">
        <v>292</v>
      </c>
      <c r="AF60" s="3824"/>
      <c r="AG60" s="3822">
        <f t="shared" si="7"/>
        <v>905</v>
      </c>
      <c r="AH60" s="3839"/>
      <c r="AI60" s="3839"/>
      <c r="AJ60" s="3824"/>
      <c r="AK60" s="3822">
        <f t="shared" si="39"/>
        <v>905</v>
      </c>
      <c r="AL60" s="3839"/>
      <c r="AM60" s="3839">
        <v>153</v>
      </c>
      <c r="AN60" s="3955"/>
      <c r="AO60" s="3823">
        <f t="shared" si="9"/>
        <v>445</v>
      </c>
      <c r="AP60" s="3824"/>
      <c r="AQ60" s="3822">
        <f t="shared" si="73"/>
        <v>1058</v>
      </c>
      <c r="AR60" s="3839"/>
      <c r="AS60" s="3839">
        <v>2353</v>
      </c>
      <c r="AT60" s="3824"/>
      <c r="AU60" s="3822">
        <f t="shared" si="74"/>
        <v>3411</v>
      </c>
      <c r="AV60" s="3839"/>
      <c r="AW60" s="3839"/>
      <c r="AX60" s="3824"/>
      <c r="AY60" s="3822">
        <f t="shared" si="75"/>
        <v>3411</v>
      </c>
      <c r="AZ60" s="3839"/>
      <c r="BA60" s="3839">
        <v>89.292000000000002</v>
      </c>
      <c r="BB60" s="3955"/>
      <c r="BC60" s="3823">
        <f t="shared" si="76"/>
        <v>2442.2919999999999</v>
      </c>
      <c r="BD60" s="3826"/>
      <c r="BE60" s="3827">
        <f t="shared" si="13"/>
        <v>2887.2919999999999</v>
      </c>
      <c r="BF60" s="3824"/>
      <c r="BG60" s="3822">
        <f t="shared" si="77"/>
        <v>3500.2919999999999</v>
      </c>
      <c r="BH60" s="542"/>
    </row>
    <row r="61" spans="3:61" ht="18" x14ac:dyDescent="0.35">
      <c r="C61" s="3819" t="s">
        <v>932</v>
      </c>
      <c r="D61" s="4379" t="s">
        <v>1920</v>
      </c>
      <c r="E61" s="6274"/>
      <c r="F61" s="4379"/>
      <c r="G61" s="4380"/>
      <c r="H61" s="4380"/>
      <c r="I61" s="4380"/>
      <c r="J61" s="4381"/>
      <c r="K61" s="3822">
        <f t="shared" si="1"/>
        <v>0</v>
      </c>
      <c r="L61" s="4380"/>
      <c r="M61" s="4380"/>
      <c r="N61" s="4382"/>
      <c r="O61" s="3823">
        <f t="shared" si="2"/>
        <v>0</v>
      </c>
      <c r="P61" s="4380"/>
      <c r="Q61" s="4380"/>
      <c r="R61" s="3824"/>
      <c r="S61" s="4381"/>
      <c r="T61" s="4380"/>
      <c r="U61" s="4380"/>
      <c r="V61" s="3824"/>
      <c r="W61" s="4381"/>
      <c r="X61" s="4380"/>
      <c r="Y61" s="4380"/>
      <c r="Z61" s="4382"/>
      <c r="AA61" s="3823">
        <f t="shared" si="5"/>
        <v>0</v>
      </c>
      <c r="AB61" s="3826"/>
      <c r="AC61" s="3827">
        <f t="shared" ref="AC61" si="78">O61+AA61</f>
        <v>0</v>
      </c>
      <c r="AD61" s="4380"/>
      <c r="AE61" s="4380"/>
      <c r="AF61" s="3824"/>
      <c r="AG61" s="3822">
        <f t="shared" si="7"/>
        <v>0</v>
      </c>
      <c r="AH61" s="4380"/>
      <c r="AI61" s="4380">
        <v>112.678</v>
      </c>
      <c r="AJ61" s="3824"/>
      <c r="AK61" s="3822">
        <f t="shared" si="39"/>
        <v>112.678</v>
      </c>
      <c r="AL61" s="4380"/>
      <c r="AM61" s="4380"/>
      <c r="AN61" s="3955"/>
      <c r="AO61" s="3823">
        <f t="shared" si="9"/>
        <v>112.678</v>
      </c>
      <c r="AP61" s="3824"/>
      <c r="AQ61" s="3822">
        <f t="shared" si="73"/>
        <v>112.678</v>
      </c>
      <c r="AR61" s="4380"/>
      <c r="AS61" s="4380"/>
      <c r="AT61" s="3824"/>
      <c r="AU61" s="3822">
        <f t="shared" si="74"/>
        <v>112.678</v>
      </c>
      <c r="AV61" s="4380"/>
      <c r="AW61" s="4380"/>
      <c r="AX61" s="3824"/>
      <c r="AY61" s="3822">
        <f t="shared" si="75"/>
        <v>112.678</v>
      </c>
      <c r="AZ61" s="4380"/>
      <c r="BA61" s="4380"/>
      <c r="BB61" s="3955"/>
      <c r="BC61" s="3823">
        <f t="shared" ref="BC61" si="79">AS61+AW61+BA61</f>
        <v>0</v>
      </c>
      <c r="BD61" s="3826"/>
      <c r="BE61" s="3827">
        <f t="shared" ref="BE61" si="80">AO61+BC61</f>
        <v>112.678</v>
      </c>
      <c r="BF61" s="3824"/>
      <c r="BG61" s="3822">
        <f t="shared" si="77"/>
        <v>112.678</v>
      </c>
      <c r="BH61" s="542"/>
    </row>
    <row r="62" spans="3:61" ht="18" x14ac:dyDescent="0.35">
      <c r="C62" s="3828" t="s">
        <v>932</v>
      </c>
      <c r="D62" s="3828" t="s">
        <v>1780</v>
      </c>
      <c r="E62" s="6274"/>
      <c r="F62" s="3828"/>
      <c r="G62" s="3825"/>
      <c r="H62" s="3825"/>
      <c r="I62" s="3825"/>
      <c r="J62" s="3832"/>
      <c r="K62" s="3822">
        <f t="shared" si="1"/>
        <v>0</v>
      </c>
      <c r="L62" s="3825"/>
      <c r="M62" s="3825"/>
      <c r="N62" s="3831"/>
      <c r="O62" s="3823">
        <f t="shared" si="2"/>
        <v>0</v>
      </c>
      <c r="P62" s="3825"/>
      <c r="Q62" s="3825"/>
      <c r="R62" s="3824"/>
      <c r="S62" s="3822">
        <f t="shared" si="3"/>
        <v>0</v>
      </c>
      <c r="T62" s="3825"/>
      <c r="U62" s="3825"/>
      <c r="V62" s="3824"/>
      <c r="W62" s="3822">
        <f t="shared" si="4"/>
        <v>0</v>
      </c>
      <c r="X62" s="3825"/>
      <c r="Y62" s="3825"/>
      <c r="Z62" s="3831"/>
      <c r="AA62" s="3823">
        <f t="shared" si="5"/>
        <v>0</v>
      </c>
      <c r="AB62" s="3826"/>
      <c r="AC62" s="3827">
        <f t="shared" si="6"/>
        <v>0</v>
      </c>
      <c r="AD62" s="3825"/>
      <c r="AE62" s="3825"/>
      <c r="AF62" s="3824"/>
      <c r="AG62" s="3822">
        <f t="shared" si="7"/>
        <v>0</v>
      </c>
      <c r="AH62" s="3825"/>
      <c r="AI62" s="3825"/>
      <c r="AJ62" s="3824"/>
      <c r="AK62" s="3822">
        <f t="shared" si="39"/>
        <v>0</v>
      </c>
      <c r="AL62" s="3825"/>
      <c r="AM62" s="3825"/>
      <c r="AN62" s="3955"/>
      <c r="AO62" s="3823">
        <f t="shared" si="9"/>
        <v>0</v>
      </c>
      <c r="AP62" s="3824"/>
      <c r="AQ62" s="3822">
        <f t="shared" si="73"/>
        <v>0</v>
      </c>
      <c r="AR62" s="3825"/>
      <c r="AS62" s="3825"/>
      <c r="AT62" s="3824"/>
      <c r="AU62" s="3822">
        <f t="shared" si="74"/>
        <v>0</v>
      </c>
      <c r="AV62" s="3825"/>
      <c r="AW62" s="3825"/>
      <c r="AX62" s="3824"/>
      <c r="AY62" s="3822">
        <f t="shared" si="75"/>
        <v>0</v>
      </c>
      <c r="AZ62" s="3825"/>
      <c r="BA62" s="3825"/>
      <c r="BB62" s="3955"/>
      <c r="BC62" s="3823">
        <f t="shared" si="76"/>
        <v>0</v>
      </c>
      <c r="BD62" s="3826"/>
      <c r="BE62" s="3827">
        <f t="shared" si="13"/>
        <v>0</v>
      </c>
      <c r="BF62" s="3824"/>
      <c r="BG62" s="3822">
        <f t="shared" si="77"/>
        <v>0</v>
      </c>
      <c r="BH62" s="542"/>
    </row>
    <row r="63" spans="3:61" ht="18" x14ac:dyDescent="0.35">
      <c r="C63" s="3819" t="s">
        <v>932</v>
      </c>
      <c r="D63" s="3819" t="s">
        <v>1054</v>
      </c>
      <c r="E63" s="6274"/>
      <c r="F63" s="3819"/>
      <c r="G63" s="3839"/>
      <c r="H63" s="3839"/>
      <c r="I63" s="3839"/>
      <c r="J63" s="3822"/>
      <c r="K63" s="3822">
        <f t="shared" si="1"/>
        <v>0</v>
      </c>
      <c r="L63" s="3839"/>
      <c r="M63" s="3839"/>
      <c r="N63" s="3823"/>
      <c r="O63" s="3823">
        <f t="shared" si="2"/>
        <v>0</v>
      </c>
      <c r="P63" s="3839"/>
      <c r="Q63" s="3839"/>
      <c r="R63" s="3824"/>
      <c r="S63" s="3822">
        <f t="shared" si="3"/>
        <v>0</v>
      </c>
      <c r="T63" s="3839"/>
      <c r="U63" s="3839"/>
      <c r="V63" s="3824"/>
      <c r="W63" s="3822">
        <f t="shared" si="4"/>
        <v>0</v>
      </c>
      <c r="X63" s="3825"/>
      <c r="Y63" s="3839"/>
      <c r="Z63" s="3823"/>
      <c r="AA63" s="3823">
        <f t="shared" si="5"/>
        <v>0</v>
      </c>
      <c r="AB63" s="3826"/>
      <c r="AC63" s="3827">
        <f t="shared" si="6"/>
        <v>0</v>
      </c>
      <c r="AD63" s="3839"/>
      <c r="AE63" s="3839"/>
      <c r="AF63" s="3824"/>
      <c r="AG63" s="3822">
        <f t="shared" si="7"/>
        <v>0</v>
      </c>
      <c r="AH63" s="3839"/>
      <c r="AI63" s="3839"/>
      <c r="AJ63" s="3824"/>
      <c r="AK63" s="3822">
        <f t="shared" si="39"/>
        <v>0</v>
      </c>
      <c r="AL63" s="3839"/>
      <c r="AM63" s="3839"/>
      <c r="AN63" s="3955"/>
      <c r="AO63" s="3823">
        <f t="shared" si="9"/>
        <v>0</v>
      </c>
      <c r="AP63" s="3824"/>
      <c r="AQ63" s="3822">
        <f t="shared" si="73"/>
        <v>0</v>
      </c>
      <c r="AR63" s="3839"/>
      <c r="AS63" s="3839"/>
      <c r="AT63" s="3824"/>
      <c r="AU63" s="3822">
        <f t="shared" si="74"/>
        <v>0</v>
      </c>
      <c r="AV63" s="3839"/>
      <c r="AW63" s="3839"/>
      <c r="AX63" s="3824"/>
      <c r="AY63" s="3822">
        <f t="shared" si="75"/>
        <v>0</v>
      </c>
      <c r="AZ63" s="3839"/>
      <c r="BA63" s="3839"/>
      <c r="BB63" s="3955"/>
      <c r="BC63" s="3823">
        <f t="shared" si="76"/>
        <v>0</v>
      </c>
      <c r="BD63" s="3826"/>
      <c r="BE63" s="3827">
        <f t="shared" si="13"/>
        <v>0</v>
      </c>
      <c r="BF63" s="3824"/>
      <c r="BG63" s="3822">
        <f t="shared" si="77"/>
        <v>0</v>
      </c>
      <c r="BH63" s="542"/>
    </row>
    <row r="64" spans="3:61" ht="18" x14ac:dyDescent="0.35">
      <c r="C64" s="3819" t="s">
        <v>932</v>
      </c>
      <c r="D64" s="3819" t="s">
        <v>1028</v>
      </c>
      <c r="E64" s="6274"/>
      <c r="F64" s="3819"/>
      <c r="G64" s="3839">
        <v>1424</v>
      </c>
      <c r="H64" s="3839"/>
      <c r="I64" s="3839"/>
      <c r="J64" s="3822"/>
      <c r="K64" s="3822">
        <f t="shared" si="1"/>
        <v>1424</v>
      </c>
      <c r="L64" s="3839"/>
      <c r="M64" s="3839">
        <v>3911</v>
      </c>
      <c r="N64" s="3823"/>
      <c r="O64" s="3823">
        <f t="shared" si="2"/>
        <v>5335</v>
      </c>
      <c r="P64" s="3839"/>
      <c r="Q64" s="3839"/>
      <c r="R64" s="3824"/>
      <c r="S64" s="3822">
        <f t="shared" si="3"/>
        <v>5335</v>
      </c>
      <c r="T64" s="3839"/>
      <c r="U64" s="3839"/>
      <c r="V64" s="3824"/>
      <c r="W64" s="3822">
        <f t="shared" si="4"/>
        <v>5335</v>
      </c>
      <c r="X64" s="3825"/>
      <c r="Y64" s="3839">
        <v>1778</v>
      </c>
      <c r="Z64" s="3823"/>
      <c r="AA64" s="3823">
        <f t="shared" si="5"/>
        <v>1778</v>
      </c>
      <c r="AB64" s="3826"/>
      <c r="AC64" s="3827">
        <f t="shared" si="6"/>
        <v>7113</v>
      </c>
      <c r="AD64" s="3839"/>
      <c r="AE64" s="3839">
        <v>6209</v>
      </c>
      <c r="AF64" s="3824"/>
      <c r="AG64" s="3822">
        <f t="shared" si="7"/>
        <v>13322</v>
      </c>
      <c r="AH64" s="3839"/>
      <c r="AI64" s="3839">
        <v>3737.4479999999999</v>
      </c>
      <c r="AJ64" s="3824"/>
      <c r="AK64" s="3822">
        <f t="shared" si="39"/>
        <v>17059.448</v>
      </c>
      <c r="AL64" s="3839"/>
      <c r="AM64" s="3839">
        <v>3995</v>
      </c>
      <c r="AN64" s="3955"/>
      <c r="AO64" s="3823">
        <f t="shared" si="9"/>
        <v>13941.448</v>
      </c>
      <c r="AP64" s="3824"/>
      <c r="AQ64" s="3822">
        <f t="shared" si="73"/>
        <v>21054.448</v>
      </c>
      <c r="AR64" s="3839"/>
      <c r="AS64" s="3839">
        <v>3115</v>
      </c>
      <c r="AT64" s="3824"/>
      <c r="AU64" s="3822">
        <f t="shared" si="74"/>
        <v>24169.448</v>
      </c>
      <c r="AV64" s="3839"/>
      <c r="AW64" s="3839">
        <v>1894.2660000000001</v>
      </c>
      <c r="AX64" s="3824"/>
      <c r="AY64" s="3822">
        <f t="shared" si="75"/>
        <v>26063.714</v>
      </c>
      <c r="AZ64" s="3839"/>
      <c r="BA64" s="3839">
        <v>4694.2079999999996</v>
      </c>
      <c r="BB64" s="3955"/>
      <c r="BC64" s="3823">
        <f t="shared" si="76"/>
        <v>9703.4739999999983</v>
      </c>
      <c r="BD64" s="3826"/>
      <c r="BE64" s="3827">
        <f t="shared" si="13"/>
        <v>23644.921999999999</v>
      </c>
      <c r="BF64" s="3824"/>
      <c r="BG64" s="3822">
        <f t="shared" si="77"/>
        <v>30757.921999999999</v>
      </c>
      <c r="BH64" s="542"/>
    </row>
    <row r="65" spans="1:60" ht="18" x14ac:dyDescent="0.35">
      <c r="C65" s="3819" t="s">
        <v>932</v>
      </c>
      <c r="D65" s="3819" t="s">
        <v>1451</v>
      </c>
      <c r="E65" s="6274"/>
      <c r="F65" s="3819"/>
      <c r="G65" s="3839"/>
      <c r="H65" s="3839"/>
      <c r="I65" s="3839"/>
      <c r="J65" s="3822"/>
      <c r="K65" s="3822">
        <f t="shared" si="1"/>
        <v>0</v>
      </c>
      <c r="L65" s="3839"/>
      <c r="M65" s="3839"/>
      <c r="N65" s="3823"/>
      <c r="O65" s="3823">
        <f t="shared" si="2"/>
        <v>0</v>
      </c>
      <c r="P65" s="3839"/>
      <c r="Q65" s="3839"/>
      <c r="R65" s="3824"/>
      <c r="S65" s="3822">
        <f t="shared" si="3"/>
        <v>0</v>
      </c>
      <c r="T65" s="3839"/>
      <c r="U65" s="3839"/>
      <c r="V65" s="3824"/>
      <c r="W65" s="3822">
        <f t="shared" si="4"/>
        <v>0</v>
      </c>
      <c r="X65" s="3825"/>
      <c r="Y65" s="3839"/>
      <c r="Z65" s="3823"/>
      <c r="AA65" s="3823">
        <f t="shared" si="5"/>
        <v>0</v>
      </c>
      <c r="AB65" s="3826"/>
      <c r="AC65" s="3827">
        <f t="shared" si="6"/>
        <v>0</v>
      </c>
      <c r="AD65" s="3839"/>
      <c r="AE65" s="3839"/>
      <c r="AF65" s="3824"/>
      <c r="AG65" s="3822">
        <f t="shared" si="7"/>
        <v>0</v>
      </c>
      <c r="AH65" s="3839"/>
      <c r="AI65" s="3839"/>
      <c r="AJ65" s="3824"/>
      <c r="AK65" s="3822">
        <f t="shared" si="39"/>
        <v>0</v>
      </c>
      <c r="AL65" s="3839"/>
      <c r="AM65" s="3839"/>
      <c r="AN65" s="3955"/>
      <c r="AO65" s="3823">
        <f t="shared" si="9"/>
        <v>0</v>
      </c>
      <c r="AP65" s="3824"/>
      <c r="AQ65" s="3822">
        <f t="shared" si="73"/>
        <v>0</v>
      </c>
      <c r="AR65" s="3839"/>
      <c r="AS65" s="3839"/>
      <c r="AT65" s="3824"/>
      <c r="AU65" s="3822">
        <f t="shared" si="74"/>
        <v>0</v>
      </c>
      <c r="AV65" s="3839"/>
      <c r="AW65" s="3839"/>
      <c r="AX65" s="3824"/>
      <c r="AY65" s="3822">
        <f t="shared" si="75"/>
        <v>0</v>
      </c>
      <c r="AZ65" s="3839"/>
      <c r="BA65" s="3839"/>
      <c r="BB65" s="3955"/>
      <c r="BC65" s="3823">
        <f t="shared" si="76"/>
        <v>0</v>
      </c>
      <c r="BD65" s="3826"/>
      <c r="BE65" s="3827">
        <f t="shared" si="13"/>
        <v>0</v>
      </c>
      <c r="BF65" s="3824"/>
      <c r="BG65" s="3822">
        <f t="shared" si="77"/>
        <v>0</v>
      </c>
      <c r="BH65" s="542"/>
    </row>
    <row r="66" spans="1:60" ht="18" x14ac:dyDescent="0.35">
      <c r="C66" s="3819" t="s">
        <v>932</v>
      </c>
      <c r="D66" s="3819" t="s">
        <v>1029</v>
      </c>
      <c r="E66" s="6274"/>
      <c r="F66" s="3819"/>
      <c r="G66" s="3839">
        <v>134</v>
      </c>
      <c r="H66" s="3839"/>
      <c r="I66" s="3839"/>
      <c r="J66" s="3822"/>
      <c r="K66" s="3822">
        <f t="shared" si="1"/>
        <v>134</v>
      </c>
      <c r="L66" s="3839"/>
      <c r="M66" s="3839"/>
      <c r="N66" s="3823"/>
      <c r="O66" s="3823">
        <f t="shared" si="2"/>
        <v>134</v>
      </c>
      <c r="P66" s="3839"/>
      <c r="Q66" s="3839"/>
      <c r="R66" s="3824"/>
      <c r="S66" s="3822">
        <f t="shared" si="3"/>
        <v>134</v>
      </c>
      <c r="T66" s="3839"/>
      <c r="U66" s="3839"/>
      <c r="V66" s="3824"/>
      <c r="W66" s="3822">
        <f t="shared" si="4"/>
        <v>134</v>
      </c>
      <c r="X66" s="3825"/>
      <c r="Y66" s="3839"/>
      <c r="Z66" s="3823"/>
      <c r="AA66" s="3823">
        <f t="shared" si="5"/>
        <v>0</v>
      </c>
      <c r="AB66" s="3826"/>
      <c r="AC66" s="3827">
        <f t="shared" si="6"/>
        <v>134</v>
      </c>
      <c r="AD66" s="3839"/>
      <c r="AE66" s="3839"/>
      <c r="AF66" s="3824"/>
      <c r="AG66" s="3822">
        <f t="shared" si="7"/>
        <v>134</v>
      </c>
      <c r="AH66" s="3839"/>
      <c r="AI66" s="3839"/>
      <c r="AJ66" s="3824"/>
      <c r="AK66" s="3822">
        <f t="shared" si="39"/>
        <v>134</v>
      </c>
      <c r="AL66" s="3839"/>
      <c r="AM66" s="3839"/>
      <c r="AN66" s="3955"/>
      <c r="AO66" s="3823">
        <f t="shared" si="9"/>
        <v>0</v>
      </c>
      <c r="AP66" s="3824"/>
      <c r="AQ66" s="3822">
        <f t="shared" si="73"/>
        <v>134</v>
      </c>
      <c r="AR66" s="3839"/>
      <c r="AS66" s="3839"/>
      <c r="AT66" s="3824"/>
      <c r="AU66" s="3822">
        <f t="shared" si="74"/>
        <v>134</v>
      </c>
      <c r="AV66" s="3839"/>
      <c r="AW66" s="3839"/>
      <c r="AX66" s="3824"/>
      <c r="AY66" s="3822">
        <f t="shared" si="75"/>
        <v>134</v>
      </c>
      <c r="AZ66" s="3839"/>
      <c r="BA66" s="3839"/>
      <c r="BB66" s="3955"/>
      <c r="BC66" s="3823">
        <f t="shared" si="76"/>
        <v>0</v>
      </c>
      <c r="BD66" s="3826"/>
      <c r="BE66" s="3827">
        <f t="shared" si="13"/>
        <v>0</v>
      </c>
      <c r="BF66" s="3824"/>
      <c r="BG66" s="3822">
        <f t="shared" si="77"/>
        <v>134</v>
      </c>
      <c r="BH66" s="542"/>
    </row>
    <row r="67" spans="1:60" ht="18" x14ac:dyDescent="0.35">
      <c r="C67" s="3819" t="s">
        <v>932</v>
      </c>
      <c r="D67" s="4956" t="s">
        <v>1815</v>
      </c>
      <c r="E67" s="6274"/>
      <c r="F67" s="4956"/>
      <c r="G67" s="4957">
        <v>6490</v>
      </c>
      <c r="H67" s="4957"/>
      <c r="I67" s="4957">
        <v>7912.9719999999998</v>
      </c>
      <c r="J67" s="4958"/>
      <c r="K67" s="3822">
        <f t="shared" si="1"/>
        <v>14402.972</v>
      </c>
      <c r="L67" s="4957"/>
      <c r="M67" s="4957">
        <v>131</v>
      </c>
      <c r="N67" s="4959"/>
      <c r="O67" s="3823">
        <f t="shared" si="2"/>
        <v>14533.972</v>
      </c>
      <c r="P67" s="4957"/>
      <c r="Q67" s="4957">
        <v>685</v>
      </c>
      <c r="R67" s="3824"/>
      <c r="S67" s="3822">
        <f t="shared" si="3"/>
        <v>15218.972</v>
      </c>
      <c r="T67" s="4957"/>
      <c r="U67" s="4957">
        <v>410.11599999999999</v>
      </c>
      <c r="V67" s="3824"/>
      <c r="W67" s="4958">
        <v>2232.116</v>
      </c>
      <c r="X67" s="4957"/>
      <c r="Y67" s="4957">
        <v>5355</v>
      </c>
      <c r="Z67" s="4959"/>
      <c r="AA67" s="3823">
        <f t="shared" si="5"/>
        <v>6450.116</v>
      </c>
      <c r="AB67" s="4960"/>
      <c r="AC67" s="3827">
        <f t="shared" si="6"/>
        <v>20984.088</v>
      </c>
      <c r="AD67" s="4957"/>
      <c r="AE67" s="4957">
        <v>21</v>
      </c>
      <c r="AF67" s="3824"/>
      <c r="AG67" s="3822">
        <f t="shared" si="7"/>
        <v>21005.088</v>
      </c>
      <c r="AH67" s="4957"/>
      <c r="AI67" s="4957">
        <v>5500.2509999999993</v>
      </c>
      <c r="AJ67" s="3824"/>
      <c r="AK67" s="3822">
        <f t="shared" si="39"/>
        <v>26505.339</v>
      </c>
      <c r="AL67" s="4957"/>
      <c r="AM67" s="4957">
        <v>4033</v>
      </c>
      <c r="AN67" s="3955"/>
      <c r="AO67" s="3823">
        <f t="shared" si="9"/>
        <v>9554.2510000000002</v>
      </c>
      <c r="AP67" s="3824"/>
      <c r="AQ67" s="3822">
        <f t="shared" si="73"/>
        <v>30538.339</v>
      </c>
      <c r="AR67" s="4957"/>
      <c r="AS67" s="4957">
        <v>38</v>
      </c>
      <c r="AT67" s="3824"/>
      <c r="AU67" s="3822">
        <f t="shared" si="74"/>
        <v>30576.339</v>
      </c>
      <c r="AV67" s="4957"/>
      <c r="AW67" s="4957">
        <v>3165.614</v>
      </c>
      <c r="AX67" s="3824"/>
      <c r="AY67" s="3822">
        <f t="shared" si="75"/>
        <v>33741.953000000001</v>
      </c>
      <c r="AZ67" s="4957"/>
      <c r="BA67" s="4957">
        <v>2130.252</v>
      </c>
      <c r="BB67" s="3955"/>
      <c r="BC67" s="3823">
        <f t="shared" ref="BC67" si="81">AS67+AW67+BA67</f>
        <v>5333.866</v>
      </c>
      <c r="BD67" s="3826"/>
      <c r="BE67" s="3827">
        <f t="shared" ref="BE67" si="82">AO67+BC67</f>
        <v>14888.117</v>
      </c>
      <c r="BF67" s="3824"/>
      <c r="BG67" s="3822">
        <f t="shared" si="77"/>
        <v>35872.205000000002</v>
      </c>
      <c r="BH67" s="542"/>
    </row>
    <row r="68" spans="1:60" ht="18" x14ac:dyDescent="0.35">
      <c r="C68" s="3819" t="s">
        <v>932</v>
      </c>
      <c r="D68" s="3819" t="s">
        <v>1480</v>
      </c>
      <c r="E68" s="6274"/>
      <c r="F68" s="3819"/>
      <c r="G68" s="3839"/>
      <c r="H68" s="3839"/>
      <c r="I68" s="3839"/>
      <c r="J68" s="3822"/>
      <c r="K68" s="3822">
        <f t="shared" si="1"/>
        <v>0</v>
      </c>
      <c r="L68" s="3839"/>
      <c r="M68" s="3839">
        <v>619</v>
      </c>
      <c r="N68" s="3823"/>
      <c r="O68" s="3823">
        <f t="shared" si="2"/>
        <v>619</v>
      </c>
      <c r="P68" s="3839"/>
      <c r="Q68" s="3839">
        <v>583</v>
      </c>
      <c r="R68" s="3824"/>
      <c r="S68" s="3822">
        <f t="shared" si="3"/>
        <v>1202</v>
      </c>
      <c r="T68" s="3839"/>
      <c r="U68" s="3839">
        <v>112.042</v>
      </c>
      <c r="V68" s="3824"/>
      <c r="W68" s="3822">
        <f t="shared" si="4"/>
        <v>1314.0419999999999</v>
      </c>
      <c r="X68" s="3825"/>
      <c r="Y68" s="3839">
        <v>674</v>
      </c>
      <c r="Z68" s="3823"/>
      <c r="AA68" s="3823">
        <f t="shared" si="5"/>
        <v>1369.0419999999999</v>
      </c>
      <c r="AB68" s="3826"/>
      <c r="AC68" s="3827">
        <f t="shared" si="6"/>
        <v>1988.0419999999999</v>
      </c>
      <c r="AD68" s="3839"/>
      <c r="AE68" s="3839">
        <v>543</v>
      </c>
      <c r="AF68" s="3824"/>
      <c r="AG68" s="3822">
        <f t="shared" si="7"/>
        <v>2531.0419999999999</v>
      </c>
      <c r="AH68" s="3839"/>
      <c r="AI68" s="3839">
        <v>722.36599999999999</v>
      </c>
      <c r="AJ68" s="3824"/>
      <c r="AK68" s="3822">
        <f t="shared" si="39"/>
        <v>3253.4079999999999</v>
      </c>
      <c r="AL68" s="3839"/>
      <c r="AM68" s="3839">
        <v>412</v>
      </c>
      <c r="AN68" s="3955"/>
      <c r="AO68" s="3823">
        <f t="shared" si="9"/>
        <v>1677.366</v>
      </c>
      <c r="AP68" s="3824"/>
      <c r="AQ68" s="3822">
        <f t="shared" si="73"/>
        <v>3665.4079999999999</v>
      </c>
      <c r="AR68" s="3839"/>
      <c r="AS68" s="3839"/>
      <c r="AT68" s="3824"/>
      <c r="AU68" s="3822">
        <f t="shared" si="74"/>
        <v>3665.4079999999999</v>
      </c>
      <c r="AV68" s="3839"/>
      <c r="AW68" s="3839"/>
      <c r="AX68" s="3824"/>
      <c r="AY68" s="3822">
        <f t="shared" si="75"/>
        <v>3665.4079999999999</v>
      </c>
      <c r="AZ68" s="3839"/>
      <c r="BA68" s="3839"/>
      <c r="BB68" s="3955"/>
      <c r="BC68" s="3823">
        <f t="shared" si="76"/>
        <v>0</v>
      </c>
      <c r="BD68" s="3826"/>
      <c r="BE68" s="3827">
        <f t="shared" si="13"/>
        <v>1677.366</v>
      </c>
      <c r="BF68" s="3824"/>
      <c r="BG68" s="3822">
        <f t="shared" si="77"/>
        <v>3665.4079999999999</v>
      </c>
      <c r="BH68" s="542"/>
    </row>
    <row r="69" spans="1:60" ht="18" x14ac:dyDescent="0.35">
      <c r="C69" s="3840" t="s">
        <v>932</v>
      </c>
      <c r="D69" s="3840" t="s">
        <v>1605</v>
      </c>
      <c r="E69" s="6274"/>
      <c r="F69" s="3840"/>
      <c r="G69" s="3841"/>
      <c r="H69" s="3841"/>
      <c r="I69" s="3841"/>
      <c r="J69" s="3842"/>
      <c r="K69" s="3822">
        <f t="shared" ref="K69:K95" si="83">+G69+I69</f>
        <v>0</v>
      </c>
      <c r="L69" s="3841"/>
      <c r="M69" s="3841"/>
      <c r="N69" s="3843"/>
      <c r="O69" s="3823">
        <f t="shared" si="2"/>
        <v>0</v>
      </c>
      <c r="P69" s="3841"/>
      <c r="Q69" s="3841">
        <v>560</v>
      </c>
      <c r="R69" s="3824"/>
      <c r="S69" s="3822">
        <f t="shared" si="3"/>
        <v>560</v>
      </c>
      <c r="T69" s="3841"/>
      <c r="U69" s="3841"/>
      <c r="V69" s="3824"/>
      <c r="W69" s="3822">
        <f t="shared" si="4"/>
        <v>560</v>
      </c>
      <c r="X69" s="3825"/>
      <c r="Y69" s="3841"/>
      <c r="Z69" s="3843"/>
      <c r="AA69" s="3823">
        <f t="shared" si="5"/>
        <v>560</v>
      </c>
      <c r="AB69" s="3826"/>
      <c r="AC69" s="3827">
        <f t="shared" si="6"/>
        <v>560</v>
      </c>
      <c r="AD69" s="3841"/>
      <c r="AE69" s="3841"/>
      <c r="AF69" s="3824"/>
      <c r="AG69" s="3822">
        <f t="shared" si="7"/>
        <v>560</v>
      </c>
      <c r="AH69" s="3841"/>
      <c r="AI69" s="3841"/>
      <c r="AJ69" s="3824"/>
      <c r="AK69" s="3822">
        <f t="shared" si="39"/>
        <v>560</v>
      </c>
      <c r="AL69" s="3841"/>
      <c r="AM69" s="3841">
        <v>436</v>
      </c>
      <c r="AN69" s="3955"/>
      <c r="AO69" s="3823">
        <f t="shared" si="9"/>
        <v>436</v>
      </c>
      <c r="AP69" s="3824"/>
      <c r="AQ69" s="3822">
        <f t="shared" si="73"/>
        <v>996</v>
      </c>
      <c r="AR69" s="3841"/>
      <c r="AS69" s="3841"/>
      <c r="AT69" s="3824"/>
      <c r="AU69" s="3822">
        <f t="shared" si="74"/>
        <v>996</v>
      </c>
      <c r="AV69" s="3841"/>
      <c r="AW69" s="3841"/>
      <c r="AX69" s="3824"/>
      <c r="AY69" s="3822">
        <f t="shared" si="75"/>
        <v>996</v>
      </c>
      <c r="AZ69" s="3841"/>
      <c r="BA69" s="3841"/>
      <c r="BB69" s="3955"/>
      <c r="BC69" s="3823">
        <f t="shared" si="76"/>
        <v>0</v>
      </c>
      <c r="BD69" s="3826"/>
      <c r="BE69" s="3827">
        <f t="shared" si="13"/>
        <v>436</v>
      </c>
      <c r="BF69" s="3824"/>
      <c r="BG69" s="3822">
        <f t="shared" si="77"/>
        <v>996</v>
      </c>
      <c r="BH69" s="542"/>
    </row>
    <row r="70" spans="1:60" ht="18" x14ac:dyDescent="0.35">
      <c r="C70" s="3819" t="s">
        <v>932</v>
      </c>
      <c r="D70" s="3819" t="s">
        <v>1556</v>
      </c>
      <c r="E70" s="6274"/>
      <c r="F70" s="3819"/>
      <c r="G70" s="3839"/>
      <c r="H70" s="3839"/>
      <c r="I70" s="3839"/>
      <c r="J70" s="3822"/>
      <c r="K70" s="3822">
        <f t="shared" si="83"/>
        <v>0</v>
      </c>
      <c r="L70" s="3839"/>
      <c r="M70" s="3839"/>
      <c r="N70" s="3823"/>
      <c r="O70" s="3823">
        <f t="shared" si="2"/>
        <v>0</v>
      </c>
      <c r="P70" s="3839"/>
      <c r="Q70" s="3839"/>
      <c r="R70" s="3824"/>
      <c r="S70" s="3822">
        <f t="shared" si="3"/>
        <v>0</v>
      </c>
      <c r="T70" s="3839"/>
      <c r="U70" s="3839"/>
      <c r="V70" s="3824"/>
      <c r="W70" s="3822">
        <f t="shared" si="4"/>
        <v>0</v>
      </c>
      <c r="X70" s="3825"/>
      <c r="Y70" s="3839"/>
      <c r="Z70" s="3823"/>
      <c r="AA70" s="3823">
        <f t="shared" si="5"/>
        <v>0</v>
      </c>
      <c r="AB70" s="3826"/>
      <c r="AC70" s="3827">
        <f t="shared" si="6"/>
        <v>0</v>
      </c>
      <c r="AD70" s="3839"/>
      <c r="AE70" s="3839"/>
      <c r="AF70" s="3824"/>
      <c r="AG70" s="3822">
        <f t="shared" si="7"/>
        <v>0</v>
      </c>
      <c r="AH70" s="3839"/>
      <c r="AI70" s="3839"/>
      <c r="AJ70" s="3824"/>
      <c r="AK70" s="3822">
        <f t="shared" si="39"/>
        <v>0</v>
      </c>
      <c r="AL70" s="3839"/>
      <c r="AM70" s="3839"/>
      <c r="AN70" s="3955"/>
      <c r="AO70" s="3823">
        <f t="shared" si="9"/>
        <v>0</v>
      </c>
      <c r="AP70" s="3824"/>
      <c r="AQ70" s="3822">
        <f t="shared" si="73"/>
        <v>0</v>
      </c>
      <c r="AR70" s="3839"/>
      <c r="AS70" s="3839"/>
      <c r="AT70" s="3824"/>
      <c r="AU70" s="3822">
        <f t="shared" si="74"/>
        <v>0</v>
      </c>
      <c r="AV70" s="3839"/>
      <c r="AW70" s="3839"/>
      <c r="AX70" s="3824"/>
      <c r="AY70" s="3822">
        <f t="shared" si="75"/>
        <v>0</v>
      </c>
      <c r="AZ70" s="3839"/>
      <c r="BA70" s="3839"/>
      <c r="BB70" s="3955"/>
      <c r="BC70" s="3823">
        <f t="shared" si="76"/>
        <v>0</v>
      </c>
      <c r="BD70" s="3826"/>
      <c r="BE70" s="3827">
        <f t="shared" si="13"/>
        <v>0</v>
      </c>
      <c r="BF70" s="3824"/>
      <c r="BG70" s="3822">
        <f t="shared" si="77"/>
        <v>0</v>
      </c>
      <c r="BH70" s="542"/>
    </row>
    <row r="71" spans="1:60" ht="18" x14ac:dyDescent="0.35">
      <c r="C71" s="3819" t="s">
        <v>932</v>
      </c>
      <c r="D71" s="3844" t="s">
        <v>1796</v>
      </c>
      <c r="E71" s="6274"/>
      <c r="F71" s="3844"/>
      <c r="G71" s="3845"/>
      <c r="H71" s="3845"/>
      <c r="I71" s="3845"/>
      <c r="J71" s="3846"/>
      <c r="K71" s="3822">
        <f t="shared" si="83"/>
        <v>0</v>
      </c>
      <c r="L71" s="3845"/>
      <c r="M71" s="3845"/>
      <c r="N71" s="3847"/>
      <c r="O71" s="3823">
        <f t="shared" si="2"/>
        <v>0</v>
      </c>
      <c r="P71" s="3845"/>
      <c r="Q71" s="3845">
        <v>264</v>
      </c>
      <c r="R71" s="3824"/>
      <c r="S71" s="3822">
        <f t="shared" si="3"/>
        <v>264</v>
      </c>
      <c r="T71" s="3845"/>
      <c r="U71" s="3845"/>
      <c r="V71" s="3824"/>
      <c r="W71" s="3822">
        <f t="shared" si="4"/>
        <v>264</v>
      </c>
      <c r="X71" s="3845"/>
      <c r="Y71" s="3845"/>
      <c r="Z71" s="3847"/>
      <c r="AA71" s="3823">
        <f t="shared" si="5"/>
        <v>264</v>
      </c>
      <c r="AB71" s="3848"/>
      <c r="AC71" s="3827">
        <f t="shared" si="6"/>
        <v>264</v>
      </c>
      <c r="AD71" s="3845"/>
      <c r="AE71" s="3845"/>
      <c r="AF71" s="3824"/>
      <c r="AG71" s="3822">
        <f t="shared" si="7"/>
        <v>264</v>
      </c>
      <c r="AH71" s="3845"/>
      <c r="AI71" s="3845"/>
      <c r="AJ71" s="3824"/>
      <c r="AK71" s="3822">
        <f t="shared" si="39"/>
        <v>264</v>
      </c>
      <c r="AL71" s="3845"/>
      <c r="AM71" s="3845"/>
      <c r="AN71" s="3955"/>
      <c r="AO71" s="3823">
        <f t="shared" si="9"/>
        <v>0</v>
      </c>
      <c r="AP71" s="3824"/>
      <c r="AQ71" s="3822">
        <f t="shared" si="73"/>
        <v>264</v>
      </c>
      <c r="AR71" s="3845"/>
      <c r="AS71" s="3845"/>
      <c r="AT71" s="3824"/>
      <c r="AU71" s="3822">
        <f t="shared" si="74"/>
        <v>264</v>
      </c>
      <c r="AV71" s="3845"/>
      <c r="AW71" s="3845"/>
      <c r="AX71" s="3824"/>
      <c r="AY71" s="3822">
        <f t="shared" si="75"/>
        <v>264</v>
      </c>
      <c r="AZ71" s="3845"/>
      <c r="BA71" s="3845"/>
      <c r="BB71" s="3955"/>
      <c r="BC71" s="3823">
        <f t="shared" si="76"/>
        <v>0</v>
      </c>
      <c r="BD71" s="3848"/>
      <c r="BE71" s="3827">
        <f t="shared" si="13"/>
        <v>0</v>
      </c>
      <c r="BF71" s="3824"/>
      <c r="BG71" s="3822">
        <f t="shared" si="77"/>
        <v>264</v>
      </c>
      <c r="BH71" s="542"/>
    </row>
    <row r="72" spans="1:60" ht="18" x14ac:dyDescent="0.35">
      <c r="C72" s="3819" t="s">
        <v>932</v>
      </c>
      <c r="D72" s="3819" t="s">
        <v>1557</v>
      </c>
      <c r="E72" s="6274"/>
      <c r="F72" s="3819"/>
      <c r="G72" s="3839"/>
      <c r="H72" s="3839"/>
      <c r="I72" s="3839"/>
      <c r="J72" s="3822"/>
      <c r="K72" s="3822">
        <f t="shared" si="83"/>
        <v>0</v>
      </c>
      <c r="L72" s="3839"/>
      <c r="M72" s="3839"/>
      <c r="N72" s="3823"/>
      <c r="O72" s="3823">
        <f t="shared" si="2"/>
        <v>0</v>
      </c>
      <c r="P72" s="3839"/>
      <c r="Q72" s="3839"/>
      <c r="R72" s="3824"/>
      <c r="S72" s="3822">
        <f t="shared" si="3"/>
        <v>0</v>
      </c>
      <c r="T72" s="3839"/>
      <c r="U72" s="3839"/>
      <c r="V72" s="3824"/>
      <c r="W72" s="3822">
        <f t="shared" si="4"/>
        <v>0</v>
      </c>
      <c r="X72" s="3825"/>
      <c r="Y72" s="3839"/>
      <c r="Z72" s="3823"/>
      <c r="AA72" s="3823">
        <f t="shared" si="5"/>
        <v>0</v>
      </c>
      <c r="AB72" s="3826"/>
      <c r="AC72" s="3827">
        <f t="shared" si="6"/>
        <v>0</v>
      </c>
      <c r="AD72" s="3839"/>
      <c r="AE72" s="3839"/>
      <c r="AF72" s="3824"/>
      <c r="AG72" s="3822">
        <f t="shared" si="7"/>
        <v>0</v>
      </c>
      <c r="AH72" s="3839"/>
      <c r="AI72" s="3839"/>
      <c r="AJ72" s="3824"/>
      <c r="AK72" s="3822">
        <f t="shared" si="39"/>
        <v>0</v>
      </c>
      <c r="AL72" s="3839"/>
      <c r="AM72" s="3839"/>
      <c r="AN72" s="3955"/>
      <c r="AO72" s="3823">
        <f t="shared" si="9"/>
        <v>0</v>
      </c>
      <c r="AP72" s="3824"/>
      <c r="AQ72" s="3822">
        <f t="shared" si="73"/>
        <v>0</v>
      </c>
      <c r="AR72" s="3839"/>
      <c r="AS72" s="3839"/>
      <c r="AT72" s="3824"/>
      <c r="AU72" s="3822">
        <f t="shared" si="74"/>
        <v>0</v>
      </c>
      <c r="AV72" s="3839"/>
      <c r="AW72" s="3839"/>
      <c r="AX72" s="3824"/>
      <c r="AY72" s="3822">
        <f t="shared" si="75"/>
        <v>0</v>
      </c>
      <c r="AZ72" s="3839"/>
      <c r="BA72" s="3839"/>
      <c r="BB72" s="3955"/>
      <c r="BC72" s="3823">
        <f t="shared" si="76"/>
        <v>0</v>
      </c>
      <c r="BD72" s="3826"/>
      <c r="BE72" s="3827">
        <f t="shared" ref="BE72:BE93" si="84">AO72+BC72</f>
        <v>0</v>
      </c>
      <c r="BF72" s="3824"/>
      <c r="BG72" s="3822">
        <f t="shared" si="77"/>
        <v>0</v>
      </c>
      <c r="BH72" s="542"/>
    </row>
    <row r="73" spans="1:60" ht="18" x14ac:dyDescent="0.35">
      <c r="C73" s="3819" t="s">
        <v>932</v>
      </c>
      <c r="D73" s="3819" t="s">
        <v>1298</v>
      </c>
      <c r="E73" s="6274"/>
      <c r="F73" s="3819"/>
      <c r="G73" s="3839"/>
      <c r="H73" s="3839"/>
      <c r="I73" s="3839"/>
      <c r="J73" s="3822"/>
      <c r="K73" s="3822">
        <f t="shared" si="83"/>
        <v>0</v>
      </c>
      <c r="L73" s="3839"/>
      <c r="M73" s="3839"/>
      <c r="N73" s="3823"/>
      <c r="O73" s="3823">
        <f t="shared" si="2"/>
        <v>0</v>
      </c>
      <c r="P73" s="3839"/>
      <c r="Q73" s="3839"/>
      <c r="R73" s="3824"/>
      <c r="S73" s="3822">
        <f t="shared" si="3"/>
        <v>0</v>
      </c>
      <c r="T73" s="3839"/>
      <c r="U73" s="3839"/>
      <c r="V73" s="3824"/>
      <c r="W73" s="3822">
        <f t="shared" si="4"/>
        <v>0</v>
      </c>
      <c r="X73" s="3825"/>
      <c r="Y73" s="3839"/>
      <c r="Z73" s="3823"/>
      <c r="AA73" s="3823">
        <f t="shared" si="5"/>
        <v>0</v>
      </c>
      <c r="AB73" s="3826"/>
      <c r="AC73" s="3827">
        <f t="shared" si="6"/>
        <v>0</v>
      </c>
      <c r="AD73" s="3839"/>
      <c r="AE73" s="3839"/>
      <c r="AF73" s="3824"/>
      <c r="AG73" s="3822">
        <f t="shared" si="7"/>
        <v>0</v>
      </c>
      <c r="AH73" s="3839"/>
      <c r="AI73" s="3839"/>
      <c r="AJ73" s="3824"/>
      <c r="AK73" s="3822">
        <f t="shared" si="39"/>
        <v>0</v>
      </c>
      <c r="AL73" s="3839"/>
      <c r="AM73" s="3839"/>
      <c r="AN73" s="3955"/>
      <c r="AO73" s="3823">
        <f t="shared" si="9"/>
        <v>0</v>
      </c>
      <c r="AP73" s="3824"/>
      <c r="AQ73" s="3822">
        <f t="shared" si="73"/>
        <v>0</v>
      </c>
      <c r="AR73" s="3839"/>
      <c r="AS73" s="3839"/>
      <c r="AT73" s="3824"/>
      <c r="AU73" s="3822">
        <f t="shared" si="74"/>
        <v>0</v>
      </c>
      <c r="AV73" s="3839"/>
      <c r="AW73" s="3839"/>
      <c r="AX73" s="3824"/>
      <c r="AY73" s="3822">
        <f t="shared" si="75"/>
        <v>0</v>
      </c>
      <c r="AZ73" s="3839"/>
      <c r="BA73" s="3839"/>
      <c r="BB73" s="3955"/>
      <c r="BC73" s="3823">
        <f t="shared" si="76"/>
        <v>0</v>
      </c>
      <c r="BD73" s="3826"/>
      <c r="BE73" s="3827">
        <f t="shared" si="84"/>
        <v>0</v>
      </c>
      <c r="BF73" s="3824"/>
      <c r="BG73" s="3822">
        <f t="shared" si="77"/>
        <v>0</v>
      </c>
      <c r="BH73" s="542"/>
    </row>
    <row r="74" spans="1:60" ht="18" x14ac:dyDescent="0.35">
      <c r="C74" s="3819" t="s">
        <v>932</v>
      </c>
      <c r="D74" s="3819" t="s">
        <v>1221</v>
      </c>
      <c r="E74" s="6274"/>
      <c r="F74" s="3819"/>
      <c r="G74" s="3839"/>
      <c r="H74" s="3839"/>
      <c r="I74" s="3839"/>
      <c r="J74" s="3822"/>
      <c r="K74" s="3822">
        <f t="shared" si="83"/>
        <v>0</v>
      </c>
      <c r="L74" s="3839"/>
      <c r="M74" s="3839"/>
      <c r="N74" s="3823"/>
      <c r="O74" s="3823">
        <f t="shared" si="2"/>
        <v>0</v>
      </c>
      <c r="P74" s="3839"/>
      <c r="Q74" s="3839"/>
      <c r="R74" s="3824"/>
      <c r="S74" s="3822">
        <f t="shared" si="3"/>
        <v>0</v>
      </c>
      <c r="T74" s="3839"/>
      <c r="U74" s="3839"/>
      <c r="V74" s="3824"/>
      <c r="W74" s="3822">
        <f t="shared" si="4"/>
        <v>0</v>
      </c>
      <c r="X74" s="3825"/>
      <c r="Y74" s="3839"/>
      <c r="Z74" s="3823"/>
      <c r="AA74" s="3823">
        <f t="shared" si="5"/>
        <v>0</v>
      </c>
      <c r="AB74" s="3826"/>
      <c r="AC74" s="3827">
        <f t="shared" si="6"/>
        <v>0</v>
      </c>
      <c r="AD74" s="3839"/>
      <c r="AE74" s="3839"/>
      <c r="AF74" s="3824"/>
      <c r="AG74" s="3822">
        <f t="shared" si="7"/>
        <v>0</v>
      </c>
      <c r="AH74" s="3839"/>
      <c r="AI74" s="3839"/>
      <c r="AJ74" s="3824"/>
      <c r="AK74" s="3822">
        <f t="shared" si="39"/>
        <v>0</v>
      </c>
      <c r="AL74" s="3839"/>
      <c r="AM74" s="3839"/>
      <c r="AN74" s="3955"/>
      <c r="AO74" s="3823">
        <f t="shared" si="9"/>
        <v>0</v>
      </c>
      <c r="AP74" s="3824"/>
      <c r="AQ74" s="3822">
        <f t="shared" si="73"/>
        <v>0</v>
      </c>
      <c r="AR74" s="3839"/>
      <c r="AS74" s="3839"/>
      <c r="AT74" s="3824"/>
      <c r="AU74" s="3822">
        <f t="shared" si="74"/>
        <v>0</v>
      </c>
      <c r="AV74" s="3839"/>
      <c r="AW74" s="3839"/>
      <c r="AX74" s="3824"/>
      <c r="AY74" s="3822">
        <f t="shared" si="75"/>
        <v>0</v>
      </c>
      <c r="AZ74" s="3839"/>
      <c r="BA74" s="3839"/>
      <c r="BB74" s="3955"/>
      <c r="BC74" s="3823">
        <f t="shared" si="76"/>
        <v>0</v>
      </c>
      <c r="BD74" s="3826"/>
      <c r="BE74" s="3827">
        <f t="shared" si="84"/>
        <v>0</v>
      </c>
      <c r="BF74" s="3824"/>
      <c r="BG74" s="3822">
        <f t="shared" si="77"/>
        <v>0</v>
      </c>
      <c r="BH74" s="542"/>
    </row>
    <row r="75" spans="1:60" ht="18" x14ac:dyDescent="0.35">
      <c r="C75" s="3819" t="s">
        <v>932</v>
      </c>
      <c r="D75" s="3819" t="s">
        <v>1210</v>
      </c>
      <c r="E75" s="6274"/>
      <c r="F75" s="3819"/>
      <c r="G75" s="3839"/>
      <c r="H75" s="3839"/>
      <c r="I75" s="3839"/>
      <c r="J75" s="3822"/>
      <c r="K75" s="3822">
        <f t="shared" si="83"/>
        <v>0</v>
      </c>
      <c r="L75" s="3839"/>
      <c r="M75" s="3839">
        <v>235</v>
      </c>
      <c r="N75" s="3823"/>
      <c r="O75" s="3823">
        <f t="shared" si="2"/>
        <v>235</v>
      </c>
      <c r="P75" s="3839"/>
      <c r="Q75" s="3839">
        <v>116</v>
      </c>
      <c r="R75" s="3833"/>
      <c r="S75" s="3822">
        <f t="shared" si="3"/>
        <v>351</v>
      </c>
      <c r="T75" s="3839"/>
      <c r="U75" s="3839"/>
      <c r="V75" s="3833"/>
      <c r="W75" s="3822">
        <f t="shared" si="4"/>
        <v>351</v>
      </c>
      <c r="X75" s="3825"/>
      <c r="Y75" s="3839"/>
      <c r="Z75" s="3823"/>
      <c r="AA75" s="3823">
        <f t="shared" si="5"/>
        <v>116</v>
      </c>
      <c r="AB75" s="3826"/>
      <c r="AC75" s="3827">
        <f t="shared" si="6"/>
        <v>351</v>
      </c>
      <c r="AD75" s="3839"/>
      <c r="AE75" s="3839"/>
      <c r="AF75" s="3833"/>
      <c r="AG75" s="3822">
        <f t="shared" si="7"/>
        <v>351</v>
      </c>
      <c r="AH75" s="3839"/>
      <c r="AI75" s="3839"/>
      <c r="AJ75" s="3833"/>
      <c r="AK75" s="3822">
        <f t="shared" si="39"/>
        <v>351</v>
      </c>
      <c r="AL75" s="3839"/>
      <c r="AM75" s="3839"/>
      <c r="AN75" s="3955"/>
      <c r="AO75" s="3823">
        <f t="shared" si="9"/>
        <v>0</v>
      </c>
      <c r="AP75" s="3833"/>
      <c r="AQ75" s="3822">
        <f t="shared" si="73"/>
        <v>351</v>
      </c>
      <c r="AR75" s="3839"/>
      <c r="AS75" s="3839"/>
      <c r="AT75" s="3833"/>
      <c r="AU75" s="3822">
        <f t="shared" si="74"/>
        <v>351</v>
      </c>
      <c r="AV75" s="3839"/>
      <c r="AW75" s="3839"/>
      <c r="AX75" s="3833"/>
      <c r="AY75" s="3822">
        <f t="shared" si="75"/>
        <v>351</v>
      </c>
      <c r="AZ75" s="3839"/>
      <c r="BA75" s="3839"/>
      <c r="BB75" s="3955"/>
      <c r="BC75" s="3823">
        <f t="shared" si="76"/>
        <v>0</v>
      </c>
      <c r="BD75" s="3826"/>
      <c r="BE75" s="3827">
        <f t="shared" si="84"/>
        <v>0</v>
      </c>
      <c r="BF75" s="3833"/>
      <c r="BG75" s="3822">
        <f t="shared" si="77"/>
        <v>351</v>
      </c>
      <c r="BH75" s="542"/>
    </row>
    <row r="76" spans="1:60" ht="18" x14ac:dyDescent="0.35">
      <c r="C76" s="3819" t="s">
        <v>932</v>
      </c>
      <c r="D76" s="3819" t="s">
        <v>1083</v>
      </c>
      <c r="E76" s="6274"/>
      <c r="F76" s="3819"/>
      <c r="G76" s="3839"/>
      <c r="H76" s="3839"/>
      <c r="I76" s="3839"/>
      <c r="J76" s="3822"/>
      <c r="K76" s="3822">
        <f t="shared" si="83"/>
        <v>0</v>
      </c>
      <c r="L76" s="3839"/>
      <c r="M76" s="3839"/>
      <c r="N76" s="3823"/>
      <c r="O76" s="3823">
        <f t="shared" ref="O76:O78" si="85">+G76+I76+M76</f>
        <v>0</v>
      </c>
      <c r="P76" s="3839"/>
      <c r="Q76" s="3839"/>
      <c r="R76" s="3824"/>
      <c r="S76" s="3822">
        <f t="shared" ref="S76:S93" si="86">O76+Q76</f>
        <v>0</v>
      </c>
      <c r="T76" s="3839"/>
      <c r="U76" s="3839">
        <v>353.03800000000001</v>
      </c>
      <c r="V76" s="3824"/>
      <c r="W76" s="3822">
        <f t="shared" ref="W76:W93" si="87">S76+U76</f>
        <v>353.03800000000001</v>
      </c>
      <c r="X76" s="3825"/>
      <c r="Y76" s="3839">
        <v>114</v>
      </c>
      <c r="Z76" s="3823"/>
      <c r="AA76" s="3823">
        <f t="shared" ref="AA76:AA78" si="88">Q76+U76+Y76</f>
        <v>467.03800000000001</v>
      </c>
      <c r="AB76" s="3826"/>
      <c r="AC76" s="3827">
        <f t="shared" ref="AC76:AC93" si="89">O76+AA76</f>
        <v>467.03800000000001</v>
      </c>
      <c r="AD76" s="3839"/>
      <c r="AE76" s="3839">
        <v>114</v>
      </c>
      <c r="AF76" s="3824"/>
      <c r="AG76" s="3822">
        <f t="shared" ref="AG76:AG93" si="90">+AC76+AE76</f>
        <v>581.03800000000001</v>
      </c>
      <c r="AH76" s="3839"/>
      <c r="AI76" s="3839">
        <v>114.804</v>
      </c>
      <c r="AJ76" s="3824"/>
      <c r="AK76" s="3822">
        <f t="shared" ref="AK76:AK93" si="91">+AG76+AI76</f>
        <v>695.84199999999998</v>
      </c>
      <c r="AL76" s="3839"/>
      <c r="AM76" s="3839">
        <v>249</v>
      </c>
      <c r="AN76" s="3955"/>
      <c r="AO76" s="3823">
        <f t="shared" ref="AO76:AO78" si="92">AE76+AI76+AM76</f>
        <v>477.80399999999997</v>
      </c>
      <c r="AP76" s="3824"/>
      <c r="AQ76" s="3822">
        <f t="shared" si="73"/>
        <v>944.84199999999998</v>
      </c>
      <c r="AR76" s="3839"/>
      <c r="AS76" s="3839">
        <v>203</v>
      </c>
      <c r="AT76" s="3824"/>
      <c r="AU76" s="3822">
        <f t="shared" si="74"/>
        <v>1147.8420000000001</v>
      </c>
      <c r="AV76" s="3839"/>
      <c r="AW76" s="3839"/>
      <c r="AX76" s="3824"/>
      <c r="AY76" s="3822">
        <f t="shared" si="75"/>
        <v>1147.8420000000001</v>
      </c>
      <c r="AZ76" s="3839"/>
      <c r="BA76" s="3839">
        <v>150.946</v>
      </c>
      <c r="BB76" s="3955"/>
      <c r="BC76" s="3823">
        <f t="shared" si="76"/>
        <v>353.94600000000003</v>
      </c>
      <c r="BD76" s="3826"/>
      <c r="BE76" s="3827">
        <f t="shared" si="84"/>
        <v>831.75</v>
      </c>
      <c r="BF76" s="3824"/>
      <c r="BG76" s="3822">
        <f t="shared" si="77"/>
        <v>1298.788</v>
      </c>
      <c r="BH76" s="542"/>
    </row>
    <row r="77" spans="1:60" ht="18" x14ac:dyDescent="0.35">
      <c r="C77" s="3819" t="s">
        <v>932</v>
      </c>
      <c r="D77" s="3819" t="s">
        <v>898</v>
      </c>
      <c r="E77" s="6274"/>
      <c r="F77" s="3819"/>
      <c r="G77" s="3839">
        <v>10001</v>
      </c>
      <c r="H77" s="3849"/>
      <c r="I77" s="3839">
        <v>6503.4340000000002</v>
      </c>
      <c r="J77" s="3850"/>
      <c r="K77" s="3822">
        <f t="shared" si="83"/>
        <v>16504.434000000001</v>
      </c>
      <c r="L77" s="3849"/>
      <c r="M77" s="3839">
        <v>12849</v>
      </c>
      <c r="N77" s="3851"/>
      <c r="O77" s="3823">
        <f t="shared" si="85"/>
        <v>29353.434000000001</v>
      </c>
      <c r="P77" s="3849"/>
      <c r="Q77" s="3839">
        <v>18517</v>
      </c>
      <c r="R77" s="3824"/>
      <c r="S77" s="3822">
        <f t="shared" si="86"/>
        <v>47870.434000000001</v>
      </c>
      <c r="T77" s="3849"/>
      <c r="U77" s="3839">
        <v>14098.266</v>
      </c>
      <c r="V77" s="3824"/>
      <c r="W77" s="3822">
        <f t="shared" si="87"/>
        <v>61968.7</v>
      </c>
      <c r="X77" s="3825"/>
      <c r="Y77" s="3839">
        <v>17181</v>
      </c>
      <c r="Z77" s="3851"/>
      <c r="AA77" s="3823">
        <f t="shared" si="88"/>
        <v>49796.266000000003</v>
      </c>
      <c r="AB77" s="3826"/>
      <c r="AC77" s="3827">
        <f t="shared" si="89"/>
        <v>79149.700000000012</v>
      </c>
      <c r="AD77" s="3849"/>
      <c r="AE77" s="3839">
        <v>21466</v>
      </c>
      <c r="AF77" s="3824"/>
      <c r="AG77" s="3822">
        <f t="shared" si="90"/>
        <v>100615.70000000001</v>
      </c>
      <c r="AH77" s="3849"/>
      <c r="AI77" s="3839">
        <v>25111.692000000003</v>
      </c>
      <c r="AJ77" s="3824"/>
      <c r="AK77" s="3822">
        <f t="shared" si="91"/>
        <v>125727.39200000002</v>
      </c>
      <c r="AL77" s="3849"/>
      <c r="AM77" s="3839">
        <v>9723</v>
      </c>
      <c r="AN77" s="3955"/>
      <c r="AO77" s="3823">
        <f t="shared" si="92"/>
        <v>56300.692000000003</v>
      </c>
      <c r="AP77" s="3824"/>
      <c r="AQ77" s="3822">
        <f t="shared" si="73"/>
        <v>135450.39200000002</v>
      </c>
      <c r="AR77" s="3849"/>
      <c r="AS77" s="3839">
        <v>11151</v>
      </c>
      <c r="AT77" s="3824"/>
      <c r="AU77" s="3822">
        <f t="shared" si="74"/>
        <v>146601.39200000002</v>
      </c>
      <c r="AV77" s="3849"/>
      <c r="AW77" s="3839">
        <v>3937.3519999999999</v>
      </c>
      <c r="AX77" s="3824"/>
      <c r="AY77" s="3822">
        <f t="shared" si="75"/>
        <v>150538.74400000004</v>
      </c>
      <c r="AZ77" s="3849"/>
      <c r="BA77" s="3839">
        <v>10396.14</v>
      </c>
      <c r="BB77" s="3955"/>
      <c r="BC77" s="3823">
        <f t="shared" si="76"/>
        <v>25484.491999999998</v>
      </c>
      <c r="BD77" s="3826"/>
      <c r="BE77" s="3827">
        <f t="shared" si="84"/>
        <v>81785.184000000008</v>
      </c>
      <c r="BF77" s="3824"/>
      <c r="BG77" s="3822">
        <f t="shared" si="77"/>
        <v>160934.88400000002</v>
      </c>
      <c r="BH77" s="542"/>
    </row>
    <row r="78" spans="1:60" ht="18" x14ac:dyDescent="0.35">
      <c r="C78" s="3819" t="s">
        <v>932</v>
      </c>
      <c r="D78" s="3819" t="s">
        <v>944</v>
      </c>
      <c r="E78" s="6274"/>
      <c r="F78" s="3819"/>
      <c r="G78" s="3839">
        <v>3712</v>
      </c>
      <c r="H78" s="3849"/>
      <c r="I78" s="3839"/>
      <c r="J78" s="3850"/>
      <c r="K78" s="3822">
        <f t="shared" si="83"/>
        <v>3712</v>
      </c>
      <c r="L78" s="3849"/>
      <c r="M78" s="3839">
        <v>15189</v>
      </c>
      <c r="N78" s="3851"/>
      <c r="O78" s="3823">
        <f t="shared" si="85"/>
        <v>18901</v>
      </c>
      <c r="P78" s="3849"/>
      <c r="Q78" s="3839">
        <v>17017</v>
      </c>
      <c r="R78" s="3833"/>
      <c r="S78" s="3822">
        <f t="shared" si="86"/>
        <v>35918</v>
      </c>
      <c r="T78" s="3849"/>
      <c r="U78" s="3839">
        <v>14747.263999999999</v>
      </c>
      <c r="V78" s="3833"/>
      <c r="W78" s="3822">
        <f t="shared" si="87"/>
        <v>50665.263999999996</v>
      </c>
      <c r="X78" s="3825"/>
      <c r="Y78" s="3839">
        <v>10684</v>
      </c>
      <c r="Z78" s="3851"/>
      <c r="AA78" s="3823">
        <f t="shared" si="88"/>
        <v>42448.263999999996</v>
      </c>
      <c r="AB78" s="3826"/>
      <c r="AC78" s="3827">
        <f t="shared" si="89"/>
        <v>61349.263999999996</v>
      </c>
      <c r="AD78" s="3849"/>
      <c r="AE78" s="3839">
        <v>14218</v>
      </c>
      <c r="AF78" s="3833"/>
      <c r="AG78" s="3822">
        <f t="shared" si="90"/>
        <v>75567.263999999996</v>
      </c>
      <c r="AH78" s="3849"/>
      <c r="AI78" s="3839">
        <v>14613.73</v>
      </c>
      <c r="AJ78" s="3833"/>
      <c r="AK78" s="3822">
        <f t="shared" si="91"/>
        <v>90180.993999999992</v>
      </c>
      <c r="AL78" s="3849"/>
      <c r="AM78" s="3839">
        <v>19136</v>
      </c>
      <c r="AN78" s="3955"/>
      <c r="AO78" s="3823">
        <f t="shared" si="92"/>
        <v>47967.729999999996</v>
      </c>
      <c r="AP78" s="3833"/>
      <c r="AQ78" s="3822">
        <f t="shared" si="73"/>
        <v>109316.99399999999</v>
      </c>
      <c r="AR78" s="3849"/>
      <c r="AS78" s="3839">
        <v>5141</v>
      </c>
      <c r="AT78" s="3833"/>
      <c r="AU78" s="3822">
        <f t="shared" si="74"/>
        <v>114457.99399999999</v>
      </c>
      <c r="AV78" s="3849"/>
      <c r="AW78" s="3839"/>
      <c r="AX78" s="3833"/>
      <c r="AY78" s="3822">
        <f t="shared" si="75"/>
        <v>114457.99399999999</v>
      </c>
      <c r="AZ78" s="3849"/>
      <c r="BA78" s="3839">
        <v>10972.29</v>
      </c>
      <c r="BB78" s="3955"/>
      <c r="BC78" s="3823">
        <f t="shared" si="76"/>
        <v>16113.29</v>
      </c>
      <c r="BD78" s="3826"/>
      <c r="BE78" s="3827">
        <f t="shared" si="84"/>
        <v>64081.02</v>
      </c>
      <c r="BF78" s="3833"/>
      <c r="BG78" s="3822">
        <f t="shared" si="77"/>
        <v>125430.28399999999</v>
      </c>
      <c r="BH78" s="542"/>
    </row>
    <row r="79" spans="1:60" ht="18" x14ac:dyDescent="0.35">
      <c r="C79" s="6270" t="s">
        <v>993</v>
      </c>
      <c r="D79" s="6270"/>
      <c r="E79" s="6274"/>
      <c r="F79" s="3834"/>
      <c r="G79" s="3835">
        <f t="shared" ref="G79:AM79" si="93">SUM(G55:G78)</f>
        <v>33808</v>
      </c>
      <c r="H79" s="3835">
        <f t="shared" si="93"/>
        <v>0</v>
      </c>
      <c r="I79" s="3835">
        <f t="shared" si="93"/>
        <v>16896.356</v>
      </c>
      <c r="J79" s="3835">
        <f t="shared" si="93"/>
        <v>0</v>
      </c>
      <c r="K79" s="3822">
        <f t="shared" si="83"/>
        <v>50704.356</v>
      </c>
      <c r="L79" s="3835">
        <f t="shared" si="93"/>
        <v>0</v>
      </c>
      <c r="M79" s="3835">
        <f t="shared" si="93"/>
        <v>51290</v>
      </c>
      <c r="N79" s="3835">
        <f t="shared" si="93"/>
        <v>0</v>
      </c>
      <c r="O79" s="3837">
        <f t="shared" si="93"/>
        <v>101994.356</v>
      </c>
      <c r="P79" s="3835">
        <f t="shared" si="93"/>
        <v>0</v>
      </c>
      <c r="Q79" s="3835">
        <f t="shared" si="93"/>
        <v>46163</v>
      </c>
      <c r="R79" s="3835">
        <f t="shared" si="93"/>
        <v>0</v>
      </c>
      <c r="S79" s="3836">
        <f t="shared" si="93"/>
        <v>148157.356</v>
      </c>
      <c r="T79" s="3835">
        <f t="shared" si="93"/>
        <v>0</v>
      </c>
      <c r="U79" s="3835">
        <f t="shared" si="93"/>
        <v>45702.616000000002</v>
      </c>
      <c r="V79" s="3835">
        <f t="shared" si="93"/>
        <v>0</v>
      </c>
      <c r="W79" s="3836">
        <f t="shared" si="93"/>
        <v>180463</v>
      </c>
      <c r="X79" s="3835">
        <f t="shared" si="93"/>
        <v>0</v>
      </c>
      <c r="Y79" s="3835">
        <f t="shared" si="93"/>
        <v>49365</v>
      </c>
      <c r="Z79" s="3835">
        <f t="shared" si="93"/>
        <v>0</v>
      </c>
      <c r="AA79" s="3837">
        <f t="shared" si="93"/>
        <v>141230.61600000001</v>
      </c>
      <c r="AB79" s="3835">
        <f t="shared" si="93"/>
        <v>0</v>
      </c>
      <c r="AC79" s="3838">
        <f t="shared" si="93"/>
        <v>243224.97200000001</v>
      </c>
      <c r="AD79" s="3835">
        <f t="shared" si="93"/>
        <v>0</v>
      </c>
      <c r="AE79" s="3835">
        <f t="shared" si="93"/>
        <v>50576</v>
      </c>
      <c r="AF79" s="3835">
        <f t="shared" si="93"/>
        <v>0</v>
      </c>
      <c r="AG79" s="3836">
        <f t="shared" si="93"/>
        <v>293800.97200000001</v>
      </c>
      <c r="AH79" s="3835">
        <f t="shared" si="93"/>
        <v>0</v>
      </c>
      <c r="AI79" s="3835">
        <f t="shared" si="93"/>
        <v>57014.864000000001</v>
      </c>
      <c r="AJ79" s="3835">
        <f t="shared" si="93"/>
        <v>0</v>
      </c>
      <c r="AK79" s="3836">
        <f t="shared" si="93"/>
        <v>350815.83600000001</v>
      </c>
      <c r="AL79" s="3835">
        <f t="shared" si="93"/>
        <v>0</v>
      </c>
      <c r="AM79" s="3835">
        <f t="shared" si="93"/>
        <v>48508.66</v>
      </c>
      <c r="AN79" s="3954"/>
      <c r="AO79" s="3837">
        <f t="shared" ref="AO79:BA79" si="94">SUM(AO55:AO78)</f>
        <v>156099.52400000003</v>
      </c>
      <c r="AP79" s="3835">
        <f t="shared" si="94"/>
        <v>0</v>
      </c>
      <c r="AQ79" s="3836">
        <f t="shared" si="94"/>
        <v>399324.49600000004</v>
      </c>
      <c r="AR79" s="3835">
        <f t="shared" si="94"/>
        <v>0</v>
      </c>
      <c r="AS79" s="3835">
        <f t="shared" si="94"/>
        <v>26498</v>
      </c>
      <c r="AT79" s="3835">
        <f t="shared" si="94"/>
        <v>0</v>
      </c>
      <c r="AU79" s="3836">
        <f t="shared" si="94"/>
        <v>425822.49600000004</v>
      </c>
      <c r="AV79" s="3835">
        <f t="shared" si="94"/>
        <v>0</v>
      </c>
      <c r="AW79" s="3835">
        <f t="shared" si="94"/>
        <v>13181.536</v>
      </c>
      <c r="AX79" s="3835">
        <f t="shared" si="94"/>
        <v>0</v>
      </c>
      <c r="AY79" s="3836">
        <f t="shared" si="94"/>
        <v>439004.03200000006</v>
      </c>
      <c r="AZ79" s="3835">
        <f t="shared" si="94"/>
        <v>0</v>
      </c>
      <c r="BA79" s="3835">
        <f t="shared" si="94"/>
        <v>33704.529000000002</v>
      </c>
      <c r="BB79" s="3954"/>
      <c r="BC79" s="3837">
        <f>SUM(BC55:BC78)</f>
        <v>73384.065000000002</v>
      </c>
      <c r="BD79" s="3835">
        <f>SUM(BD55:BD78)</f>
        <v>0</v>
      </c>
      <c r="BE79" s="3838">
        <f>SUM(BE55:BE78)</f>
        <v>229483.58900000001</v>
      </c>
      <c r="BF79" s="3835">
        <f>SUM(BF55:BF78)</f>
        <v>0</v>
      </c>
      <c r="BG79" s="3836">
        <f>SUM(BG55:BG78)</f>
        <v>472708.56099999999</v>
      </c>
      <c r="BH79" s="542"/>
    </row>
    <row r="80" spans="1:60" ht="18" x14ac:dyDescent="0.35">
      <c r="A80" s="209"/>
      <c r="B80" s="209"/>
      <c r="C80" s="3852" t="s">
        <v>933</v>
      </c>
      <c r="D80" s="3852" t="s">
        <v>608</v>
      </c>
      <c r="E80" s="6274"/>
      <c r="F80" s="3853"/>
      <c r="G80" s="3854"/>
      <c r="H80" s="3855"/>
      <c r="I80" s="3854"/>
      <c r="J80" s="3856"/>
      <c r="K80" s="3822">
        <f t="shared" si="83"/>
        <v>0</v>
      </c>
      <c r="L80" s="3855"/>
      <c r="M80" s="3854"/>
      <c r="N80" s="3857"/>
      <c r="O80" s="3823">
        <f t="shared" ref="O80:O93" si="95">+G80+I80+M80</f>
        <v>0</v>
      </c>
      <c r="P80" s="3855"/>
      <c r="Q80" s="3858"/>
      <c r="R80" s="3859"/>
      <c r="S80" s="3822">
        <f t="shared" si="86"/>
        <v>0</v>
      </c>
      <c r="T80" s="3855"/>
      <c r="U80" s="3858">
        <v>82.082000000000335</v>
      </c>
      <c r="V80" s="3859"/>
      <c r="W80" s="3822">
        <f t="shared" si="87"/>
        <v>82.082000000000335</v>
      </c>
      <c r="X80" s="3860"/>
      <c r="Y80" s="3858"/>
      <c r="Z80" s="3857"/>
      <c r="AA80" s="3823">
        <f t="shared" ref="AA80:AA93" si="96">Q80+U80+Y80</f>
        <v>82.082000000000335</v>
      </c>
      <c r="AB80" s="3826"/>
      <c r="AC80" s="3827">
        <f t="shared" si="89"/>
        <v>82.082000000000335</v>
      </c>
      <c r="AD80" s="3855"/>
      <c r="AE80" s="3858"/>
      <c r="AF80" s="3861"/>
      <c r="AG80" s="3822">
        <f t="shared" si="90"/>
        <v>82.082000000000335</v>
      </c>
      <c r="AH80" s="3855"/>
      <c r="AI80" s="3858"/>
      <c r="AJ80" s="3861"/>
      <c r="AK80" s="3822">
        <f t="shared" si="91"/>
        <v>82.082000000000335</v>
      </c>
      <c r="AL80" s="3855"/>
      <c r="AM80" s="3858"/>
      <c r="AN80" s="3956"/>
      <c r="AO80" s="3823">
        <f t="shared" ref="AO80:AO93" si="97">AE80+AI80+AM80</f>
        <v>0</v>
      </c>
      <c r="AP80" s="3861"/>
      <c r="AQ80" s="3822">
        <f t="shared" ref="AQ80:AQ93" si="98">+AK80+AM80</f>
        <v>82.082000000000335</v>
      </c>
      <c r="AR80" s="3855"/>
      <c r="AS80" s="3858">
        <v>1074.1600000000001</v>
      </c>
      <c r="AT80" s="3861"/>
      <c r="AU80" s="3822">
        <f t="shared" ref="AU80:AU93" si="99">+AQ80+AS80</f>
        <v>1156.2420000000004</v>
      </c>
      <c r="AV80" s="3855"/>
      <c r="AW80" s="3858">
        <v>2.3719999999998436</v>
      </c>
      <c r="AX80" s="3861"/>
      <c r="AY80" s="3822">
        <f t="shared" ref="AY80:AY93" si="100">+AU80+AW80</f>
        <v>1158.6140000000003</v>
      </c>
      <c r="AZ80" s="3855"/>
      <c r="BA80" s="3858"/>
      <c r="BB80" s="3956"/>
      <c r="BC80" s="3823">
        <f t="shared" ref="BC80:BC93" si="101">AS80+AW80+BA80</f>
        <v>1076.5319999999999</v>
      </c>
      <c r="BD80" s="3826"/>
      <c r="BE80" s="3827">
        <f t="shared" si="84"/>
        <v>1076.5319999999999</v>
      </c>
      <c r="BF80" s="3861"/>
      <c r="BG80" s="3822">
        <f t="shared" ref="BG80:BG93" si="102">+AY80+BA80</f>
        <v>1158.6140000000003</v>
      </c>
      <c r="BH80" s="542"/>
    </row>
    <row r="81" spans="1:60" ht="18" x14ac:dyDescent="0.35">
      <c r="C81" s="3819" t="s">
        <v>933</v>
      </c>
      <c r="D81" s="3819" t="s">
        <v>945</v>
      </c>
      <c r="E81" s="6274"/>
      <c r="F81" s="3819"/>
      <c r="G81" s="3839"/>
      <c r="H81" s="3862"/>
      <c r="I81" s="3839"/>
      <c r="J81" s="3850"/>
      <c r="K81" s="3822">
        <f t="shared" si="83"/>
        <v>0</v>
      </c>
      <c r="L81" s="3862"/>
      <c r="M81" s="3839"/>
      <c r="N81" s="3851"/>
      <c r="O81" s="3823">
        <f t="shared" si="95"/>
        <v>0</v>
      </c>
      <c r="P81" s="3862"/>
      <c r="Q81" s="3821"/>
      <c r="R81" s="3824"/>
      <c r="S81" s="3822">
        <f t="shared" si="86"/>
        <v>0</v>
      </c>
      <c r="T81" s="3862"/>
      <c r="U81" s="3821"/>
      <c r="V81" s="3824"/>
      <c r="W81" s="3822">
        <f t="shared" si="87"/>
        <v>0</v>
      </c>
      <c r="X81" s="3825"/>
      <c r="Y81" s="3821"/>
      <c r="Z81" s="3851"/>
      <c r="AA81" s="3823">
        <f t="shared" si="96"/>
        <v>0</v>
      </c>
      <c r="AB81" s="3826"/>
      <c r="AC81" s="3827">
        <f t="shared" si="89"/>
        <v>0</v>
      </c>
      <c r="AD81" s="3862"/>
      <c r="AE81" s="3821"/>
      <c r="AF81" s="3824"/>
      <c r="AG81" s="3822">
        <f t="shared" si="90"/>
        <v>0</v>
      </c>
      <c r="AH81" s="3862"/>
      <c r="AI81" s="3821"/>
      <c r="AJ81" s="3824"/>
      <c r="AK81" s="3822">
        <f t="shared" si="91"/>
        <v>0</v>
      </c>
      <c r="AL81" s="3862"/>
      <c r="AM81" s="3821"/>
      <c r="AN81" s="3953"/>
      <c r="AO81" s="3823">
        <f t="shared" si="97"/>
        <v>0</v>
      </c>
      <c r="AP81" s="3824"/>
      <c r="AQ81" s="3822">
        <f t="shared" si="98"/>
        <v>0</v>
      </c>
      <c r="AR81" s="3862"/>
      <c r="AS81" s="3821"/>
      <c r="AT81" s="3824"/>
      <c r="AU81" s="3822">
        <f t="shared" si="99"/>
        <v>0</v>
      </c>
      <c r="AV81" s="3862"/>
      <c r="AW81" s="3821"/>
      <c r="AX81" s="3824"/>
      <c r="AY81" s="3822">
        <f t="shared" si="100"/>
        <v>0</v>
      </c>
      <c r="AZ81" s="3862"/>
      <c r="BA81" s="3821"/>
      <c r="BB81" s="3953"/>
      <c r="BC81" s="3823">
        <f t="shared" si="101"/>
        <v>0</v>
      </c>
      <c r="BD81" s="3826"/>
      <c r="BE81" s="3827">
        <f t="shared" si="84"/>
        <v>0</v>
      </c>
      <c r="BF81" s="3824"/>
      <c r="BG81" s="3822">
        <f t="shared" si="102"/>
        <v>0</v>
      </c>
      <c r="BH81" s="542"/>
    </row>
    <row r="82" spans="1:60" ht="18" x14ac:dyDescent="0.35">
      <c r="C82" s="3819" t="s">
        <v>933</v>
      </c>
      <c r="D82" s="3819" t="s">
        <v>1530</v>
      </c>
      <c r="E82" s="6274"/>
      <c r="F82" s="3819"/>
      <c r="G82" s="3839"/>
      <c r="H82" s="3862"/>
      <c r="I82" s="3839"/>
      <c r="J82" s="3850"/>
      <c r="K82" s="3822">
        <f t="shared" si="83"/>
        <v>0</v>
      </c>
      <c r="L82" s="3862"/>
      <c r="M82" s="3839"/>
      <c r="N82" s="3851"/>
      <c r="O82" s="3823">
        <f t="shared" si="95"/>
        <v>0</v>
      </c>
      <c r="P82" s="3862"/>
      <c r="Q82" s="3821"/>
      <c r="R82" s="3824"/>
      <c r="S82" s="3822">
        <f t="shared" si="86"/>
        <v>0</v>
      </c>
      <c r="T82" s="3862"/>
      <c r="U82" s="3821"/>
      <c r="V82" s="3824"/>
      <c r="W82" s="3822">
        <f t="shared" si="87"/>
        <v>0</v>
      </c>
      <c r="X82" s="3863"/>
      <c r="Y82" s="3821"/>
      <c r="Z82" s="3851"/>
      <c r="AA82" s="3823">
        <f t="shared" si="96"/>
        <v>0</v>
      </c>
      <c r="AB82" s="3826"/>
      <c r="AC82" s="3827">
        <f t="shared" si="89"/>
        <v>0</v>
      </c>
      <c r="AD82" s="3862"/>
      <c r="AE82" s="3821"/>
      <c r="AF82" s="3824"/>
      <c r="AG82" s="3822">
        <f t="shared" si="90"/>
        <v>0</v>
      </c>
      <c r="AH82" s="3862"/>
      <c r="AI82" s="3821"/>
      <c r="AJ82" s="3824"/>
      <c r="AK82" s="3822">
        <f t="shared" si="91"/>
        <v>0</v>
      </c>
      <c r="AL82" s="3862"/>
      <c r="AM82" s="3821"/>
      <c r="AN82" s="3953"/>
      <c r="AO82" s="3823">
        <f t="shared" si="97"/>
        <v>0</v>
      </c>
      <c r="AP82" s="3824"/>
      <c r="AQ82" s="3822">
        <f t="shared" si="98"/>
        <v>0</v>
      </c>
      <c r="AR82" s="3862"/>
      <c r="AS82" s="3821">
        <v>1882</v>
      </c>
      <c r="AT82" s="3824"/>
      <c r="AU82" s="3822">
        <f t="shared" si="99"/>
        <v>1882</v>
      </c>
      <c r="AV82" s="3862"/>
      <c r="AW82" s="3821">
        <v>1221.2460000000001</v>
      </c>
      <c r="AX82" s="3824"/>
      <c r="AY82" s="3822">
        <f t="shared" si="100"/>
        <v>3103.2460000000001</v>
      </c>
      <c r="AZ82" s="3862"/>
      <c r="BA82" s="3821"/>
      <c r="BB82" s="3953"/>
      <c r="BC82" s="3823">
        <f t="shared" si="101"/>
        <v>3103.2460000000001</v>
      </c>
      <c r="BD82" s="3826"/>
      <c r="BE82" s="3827">
        <f t="shared" si="84"/>
        <v>3103.2460000000001</v>
      </c>
      <c r="BF82" s="3824"/>
      <c r="BG82" s="3822">
        <f t="shared" si="102"/>
        <v>3103.2460000000001</v>
      </c>
      <c r="BH82" s="542"/>
    </row>
    <row r="83" spans="1:60" ht="18" x14ac:dyDescent="0.35">
      <c r="C83" s="3819" t="s">
        <v>933</v>
      </c>
      <c r="D83" s="3819" t="s">
        <v>639</v>
      </c>
      <c r="E83" s="6274"/>
      <c r="F83" s="3819"/>
      <c r="G83" s="3839"/>
      <c r="H83" s="3862"/>
      <c r="I83" s="3839"/>
      <c r="J83" s="3850"/>
      <c r="K83" s="3822">
        <f t="shared" si="83"/>
        <v>0</v>
      </c>
      <c r="L83" s="3862"/>
      <c r="M83" s="3839"/>
      <c r="N83" s="3851"/>
      <c r="O83" s="3823">
        <f t="shared" si="95"/>
        <v>0</v>
      </c>
      <c r="P83" s="3862"/>
      <c r="Q83" s="3821"/>
      <c r="R83" s="3824"/>
      <c r="S83" s="3822">
        <f t="shared" si="86"/>
        <v>0</v>
      </c>
      <c r="T83" s="3862"/>
      <c r="U83" s="3821">
        <v>5899.3739999999998</v>
      </c>
      <c r="V83" s="3824"/>
      <c r="W83" s="3822">
        <f t="shared" si="87"/>
        <v>5899.3739999999998</v>
      </c>
      <c r="X83" s="3863"/>
      <c r="Y83" s="3821"/>
      <c r="Z83" s="3851"/>
      <c r="AA83" s="3823">
        <f t="shared" si="96"/>
        <v>5899.3739999999998</v>
      </c>
      <c r="AB83" s="3826"/>
      <c r="AC83" s="3827">
        <f t="shared" si="89"/>
        <v>5899.3739999999998</v>
      </c>
      <c r="AD83" s="3862"/>
      <c r="AE83" s="3821">
        <v>9050</v>
      </c>
      <c r="AF83" s="3824"/>
      <c r="AG83" s="3822">
        <f t="shared" si="90"/>
        <v>14949.374</v>
      </c>
      <c r="AH83" s="3862"/>
      <c r="AI83" s="3821"/>
      <c r="AJ83" s="3824"/>
      <c r="AK83" s="3822">
        <f t="shared" si="91"/>
        <v>14949.374</v>
      </c>
      <c r="AL83" s="3862"/>
      <c r="AM83" s="3821"/>
      <c r="AN83" s="3953"/>
      <c r="AO83" s="3823">
        <f t="shared" si="97"/>
        <v>9050</v>
      </c>
      <c r="AP83" s="3824"/>
      <c r="AQ83" s="3822">
        <f t="shared" si="98"/>
        <v>14949.374</v>
      </c>
      <c r="AR83" s="3862"/>
      <c r="AS83" s="3821"/>
      <c r="AT83" s="3824"/>
      <c r="AU83" s="3822">
        <f t="shared" si="99"/>
        <v>14949.374</v>
      </c>
      <c r="AV83" s="3862"/>
      <c r="AW83" s="3821"/>
      <c r="AX83" s="3824"/>
      <c r="AY83" s="3822">
        <f t="shared" si="100"/>
        <v>14949.374</v>
      </c>
      <c r="AZ83" s="3862"/>
      <c r="BA83" s="3821"/>
      <c r="BB83" s="3953"/>
      <c r="BC83" s="3823">
        <f t="shared" si="101"/>
        <v>0</v>
      </c>
      <c r="BD83" s="3826"/>
      <c r="BE83" s="3827">
        <f t="shared" si="84"/>
        <v>9050</v>
      </c>
      <c r="BF83" s="3824"/>
      <c r="BG83" s="3822">
        <f t="shared" si="102"/>
        <v>14949.374</v>
      </c>
      <c r="BH83" s="542"/>
    </row>
    <row r="84" spans="1:60" ht="18" x14ac:dyDescent="0.35">
      <c r="C84" s="3819" t="s">
        <v>933</v>
      </c>
      <c r="D84" s="3819" t="s">
        <v>1071</v>
      </c>
      <c r="E84" s="6274"/>
      <c r="F84" s="3819"/>
      <c r="G84" s="3839"/>
      <c r="H84" s="3862"/>
      <c r="I84" s="3839"/>
      <c r="J84" s="3850"/>
      <c r="K84" s="3822">
        <f t="shared" si="83"/>
        <v>0</v>
      </c>
      <c r="L84" s="3862"/>
      <c r="M84" s="3839"/>
      <c r="N84" s="3851"/>
      <c r="O84" s="3823">
        <f t="shared" si="95"/>
        <v>0</v>
      </c>
      <c r="P84" s="3862"/>
      <c r="Q84" s="3862"/>
      <c r="R84" s="3824"/>
      <c r="S84" s="3822">
        <f t="shared" si="86"/>
        <v>0</v>
      </c>
      <c r="T84" s="3862"/>
      <c r="U84" s="3862"/>
      <c r="V84" s="3824"/>
      <c r="W84" s="3822">
        <f t="shared" si="87"/>
        <v>0</v>
      </c>
      <c r="X84" s="3825"/>
      <c r="Y84" s="3862"/>
      <c r="Z84" s="3851"/>
      <c r="AA84" s="3823">
        <f t="shared" si="96"/>
        <v>0</v>
      </c>
      <c r="AB84" s="3826"/>
      <c r="AC84" s="3827">
        <f t="shared" si="89"/>
        <v>0</v>
      </c>
      <c r="AD84" s="3862"/>
      <c r="AE84" s="3862"/>
      <c r="AF84" s="3824"/>
      <c r="AG84" s="3822">
        <f t="shared" si="90"/>
        <v>0</v>
      </c>
      <c r="AH84" s="3862"/>
      <c r="AI84" s="3862"/>
      <c r="AJ84" s="3824"/>
      <c r="AK84" s="3822">
        <f t="shared" si="91"/>
        <v>0</v>
      </c>
      <c r="AL84" s="3862"/>
      <c r="AM84" s="3862"/>
      <c r="AN84" s="3957"/>
      <c r="AO84" s="3823">
        <f t="shared" si="97"/>
        <v>0</v>
      </c>
      <c r="AP84" s="3824"/>
      <c r="AQ84" s="3822">
        <f t="shared" si="98"/>
        <v>0</v>
      </c>
      <c r="AR84" s="3862"/>
      <c r="AS84" s="3862"/>
      <c r="AT84" s="3824"/>
      <c r="AU84" s="3822">
        <f t="shared" si="99"/>
        <v>0</v>
      </c>
      <c r="AV84" s="3862"/>
      <c r="AW84" s="3862"/>
      <c r="AX84" s="3824"/>
      <c r="AY84" s="3822">
        <f t="shared" si="100"/>
        <v>0</v>
      </c>
      <c r="AZ84" s="3862"/>
      <c r="BA84" s="3862"/>
      <c r="BB84" s="3957"/>
      <c r="BC84" s="3823">
        <f t="shared" si="101"/>
        <v>0</v>
      </c>
      <c r="BD84" s="3826"/>
      <c r="BE84" s="3827">
        <f t="shared" si="84"/>
        <v>0</v>
      </c>
      <c r="BF84" s="3824"/>
      <c r="BG84" s="3822">
        <f t="shared" si="102"/>
        <v>0</v>
      </c>
      <c r="BH84" s="542"/>
    </row>
    <row r="85" spans="1:60" ht="18" x14ac:dyDescent="0.35">
      <c r="C85" s="3819" t="s">
        <v>933</v>
      </c>
      <c r="D85" s="4823" t="s">
        <v>2105</v>
      </c>
      <c r="E85" s="6274"/>
      <c r="F85" s="4823"/>
      <c r="G85" s="4824"/>
      <c r="H85" s="4825"/>
      <c r="I85" s="4824">
        <v>1253.07</v>
      </c>
      <c r="J85" s="4826"/>
      <c r="K85" s="3822">
        <f t="shared" si="83"/>
        <v>1253.07</v>
      </c>
      <c r="L85" s="4825"/>
      <c r="M85" s="4824"/>
      <c r="N85" s="4828"/>
      <c r="O85" s="4829"/>
      <c r="P85" s="4825"/>
      <c r="Q85" s="4825"/>
      <c r="R85" s="3824"/>
      <c r="S85" s="4827"/>
      <c r="T85" s="4825"/>
      <c r="U85" s="4825"/>
      <c r="V85" s="3824"/>
      <c r="W85" s="4827"/>
      <c r="X85" s="4824"/>
      <c r="Y85" s="4825"/>
      <c r="Z85" s="4828"/>
      <c r="AA85" s="4829"/>
      <c r="AB85" s="4830"/>
      <c r="AC85" s="4830"/>
      <c r="AD85" s="4825"/>
      <c r="AE85" s="4825"/>
      <c r="AF85" s="3824"/>
      <c r="AG85" s="4827"/>
      <c r="AH85" s="4825"/>
      <c r="AI85" s="4825"/>
      <c r="AJ85" s="3824"/>
      <c r="AK85" s="4827"/>
      <c r="AL85" s="4825"/>
      <c r="AM85" s="4825"/>
      <c r="AN85" s="3957"/>
      <c r="AO85" s="3823">
        <f t="shared" si="97"/>
        <v>0</v>
      </c>
      <c r="AP85" s="3824"/>
      <c r="AQ85" s="3822">
        <f t="shared" si="98"/>
        <v>0</v>
      </c>
      <c r="AR85" s="4825"/>
      <c r="AS85" s="4825">
        <v>1655</v>
      </c>
      <c r="AT85" s="3824"/>
      <c r="AU85" s="3822">
        <f t="shared" si="99"/>
        <v>1655</v>
      </c>
      <c r="AV85" s="4825"/>
      <c r="AW85" s="4825"/>
      <c r="AX85" s="3824"/>
      <c r="AY85" s="3822">
        <f t="shared" si="100"/>
        <v>1655</v>
      </c>
      <c r="AZ85" s="4825"/>
      <c r="BA85" s="4961">
        <v>2258.1779999999999</v>
      </c>
      <c r="BB85" s="3957"/>
      <c r="BC85" s="3823">
        <f t="shared" ref="BC85:BC86" si="103">AS85+AW85+BA85</f>
        <v>3913.1779999999999</v>
      </c>
      <c r="BD85" s="3826"/>
      <c r="BE85" s="3827">
        <f t="shared" ref="BE85:BE86" si="104">AO85+BC85</f>
        <v>3913.1779999999999</v>
      </c>
      <c r="BF85" s="3824"/>
      <c r="BG85" s="3822">
        <f t="shared" ref="BG85:BG86" si="105">+AY85+BA85</f>
        <v>3913.1779999999999</v>
      </c>
      <c r="BH85" s="542"/>
    </row>
    <row r="86" spans="1:60" ht="18" x14ac:dyDescent="0.35">
      <c r="C86" s="3819" t="s">
        <v>933</v>
      </c>
      <c r="D86" s="4823" t="s">
        <v>2106</v>
      </c>
      <c r="E86" s="6274"/>
      <c r="F86" s="4823"/>
      <c r="G86" s="4824"/>
      <c r="H86" s="4825"/>
      <c r="I86" s="4824">
        <v>572.83199999999999</v>
      </c>
      <c r="J86" s="4826"/>
      <c r="K86" s="3822">
        <f t="shared" si="83"/>
        <v>572.83199999999999</v>
      </c>
      <c r="L86" s="4825"/>
      <c r="M86" s="4824"/>
      <c r="N86" s="4828"/>
      <c r="O86" s="4829"/>
      <c r="P86" s="4825"/>
      <c r="Q86" s="4825"/>
      <c r="R86" s="3824"/>
      <c r="S86" s="4827"/>
      <c r="T86" s="4825"/>
      <c r="U86" s="4825"/>
      <c r="V86" s="3824"/>
      <c r="W86" s="4827"/>
      <c r="X86" s="4824"/>
      <c r="Y86" s="4825"/>
      <c r="Z86" s="4828"/>
      <c r="AA86" s="4829"/>
      <c r="AB86" s="4830"/>
      <c r="AC86" s="4830"/>
      <c r="AD86" s="4825"/>
      <c r="AE86" s="4825"/>
      <c r="AF86" s="3824"/>
      <c r="AG86" s="4827"/>
      <c r="AH86" s="4825"/>
      <c r="AI86" s="4825"/>
      <c r="AJ86" s="3824"/>
      <c r="AK86" s="4827"/>
      <c r="AL86" s="4825"/>
      <c r="AM86" s="4825"/>
      <c r="AN86" s="3957"/>
      <c r="AO86" s="3823">
        <f t="shared" si="97"/>
        <v>0</v>
      </c>
      <c r="AP86" s="3824"/>
      <c r="AQ86" s="3822">
        <f t="shared" si="98"/>
        <v>0</v>
      </c>
      <c r="AR86" s="4825"/>
      <c r="AS86" s="4825">
        <v>573</v>
      </c>
      <c r="AT86" s="3824"/>
      <c r="AU86" s="3822">
        <f t="shared" si="99"/>
        <v>573</v>
      </c>
      <c r="AV86" s="4825"/>
      <c r="AW86" s="4825"/>
      <c r="AX86" s="3824"/>
      <c r="AY86" s="3822">
        <f t="shared" si="100"/>
        <v>573</v>
      </c>
      <c r="AZ86" s="4825"/>
      <c r="BA86" s="4961">
        <v>372.60599999999999</v>
      </c>
      <c r="BB86" s="3957"/>
      <c r="BC86" s="3823">
        <f t="shared" si="103"/>
        <v>945.60599999999999</v>
      </c>
      <c r="BD86" s="3826"/>
      <c r="BE86" s="3827">
        <f t="shared" si="104"/>
        <v>945.60599999999999</v>
      </c>
      <c r="BF86" s="3824"/>
      <c r="BG86" s="3822">
        <f t="shared" si="105"/>
        <v>945.60599999999999</v>
      </c>
      <c r="BH86" s="542"/>
    </row>
    <row r="87" spans="1:60" ht="18" x14ac:dyDescent="0.35">
      <c r="C87" s="3819" t="s">
        <v>933</v>
      </c>
      <c r="D87" s="3819" t="s">
        <v>638</v>
      </c>
      <c r="E87" s="6274"/>
      <c r="F87" s="3819"/>
      <c r="G87" s="3839"/>
      <c r="H87" s="3862"/>
      <c r="I87" s="3839"/>
      <c r="J87" s="3850"/>
      <c r="K87" s="3822">
        <f t="shared" si="83"/>
        <v>0</v>
      </c>
      <c r="L87" s="3862"/>
      <c r="M87" s="3839"/>
      <c r="N87" s="3851"/>
      <c r="O87" s="3823">
        <f t="shared" si="95"/>
        <v>0</v>
      </c>
      <c r="P87" s="3862"/>
      <c r="Q87" s="3821"/>
      <c r="R87" s="3824"/>
      <c r="S87" s="3822">
        <f t="shared" si="86"/>
        <v>0</v>
      </c>
      <c r="T87" s="3862"/>
      <c r="U87" s="3821"/>
      <c r="V87" s="3824"/>
      <c r="W87" s="3822">
        <f t="shared" si="87"/>
        <v>0</v>
      </c>
      <c r="X87" s="3825"/>
      <c r="Y87" s="3821"/>
      <c r="Z87" s="3851"/>
      <c r="AA87" s="3823">
        <f t="shared" si="96"/>
        <v>0</v>
      </c>
      <c r="AB87" s="3826"/>
      <c r="AC87" s="3827">
        <f t="shared" si="89"/>
        <v>0</v>
      </c>
      <c r="AD87" s="3862"/>
      <c r="AE87" s="3821"/>
      <c r="AF87" s="3824"/>
      <c r="AG87" s="3822">
        <f t="shared" si="90"/>
        <v>0</v>
      </c>
      <c r="AH87" s="3862"/>
      <c r="AI87" s="3821"/>
      <c r="AJ87" s="3824"/>
      <c r="AK87" s="3822">
        <f t="shared" si="91"/>
        <v>0</v>
      </c>
      <c r="AL87" s="3862"/>
      <c r="AM87" s="3821"/>
      <c r="AN87" s="3953"/>
      <c r="AO87" s="3823">
        <f t="shared" si="97"/>
        <v>0</v>
      </c>
      <c r="AP87" s="3824"/>
      <c r="AQ87" s="3822">
        <f t="shared" si="98"/>
        <v>0</v>
      </c>
      <c r="AR87" s="3862"/>
      <c r="AS87" s="3821"/>
      <c r="AT87" s="3824"/>
      <c r="AU87" s="3822">
        <f t="shared" si="99"/>
        <v>0</v>
      </c>
      <c r="AV87" s="3862"/>
      <c r="AW87" s="3821"/>
      <c r="AX87" s="3824"/>
      <c r="AY87" s="3822">
        <f t="shared" si="100"/>
        <v>0</v>
      </c>
      <c r="AZ87" s="3862"/>
      <c r="BA87" s="3821"/>
      <c r="BB87" s="3953"/>
      <c r="BC87" s="3823">
        <f t="shared" si="101"/>
        <v>0</v>
      </c>
      <c r="BD87" s="3826"/>
      <c r="BE87" s="3827">
        <f t="shared" si="84"/>
        <v>0</v>
      </c>
      <c r="BF87" s="3824"/>
      <c r="BG87" s="3822">
        <f t="shared" si="102"/>
        <v>0</v>
      </c>
      <c r="BH87" s="542"/>
    </row>
    <row r="88" spans="1:60" ht="18" x14ac:dyDescent="0.35">
      <c r="C88" s="3819" t="s">
        <v>933</v>
      </c>
      <c r="D88" s="3819" t="s">
        <v>1031</v>
      </c>
      <c r="E88" s="6274"/>
      <c r="F88" s="3819"/>
      <c r="G88" s="3839"/>
      <c r="H88" s="3862"/>
      <c r="I88" s="3839"/>
      <c r="J88" s="3850"/>
      <c r="K88" s="3822">
        <f t="shared" si="83"/>
        <v>0</v>
      </c>
      <c r="L88" s="3862"/>
      <c r="M88" s="3839"/>
      <c r="N88" s="3851"/>
      <c r="O88" s="3823">
        <f t="shared" si="95"/>
        <v>0</v>
      </c>
      <c r="P88" s="3862"/>
      <c r="Q88" s="3821"/>
      <c r="R88" s="3824"/>
      <c r="S88" s="3822">
        <f t="shared" si="86"/>
        <v>0</v>
      </c>
      <c r="T88" s="3862"/>
      <c r="U88" s="3821"/>
      <c r="V88" s="3824"/>
      <c r="W88" s="3822">
        <f t="shared" si="87"/>
        <v>0</v>
      </c>
      <c r="X88" s="3825"/>
      <c r="Y88" s="3821"/>
      <c r="Z88" s="3851"/>
      <c r="AA88" s="3823">
        <f t="shared" si="96"/>
        <v>0</v>
      </c>
      <c r="AB88" s="3826"/>
      <c r="AC88" s="3827">
        <f t="shared" si="89"/>
        <v>0</v>
      </c>
      <c r="AD88" s="3862"/>
      <c r="AE88" s="3821"/>
      <c r="AF88" s="3824"/>
      <c r="AG88" s="3822">
        <f t="shared" si="90"/>
        <v>0</v>
      </c>
      <c r="AH88" s="3862"/>
      <c r="AI88" s="3821"/>
      <c r="AJ88" s="3824"/>
      <c r="AK88" s="3822">
        <f t="shared" si="91"/>
        <v>0</v>
      </c>
      <c r="AL88" s="3862"/>
      <c r="AM88" s="3821"/>
      <c r="AN88" s="3953"/>
      <c r="AO88" s="3823">
        <f t="shared" si="97"/>
        <v>0</v>
      </c>
      <c r="AP88" s="3824"/>
      <c r="AQ88" s="3822">
        <f t="shared" si="98"/>
        <v>0</v>
      </c>
      <c r="AR88" s="3862"/>
      <c r="AS88" s="3821"/>
      <c r="AT88" s="3824"/>
      <c r="AU88" s="3822">
        <f t="shared" si="99"/>
        <v>0</v>
      </c>
      <c r="AV88" s="3862"/>
      <c r="AW88" s="3821"/>
      <c r="AX88" s="3824"/>
      <c r="AY88" s="3822">
        <f t="shared" si="100"/>
        <v>0</v>
      </c>
      <c r="AZ88" s="3862"/>
      <c r="BA88" s="3821"/>
      <c r="BB88" s="3953"/>
      <c r="BC88" s="3823">
        <f t="shared" si="101"/>
        <v>0</v>
      </c>
      <c r="BD88" s="3826"/>
      <c r="BE88" s="3827">
        <f t="shared" si="84"/>
        <v>0</v>
      </c>
      <c r="BF88" s="3824"/>
      <c r="BG88" s="3822">
        <f t="shared" si="102"/>
        <v>0</v>
      </c>
      <c r="BH88" s="542"/>
    </row>
    <row r="89" spans="1:60" ht="18" x14ac:dyDescent="0.35">
      <c r="C89" s="3819" t="s">
        <v>933</v>
      </c>
      <c r="D89" s="5447" t="s">
        <v>2290</v>
      </c>
      <c r="E89" s="6274"/>
      <c r="F89" s="5447"/>
      <c r="G89" s="5448"/>
      <c r="H89" s="5465"/>
      <c r="I89" s="5448">
        <v>869.85599999999999</v>
      </c>
      <c r="J89" s="5466"/>
      <c r="K89" s="3822">
        <f t="shared" si="83"/>
        <v>869.85599999999999</v>
      </c>
      <c r="L89" s="5465"/>
      <c r="M89" s="5448"/>
      <c r="N89" s="5467"/>
      <c r="O89" s="5450"/>
      <c r="P89" s="5465"/>
      <c r="Q89" s="5468"/>
      <c r="R89" s="3824"/>
      <c r="S89" s="5449"/>
      <c r="T89" s="5465"/>
      <c r="U89" s="5468"/>
      <c r="V89" s="3824"/>
      <c r="W89" s="5449"/>
      <c r="X89" s="5469"/>
      <c r="Y89" s="5468"/>
      <c r="Z89" s="5467"/>
      <c r="AA89" s="5450"/>
      <c r="AB89" s="5451"/>
      <c r="AC89" s="5451"/>
      <c r="AD89" s="5465"/>
      <c r="AE89" s="5468"/>
      <c r="AF89" s="3824"/>
      <c r="AG89" s="5449"/>
      <c r="AH89" s="5465"/>
      <c r="AI89" s="5468"/>
      <c r="AJ89" s="3824"/>
      <c r="AK89" s="5449"/>
      <c r="AL89" s="5465"/>
      <c r="AM89" s="5468"/>
      <c r="AN89" s="3953"/>
      <c r="AO89" s="5450"/>
      <c r="AP89" s="3824"/>
      <c r="AQ89" s="5449"/>
      <c r="AR89" s="5465"/>
      <c r="AS89" s="5468"/>
      <c r="AT89" s="3824"/>
      <c r="AU89" s="5449"/>
      <c r="AV89" s="5465"/>
      <c r="AW89" s="5468"/>
      <c r="AX89" s="3824"/>
      <c r="AY89" s="5449"/>
      <c r="AZ89" s="5465"/>
      <c r="BA89" s="5468"/>
      <c r="BB89" s="3953"/>
      <c r="BC89" s="5450"/>
      <c r="BD89" s="5451"/>
      <c r="BE89" s="5451"/>
      <c r="BF89" s="3824"/>
      <c r="BG89" s="5449"/>
      <c r="BH89" s="542"/>
    </row>
    <row r="90" spans="1:60" ht="18" x14ac:dyDescent="0.35">
      <c r="C90" s="3819" t="s">
        <v>933</v>
      </c>
      <c r="D90" s="3819" t="s">
        <v>609</v>
      </c>
      <c r="E90" s="6274"/>
      <c r="F90" s="3819"/>
      <c r="G90" s="3839"/>
      <c r="H90" s="3862"/>
      <c r="I90" s="3839"/>
      <c r="J90" s="3850"/>
      <c r="K90" s="3822">
        <f t="shared" si="83"/>
        <v>0</v>
      </c>
      <c r="L90" s="3862"/>
      <c r="M90" s="3839"/>
      <c r="N90" s="3851"/>
      <c r="O90" s="3823">
        <f t="shared" si="95"/>
        <v>0</v>
      </c>
      <c r="P90" s="3862"/>
      <c r="Q90" s="3821"/>
      <c r="R90" s="3824"/>
      <c r="S90" s="3822">
        <f t="shared" si="86"/>
        <v>0</v>
      </c>
      <c r="T90" s="3862"/>
      <c r="U90" s="3821"/>
      <c r="V90" s="3824"/>
      <c r="W90" s="3822">
        <f t="shared" si="87"/>
        <v>0</v>
      </c>
      <c r="X90" s="3863"/>
      <c r="Y90" s="3821"/>
      <c r="Z90" s="3851"/>
      <c r="AA90" s="3823">
        <f t="shared" si="96"/>
        <v>0</v>
      </c>
      <c r="AB90" s="3826"/>
      <c r="AC90" s="3827">
        <f t="shared" si="89"/>
        <v>0</v>
      </c>
      <c r="AD90" s="3862"/>
      <c r="AE90" s="3821"/>
      <c r="AF90" s="3824"/>
      <c r="AG90" s="3822">
        <f t="shared" si="90"/>
        <v>0</v>
      </c>
      <c r="AH90" s="3862"/>
      <c r="AI90" s="3821"/>
      <c r="AJ90" s="3824"/>
      <c r="AK90" s="3822">
        <f t="shared" si="91"/>
        <v>0</v>
      </c>
      <c r="AL90" s="3862"/>
      <c r="AM90" s="3821"/>
      <c r="AN90" s="3953"/>
      <c r="AO90" s="3823">
        <f t="shared" si="97"/>
        <v>0</v>
      </c>
      <c r="AP90" s="3824"/>
      <c r="AQ90" s="3822">
        <f t="shared" si="98"/>
        <v>0</v>
      </c>
      <c r="AR90" s="3862"/>
      <c r="AS90" s="3821"/>
      <c r="AT90" s="3824"/>
      <c r="AU90" s="3822">
        <f t="shared" si="99"/>
        <v>0</v>
      </c>
      <c r="AV90" s="3862"/>
      <c r="AW90" s="3821"/>
      <c r="AX90" s="3824"/>
      <c r="AY90" s="3822">
        <f t="shared" si="100"/>
        <v>0</v>
      </c>
      <c r="AZ90" s="3862"/>
      <c r="BA90" s="3821"/>
      <c r="BB90" s="3953"/>
      <c r="BC90" s="3823">
        <f t="shared" si="101"/>
        <v>0</v>
      </c>
      <c r="BD90" s="3826"/>
      <c r="BE90" s="3827">
        <f t="shared" si="84"/>
        <v>0</v>
      </c>
      <c r="BF90" s="3824"/>
      <c r="BG90" s="3822">
        <f t="shared" si="102"/>
        <v>0</v>
      </c>
      <c r="BH90" s="542"/>
    </row>
    <row r="91" spans="1:60" ht="18" x14ac:dyDescent="0.35">
      <c r="C91" s="3819" t="s">
        <v>933</v>
      </c>
      <c r="D91" s="3819" t="s">
        <v>1315</v>
      </c>
      <c r="E91" s="6274"/>
      <c r="F91" s="3819"/>
      <c r="G91" s="3839"/>
      <c r="H91" s="3862"/>
      <c r="I91" s="3839"/>
      <c r="J91" s="3850"/>
      <c r="K91" s="3822">
        <f t="shared" si="83"/>
        <v>0</v>
      </c>
      <c r="L91" s="3862"/>
      <c r="M91" s="3839"/>
      <c r="N91" s="3851"/>
      <c r="O91" s="3823">
        <f t="shared" si="95"/>
        <v>0</v>
      </c>
      <c r="P91" s="3862"/>
      <c r="Q91" s="3821"/>
      <c r="R91" s="3824"/>
      <c r="S91" s="3822">
        <f t="shared" si="86"/>
        <v>0</v>
      </c>
      <c r="T91" s="3862"/>
      <c r="U91" s="3821"/>
      <c r="V91" s="3824"/>
      <c r="W91" s="3822">
        <f t="shared" si="87"/>
        <v>0</v>
      </c>
      <c r="X91" s="3825"/>
      <c r="Y91" s="3821"/>
      <c r="Z91" s="3851"/>
      <c r="AA91" s="3823">
        <f t="shared" si="96"/>
        <v>0</v>
      </c>
      <c r="AB91" s="3826"/>
      <c r="AC91" s="3827">
        <f t="shared" si="89"/>
        <v>0</v>
      </c>
      <c r="AD91" s="3862"/>
      <c r="AE91" s="3821"/>
      <c r="AF91" s="3824"/>
      <c r="AG91" s="3822">
        <f t="shared" si="90"/>
        <v>0</v>
      </c>
      <c r="AH91" s="3862"/>
      <c r="AI91" s="3821"/>
      <c r="AJ91" s="3824"/>
      <c r="AK91" s="3822">
        <f t="shared" si="91"/>
        <v>0</v>
      </c>
      <c r="AL91" s="3862"/>
      <c r="AM91" s="3821"/>
      <c r="AN91" s="3953"/>
      <c r="AO91" s="3823">
        <f t="shared" si="97"/>
        <v>0</v>
      </c>
      <c r="AP91" s="3824"/>
      <c r="AQ91" s="3822">
        <f t="shared" si="98"/>
        <v>0</v>
      </c>
      <c r="AR91" s="3862"/>
      <c r="AS91" s="3821"/>
      <c r="AT91" s="3824"/>
      <c r="AU91" s="3822">
        <f t="shared" si="99"/>
        <v>0</v>
      </c>
      <c r="AV91" s="3862"/>
      <c r="AW91" s="3821"/>
      <c r="AX91" s="3824"/>
      <c r="AY91" s="3822">
        <f t="shared" si="100"/>
        <v>0</v>
      </c>
      <c r="AZ91" s="3862"/>
      <c r="BA91" s="3821"/>
      <c r="BB91" s="3953"/>
      <c r="BC91" s="3823">
        <f t="shared" si="101"/>
        <v>0</v>
      </c>
      <c r="BD91" s="3826"/>
      <c r="BE91" s="3827">
        <f t="shared" si="84"/>
        <v>0</v>
      </c>
      <c r="BF91" s="3824"/>
      <c r="BG91" s="3822">
        <f t="shared" si="102"/>
        <v>0</v>
      </c>
      <c r="BH91" s="542"/>
    </row>
    <row r="92" spans="1:60" ht="18" x14ac:dyDescent="0.35">
      <c r="A92" s="595"/>
      <c r="B92" s="595"/>
      <c r="C92" s="3819" t="s">
        <v>933</v>
      </c>
      <c r="D92" s="3819" t="s">
        <v>977</v>
      </c>
      <c r="E92" s="6274"/>
      <c r="F92" s="3819"/>
      <c r="G92" s="3839"/>
      <c r="H92" s="3862"/>
      <c r="I92" s="3839"/>
      <c r="J92" s="3850"/>
      <c r="K92" s="3822">
        <f t="shared" si="83"/>
        <v>0</v>
      </c>
      <c r="L92" s="3862"/>
      <c r="M92" s="3839"/>
      <c r="N92" s="3851"/>
      <c r="O92" s="3823">
        <f t="shared" si="95"/>
        <v>0</v>
      </c>
      <c r="P92" s="3862"/>
      <c r="Q92" s="3862"/>
      <c r="R92" s="3833"/>
      <c r="S92" s="3822">
        <f t="shared" si="86"/>
        <v>0</v>
      </c>
      <c r="T92" s="3862"/>
      <c r="U92" s="3862"/>
      <c r="V92" s="3833"/>
      <c r="W92" s="3822">
        <f t="shared" si="87"/>
        <v>0</v>
      </c>
      <c r="X92" s="3825"/>
      <c r="Y92" s="3862"/>
      <c r="Z92" s="3851"/>
      <c r="AA92" s="3823">
        <f t="shared" si="96"/>
        <v>0</v>
      </c>
      <c r="AB92" s="3826"/>
      <c r="AC92" s="3827">
        <f t="shared" si="89"/>
        <v>0</v>
      </c>
      <c r="AD92" s="3862"/>
      <c r="AE92" s="3862"/>
      <c r="AF92" s="3833"/>
      <c r="AG92" s="3822">
        <f t="shared" si="90"/>
        <v>0</v>
      </c>
      <c r="AH92" s="3862"/>
      <c r="AI92" s="3862"/>
      <c r="AJ92" s="3833"/>
      <c r="AK92" s="3822">
        <f t="shared" si="91"/>
        <v>0</v>
      </c>
      <c r="AL92" s="3862"/>
      <c r="AM92" s="3862"/>
      <c r="AN92" s="3957"/>
      <c r="AO92" s="3823">
        <f t="shared" si="97"/>
        <v>0</v>
      </c>
      <c r="AP92" s="3833"/>
      <c r="AQ92" s="3822">
        <f t="shared" si="98"/>
        <v>0</v>
      </c>
      <c r="AR92" s="3862"/>
      <c r="AS92" s="3862"/>
      <c r="AT92" s="3833"/>
      <c r="AU92" s="3822">
        <f t="shared" si="99"/>
        <v>0</v>
      </c>
      <c r="AV92" s="3862"/>
      <c r="AW92" s="3862"/>
      <c r="AX92" s="3833"/>
      <c r="AY92" s="3822">
        <f t="shared" si="100"/>
        <v>0</v>
      </c>
      <c r="AZ92" s="3862"/>
      <c r="BA92" s="3862"/>
      <c r="BB92" s="3957"/>
      <c r="BC92" s="3823">
        <f t="shared" si="101"/>
        <v>0</v>
      </c>
      <c r="BD92" s="3826"/>
      <c r="BE92" s="3827">
        <f t="shared" si="84"/>
        <v>0</v>
      </c>
      <c r="BF92" s="3833"/>
      <c r="BG92" s="3822">
        <f t="shared" si="102"/>
        <v>0</v>
      </c>
      <c r="BH92" s="542"/>
    </row>
    <row r="93" spans="1:60" ht="18" x14ac:dyDescent="0.35">
      <c r="C93" s="3819" t="s">
        <v>933</v>
      </c>
      <c r="D93" s="3819" t="s">
        <v>960</v>
      </c>
      <c r="E93" s="6274"/>
      <c r="F93" s="3819"/>
      <c r="G93" s="3839"/>
      <c r="H93" s="3862"/>
      <c r="I93" s="3839"/>
      <c r="J93" s="3850"/>
      <c r="K93" s="3822">
        <f t="shared" si="83"/>
        <v>0</v>
      </c>
      <c r="L93" s="3862"/>
      <c r="M93" s="3839"/>
      <c r="N93" s="3851"/>
      <c r="O93" s="3823">
        <f t="shared" si="95"/>
        <v>0</v>
      </c>
      <c r="P93" s="3862"/>
      <c r="Q93" s="3862"/>
      <c r="R93" s="3824"/>
      <c r="S93" s="3822">
        <f t="shared" si="86"/>
        <v>0</v>
      </c>
      <c r="T93" s="3862"/>
      <c r="U93" s="3862"/>
      <c r="V93" s="3824"/>
      <c r="W93" s="3822">
        <f t="shared" si="87"/>
        <v>0</v>
      </c>
      <c r="X93" s="3825"/>
      <c r="Y93" s="3862"/>
      <c r="Z93" s="3851"/>
      <c r="AA93" s="3823">
        <f t="shared" si="96"/>
        <v>0</v>
      </c>
      <c r="AB93" s="3826"/>
      <c r="AC93" s="3827">
        <f t="shared" si="89"/>
        <v>0</v>
      </c>
      <c r="AD93" s="3862"/>
      <c r="AE93" s="3862"/>
      <c r="AF93" s="3824"/>
      <c r="AG93" s="3822">
        <f t="shared" si="90"/>
        <v>0</v>
      </c>
      <c r="AH93" s="3862"/>
      <c r="AI93" s="3862"/>
      <c r="AJ93" s="3824"/>
      <c r="AK93" s="3822">
        <f t="shared" si="91"/>
        <v>0</v>
      </c>
      <c r="AL93" s="3862"/>
      <c r="AM93" s="3862"/>
      <c r="AN93" s="3957"/>
      <c r="AO93" s="3823">
        <f t="shared" si="97"/>
        <v>0</v>
      </c>
      <c r="AP93" s="3824"/>
      <c r="AQ93" s="3822">
        <f t="shared" si="98"/>
        <v>0</v>
      </c>
      <c r="AR93" s="3862"/>
      <c r="AS93" s="3862"/>
      <c r="AT93" s="3824"/>
      <c r="AU93" s="3822">
        <f t="shared" si="99"/>
        <v>0</v>
      </c>
      <c r="AV93" s="3862"/>
      <c r="AW93" s="3862"/>
      <c r="AX93" s="3824"/>
      <c r="AY93" s="3822">
        <f t="shared" si="100"/>
        <v>0</v>
      </c>
      <c r="AZ93" s="3862"/>
      <c r="BA93" s="3862"/>
      <c r="BB93" s="3957"/>
      <c r="BC93" s="3823">
        <f t="shared" si="101"/>
        <v>0</v>
      </c>
      <c r="BD93" s="3826"/>
      <c r="BE93" s="3827">
        <f t="shared" si="84"/>
        <v>0</v>
      </c>
      <c r="BF93" s="3824"/>
      <c r="BG93" s="3822">
        <f t="shared" si="102"/>
        <v>0</v>
      </c>
      <c r="BH93" s="542"/>
    </row>
    <row r="94" spans="1:60" ht="18" x14ac:dyDescent="0.35">
      <c r="C94" s="6270" t="s">
        <v>994</v>
      </c>
      <c r="D94" s="6270"/>
      <c r="E94" s="6274"/>
      <c r="F94" s="3834"/>
      <c r="G94" s="3835">
        <f t="shared" ref="G94:AM94" si="106">SUM(G80:G93)</f>
        <v>0</v>
      </c>
      <c r="H94" s="3835">
        <f t="shared" si="106"/>
        <v>0</v>
      </c>
      <c r="I94" s="3835">
        <f t="shared" si="106"/>
        <v>2695.7579999999998</v>
      </c>
      <c r="J94" s="3835">
        <f t="shared" si="106"/>
        <v>0</v>
      </c>
      <c r="K94" s="3822">
        <f t="shared" si="83"/>
        <v>2695.7579999999998</v>
      </c>
      <c r="L94" s="3835">
        <f t="shared" si="106"/>
        <v>0</v>
      </c>
      <c r="M94" s="3835">
        <f t="shared" si="106"/>
        <v>0</v>
      </c>
      <c r="N94" s="3835">
        <f t="shared" si="106"/>
        <v>0</v>
      </c>
      <c r="O94" s="3837">
        <f t="shared" si="106"/>
        <v>0</v>
      </c>
      <c r="P94" s="3835">
        <f t="shared" si="106"/>
        <v>0</v>
      </c>
      <c r="Q94" s="3835">
        <f t="shared" si="106"/>
        <v>0</v>
      </c>
      <c r="R94" s="3835">
        <f t="shared" si="106"/>
        <v>0</v>
      </c>
      <c r="S94" s="3836">
        <f t="shared" si="106"/>
        <v>0</v>
      </c>
      <c r="T94" s="3835">
        <f t="shared" si="106"/>
        <v>0</v>
      </c>
      <c r="U94" s="3835">
        <f t="shared" si="106"/>
        <v>5981.4560000000001</v>
      </c>
      <c r="V94" s="3835">
        <f t="shared" si="106"/>
        <v>0</v>
      </c>
      <c r="W94" s="3836">
        <f t="shared" si="106"/>
        <v>5981.4560000000001</v>
      </c>
      <c r="X94" s="3835">
        <f t="shared" si="106"/>
        <v>0</v>
      </c>
      <c r="Y94" s="3835">
        <f t="shared" si="106"/>
        <v>0</v>
      </c>
      <c r="Z94" s="3835">
        <f t="shared" si="106"/>
        <v>0</v>
      </c>
      <c r="AA94" s="3837">
        <f t="shared" si="106"/>
        <v>5981.4560000000001</v>
      </c>
      <c r="AB94" s="3835">
        <f t="shared" si="106"/>
        <v>0</v>
      </c>
      <c r="AC94" s="3838">
        <f t="shared" si="106"/>
        <v>5981.4560000000001</v>
      </c>
      <c r="AD94" s="3835">
        <f t="shared" si="106"/>
        <v>0</v>
      </c>
      <c r="AE94" s="3835">
        <f t="shared" si="106"/>
        <v>9050</v>
      </c>
      <c r="AF94" s="3835">
        <f t="shared" si="106"/>
        <v>0</v>
      </c>
      <c r="AG94" s="3836">
        <f t="shared" si="106"/>
        <v>15031.456</v>
      </c>
      <c r="AH94" s="3835">
        <f t="shared" si="106"/>
        <v>0</v>
      </c>
      <c r="AI94" s="3835">
        <f t="shared" si="106"/>
        <v>0</v>
      </c>
      <c r="AJ94" s="3835">
        <f t="shared" si="106"/>
        <v>0</v>
      </c>
      <c r="AK94" s="3836">
        <f t="shared" si="106"/>
        <v>15031.456</v>
      </c>
      <c r="AL94" s="3835">
        <f t="shared" si="106"/>
        <v>0</v>
      </c>
      <c r="AM94" s="3835">
        <f t="shared" si="106"/>
        <v>0</v>
      </c>
      <c r="AN94" s="3954"/>
      <c r="AO94" s="3837">
        <f t="shared" ref="AO94:BA94" si="107">SUM(AO80:AO93)</f>
        <v>9050</v>
      </c>
      <c r="AP94" s="3835">
        <f t="shared" si="107"/>
        <v>0</v>
      </c>
      <c r="AQ94" s="3836">
        <f t="shared" si="107"/>
        <v>15031.456</v>
      </c>
      <c r="AR94" s="3835">
        <f t="shared" si="107"/>
        <v>0</v>
      </c>
      <c r="AS94" s="3835">
        <f t="shared" si="107"/>
        <v>5184.16</v>
      </c>
      <c r="AT94" s="3835">
        <f t="shared" si="107"/>
        <v>0</v>
      </c>
      <c r="AU94" s="3836">
        <f t="shared" si="107"/>
        <v>20215.616000000002</v>
      </c>
      <c r="AV94" s="3835">
        <f t="shared" si="107"/>
        <v>0</v>
      </c>
      <c r="AW94" s="3835">
        <f t="shared" si="107"/>
        <v>1223.6179999999999</v>
      </c>
      <c r="AX94" s="3835">
        <f t="shared" si="107"/>
        <v>0</v>
      </c>
      <c r="AY94" s="3836">
        <f t="shared" si="107"/>
        <v>21439.234</v>
      </c>
      <c r="AZ94" s="3835">
        <f t="shared" si="107"/>
        <v>0</v>
      </c>
      <c r="BA94" s="3835">
        <f t="shared" si="107"/>
        <v>2630.7839999999997</v>
      </c>
      <c r="BB94" s="3954"/>
      <c r="BC94" s="3837">
        <f>SUM(BC80:BC93)</f>
        <v>9038.5619999999999</v>
      </c>
      <c r="BD94" s="3835">
        <f>SUM(BD80:BD93)</f>
        <v>0</v>
      </c>
      <c r="BE94" s="3838">
        <f>SUM(BE80:BE93)</f>
        <v>18088.561999999998</v>
      </c>
      <c r="BF94" s="3835">
        <f>SUM(BF80:BF93)</f>
        <v>0</v>
      </c>
      <c r="BG94" s="3836">
        <f>SUM(BG80:BG93)</f>
        <v>24070.018</v>
      </c>
      <c r="BH94" s="542"/>
    </row>
    <row r="95" spans="1:60" ht="18" x14ac:dyDescent="0.35">
      <c r="C95" s="6271" t="s">
        <v>934</v>
      </c>
      <c r="D95" s="6271"/>
      <c r="E95" s="6275"/>
      <c r="F95" s="3864"/>
      <c r="G95" s="3865">
        <f t="shared" ref="G95:AM95" si="108">+G94+G79+G54+G46+G38</f>
        <v>202278.14400000006</v>
      </c>
      <c r="H95" s="3865">
        <f t="shared" si="108"/>
        <v>0</v>
      </c>
      <c r="I95" s="3865">
        <f t="shared" si="108"/>
        <v>84345.752000000037</v>
      </c>
      <c r="J95" s="3865">
        <f t="shared" si="108"/>
        <v>0</v>
      </c>
      <c r="K95" s="3822">
        <f t="shared" si="83"/>
        <v>286623.89600000007</v>
      </c>
      <c r="L95" s="3865">
        <f t="shared" si="108"/>
        <v>0</v>
      </c>
      <c r="M95" s="3865">
        <f t="shared" si="108"/>
        <v>221061.54800000004</v>
      </c>
      <c r="N95" s="3865">
        <f t="shared" si="108"/>
        <v>0</v>
      </c>
      <c r="O95" s="3837">
        <f t="shared" si="108"/>
        <v>504989.68600000022</v>
      </c>
      <c r="P95" s="3865">
        <f t="shared" si="108"/>
        <v>0</v>
      </c>
      <c r="Q95" s="3865">
        <f t="shared" si="108"/>
        <v>235746.92700000008</v>
      </c>
      <c r="R95" s="3865">
        <f t="shared" si="108"/>
        <v>0</v>
      </c>
      <c r="S95" s="3836">
        <f t="shared" si="108"/>
        <v>740736.61300000024</v>
      </c>
      <c r="T95" s="3865">
        <f t="shared" si="108"/>
        <v>0</v>
      </c>
      <c r="U95" s="3865">
        <f t="shared" si="108"/>
        <v>205603.01000000007</v>
      </c>
      <c r="V95" s="3865">
        <f t="shared" si="108"/>
        <v>0</v>
      </c>
      <c r="W95" s="3836">
        <f t="shared" si="108"/>
        <v>932942.6510000003</v>
      </c>
      <c r="X95" s="3865">
        <f t="shared" si="108"/>
        <v>0</v>
      </c>
      <c r="Y95" s="3865">
        <f t="shared" si="108"/>
        <v>213093.25100000005</v>
      </c>
      <c r="Z95" s="3865">
        <f t="shared" si="108"/>
        <v>0</v>
      </c>
      <c r="AA95" s="3837">
        <f t="shared" si="108"/>
        <v>654443.1880000002</v>
      </c>
      <c r="AB95" s="3865">
        <f t="shared" si="108"/>
        <v>0</v>
      </c>
      <c r="AC95" s="3838">
        <f t="shared" si="108"/>
        <v>1159432.8740000005</v>
      </c>
      <c r="AD95" s="3865">
        <f t="shared" si="108"/>
        <v>0</v>
      </c>
      <c r="AE95" s="3865">
        <f t="shared" si="108"/>
        <v>168353.97200000007</v>
      </c>
      <c r="AF95" s="3865">
        <f t="shared" si="108"/>
        <v>0</v>
      </c>
      <c r="AG95" s="3836">
        <f t="shared" si="108"/>
        <v>1327786.8460000004</v>
      </c>
      <c r="AH95" s="3865">
        <f t="shared" si="108"/>
        <v>0</v>
      </c>
      <c r="AI95" s="3865">
        <f t="shared" si="108"/>
        <v>209786.72300000006</v>
      </c>
      <c r="AJ95" s="3865">
        <f t="shared" si="108"/>
        <v>0</v>
      </c>
      <c r="AK95" s="3836">
        <f t="shared" si="108"/>
        <v>1537573.5690000006</v>
      </c>
      <c r="AL95" s="3865">
        <f t="shared" si="108"/>
        <v>0</v>
      </c>
      <c r="AM95" s="3865">
        <f t="shared" si="108"/>
        <v>222638.65500000014</v>
      </c>
      <c r="AN95" s="3958"/>
      <c r="AO95" s="3837">
        <f t="shared" ref="AO95:BA95" si="109">+AO94+AO79+AO54+AO46+AO38</f>
        <v>600779.35000000033</v>
      </c>
      <c r="AP95" s="3865">
        <f t="shared" si="109"/>
        <v>0</v>
      </c>
      <c r="AQ95" s="3836">
        <f t="shared" si="109"/>
        <v>1760212.2240000006</v>
      </c>
      <c r="AR95" s="3865">
        <f t="shared" si="109"/>
        <v>0</v>
      </c>
      <c r="AS95" s="3865">
        <f t="shared" si="109"/>
        <v>213242.23800000013</v>
      </c>
      <c r="AT95" s="3865">
        <f t="shared" si="109"/>
        <v>0</v>
      </c>
      <c r="AU95" s="3836">
        <f t="shared" si="109"/>
        <v>1973454.462000001</v>
      </c>
      <c r="AV95" s="3865">
        <f t="shared" si="109"/>
        <v>0</v>
      </c>
      <c r="AW95" s="3865">
        <f t="shared" si="109"/>
        <v>179683.87200000012</v>
      </c>
      <c r="AX95" s="3865">
        <f t="shared" si="109"/>
        <v>0</v>
      </c>
      <c r="AY95" s="3836">
        <f t="shared" si="109"/>
        <v>2153138.3340000007</v>
      </c>
      <c r="AZ95" s="3865">
        <f t="shared" si="109"/>
        <v>0</v>
      </c>
      <c r="BA95" s="3865">
        <f t="shared" si="109"/>
        <v>226702.55900000001</v>
      </c>
      <c r="BB95" s="3958"/>
      <c r="BC95" s="3837">
        <f>+BC94+BC79+BC54+BC46+BC38</f>
        <v>619628.66900000023</v>
      </c>
      <c r="BD95" s="3865">
        <f>+BD94+BD79+BD54+BD46+BD38</f>
        <v>0</v>
      </c>
      <c r="BE95" s="3838">
        <f>+BE94+BE79+BE54+BE46+BE38</f>
        <v>1220408.0190000006</v>
      </c>
      <c r="BF95" s="3865">
        <f>+BF94+BF79+BF54+BF46+BF38</f>
        <v>0</v>
      </c>
      <c r="BG95" s="3836">
        <f>+BG94+BG79+BG54+BG46+BG38</f>
        <v>2379840.8930000011</v>
      </c>
      <c r="BH95" s="542"/>
    </row>
    <row r="96" spans="1:60" ht="18" x14ac:dyDescent="0.35">
      <c r="C96" s="6269" t="s">
        <v>935</v>
      </c>
      <c r="D96" s="6269"/>
      <c r="E96" s="3866" t="s">
        <v>936</v>
      </c>
      <c r="F96" s="3819"/>
      <c r="G96" s="4378">
        <f>+G95/G98</f>
        <v>0.96912618693534802</v>
      </c>
      <c r="H96" s="3867">
        <f t="shared" ref="H96:AK96" si="110">+H95/H98</f>
        <v>0</v>
      </c>
      <c r="I96" s="4378">
        <f t="shared" si="110"/>
        <v>0.95467476220327085</v>
      </c>
      <c r="J96" s="4378">
        <f t="shared" si="110"/>
        <v>0</v>
      </c>
      <c r="K96" s="4415">
        <f t="shared" si="110"/>
        <v>0.96482828925612685</v>
      </c>
      <c r="L96" s="3867">
        <f t="shared" si="110"/>
        <v>0</v>
      </c>
      <c r="M96" s="3867">
        <f t="shared" si="110"/>
        <v>0.970019175318518</v>
      </c>
      <c r="N96" s="3867">
        <f t="shared" si="110"/>
        <v>0</v>
      </c>
      <c r="O96" s="4497">
        <f t="shared" si="110"/>
        <v>0.96194660748218508</v>
      </c>
      <c r="P96" s="4378">
        <f t="shared" si="110"/>
        <v>0</v>
      </c>
      <c r="Q96" s="3867">
        <f t="shared" si="110"/>
        <v>0.96929923093953663</v>
      </c>
      <c r="R96" s="4378">
        <f t="shared" si="110"/>
        <v>0</v>
      </c>
      <c r="S96" s="4415">
        <f t="shared" si="110"/>
        <v>0.96427452387777379</v>
      </c>
      <c r="T96" s="3867">
        <f t="shared" si="110"/>
        <v>0</v>
      </c>
      <c r="U96" s="3867">
        <f t="shared" si="110"/>
        <v>0.93871710698489919</v>
      </c>
      <c r="V96" s="3867">
        <f t="shared" si="110"/>
        <v>0</v>
      </c>
      <c r="W96" s="3868">
        <f t="shared" si="110"/>
        <v>0.94503365253410276</v>
      </c>
      <c r="X96" s="3867">
        <f t="shared" si="110"/>
        <v>0</v>
      </c>
      <c r="Y96" s="3867">
        <f t="shared" si="110"/>
        <v>0.95638181822253732</v>
      </c>
      <c r="Z96" s="3867">
        <f t="shared" si="110"/>
        <v>0</v>
      </c>
      <c r="AA96" s="3993">
        <f t="shared" si="110"/>
        <v>0.95532010201292905</v>
      </c>
      <c r="AB96" s="3867">
        <f t="shared" si="110"/>
        <v>0</v>
      </c>
      <c r="AC96" s="3869">
        <f t="shared" si="110"/>
        <v>0.95819501296760434</v>
      </c>
      <c r="AD96" s="3867">
        <f t="shared" si="110"/>
        <v>0</v>
      </c>
      <c r="AE96" s="3867">
        <f t="shared" si="110"/>
        <v>0.95410784373076263</v>
      </c>
      <c r="AF96" s="3867">
        <f t="shared" si="110"/>
        <v>0</v>
      </c>
      <c r="AG96" s="3868">
        <f t="shared" si="110"/>
        <v>0.95767485142160014</v>
      </c>
      <c r="AH96" s="3867">
        <f t="shared" si="110"/>
        <v>0</v>
      </c>
      <c r="AI96" s="3867">
        <f t="shared" si="110"/>
        <v>0.9781404139863179</v>
      </c>
      <c r="AJ96" s="3867">
        <f t="shared" si="110"/>
        <v>0</v>
      </c>
      <c r="AK96" s="3868">
        <f t="shared" si="110"/>
        <v>0.96041657853249163</v>
      </c>
      <c r="AL96" s="3867">
        <f t="shared" ref="AL96:AQ96" si="111">+AL95/AL98</f>
        <v>0</v>
      </c>
      <c r="AM96" s="3867">
        <f t="shared" si="111"/>
        <v>0.96104830093304561</v>
      </c>
      <c r="AN96" s="3959"/>
      <c r="AO96" s="3993">
        <f t="shared" ref="AO96" si="112">+AO95/AO98</f>
        <v>0.96496930826328853</v>
      </c>
      <c r="AP96" s="3867">
        <f t="shared" si="111"/>
        <v>0</v>
      </c>
      <c r="AQ96" s="3868">
        <f t="shared" si="111"/>
        <v>0.96049643541578156</v>
      </c>
      <c r="AR96" s="3867">
        <f t="shared" ref="AR96:AU96" si="113">+AR95/AR98</f>
        <v>0</v>
      </c>
      <c r="AS96" s="3867">
        <f t="shared" si="113"/>
        <v>0.94959127747489103</v>
      </c>
      <c r="AT96" s="3867">
        <f t="shared" si="113"/>
        <v>0</v>
      </c>
      <c r="AU96" s="3868">
        <f t="shared" si="113"/>
        <v>0.95930602001872645</v>
      </c>
      <c r="AV96" s="3867">
        <f t="shared" ref="AV96:AY96" si="114">+AV95/AV98</f>
        <v>0</v>
      </c>
      <c r="AW96" s="3867">
        <f t="shared" si="114"/>
        <v>0.97548026193947091</v>
      </c>
      <c r="AX96" s="3867">
        <f t="shared" si="114"/>
        <v>0</v>
      </c>
      <c r="AY96" s="3868">
        <f t="shared" si="114"/>
        <v>0.96063525307513054</v>
      </c>
      <c r="AZ96" s="3867">
        <f t="shared" ref="AZ96:BG96" si="115">+AZ95/AZ98</f>
        <v>0</v>
      </c>
      <c r="BA96" s="3867">
        <f t="shared" si="115"/>
        <v>0.97158422090464358</v>
      </c>
      <c r="BB96" s="3959"/>
      <c r="BC96" s="3993">
        <f t="shared" ref="BC96:BE96" si="116">+BC95/BC98</f>
        <v>0.9650102296863996</v>
      </c>
      <c r="BD96" s="3867">
        <f t="shared" si="116"/>
        <v>0</v>
      </c>
      <c r="BE96" s="3869">
        <f t="shared" si="116"/>
        <v>0.96499008455877233</v>
      </c>
      <c r="BF96" s="3867">
        <f t="shared" si="115"/>
        <v>0</v>
      </c>
      <c r="BG96" s="3868">
        <f t="shared" si="115"/>
        <v>0.96166760129024886</v>
      </c>
      <c r="BH96" s="542"/>
    </row>
    <row r="97" spans="1:60" ht="18" x14ac:dyDescent="0.35">
      <c r="E97"/>
      <c r="K97"/>
      <c r="O97"/>
      <c r="S97"/>
      <c r="W97"/>
      <c r="X97"/>
      <c r="Y97"/>
      <c r="AA97"/>
      <c r="AB97"/>
      <c r="AC97"/>
      <c r="AG97"/>
      <c r="AK97"/>
      <c r="BH97" s="542"/>
    </row>
    <row r="98" spans="1:60" s="3927" customFormat="1" ht="20.399999999999999" x14ac:dyDescent="0.35">
      <c r="C98" s="6265" t="s">
        <v>992</v>
      </c>
      <c r="D98" s="6266"/>
      <c r="E98" s="3928" t="s">
        <v>66</v>
      </c>
      <c r="F98" s="3929">
        <f>+'Maj Production Summ'!E37</f>
        <v>181999.95710934181</v>
      </c>
      <c r="G98" s="3929">
        <f>+'Maj Production Summ'!F37</f>
        <v>208722.19400000008</v>
      </c>
      <c r="H98" s="3929">
        <f>+'Maj Production Summ'!G37</f>
        <v>168000.49149549403</v>
      </c>
      <c r="I98" s="3929">
        <f>+'Maj Production Summ'!H37</f>
        <v>88350.248000000036</v>
      </c>
      <c r="J98" s="3929">
        <f>+'Maj Production Summ'!I37</f>
        <v>350000.44860483584</v>
      </c>
      <c r="K98" s="3929">
        <f>+'Maj Production Summ'!J37</f>
        <v>297072.4420000001</v>
      </c>
      <c r="L98" s="3929">
        <f>+'Maj Production Summ'!K37</f>
        <v>229000.11088311521</v>
      </c>
      <c r="M98" s="3929">
        <f>+'Maj Production Summ'!L37</f>
        <v>227893.99800000005</v>
      </c>
      <c r="N98" s="3929">
        <f>+'Maj Production Summ'!M37</f>
        <v>579000.55948795099</v>
      </c>
      <c r="O98" s="3929">
        <f>+'Maj Production Summ'!N37</f>
        <v>524966.44000000018</v>
      </c>
      <c r="P98" s="3929">
        <f>+'Maj Production Summ'!O37</f>
        <v>231500.1413553209</v>
      </c>
      <c r="Q98" s="3929">
        <f>+'Maj Production Summ'!P37</f>
        <v>243213.77700000012</v>
      </c>
      <c r="R98" s="3929">
        <f>+'Maj Production Summ'!Q37</f>
        <v>810500.70084327192</v>
      </c>
      <c r="S98" s="3929">
        <f>+'Maj Production Summ'!R37</f>
        <v>768180.2170000003</v>
      </c>
      <c r="T98" s="3929">
        <f>+'Maj Production Summ'!S37</f>
        <v>231500.1413553209</v>
      </c>
      <c r="U98" s="3929">
        <f>+'Maj Production Summ'!T37</f>
        <v>219025.52800000005</v>
      </c>
      <c r="V98" s="3929">
        <f>+'Maj Production Summ'!U37</f>
        <v>1042000.8421985928</v>
      </c>
      <c r="W98" s="3929">
        <f>+'Maj Production Summ'!V37</f>
        <v>987205.74500000023</v>
      </c>
      <c r="X98" s="3929">
        <f>+'Maj Production Summ'!W37</f>
        <v>121300.0147648532</v>
      </c>
      <c r="Y98" s="3929">
        <f>+'Maj Production Summ'!X37</f>
        <v>222811.90100000007</v>
      </c>
      <c r="Z98" s="3929">
        <f>+'Maj Production Summ'!Y37</f>
        <v>584300.29747549503</v>
      </c>
      <c r="AA98" s="3929">
        <f>+'Maj Production Summ'!Z37</f>
        <v>685051.20600000012</v>
      </c>
      <c r="AB98" s="3929">
        <f>+'Maj Production Summ'!AA37</f>
        <v>1163300.8569634459</v>
      </c>
      <c r="AC98" s="3929">
        <f>+'Maj Production Summ'!AB37</f>
        <v>1210017.6460000004</v>
      </c>
      <c r="AD98" s="3929">
        <f>+'Maj Production Summ'!AC37</f>
        <v>236499.5281597563</v>
      </c>
      <c r="AE98" s="3929">
        <f>+'Maj Production Summ'!AD37</f>
        <v>176451.7220000001</v>
      </c>
      <c r="AF98" s="3929">
        <f>+'Maj Production Summ'!AE37</f>
        <v>1399800.3851232023</v>
      </c>
      <c r="AG98" s="3929">
        <f>+'Maj Production Summ'!AF37</f>
        <v>1386469.3680000005</v>
      </c>
      <c r="AH98" s="3929">
        <f>+'Maj Production Summ'!AG37</f>
        <v>228999.58845567459</v>
      </c>
      <c r="AI98" s="3929">
        <f>+'Maj Production Summ'!AH37</f>
        <v>214475.0590000001</v>
      </c>
      <c r="AJ98" s="3929">
        <f>+'Maj Production Summ'!AI37</f>
        <v>1628799.9735788768</v>
      </c>
      <c r="AK98" s="3929">
        <f>+'Maj Production Summ'!AJ37</f>
        <v>1600944.4270000004</v>
      </c>
      <c r="AL98" s="3929">
        <f>+'Maj Production Summ'!AK37</f>
        <v>236500.05424421642</v>
      </c>
      <c r="AM98" s="3929">
        <f>+'Maj Production Summ'!AL37</f>
        <v>231662.29500000016</v>
      </c>
      <c r="AN98" s="3960"/>
      <c r="AO98" s="3929">
        <f>+'Maj Production Summ'!AN37</f>
        <v>622589.07600000035</v>
      </c>
      <c r="AP98" s="3929">
        <f>+'Maj Production Summ'!AM37</f>
        <v>701999.17085964722</v>
      </c>
      <c r="AQ98" s="3929">
        <f>+'Maj Production Summ'!AP37</f>
        <v>1832606.7220000005</v>
      </c>
      <c r="AR98" s="3929">
        <f>+'Maj Production Summ'!AQ37</f>
        <v>239999.66467846395</v>
      </c>
      <c r="AS98" s="3929">
        <f>+'Maj Production Summ'!AR37</f>
        <v>224562.12800000014</v>
      </c>
      <c r="AT98" s="3929">
        <f>+'Maj Production Summ'!AS37</f>
        <v>2105299.6925015571</v>
      </c>
      <c r="AU98" s="3929">
        <f>+'Maj Production Summ'!AT37</f>
        <v>2057168.8500000006</v>
      </c>
      <c r="AV98" s="3929">
        <f>+'Maj Production Summ'!AU37</f>
        <v>214000.01042920374</v>
      </c>
      <c r="AW98" s="3929">
        <f>+'Maj Production Summ'!AV37</f>
        <v>184200.41800000009</v>
      </c>
      <c r="AX98" s="3929">
        <f>+'Maj Production Summ'!AW37</f>
        <v>2319299.702930761</v>
      </c>
      <c r="AY98" s="3929">
        <f>+'Maj Production Summ'!AX37</f>
        <v>2241369.2680000006</v>
      </c>
      <c r="AZ98" s="3929">
        <f>+'Maj Production Summ'!AY37</f>
        <v>239999.69076292397</v>
      </c>
      <c r="BA98" s="3929">
        <f>+'Maj Production Summ'!AZ37</f>
        <v>233332.89499999999</v>
      </c>
      <c r="BB98" s="3960"/>
      <c r="BC98" s="3929">
        <f>+'Maj Production Summ'!BB37</f>
        <v>642095.44100000022</v>
      </c>
      <c r="BD98" s="3929">
        <f>+'Maj Production Summ'!BC37</f>
        <v>1395998.5367302389</v>
      </c>
      <c r="BE98" s="3929">
        <f>+'Maj Production Summ'!BD37</f>
        <v>1264684.5170000005</v>
      </c>
      <c r="BF98" s="3929">
        <f>+'Maj Production Summ'!BE37</f>
        <v>2559299.3936936851</v>
      </c>
      <c r="BG98" s="3929">
        <f>+'Maj Production Summ'!BF37</f>
        <v>2474702.1630000006</v>
      </c>
      <c r="BH98" s="542"/>
    </row>
    <row r="99" spans="1:60" ht="18.600000000000001" thickBot="1" x14ac:dyDescent="0.4">
      <c r="E99"/>
      <c r="K99"/>
      <c r="O99"/>
      <c r="S99"/>
      <c r="W99"/>
      <c r="X99"/>
      <c r="Y99"/>
      <c r="AA99"/>
      <c r="AB99"/>
      <c r="AC99"/>
      <c r="AG99"/>
      <c r="AK99"/>
      <c r="BH99" s="542"/>
    </row>
    <row r="100" spans="1:60" ht="15.75" hidden="1" customHeight="1" thickBot="1" x14ac:dyDescent="0.35">
      <c r="C100" s="3824"/>
      <c r="D100" s="3824"/>
      <c r="E100" s="3875"/>
      <c r="F100" s="3824"/>
      <c r="G100" s="3824"/>
      <c r="H100" s="3824"/>
      <c r="I100" s="3824"/>
      <c r="J100" s="3824"/>
      <c r="K100" s="3871"/>
      <c r="L100" s="3824"/>
      <c r="M100" s="3824"/>
      <c r="N100" s="3824"/>
      <c r="O100" s="3872"/>
      <c r="P100" s="3824"/>
      <c r="Q100" s="3824"/>
      <c r="R100" s="3824"/>
      <c r="S100" s="3871"/>
      <c r="T100" s="3824"/>
      <c r="U100" s="3824"/>
      <c r="V100" s="3824"/>
      <c r="W100" s="3871"/>
      <c r="X100" s="3870"/>
      <c r="Y100" s="3824"/>
      <c r="Z100" s="3824"/>
      <c r="AA100" s="3872"/>
      <c r="AB100" s="3873"/>
      <c r="AC100" s="3873"/>
      <c r="AD100" s="3824"/>
      <c r="AE100" s="3824"/>
      <c r="AF100" s="3824"/>
      <c r="AG100" s="3871"/>
      <c r="AH100" s="3824"/>
      <c r="AI100" s="3824"/>
      <c r="AJ100" s="3824"/>
      <c r="AK100" s="3871"/>
      <c r="AL100" s="3824"/>
      <c r="AM100" s="3824"/>
      <c r="AN100" s="3824"/>
      <c r="AO100" s="3824"/>
      <c r="AP100" s="3824"/>
      <c r="AQ100" s="3871"/>
      <c r="AR100" s="3824"/>
      <c r="AS100" s="3824"/>
      <c r="AT100" s="3824"/>
      <c r="AU100" s="3871"/>
      <c r="AV100" s="3824"/>
      <c r="AW100" s="3824"/>
      <c r="AX100" s="3824"/>
      <c r="AY100" s="3871"/>
      <c r="AZ100" s="3824"/>
      <c r="BA100" s="3824"/>
      <c r="BB100" s="3824"/>
      <c r="BC100" s="3824"/>
      <c r="BD100" s="3873"/>
      <c r="BE100" s="3873"/>
      <c r="BF100" s="3824"/>
      <c r="BG100" s="3871"/>
      <c r="BH100" s="23"/>
    </row>
    <row r="101" spans="1:60" ht="15.75" hidden="1" customHeight="1" thickBot="1" x14ac:dyDescent="0.35">
      <c r="C101" s="3824"/>
      <c r="D101" s="3824" t="s">
        <v>1382</v>
      </c>
      <c r="E101" s="3875"/>
      <c r="F101" s="3824"/>
      <c r="G101" s="3833">
        <f>+'Maj Production Summ'!F34</f>
        <v>38383.019999999997</v>
      </c>
      <c r="H101" s="3833"/>
      <c r="I101" s="3833">
        <f>+'Maj Production Summ'!H34</f>
        <v>19414.02</v>
      </c>
      <c r="J101" s="3833"/>
      <c r="K101" s="3876">
        <f>+G101+I101</f>
        <v>57797.039999999994</v>
      </c>
      <c r="L101" s="3833"/>
      <c r="M101" s="3833">
        <f>+'Maj Production Summ'!L34</f>
        <v>56218</v>
      </c>
      <c r="N101" s="3824"/>
      <c r="O101" s="3877">
        <f t="shared" ref="O101:O103" si="117">+G101+I101+M101</f>
        <v>114015.03999999999</v>
      </c>
      <c r="P101" s="3833"/>
      <c r="Q101" s="3833">
        <f>+'Maj Production Summ'!P34</f>
        <v>50303</v>
      </c>
      <c r="R101" s="3824"/>
      <c r="S101" s="3876">
        <f>+O101+Q101</f>
        <v>164318.03999999998</v>
      </c>
      <c r="T101" s="3833"/>
      <c r="U101" s="3833">
        <f>+'Maj Production Summ'!S34</f>
        <v>43500.141355320899</v>
      </c>
      <c r="V101" s="3824"/>
      <c r="W101" s="3876">
        <f>+R101+U101</f>
        <v>43500.141355320899</v>
      </c>
      <c r="X101" s="3878"/>
      <c r="Y101" s="3833">
        <f>+'Maj Production Summ'!W34</f>
        <v>15300.0147648532</v>
      </c>
      <c r="Z101" s="3824"/>
      <c r="AA101" s="3877">
        <f t="shared" ref="AA101:AA103" si="118">+R101+T101+Y101</f>
        <v>15300.0147648532</v>
      </c>
      <c r="AB101" s="3879"/>
      <c r="AC101" s="3873"/>
      <c r="AD101" s="3833"/>
      <c r="AE101" s="3833">
        <f>+'Maj Production Summ'!AA34</f>
        <v>171300.44892967294</v>
      </c>
      <c r="AF101" s="3824"/>
      <c r="AG101" s="3876">
        <f>+AA101+AE101</f>
        <v>186600.46369452614</v>
      </c>
      <c r="AH101" s="3833"/>
      <c r="AI101" s="3833">
        <f>+'Maj Production Summ'!AE34</f>
        <v>220299.97708942925</v>
      </c>
      <c r="AJ101" s="3824"/>
      <c r="AK101" s="3876">
        <f>+AE101+AI101</f>
        <v>391600.42601910222</v>
      </c>
      <c r="AL101" s="3833"/>
      <c r="AM101" s="3833">
        <f>+'Maj Production Summ'!AI34</f>
        <v>265799.56554510386</v>
      </c>
      <c r="AN101" s="3833"/>
      <c r="AO101" s="3833"/>
      <c r="AP101" s="3824"/>
      <c r="AQ101" s="3876">
        <f>+AI101+AM101</f>
        <v>486099.54263453314</v>
      </c>
      <c r="AR101" s="3833"/>
      <c r="AS101" s="3833">
        <f>+'Maj Production Summ'!AO34</f>
        <v>311799.61978932028</v>
      </c>
      <c r="AT101" s="3824"/>
      <c r="AU101" s="3876">
        <f>+AO101+AS101</f>
        <v>311799.61978932028</v>
      </c>
      <c r="AV101" s="3833"/>
      <c r="AW101" s="3833">
        <f>+'Maj Production Summ'!AS34</f>
        <v>360299.28446778422</v>
      </c>
      <c r="AX101" s="3824"/>
      <c r="AY101" s="3876">
        <f>+AS101+AW101</f>
        <v>672098.9042571045</v>
      </c>
      <c r="AZ101" s="3833"/>
      <c r="BA101" s="3833">
        <f>+'Maj Production Summ'!AW34</f>
        <v>401799.29489698797</v>
      </c>
      <c r="BB101" s="3833"/>
      <c r="BC101" s="3833"/>
      <c r="BD101" s="3879"/>
      <c r="BE101" s="3873"/>
      <c r="BF101" s="3824"/>
      <c r="BG101" s="3876">
        <f>+AW101+BA101</f>
        <v>762098.57936477219</v>
      </c>
      <c r="BH101" s="23"/>
    </row>
    <row r="102" spans="1:60" ht="15.75" hidden="1" customHeight="1" thickBot="1" x14ac:dyDescent="0.35">
      <c r="C102" s="3824"/>
      <c r="D102" s="3824" t="s">
        <v>1383</v>
      </c>
      <c r="E102" s="3875"/>
      <c r="F102" s="3824"/>
      <c r="G102" s="3833">
        <f>+SMS!F36</f>
        <v>290</v>
      </c>
      <c r="H102" s="3824"/>
      <c r="I102" s="3833">
        <f>+SMS!H36</f>
        <v>43</v>
      </c>
      <c r="J102" s="3824"/>
      <c r="K102" s="3876">
        <f>+G102+I102</f>
        <v>333</v>
      </c>
      <c r="L102" s="3824"/>
      <c r="M102" s="3833">
        <f>+SMS!L36</f>
        <v>56</v>
      </c>
      <c r="N102" s="3824"/>
      <c r="O102" s="3877">
        <f t="shared" si="117"/>
        <v>389</v>
      </c>
      <c r="P102" s="3824"/>
      <c r="Q102" s="3833">
        <f>+SMS!P36</f>
        <v>26</v>
      </c>
      <c r="R102" s="3824"/>
      <c r="S102" s="3876">
        <f t="shared" ref="S102:S103" si="119">+O102+Q102</f>
        <v>415</v>
      </c>
      <c r="T102" s="3824"/>
      <c r="U102" s="3833">
        <f>+SMS!S36</f>
        <v>0</v>
      </c>
      <c r="V102" s="3824"/>
      <c r="W102" s="3876">
        <f t="shared" ref="W102:W103" si="120">+R102+U102</f>
        <v>0</v>
      </c>
      <c r="X102" s="3878"/>
      <c r="Y102" s="3833">
        <f>+SMS!W36</f>
        <v>0</v>
      </c>
      <c r="Z102" s="3824"/>
      <c r="AA102" s="3877">
        <f t="shared" si="118"/>
        <v>0</v>
      </c>
      <c r="AB102" s="3879"/>
      <c r="AC102" s="3873"/>
      <c r="AD102" s="3824"/>
      <c r="AE102" s="3833">
        <f>+SMS!AA36</f>
        <v>0</v>
      </c>
      <c r="AF102" s="3824"/>
      <c r="AG102" s="3876">
        <f t="shared" ref="AG102:AG103" si="121">+AA102+AE102</f>
        <v>0</v>
      </c>
      <c r="AH102" s="3824"/>
      <c r="AI102" s="3833">
        <f>+SMS!AE36</f>
        <v>0</v>
      </c>
      <c r="AJ102" s="3824"/>
      <c r="AK102" s="3876">
        <f t="shared" ref="AK102:AK103" si="122">+AE102+AI102</f>
        <v>0</v>
      </c>
      <c r="AL102" s="3824"/>
      <c r="AM102" s="3833">
        <f>+SMS!AI36</f>
        <v>0</v>
      </c>
      <c r="AN102" s="3833"/>
      <c r="AO102" s="3833"/>
      <c r="AP102" s="3824"/>
      <c r="AQ102" s="3876">
        <f>+AI102+AM102</f>
        <v>0</v>
      </c>
      <c r="AR102" s="3824"/>
      <c r="AS102" s="3833">
        <f>+SMS!AO36</f>
        <v>0</v>
      </c>
      <c r="AT102" s="3824"/>
      <c r="AU102" s="3876">
        <f t="shared" ref="AU102:AU103" si="123">+AO102+AS102</f>
        <v>0</v>
      </c>
      <c r="AV102" s="3824"/>
      <c r="AW102" s="3833">
        <f>+SMS!AS36</f>
        <v>0</v>
      </c>
      <c r="AX102" s="3824"/>
      <c r="AY102" s="3876">
        <f t="shared" ref="AY102:AY103" si="124">+AS102+AW102</f>
        <v>0</v>
      </c>
      <c r="AZ102" s="3824"/>
      <c r="BA102" s="3833">
        <f>+SMS!AW36</f>
        <v>0</v>
      </c>
      <c r="BB102" s="3833"/>
      <c r="BC102" s="3833"/>
      <c r="BD102" s="3879"/>
      <c r="BE102" s="3873"/>
      <c r="BF102" s="3824"/>
      <c r="BG102" s="3876">
        <f t="shared" ref="BG102:BG103" si="125">+AW102+BA102</f>
        <v>0</v>
      </c>
      <c r="BH102" s="23"/>
    </row>
    <row r="103" spans="1:60" ht="15.75" hidden="1" customHeight="1" thickBot="1" x14ac:dyDescent="0.35">
      <c r="C103" s="3824"/>
      <c r="D103" s="3824" t="s">
        <v>1384</v>
      </c>
      <c r="E103" s="3875"/>
      <c r="F103" s="3824"/>
      <c r="G103" s="3833" t="e">
        <f>+SUM('GRD SUMM RCL 150X150 '!#REF!)</f>
        <v>#REF!</v>
      </c>
      <c r="H103" s="3824"/>
      <c r="I103" s="3833" t="e">
        <f>+SUM('GRD SUMM RCL 150X150 '!#REF!)</f>
        <v>#REF!</v>
      </c>
      <c r="J103" s="3824"/>
      <c r="K103" s="3876" t="e">
        <f>+G103+I103</f>
        <v>#REF!</v>
      </c>
      <c r="L103" s="3824"/>
      <c r="M103" s="3833" t="e">
        <f>+SUM('GRD SUMM RCL 150X150 '!#REF!)</f>
        <v>#REF!</v>
      </c>
      <c r="N103" s="3824"/>
      <c r="O103" s="3877" t="e">
        <f t="shared" si="117"/>
        <v>#REF!</v>
      </c>
      <c r="P103" s="3824"/>
      <c r="Q103" s="3833" t="e">
        <f>+SUM('GRD SUMM RCL 150X150 '!#REF!)</f>
        <v>#REF!</v>
      </c>
      <c r="R103" s="3824"/>
      <c r="S103" s="3876" t="e">
        <f t="shared" si="119"/>
        <v>#REF!</v>
      </c>
      <c r="T103" s="3824"/>
      <c r="U103" s="3833" t="e">
        <f>+SUM('GRD SUMM RCL 150X150 '!#REF!)</f>
        <v>#REF!</v>
      </c>
      <c r="V103" s="3824"/>
      <c r="W103" s="3876" t="e">
        <f t="shared" si="120"/>
        <v>#REF!</v>
      </c>
      <c r="X103" s="3878"/>
      <c r="Y103" s="3833" t="e">
        <f>+SUM('GRD SUMM RCL 150X150 '!#REF!)</f>
        <v>#REF!</v>
      </c>
      <c r="Z103" s="3824"/>
      <c r="AA103" s="3877" t="e">
        <f t="shared" si="118"/>
        <v>#REF!</v>
      </c>
      <c r="AB103" s="3879"/>
      <c r="AC103" s="3873"/>
      <c r="AD103" s="3824"/>
      <c r="AE103" s="3833" t="e">
        <f>+SUM('GRD SUMM RCL 150X150 '!#REF!)</f>
        <v>#REF!</v>
      </c>
      <c r="AF103" s="3824"/>
      <c r="AG103" s="3876" t="e">
        <f t="shared" si="121"/>
        <v>#REF!</v>
      </c>
      <c r="AH103" s="3824"/>
      <c r="AI103" s="3833" t="e">
        <f>+SUM('GRD SUMM RCL 150X150 '!#REF!)</f>
        <v>#REF!</v>
      </c>
      <c r="AJ103" s="3824"/>
      <c r="AK103" s="3876" t="e">
        <f t="shared" si="122"/>
        <v>#REF!</v>
      </c>
      <c r="AL103" s="3824"/>
      <c r="AM103" s="3833" t="e">
        <f>+SUM('GRD SUMM RCL 150X150 '!#REF!)</f>
        <v>#REF!</v>
      </c>
      <c r="AN103" s="3833"/>
      <c r="AO103" s="3833"/>
      <c r="AP103" s="3824"/>
      <c r="AQ103" s="3876" t="e">
        <f>+AI103+AM103</f>
        <v>#REF!</v>
      </c>
      <c r="AR103" s="3824"/>
      <c r="AS103" s="3833" t="e">
        <f>+SUM('GRD SUMM RCL 150X150 '!#REF!)</f>
        <v>#REF!</v>
      </c>
      <c r="AT103" s="3824"/>
      <c r="AU103" s="3876" t="e">
        <f t="shared" si="123"/>
        <v>#REF!</v>
      </c>
      <c r="AV103" s="3824"/>
      <c r="AW103" s="3833" t="e">
        <f>+SUM('GRD SUMM RCL 150X150 '!#REF!)</f>
        <v>#REF!</v>
      </c>
      <c r="AX103" s="3824"/>
      <c r="AY103" s="3876" t="e">
        <f t="shared" si="124"/>
        <v>#REF!</v>
      </c>
      <c r="AZ103" s="3824"/>
      <c r="BA103" s="3833" t="e">
        <f>+SUM('GRD SUMM RCL 150X150 '!#REF!)</f>
        <v>#REF!</v>
      </c>
      <c r="BB103" s="3833"/>
      <c r="BC103" s="3833"/>
      <c r="BD103" s="3879"/>
      <c r="BE103" s="3873"/>
      <c r="BF103" s="3824"/>
      <c r="BG103" s="3876" t="e">
        <f t="shared" si="125"/>
        <v>#REF!</v>
      </c>
      <c r="BH103" s="23"/>
    </row>
    <row r="104" spans="1:60" ht="15.75" hidden="1" customHeight="1" thickBot="1" x14ac:dyDescent="0.35">
      <c r="C104" s="3824"/>
      <c r="D104" s="3824"/>
      <c r="E104" s="3875"/>
      <c r="F104" s="3824"/>
      <c r="G104" s="3833" t="e">
        <f>+G101-G102-G103</f>
        <v>#REF!</v>
      </c>
      <c r="H104" s="3824"/>
      <c r="I104" s="3833" t="e">
        <f>+I101-I102-I103</f>
        <v>#REF!</v>
      </c>
      <c r="J104" s="3833">
        <f t="shared" ref="J104:S104" si="126">+J101-J102-J103</f>
        <v>0</v>
      </c>
      <c r="K104" s="3876" t="e">
        <f t="shared" si="126"/>
        <v>#REF!</v>
      </c>
      <c r="L104" s="3833">
        <f t="shared" si="126"/>
        <v>0</v>
      </c>
      <c r="M104" s="3833" t="e">
        <f>+M101-M102-M103</f>
        <v>#REF!</v>
      </c>
      <c r="N104" s="3833">
        <f t="shared" si="126"/>
        <v>0</v>
      </c>
      <c r="O104" s="3877" t="e">
        <f t="shared" si="126"/>
        <v>#REF!</v>
      </c>
      <c r="P104" s="3833">
        <f t="shared" si="126"/>
        <v>0</v>
      </c>
      <c r="Q104" s="3833" t="e">
        <f t="shared" si="126"/>
        <v>#REF!</v>
      </c>
      <c r="R104" s="3833">
        <f t="shared" si="126"/>
        <v>0</v>
      </c>
      <c r="S104" s="3876" t="e">
        <f t="shared" si="126"/>
        <v>#REF!</v>
      </c>
      <c r="T104" s="3833">
        <f t="shared" ref="T104" si="127">+T101-T102-T103</f>
        <v>0</v>
      </c>
      <c r="U104" s="3833" t="e">
        <f t="shared" ref="U104:AA104" si="128">+U101-U102-U103</f>
        <v>#REF!</v>
      </c>
      <c r="V104" s="3833">
        <f t="shared" si="128"/>
        <v>0</v>
      </c>
      <c r="W104" s="3876" t="e">
        <f t="shared" si="128"/>
        <v>#REF!</v>
      </c>
      <c r="X104" s="3878"/>
      <c r="Y104" s="3833" t="e">
        <f t="shared" ref="Y104" si="129">+Y101-Y102-Y103</f>
        <v>#REF!</v>
      </c>
      <c r="Z104" s="3833">
        <f t="shared" si="128"/>
        <v>0</v>
      </c>
      <c r="AA104" s="3877" t="e">
        <f t="shared" si="128"/>
        <v>#REF!</v>
      </c>
      <c r="AB104" s="3879"/>
      <c r="AC104" s="3873"/>
      <c r="AD104" s="3833">
        <f t="shared" ref="AD104:AG104" si="130">+AD101-AD102-AD103</f>
        <v>0</v>
      </c>
      <c r="AE104" s="3833" t="e">
        <f t="shared" si="130"/>
        <v>#REF!</v>
      </c>
      <c r="AF104" s="3833">
        <f t="shared" si="130"/>
        <v>0</v>
      </c>
      <c r="AG104" s="3876" t="e">
        <f t="shared" si="130"/>
        <v>#REF!</v>
      </c>
      <c r="AH104" s="3833">
        <f t="shared" ref="AH104:AK104" si="131">+AH101-AH102-AH103</f>
        <v>0</v>
      </c>
      <c r="AI104" s="3833" t="e">
        <f t="shared" si="131"/>
        <v>#REF!</v>
      </c>
      <c r="AJ104" s="3833">
        <f t="shared" si="131"/>
        <v>0</v>
      </c>
      <c r="AK104" s="3876" t="e">
        <f t="shared" si="131"/>
        <v>#REF!</v>
      </c>
      <c r="AL104" s="3833">
        <f t="shared" ref="AL104:AQ104" si="132">+AL101-AL102-AL103</f>
        <v>0</v>
      </c>
      <c r="AM104" s="3833" t="e">
        <f t="shared" si="132"/>
        <v>#REF!</v>
      </c>
      <c r="AN104" s="3833"/>
      <c r="AO104" s="3833"/>
      <c r="AP104" s="3833">
        <f t="shared" si="132"/>
        <v>0</v>
      </c>
      <c r="AQ104" s="3876" t="e">
        <f t="shared" si="132"/>
        <v>#REF!</v>
      </c>
      <c r="AR104" s="3833">
        <f t="shared" ref="AR104:AU104" si="133">+AR101-AR102-AR103</f>
        <v>0</v>
      </c>
      <c r="AS104" s="3833" t="e">
        <f t="shared" si="133"/>
        <v>#REF!</v>
      </c>
      <c r="AT104" s="3833">
        <f t="shared" si="133"/>
        <v>0</v>
      </c>
      <c r="AU104" s="3876" t="e">
        <f t="shared" si="133"/>
        <v>#REF!</v>
      </c>
      <c r="AV104" s="3833">
        <f t="shared" ref="AV104:AY104" si="134">+AV101-AV102-AV103</f>
        <v>0</v>
      </c>
      <c r="AW104" s="3833" t="e">
        <f t="shared" si="134"/>
        <v>#REF!</v>
      </c>
      <c r="AX104" s="3833">
        <f t="shared" si="134"/>
        <v>0</v>
      </c>
      <c r="AY104" s="3876" t="e">
        <f t="shared" si="134"/>
        <v>#REF!</v>
      </c>
      <c r="AZ104" s="3833">
        <f t="shared" ref="AZ104:BG104" si="135">+AZ101-AZ102-AZ103</f>
        <v>0</v>
      </c>
      <c r="BA104" s="3833" t="e">
        <f t="shared" si="135"/>
        <v>#REF!</v>
      </c>
      <c r="BB104" s="3833"/>
      <c r="BC104" s="3833"/>
      <c r="BD104" s="3879"/>
      <c r="BE104" s="3873"/>
      <c r="BF104" s="3833">
        <f t="shared" si="135"/>
        <v>0</v>
      </c>
      <c r="BG104" s="3876" t="e">
        <f t="shared" si="135"/>
        <v>#REF!</v>
      </c>
      <c r="BH104" s="23"/>
    </row>
    <row r="105" spans="1:60" ht="15.75" hidden="1" customHeight="1" thickBot="1" x14ac:dyDescent="0.35">
      <c r="C105" s="3824"/>
      <c r="D105" s="3824"/>
      <c r="E105" s="3875"/>
      <c r="F105" s="3824"/>
      <c r="G105" s="3833" t="e">
        <f>+G104-G79</f>
        <v>#REF!</v>
      </c>
      <c r="H105" s="3824"/>
      <c r="I105" s="3833" t="e">
        <f t="shared" ref="I105:W105" si="136">+I104-I79</f>
        <v>#REF!</v>
      </c>
      <c r="J105" s="3833">
        <f t="shared" si="136"/>
        <v>0</v>
      </c>
      <c r="K105" s="3876" t="e">
        <f t="shared" si="136"/>
        <v>#REF!</v>
      </c>
      <c r="L105" s="3833">
        <f t="shared" si="136"/>
        <v>0</v>
      </c>
      <c r="M105" s="3833" t="e">
        <f t="shared" si="136"/>
        <v>#REF!</v>
      </c>
      <c r="N105" s="3833">
        <f t="shared" si="136"/>
        <v>0</v>
      </c>
      <c r="O105" s="3877" t="e">
        <f t="shared" si="136"/>
        <v>#REF!</v>
      </c>
      <c r="P105" s="3833">
        <f t="shared" si="136"/>
        <v>0</v>
      </c>
      <c r="Q105" s="3833" t="e">
        <f t="shared" si="136"/>
        <v>#REF!</v>
      </c>
      <c r="R105" s="3833">
        <f t="shared" si="136"/>
        <v>0</v>
      </c>
      <c r="S105" s="3876" t="e">
        <f t="shared" si="136"/>
        <v>#REF!</v>
      </c>
      <c r="T105" s="3833">
        <f t="shared" si="136"/>
        <v>0</v>
      </c>
      <c r="U105" s="3833" t="e">
        <f t="shared" si="136"/>
        <v>#REF!</v>
      </c>
      <c r="V105" s="3833">
        <f t="shared" si="136"/>
        <v>0</v>
      </c>
      <c r="W105" s="3876" t="e">
        <f t="shared" si="136"/>
        <v>#REF!</v>
      </c>
      <c r="X105" s="3878"/>
      <c r="Y105" s="3833" t="e">
        <f>+Y104-Y79</f>
        <v>#REF!</v>
      </c>
      <c r="Z105" s="3833">
        <f>+Z104-Z79</f>
        <v>0</v>
      </c>
      <c r="AA105" s="3877" t="e">
        <f>+AA104-AA79</f>
        <v>#REF!</v>
      </c>
      <c r="AB105" s="3879"/>
      <c r="AC105" s="3873"/>
      <c r="AD105" s="3833">
        <f t="shared" ref="AD105:AM105" si="137">+AD104-AD79</f>
        <v>0</v>
      </c>
      <c r="AE105" s="3833" t="e">
        <f t="shared" si="137"/>
        <v>#REF!</v>
      </c>
      <c r="AF105" s="3833">
        <f t="shared" si="137"/>
        <v>0</v>
      </c>
      <c r="AG105" s="3876" t="e">
        <f t="shared" si="137"/>
        <v>#REF!</v>
      </c>
      <c r="AH105" s="3833">
        <f t="shared" si="137"/>
        <v>0</v>
      </c>
      <c r="AI105" s="3833" t="e">
        <f t="shared" si="137"/>
        <v>#REF!</v>
      </c>
      <c r="AJ105" s="3833">
        <f t="shared" si="137"/>
        <v>0</v>
      </c>
      <c r="AK105" s="3876" t="e">
        <f t="shared" si="137"/>
        <v>#REF!</v>
      </c>
      <c r="AL105" s="3833">
        <f t="shared" si="137"/>
        <v>0</v>
      </c>
      <c r="AM105" s="3833" t="e">
        <f t="shared" si="137"/>
        <v>#REF!</v>
      </c>
      <c r="AN105" s="3833"/>
      <c r="AO105" s="3833"/>
      <c r="AP105" s="3833">
        <f t="shared" ref="AP105:BA105" si="138">+AP104-AP79</f>
        <v>0</v>
      </c>
      <c r="AQ105" s="3876" t="e">
        <f t="shared" si="138"/>
        <v>#REF!</v>
      </c>
      <c r="AR105" s="3833">
        <f t="shared" si="138"/>
        <v>0</v>
      </c>
      <c r="AS105" s="3833" t="e">
        <f t="shared" si="138"/>
        <v>#REF!</v>
      </c>
      <c r="AT105" s="3833">
        <f t="shared" si="138"/>
        <v>0</v>
      </c>
      <c r="AU105" s="3876" t="e">
        <f t="shared" si="138"/>
        <v>#REF!</v>
      </c>
      <c r="AV105" s="3833">
        <f t="shared" si="138"/>
        <v>0</v>
      </c>
      <c r="AW105" s="3833" t="e">
        <f t="shared" si="138"/>
        <v>#REF!</v>
      </c>
      <c r="AX105" s="3833">
        <f t="shared" si="138"/>
        <v>0</v>
      </c>
      <c r="AY105" s="3876" t="e">
        <f t="shared" si="138"/>
        <v>#REF!</v>
      </c>
      <c r="AZ105" s="3833">
        <f t="shared" si="138"/>
        <v>0</v>
      </c>
      <c r="BA105" s="3833" t="e">
        <f t="shared" si="138"/>
        <v>#REF!</v>
      </c>
      <c r="BB105" s="3833"/>
      <c r="BC105" s="3833"/>
      <c r="BD105" s="3879"/>
      <c r="BE105" s="3873"/>
      <c r="BF105" s="3833">
        <f>+BF104-BF79</f>
        <v>0</v>
      </c>
      <c r="BG105" s="3876" t="e">
        <f>+BG104-BG79</f>
        <v>#REF!</v>
      </c>
      <c r="BH105" s="23"/>
    </row>
    <row r="106" spans="1:60" ht="15.75" hidden="1" customHeight="1" thickBot="1" x14ac:dyDescent="0.35">
      <c r="C106" s="3824"/>
      <c r="D106" s="3824"/>
      <c r="E106" s="3875"/>
      <c r="F106" s="3824"/>
      <c r="G106" s="3824"/>
      <c r="H106" s="3824"/>
      <c r="I106" s="3824"/>
      <c r="J106" s="3824"/>
      <c r="K106" s="3871"/>
      <c r="L106" s="3824"/>
      <c r="M106" s="3824"/>
      <c r="N106" s="3824"/>
      <c r="O106" s="3872"/>
      <c r="P106" s="3824"/>
      <c r="Q106" s="3824"/>
      <c r="R106" s="3824"/>
      <c r="S106" s="3876"/>
      <c r="T106" s="3824"/>
      <c r="U106" s="3824"/>
      <c r="V106" s="3824"/>
      <c r="W106" s="3876"/>
      <c r="X106" s="3878"/>
      <c r="Y106" s="3824"/>
      <c r="Z106" s="3824"/>
      <c r="AA106" s="3872"/>
      <c r="AB106" s="3873"/>
      <c r="AC106" s="3873"/>
      <c r="AD106" s="3824"/>
      <c r="AE106" s="3824"/>
      <c r="AF106" s="3824"/>
      <c r="AG106" s="3876"/>
      <c r="AH106" s="3824"/>
      <c r="AI106" s="3824"/>
      <c r="AJ106" s="3824"/>
      <c r="AK106" s="3876"/>
      <c r="AL106" s="3824"/>
      <c r="AM106" s="3824"/>
      <c r="AN106" s="3824"/>
      <c r="AO106" s="3824"/>
      <c r="AP106" s="3824"/>
      <c r="AQ106" s="3876"/>
      <c r="AR106" s="3824"/>
      <c r="AS106" s="3824"/>
      <c r="AT106" s="3824"/>
      <c r="AU106" s="3876"/>
      <c r="AV106" s="3824"/>
      <c r="AW106" s="3824"/>
      <c r="AX106" s="3824"/>
      <c r="AY106" s="3876"/>
      <c r="AZ106" s="3824"/>
      <c r="BA106" s="3824"/>
      <c r="BB106" s="3824"/>
      <c r="BC106" s="3824"/>
      <c r="BD106" s="3873"/>
      <c r="BE106" s="3873"/>
      <c r="BF106" s="3824"/>
      <c r="BG106" s="3876"/>
      <c r="BH106" s="23"/>
    </row>
    <row r="107" spans="1:60" ht="15.75" hidden="1" customHeight="1" thickBot="1" x14ac:dyDescent="0.35">
      <c r="C107" s="3824"/>
      <c r="D107" s="3824"/>
      <c r="E107" s="3875"/>
      <c r="F107" s="3824"/>
      <c r="G107" s="3824"/>
      <c r="H107" s="3824"/>
      <c r="I107" s="3824"/>
      <c r="J107" s="3824"/>
      <c r="K107" s="3871"/>
      <c r="L107" s="3824"/>
      <c r="M107" s="3824"/>
      <c r="N107" s="3824"/>
      <c r="O107" s="3872"/>
      <c r="P107" s="3824"/>
      <c r="Q107" s="3824"/>
      <c r="R107" s="3824"/>
      <c r="S107" s="3876"/>
      <c r="T107" s="3824"/>
      <c r="U107" s="3824"/>
      <c r="V107" s="3824"/>
      <c r="W107" s="3876"/>
      <c r="X107" s="3878"/>
      <c r="Y107" s="3824"/>
      <c r="Z107" s="3824"/>
      <c r="AA107" s="3872"/>
      <c r="AB107" s="3873"/>
      <c r="AC107" s="3873"/>
      <c r="AD107" s="3824"/>
      <c r="AE107" s="3824"/>
      <c r="AF107" s="3824"/>
      <c r="AG107" s="3876"/>
      <c r="AH107" s="3824"/>
      <c r="AI107" s="3824"/>
      <c r="AJ107" s="3824"/>
      <c r="AK107" s="3876"/>
      <c r="AL107" s="3824"/>
      <c r="AM107" s="3824"/>
      <c r="AN107" s="3824"/>
      <c r="AO107" s="3824"/>
      <c r="AP107" s="3824"/>
      <c r="AQ107" s="3876"/>
      <c r="AR107" s="3824"/>
      <c r="AS107" s="3824"/>
      <c r="AT107" s="3824"/>
      <c r="AU107" s="3876"/>
      <c r="AV107" s="3824"/>
      <c r="AW107" s="3824"/>
      <c r="AX107" s="3824"/>
      <c r="AY107" s="3876"/>
      <c r="AZ107" s="3824"/>
      <c r="BA107" s="3824"/>
      <c r="BB107" s="3824"/>
      <c r="BC107" s="3824"/>
      <c r="BD107" s="3873"/>
      <c r="BE107" s="3873"/>
      <c r="BF107" s="3824"/>
      <c r="BG107" s="3876"/>
      <c r="BH107" s="23"/>
    </row>
    <row r="108" spans="1:60" ht="18.75" customHeight="1" thickBot="1" x14ac:dyDescent="0.35">
      <c r="C108" s="6280" t="s">
        <v>16</v>
      </c>
      <c r="D108" s="3897" t="s">
        <v>1435</v>
      </c>
      <c r="E108" s="3897"/>
      <c r="F108" s="3880"/>
      <c r="G108" s="3898">
        <f>+WRM!F159</f>
        <v>41532.999999999985</v>
      </c>
      <c r="H108" s="3898"/>
      <c r="I108" s="3898">
        <f>+WRM!H159</f>
        <v>21522.950000000004</v>
      </c>
      <c r="J108" s="3898"/>
      <c r="K108" s="3903">
        <f t="shared" ref="K108:K109" si="139">+G108+I108</f>
        <v>63055.94999999999</v>
      </c>
      <c r="L108" s="3898"/>
      <c r="M108" s="3898">
        <f>+WRM!L159</f>
        <v>38291.349999999991</v>
      </c>
      <c r="N108" s="3898"/>
      <c r="O108" s="3904">
        <f t="shared" ref="O108:O109" si="140">+G108+I108+M108</f>
        <v>101347.29999999999</v>
      </c>
      <c r="P108" s="3898"/>
      <c r="Q108" s="3898">
        <f>+WRM!P159</f>
        <v>47063.899999999994</v>
      </c>
      <c r="R108" s="3898"/>
      <c r="S108" s="3903">
        <f t="shared" ref="S108:S109" si="141">O108+Q108</f>
        <v>148411.19999999998</v>
      </c>
      <c r="T108" s="3898"/>
      <c r="U108" s="3898">
        <f>+WRM!T159</f>
        <v>38718.350000000006</v>
      </c>
      <c r="V108" s="3898"/>
      <c r="W108" s="3903">
        <f t="shared" ref="W108:W109" si="142">S108+U108</f>
        <v>187129.55</v>
      </c>
      <c r="X108" s="3898"/>
      <c r="Y108" s="3898">
        <f>+WRM!X159</f>
        <v>41006.150000000009</v>
      </c>
      <c r="Z108" s="3898"/>
      <c r="AA108" s="3904">
        <f t="shared" ref="AA108:AA109" si="143">Q108+U108+Y108</f>
        <v>126788.40000000001</v>
      </c>
      <c r="AB108" s="3898"/>
      <c r="AC108" s="3905">
        <f t="shared" ref="AC108:AC109" si="144">O108+AA108</f>
        <v>228135.7</v>
      </c>
      <c r="AD108" s="3898"/>
      <c r="AE108" s="3898">
        <f>+WRM!AD159</f>
        <v>30034.550000000003</v>
      </c>
      <c r="AF108" s="3898"/>
      <c r="AG108" s="3903">
        <f t="shared" ref="AG108:AG109" si="145">+AC108+AE108</f>
        <v>258170.25</v>
      </c>
      <c r="AH108" s="3898"/>
      <c r="AI108" s="3898">
        <f>+WRM!AH159</f>
        <v>34614.250000000007</v>
      </c>
      <c r="AJ108" s="3898"/>
      <c r="AK108" s="3906">
        <f t="shared" ref="AK108:AK109" si="146">+AG108+AI108</f>
        <v>292784.5</v>
      </c>
      <c r="AL108" s="3898"/>
      <c r="AM108" s="3898">
        <f>+WRM!AL159</f>
        <v>44007.350000000013</v>
      </c>
      <c r="AN108" s="3898"/>
      <c r="AO108" s="3904">
        <f t="shared" ref="AO108:AO109" si="147">AE108+AI108+AM108</f>
        <v>108656.15000000002</v>
      </c>
      <c r="AP108" s="3898"/>
      <c r="AQ108" s="3906">
        <f>+AK108+AM108</f>
        <v>336791.85000000003</v>
      </c>
      <c r="AR108" s="3898"/>
      <c r="AS108" s="3898">
        <f>+WRM!AR159</f>
        <v>44589.550000000017</v>
      </c>
      <c r="AT108" s="3898"/>
      <c r="AU108" s="3906">
        <f t="shared" ref="AU108:AU109" si="148">+AQ108+AS108</f>
        <v>381381.4</v>
      </c>
      <c r="AV108" s="3898"/>
      <c r="AW108" s="3898">
        <f>+WRM!AV159</f>
        <v>37420.700000000019</v>
      </c>
      <c r="AX108" s="3898"/>
      <c r="AY108" s="3906">
        <f t="shared" ref="AY108:AY109" si="149">+AU108+AW108</f>
        <v>418802.10000000003</v>
      </c>
      <c r="AZ108" s="3898"/>
      <c r="BA108" s="3898">
        <f>+WRM!AZ159</f>
        <v>46692.85</v>
      </c>
      <c r="BB108" s="3898"/>
      <c r="BC108" s="3904">
        <f t="shared" ref="BC108:BC109" si="150">AS108+AW108+BA108</f>
        <v>128703.10000000003</v>
      </c>
      <c r="BD108" s="3898"/>
      <c r="BE108" s="3905">
        <f>AO108+BC108</f>
        <v>237359.25000000006</v>
      </c>
      <c r="BF108" s="3898"/>
      <c r="BG108" s="3906">
        <f t="shared" ref="BG108:BG109" si="151">+AY108+BA108</f>
        <v>465494.95</v>
      </c>
      <c r="BH108" s="23"/>
    </row>
    <row r="109" spans="1:60" ht="18.75" customHeight="1" x14ac:dyDescent="0.3">
      <c r="C109" s="6281"/>
      <c r="D109" s="3907" t="s">
        <v>2175</v>
      </c>
      <c r="E109" s="3907"/>
      <c r="F109" s="3908"/>
      <c r="G109" s="3909">
        <f>+G38</f>
        <v>41289.049999999996</v>
      </c>
      <c r="H109" s="3909"/>
      <c r="I109" s="3909">
        <f>+I38</f>
        <v>21024.799999999999</v>
      </c>
      <c r="J109" s="3909"/>
      <c r="K109" s="3910">
        <f t="shared" si="139"/>
        <v>62313.849999999991</v>
      </c>
      <c r="L109" s="3909"/>
      <c r="M109" s="3909">
        <f>+M38</f>
        <v>37452.9</v>
      </c>
      <c r="N109" s="3909"/>
      <c r="O109" s="3911">
        <f t="shared" si="140"/>
        <v>99766.75</v>
      </c>
      <c r="P109" s="3909"/>
      <c r="Q109" s="3909">
        <f>+Q38</f>
        <v>44200.05</v>
      </c>
      <c r="R109" s="3909"/>
      <c r="S109" s="3910">
        <f t="shared" si="141"/>
        <v>143966.79999999999</v>
      </c>
      <c r="T109" s="3909"/>
      <c r="U109" s="3909">
        <f>+U38</f>
        <v>33658.950000000004</v>
      </c>
      <c r="V109" s="3909"/>
      <c r="W109" s="3910">
        <f t="shared" si="142"/>
        <v>177625.75</v>
      </c>
      <c r="X109" s="3909"/>
      <c r="Y109" s="3909">
        <f>+Y38</f>
        <v>37412.5</v>
      </c>
      <c r="Z109" s="3909"/>
      <c r="AA109" s="3911">
        <f t="shared" si="143"/>
        <v>115271.5</v>
      </c>
      <c r="AB109" s="3909"/>
      <c r="AC109" s="3912">
        <f t="shared" si="144"/>
        <v>215038.25</v>
      </c>
      <c r="AD109" s="3909"/>
      <c r="AE109" s="3909">
        <f>+AE38</f>
        <v>28117.8</v>
      </c>
      <c r="AF109" s="3909"/>
      <c r="AG109" s="3910">
        <f t="shared" si="145"/>
        <v>243156.05</v>
      </c>
      <c r="AH109" s="3909"/>
      <c r="AI109" s="3909">
        <f>+AI38</f>
        <v>33991.050000000003</v>
      </c>
      <c r="AJ109" s="3909"/>
      <c r="AK109" s="3913">
        <f t="shared" si="146"/>
        <v>277147.09999999998</v>
      </c>
      <c r="AL109" s="3909"/>
      <c r="AM109" s="3909">
        <f>+AM38</f>
        <v>39526.050000000003</v>
      </c>
      <c r="AN109" s="3961"/>
      <c r="AO109" s="3911">
        <f t="shared" si="147"/>
        <v>101634.90000000001</v>
      </c>
      <c r="AP109" s="3909"/>
      <c r="AQ109" s="3913">
        <f>+AK109+AM109</f>
        <v>316673.14999999997</v>
      </c>
      <c r="AR109" s="3909"/>
      <c r="AS109" s="3909">
        <f>+AS38</f>
        <v>39585.500000000007</v>
      </c>
      <c r="AT109" s="3909"/>
      <c r="AU109" s="3913">
        <f t="shared" si="148"/>
        <v>356258.64999999997</v>
      </c>
      <c r="AV109" s="3909"/>
      <c r="AW109" s="3909">
        <f>+AW38</f>
        <v>36941.000000000022</v>
      </c>
      <c r="AX109" s="3909"/>
      <c r="AY109" s="3913">
        <f t="shared" si="149"/>
        <v>393199.64999999997</v>
      </c>
      <c r="AZ109" s="3909"/>
      <c r="BA109" s="3909">
        <f>+BA38</f>
        <v>46047.099999999991</v>
      </c>
      <c r="BB109" s="3961"/>
      <c r="BC109" s="3911">
        <f t="shared" si="150"/>
        <v>122573.60000000002</v>
      </c>
      <c r="BD109" s="3909"/>
      <c r="BE109" s="3905">
        <f>AO109+BC109</f>
        <v>224208.50000000003</v>
      </c>
      <c r="BF109" s="3909"/>
      <c r="BG109" s="3913">
        <f t="shared" si="151"/>
        <v>439246.74999999994</v>
      </c>
      <c r="BH109" s="23"/>
    </row>
    <row r="110" spans="1:60" ht="18.75" customHeight="1" thickBot="1" x14ac:dyDescent="0.35">
      <c r="C110" s="6281"/>
      <c r="D110" s="3907" t="s">
        <v>1436</v>
      </c>
      <c r="E110" s="3907"/>
      <c r="F110" s="3908"/>
      <c r="G110" s="5209">
        <f>+G109/G108</f>
        <v>0.99412635735439314</v>
      </c>
      <c r="H110" s="3914"/>
      <c r="I110" s="3914">
        <f>+I109/I108</f>
        <v>0.97685493856557748</v>
      </c>
      <c r="J110" s="3914"/>
      <c r="K110" s="3915">
        <f t="shared" ref="K110:AG110" si="152">+K109/K108</f>
        <v>0.98823108683637306</v>
      </c>
      <c r="L110" s="3914"/>
      <c r="M110" s="3914">
        <f>+M109/M108</f>
        <v>0.97810340977792665</v>
      </c>
      <c r="N110" s="3914"/>
      <c r="O110" s="3916">
        <f t="shared" si="152"/>
        <v>0.98440461660054102</v>
      </c>
      <c r="P110" s="3914"/>
      <c r="Q110" s="3914">
        <f t="shared" si="152"/>
        <v>0.93914975172053328</v>
      </c>
      <c r="R110" s="3914"/>
      <c r="S110" s="3915">
        <f t="shared" si="152"/>
        <v>0.97005347305324674</v>
      </c>
      <c r="T110" s="3914"/>
      <c r="U110" s="3914">
        <f t="shared" si="152"/>
        <v>0.86932810928151638</v>
      </c>
      <c r="V110" s="3914"/>
      <c r="W110" s="3915">
        <f t="shared" si="152"/>
        <v>0.94921272455365824</v>
      </c>
      <c r="X110" s="3914"/>
      <c r="Y110" s="3914">
        <f t="shared" ref="Y110" si="153">+Y109/Y108</f>
        <v>0.91236314552817055</v>
      </c>
      <c r="Z110" s="3914"/>
      <c r="AA110" s="3916">
        <f t="shared" si="152"/>
        <v>0.90916440305264512</v>
      </c>
      <c r="AB110" s="3914"/>
      <c r="AC110" s="3917">
        <f t="shared" si="152"/>
        <v>0.94258921334977375</v>
      </c>
      <c r="AD110" s="3914"/>
      <c r="AE110" s="3914">
        <f t="shared" si="152"/>
        <v>0.9361818305917684</v>
      </c>
      <c r="AF110" s="3914"/>
      <c r="AG110" s="3915">
        <f t="shared" si="152"/>
        <v>0.94184380268446888</v>
      </c>
      <c r="AH110" s="3914"/>
      <c r="AI110" s="3914">
        <f t="shared" ref="AI110" si="154">+AI109/AI108</f>
        <v>0.98199585430855774</v>
      </c>
      <c r="AJ110" s="3914"/>
      <c r="AK110" s="3918">
        <f t="shared" ref="AK110" si="155">+AK109/AK108</f>
        <v>0.94659075190114228</v>
      </c>
      <c r="AL110" s="3914"/>
      <c r="AM110" s="3914">
        <f t="shared" ref="AM110" si="156">+AM109/AM108</f>
        <v>0.89816928308566613</v>
      </c>
      <c r="AN110" s="3962"/>
      <c r="AO110" s="3916">
        <f t="shared" ref="AO110" si="157">+AO109/AO108</f>
        <v>0.93538101616889602</v>
      </c>
      <c r="AP110" s="3914"/>
      <c r="AQ110" s="3918">
        <f t="shared" ref="AQ110" si="158">+AQ109/AQ108</f>
        <v>0.9402636969986059</v>
      </c>
      <c r="AR110" s="3914"/>
      <c r="AS110" s="3914">
        <f t="shared" ref="AS110" si="159">+AS109/AS108</f>
        <v>0.88777527470001361</v>
      </c>
      <c r="AT110" s="3914"/>
      <c r="AU110" s="3918">
        <f t="shared" ref="AU110" si="160">+AU109/AU108</f>
        <v>0.93412696581427401</v>
      </c>
      <c r="AV110" s="3914"/>
      <c r="AW110" s="3914">
        <f t="shared" ref="AW110" si="161">+AW109/AW108</f>
        <v>0.98718089185931857</v>
      </c>
      <c r="AX110" s="3914"/>
      <c r="AY110" s="3918">
        <f t="shared" ref="AY110" si="162">+AY109/AY108</f>
        <v>0.93886742688252978</v>
      </c>
      <c r="AZ110" s="3914"/>
      <c r="BA110" s="3914">
        <f t="shared" ref="BA110" si="163">+BA109/BA108</f>
        <v>0.98617025947227455</v>
      </c>
      <c r="BB110" s="3962"/>
      <c r="BC110" s="3916">
        <f t="shared" ref="BC110" si="164">+BC109/BC108</f>
        <v>0.95237488452104091</v>
      </c>
      <c r="BD110" s="3914"/>
      <c r="BE110" s="3917">
        <f t="shared" ref="BE110" si="165">+BE109/BE108</f>
        <v>0.94459558664766585</v>
      </c>
      <c r="BF110" s="3914"/>
      <c r="BG110" s="3918">
        <f t="shared" ref="BG110" si="166">+BG109/BG108</f>
        <v>0.94361227764125033</v>
      </c>
      <c r="BH110" s="23"/>
    </row>
    <row r="111" spans="1:60" ht="18.75" customHeight="1" thickBot="1" x14ac:dyDescent="0.35">
      <c r="C111" s="6281"/>
      <c r="D111" s="3907" t="s">
        <v>1434</v>
      </c>
      <c r="E111" s="3907"/>
      <c r="F111" s="3908"/>
      <c r="G111" s="3909">
        <f>+G108-G109</f>
        <v>243.94999999998981</v>
      </c>
      <c r="H111" s="3909"/>
      <c r="I111" s="3909">
        <f>+I108-I109</f>
        <v>498.15000000000509</v>
      </c>
      <c r="J111" s="3909"/>
      <c r="K111" s="3910">
        <f t="shared" ref="K111:K117" si="167">+G111+I111</f>
        <v>742.09999999999491</v>
      </c>
      <c r="L111" s="3909"/>
      <c r="M111" s="3909">
        <f>+M108-M109</f>
        <v>838.44999999998981</v>
      </c>
      <c r="N111" s="3909"/>
      <c r="O111" s="3911">
        <f t="shared" ref="O111:O117" si="168">+G111+I111+M111</f>
        <v>1580.5499999999847</v>
      </c>
      <c r="P111" s="3909"/>
      <c r="Q111" s="3909">
        <f t="shared" ref="Q111:AE111" si="169">+Q108-Q109</f>
        <v>2863.8499999999913</v>
      </c>
      <c r="R111" s="3909"/>
      <c r="S111" s="3910">
        <f t="shared" ref="S111:S117" si="170">O111+Q111</f>
        <v>4444.399999999976</v>
      </c>
      <c r="T111" s="3909"/>
      <c r="U111" s="3909">
        <f t="shared" si="169"/>
        <v>5059.4000000000015</v>
      </c>
      <c r="V111" s="3909"/>
      <c r="W111" s="3910">
        <f t="shared" ref="W111:W117" si="171">S111+U111</f>
        <v>9503.7999999999774</v>
      </c>
      <c r="X111" s="3909"/>
      <c r="Y111" s="3909">
        <f t="shared" ref="Y111" si="172">+Y108-Y109</f>
        <v>3593.6500000000087</v>
      </c>
      <c r="Z111" s="3909"/>
      <c r="AA111" s="3911">
        <f t="shared" ref="AA111:AA117" si="173">Q111+U111+Y111</f>
        <v>11516.900000000001</v>
      </c>
      <c r="AB111" s="3909"/>
      <c r="AC111" s="3912">
        <f t="shared" ref="AC111:AC117" si="174">O111+AA111</f>
        <v>13097.449999999986</v>
      </c>
      <c r="AD111" s="3909"/>
      <c r="AE111" s="3909">
        <f t="shared" si="169"/>
        <v>1916.7500000000036</v>
      </c>
      <c r="AF111" s="3909"/>
      <c r="AG111" s="3910">
        <f t="shared" ref="AG111:AG117" si="175">+AC111+AE111</f>
        <v>15014.19999999999</v>
      </c>
      <c r="AH111" s="3909"/>
      <c r="AI111" s="3909">
        <f t="shared" ref="AI111" si="176">+AI108-AI109</f>
        <v>623.20000000000437</v>
      </c>
      <c r="AJ111" s="3909"/>
      <c r="AK111" s="3913">
        <f t="shared" ref="AK111:AK117" si="177">+AG111+AI111</f>
        <v>15637.399999999994</v>
      </c>
      <c r="AL111" s="3909"/>
      <c r="AM111" s="3909">
        <f t="shared" ref="AM111" si="178">+AM108-AM109</f>
        <v>4481.3000000000102</v>
      </c>
      <c r="AN111" s="3961"/>
      <c r="AO111" s="3911">
        <f t="shared" ref="AO111:AO117" si="179">AE111+AI111+AM111</f>
        <v>7021.2500000000182</v>
      </c>
      <c r="AP111" s="3909"/>
      <c r="AQ111" s="3913">
        <f t="shared" ref="AQ111:AQ117" si="180">+AK111+AM111</f>
        <v>20118.700000000004</v>
      </c>
      <c r="AR111" s="3909"/>
      <c r="AS111" s="3909">
        <f t="shared" ref="AS111" si="181">+AS108-AS109</f>
        <v>5004.0500000000102</v>
      </c>
      <c r="AT111" s="3909"/>
      <c r="AU111" s="3913">
        <f t="shared" ref="AU111:AU117" si="182">+AQ111+AS111</f>
        <v>25122.750000000015</v>
      </c>
      <c r="AV111" s="3909"/>
      <c r="AW111" s="3909">
        <f t="shared" ref="AW111" si="183">+AW108-AW109</f>
        <v>479.69999999999709</v>
      </c>
      <c r="AX111" s="3909"/>
      <c r="AY111" s="3913">
        <f t="shared" ref="AY111:AY117" si="184">+AU111+AW111</f>
        <v>25602.450000000012</v>
      </c>
      <c r="AZ111" s="3909"/>
      <c r="BA111" s="3909">
        <f t="shared" ref="BA111" si="185">+BA108-BA109</f>
        <v>645.75000000000728</v>
      </c>
      <c r="BB111" s="3961"/>
      <c r="BC111" s="3911">
        <f t="shared" ref="BC111:BC117" si="186">AS111+AW111+BA111</f>
        <v>6129.5000000000146</v>
      </c>
      <c r="BD111" s="3909"/>
      <c r="BE111" s="3905">
        <f t="shared" ref="BE111:BE117" si="187">AO111+BC111</f>
        <v>13150.750000000033</v>
      </c>
      <c r="BF111" s="3909"/>
      <c r="BG111" s="3913">
        <f t="shared" ref="BG111:BG117" si="188">+AY111+BA111</f>
        <v>26248.200000000019</v>
      </c>
      <c r="BH111" s="23"/>
    </row>
    <row r="112" spans="1:60" ht="15" customHeight="1" thickBot="1" x14ac:dyDescent="0.35">
      <c r="A112" s="1166"/>
      <c r="B112" s="1166"/>
      <c r="C112" s="6281"/>
      <c r="D112" s="3919" t="s">
        <v>931</v>
      </c>
      <c r="E112" s="3919"/>
      <c r="F112" s="3920"/>
      <c r="G112" s="3921">
        <f>+SUMIF(WRM!$C$7:$C$142,$D112,WRM!F$7:F$142)</f>
        <v>0</v>
      </c>
      <c r="H112" s="3921">
        <f>+SUMIF(WRM!$C$7:$C$142,$D112,WRM!G$7:G$142)</f>
        <v>0</v>
      </c>
      <c r="I112" s="3921">
        <f>+SUMIF(WRM!$C$7:$C$142,$D112,WRM!H$7:H$142)</f>
        <v>0</v>
      </c>
      <c r="J112" s="3921">
        <f>+SUMIF(WRM!$C$7:$C$142,$D112,WRM!I$7:I$142)</f>
        <v>0</v>
      </c>
      <c r="K112" s="3910">
        <f t="shared" si="167"/>
        <v>0</v>
      </c>
      <c r="L112" s="3921">
        <f>+SUMIF(WRM!$C$7:$C$142,$D112,WRM!K$7:K$142)</f>
        <v>0</v>
      </c>
      <c r="M112" s="3921">
        <f>+SUMIF(WRM!$C$7:$C$142,$D112,WRM!L$7:L$142)</f>
        <v>0</v>
      </c>
      <c r="N112" s="3921"/>
      <c r="O112" s="3911">
        <f t="shared" si="168"/>
        <v>0</v>
      </c>
      <c r="P112" s="3921"/>
      <c r="Q112" s="3921">
        <f>+SUMIF(WRM!$C$7:$C$142,$D112,WRM!P$7:P$142)</f>
        <v>1381.7</v>
      </c>
      <c r="R112" s="3921">
        <f>+SUMIF(WRM!$C$7:$C$142,$D112,WRM!Q$7:Q$142)</f>
        <v>0</v>
      </c>
      <c r="S112" s="3910">
        <f t="shared" si="170"/>
        <v>1381.7</v>
      </c>
      <c r="T112" s="3921">
        <f>+SUMIF(WRM!$C$7:$C$142,$D112,WRM!S$7:S$142)</f>
        <v>0</v>
      </c>
      <c r="U112" s="3921">
        <f>+SUMIF(WRM!$C$7:$C$142,$D112,WRM!T$7:T$142)</f>
        <v>457.15000000000003</v>
      </c>
      <c r="V112" s="3921">
        <f>+SUMIF(WRM!$C$7:$C$142,$D112,WRM!U$7:U$142)</f>
        <v>0</v>
      </c>
      <c r="W112" s="3910">
        <f t="shared" si="171"/>
        <v>1838.8500000000001</v>
      </c>
      <c r="X112" s="3921">
        <f>+SUMIF(WRM!$C$7:$C$142,$D112,WRM!W$7:W$142)</f>
        <v>0</v>
      </c>
      <c r="Y112" s="3921">
        <f>+SUMIF(WRM!$C$7:$C$142,$D112,WRM!X$7:X$142)</f>
        <v>530.95000000000005</v>
      </c>
      <c r="Z112" s="3921"/>
      <c r="AA112" s="3911">
        <f t="shared" si="173"/>
        <v>2369.8000000000002</v>
      </c>
      <c r="AB112" s="3921"/>
      <c r="AC112" s="3912">
        <f t="shared" si="174"/>
        <v>2369.8000000000002</v>
      </c>
      <c r="AD112" s="3921"/>
      <c r="AE112" s="3921">
        <f>+SUMIF(WRM!$C$7:$C$142,$D112,WRM!AD$7:AD$142)</f>
        <v>1262.8</v>
      </c>
      <c r="AF112" s="3921">
        <f>+SUMIF(WRM!$C$7:$C$142,$D112,WRM!AE$7:AE$142)</f>
        <v>0</v>
      </c>
      <c r="AG112" s="3910">
        <f t="shared" si="175"/>
        <v>3632.6000000000004</v>
      </c>
      <c r="AH112" s="3921">
        <f>+SUMIF(WRM!$C$7:$C$142,$D112,WRM!AG$7:AG$142)</f>
        <v>0</v>
      </c>
      <c r="AI112" s="3921">
        <f>+SUMIF(WRM!$C$7:$C$142,$D112,WRM!AH$7:AH$142)</f>
        <v>209.1</v>
      </c>
      <c r="AJ112" s="3921"/>
      <c r="AK112" s="3913">
        <f t="shared" si="177"/>
        <v>3841.7000000000003</v>
      </c>
      <c r="AL112" s="3921">
        <f>+SUMIF(WRM!$C$7:$C$142,$D112,WRM!AK$7:AK$142)</f>
        <v>0</v>
      </c>
      <c r="AM112" s="3921">
        <f>+SUMIF(WRM!$C$7:$C$142,$D112,WRM!AL$7:AL$142)</f>
        <v>2218.1000000000004</v>
      </c>
      <c r="AN112" s="3963"/>
      <c r="AO112" s="3911">
        <f t="shared" si="179"/>
        <v>3690</v>
      </c>
      <c r="AP112" s="3921"/>
      <c r="AQ112" s="3913">
        <f t="shared" si="180"/>
        <v>6059.8000000000011</v>
      </c>
      <c r="AR112" s="3921">
        <f>+SUMIF(WRM!$C$7:$C$142,$D112,WRM!AQ$7:AQ$142)</f>
        <v>0</v>
      </c>
      <c r="AS112" s="3921">
        <f>+SUMIF(WRM!$C$7:$C$142,$D112,WRM!AR$7:AR$142)</f>
        <v>2568.6500000000005</v>
      </c>
      <c r="AT112" s="3921"/>
      <c r="AU112" s="3913">
        <f t="shared" si="182"/>
        <v>8628.4500000000007</v>
      </c>
      <c r="AV112" s="3921">
        <f>+SUMIF(WRM!$C$7:$C$142,$D112,WRM!AU$7:AU$142)</f>
        <v>0</v>
      </c>
      <c r="AW112" s="3921">
        <f>+SUMIF(WRM!$C$7:$C$142,$D112,WRM!AV$7:AV$142)</f>
        <v>186.54999999999995</v>
      </c>
      <c r="AX112" s="3921"/>
      <c r="AY112" s="3913">
        <f t="shared" si="184"/>
        <v>8815</v>
      </c>
      <c r="AZ112" s="3921">
        <f>+SUMIF(WRM!$C$7:$C$142,$D112,WRM!AY$7:AY$142)</f>
        <v>0</v>
      </c>
      <c r="BA112" s="3921">
        <f>+SUMIF(WRM!$C$7:$C$142,$D112,WRM!AZ$7:AZ$142)</f>
        <v>0</v>
      </c>
      <c r="BB112" s="3963"/>
      <c r="BC112" s="3911">
        <f t="shared" si="186"/>
        <v>2755.2000000000007</v>
      </c>
      <c r="BD112" s="3921"/>
      <c r="BE112" s="3905">
        <f t="shared" si="187"/>
        <v>6445.2000000000007</v>
      </c>
      <c r="BF112" s="3921"/>
      <c r="BG112" s="3913">
        <f t="shared" si="188"/>
        <v>8815</v>
      </c>
      <c r="BH112" s="23"/>
    </row>
    <row r="113" spans="1:60" ht="15" customHeight="1" thickBot="1" x14ac:dyDescent="0.35">
      <c r="A113" s="1166"/>
      <c r="B113" s="1166"/>
      <c r="C113" s="6281"/>
      <c r="D113" s="3919" t="s">
        <v>1086</v>
      </c>
      <c r="E113" s="3919"/>
      <c r="F113" s="3920"/>
      <c r="G113" s="3921">
        <f>+SUMIF(WRM!$C$7:$C$142,$D113,WRM!F$7:F$142)</f>
        <v>198.85000000000002</v>
      </c>
      <c r="H113" s="3921"/>
      <c r="I113" s="3921">
        <f>+SUMIF(WRM!$C$7:$C$142,$D113,WRM!H$7:H$142)</f>
        <v>233.7</v>
      </c>
      <c r="J113" s="3921">
        <f>+SUMIF(WRM!$C$7:$C$142,$D113,WRM!I$7:I$142)</f>
        <v>0</v>
      </c>
      <c r="K113" s="3910">
        <f t="shared" si="167"/>
        <v>432.55</v>
      </c>
      <c r="L113" s="3921">
        <f>+SUMIF(WRM!$C$7:$C$142,$D113,WRM!K$7:K$142)</f>
        <v>0</v>
      </c>
      <c r="M113" s="3921">
        <f>+SUMIF(WRM!$C$7:$C$142,$D113,WRM!L$7:L$142)</f>
        <v>578.1</v>
      </c>
      <c r="N113" s="3921"/>
      <c r="O113" s="3911">
        <f t="shared" si="168"/>
        <v>1010.6500000000001</v>
      </c>
      <c r="P113" s="3921"/>
      <c r="Q113" s="3921">
        <f>+SUMIF(WRM!$C$7:$C$142,$D113,WRM!P$7:P$142)</f>
        <v>1443.2000000000003</v>
      </c>
      <c r="R113" s="3921">
        <f>+SUMIF(WRM!$C$7:$C$142,$D113,WRM!Q$7:Q$142)</f>
        <v>0</v>
      </c>
      <c r="S113" s="3910">
        <f t="shared" si="170"/>
        <v>2453.8500000000004</v>
      </c>
      <c r="T113" s="3921">
        <f>+SUMIF(WRM!$C$7:$C$142,$D113,WRM!S$7:S$142)</f>
        <v>0</v>
      </c>
      <c r="U113" s="3921">
        <f>+SUMIF(WRM!$C$7:$C$142,$D113,WRM!T$7:T$142)</f>
        <v>4214.8</v>
      </c>
      <c r="V113" s="3921">
        <f>+SUMIF(WRM!$C$7:$C$142,$D113,WRM!U$7:U$142)</f>
        <v>0</v>
      </c>
      <c r="W113" s="3910">
        <f t="shared" si="171"/>
        <v>6668.6500000000005</v>
      </c>
      <c r="X113" s="3921">
        <f>+SUMIF(WRM!$C$7:$C$142,$D113,WRM!W$7:W$142)</f>
        <v>0</v>
      </c>
      <c r="Y113" s="3921">
        <f>+SUMIF(WRM!$C$7:$C$142,$D113,WRM!X$7:X$142)</f>
        <v>2433.35</v>
      </c>
      <c r="Z113" s="3921"/>
      <c r="AA113" s="3911">
        <f t="shared" si="173"/>
        <v>8091.35</v>
      </c>
      <c r="AB113" s="3921"/>
      <c r="AC113" s="3912">
        <f t="shared" si="174"/>
        <v>9102</v>
      </c>
      <c r="AD113" s="3921"/>
      <c r="AE113" s="3921">
        <f>+SUMIF(WRM!$C$7:$C$142,$D113,WRM!AD$7:AD$142)</f>
        <v>590.40000000000009</v>
      </c>
      <c r="AF113" s="3921">
        <f>+SUMIF(WRM!$C$7:$C$142,$D113,WRM!AE$7:AE$142)</f>
        <v>0</v>
      </c>
      <c r="AG113" s="3910">
        <f t="shared" si="175"/>
        <v>9692.4</v>
      </c>
      <c r="AH113" s="3921">
        <f>+SUMIF(WRM!$C$7:$C$142,$D113,WRM!AG$7:AG$142)</f>
        <v>0</v>
      </c>
      <c r="AI113" s="3921">
        <f>+SUMIF(WRM!$C$7:$C$142,$D113,WRM!AH$7:AH$142)</f>
        <v>389.5</v>
      </c>
      <c r="AJ113" s="3921"/>
      <c r="AK113" s="3913">
        <f t="shared" si="177"/>
        <v>10081.9</v>
      </c>
      <c r="AL113" s="3921">
        <f>+SUMIF(WRM!$C$7:$C$142,$D113,WRM!AK$7:AK$142)</f>
        <v>0</v>
      </c>
      <c r="AM113" s="3921">
        <f>+SUMIF(WRM!$C$7:$C$142,$D113,WRM!AL$7:AL$142)</f>
        <v>2166.8500000000004</v>
      </c>
      <c r="AN113" s="3963"/>
      <c r="AO113" s="3911">
        <f t="shared" si="179"/>
        <v>3146.7500000000005</v>
      </c>
      <c r="AP113" s="3921"/>
      <c r="AQ113" s="3913">
        <f t="shared" si="180"/>
        <v>12248.75</v>
      </c>
      <c r="AR113" s="3921">
        <f>+SUMIF(WRM!$C$7:$C$142,$D113,WRM!AQ$7:AQ$142)</f>
        <v>0</v>
      </c>
      <c r="AS113" s="3921">
        <f>+SUMIF(WRM!$C$7:$C$142,$D113,WRM!AR$7:AR$142)</f>
        <v>2164.7999999999993</v>
      </c>
      <c r="AT113" s="3921"/>
      <c r="AU113" s="3913">
        <f t="shared" si="182"/>
        <v>14413.55</v>
      </c>
      <c r="AV113" s="3921">
        <f>+SUMIF(WRM!$C$7:$C$142,$D113,WRM!AU$7:AU$142)</f>
        <v>0</v>
      </c>
      <c r="AW113" s="3921">
        <f>+SUMIF(WRM!$C$7:$C$142,$D113,WRM!AV$7:AV$142)</f>
        <v>235.75</v>
      </c>
      <c r="AX113" s="3921"/>
      <c r="AY113" s="3913">
        <f t="shared" si="184"/>
        <v>14649.3</v>
      </c>
      <c r="AZ113" s="3921">
        <f>+SUMIF(WRM!$C$7:$C$142,$D113,WRM!AY$7:AY$142)</f>
        <v>0</v>
      </c>
      <c r="BA113" s="3921">
        <f>+SUMIF(WRM!$C$7:$C$142,$D113,WRM!AZ$7:AZ$142)</f>
        <v>328</v>
      </c>
      <c r="BB113" s="3963"/>
      <c r="BC113" s="3911">
        <f t="shared" si="186"/>
        <v>2728.5499999999993</v>
      </c>
      <c r="BD113" s="3921"/>
      <c r="BE113" s="3905">
        <f t="shared" si="187"/>
        <v>5875.2999999999993</v>
      </c>
      <c r="BF113" s="3921"/>
      <c r="BG113" s="3913">
        <f t="shared" si="188"/>
        <v>14977.3</v>
      </c>
      <c r="BH113" s="23"/>
    </row>
    <row r="114" spans="1:60" ht="15" customHeight="1" thickBot="1" x14ac:dyDescent="0.35">
      <c r="A114" s="1166"/>
      <c r="B114" s="1166"/>
      <c r="C114" s="6282"/>
      <c r="D114" s="4998" t="s">
        <v>1833</v>
      </c>
      <c r="E114" s="4998"/>
      <c r="F114" s="4999"/>
      <c r="G114" s="3921">
        <f>+SUMIF(WRM!$C$7:$C$142,$D114,WRM!F$7:F$142)</f>
        <v>0</v>
      </c>
      <c r="H114" s="3921"/>
      <c r="I114" s="3921">
        <f>+SUMIF(WRM!$C$7:$C$142,$D114,WRM!H$7:H$142)</f>
        <v>0</v>
      </c>
      <c r="J114" s="3921">
        <f>+SUMIF(WRM!$C$7:$C$142,$D114,WRM!I$7:I$142)</f>
        <v>0</v>
      </c>
      <c r="K114" s="3910">
        <f t="shared" ref="K114" si="189">+G114+I114</f>
        <v>0</v>
      </c>
      <c r="L114" s="3921">
        <f>+SUMIF(WRM!$C$7:$C$142,$D114,WRM!K$7:K$142)</f>
        <v>0</v>
      </c>
      <c r="M114" s="3921">
        <f>+SUMIF(WRM!$C$7:$C$142,$D114,WRM!L$7:L$142)</f>
        <v>209.1</v>
      </c>
      <c r="N114" s="3921"/>
      <c r="O114" s="3911">
        <f t="shared" ref="O114" si="190">+G114+I114+M114</f>
        <v>209.1</v>
      </c>
      <c r="P114" s="3921"/>
      <c r="Q114" s="3921">
        <f>+SUMIF(WRM!$C$7:$C$142,$D114,WRM!P$7:P$142)</f>
        <v>0</v>
      </c>
      <c r="R114" s="3921">
        <f>+SUMIF(WRM!$C$7:$C$142,$D114,WRM!Q$7:Q$142)</f>
        <v>0</v>
      </c>
      <c r="S114" s="3910">
        <f t="shared" ref="S114" si="191">O114+Q114</f>
        <v>209.1</v>
      </c>
      <c r="T114" s="3921">
        <f>+SUMIF(WRM!$C$7:$C$142,$D114,WRM!S$7:S$142)</f>
        <v>0</v>
      </c>
      <c r="U114" s="3921">
        <f>+SUMIF(WRM!$C$7:$C$142,$D114,WRM!T$7:T$142)</f>
        <v>217.3</v>
      </c>
      <c r="V114" s="3921">
        <f>+SUMIF(WRM!$C$7:$C$142,$D114,WRM!U$7:U$142)</f>
        <v>0</v>
      </c>
      <c r="W114" s="3910">
        <f t="shared" ref="W114" si="192">S114+U114</f>
        <v>426.4</v>
      </c>
      <c r="X114" s="3921">
        <f>+SUMIF(WRM!$C$7:$C$142,$D114,WRM!W$7:W$142)</f>
        <v>0</v>
      </c>
      <c r="Y114" s="3921">
        <f>+SUMIF(WRM!$C$7:$C$142,$D114,WRM!X$7:X$142)</f>
        <v>608.85</v>
      </c>
      <c r="Z114" s="3921"/>
      <c r="AA114" s="3911">
        <f t="shared" ref="AA114" si="193">Q114+U114+Y114</f>
        <v>826.15000000000009</v>
      </c>
      <c r="AB114" s="3921"/>
      <c r="AC114" s="3912">
        <f t="shared" ref="AC114" si="194">O114+AA114</f>
        <v>1035.25</v>
      </c>
      <c r="AD114" s="3921"/>
      <c r="AE114" s="3921">
        <f>+SUMIF(WRM!$C$7:$C$142,$D114,WRM!AD$7:AD$142)</f>
        <v>0</v>
      </c>
      <c r="AF114" s="3921">
        <f>+SUMIF(WRM!$C$7:$C$142,$D114,WRM!AE$7:AE$142)</f>
        <v>0</v>
      </c>
      <c r="AG114" s="3910">
        <f t="shared" ref="AG114" si="195">+AC114+AE114</f>
        <v>1035.25</v>
      </c>
      <c r="AH114" s="3921">
        <f>+SUMIF(WRM!$C$7:$C$142,$D114,WRM!AG$7:AG$142)</f>
        <v>0</v>
      </c>
      <c r="AI114" s="3921">
        <f>+SUMIF(WRM!$C$7:$C$142,$D114,WRM!AH$7:AH$142)</f>
        <v>0</v>
      </c>
      <c r="AJ114" s="3921"/>
      <c r="AK114" s="3913">
        <f t="shared" ref="AK114" si="196">+AG114+AI114</f>
        <v>1035.25</v>
      </c>
      <c r="AL114" s="3921">
        <f>+SUMIF(WRM!$C$7:$C$142,$D114,WRM!AK$7:AK$142)</f>
        <v>0</v>
      </c>
      <c r="AM114" s="3921">
        <f>+SUMIF(WRM!$C$7:$C$142,$D114,WRM!AL$7:AL$142)</f>
        <v>0</v>
      </c>
      <c r="AN114" s="3963"/>
      <c r="AO114" s="3911">
        <f t="shared" ref="AO114" si="197">AE114+AI114+AM114</f>
        <v>0</v>
      </c>
      <c r="AP114" s="3921"/>
      <c r="AQ114" s="3913">
        <f t="shared" si="180"/>
        <v>1035.25</v>
      </c>
      <c r="AR114" s="3921">
        <f>+SUMIF(WRM!$C$7:$C$142,$D114,WRM!AQ$7:AQ$142)</f>
        <v>0</v>
      </c>
      <c r="AS114" s="3921">
        <f>+SUMIF(WRM!$C$7:$C$142,$D114,WRM!AR$7:AR$142)</f>
        <v>239.85</v>
      </c>
      <c r="AT114" s="3921"/>
      <c r="AU114" s="3913">
        <f t="shared" ref="AU114" si="198">+AQ114+AS114</f>
        <v>1275.0999999999999</v>
      </c>
      <c r="AV114" s="3921">
        <f>+SUMIF(WRM!$C$7:$C$142,$D114,WRM!AU$7:AU$142)</f>
        <v>0</v>
      </c>
      <c r="AW114" s="3921">
        <f>+SUMIF(WRM!$C$7:$C$142,$D114,WRM!AV$7:AV$142)</f>
        <v>0</v>
      </c>
      <c r="AX114" s="3921"/>
      <c r="AY114" s="3913">
        <f t="shared" ref="AY114" si="199">+AU114+AW114</f>
        <v>1275.0999999999999</v>
      </c>
      <c r="AZ114" s="3921">
        <f>+SUMIF(WRM!$C$7:$C$142,$D114,WRM!AY$7:AY$142)</f>
        <v>0</v>
      </c>
      <c r="BA114" s="3921">
        <f>+SUMIF(WRM!$C$7:$C$142,$D114,WRM!AZ$7:AZ$142)</f>
        <v>0</v>
      </c>
      <c r="BB114" s="3963"/>
      <c r="BC114" s="3911">
        <f t="shared" ref="BC114" si="200">AS114+AW114+BA114</f>
        <v>239.85</v>
      </c>
      <c r="BD114" s="3921"/>
      <c r="BE114" s="3905">
        <f t="shared" ref="BE114" si="201">AO114+BC114</f>
        <v>239.85</v>
      </c>
      <c r="BF114" s="3921"/>
      <c r="BG114" s="3913">
        <f t="shared" ref="BG114" si="202">+AY114+BA114</f>
        <v>1275.0999999999999</v>
      </c>
      <c r="BH114" s="23"/>
    </row>
    <row r="115" spans="1:60" ht="15" customHeight="1" thickBot="1" x14ac:dyDescent="0.35">
      <c r="A115" s="1166"/>
      <c r="B115" s="1166"/>
      <c r="C115" s="6282"/>
      <c r="D115" s="4998" t="s">
        <v>2264</v>
      </c>
      <c r="E115" s="4998"/>
      <c r="F115" s="4999"/>
      <c r="G115" s="3921">
        <f>+SUMIF(WRM!$C$7:$C$142,$D115,WRM!F$7:F$142)</f>
        <v>0</v>
      </c>
      <c r="H115" s="3921"/>
      <c r="I115" s="3921">
        <f>+SUMIF(WRM!$C$7:$C$142,$D115,WRM!H$7:H$142)</f>
        <v>264.45</v>
      </c>
      <c r="J115" s="3921">
        <f>+SUMIF(WRM!$C$7:$C$142,$D115,WRM!I$7:I$142)</f>
        <v>0</v>
      </c>
      <c r="K115" s="3910">
        <f t="shared" ref="K115" si="203">+G115+I115</f>
        <v>264.45</v>
      </c>
      <c r="L115" s="3921">
        <f>+SUMIF(WRM!$C$7:$C$142,$D115,WRM!K$7:K$142)</f>
        <v>0</v>
      </c>
      <c r="M115" s="3921">
        <f>+SUMIF(WRM!$C$7:$C$142,$D115,WRM!L$7:L$142)</f>
        <v>0</v>
      </c>
      <c r="N115" s="3921"/>
      <c r="O115" s="3911">
        <f t="shared" ref="O115" si="204">+G115+I115+M115</f>
        <v>264.45</v>
      </c>
      <c r="P115" s="3921"/>
      <c r="Q115" s="3921">
        <f>+SUMIF(WRM!$C$7:$C$142,$D115,WRM!P$7:P$142)</f>
        <v>0</v>
      </c>
      <c r="R115" s="3921">
        <f>+SUMIF(WRM!$C$7:$C$142,$D115,WRM!Q$7:Q$142)</f>
        <v>0</v>
      </c>
      <c r="S115" s="3910">
        <f t="shared" ref="S115" si="205">O115+Q115</f>
        <v>264.45</v>
      </c>
      <c r="T115" s="3921">
        <f>+SUMIF(WRM!$C$7:$C$142,$D115,WRM!S$7:S$142)</f>
        <v>0</v>
      </c>
      <c r="U115" s="3921">
        <f>+SUMIF(WRM!$C$7:$C$142,$D115,WRM!T$7:T$142)</f>
        <v>0</v>
      </c>
      <c r="V115" s="3921">
        <f>+SUMIF(WRM!$C$7:$C$142,$D115,WRM!U$7:U$142)</f>
        <v>0</v>
      </c>
      <c r="W115" s="3910">
        <f t="shared" ref="W115" si="206">S115+U115</f>
        <v>264.45</v>
      </c>
      <c r="X115" s="3921">
        <f>+SUMIF(WRM!$C$7:$C$142,$D115,WRM!W$7:W$142)</f>
        <v>0</v>
      </c>
      <c r="Y115" s="3921">
        <f>+SUMIF(WRM!$C$7:$C$142,$D115,WRM!X$7:X$142)</f>
        <v>0</v>
      </c>
      <c r="Z115" s="3921"/>
      <c r="AA115" s="3911">
        <f t="shared" ref="AA115" si="207">Q115+U115+Y115</f>
        <v>0</v>
      </c>
      <c r="AB115" s="3921"/>
      <c r="AC115" s="3912">
        <f t="shared" ref="AC115" si="208">O115+AA115</f>
        <v>264.45</v>
      </c>
      <c r="AD115" s="3921"/>
      <c r="AE115" s="3921">
        <f>+SUMIF(WRM!$C$7:$C$142,$D115,WRM!AD$7:AD$142)</f>
        <v>0</v>
      </c>
      <c r="AF115" s="3921">
        <f>+SUMIF(WRM!$C$7:$C$142,$D115,WRM!AE$7:AE$142)</f>
        <v>0</v>
      </c>
      <c r="AG115" s="3910">
        <f t="shared" ref="AG115" si="209">+AC115+AE115</f>
        <v>264.45</v>
      </c>
      <c r="AH115" s="3921">
        <f>+SUMIF(WRM!$C$7:$C$142,$D115,WRM!AG$7:AG$142)</f>
        <v>0</v>
      </c>
      <c r="AI115" s="3921">
        <f>+SUMIF(WRM!$C$7:$C$142,$D115,WRM!AH$7:AH$142)</f>
        <v>0</v>
      </c>
      <c r="AJ115" s="3921"/>
      <c r="AK115" s="3913">
        <f t="shared" ref="AK115" si="210">+AG115+AI115</f>
        <v>264.45</v>
      </c>
      <c r="AL115" s="3921">
        <f>+SUMIF(WRM!$C$7:$C$142,$D115,WRM!AK$7:AK$142)</f>
        <v>0</v>
      </c>
      <c r="AM115" s="3921">
        <f>+SUMIF(WRM!$C$7:$C$142,$D115,WRM!AL$7:AL$142)</f>
        <v>0</v>
      </c>
      <c r="AN115" s="3963"/>
      <c r="AO115" s="3911">
        <f t="shared" ref="AO115" si="211">AE115+AI115+AM115</f>
        <v>0</v>
      </c>
      <c r="AP115" s="3921"/>
      <c r="AQ115" s="3913">
        <f t="shared" si="180"/>
        <v>264.45</v>
      </c>
      <c r="AR115" s="3921">
        <f>+SUMIF(WRM!$C$7:$C$142,$D115,WRM!AQ$7:AQ$142)</f>
        <v>0</v>
      </c>
      <c r="AS115" s="3921">
        <f>+SUMIF(WRM!$C$7:$C$142,$D115,WRM!AR$7:AR$142)</f>
        <v>0</v>
      </c>
      <c r="AT115" s="3921"/>
      <c r="AU115" s="3913">
        <f t="shared" ref="AU115" si="212">+AQ115+AS115</f>
        <v>264.45</v>
      </c>
      <c r="AV115" s="3921">
        <f>+SUMIF(WRM!$C$7:$C$142,$D115,WRM!AU$7:AU$142)</f>
        <v>0</v>
      </c>
      <c r="AW115" s="3921">
        <f>+SUMIF(WRM!$C$7:$C$142,$D115,WRM!AV$7:AV$142)</f>
        <v>0</v>
      </c>
      <c r="AX115" s="3921"/>
      <c r="AY115" s="3913">
        <f t="shared" ref="AY115" si="213">+AU115+AW115</f>
        <v>264.45</v>
      </c>
      <c r="AZ115" s="3921">
        <f>+SUMIF(WRM!$C$7:$C$142,$D115,WRM!AY$7:AY$142)</f>
        <v>0</v>
      </c>
      <c r="BA115" s="3921">
        <f>+SUMIF(WRM!$C$7:$C$142,$D115,WRM!AZ$7:AZ$142)</f>
        <v>0</v>
      </c>
      <c r="BB115" s="3963"/>
      <c r="BC115" s="3911">
        <f t="shared" ref="BC115" si="214">AS115+AW115+BA115</f>
        <v>0</v>
      </c>
      <c r="BD115" s="3921"/>
      <c r="BE115" s="3905">
        <f t="shared" ref="BE115" si="215">AO115+BC115</f>
        <v>0</v>
      </c>
      <c r="BF115" s="3921"/>
      <c r="BG115" s="3913">
        <f t="shared" ref="BG115" si="216">+AY115+BA115</f>
        <v>264.45</v>
      </c>
      <c r="BH115" s="23"/>
    </row>
    <row r="116" spans="1:60" ht="15" customHeight="1" thickBot="1" x14ac:dyDescent="0.35">
      <c r="A116" s="1166"/>
      <c r="B116" s="1166"/>
      <c r="C116" s="6281"/>
      <c r="D116" s="3919" t="s">
        <v>1024</v>
      </c>
      <c r="E116" s="3919"/>
      <c r="F116" s="3920"/>
      <c r="G116" s="3921">
        <f>+SUMIF(WRM!$C$7:$C$142,$D116,WRM!F$7:F$142)</f>
        <v>45.1</v>
      </c>
      <c r="H116" s="3921"/>
      <c r="I116" s="3921">
        <f>+SUMIF(WRM!$C$7:$C$142,$D116,WRM!H$7:H$142)</f>
        <v>0</v>
      </c>
      <c r="J116" s="3921">
        <f>+SUMIF(WRM!$C$7:$C$142,$D116,WRM!I$7:I$142)</f>
        <v>0</v>
      </c>
      <c r="K116" s="3910">
        <f t="shared" si="167"/>
        <v>45.1</v>
      </c>
      <c r="L116" s="3921">
        <f>+SUMIF(WRM!$C$7:$C$142,$D116,WRM!K$7:K$142)</f>
        <v>0</v>
      </c>
      <c r="M116" s="3921">
        <f>+SUMIF(WRM!$C$7:$C$142,$D116,WRM!L$7:L$142)</f>
        <v>51.25</v>
      </c>
      <c r="N116" s="3921"/>
      <c r="O116" s="3911">
        <f t="shared" si="168"/>
        <v>96.35</v>
      </c>
      <c r="P116" s="3921"/>
      <c r="Q116" s="3921">
        <f>+SUMIF(WRM!$C$7:$C$142,$D116,WRM!P$7:P$142)</f>
        <v>38.949999999999996</v>
      </c>
      <c r="R116" s="3921">
        <f>+SUMIF(WRM!$C$7:$C$142,$D116,WRM!Q$7:Q$142)</f>
        <v>0</v>
      </c>
      <c r="S116" s="3910">
        <f t="shared" si="170"/>
        <v>135.29999999999998</v>
      </c>
      <c r="T116" s="3921">
        <f>+SUMIF(WRM!$C$7:$C$142,$D116,WRM!S$7:S$142)</f>
        <v>0</v>
      </c>
      <c r="U116" s="3921">
        <f>+SUMIF(WRM!$C$7:$C$142,$D116,WRM!T$7:T$142)</f>
        <v>170.15</v>
      </c>
      <c r="V116" s="3921">
        <f>+SUMIF(WRM!$C$7:$C$142,$D116,WRM!U$7:U$142)</f>
        <v>0</v>
      </c>
      <c r="W116" s="3910">
        <f t="shared" si="171"/>
        <v>305.45</v>
      </c>
      <c r="X116" s="3921">
        <f>+SUMIF(WRM!$C$7:$C$142,$D116,WRM!W$7:W$142)</f>
        <v>0</v>
      </c>
      <c r="Y116" s="3921">
        <f>+SUMIF(WRM!$C$7:$C$142,$D116,WRM!X$7:X$142)</f>
        <v>20.5</v>
      </c>
      <c r="Z116" s="3921"/>
      <c r="AA116" s="3911">
        <f t="shared" si="173"/>
        <v>229.6</v>
      </c>
      <c r="AB116" s="3921"/>
      <c r="AC116" s="3912">
        <f t="shared" si="174"/>
        <v>325.95</v>
      </c>
      <c r="AD116" s="3921"/>
      <c r="AE116" s="3921">
        <f>+SUMIF(WRM!$C$7:$C$142,$D116,WRM!AD$7:AD$142)</f>
        <v>63.55</v>
      </c>
      <c r="AF116" s="3921">
        <f>+SUMIF(WRM!$C$7:$C$142,$D116,WRM!AE$7:AE$142)</f>
        <v>0</v>
      </c>
      <c r="AG116" s="3910">
        <f t="shared" si="175"/>
        <v>389.5</v>
      </c>
      <c r="AH116" s="3921">
        <f>+SUMIF(WRM!$C$7:$C$142,$D116,WRM!AG$7:AG$142)</f>
        <v>0</v>
      </c>
      <c r="AI116" s="3921">
        <f>+SUMIF(WRM!$C$7:$C$142,$D116,WRM!AH$7:AH$142)</f>
        <v>24.6</v>
      </c>
      <c r="AJ116" s="3921"/>
      <c r="AK116" s="3913">
        <f t="shared" si="177"/>
        <v>414.1</v>
      </c>
      <c r="AL116" s="3921">
        <f>+SUMIF(WRM!$C$7:$C$142,$D116,WRM!AK$7:AK$142)</f>
        <v>0</v>
      </c>
      <c r="AM116" s="3921">
        <f>+SUMIF(WRM!$C$7:$C$142,$D116,WRM!AL$7:AL$142)</f>
        <v>96.35</v>
      </c>
      <c r="AN116" s="3963"/>
      <c r="AO116" s="3911">
        <f t="shared" si="179"/>
        <v>184.5</v>
      </c>
      <c r="AP116" s="3921"/>
      <c r="AQ116" s="3913">
        <f t="shared" si="180"/>
        <v>510.45000000000005</v>
      </c>
      <c r="AR116" s="3921">
        <f>+SUMIF(WRM!$C$7:$C$142,$D116,WRM!AQ$7:AQ$142)</f>
        <v>0</v>
      </c>
      <c r="AS116" s="3921">
        <f>+SUMIF(WRM!$C$7:$C$142,$D116,WRM!AR$7:AR$142)</f>
        <v>30.75</v>
      </c>
      <c r="AT116" s="3921"/>
      <c r="AU116" s="3913">
        <f t="shared" si="182"/>
        <v>541.20000000000005</v>
      </c>
      <c r="AV116" s="3921">
        <f>+SUMIF(WRM!$C$7:$C$142,$D116,WRM!AU$7:AU$142)</f>
        <v>0</v>
      </c>
      <c r="AW116" s="3921">
        <f>+SUMIF(WRM!$C$7:$C$142,$D116,WRM!AV$7:AV$142)</f>
        <v>57.4</v>
      </c>
      <c r="AX116" s="3921"/>
      <c r="AY116" s="3913">
        <f t="shared" si="184"/>
        <v>598.6</v>
      </c>
      <c r="AZ116" s="3921">
        <f>+SUMIF(WRM!$C$7:$C$142,$D116,WRM!AY$7:AY$142)</f>
        <v>0</v>
      </c>
      <c r="BA116" s="3921">
        <f>+SUMIF(WRM!$C$7:$C$142,$D116,WRM!AZ$7:AZ$142)</f>
        <v>38.950000000000003</v>
      </c>
      <c r="BB116" s="3963"/>
      <c r="BC116" s="3911">
        <f t="shared" si="186"/>
        <v>127.10000000000001</v>
      </c>
      <c r="BD116" s="3921"/>
      <c r="BE116" s="3905">
        <f t="shared" si="187"/>
        <v>311.60000000000002</v>
      </c>
      <c r="BF116" s="3921"/>
      <c r="BG116" s="3913">
        <f t="shared" si="188"/>
        <v>637.55000000000007</v>
      </c>
      <c r="BH116" s="23"/>
    </row>
    <row r="117" spans="1:60" ht="15.75" customHeight="1" thickBot="1" x14ac:dyDescent="0.35">
      <c r="C117" s="6283"/>
      <c r="D117" s="3887" t="s">
        <v>2</v>
      </c>
      <c r="E117" s="3887"/>
      <c r="F117" s="3882"/>
      <c r="G117" s="3888">
        <f>SUM(G112:G116)</f>
        <v>243.95000000000002</v>
      </c>
      <c r="H117" s="3888"/>
      <c r="I117" s="3888">
        <f>SUM(I112:I116)</f>
        <v>498.15</v>
      </c>
      <c r="J117" s="3888"/>
      <c r="K117" s="3923">
        <f t="shared" si="167"/>
        <v>742.1</v>
      </c>
      <c r="L117" s="3888"/>
      <c r="M117" s="3888">
        <f>SUM(M112:M116)</f>
        <v>838.45</v>
      </c>
      <c r="N117" s="3888"/>
      <c r="O117" s="3924">
        <f t="shared" si="168"/>
        <v>1580.5500000000002</v>
      </c>
      <c r="P117" s="3888"/>
      <c r="Q117" s="3888">
        <f t="shared" ref="Q117:AE117" si="217">SUM(Q112:Q116)</f>
        <v>2863.8500000000004</v>
      </c>
      <c r="R117" s="3888"/>
      <c r="S117" s="3923">
        <f t="shared" si="170"/>
        <v>4444.4000000000005</v>
      </c>
      <c r="T117" s="3888"/>
      <c r="U117" s="3888">
        <f t="shared" si="217"/>
        <v>5059.3999999999996</v>
      </c>
      <c r="V117" s="3888"/>
      <c r="W117" s="3923">
        <f t="shared" si="171"/>
        <v>9503.7999999999993</v>
      </c>
      <c r="X117" s="3888"/>
      <c r="Y117" s="3888">
        <f t="shared" ref="Y117" si="218">SUM(Y112:Y116)</f>
        <v>3593.65</v>
      </c>
      <c r="Z117" s="3888"/>
      <c r="AA117" s="3924">
        <f t="shared" si="173"/>
        <v>11516.9</v>
      </c>
      <c r="AB117" s="3888"/>
      <c r="AC117" s="3925">
        <f t="shared" si="174"/>
        <v>13097.45</v>
      </c>
      <c r="AD117" s="3888"/>
      <c r="AE117" s="3888">
        <f t="shared" si="217"/>
        <v>1916.75</v>
      </c>
      <c r="AF117" s="3888"/>
      <c r="AG117" s="3923">
        <f t="shared" si="175"/>
        <v>15014.2</v>
      </c>
      <c r="AH117" s="3888"/>
      <c r="AI117" s="3888">
        <f t="shared" ref="AI117" si="219">SUM(AI112:AI116)</f>
        <v>623.20000000000005</v>
      </c>
      <c r="AJ117" s="3888"/>
      <c r="AK117" s="3926">
        <f t="shared" si="177"/>
        <v>15637.400000000001</v>
      </c>
      <c r="AL117" s="3888"/>
      <c r="AM117" s="3888">
        <f t="shared" ref="AM117" si="220">SUM(AM112:AM116)</f>
        <v>4481.3000000000011</v>
      </c>
      <c r="AN117" s="3888"/>
      <c r="AO117" s="3924">
        <f t="shared" si="179"/>
        <v>7021.2500000000009</v>
      </c>
      <c r="AP117" s="3888"/>
      <c r="AQ117" s="3926">
        <f t="shared" si="180"/>
        <v>20118.700000000004</v>
      </c>
      <c r="AR117" s="3888"/>
      <c r="AS117" s="3888">
        <f t="shared" ref="AS117" si="221">SUM(AS112:AS116)</f>
        <v>5004.05</v>
      </c>
      <c r="AT117" s="3888"/>
      <c r="AU117" s="3926">
        <f t="shared" si="182"/>
        <v>25122.750000000004</v>
      </c>
      <c r="AV117" s="3888"/>
      <c r="AW117" s="3888">
        <f t="shared" ref="AW117" si="222">SUM(AW112:AW116)</f>
        <v>479.69999999999993</v>
      </c>
      <c r="AX117" s="3888"/>
      <c r="AY117" s="3926">
        <f t="shared" si="184"/>
        <v>25602.450000000004</v>
      </c>
      <c r="AZ117" s="3888"/>
      <c r="BA117" s="3888">
        <f t="shared" ref="BA117" si="223">SUM(BA112:BA116)</f>
        <v>366.95</v>
      </c>
      <c r="BB117" s="3888"/>
      <c r="BC117" s="3924">
        <f t="shared" si="186"/>
        <v>5850.7</v>
      </c>
      <c r="BD117" s="3888"/>
      <c r="BE117" s="3905">
        <f t="shared" si="187"/>
        <v>12871.95</v>
      </c>
      <c r="BF117" s="3888"/>
      <c r="BG117" s="3926">
        <f t="shared" si="188"/>
        <v>25969.400000000005</v>
      </c>
      <c r="BH117" s="23"/>
    </row>
    <row r="118" spans="1:60" ht="21.75" customHeight="1" thickBot="1" x14ac:dyDescent="0.35">
      <c r="C118" s="5022"/>
      <c r="D118" s="5023" t="s">
        <v>1429</v>
      </c>
      <c r="E118" s="5024"/>
      <c r="F118" s="5024"/>
      <c r="G118" s="3921">
        <f>+G111-G117</f>
        <v>-1.0203393685515039E-11</v>
      </c>
      <c r="H118" s="3921">
        <f t="shared" ref="H118:AK118" si="224">+H111-H117</f>
        <v>0</v>
      </c>
      <c r="I118" s="3921">
        <f t="shared" si="224"/>
        <v>5.1159076974727213E-12</v>
      </c>
      <c r="J118" s="3921">
        <f t="shared" si="224"/>
        <v>0</v>
      </c>
      <c r="K118" s="3921">
        <f t="shared" si="224"/>
        <v>-5.1159076974727213E-12</v>
      </c>
      <c r="L118" s="3921">
        <f t="shared" si="224"/>
        <v>0</v>
      </c>
      <c r="M118" s="3921">
        <f t="shared" si="224"/>
        <v>-1.0231815394945443E-11</v>
      </c>
      <c r="N118" s="3921">
        <f t="shared" si="224"/>
        <v>0</v>
      </c>
      <c r="O118" s="3921">
        <f t="shared" si="224"/>
        <v>-1.546140993013978E-11</v>
      </c>
      <c r="P118" s="3921">
        <f t="shared" si="224"/>
        <v>0</v>
      </c>
      <c r="Q118" s="3921">
        <f t="shared" si="224"/>
        <v>-9.0949470177292824E-12</v>
      </c>
      <c r="R118" s="3921">
        <f t="shared" si="224"/>
        <v>0</v>
      </c>
      <c r="S118" s="3921">
        <f t="shared" si="224"/>
        <v>-2.4556356947869062E-11</v>
      </c>
      <c r="T118" s="3921">
        <f t="shared" si="224"/>
        <v>0</v>
      </c>
      <c r="U118" s="3921">
        <f t="shared" si="224"/>
        <v>0</v>
      </c>
      <c r="V118" s="3921">
        <f t="shared" si="224"/>
        <v>0</v>
      </c>
      <c r="W118" s="3921">
        <f t="shared" si="224"/>
        <v>-2.1827872842550278E-11</v>
      </c>
      <c r="X118" s="3921">
        <f t="shared" si="224"/>
        <v>0</v>
      </c>
      <c r="Y118" s="3921">
        <f t="shared" si="224"/>
        <v>8.6401996668428183E-12</v>
      </c>
      <c r="Z118" s="3921">
        <f t="shared" si="224"/>
        <v>0</v>
      </c>
      <c r="AA118" s="3921">
        <f t="shared" si="224"/>
        <v>0</v>
      </c>
      <c r="AB118" s="3921">
        <f t="shared" si="224"/>
        <v>0</v>
      </c>
      <c r="AC118" s="3921">
        <f t="shared" si="224"/>
        <v>-1.4551915228366852E-11</v>
      </c>
      <c r="AD118" s="3921">
        <f t="shared" si="224"/>
        <v>0</v>
      </c>
      <c r="AE118" s="3921">
        <f t="shared" si="224"/>
        <v>3.637978807091713E-12</v>
      </c>
      <c r="AF118" s="3921">
        <f t="shared" si="224"/>
        <v>0</v>
      </c>
      <c r="AG118" s="3921">
        <f t="shared" si="224"/>
        <v>0</v>
      </c>
      <c r="AH118" s="3921">
        <f t="shared" si="224"/>
        <v>0</v>
      </c>
      <c r="AI118" s="3921">
        <f t="shared" si="224"/>
        <v>4.3200998334214091E-12</v>
      </c>
      <c r="AJ118" s="3921">
        <f t="shared" si="224"/>
        <v>0</v>
      </c>
      <c r="AK118" s="3921">
        <f t="shared" si="224"/>
        <v>0</v>
      </c>
      <c r="AL118" s="3921">
        <f t="shared" ref="AL118:AQ118" si="225">+AL111-AL117</f>
        <v>0</v>
      </c>
      <c r="AM118" s="3921">
        <f t="shared" si="225"/>
        <v>9.0949470177292824E-12</v>
      </c>
      <c r="AN118" s="3963"/>
      <c r="AO118" s="3921">
        <f t="shared" ref="AO118" si="226">+AO111-AO117</f>
        <v>1.7280399333685637E-11</v>
      </c>
      <c r="AP118" s="3921">
        <f t="shared" si="225"/>
        <v>0</v>
      </c>
      <c r="AQ118" s="3921">
        <f t="shared" si="225"/>
        <v>0</v>
      </c>
      <c r="AR118" s="3921">
        <f t="shared" ref="AR118:AU118" si="227">+AR111-AR117</f>
        <v>0</v>
      </c>
      <c r="AS118" s="3921">
        <f t="shared" si="227"/>
        <v>1.0004441719502211E-11</v>
      </c>
      <c r="AT118" s="3921">
        <f t="shared" si="227"/>
        <v>0</v>
      </c>
      <c r="AU118" s="3921">
        <f t="shared" si="227"/>
        <v>0</v>
      </c>
      <c r="AV118" s="3921">
        <f t="shared" ref="AV118:AY118" si="228">+AV111-AV117</f>
        <v>0</v>
      </c>
      <c r="AW118" s="3921">
        <f t="shared" si="228"/>
        <v>-2.8421709430404007E-12</v>
      </c>
      <c r="AX118" s="3921">
        <f t="shared" si="228"/>
        <v>0</v>
      </c>
      <c r="AY118" s="3921">
        <f t="shared" si="228"/>
        <v>0</v>
      </c>
      <c r="AZ118" s="3921">
        <f t="shared" ref="AZ118:BG118" si="229">+AZ111-AZ117</f>
        <v>0</v>
      </c>
      <c r="BA118" s="3921">
        <f t="shared" si="229"/>
        <v>278.80000000000729</v>
      </c>
      <c r="BB118" s="3963"/>
      <c r="BC118" s="3921">
        <f t="shared" ref="BC118:BE118" si="230">+BC111-BC117</f>
        <v>278.80000000001473</v>
      </c>
      <c r="BD118" s="3921">
        <f t="shared" si="230"/>
        <v>0</v>
      </c>
      <c r="BE118" s="3921">
        <f t="shared" si="230"/>
        <v>278.80000000003201</v>
      </c>
      <c r="BF118" s="3921">
        <f t="shared" si="229"/>
        <v>0</v>
      </c>
      <c r="BG118" s="3921">
        <f t="shared" si="229"/>
        <v>278.80000000001382</v>
      </c>
      <c r="BH118" s="23"/>
    </row>
    <row r="119" spans="1:60" ht="21.75" customHeight="1" thickBot="1" x14ac:dyDescent="0.35">
      <c r="E119"/>
      <c r="K119"/>
      <c r="O119"/>
      <c r="S119"/>
      <c r="W119"/>
      <c r="X119"/>
      <c r="Y119"/>
      <c r="AA119"/>
      <c r="AB119"/>
      <c r="AC119"/>
      <c r="AG119"/>
      <c r="AK119"/>
      <c r="BH119" s="23"/>
    </row>
    <row r="120" spans="1:60" ht="18.75" customHeight="1" thickBot="1" x14ac:dyDescent="0.35">
      <c r="C120" s="6277" t="s">
        <v>91</v>
      </c>
      <c r="D120" s="3897" t="s">
        <v>1435</v>
      </c>
      <c r="E120" s="3897"/>
      <c r="F120" s="3880"/>
      <c r="G120" s="3898">
        <f>+BM!F56</f>
        <v>74661.040000000066</v>
      </c>
      <c r="H120" s="3898"/>
      <c r="I120" s="3898">
        <f>+BM!H56</f>
        <v>33192.920000000035</v>
      </c>
      <c r="J120" s="3898"/>
      <c r="K120" s="3903">
        <f t="shared" ref="K120:K121" si="231">+G120+I120</f>
        <v>107853.96000000011</v>
      </c>
      <c r="L120" s="3898"/>
      <c r="M120" s="3898">
        <f>+BM!L56</f>
        <v>73644.015000000058</v>
      </c>
      <c r="N120" s="3898"/>
      <c r="O120" s="3904">
        <f t="shared" ref="O120:O121" si="232">+G120+I120+M120</f>
        <v>181497.97500000015</v>
      </c>
      <c r="P120" s="3898"/>
      <c r="Q120" s="3898">
        <f>+BM!P56</f>
        <v>88056.490000000107</v>
      </c>
      <c r="R120" s="3898"/>
      <c r="S120" s="3903">
        <f t="shared" ref="S120:S121" si="233">O120+Q120</f>
        <v>269554.46500000026</v>
      </c>
      <c r="T120" s="3898"/>
      <c r="U120" s="3898">
        <f>+BM!T56</f>
        <v>75853.695000000036</v>
      </c>
      <c r="V120" s="3898"/>
      <c r="W120" s="3903">
        <f t="shared" ref="W120:W121" si="234">S120+U120</f>
        <v>345408.16000000027</v>
      </c>
      <c r="X120" s="3898"/>
      <c r="Y120" s="3898">
        <f>+BM!X56</f>
        <v>76319.035000000062</v>
      </c>
      <c r="Z120" s="3898"/>
      <c r="AA120" s="3904">
        <f t="shared" ref="AA120:AA121" si="235">Q120+U120+Y120</f>
        <v>240229.2200000002</v>
      </c>
      <c r="AB120" s="3898"/>
      <c r="AC120" s="3905">
        <f t="shared" ref="AC120:AC121" si="236">O120+AA120</f>
        <v>421727.19500000036</v>
      </c>
      <c r="AD120" s="3898"/>
      <c r="AE120" s="3898">
        <f>+BM!AD56</f>
        <v>50950.275000000081</v>
      </c>
      <c r="AF120" s="3898"/>
      <c r="AG120" s="3903">
        <f t="shared" ref="AG120:AG121" si="237">+AC120+AE120</f>
        <v>472677.47000000044</v>
      </c>
      <c r="AH120" s="3898"/>
      <c r="AI120" s="3898">
        <f>+BM!AH56</f>
        <v>69720.765000000058</v>
      </c>
      <c r="AJ120" s="3898"/>
      <c r="AK120" s="3906">
        <f t="shared" ref="AK120:AK121" si="238">+AG120+AI120</f>
        <v>542398.23500000045</v>
      </c>
      <c r="AL120" s="3898"/>
      <c r="AM120" s="3898">
        <f>+BM!AL56</f>
        <v>81616.765000000145</v>
      </c>
      <c r="AN120" s="3898"/>
      <c r="AO120" s="3904">
        <f t="shared" ref="AO120:AO121" si="239">AE120+AI120+AM120</f>
        <v>202287.80500000028</v>
      </c>
      <c r="AP120" s="3898"/>
      <c r="AQ120" s="3906">
        <f>+AK120+AM120</f>
        <v>624015.00000000058</v>
      </c>
      <c r="AR120" s="3898"/>
      <c r="AS120" s="3898">
        <f>+BM!AR56</f>
        <v>85804.600000000122</v>
      </c>
      <c r="AT120" s="3898"/>
      <c r="AU120" s="3906">
        <f t="shared" ref="AU120:AU121" si="240">+AQ120+AS120</f>
        <v>709819.60000000068</v>
      </c>
      <c r="AV120" s="3898"/>
      <c r="AW120" s="3898">
        <f>+BM!AV56</f>
        <v>74058.320000000094</v>
      </c>
      <c r="AX120" s="3898"/>
      <c r="AY120" s="3906">
        <f t="shared" ref="AY120:AY121" si="241">+AU120+AW120</f>
        <v>783877.92000000074</v>
      </c>
      <c r="AZ120" s="3898"/>
      <c r="BA120" s="3898">
        <f>+BM!AZ56</f>
        <v>81200</v>
      </c>
      <c r="BB120" s="3898"/>
      <c r="BC120" s="3904">
        <f t="shared" ref="BC120:BC121" si="242">AS120+AW120+BA120</f>
        <v>241062.92000000022</v>
      </c>
      <c r="BD120" s="3898"/>
      <c r="BE120" s="3905">
        <f t="shared" ref="BE120:BE121" si="243">AO120+BC120</f>
        <v>443350.7250000005</v>
      </c>
      <c r="BF120" s="3898"/>
      <c r="BG120" s="3906">
        <f t="shared" ref="BG120:BG121" si="244">+AY120+BA120</f>
        <v>865077.92000000074</v>
      </c>
      <c r="BH120" s="23"/>
    </row>
    <row r="121" spans="1:60" ht="18.75" customHeight="1" x14ac:dyDescent="0.3">
      <c r="C121" s="6278"/>
      <c r="D121" s="3907" t="s">
        <v>2175</v>
      </c>
      <c r="E121" s="3907"/>
      <c r="F121" s="3881"/>
      <c r="G121" s="3893">
        <f>+G46</f>
        <v>74661.040000000066</v>
      </c>
      <c r="H121" s="3893"/>
      <c r="I121" s="3893">
        <f>+I46</f>
        <v>33192.920000000035</v>
      </c>
      <c r="J121" s="3893"/>
      <c r="K121" s="3910">
        <f t="shared" si="231"/>
        <v>107853.96000000011</v>
      </c>
      <c r="L121" s="3893"/>
      <c r="M121" s="3893">
        <f>+M46</f>
        <v>73644.015000000058</v>
      </c>
      <c r="N121" s="3893"/>
      <c r="O121" s="3911">
        <f t="shared" si="232"/>
        <v>181497.97500000015</v>
      </c>
      <c r="P121" s="3893"/>
      <c r="Q121" s="3893">
        <f>+Q46</f>
        <v>88056.490000000093</v>
      </c>
      <c r="R121" s="3893"/>
      <c r="S121" s="3910">
        <f t="shared" si="233"/>
        <v>269554.46500000026</v>
      </c>
      <c r="T121" s="3893"/>
      <c r="U121" s="3893">
        <f>+U46</f>
        <v>75853.695000000051</v>
      </c>
      <c r="V121" s="3893"/>
      <c r="W121" s="3910">
        <f t="shared" si="234"/>
        <v>345408.16000000032</v>
      </c>
      <c r="X121" s="3893"/>
      <c r="Y121" s="3893">
        <f>+Y46</f>
        <v>76319.035000000076</v>
      </c>
      <c r="Z121" s="3893"/>
      <c r="AA121" s="3911">
        <f t="shared" si="235"/>
        <v>240229.2200000002</v>
      </c>
      <c r="AB121" s="3893"/>
      <c r="AC121" s="3912">
        <f t="shared" si="236"/>
        <v>421727.19500000036</v>
      </c>
      <c r="AD121" s="3893"/>
      <c r="AE121" s="3893">
        <f>+AE46</f>
        <v>50950.275000000074</v>
      </c>
      <c r="AF121" s="3893"/>
      <c r="AG121" s="3910">
        <f t="shared" si="237"/>
        <v>472677.47000000044</v>
      </c>
      <c r="AH121" s="3893"/>
      <c r="AI121" s="3893">
        <f>+AI46</f>
        <v>69720.765000000058</v>
      </c>
      <c r="AJ121" s="3893"/>
      <c r="AK121" s="3913">
        <f t="shared" si="238"/>
        <v>542398.23500000045</v>
      </c>
      <c r="AL121" s="3893"/>
      <c r="AM121" s="3893">
        <f>+AM46</f>
        <v>81616.765000000145</v>
      </c>
      <c r="AN121" s="3893"/>
      <c r="AO121" s="3911">
        <f t="shared" si="239"/>
        <v>202287.80500000028</v>
      </c>
      <c r="AP121" s="3893"/>
      <c r="AQ121" s="3913">
        <f>+AK121+AM121</f>
        <v>624015.00000000058</v>
      </c>
      <c r="AR121" s="3893"/>
      <c r="AS121" s="3893">
        <f>+AS46</f>
        <v>85804.600000000122</v>
      </c>
      <c r="AT121" s="3893"/>
      <c r="AU121" s="3913">
        <f t="shared" si="240"/>
        <v>709819.60000000068</v>
      </c>
      <c r="AV121" s="3893"/>
      <c r="AW121" s="3893">
        <f>+AW46</f>
        <v>74058.320000000094</v>
      </c>
      <c r="AX121" s="3893"/>
      <c r="AY121" s="3913">
        <f t="shared" si="241"/>
        <v>783877.92000000074</v>
      </c>
      <c r="AZ121" s="3893"/>
      <c r="BA121" s="3893">
        <f>+BA46</f>
        <v>81200</v>
      </c>
      <c r="BB121" s="3893"/>
      <c r="BC121" s="3911">
        <f t="shared" si="242"/>
        <v>241062.92000000022</v>
      </c>
      <c r="BD121" s="3893"/>
      <c r="BE121" s="3905">
        <f t="shared" si="243"/>
        <v>443350.7250000005</v>
      </c>
      <c r="BF121" s="3893"/>
      <c r="BG121" s="3913">
        <f t="shared" si="244"/>
        <v>865077.92000000074</v>
      </c>
      <c r="BH121" s="23"/>
    </row>
    <row r="122" spans="1:60" ht="19.5" customHeight="1" thickBot="1" x14ac:dyDescent="0.35">
      <c r="C122" s="6279"/>
      <c r="D122" s="3900" t="s">
        <v>1436</v>
      </c>
      <c r="E122" s="3900"/>
      <c r="F122" s="3882"/>
      <c r="G122" s="3901">
        <f>+G121/G120</f>
        <v>1</v>
      </c>
      <c r="H122" s="3901"/>
      <c r="I122" s="3901">
        <f>+I121/I120</f>
        <v>1</v>
      </c>
      <c r="J122" s="3901"/>
      <c r="K122" s="3889">
        <f t="shared" ref="K122:AG122" si="245">+K121/K120</f>
        <v>1</v>
      </c>
      <c r="L122" s="3901"/>
      <c r="M122" s="3901">
        <f>+M121/M120</f>
        <v>1</v>
      </c>
      <c r="N122" s="3901"/>
      <c r="O122" s="3890">
        <f t="shared" si="245"/>
        <v>1</v>
      </c>
      <c r="P122" s="3901"/>
      <c r="Q122" s="3901">
        <f t="shared" si="245"/>
        <v>0.99999999999999989</v>
      </c>
      <c r="R122" s="3901"/>
      <c r="S122" s="3889">
        <f t="shared" si="245"/>
        <v>1</v>
      </c>
      <c r="T122" s="3901"/>
      <c r="U122" s="3901">
        <f t="shared" si="245"/>
        <v>1.0000000000000002</v>
      </c>
      <c r="V122" s="3901"/>
      <c r="W122" s="3889">
        <f t="shared" si="245"/>
        <v>1.0000000000000002</v>
      </c>
      <c r="X122" s="3901"/>
      <c r="Y122" s="3901">
        <f t="shared" ref="Y122" si="246">+Y121/Y120</f>
        <v>1.0000000000000002</v>
      </c>
      <c r="Z122" s="3901"/>
      <c r="AA122" s="3890">
        <f t="shared" si="245"/>
        <v>1</v>
      </c>
      <c r="AB122" s="3901"/>
      <c r="AC122" s="3891">
        <f t="shared" si="245"/>
        <v>1</v>
      </c>
      <c r="AD122" s="3901"/>
      <c r="AE122" s="3901">
        <f t="shared" si="245"/>
        <v>0.99999999999999989</v>
      </c>
      <c r="AF122" s="3901"/>
      <c r="AG122" s="3889">
        <f t="shared" si="245"/>
        <v>1</v>
      </c>
      <c r="AH122" s="3901"/>
      <c r="AI122" s="3901">
        <f t="shared" ref="AI122" si="247">+AI121/AI120</f>
        <v>1</v>
      </c>
      <c r="AJ122" s="3901"/>
      <c r="AK122" s="3930">
        <f t="shared" ref="AK122" si="248">+AK121/AK120</f>
        <v>1</v>
      </c>
      <c r="AL122" s="3901"/>
      <c r="AM122" s="3901">
        <f t="shared" ref="AM122" si="249">+AM121/AM120</f>
        <v>1</v>
      </c>
      <c r="AN122" s="3901"/>
      <c r="AO122" s="3890">
        <f t="shared" ref="AO122" si="250">+AO121/AO120</f>
        <v>1</v>
      </c>
      <c r="AP122" s="3901"/>
      <c r="AQ122" s="3930">
        <f t="shared" ref="AQ122" si="251">+AQ121/AQ120</f>
        <v>1</v>
      </c>
      <c r="AR122" s="3901"/>
      <c r="AS122" s="3901">
        <f t="shared" ref="AS122" si="252">+AS121/AS120</f>
        <v>1</v>
      </c>
      <c r="AT122" s="3901"/>
      <c r="AU122" s="3930">
        <f t="shared" ref="AU122" si="253">+AU121/AU120</f>
        <v>1</v>
      </c>
      <c r="AV122" s="3901"/>
      <c r="AW122" s="3901">
        <f t="shared" ref="AW122" si="254">+AW121/AW120</f>
        <v>1</v>
      </c>
      <c r="AX122" s="3901"/>
      <c r="AY122" s="3930">
        <f t="shared" ref="AY122" si="255">+AY121/AY120</f>
        <v>1</v>
      </c>
      <c r="AZ122" s="3901"/>
      <c r="BA122" s="3901">
        <f t="shared" ref="BA122" si="256">+BA121/BA120</f>
        <v>1</v>
      </c>
      <c r="BB122" s="3901"/>
      <c r="BC122" s="3890">
        <f t="shared" ref="BC122" si="257">+BC121/BC120</f>
        <v>1</v>
      </c>
      <c r="BD122" s="3901"/>
      <c r="BE122" s="3891">
        <f t="shared" ref="BE122" si="258">+BE121/BE120</f>
        <v>1</v>
      </c>
      <c r="BF122" s="3901"/>
      <c r="BG122" s="3930">
        <f t="shared" ref="BG122" si="259">+BG121/BG120</f>
        <v>1</v>
      </c>
      <c r="BH122" s="23"/>
    </row>
    <row r="123" spans="1:60" ht="15" thickBot="1" x14ac:dyDescent="0.35">
      <c r="E123"/>
      <c r="K123"/>
      <c r="O123"/>
      <c r="S123"/>
      <c r="W123"/>
      <c r="X123"/>
      <c r="Y123"/>
      <c r="AA123"/>
      <c r="AB123"/>
      <c r="AC123"/>
      <c r="AG123"/>
      <c r="AK123"/>
      <c r="BH123" s="23"/>
    </row>
    <row r="124" spans="1:60" ht="18.75" customHeight="1" thickBot="1" x14ac:dyDescent="0.35">
      <c r="C124" s="6277" t="s">
        <v>109</v>
      </c>
      <c r="D124" s="3897" t="s">
        <v>1435</v>
      </c>
      <c r="E124" s="3897"/>
      <c r="F124" s="3880"/>
      <c r="G124" s="3898">
        <f>+USM!G121</f>
        <v>52520.054000000011</v>
      </c>
      <c r="H124" s="3898"/>
      <c r="I124" s="3898">
        <f>+USM!I121</f>
        <v>10535.918</v>
      </c>
      <c r="J124" s="3898"/>
      <c r="K124" s="3903">
        <f t="shared" ref="K124:K125" si="260">+G124+I124</f>
        <v>63055.972000000009</v>
      </c>
      <c r="L124" s="3898"/>
      <c r="M124" s="3898">
        <f>+USM!M121</f>
        <v>58674.632999999994</v>
      </c>
      <c r="N124" s="3899"/>
      <c r="O124" s="3904">
        <f t="shared" ref="O124:O125" si="261">+G124+I124+M124</f>
        <v>121730.60500000001</v>
      </c>
      <c r="P124" s="3899"/>
      <c r="Q124" s="3898">
        <f>+USM!Q121</f>
        <v>57327.387000000002</v>
      </c>
      <c r="R124" s="3899"/>
      <c r="S124" s="3903">
        <f t="shared" ref="S124:S125" si="262">O124+Q124</f>
        <v>179057.99200000003</v>
      </c>
      <c r="T124" s="3899"/>
      <c r="U124" s="3898">
        <f>+USM!U121</f>
        <v>44406.292999999998</v>
      </c>
      <c r="V124" s="3898"/>
      <c r="W124" s="3903">
        <f t="shared" ref="W124:W125" si="263">S124+U124</f>
        <v>223464.28500000003</v>
      </c>
      <c r="X124" s="3898"/>
      <c r="Y124" s="3898">
        <f>+USM!Y121</f>
        <v>49996.715999999993</v>
      </c>
      <c r="Z124" s="3899"/>
      <c r="AA124" s="3904">
        <f t="shared" ref="AA124:AA125" si="264">Q124+U124+Y124</f>
        <v>151730.39599999998</v>
      </c>
      <c r="AB124" s="3899"/>
      <c r="AC124" s="3905">
        <f t="shared" ref="AC124:AC125" si="265">O124+AA124</f>
        <v>273461.00099999999</v>
      </c>
      <c r="AD124" s="3899"/>
      <c r="AE124" s="3898">
        <f>+USM!AE121</f>
        <v>29659.897000000008</v>
      </c>
      <c r="AF124" s="3899"/>
      <c r="AG124" s="3903">
        <f t="shared" ref="AG124:AG125" si="266">+AC124+AE124</f>
        <v>303120.89799999999</v>
      </c>
      <c r="AH124" s="3899"/>
      <c r="AI124" s="3898">
        <f>+USM!AI121</f>
        <v>49060.044000000016</v>
      </c>
      <c r="AJ124" s="3899"/>
      <c r="AK124" s="3906">
        <f t="shared" ref="AK124:AK125" si="267">+AG124+AI124</f>
        <v>352180.94199999998</v>
      </c>
      <c r="AL124" s="3899"/>
      <c r="AM124" s="3898">
        <f>+USM!AM121</f>
        <v>52987.18</v>
      </c>
      <c r="AN124" s="3898"/>
      <c r="AO124" s="3904">
        <f t="shared" ref="AO124:AO125" si="268">AE124+AI124+AM124</f>
        <v>131707.12100000001</v>
      </c>
      <c r="AP124" s="3899"/>
      <c r="AQ124" s="3906">
        <f>+AK124+AM124</f>
        <v>405168.12199999997</v>
      </c>
      <c r="AR124" s="3899"/>
      <c r="AS124" s="3898">
        <f>+USM!AS121</f>
        <v>56169.977999999988</v>
      </c>
      <c r="AT124" s="3899"/>
      <c r="AU124" s="3906">
        <f t="shared" ref="AU124:AU125" si="269">+AQ124+AS124</f>
        <v>461338.1</v>
      </c>
      <c r="AV124" s="3899"/>
      <c r="AW124" s="3898">
        <f>+USM!AW121</f>
        <v>54279.397999999994</v>
      </c>
      <c r="AX124" s="3899"/>
      <c r="AY124" s="3906">
        <f t="shared" ref="AY124:AY125" si="270">+AU124+AW124</f>
        <v>515617.49799999996</v>
      </c>
      <c r="AZ124" s="3899"/>
      <c r="BA124" s="3898">
        <f>+USM!BA121</f>
        <v>63120.145999999993</v>
      </c>
      <c r="BB124" s="3898"/>
      <c r="BC124" s="3904">
        <f t="shared" ref="BC124:BC125" si="271">AS124+AW124+BA124</f>
        <v>173569.522</v>
      </c>
      <c r="BD124" s="3899"/>
      <c r="BE124" s="3905">
        <f t="shared" ref="BE124:BE125" si="272">AO124+BC124</f>
        <v>305276.64300000004</v>
      </c>
      <c r="BF124" s="3899"/>
      <c r="BG124" s="3906">
        <f t="shared" ref="BG124:BG125" si="273">+AY124+BA124</f>
        <v>578737.64399999997</v>
      </c>
      <c r="BH124" s="23"/>
    </row>
    <row r="125" spans="1:60" ht="18.75" customHeight="1" x14ac:dyDescent="0.3">
      <c r="C125" s="6278"/>
      <c r="D125" s="3907" t="s">
        <v>2175</v>
      </c>
      <c r="E125" s="3907"/>
      <c r="F125" s="3881"/>
      <c r="G125" s="3893">
        <f>+G54</f>
        <v>52520.054000000004</v>
      </c>
      <c r="H125" s="3893"/>
      <c r="I125" s="3893">
        <f>+I54</f>
        <v>10535.918</v>
      </c>
      <c r="J125" s="3893"/>
      <c r="K125" s="3910">
        <f t="shared" si="260"/>
        <v>63055.972000000002</v>
      </c>
      <c r="L125" s="3893"/>
      <c r="M125" s="3893">
        <f>+M54</f>
        <v>58674.632999999994</v>
      </c>
      <c r="N125" s="3893"/>
      <c r="O125" s="3911">
        <f t="shared" si="261"/>
        <v>121730.605</v>
      </c>
      <c r="P125" s="3893"/>
      <c r="Q125" s="3893">
        <f>+Q54</f>
        <v>57327.387000000002</v>
      </c>
      <c r="R125" s="3893"/>
      <c r="S125" s="3910">
        <f t="shared" si="262"/>
        <v>179057.992</v>
      </c>
      <c r="T125" s="3893"/>
      <c r="U125" s="3893">
        <f>+U54</f>
        <v>44406.292999999991</v>
      </c>
      <c r="V125" s="3893"/>
      <c r="W125" s="3910">
        <f t="shared" si="263"/>
        <v>223464.28499999997</v>
      </c>
      <c r="X125" s="3893"/>
      <c r="Y125" s="3893">
        <f>+Y54</f>
        <v>49996.715999999993</v>
      </c>
      <c r="Z125" s="3893"/>
      <c r="AA125" s="3911">
        <f t="shared" si="264"/>
        <v>151730.39599999998</v>
      </c>
      <c r="AB125" s="3893"/>
      <c r="AC125" s="3912">
        <f t="shared" si="265"/>
        <v>273461.00099999999</v>
      </c>
      <c r="AD125" s="3893"/>
      <c r="AE125" s="3893">
        <f>+AE54</f>
        <v>29659.897000000004</v>
      </c>
      <c r="AF125" s="3893"/>
      <c r="AG125" s="3910">
        <f t="shared" si="266"/>
        <v>303120.89799999999</v>
      </c>
      <c r="AH125" s="3893"/>
      <c r="AI125" s="3893">
        <f>+AI54</f>
        <v>49060.043999999987</v>
      </c>
      <c r="AJ125" s="3893"/>
      <c r="AK125" s="3913">
        <f t="shared" si="267"/>
        <v>352180.94199999998</v>
      </c>
      <c r="AL125" s="3893"/>
      <c r="AM125" s="3893">
        <f>+AM54</f>
        <v>52987.179999999993</v>
      </c>
      <c r="AN125" s="3893"/>
      <c r="AO125" s="3911">
        <f t="shared" si="268"/>
        <v>131707.12099999998</v>
      </c>
      <c r="AP125" s="3893"/>
      <c r="AQ125" s="3913">
        <f>+AK125+AM125</f>
        <v>405168.12199999997</v>
      </c>
      <c r="AR125" s="3893"/>
      <c r="AS125" s="3893">
        <f>+AS54</f>
        <v>56169.977999999988</v>
      </c>
      <c r="AT125" s="3893"/>
      <c r="AU125" s="3913">
        <f t="shared" si="269"/>
        <v>461338.1</v>
      </c>
      <c r="AV125" s="3893"/>
      <c r="AW125" s="3893">
        <f>+AW54</f>
        <v>54279.398000000008</v>
      </c>
      <c r="AX125" s="3893"/>
      <c r="AY125" s="3913">
        <f t="shared" si="270"/>
        <v>515617.49799999996</v>
      </c>
      <c r="AZ125" s="3893"/>
      <c r="BA125" s="3893">
        <f>+BA54</f>
        <v>63120.145999999993</v>
      </c>
      <c r="BB125" s="3893"/>
      <c r="BC125" s="3911">
        <f t="shared" si="271"/>
        <v>173569.522</v>
      </c>
      <c r="BD125" s="3893"/>
      <c r="BE125" s="3905">
        <f t="shared" si="272"/>
        <v>305276.64299999998</v>
      </c>
      <c r="BF125" s="3893"/>
      <c r="BG125" s="3913">
        <f t="shared" si="273"/>
        <v>578737.64399999997</v>
      </c>
      <c r="BH125" s="23"/>
    </row>
    <row r="126" spans="1:60" ht="19.5" customHeight="1" thickBot="1" x14ac:dyDescent="0.35">
      <c r="C126" s="6279"/>
      <c r="D126" s="3900" t="s">
        <v>1436</v>
      </c>
      <c r="E126" s="3900"/>
      <c r="F126" s="3882"/>
      <c r="G126" s="3901">
        <f>+G125/G124</f>
        <v>0.99999999999999989</v>
      </c>
      <c r="H126" s="3901"/>
      <c r="I126" s="3901">
        <f>+I125/I124</f>
        <v>1</v>
      </c>
      <c r="J126" s="3901"/>
      <c r="K126" s="3889">
        <f t="shared" ref="K126:AG126" si="274">+K125/K124</f>
        <v>0.99999999999999989</v>
      </c>
      <c r="L126" s="3901"/>
      <c r="M126" s="3901">
        <f>+M125/M124</f>
        <v>1</v>
      </c>
      <c r="N126" s="3901"/>
      <c r="O126" s="3890">
        <f t="shared" si="274"/>
        <v>0.99999999999999989</v>
      </c>
      <c r="P126" s="3901"/>
      <c r="Q126" s="3901">
        <f t="shared" si="274"/>
        <v>1</v>
      </c>
      <c r="R126" s="3901"/>
      <c r="S126" s="3889">
        <f t="shared" si="274"/>
        <v>0.99999999999999989</v>
      </c>
      <c r="T126" s="3901"/>
      <c r="U126" s="3901">
        <f t="shared" si="274"/>
        <v>0.99999999999999989</v>
      </c>
      <c r="V126" s="3901"/>
      <c r="W126" s="3889">
        <f t="shared" si="274"/>
        <v>0.99999999999999978</v>
      </c>
      <c r="X126" s="3901"/>
      <c r="Y126" s="3901">
        <f t="shared" ref="Y126" si="275">+Y125/Y124</f>
        <v>1</v>
      </c>
      <c r="Z126" s="3901"/>
      <c r="AA126" s="3890">
        <f t="shared" si="274"/>
        <v>1</v>
      </c>
      <c r="AB126" s="3901"/>
      <c r="AC126" s="3891">
        <f t="shared" si="274"/>
        <v>1</v>
      </c>
      <c r="AD126" s="3901"/>
      <c r="AE126" s="3901">
        <f t="shared" si="274"/>
        <v>0.99999999999999989</v>
      </c>
      <c r="AF126" s="3901"/>
      <c r="AG126" s="3889">
        <f t="shared" si="274"/>
        <v>1</v>
      </c>
      <c r="AH126" s="3901"/>
      <c r="AI126" s="3901">
        <f t="shared" ref="AI126" si="276">+AI125/AI124</f>
        <v>0.99999999999999944</v>
      </c>
      <c r="AJ126" s="3901"/>
      <c r="AK126" s="3930">
        <f t="shared" ref="AK126" si="277">+AK125/AK124</f>
        <v>1</v>
      </c>
      <c r="AL126" s="3901"/>
      <c r="AM126" s="3901">
        <f t="shared" ref="AM126" si="278">+AM125/AM124</f>
        <v>0.99999999999999989</v>
      </c>
      <c r="AN126" s="3901"/>
      <c r="AO126" s="3890">
        <f t="shared" ref="AO126" si="279">+AO125/AO124</f>
        <v>0.99999999999999978</v>
      </c>
      <c r="AP126" s="3901"/>
      <c r="AQ126" s="3930">
        <f t="shared" ref="AQ126" si="280">+AQ125/AQ124</f>
        <v>1</v>
      </c>
      <c r="AR126" s="3901"/>
      <c r="AS126" s="3901">
        <f t="shared" ref="AS126" si="281">+AS125/AS124</f>
        <v>1</v>
      </c>
      <c r="AT126" s="3901"/>
      <c r="AU126" s="3930">
        <f t="shared" ref="AU126" si="282">+AU125/AU124</f>
        <v>1</v>
      </c>
      <c r="AV126" s="3901"/>
      <c r="AW126" s="3901">
        <f t="shared" ref="AW126" si="283">+AW125/AW124</f>
        <v>1.0000000000000002</v>
      </c>
      <c r="AX126" s="3901"/>
      <c r="AY126" s="3930">
        <f t="shared" ref="AY126" si="284">+AY125/AY124</f>
        <v>1</v>
      </c>
      <c r="AZ126" s="3901"/>
      <c r="BA126" s="3901">
        <f t="shared" ref="BA126" si="285">+BA125/BA124</f>
        <v>1</v>
      </c>
      <c r="BB126" s="3901"/>
      <c r="BC126" s="3890">
        <f t="shared" ref="BC126" si="286">+BC125/BC124</f>
        <v>1</v>
      </c>
      <c r="BD126" s="3901"/>
      <c r="BE126" s="3891">
        <f t="shared" ref="BE126" si="287">+BE125/BE124</f>
        <v>0.99999999999999978</v>
      </c>
      <c r="BF126" s="3901"/>
      <c r="BG126" s="3930">
        <f t="shared" ref="BG126" si="288">+BG125/BG124</f>
        <v>1</v>
      </c>
      <c r="BH126" s="23"/>
    </row>
    <row r="127" spans="1:60" ht="15" thickBot="1" x14ac:dyDescent="0.35">
      <c r="E127"/>
      <c r="K127"/>
      <c r="O127"/>
      <c r="S127"/>
      <c r="W127"/>
      <c r="X127"/>
      <c r="Y127"/>
      <c r="AA127"/>
      <c r="AB127"/>
      <c r="AC127"/>
      <c r="AG127"/>
      <c r="AK127"/>
      <c r="BH127" s="23"/>
    </row>
    <row r="128" spans="1:60" ht="18.75" customHeight="1" thickBot="1" x14ac:dyDescent="0.35">
      <c r="C128" s="6277" t="s">
        <v>1438</v>
      </c>
      <c r="D128" s="3897" t="s">
        <v>1435</v>
      </c>
      <c r="E128" s="3897"/>
      <c r="F128" s="3880"/>
      <c r="G128" s="3898">
        <f>+'Maj Production Summ'!F34</f>
        <v>38383.019999999997</v>
      </c>
      <c r="H128" s="3899"/>
      <c r="I128" s="3899">
        <f>+'Maj Production Summ'!H34</f>
        <v>19414.02</v>
      </c>
      <c r="J128" s="3899"/>
      <c r="K128" s="3903">
        <f t="shared" ref="K128:K129" si="289">+G128+I128</f>
        <v>57797.039999999994</v>
      </c>
      <c r="L128" s="3899"/>
      <c r="M128" s="3899">
        <f>+'Maj Production Summ'!L34</f>
        <v>56218</v>
      </c>
      <c r="N128" s="3899"/>
      <c r="O128" s="3904">
        <f t="shared" ref="O128:O129" si="290">+G128+I128+M128</f>
        <v>114015.03999999999</v>
      </c>
      <c r="P128" s="3899"/>
      <c r="Q128" s="3899">
        <f>+'Maj Production Summ'!P34</f>
        <v>50303</v>
      </c>
      <c r="R128" s="3899"/>
      <c r="S128" s="3903">
        <f t="shared" ref="S128:S129" si="291">O128+Q128</f>
        <v>164318.03999999998</v>
      </c>
      <c r="T128" s="3899"/>
      <c r="U128" s="3898">
        <f>+'Maj Production Summ'!T34</f>
        <v>51235.42</v>
      </c>
      <c r="V128" s="3899"/>
      <c r="W128" s="3903">
        <f t="shared" ref="W128:W129" si="292">S128+U128</f>
        <v>215553.45999999996</v>
      </c>
      <c r="X128" s="3899"/>
      <c r="Y128" s="3899">
        <f>+'Maj Production Summ'!X34</f>
        <v>54076</v>
      </c>
      <c r="Z128" s="3899"/>
      <c r="AA128" s="3904">
        <f t="shared" ref="AA128:AA147" si="293">Q128+U128+Y128</f>
        <v>155614.41999999998</v>
      </c>
      <c r="AB128" s="3899"/>
      <c r="AC128" s="3905">
        <f t="shared" ref="AC128:AC129" si="294">O128+AA128</f>
        <v>269629.45999999996</v>
      </c>
      <c r="AD128" s="3899"/>
      <c r="AE128" s="3899">
        <f>+'Maj Production Summ'!AD34</f>
        <v>54595</v>
      </c>
      <c r="AF128" s="3899"/>
      <c r="AG128" s="3903">
        <f t="shared" ref="AG128:AG129" si="295">+AC128+AE128</f>
        <v>324224.45999999996</v>
      </c>
      <c r="AH128" s="3899"/>
      <c r="AI128" s="3899">
        <f>+'Maj Production Summ'!AH34</f>
        <v>61080</v>
      </c>
      <c r="AJ128" s="3899"/>
      <c r="AK128" s="3906">
        <f t="shared" ref="AK128:AK129" si="296">+AG128+AI128</f>
        <v>385304.45999999996</v>
      </c>
      <c r="AL128" s="3899"/>
      <c r="AM128" s="3899">
        <f>+'Maj Production Summ'!AL34</f>
        <v>52347.66</v>
      </c>
      <c r="AN128" s="3899"/>
      <c r="AO128" s="3904">
        <f t="shared" ref="AO128:AO147" si="297">AE128+AI128+AM128</f>
        <v>168022.66</v>
      </c>
      <c r="AP128" s="3899"/>
      <c r="AQ128" s="3906">
        <f>+AK128+AM128</f>
        <v>437652.12</v>
      </c>
      <c r="AR128" s="3899"/>
      <c r="AS128" s="3899">
        <f>+'Maj Production Summ'!AR34</f>
        <v>30958</v>
      </c>
      <c r="AT128" s="3899"/>
      <c r="AU128" s="3906">
        <f t="shared" ref="AU128:AU129" si="298">+AQ128+AS128</f>
        <v>468610.12</v>
      </c>
      <c r="AV128" s="3899"/>
      <c r="AW128" s="3899">
        <f>+'Maj Production Summ'!AV34</f>
        <v>16550</v>
      </c>
      <c r="AX128" s="3899"/>
      <c r="AY128" s="3906">
        <f t="shared" ref="AY128:AY129" si="299">+AU128+AW128</f>
        <v>485160.12</v>
      </c>
      <c r="AZ128" s="3899"/>
      <c r="BA128" s="3899">
        <f>+'Maj Production Summ'!AZ34</f>
        <v>38028.639000000003</v>
      </c>
      <c r="BB128" s="3899"/>
      <c r="BC128" s="3904">
        <f t="shared" ref="BC128:BC129" si="300">AS128+AW128+BA128</f>
        <v>85536.638999999996</v>
      </c>
      <c r="BD128" s="3899"/>
      <c r="BE128" s="3905">
        <f t="shared" ref="BE128:BE129" si="301">AO128+BC128</f>
        <v>253559.299</v>
      </c>
      <c r="BF128" s="3899"/>
      <c r="BG128" s="3906">
        <f t="shared" ref="BG128:BG129" si="302">+AY128+BA128</f>
        <v>523188.75900000002</v>
      </c>
      <c r="BH128" s="23"/>
    </row>
    <row r="129" spans="1:61" ht="18.75" customHeight="1" x14ac:dyDescent="0.3">
      <c r="C129" s="6278"/>
      <c r="D129" s="3907" t="s">
        <v>2175</v>
      </c>
      <c r="E129" s="3907"/>
      <c r="F129" s="3883"/>
      <c r="G129" s="3902">
        <f>+G79</f>
        <v>33808</v>
      </c>
      <c r="H129" s="3902"/>
      <c r="I129" s="3902">
        <f>+I79</f>
        <v>16896.356</v>
      </c>
      <c r="J129" s="3902"/>
      <c r="K129" s="3910">
        <f t="shared" si="289"/>
        <v>50704.356</v>
      </c>
      <c r="L129" s="3902"/>
      <c r="M129" s="3902">
        <f>+M79</f>
        <v>51290</v>
      </c>
      <c r="N129" s="3902"/>
      <c r="O129" s="3911">
        <f t="shared" si="290"/>
        <v>101994.356</v>
      </c>
      <c r="P129" s="3902"/>
      <c r="Q129" s="3902">
        <f>+Q79</f>
        <v>46163</v>
      </c>
      <c r="R129" s="3902"/>
      <c r="S129" s="3910">
        <f t="shared" si="291"/>
        <v>148157.356</v>
      </c>
      <c r="T129" s="3902"/>
      <c r="U129" s="3902">
        <f>+U79</f>
        <v>45702.616000000002</v>
      </c>
      <c r="V129" s="3902"/>
      <c r="W129" s="3910">
        <f t="shared" si="292"/>
        <v>193859.97200000001</v>
      </c>
      <c r="X129" s="3902"/>
      <c r="Y129" s="3902">
        <f>+Y79</f>
        <v>49365</v>
      </c>
      <c r="Z129" s="3902"/>
      <c r="AA129" s="3911">
        <f t="shared" si="293"/>
        <v>141230.61600000001</v>
      </c>
      <c r="AB129" s="3902"/>
      <c r="AC129" s="3912">
        <f t="shared" si="294"/>
        <v>243224.97200000001</v>
      </c>
      <c r="AD129" s="3902"/>
      <c r="AE129" s="3902">
        <f>+AE79</f>
        <v>50576</v>
      </c>
      <c r="AF129" s="3902"/>
      <c r="AG129" s="3910">
        <f t="shared" si="295"/>
        <v>293800.97200000001</v>
      </c>
      <c r="AH129" s="3902"/>
      <c r="AI129" s="3902">
        <f>+AI79</f>
        <v>57014.864000000001</v>
      </c>
      <c r="AJ129" s="3902"/>
      <c r="AK129" s="3913">
        <f t="shared" si="296"/>
        <v>350815.83600000001</v>
      </c>
      <c r="AL129" s="3902"/>
      <c r="AM129" s="3902">
        <f>+AM79</f>
        <v>48508.66</v>
      </c>
      <c r="AN129" s="3902"/>
      <c r="AO129" s="3911">
        <f t="shared" si="297"/>
        <v>156099.524</v>
      </c>
      <c r="AP129" s="3902"/>
      <c r="AQ129" s="3913">
        <f>+AK129+AM129</f>
        <v>399324.49600000004</v>
      </c>
      <c r="AR129" s="3902"/>
      <c r="AS129" s="3902">
        <f>+AS79</f>
        <v>26498</v>
      </c>
      <c r="AT129" s="3902"/>
      <c r="AU129" s="3913">
        <f t="shared" si="298"/>
        <v>425822.49600000004</v>
      </c>
      <c r="AV129" s="3902"/>
      <c r="AW129" s="3902">
        <f>+AW79</f>
        <v>13181.536</v>
      </c>
      <c r="AX129" s="3902"/>
      <c r="AY129" s="3913">
        <f t="shared" si="299"/>
        <v>439004.03200000006</v>
      </c>
      <c r="AZ129" s="3902"/>
      <c r="BA129" s="3902">
        <f>+BA79</f>
        <v>33704.529000000002</v>
      </c>
      <c r="BB129" s="3902"/>
      <c r="BC129" s="3911">
        <f t="shared" si="300"/>
        <v>73384.065000000002</v>
      </c>
      <c r="BD129" s="3902"/>
      <c r="BE129" s="3905">
        <f t="shared" si="301"/>
        <v>229483.58900000001</v>
      </c>
      <c r="BF129" s="3902"/>
      <c r="BG129" s="3913">
        <f t="shared" si="302"/>
        <v>472708.56100000005</v>
      </c>
      <c r="BH129" s="23"/>
    </row>
    <row r="130" spans="1:61" ht="18.75" customHeight="1" thickBot="1" x14ac:dyDescent="0.35">
      <c r="C130" s="6278"/>
      <c r="D130" s="3907" t="s">
        <v>1436</v>
      </c>
      <c r="E130" s="3907"/>
      <c r="F130" s="3908"/>
      <c r="G130" s="3914">
        <f>+G129/G128</f>
        <v>0.88080614813529534</v>
      </c>
      <c r="H130" s="3914"/>
      <c r="I130" s="3914">
        <f>+I129/I128</f>
        <v>0.87031722435641867</v>
      </c>
      <c r="J130" s="3914"/>
      <c r="K130" s="3915">
        <f t="shared" ref="K130:AG130" si="303">+K129/K128</f>
        <v>0.87728291967893179</v>
      </c>
      <c r="L130" s="3914"/>
      <c r="M130" s="3914">
        <f>+M129/M128</f>
        <v>0.91234124301825037</v>
      </c>
      <c r="N130" s="3914"/>
      <c r="O130" s="3916">
        <f t="shared" si="303"/>
        <v>0.89456931296081643</v>
      </c>
      <c r="P130" s="3914"/>
      <c r="Q130" s="3914">
        <f t="shared" si="303"/>
        <v>0.91769874560165399</v>
      </c>
      <c r="R130" s="3914"/>
      <c r="S130" s="3915">
        <f t="shared" si="303"/>
        <v>0.90164997099527244</v>
      </c>
      <c r="T130" s="3914"/>
      <c r="U130" s="3914">
        <f t="shared" si="303"/>
        <v>0.89201212754770043</v>
      </c>
      <c r="V130" s="3914"/>
      <c r="W130" s="3915">
        <f t="shared" si="303"/>
        <v>0.8993591288212216</v>
      </c>
      <c r="X130" s="3914"/>
      <c r="Y130" s="3914">
        <f t="shared" ref="Y130" si="304">+Y129/Y128</f>
        <v>0.9128818699607959</v>
      </c>
      <c r="Z130" s="3914"/>
      <c r="AA130" s="3916">
        <f t="shared" si="303"/>
        <v>0.90756766628696761</v>
      </c>
      <c r="AB130" s="3914"/>
      <c r="AC130" s="3917">
        <f t="shared" si="303"/>
        <v>0.90207120542391783</v>
      </c>
      <c r="AD130" s="3914"/>
      <c r="AE130" s="3914">
        <f t="shared" si="303"/>
        <v>0.92638520010990022</v>
      </c>
      <c r="AF130" s="3914"/>
      <c r="AG130" s="3915">
        <f t="shared" si="303"/>
        <v>0.90616535223776773</v>
      </c>
      <c r="AH130" s="3914"/>
      <c r="AI130" s="3914">
        <f t="shared" ref="AI130" si="305">+AI129/AI128</f>
        <v>0.93344571054354941</v>
      </c>
      <c r="AJ130" s="3914"/>
      <c r="AK130" s="3918">
        <f t="shared" ref="AK130" si="306">+AK129/AK128</f>
        <v>0.91048994345925827</v>
      </c>
      <c r="AL130" s="3914"/>
      <c r="AM130" s="3914">
        <f t="shared" ref="AM130" si="307">+AM129/AM128</f>
        <v>0.92666338858317643</v>
      </c>
      <c r="AN130" s="3962"/>
      <c r="AO130" s="3916">
        <f t="shared" ref="AO130" si="308">+AO129/AO128</f>
        <v>0.92903852373245377</v>
      </c>
      <c r="AP130" s="3914"/>
      <c r="AQ130" s="3918">
        <f t="shared" ref="AQ130" si="309">+AQ129/AQ128</f>
        <v>0.91242445255377724</v>
      </c>
      <c r="AR130" s="3914"/>
      <c r="AS130" s="3914">
        <f t="shared" ref="AS130" si="310">+AS129/AS128</f>
        <v>0.85593384585567545</v>
      </c>
      <c r="AT130" s="3914"/>
      <c r="AU130" s="3918">
        <f t="shared" ref="AU130" si="311">+AU129/AU128</f>
        <v>0.90869248833123806</v>
      </c>
      <c r="AV130" s="3914"/>
      <c r="AW130" s="3914">
        <f t="shared" ref="AW130" si="312">+AW129/AW128</f>
        <v>0.79646743202416914</v>
      </c>
      <c r="AX130" s="3914"/>
      <c r="AY130" s="3918">
        <f t="shared" ref="AY130" si="313">+AY129/AY128</f>
        <v>0.90486421678682094</v>
      </c>
      <c r="AZ130" s="3914"/>
      <c r="BA130" s="3914">
        <f t="shared" ref="BA130" si="314">+BA129/BA128</f>
        <v>0.88629332751035339</v>
      </c>
      <c r="BB130" s="3962"/>
      <c r="BC130" s="3916">
        <f t="shared" ref="BC130" si="315">+BC129/BC128</f>
        <v>0.85792551423490004</v>
      </c>
      <c r="BD130" s="3914"/>
      <c r="BE130" s="3917">
        <f t="shared" ref="BE130" si="316">+BE129/BE128</f>
        <v>0.90504899605358191</v>
      </c>
      <c r="BF130" s="3914"/>
      <c r="BG130" s="3918">
        <f t="shared" ref="BG130" si="317">+BG129/BG128</f>
        <v>0.90351436812884589</v>
      </c>
      <c r="BH130" s="23"/>
    </row>
    <row r="131" spans="1:61" ht="18.75" customHeight="1" thickBot="1" x14ac:dyDescent="0.35">
      <c r="C131" s="6278"/>
      <c r="D131" s="3907" t="s">
        <v>1434</v>
      </c>
      <c r="E131" s="3907"/>
      <c r="F131" s="3908"/>
      <c r="G131" s="3909">
        <f>+G128-G129</f>
        <v>4575.0199999999968</v>
      </c>
      <c r="H131" s="3909"/>
      <c r="I131" s="3909">
        <f>+I128-I129</f>
        <v>2517.6640000000007</v>
      </c>
      <c r="J131" s="3909"/>
      <c r="K131" s="3910">
        <f t="shared" ref="K131:K135" si="318">+G131+I131</f>
        <v>7092.6839999999975</v>
      </c>
      <c r="L131" s="3909"/>
      <c r="M131" s="3909">
        <f>+M128-M129</f>
        <v>4928</v>
      </c>
      <c r="N131" s="3909"/>
      <c r="O131" s="3911">
        <f t="shared" ref="O131:O135" si="319">+G131+I131+M131</f>
        <v>12020.683999999997</v>
      </c>
      <c r="P131" s="3909"/>
      <c r="Q131" s="3909">
        <f t="shared" ref="Q131:AE131" si="320">+Q128-Q129</f>
        <v>4140</v>
      </c>
      <c r="R131" s="3909"/>
      <c r="S131" s="3910">
        <f t="shared" ref="S131:S135" si="321">O131+Q131</f>
        <v>16160.683999999997</v>
      </c>
      <c r="T131" s="3909"/>
      <c r="U131" s="3909">
        <f t="shared" si="320"/>
        <v>5532.8039999999964</v>
      </c>
      <c r="V131" s="3909"/>
      <c r="W131" s="3910">
        <f t="shared" ref="W131:W135" si="322">S131+U131</f>
        <v>21693.487999999994</v>
      </c>
      <c r="X131" s="3909"/>
      <c r="Y131" s="3909">
        <f t="shared" ref="Y131" si="323">+Y128-Y129</f>
        <v>4711</v>
      </c>
      <c r="Z131" s="3909"/>
      <c r="AA131" s="3911">
        <f t="shared" si="293"/>
        <v>14383.803999999996</v>
      </c>
      <c r="AB131" s="3909"/>
      <c r="AC131" s="3912">
        <f t="shared" ref="AC131:AC135" si="324">O131+AA131</f>
        <v>26404.487999999994</v>
      </c>
      <c r="AD131" s="3909"/>
      <c r="AE131" s="3909">
        <f t="shared" si="320"/>
        <v>4019</v>
      </c>
      <c r="AF131" s="3909"/>
      <c r="AG131" s="3910">
        <f t="shared" ref="AG131:AG135" si="325">+AC131+AE131</f>
        <v>30423.487999999994</v>
      </c>
      <c r="AH131" s="3909"/>
      <c r="AI131" s="3909">
        <f t="shared" ref="AI131" si="326">+AI128-AI129</f>
        <v>4065.1359999999986</v>
      </c>
      <c r="AJ131" s="3909"/>
      <c r="AK131" s="3913">
        <f t="shared" ref="AK131:AK135" si="327">+AG131+AI131</f>
        <v>34488.623999999996</v>
      </c>
      <c r="AL131" s="3909"/>
      <c r="AM131" s="3909">
        <f t="shared" ref="AM131" si="328">+AM128-AM129</f>
        <v>3839</v>
      </c>
      <c r="AN131" s="3961"/>
      <c r="AO131" s="3911">
        <f t="shared" si="297"/>
        <v>11923.135999999999</v>
      </c>
      <c r="AP131" s="3909"/>
      <c r="AQ131" s="3913">
        <f t="shared" ref="AQ131:AQ135" si="329">+AK131+AM131</f>
        <v>38327.623999999996</v>
      </c>
      <c r="AR131" s="3909"/>
      <c r="AS131" s="3909">
        <f t="shared" ref="AS131" si="330">+AS128-AS129</f>
        <v>4460</v>
      </c>
      <c r="AT131" s="3909"/>
      <c r="AU131" s="3913">
        <f t="shared" ref="AU131:AU135" si="331">+AQ131+AS131</f>
        <v>42787.623999999996</v>
      </c>
      <c r="AV131" s="3909"/>
      <c r="AW131" s="3909">
        <f t="shared" ref="AW131" si="332">+AW128-AW129</f>
        <v>3368.4639999999999</v>
      </c>
      <c r="AX131" s="3909"/>
      <c r="AY131" s="3913">
        <f t="shared" ref="AY131:AY135" si="333">+AU131+AW131</f>
        <v>46156.087999999996</v>
      </c>
      <c r="AZ131" s="3909"/>
      <c r="BA131" s="3909">
        <f t="shared" ref="BA131" si="334">+BA128-BA129</f>
        <v>4324.1100000000006</v>
      </c>
      <c r="BB131" s="3961"/>
      <c r="BC131" s="3911">
        <f t="shared" ref="BC131:BC135" si="335">AS131+AW131+BA131</f>
        <v>12152.574000000001</v>
      </c>
      <c r="BD131" s="3909"/>
      <c r="BE131" s="3905">
        <f t="shared" ref="BE131:BE135" si="336">AO131+BC131</f>
        <v>24075.71</v>
      </c>
      <c r="BF131" s="3909"/>
      <c r="BG131" s="3913">
        <f t="shared" ref="BG131:BG135" si="337">+AY131+BA131</f>
        <v>50480.197999999997</v>
      </c>
      <c r="BH131" s="23"/>
    </row>
    <row r="132" spans="1:61" ht="15" customHeight="1" thickBot="1" x14ac:dyDescent="0.35">
      <c r="A132" s="1166"/>
      <c r="B132" s="2394"/>
      <c r="C132" s="6278"/>
      <c r="D132" s="3919" t="str">
        <f>+'GRD SUMM RCL 150X150 '!E59</f>
        <v>BLOOM CB C25 HMN 150*150</v>
      </c>
      <c r="E132" s="3919"/>
      <c r="F132" s="3920"/>
      <c r="G132" s="3921">
        <f>+SUMIF('GRD SUMM RCL 150X150 '!$E$6:$E$60,$D132,'GRD SUMM RCL 150X150 '!AU$6:AU$60)</f>
        <v>1939</v>
      </c>
      <c r="H132" s="3921">
        <f>+SUMIF('GRD SUMM RCL 150X150 '!$E$6:$E$60,$D132,'GRD SUMM RCL 150X150 '!AV$6:AV$60)</f>
        <v>0</v>
      </c>
      <c r="I132" s="3921">
        <f>+SUMIF('GRD SUMM RCL 150X150 '!$E$6:$E$60,$D132,'GRD SUMM RCL 150X150 '!AW$6:AW$60)</f>
        <v>1128.9059999999999</v>
      </c>
      <c r="J132" s="3921">
        <f>+SUMIF('GRD SUMM RCL 150X150 '!$E$6:$E$60,$D132,'GRD SUMM RCL 150X150 '!AX$6:AX$60)</f>
        <v>0</v>
      </c>
      <c r="K132" s="3910">
        <f t="shared" si="318"/>
        <v>3067.9059999999999</v>
      </c>
      <c r="L132" s="3921">
        <f>+SUMIF('GRD SUMM RCL 150X150 '!$E$6:$E$60,$D132,'GRD SUMM RCL 150X150 '!AZ$6:AZ$60)</f>
        <v>0</v>
      </c>
      <c r="M132" s="3921">
        <f>+SUMIF('GRD SUMM RCL 150X150 '!$E$6:$E$60,$D132,'GRD SUMM RCL 150X150 '!BA$6:BA$60)</f>
        <v>0</v>
      </c>
      <c r="N132" s="3921"/>
      <c r="O132" s="3911">
        <f t="shared" si="319"/>
        <v>3067.9059999999999</v>
      </c>
      <c r="P132" s="3921"/>
      <c r="Q132" s="3921">
        <f>+SUMIF('GRD SUMM RCL 150X150 '!$E$6:$E$60,$D132,'GRD SUMM RCL 150X150 '!BE$6:BE$60)</f>
        <v>0</v>
      </c>
      <c r="R132" s="3921">
        <f>+SUMIF('GRD SUMM RCL 150X150 '!$E$6:$E$60,$D132,'GRD SUMM RCL 150X150 '!BF$6:BF$60)</f>
        <v>0</v>
      </c>
      <c r="S132" s="3910">
        <f t="shared" si="321"/>
        <v>3067.9059999999999</v>
      </c>
      <c r="T132" s="3921">
        <f>+SUMIF('GRD SUMM RCL 150X150 '!$E$6:$E$60,$D132,'GRD SUMM RCL 150X150 '!BH$6:BH$60)</f>
        <v>0</v>
      </c>
      <c r="U132" s="3921">
        <f>+SUMIF('GRD SUMM RCL 150X150 '!$E$6:$E$60,$D132,'GRD SUMM RCL 150X150 '!BI$6:BI$60)</f>
        <v>0</v>
      </c>
      <c r="V132" s="3921">
        <f>+SUMIF('GRD SUMM RCL 150X150 '!$E$6:$E$60,$D132,'GRD SUMM RCL 150X150 '!BJ$6:BJ$60)</f>
        <v>0</v>
      </c>
      <c r="W132" s="3910">
        <f t="shared" si="322"/>
        <v>3067.9059999999999</v>
      </c>
      <c r="X132" s="3921">
        <f>+SUMIF('GRD SUMM RCL 150X150 '!$E$6:$E$60,$D132,'GRD SUMM RCL 150X150 '!BL$6:BL$60)</f>
        <v>0</v>
      </c>
      <c r="Y132" s="3921">
        <f>+SUMIF('GRD SUMM RCL 150X150 '!$E$6:$E$60,$D132,'GRD SUMM RCL 150X150 '!BM$6:BM$60)</f>
        <v>0</v>
      </c>
      <c r="Z132" s="3921"/>
      <c r="AA132" s="3911">
        <f t="shared" si="293"/>
        <v>0</v>
      </c>
      <c r="AB132" s="3921"/>
      <c r="AC132" s="3912">
        <f t="shared" si="324"/>
        <v>3067.9059999999999</v>
      </c>
      <c r="AD132" s="3921"/>
      <c r="AE132" s="3921">
        <f>+SUMIF('GRD SUMM RCL 150X150 '!$E$6:$E$60,$D132,'GRD SUMM RCL 150X150 '!BS$6:BS$60)</f>
        <v>0</v>
      </c>
      <c r="AF132" s="3921">
        <f>+SUMIF('GRD SUMM RCL 150X150 '!$E$6:$E$60,$D132,'GRD SUMM RCL 150X150 '!BT$6:BT$60)</f>
        <v>0</v>
      </c>
      <c r="AG132" s="3910">
        <f t="shared" si="325"/>
        <v>3067.9059999999999</v>
      </c>
      <c r="AH132" s="3921">
        <f>+SUMIF('GRD SUMM RCL 150X150 '!$E$6:$E$60,$D132,'GRD SUMM RCL 150X150 '!BV$6:BV$60)</f>
        <v>0</v>
      </c>
      <c r="AI132" s="3921">
        <f>+SUMIF('GRD SUMM RCL 150X150 '!$E$6:$E$60,$D132,'GRD SUMM RCL 150X150 '!BW$6:BW$60)</f>
        <v>0</v>
      </c>
      <c r="AJ132" s="3921"/>
      <c r="AK132" s="3913">
        <f t="shared" si="327"/>
        <v>3067.9059999999999</v>
      </c>
      <c r="AL132" s="3921">
        <f>+SUMIF('GRD SUMM RCL 150X150 '!$E$6:$E$60,$D132,'GRD SUMM RCL 150X150 '!BZ$6:BZ$60)</f>
        <v>0</v>
      </c>
      <c r="AM132" s="3921">
        <f>+SUMIF('GRD SUMM RCL 150X150 '!$E$6:$E$60,$D132,'GRD SUMM RCL 150X150 '!CA$6:CA$60)</f>
        <v>0</v>
      </c>
      <c r="AN132" s="3963"/>
      <c r="AO132" s="3911">
        <f t="shared" si="297"/>
        <v>0</v>
      </c>
      <c r="AP132" s="3921"/>
      <c r="AQ132" s="3913">
        <f t="shared" si="329"/>
        <v>3067.9059999999999</v>
      </c>
      <c r="AR132" s="3921">
        <f>+SUMIF('GRD SUMM RCL 150X150 '!$E$6:$E$60,$D132,'GRD SUMM RCL 150X150 '!CF$6:CF$60)</f>
        <v>0</v>
      </c>
      <c r="AS132" s="3921">
        <f>+SUMIF('GRD SUMM RCL 150X150 '!$E$6:$E$60,$D132,'GRD SUMM RCL 150X150 '!CG$6:CG$60)</f>
        <v>0</v>
      </c>
      <c r="AT132" s="3921"/>
      <c r="AU132" s="3913">
        <f t="shared" si="331"/>
        <v>3067.9059999999999</v>
      </c>
      <c r="AV132" s="3921">
        <f>+SUMIF('GRD SUMM RCL 150X150 '!$E$6:$E$60,$D132,'GRD SUMM RCL 150X150 '!CJ$6:CJ$60)</f>
        <v>0</v>
      </c>
      <c r="AW132" s="3921">
        <f>+SUMIF('GRD SUMM RCL 150X150 '!$E$6:$E$60,$D132,'GRD SUMM RCL 150X150 '!CK$6:CK$60)</f>
        <v>0</v>
      </c>
      <c r="AX132" s="3921"/>
      <c r="AY132" s="3913">
        <f t="shared" si="333"/>
        <v>3067.9059999999999</v>
      </c>
      <c r="AZ132" s="3921">
        <f>+SUMIF('GRD SUMM RCL 150X150 '!$E$6:$E$60,$D132,'GRD SUMM RCL 150X150 '!CN$6:CN$60)</f>
        <v>0</v>
      </c>
      <c r="BA132" s="3921">
        <f>+SUMIF('GRD SUMM RCL 150X150 '!$E$6:$E$60,$D132,'GRD SUMM RCL 150X150 '!CO$6:CO$60)</f>
        <v>0</v>
      </c>
      <c r="BB132" s="3963"/>
      <c r="BC132" s="3911">
        <f t="shared" si="335"/>
        <v>0</v>
      </c>
      <c r="BD132" s="3921"/>
      <c r="BE132" s="3905">
        <f t="shared" si="336"/>
        <v>0</v>
      </c>
      <c r="BF132" s="3921"/>
      <c r="BG132" s="3913">
        <f t="shared" si="337"/>
        <v>3067.9059999999999</v>
      </c>
      <c r="BH132" s="23"/>
    </row>
    <row r="133" spans="1:61" ht="15" customHeight="1" thickBot="1" x14ac:dyDescent="0.35">
      <c r="A133" s="1166"/>
      <c r="B133" s="1166"/>
      <c r="C133" s="6278"/>
      <c r="D133" s="3919" t="str">
        <f>+'GRD SUMM RCL 150X150 '!E60</f>
        <v>ASSORTED BILLET (CCP)150*150</v>
      </c>
      <c r="E133" s="3919"/>
      <c r="F133" s="3920"/>
      <c r="G133" s="3921">
        <f>+SUMIF('GRD SUMM RCL 150X150 '!$E$6:$E$60,$D133,'GRD SUMM RCL 150X150 '!AU$6:AU$60)</f>
        <v>2346</v>
      </c>
      <c r="H133" s="3921">
        <f>+SUMIF('GRD SUMM RCL 150X150 '!$E$6:$E$60,$D133,'GRD SUMM RCL 150X150 '!AV$6:AV$60)</f>
        <v>0</v>
      </c>
      <c r="I133" s="3921">
        <f>+SUMIF('GRD SUMM RCL 150X150 '!$E$6:$E$60,$D133,'GRD SUMM RCL 150X150 '!AW$6:AW$60)</f>
        <v>1345.758</v>
      </c>
      <c r="J133" s="3921">
        <f>+SUMIF('GRD SUMM RCL 150X150 '!$E$6:$E$60,$D133,'GRD SUMM RCL 150X150 '!AX$6:AX$60)</f>
        <v>0</v>
      </c>
      <c r="K133" s="3910">
        <f t="shared" si="318"/>
        <v>3691.7579999999998</v>
      </c>
      <c r="L133" s="3921">
        <f>+SUMIF('GRD SUMM RCL 150X150 '!$E$6:$E$60,$D133,'GRD SUMM RCL 150X150 '!AZ$6:AZ$60)</f>
        <v>0</v>
      </c>
      <c r="M133" s="3921">
        <f>+SUMIF('GRD SUMM RCL 150X150 '!$E$6:$E$60,$D133,'GRD SUMM RCL 150X150 '!BA$6:BA$60)</f>
        <v>0</v>
      </c>
      <c r="N133" s="3921"/>
      <c r="O133" s="3911">
        <f t="shared" si="319"/>
        <v>3691.7579999999998</v>
      </c>
      <c r="P133" s="3921"/>
      <c r="Q133" s="3921">
        <f>+SUMIF('GRD SUMM RCL 150X150 '!$E$6:$E$60,$D133,'GRD SUMM RCL 150X150 '!BE$6:BE$60)</f>
        <v>0</v>
      </c>
      <c r="R133" s="3921">
        <f>+SUMIF('GRD SUMM RCL 150X150 '!$E$6:$E$60,$D133,'GRD SUMM RCL 150X150 '!BF$6:BF$60)</f>
        <v>0</v>
      </c>
      <c r="S133" s="3910">
        <f t="shared" si="321"/>
        <v>3691.7579999999998</v>
      </c>
      <c r="T133" s="3921">
        <f>+SUMIF('GRD SUMM RCL 150X150 '!$E$6:$E$60,$D133,'GRD SUMM RCL 150X150 '!BH$6:BH$60)</f>
        <v>0</v>
      </c>
      <c r="U133" s="3921">
        <f>+SUMIF('GRD SUMM RCL 150X150 '!$E$6:$E$60,$D133,'GRD SUMM RCL 150X150 '!BI$6:BI$60)</f>
        <v>0</v>
      </c>
      <c r="V133" s="3921">
        <f>+SUMIF('GRD SUMM RCL 150X150 '!$E$6:$E$60,$D133,'GRD SUMM RCL 150X150 '!BJ$6:BJ$60)</f>
        <v>0</v>
      </c>
      <c r="W133" s="3910">
        <f t="shared" si="322"/>
        <v>3691.7579999999998</v>
      </c>
      <c r="X133" s="3921">
        <f>+SUMIF('GRD SUMM RCL 150X150 '!$E$6:$E$60,$D133,'GRD SUMM RCL 150X150 '!BL$6:BL$60)</f>
        <v>0</v>
      </c>
      <c r="Y133" s="3921">
        <f>+SUMIF('GRD SUMM RCL 150X150 '!$E$6:$E$60,$D133,'GRD SUMM RCL 150X150 '!BM$6:BM$60)</f>
        <v>0</v>
      </c>
      <c r="Z133" s="3921"/>
      <c r="AA133" s="3911">
        <f t="shared" si="293"/>
        <v>0</v>
      </c>
      <c r="AB133" s="3921"/>
      <c r="AC133" s="3912">
        <f t="shared" si="324"/>
        <v>3691.7579999999998</v>
      </c>
      <c r="AD133" s="3921"/>
      <c r="AE133" s="3921">
        <f>+SUMIF('GRD SUMM RCL 150X150 '!$E$6:$E$60,$D133,'GRD SUMM RCL 150X150 '!BS$6:BS$60)</f>
        <v>0</v>
      </c>
      <c r="AF133" s="3921">
        <f>+SUMIF('GRD SUMM RCL 150X150 '!$E$6:$E$60,$D133,'GRD SUMM RCL 150X150 '!BT$6:BT$60)</f>
        <v>0</v>
      </c>
      <c r="AG133" s="3910">
        <f t="shared" si="325"/>
        <v>3691.7579999999998</v>
      </c>
      <c r="AH133" s="3921">
        <f>+SUMIF('GRD SUMM RCL 150X150 '!$E$6:$E$60,$D133,'GRD SUMM RCL 150X150 '!BV$6:BV$60)</f>
        <v>0</v>
      </c>
      <c r="AI133" s="3921">
        <f>+SUMIF('GRD SUMM RCL 150X150 '!$E$6:$E$60,$D133,'GRD SUMM RCL 150X150 '!BW$6:BW$60)</f>
        <v>0</v>
      </c>
      <c r="AJ133" s="3921"/>
      <c r="AK133" s="3913">
        <f t="shared" si="327"/>
        <v>3691.7579999999998</v>
      </c>
      <c r="AL133" s="3921">
        <f>+SUMIF('GRD SUMM RCL 150X150 '!$E$6:$E$60,$D133,'GRD SUMM RCL 150X150 '!BZ$6:BZ$60)</f>
        <v>0</v>
      </c>
      <c r="AM133" s="3921">
        <f>+SUMIF('GRD SUMM RCL 150X150 '!$E$6:$E$60,$D133,'GRD SUMM RCL 150X150 '!CA$6:CA$60)</f>
        <v>0</v>
      </c>
      <c r="AN133" s="3963"/>
      <c r="AO133" s="3911">
        <f t="shared" si="297"/>
        <v>0</v>
      </c>
      <c r="AP133" s="3921"/>
      <c r="AQ133" s="3913">
        <f t="shared" si="329"/>
        <v>3691.7579999999998</v>
      </c>
      <c r="AR133" s="3921">
        <f>+SUMIF('GRD SUMM RCL 150X150 '!$E$6:$E$60,$D133,'GRD SUMM RCL 150X150 '!CF$6:CF$60)</f>
        <v>0</v>
      </c>
      <c r="AS133" s="3921">
        <f>+SUMIF('GRD SUMM RCL 150X150 '!$E$6:$E$60,$D133,'GRD SUMM RCL 150X150 '!CG$6:CG$60)</f>
        <v>0</v>
      </c>
      <c r="AT133" s="3921"/>
      <c r="AU133" s="3913">
        <f t="shared" si="331"/>
        <v>3691.7579999999998</v>
      </c>
      <c r="AV133" s="3921">
        <f>+SUMIF('GRD SUMM RCL 150X150 '!$E$6:$E$60,$D133,'GRD SUMM RCL 150X150 '!CJ$6:CJ$60)</f>
        <v>0</v>
      </c>
      <c r="AW133" s="3921">
        <f>+SUMIF('GRD SUMM RCL 150X150 '!$E$6:$E$60,$D133,'GRD SUMM RCL 150X150 '!CK$6:CK$60)</f>
        <v>0</v>
      </c>
      <c r="AX133" s="3921"/>
      <c r="AY133" s="3913">
        <f t="shared" si="333"/>
        <v>3691.7579999999998</v>
      </c>
      <c r="AZ133" s="3921">
        <f>+SUMIF('GRD SUMM RCL 150X150 '!$E$6:$E$60,$D133,'GRD SUMM RCL 150X150 '!CN$6:CN$60)</f>
        <v>0</v>
      </c>
      <c r="BA133" s="3921">
        <f>+SUMIF('GRD SUMM RCL 150X150 '!$E$6:$E$60,$D133,'GRD SUMM RCL 150X150 '!CO$6:CO$60)</f>
        <v>0</v>
      </c>
      <c r="BB133" s="3963"/>
      <c r="BC133" s="3911">
        <f t="shared" si="335"/>
        <v>0</v>
      </c>
      <c r="BD133" s="3921"/>
      <c r="BE133" s="3905">
        <f t="shared" si="336"/>
        <v>0</v>
      </c>
      <c r="BF133" s="3921"/>
      <c r="BG133" s="3913">
        <f t="shared" si="337"/>
        <v>3691.7579999999998</v>
      </c>
      <c r="BH133" s="23"/>
    </row>
    <row r="134" spans="1:61" ht="15" customHeight="1" thickBot="1" x14ac:dyDescent="0.35">
      <c r="C134" s="6278"/>
      <c r="D134" s="3922" t="s">
        <v>1437</v>
      </c>
      <c r="E134" s="3922"/>
      <c r="F134" s="3908"/>
      <c r="G134" s="3921">
        <f>+SMS!F36</f>
        <v>290</v>
      </c>
      <c r="H134" s="3921">
        <f>+SUMIF('GRD SUMM RCL 150X150 '!$E$6:$E$60,$D134,'GRD SUMM RCL 150X150 '!AV$6:AV$60)</f>
        <v>0</v>
      </c>
      <c r="I134" s="3921">
        <f>+SMS!H36</f>
        <v>43</v>
      </c>
      <c r="J134" s="3921">
        <f>+SUMIF('GRD SUMM RCL 150X150 '!$E$6:$E$60,$D134,'GRD SUMM RCL 150X150 '!AX$6:AX$60)</f>
        <v>0</v>
      </c>
      <c r="K134" s="3910">
        <f t="shared" si="318"/>
        <v>333</v>
      </c>
      <c r="L134" s="3921">
        <f>+SUMIF('GRD SUMM RCL 150X150 '!$E$6:$E$60,$D134,'GRD SUMM RCL 150X150 '!AZ$6:AZ$60)</f>
        <v>0</v>
      </c>
      <c r="M134" s="3921">
        <f>+SMS!L36</f>
        <v>56</v>
      </c>
      <c r="N134" s="3909"/>
      <c r="O134" s="3911">
        <f t="shared" si="319"/>
        <v>389</v>
      </c>
      <c r="P134" s="3909"/>
      <c r="Q134" s="3921">
        <f>+SMS!P36</f>
        <v>26</v>
      </c>
      <c r="R134" s="3921">
        <f>+SUMIF('GRD SUMM RCL 150X150 '!$E$6:$E$60,$D134,'GRD SUMM RCL 150X150 '!BF$6:BF$60)</f>
        <v>0</v>
      </c>
      <c r="S134" s="3910">
        <f t="shared" si="321"/>
        <v>415</v>
      </c>
      <c r="T134" s="3921">
        <f>+SUMIF('GRD SUMM RCL 150X150 '!$E$6:$E$60,$D134,'GRD SUMM RCL 150X150 '!BH$6:BH$60)</f>
        <v>0</v>
      </c>
      <c r="U134" s="3921">
        <f>+SMS!T36</f>
        <v>66</v>
      </c>
      <c r="V134" s="3921">
        <f>+SUMIF('GRD SUMM RCL 150X150 '!$E$6:$E$60,$D134,'GRD SUMM RCL 150X150 '!BJ$6:BJ$60)</f>
        <v>0</v>
      </c>
      <c r="W134" s="3910">
        <f t="shared" si="322"/>
        <v>481</v>
      </c>
      <c r="X134" s="3921">
        <f>+SUMIF('GRD SUMM RCL 150X150 '!$E$6:$E$60,$D134,'GRD SUMM RCL 150X150 '!BL$6:BL$60)</f>
        <v>0</v>
      </c>
      <c r="Y134" s="3921">
        <f>+SMS!X36</f>
        <v>260</v>
      </c>
      <c r="Z134" s="3909"/>
      <c r="AA134" s="3911">
        <f t="shared" si="293"/>
        <v>352</v>
      </c>
      <c r="AB134" s="3909"/>
      <c r="AC134" s="3912">
        <f t="shared" si="324"/>
        <v>741</v>
      </c>
      <c r="AD134" s="3909"/>
      <c r="AE134" s="3921">
        <f>+SMS!AD36</f>
        <v>95</v>
      </c>
      <c r="AF134" s="3921">
        <f>+SUMIF('GRD SUMM RCL 150X150 '!$E$6:$E$60,$D134,'GRD SUMM RCL 150X150 '!BT$6:BT$60)</f>
        <v>0</v>
      </c>
      <c r="AG134" s="3910">
        <f t="shared" si="325"/>
        <v>836</v>
      </c>
      <c r="AH134" s="3921">
        <f>+SUMIF('GRD SUMM RCL 150X150 '!$E$6:$E$60,$D134,'GRD SUMM RCL 150X150 '!BV$6:BV$60)</f>
        <v>0</v>
      </c>
      <c r="AI134" s="3921">
        <f>+SMS!AH36</f>
        <v>0</v>
      </c>
      <c r="AJ134" s="3909"/>
      <c r="AK134" s="3913">
        <f t="shared" si="327"/>
        <v>836</v>
      </c>
      <c r="AL134" s="3921">
        <f>+SUMIF('GRD SUMM RCL 150X150 '!$E$6:$E$60,$D134,'GRD SUMM RCL 150X150 '!BZ$6:BZ$60)</f>
        <v>0</v>
      </c>
      <c r="AM134" s="3921">
        <f>+SMS!AL36</f>
        <v>38</v>
      </c>
      <c r="AN134" s="3963"/>
      <c r="AO134" s="3911">
        <f t="shared" si="297"/>
        <v>133</v>
      </c>
      <c r="AP134" s="3909"/>
      <c r="AQ134" s="3913">
        <f t="shared" si="329"/>
        <v>874</v>
      </c>
      <c r="AR134" s="3921">
        <f>+SUMIF('GRD SUMM RCL 150X150 '!$E$6:$E$60,$D134,'GRD SUMM RCL 150X150 '!CF$6:CF$60)</f>
        <v>0</v>
      </c>
      <c r="AS134" s="3921">
        <f>+SMS!AR36</f>
        <v>367</v>
      </c>
      <c r="AT134" s="3909"/>
      <c r="AU134" s="3913">
        <f t="shared" si="331"/>
        <v>1241</v>
      </c>
      <c r="AV134" s="3921">
        <f>+SUMIF('GRD SUMM RCL 150X150 '!$E$6:$E$60,$D134,'GRD SUMM RCL 150X150 '!CJ$6:CJ$60)</f>
        <v>0</v>
      </c>
      <c r="AW134" s="3921">
        <f>+SMS!AV36</f>
        <v>256</v>
      </c>
      <c r="AX134" s="3909"/>
      <c r="AY134" s="3913">
        <f t="shared" si="333"/>
        <v>1497</v>
      </c>
      <c r="AZ134" s="3921">
        <f>+SUMIF('GRD SUMM RCL 150X150 '!$E$6:$E$60,$D134,'GRD SUMM RCL 150X150 '!CN$6:CN$60)</f>
        <v>0</v>
      </c>
      <c r="BA134" s="3921">
        <f>+SMS!AZ36</f>
        <v>104</v>
      </c>
      <c r="BB134" s="3963"/>
      <c r="BC134" s="3911">
        <f t="shared" si="335"/>
        <v>727</v>
      </c>
      <c r="BD134" s="3909"/>
      <c r="BE134" s="3905">
        <f t="shared" si="336"/>
        <v>860</v>
      </c>
      <c r="BF134" s="3909"/>
      <c r="BG134" s="3913">
        <f t="shared" si="337"/>
        <v>1601</v>
      </c>
      <c r="BH134" s="23"/>
    </row>
    <row r="135" spans="1:61" ht="15.75" customHeight="1" thickBot="1" x14ac:dyDescent="0.35">
      <c r="C135" s="6279"/>
      <c r="D135" s="3887" t="s">
        <v>21</v>
      </c>
      <c r="E135" s="3887"/>
      <c r="F135" s="3882"/>
      <c r="G135" s="3888">
        <f>SUM(G132:G134)</f>
        <v>4575</v>
      </c>
      <c r="H135" s="3888"/>
      <c r="I135" s="3888">
        <f>SUM(I132:I134)</f>
        <v>2517.6639999999998</v>
      </c>
      <c r="J135" s="3888"/>
      <c r="K135" s="3923">
        <f t="shared" si="318"/>
        <v>7092.6639999999998</v>
      </c>
      <c r="L135" s="3888"/>
      <c r="M135" s="3888">
        <f>SUM(M132:M134)</f>
        <v>56</v>
      </c>
      <c r="N135" s="3888"/>
      <c r="O135" s="3924">
        <f t="shared" si="319"/>
        <v>7148.6639999999998</v>
      </c>
      <c r="P135" s="3888"/>
      <c r="Q135" s="3888">
        <f>SUM(Q132:Q134)</f>
        <v>26</v>
      </c>
      <c r="R135" s="3888"/>
      <c r="S135" s="3923">
        <f t="shared" si="321"/>
        <v>7174.6639999999998</v>
      </c>
      <c r="T135" s="3888"/>
      <c r="U135" s="3888">
        <f>SUM(U132:U134)</f>
        <v>66</v>
      </c>
      <c r="V135" s="3888"/>
      <c r="W135" s="3923">
        <f t="shared" si="322"/>
        <v>7240.6639999999998</v>
      </c>
      <c r="X135" s="3888"/>
      <c r="Y135" s="3888">
        <f>SUM(Y132:Y134)</f>
        <v>260</v>
      </c>
      <c r="Z135" s="3888"/>
      <c r="AA135" s="3924">
        <f t="shared" si="293"/>
        <v>352</v>
      </c>
      <c r="AB135" s="3888"/>
      <c r="AC135" s="3925">
        <f t="shared" si="324"/>
        <v>7500.6639999999998</v>
      </c>
      <c r="AD135" s="3888"/>
      <c r="AE135" s="3888">
        <f>SUM(AE132:AE134)</f>
        <v>95</v>
      </c>
      <c r="AF135" s="3888"/>
      <c r="AG135" s="3923">
        <f t="shared" si="325"/>
        <v>7595.6639999999998</v>
      </c>
      <c r="AH135" s="3888"/>
      <c r="AI135" s="3888">
        <f>SUM(AI132:AI134)</f>
        <v>0</v>
      </c>
      <c r="AJ135" s="3888"/>
      <c r="AK135" s="3926">
        <f t="shared" si="327"/>
        <v>7595.6639999999998</v>
      </c>
      <c r="AL135" s="3888"/>
      <c r="AM135" s="3888">
        <f>SUM(AM132:AM134)</f>
        <v>38</v>
      </c>
      <c r="AN135" s="3888"/>
      <c r="AO135" s="3924">
        <f t="shared" si="297"/>
        <v>133</v>
      </c>
      <c r="AP135" s="3888"/>
      <c r="AQ135" s="3926">
        <f t="shared" si="329"/>
        <v>7633.6639999999998</v>
      </c>
      <c r="AR135" s="3888"/>
      <c r="AS135" s="3888">
        <f>SUM(AS132:AS134)</f>
        <v>367</v>
      </c>
      <c r="AT135" s="3888"/>
      <c r="AU135" s="3926">
        <f t="shared" si="331"/>
        <v>8000.6639999999998</v>
      </c>
      <c r="AV135" s="3888"/>
      <c r="AW135" s="3888">
        <f>SUM(AW132:AW134)</f>
        <v>256</v>
      </c>
      <c r="AX135" s="3888"/>
      <c r="AY135" s="3926">
        <f t="shared" si="333"/>
        <v>8256.6640000000007</v>
      </c>
      <c r="AZ135" s="3888"/>
      <c r="BA135" s="3888">
        <f>SUM(BA132:BA134)</f>
        <v>104</v>
      </c>
      <c r="BB135" s="3888"/>
      <c r="BC135" s="3924">
        <f t="shared" si="335"/>
        <v>727</v>
      </c>
      <c r="BD135" s="3888"/>
      <c r="BE135" s="3905">
        <f t="shared" si="336"/>
        <v>860</v>
      </c>
      <c r="BF135" s="3888"/>
      <c r="BG135" s="3926">
        <f t="shared" si="337"/>
        <v>8360.6640000000007</v>
      </c>
      <c r="BH135" s="23"/>
    </row>
    <row r="136" spans="1:61" ht="15.75" customHeight="1" thickBot="1" x14ac:dyDescent="0.35">
      <c r="C136" s="3931"/>
      <c r="D136" s="5230" t="s">
        <v>1429</v>
      </c>
      <c r="E136" s="5231"/>
      <c r="F136" s="5231"/>
      <c r="G136" s="3921">
        <f t="shared" ref="G136:AM136" si="338">+G131-G135</f>
        <v>1.9999999996798579E-2</v>
      </c>
      <c r="H136" s="3932">
        <f t="shared" si="338"/>
        <v>0</v>
      </c>
      <c r="I136" s="5470">
        <f t="shared" si="338"/>
        <v>0</v>
      </c>
      <c r="J136" s="5470">
        <f t="shared" si="338"/>
        <v>0</v>
      </c>
      <c r="K136" s="5470">
        <f t="shared" si="338"/>
        <v>1.9999999997708073E-2</v>
      </c>
      <c r="L136" s="3932">
        <f t="shared" si="338"/>
        <v>0</v>
      </c>
      <c r="M136" s="3932">
        <f t="shared" si="338"/>
        <v>4872</v>
      </c>
      <c r="N136" s="3932">
        <f t="shared" si="338"/>
        <v>0</v>
      </c>
      <c r="O136" s="3932">
        <f t="shared" si="338"/>
        <v>4872.0199999999977</v>
      </c>
      <c r="P136" s="3932">
        <f t="shared" si="338"/>
        <v>0</v>
      </c>
      <c r="Q136" s="3932">
        <f t="shared" si="338"/>
        <v>4114</v>
      </c>
      <c r="R136" s="3932">
        <f t="shared" si="338"/>
        <v>0</v>
      </c>
      <c r="S136" s="3932">
        <f t="shared" si="338"/>
        <v>8986.0199999999968</v>
      </c>
      <c r="T136" s="3932">
        <f t="shared" si="338"/>
        <v>0</v>
      </c>
      <c r="U136" s="3932">
        <f t="shared" si="338"/>
        <v>5466.8039999999964</v>
      </c>
      <c r="V136" s="3932">
        <f t="shared" si="338"/>
        <v>0</v>
      </c>
      <c r="W136" s="3932">
        <f t="shared" si="338"/>
        <v>14452.823999999993</v>
      </c>
      <c r="X136" s="3932">
        <f t="shared" si="338"/>
        <v>0</v>
      </c>
      <c r="Y136" s="3932">
        <f t="shared" si="338"/>
        <v>4451</v>
      </c>
      <c r="Z136" s="3932">
        <f t="shared" si="338"/>
        <v>0</v>
      </c>
      <c r="AA136" s="3932">
        <f t="shared" si="338"/>
        <v>14031.803999999996</v>
      </c>
      <c r="AB136" s="3932">
        <f t="shared" si="338"/>
        <v>0</v>
      </c>
      <c r="AC136" s="3932">
        <f t="shared" si="338"/>
        <v>18903.823999999993</v>
      </c>
      <c r="AD136" s="3932">
        <f t="shared" si="338"/>
        <v>0</v>
      </c>
      <c r="AE136" s="3932">
        <f t="shared" si="338"/>
        <v>3924</v>
      </c>
      <c r="AF136" s="3932">
        <f t="shared" si="338"/>
        <v>0</v>
      </c>
      <c r="AG136" s="3932">
        <f t="shared" si="338"/>
        <v>22827.823999999993</v>
      </c>
      <c r="AH136" s="3932">
        <f t="shared" si="338"/>
        <v>0</v>
      </c>
      <c r="AI136" s="3932">
        <f t="shared" si="338"/>
        <v>4065.1359999999986</v>
      </c>
      <c r="AJ136" s="3932">
        <f t="shared" si="338"/>
        <v>0</v>
      </c>
      <c r="AK136" s="3932">
        <f t="shared" si="338"/>
        <v>26892.959999999995</v>
      </c>
      <c r="AL136" s="3932">
        <f t="shared" si="338"/>
        <v>0</v>
      </c>
      <c r="AM136" s="3932">
        <f t="shared" si="338"/>
        <v>3801</v>
      </c>
      <c r="AN136" s="3964"/>
      <c r="AO136" s="3932">
        <f t="shared" ref="AO136:BA136" si="339">+AO131-AO135</f>
        <v>11790.135999999999</v>
      </c>
      <c r="AP136" s="3932">
        <f t="shared" si="339"/>
        <v>0</v>
      </c>
      <c r="AQ136" s="3932">
        <f t="shared" si="339"/>
        <v>30693.959999999995</v>
      </c>
      <c r="AR136" s="3932">
        <f t="shared" si="339"/>
        <v>0</v>
      </c>
      <c r="AS136" s="3932">
        <f t="shared" si="339"/>
        <v>4093</v>
      </c>
      <c r="AT136" s="3932">
        <f t="shared" si="339"/>
        <v>0</v>
      </c>
      <c r="AU136" s="3932">
        <f t="shared" si="339"/>
        <v>34786.959999999999</v>
      </c>
      <c r="AV136" s="3932">
        <f t="shared" si="339"/>
        <v>0</v>
      </c>
      <c r="AW136" s="3932">
        <f t="shared" si="339"/>
        <v>3112.4639999999999</v>
      </c>
      <c r="AX136" s="3932">
        <f t="shared" si="339"/>
        <v>0</v>
      </c>
      <c r="AY136" s="3932">
        <f t="shared" si="339"/>
        <v>37899.423999999999</v>
      </c>
      <c r="AZ136" s="3932">
        <f t="shared" si="339"/>
        <v>0</v>
      </c>
      <c r="BA136" s="3932">
        <f t="shared" si="339"/>
        <v>4220.1100000000006</v>
      </c>
      <c r="BB136" s="3964"/>
      <c r="BC136" s="3932">
        <f>+BC131-BC135</f>
        <v>11425.574000000001</v>
      </c>
      <c r="BD136" s="3932">
        <f>+BD131-BD135</f>
        <v>0</v>
      </c>
      <c r="BE136" s="3932">
        <f>+BE131-BE135</f>
        <v>23215.71</v>
      </c>
      <c r="BF136" s="3932">
        <f>+BF131-BF135</f>
        <v>0</v>
      </c>
      <c r="BG136" s="3932">
        <f>+BG131-BG135</f>
        <v>42119.534</v>
      </c>
      <c r="BH136" s="23"/>
    </row>
    <row r="137" spans="1:61" ht="30" customHeight="1" thickBot="1" x14ac:dyDescent="0.35">
      <c r="C137" s="3884"/>
      <c r="D137" s="3892"/>
      <c r="E137" s="3892"/>
      <c r="F137" s="3881"/>
      <c r="G137" s="3893"/>
      <c r="H137" s="3893"/>
      <c r="I137" s="3893"/>
      <c r="J137" s="3893"/>
      <c r="K137" s="3894"/>
      <c r="L137" s="3893"/>
      <c r="M137" s="3893"/>
      <c r="N137" s="3893"/>
      <c r="O137" s="3895"/>
      <c r="P137" s="3893"/>
      <c r="Q137" s="3893"/>
      <c r="R137" s="3893"/>
      <c r="S137" s="3894"/>
      <c r="T137" s="3893"/>
      <c r="U137" s="3893"/>
      <c r="V137" s="3893"/>
      <c r="W137" s="3894"/>
      <c r="X137" s="3893"/>
      <c r="Y137" s="3893"/>
      <c r="Z137" s="3893"/>
      <c r="AA137" s="3895"/>
      <c r="AB137" s="3893"/>
      <c r="AC137" s="3896"/>
      <c r="AD137" s="3893"/>
      <c r="AE137" s="3893"/>
      <c r="AF137" s="3893"/>
      <c r="AG137" s="3894"/>
      <c r="AH137" s="3893"/>
      <c r="AI137" s="3893"/>
      <c r="AJ137" s="3893"/>
      <c r="AK137" s="3894"/>
      <c r="AL137" s="3893"/>
      <c r="AM137" s="3893"/>
      <c r="AN137" s="3893"/>
      <c r="AO137" s="3895"/>
      <c r="AP137" s="3893"/>
      <c r="AQ137" s="3894"/>
      <c r="AR137" s="3893"/>
      <c r="AS137" s="3893"/>
      <c r="AT137" s="3893"/>
      <c r="AU137" s="3894"/>
      <c r="AV137" s="3893"/>
      <c r="AW137" s="3893"/>
      <c r="AX137" s="3893"/>
      <c r="AY137" s="3894"/>
      <c r="AZ137" s="3893"/>
      <c r="BA137" s="3893"/>
      <c r="BB137" s="3893"/>
      <c r="BC137" s="3895"/>
      <c r="BD137" s="3893"/>
      <c r="BE137" s="3896"/>
      <c r="BF137" s="3893"/>
      <c r="BG137" s="3894"/>
      <c r="BH137" s="23"/>
    </row>
    <row r="138" spans="1:61" ht="18.75" customHeight="1" thickBot="1" x14ac:dyDescent="0.35">
      <c r="C138" s="6277" t="s">
        <v>1439</v>
      </c>
      <c r="D138" s="3897" t="s">
        <v>1435</v>
      </c>
      <c r="E138" s="3897"/>
      <c r="F138" s="3880"/>
      <c r="G138" s="3898">
        <f>+'Maj Production Summ'!F35</f>
        <v>1625.08</v>
      </c>
      <c r="H138" s="3898"/>
      <c r="I138" s="3898">
        <f>+'Maj Production Summ'!H35</f>
        <v>3684.44</v>
      </c>
      <c r="J138" s="3898"/>
      <c r="K138" s="3903">
        <f t="shared" ref="K138:K139" si="340">+G138+I138</f>
        <v>5309.52</v>
      </c>
      <c r="L138" s="3898"/>
      <c r="M138" s="3898">
        <f>+'Maj Production Summ'!L35</f>
        <v>1066</v>
      </c>
      <c r="N138" s="3898"/>
      <c r="O138" s="3904">
        <f t="shared" ref="O138:O139" si="341">+G138+I138+M138</f>
        <v>6375.52</v>
      </c>
      <c r="P138" s="3898"/>
      <c r="Q138" s="3898">
        <f>+'Maj Production Summ'!P35</f>
        <v>463</v>
      </c>
      <c r="R138" s="3898"/>
      <c r="S138" s="3903">
        <f t="shared" ref="S138:S139" si="342">O138+Q138</f>
        <v>6838.52</v>
      </c>
      <c r="T138" s="3898"/>
      <c r="U138" s="3898">
        <f>+'Maj Production Summ'!T35</f>
        <v>8811.77</v>
      </c>
      <c r="V138" s="3898"/>
      <c r="W138" s="3903">
        <f t="shared" ref="W138:W139" si="343">S138+U138</f>
        <v>15650.29</v>
      </c>
      <c r="X138" s="3898"/>
      <c r="Y138" s="3898">
        <f>+'Maj Production Summ'!X35</f>
        <v>1414</v>
      </c>
      <c r="Z138" s="3898"/>
      <c r="AA138" s="3904">
        <f t="shared" si="293"/>
        <v>10688.77</v>
      </c>
      <c r="AB138" s="3898"/>
      <c r="AC138" s="3905">
        <f t="shared" ref="AC138:AC139" si="344">O138+AA138</f>
        <v>17064.29</v>
      </c>
      <c r="AD138" s="3898"/>
      <c r="AE138" s="3898">
        <f>+'Maj Production Summ'!AD35</f>
        <v>11212</v>
      </c>
      <c r="AF138" s="3898"/>
      <c r="AG138" s="3903">
        <f t="shared" ref="AG138:AG139" si="345">+AC138+AE138</f>
        <v>28276.29</v>
      </c>
      <c r="AH138" s="3898"/>
      <c r="AI138" s="3898">
        <f>+'Maj Production Summ'!AH35</f>
        <v>0</v>
      </c>
      <c r="AJ138" s="3898"/>
      <c r="AK138" s="3906">
        <f t="shared" ref="AK138:AK139" si="346">+AG138+AI138</f>
        <v>28276.29</v>
      </c>
      <c r="AL138" s="3898"/>
      <c r="AM138" s="3898">
        <f>+'Maj Production Summ'!AL35</f>
        <v>703.34</v>
      </c>
      <c r="AN138" s="3898"/>
      <c r="AO138" s="3904">
        <f t="shared" si="297"/>
        <v>11915.34</v>
      </c>
      <c r="AP138" s="3898"/>
      <c r="AQ138" s="3906">
        <f>+AK138+AM138</f>
        <v>28979.63</v>
      </c>
      <c r="AR138" s="3898"/>
      <c r="AS138" s="3898">
        <f>+'Maj Production Summ'!AR35</f>
        <v>7040</v>
      </c>
      <c r="AT138" s="3898"/>
      <c r="AU138" s="3906">
        <f t="shared" ref="AU138:AU139" si="347">+AQ138+AS138</f>
        <v>36019.630000000005</v>
      </c>
      <c r="AV138" s="3898"/>
      <c r="AW138" s="3898">
        <f>+'Maj Production Summ'!AV35</f>
        <v>1892</v>
      </c>
      <c r="AX138" s="3898"/>
      <c r="AY138" s="3906">
        <f t="shared" ref="AY138:AY139" si="348">+AU138+AW138</f>
        <v>37911.630000000005</v>
      </c>
      <c r="AZ138" s="3898"/>
      <c r="BA138" s="5025">
        <f>+'Maj Production Summ'!AZ35</f>
        <v>4291.26</v>
      </c>
      <c r="BB138" s="3898"/>
      <c r="BC138" s="3904">
        <f t="shared" ref="BC138:BC139" si="349">AS138+AW138+BA138</f>
        <v>13223.26</v>
      </c>
      <c r="BD138" s="3898"/>
      <c r="BE138" s="3905">
        <f t="shared" ref="BE138:BE139" si="350">AO138+BC138</f>
        <v>25138.6</v>
      </c>
      <c r="BF138" s="3898"/>
      <c r="BG138" s="3906">
        <f t="shared" ref="BG138:BG139" si="351">+AY138+BA138</f>
        <v>42202.890000000007</v>
      </c>
      <c r="BH138" s="23"/>
    </row>
    <row r="139" spans="1:61" ht="18.75" customHeight="1" x14ac:dyDescent="0.3">
      <c r="C139" s="6278"/>
      <c r="D139" s="3907" t="s">
        <v>2175</v>
      </c>
      <c r="E139" s="3907"/>
      <c r="F139" s="3908"/>
      <c r="G139" s="3909">
        <f>+G94</f>
        <v>0</v>
      </c>
      <c r="H139" s="3909"/>
      <c r="I139" s="3909">
        <f>+I94</f>
        <v>2695.7579999999998</v>
      </c>
      <c r="J139" s="3909"/>
      <c r="K139" s="3910">
        <f t="shared" si="340"/>
        <v>2695.7579999999998</v>
      </c>
      <c r="L139" s="3909"/>
      <c r="M139" s="3909">
        <f>+M94</f>
        <v>0</v>
      </c>
      <c r="N139" s="3909"/>
      <c r="O139" s="3911">
        <f t="shared" si="341"/>
        <v>2695.7579999999998</v>
      </c>
      <c r="P139" s="3909"/>
      <c r="Q139" s="3909">
        <f>+Q94</f>
        <v>0</v>
      </c>
      <c r="R139" s="3909"/>
      <c r="S139" s="3910">
        <f t="shared" si="342"/>
        <v>2695.7579999999998</v>
      </c>
      <c r="T139" s="3909"/>
      <c r="U139" s="3909">
        <f>+U94</f>
        <v>5981.4560000000001</v>
      </c>
      <c r="V139" s="3909"/>
      <c r="W139" s="3910">
        <f t="shared" si="343"/>
        <v>8677.2139999999999</v>
      </c>
      <c r="X139" s="3909"/>
      <c r="Y139" s="3909">
        <f>+Y94</f>
        <v>0</v>
      </c>
      <c r="Z139" s="3909"/>
      <c r="AA139" s="3911">
        <f t="shared" si="293"/>
        <v>5981.4560000000001</v>
      </c>
      <c r="AB139" s="3909"/>
      <c r="AC139" s="3912">
        <f t="shared" si="344"/>
        <v>8677.2139999999999</v>
      </c>
      <c r="AD139" s="3909"/>
      <c r="AE139" s="3909">
        <f>+AE94</f>
        <v>9050</v>
      </c>
      <c r="AF139" s="3909"/>
      <c r="AG139" s="3910">
        <f t="shared" si="345"/>
        <v>17727.214</v>
      </c>
      <c r="AH139" s="3909"/>
      <c r="AI139" s="3909">
        <f>+AI94</f>
        <v>0</v>
      </c>
      <c r="AJ139" s="3909"/>
      <c r="AK139" s="3913">
        <f t="shared" si="346"/>
        <v>17727.214</v>
      </c>
      <c r="AL139" s="3909"/>
      <c r="AM139" s="3909">
        <f>+AM94</f>
        <v>0</v>
      </c>
      <c r="AN139" s="3961"/>
      <c r="AO139" s="3911">
        <f t="shared" si="297"/>
        <v>9050</v>
      </c>
      <c r="AP139" s="3909"/>
      <c r="AQ139" s="3913">
        <f>+AK139+AM139</f>
        <v>17727.214</v>
      </c>
      <c r="AR139" s="3909"/>
      <c r="AS139" s="3909">
        <f>+AS94</f>
        <v>5184.16</v>
      </c>
      <c r="AT139" s="3909"/>
      <c r="AU139" s="3913">
        <f t="shared" si="347"/>
        <v>22911.374</v>
      </c>
      <c r="AV139" s="3909"/>
      <c r="AW139" s="3909">
        <f>+AW94</f>
        <v>1223.6179999999999</v>
      </c>
      <c r="AX139" s="3909"/>
      <c r="AY139" s="3913">
        <f t="shared" si="348"/>
        <v>24134.991999999998</v>
      </c>
      <c r="AZ139" s="3909"/>
      <c r="BA139" s="3921">
        <f>+BA94</f>
        <v>2630.7839999999997</v>
      </c>
      <c r="BB139" s="3961"/>
      <c r="BC139" s="3911">
        <f t="shared" si="349"/>
        <v>9038.5619999999999</v>
      </c>
      <c r="BD139" s="3909"/>
      <c r="BE139" s="3905">
        <f t="shared" si="350"/>
        <v>18088.561999999998</v>
      </c>
      <c r="BF139" s="3909"/>
      <c r="BG139" s="3913">
        <f t="shared" si="351"/>
        <v>26765.775999999998</v>
      </c>
      <c r="BH139" s="23"/>
      <c r="BI139" s="23"/>
    </row>
    <row r="140" spans="1:61" ht="18.75" customHeight="1" thickBot="1" x14ac:dyDescent="0.35">
      <c r="C140" s="6278"/>
      <c r="D140" s="3907" t="s">
        <v>1436</v>
      </c>
      <c r="E140" s="3907"/>
      <c r="F140" s="3908"/>
      <c r="G140" s="3914">
        <f>+G139/G138</f>
        <v>0</v>
      </c>
      <c r="H140" s="3914"/>
      <c r="I140" s="3914">
        <f>+I139/I138</f>
        <v>0.73166017088078505</v>
      </c>
      <c r="J140" s="3914"/>
      <c r="K140" s="3915">
        <f t="shared" ref="K140:AG140" si="352">+K139/K138</f>
        <v>0.50772160195271876</v>
      </c>
      <c r="L140" s="3914"/>
      <c r="M140" s="3914">
        <f>+M139/M138</f>
        <v>0</v>
      </c>
      <c r="N140" s="3914"/>
      <c r="O140" s="3916">
        <f t="shared" si="352"/>
        <v>0.42282951037719269</v>
      </c>
      <c r="P140" s="3914"/>
      <c r="Q140" s="3914">
        <f t="shared" si="352"/>
        <v>0</v>
      </c>
      <c r="R140" s="3914"/>
      <c r="S140" s="3915">
        <f t="shared" si="352"/>
        <v>0.39420196182799783</v>
      </c>
      <c r="T140" s="3914"/>
      <c r="U140" s="3914">
        <f t="shared" si="352"/>
        <v>0.67880301006494725</v>
      </c>
      <c r="V140" s="3914"/>
      <c r="W140" s="3915">
        <f t="shared" si="352"/>
        <v>0.55444429464246348</v>
      </c>
      <c r="X140" s="3914"/>
      <c r="Y140" s="3914">
        <f t="shared" ref="Y140" si="353">+Y139/Y138</f>
        <v>0</v>
      </c>
      <c r="Z140" s="3914"/>
      <c r="AA140" s="3916">
        <f t="shared" si="352"/>
        <v>0.55960189993797227</v>
      </c>
      <c r="AB140" s="3914"/>
      <c r="AC140" s="3917">
        <f t="shared" si="352"/>
        <v>0.50850132059405928</v>
      </c>
      <c r="AD140" s="3914"/>
      <c r="AE140" s="3914">
        <f t="shared" si="352"/>
        <v>0.80717088833392792</v>
      </c>
      <c r="AF140" s="3914"/>
      <c r="AG140" s="3915">
        <f t="shared" si="352"/>
        <v>0.62692856806886621</v>
      </c>
      <c r="AH140" s="3914"/>
      <c r="AI140" s="3914" t="e">
        <f t="shared" ref="AI140" si="354">+AI139/AI138</f>
        <v>#DIV/0!</v>
      </c>
      <c r="AJ140" s="3914"/>
      <c r="AK140" s="3918">
        <f t="shared" ref="AK140" si="355">+AK139/AK138</f>
        <v>0.62692856806886621</v>
      </c>
      <c r="AL140" s="3914"/>
      <c r="AM140" s="3914">
        <f t="shared" ref="AM140" si="356">+AM139/AM138</f>
        <v>0</v>
      </c>
      <c r="AN140" s="3962"/>
      <c r="AO140" s="3916">
        <f t="shared" ref="AO140" si="357">+AO139/AO138</f>
        <v>0.75952511636260478</v>
      </c>
      <c r="AP140" s="3914"/>
      <c r="AQ140" s="3918">
        <f t="shared" ref="AQ140" si="358">+AQ139/AQ138</f>
        <v>0.61171291696960928</v>
      </c>
      <c r="AR140" s="3914"/>
      <c r="AS140" s="3914">
        <f t="shared" ref="AS140" si="359">+AS139/AS138</f>
        <v>0.73638636363636356</v>
      </c>
      <c r="AT140" s="3914"/>
      <c r="AU140" s="3918">
        <f t="shared" ref="AU140" si="360">+AU139/AU138</f>
        <v>0.63608021514935043</v>
      </c>
      <c r="AV140" s="3914"/>
      <c r="AW140" s="3914">
        <f t="shared" ref="AW140" si="361">+AW139/AW138</f>
        <v>0.6467325581395349</v>
      </c>
      <c r="AX140" s="3914"/>
      <c r="AY140" s="3918">
        <f t="shared" ref="AY140" si="362">+AY139/AY138</f>
        <v>0.63661182597530086</v>
      </c>
      <c r="AZ140" s="3914"/>
      <c r="BA140" s="5026">
        <f t="shared" ref="BA140" si="363">+BA139/BA138</f>
        <v>0.61305630514114728</v>
      </c>
      <c r="BB140" s="3962"/>
      <c r="BC140" s="3916">
        <f t="shared" ref="BC140" si="364">+BC139/BC138</f>
        <v>0.68353507380177048</v>
      </c>
      <c r="BD140" s="3914"/>
      <c r="BE140" s="3917">
        <f t="shared" ref="BE140" si="365">+BE139/BE138</f>
        <v>0.71955327663433921</v>
      </c>
      <c r="BF140" s="3914"/>
      <c r="BG140" s="3918">
        <f t="shared" ref="BG140" si="366">+BG139/BG138</f>
        <v>0.63421666146560085</v>
      </c>
      <c r="BH140" s="23"/>
    </row>
    <row r="141" spans="1:61" ht="18.75" customHeight="1" thickBot="1" x14ac:dyDescent="0.35">
      <c r="C141" s="6278"/>
      <c r="D141" s="3907" t="s">
        <v>1434</v>
      </c>
      <c r="E141" s="3907"/>
      <c r="F141" s="3908"/>
      <c r="G141" s="3909">
        <f>+G138-G139</f>
        <v>1625.08</v>
      </c>
      <c r="H141" s="3909"/>
      <c r="I141" s="3909">
        <f>+I138-I139</f>
        <v>988.68200000000024</v>
      </c>
      <c r="J141" s="3909"/>
      <c r="K141" s="3910">
        <f t="shared" ref="K141:K147" si="367">+G141+I141</f>
        <v>2613.7620000000002</v>
      </c>
      <c r="L141" s="3909"/>
      <c r="M141" s="3909">
        <f>+M138-M139</f>
        <v>1066</v>
      </c>
      <c r="N141" s="3909"/>
      <c r="O141" s="3911">
        <f t="shared" ref="O141:O147" si="368">+G141+I141+M141</f>
        <v>3679.7620000000002</v>
      </c>
      <c r="P141" s="3909"/>
      <c r="Q141" s="3909">
        <f t="shared" ref="Q141:AE141" si="369">+Q138-Q139</f>
        <v>463</v>
      </c>
      <c r="R141" s="3909"/>
      <c r="S141" s="3910">
        <f t="shared" ref="S141:S147" si="370">O141+Q141</f>
        <v>4142.7620000000006</v>
      </c>
      <c r="T141" s="3909"/>
      <c r="U141" s="3909">
        <f t="shared" si="369"/>
        <v>2830.3140000000003</v>
      </c>
      <c r="V141" s="3909"/>
      <c r="W141" s="3910">
        <f t="shared" ref="W141:W147" si="371">S141+U141</f>
        <v>6973.0760000000009</v>
      </c>
      <c r="X141" s="3909"/>
      <c r="Y141" s="3909">
        <f t="shared" ref="Y141" si="372">+Y138-Y139</f>
        <v>1414</v>
      </c>
      <c r="Z141" s="3909"/>
      <c r="AA141" s="3911">
        <f t="shared" si="293"/>
        <v>4707.3140000000003</v>
      </c>
      <c r="AB141" s="3909"/>
      <c r="AC141" s="3912">
        <f t="shared" ref="AC141:AC147" si="373">O141+AA141</f>
        <v>8387.0760000000009</v>
      </c>
      <c r="AD141" s="3909"/>
      <c r="AE141" s="3909">
        <f t="shared" si="369"/>
        <v>2162</v>
      </c>
      <c r="AF141" s="3909"/>
      <c r="AG141" s="3910">
        <f t="shared" ref="AG141:AG147" si="374">+AC141+AE141</f>
        <v>10549.076000000001</v>
      </c>
      <c r="AH141" s="3909"/>
      <c r="AI141" s="3909">
        <f t="shared" ref="AI141" si="375">+AI138-AI139</f>
        <v>0</v>
      </c>
      <c r="AJ141" s="3909"/>
      <c r="AK141" s="3913">
        <f t="shared" ref="AK141:AK147" si="376">+AG141+AI141</f>
        <v>10549.076000000001</v>
      </c>
      <c r="AL141" s="3909"/>
      <c r="AM141" s="3909">
        <f t="shared" ref="AM141" si="377">+AM138-AM139</f>
        <v>703.34</v>
      </c>
      <c r="AN141" s="3961"/>
      <c r="AO141" s="3911">
        <f t="shared" si="297"/>
        <v>2865.34</v>
      </c>
      <c r="AP141" s="3909"/>
      <c r="AQ141" s="3913">
        <f t="shared" ref="AQ141:AQ147" si="378">+AK141+AM141</f>
        <v>11252.416000000001</v>
      </c>
      <c r="AR141" s="3909"/>
      <c r="AS141" s="3909">
        <f t="shared" ref="AS141" si="379">+AS138-AS139</f>
        <v>1855.8400000000001</v>
      </c>
      <c r="AT141" s="3909"/>
      <c r="AU141" s="3913">
        <f t="shared" ref="AU141:AU147" si="380">+AQ141+AS141</f>
        <v>13108.256000000001</v>
      </c>
      <c r="AV141" s="3909"/>
      <c r="AW141" s="3909">
        <f t="shared" ref="AW141" si="381">+AW138-AW139</f>
        <v>668.38200000000006</v>
      </c>
      <c r="AX141" s="3909"/>
      <c r="AY141" s="3913">
        <f t="shared" ref="AY141:AY147" si="382">+AU141+AW141</f>
        <v>13776.638000000001</v>
      </c>
      <c r="AZ141" s="3909"/>
      <c r="BA141" s="3921">
        <f>+BA138-BA139</f>
        <v>1660.4760000000006</v>
      </c>
      <c r="BB141" s="3961"/>
      <c r="BC141" s="3911">
        <f t="shared" ref="BC141:BC147" si="383">AS141+AW141+BA141</f>
        <v>4184.6980000000003</v>
      </c>
      <c r="BD141" s="3909"/>
      <c r="BE141" s="3905">
        <f t="shared" ref="BE141:BE146" si="384">AO141+BC141</f>
        <v>7050.0380000000005</v>
      </c>
      <c r="BF141" s="3909"/>
      <c r="BG141" s="3913">
        <f t="shared" ref="BG141:BG147" si="385">+AY141+BA141</f>
        <v>15437.114000000001</v>
      </c>
      <c r="BH141" s="23"/>
      <c r="BI141" s="23"/>
    </row>
    <row r="142" spans="1:61" ht="15" customHeight="1" thickBot="1" x14ac:dyDescent="0.35">
      <c r="A142" s="1166"/>
      <c r="B142" s="1166"/>
      <c r="C142" s="6278"/>
      <c r="D142" s="3919" t="s">
        <v>1282</v>
      </c>
      <c r="E142" s="3919"/>
      <c r="F142" s="3920"/>
      <c r="G142" s="3921">
        <f>+SUMIF('GRD SUMM RCL CASTER 3'!$A$7:$A$19,$D142,'GRD SUMM RCL CASTER 3'!C$7:C$19)</f>
        <v>0</v>
      </c>
      <c r="H142" s="3921"/>
      <c r="I142" s="3921">
        <f>+SUMIF('GRD SUMM RCL CASTER 3'!$A$7:$A$19,$D142,'GRD SUMM RCL CASTER 3'!E$7:E$19)</f>
        <v>66.918000000000006</v>
      </c>
      <c r="J142" s="3921"/>
      <c r="K142" s="3910">
        <f t="shared" si="367"/>
        <v>66.918000000000006</v>
      </c>
      <c r="L142" s="3921"/>
      <c r="M142" s="3921">
        <f>+SUMIF('GRD SUMM RCL CASTER 3'!$A$7:$A$19,$D142,'GRD SUMM RCL CASTER 3'!I$7:I$19)</f>
        <v>0</v>
      </c>
      <c r="N142" s="3921"/>
      <c r="O142" s="3911">
        <f t="shared" si="368"/>
        <v>66.918000000000006</v>
      </c>
      <c r="P142" s="3921"/>
      <c r="Q142" s="3921">
        <f>+SUMIF('GRD SUMM RCL CASTER 3'!$A$7:$A$19,$D142,'GRD SUMM RCL CASTER 3'!M$7:M$19)</f>
        <v>0</v>
      </c>
      <c r="R142" s="3921"/>
      <c r="S142" s="3910">
        <f t="shared" si="370"/>
        <v>66.918000000000006</v>
      </c>
      <c r="T142" s="3921"/>
      <c r="U142" s="3921">
        <f>+SUMIF('GRD SUMM RCL CASTER 3'!$A$7:$A$19,$D142,'GRD SUMM RCL CASTER 3'!Q$7:Q$19)</f>
        <v>274.29000000000002</v>
      </c>
      <c r="V142" s="3921"/>
      <c r="W142" s="3910">
        <f t="shared" si="371"/>
        <v>341.20800000000003</v>
      </c>
      <c r="X142" s="3921"/>
      <c r="Y142" s="3921">
        <f>+SUMIF('GRD SUMM RCL CASTER 3'!$A$7:$A$19,$D142,'GRD SUMM RCL CASTER 3'!U$7:U$19)</f>
        <v>0</v>
      </c>
      <c r="Z142" s="3921"/>
      <c r="AA142" s="3911">
        <f t="shared" si="293"/>
        <v>274.29000000000002</v>
      </c>
      <c r="AB142" s="3921"/>
      <c r="AC142" s="3912">
        <f t="shared" si="373"/>
        <v>341.20800000000003</v>
      </c>
      <c r="AD142" s="3921"/>
      <c r="AE142" s="3921">
        <f>+SUMIF('GRD SUMM RCL CASTER 3'!$A$7:$A$19,$D142,'GRD SUMM RCL CASTER 3'!AA$7:AA$19)</f>
        <v>107</v>
      </c>
      <c r="AF142" s="3921"/>
      <c r="AG142" s="3910">
        <f t="shared" si="374"/>
        <v>448.20800000000003</v>
      </c>
      <c r="AH142" s="3921"/>
      <c r="AI142" s="3921">
        <f>+SUMIF('GRD SUMM RCL CASTER 3'!$A$7:$A$19,$D142,'GRD SUMM RCL CASTER 3'!AE$7:AE$19)</f>
        <v>0</v>
      </c>
      <c r="AJ142" s="3921"/>
      <c r="AK142" s="3913">
        <f t="shared" si="376"/>
        <v>448.20800000000003</v>
      </c>
      <c r="AL142" s="3921"/>
      <c r="AM142" s="3921">
        <f>+SUMIF('GRD SUMM RCL CASTER 3'!$A$7:$A$19,$D142,'GRD SUMM RCL CASTER 3'!AI$7:AI$19)</f>
        <v>0</v>
      </c>
      <c r="AN142" s="3963"/>
      <c r="AO142" s="3911">
        <f t="shared" si="297"/>
        <v>107</v>
      </c>
      <c r="AP142" s="3921"/>
      <c r="AQ142" s="3913">
        <f t="shared" si="378"/>
        <v>448.20800000000003</v>
      </c>
      <c r="AR142" s="3921"/>
      <c r="AS142" s="3921">
        <f>+SUMIF('GRD SUMM RCL CASTER 3'!$A$7:$A$19,$D142,'GRD SUMM RCL CASTER 3'!AO$7:AO$19)</f>
        <v>199</v>
      </c>
      <c r="AT142" s="3921"/>
      <c r="AU142" s="3913">
        <f t="shared" si="380"/>
        <v>647.20800000000008</v>
      </c>
      <c r="AV142" s="3921"/>
      <c r="AW142" s="3921">
        <f>+SUMIF('GRD SUMM RCL CASTER 3'!$A$7:$A$19,$D142,'GRD SUMM RCL CASTER 3'!AS$7:AS$19)</f>
        <v>89.55</v>
      </c>
      <c r="AX142" s="3921"/>
      <c r="AY142" s="3913">
        <f t="shared" si="382"/>
        <v>736.75800000000004</v>
      </c>
      <c r="AZ142" s="3921"/>
      <c r="BA142" s="3921">
        <f>+SUMIF('GRD SUMM RCL CASTER 3'!$A$7:$A$19,$D142,'GRD SUMM RCL CASTER 3'!AW$7:AW$19)</f>
        <v>111.07899999999999</v>
      </c>
      <c r="BB142" s="3963"/>
      <c r="BC142" s="3911">
        <f t="shared" si="383"/>
        <v>399.62900000000002</v>
      </c>
      <c r="BD142" s="3921"/>
      <c r="BE142" s="3905">
        <f t="shared" si="384"/>
        <v>506.62900000000002</v>
      </c>
      <c r="BF142" s="3921"/>
      <c r="BG142" s="3913">
        <f t="shared" si="385"/>
        <v>847.83699999999999</v>
      </c>
      <c r="BH142" s="23"/>
    </row>
    <row r="143" spans="1:61" ht="15" customHeight="1" thickBot="1" x14ac:dyDescent="0.35">
      <c r="A143" s="1166"/>
      <c r="B143" s="1166"/>
      <c r="C143" s="6278"/>
      <c r="D143" s="3919" t="s">
        <v>1871</v>
      </c>
      <c r="E143" s="3919"/>
      <c r="F143" s="3920"/>
      <c r="G143" s="3921">
        <f>+SUMIF('GRD SUMM RCL CASTER 3'!$A$7:$A$19,$D143,'GRD SUMM RCL CASTER 3'!C$7:C$19)</f>
        <v>0</v>
      </c>
      <c r="H143" s="3921"/>
      <c r="I143" s="3921">
        <f>+SUMIF('GRD SUMM RCL CASTER 3'!$A$7:$A$19,$D143,'GRD SUMM RCL CASTER 3'!E$7:E$19)</f>
        <v>0</v>
      </c>
      <c r="J143" s="3921"/>
      <c r="K143" s="3910">
        <f t="shared" si="367"/>
        <v>0</v>
      </c>
      <c r="L143" s="3921"/>
      <c r="M143" s="3921">
        <f>+SUMIF('GRD SUMM RCL CASTER 3'!$A$7:$A$19,$D143,'GRD SUMM RCL CASTER 3'!I$7:I$19)</f>
        <v>0</v>
      </c>
      <c r="N143" s="3921"/>
      <c r="O143" s="3911">
        <f t="shared" si="368"/>
        <v>0</v>
      </c>
      <c r="P143" s="3921"/>
      <c r="Q143" s="3921">
        <f>+SUMIF('GRD SUMM RCL CASTER 3'!$A$7:$A$19,$D143,'GRD SUMM RCL CASTER 3'!M$7:M$19)</f>
        <v>0</v>
      </c>
      <c r="R143" s="3921"/>
      <c r="S143" s="3910">
        <f t="shared" si="370"/>
        <v>0</v>
      </c>
      <c r="T143" s="3921"/>
      <c r="U143" s="3921">
        <f>+SUMIF('GRD SUMM RCL CASTER 3'!$A$7:$A$19,$D143,'GRD SUMM RCL CASTER 3'!Q$7:Q$19)</f>
        <v>307.10399999999998</v>
      </c>
      <c r="V143" s="3921"/>
      <c r="W143" s="3910">
        <f t="shared" si="371"/>
        <v>307.10399999999998</v>
      </c>
      <c r="X143" s="3921"/>
      <c r="Y143" s="3921">
        <f>+SUMIF('GRD SUMM RCL CASTER 3'!$A$7:$A$19,$D143,'GRD SUMM RCL CASTER 3'!U$7:U$19)</f>
        <v>0</v>
      </c>
      <c r="Z143" s="3921"/>
      <c r="AA143" s="3911">
        <f t="shared" si="293"/>
        <v>307.10399999999998</v>
      </c>
      <c r="AB143" s="3921"/>
      <c r="AC143" s="3912">
        <f t="shared" si="373"/>
        <v>307.10399999999998</v>
      </c>
      <c r="AD143" s="3921"/>
      <c r="AE143" s="3921">
        <f>+SUMIF('GRD SUMM RCL CASTER 3'!$A$7:$A$19,$D143,'GRD SUMM RCL CASTER 3'!AA$7:AA$19)</f>
        <v>34</v>
      </c>
      <c r="AF143" s="3921"/>
      <c r="AG143" s="3910">
        <f t="shared" si="374"/>
        <v>341.10399999999998</v>
      </c>
      <c r="AH143" s="3921"/>
      <c r="AI143" s="3921">
        <f>+SUMIF('GRD SUMM RCL CASTER 3'!$A$7:$A$19,$D143,'GRD SUMM RCL CASTER 3'!AE$7:AE$19)</f>
        <v>0</v>
      </c>
      <c r="AJ143" s="3921"/>
      <c r="AK143" s="3913">
        <f t="shared" si="376"/>
        <v>341.10399999999998</v>
      </c>
      <c r="AL143" s="3921"/>
      <c r="AM143" s="3921">
        <f>+SUMIF('GRD SUMM RCL CASTER 3'!$A$7:$A$19,$D143,'GRD SUMM RCL CASTER 3'!AI$7:AI$19)</f>
        <v>0</v>
      </c>
      <c r="AN143" s="3963"/>
      <c r="AO143" s="3911">
        <f t="shared" si="297"/>
        <v>34</v>
      </c>
      <c r="AP143" s="3921"/>
      <c r="AQ143" s="3913">
        <f t="shared" si="378"/>
        <v>341.10399999999998</v>
      </c>
      <c r="AR143" s="3921"/>
      <c r="AS143" s="3921">
        <f>+SUMIF('GRD SUMM RCL CASTER 3'!$A$7:$A$19,$D143,'GRD SUMM RCL CASTER 3'!AO$7:AO$19)</f>
        <v>32</v>
      </c>
      <c r="AT143" s="3921"/>
      <c r="AU143" s="3913">
        <f t="shared" si="380"/>
        <v>373.10399999999998</v>
      </c>
      <c r="AV143" s="3921"/>
      <c r="AW143" s="3921">
        <f>+SUMIF('GRD SUMM RCL CASTER 3'!$A$7:$A$19,$D143,'GRD SUMM RCL CASTER 3'!AS$7:AS$19)</f>
        <v>75.492000000000004</v>
      </c>
      <c r="AX143" s="3921"/>
      <c r="AY143" s="3913">
        <f t="shared" si="382"/>
        <v>448.596</v>
      </c>
      <c r="AZ143" s="3921"/>
      <c r="BA143" s="3921">
        <f>+SUMIF('GRD SUMM RCL CASTER 3'!$A$7:$A$19,$D143,'GRD SUMM RCL CASTER 3'!AW$7:AW$19)</f>
        <v>5.2160000000000002</v>
      </c>
      <c r="BB143" s="3963"/>
      <c r="BC143" s="3911">
        <f t="shared" si="383"/>
        <v>112.708</v>
      </c>
      <c r="BD143" s="3921"/>
      <c r="BE143" s="3905">
        <f t="shared" si="384"/>
        <v>146.708</v>
      </c>
      <c r="BF143" s="3921"/>
      <c r="BG143" s="3913">
        <f t="shared" si="385"/>
        <v>453.81200000000001</v>
      </c>
      <c r="BH143" s="23"/>
    </row>
    <row r="144" spans="1:61" ht="15" customHeight="1" thickBot="1" x14ac:dyDescent="0.35">
      <c r="C144" s="6278"/>
      <c r="D144" s="3922" t="s">
        <v>1441</v>
      </c>
      <c r="E144" s="3922"/>
      <c r="F144" s="3908"/>
      <c r="G144" s="3909">
        <f>+'Direct sales IPT details'!E20</f>
        <v>1625.08</v>
      </c>
      <c r="H144" s="3909"/>
      <c r="I144" s="3909">
        <f>+'Direct sales IPT details'!G20</f>
        <v>888.68</v>
      </c>
      <c r="J144" s="3909"/>
      <c r="K144" s="3910">
        <f t="shared" si="367"/>
        <v>2513.7599999999998</v>
      </c>
      <c r="L144" s="3909"/>
      <c r="M144" s="3909">
        <f>+'Direct sales IPT details'!K20</f>
        <v>1065.5999999999999</v>
      </c>
      <c r="N144" s="3909"/>
      <c r="O144" s="3911">
        <f t="shared" si="368"/>
        <v>3579.3599999999997</v>
      </c>
      <c r="P144" s="3909"/>
      <c r="Q144" s="3909">
        <f>+'Direct sales IPT details'!O20</f>
        <v>463.1</v>
      </c>
      <c r="R144" s="3909"/>
      <c r="S144" s="3910">
        <f t="shared" si="370"/>
        <v>4042.4599999999996</v>
      </c>
      <c r="T144" s="3909"/>
      <c r="U144" s="3909">
        <f>+'Direct sales IPT details'!S20</f>
        <v>2248.92</v>
      </c>
      <c r="V144" s="3909"/>
      <c r="W144" s="3910">
        <f t="shared" si="371"/>
        <v>6291.3799999999992</v>
      </c>
      <c r="X144" s="3909"/>
      <c r="Y144" s="3909">
        <f>+'Direct sales IPT details'!W20</f>
        <v>1413.7700000000002</v>
      </c>
      <c r="Z144" s="3909"/>
      <c r="AA144" s="3911">
        <f t="shared" si="293"/>
        <v>4125.79</v>
      </c>
      <c r="AB144" s="3909"/>
      <c r="AC144" s="3912">
        <f t="shared" si="373"/>
        <v>7705.15</v>
      </c>
      <c r="AD144" s="3909"/>
      <c r="AE144" s="3909">
        <f>+'Direct sales IPT details'!AC20</f>
        <v>2004.1</v>
      </c>
      <c r="AF144" s="3909"/>
      <c r="AG144" s="3910">
        <f t="shared" si="374"/>
        <v>9709.25</v>
      </c>
      <c r="AH144" s="3909"/>
      <c r="AI144" s="3909">
        <f>+'Direct sales IPT details'!AG20</f>
        <v>0</v>
      </c>
      <c r="AJ144" s="3909"/>
      <c r="AK144" s="3913">
        <f t="shared" si="376"/>
        <v>9709.25</v>
      </c>
      <c r="AL144" s="3909"/>
      <c r="AM144" s="3909">
        <f>+'Direct sales IPT details'!AK20</f>
        <v>703.34</v>
      </c>
      <c r="AN144" s="3961"/>
      <c r="AO144" s="3911">
        <f t="shared" si="297"/>
        <v>2707.44</v>
      </c>
      <c r="AP144" s="3909"/>
      <c r="AQ144" s="3913">
        <f t="shared" si="378"/>
        <v>10412.59</v>
      </c>
      <c r="AR144" s="3909"/>
      <c r="AS144" s="3909">
        <f>+'Direct sales IPT details'!AQ20</f>
        <v>1589.84</v>
      </c>
      <c r="AT144" s="3909"/>
      <c r="AU144" s="3913">
        <f t="shared" si="380"/>
        <v>12002.43</v>
      </c>
      <c r="AV144" s="3909"/>
      <c r="AW144" s="3909">
        <f>+'Direct sales IPT details'!AU20</f>
        <v>481.34000000000003</v>
      </c>
      <c r="AX144" s="3909"/>
      <c r="AY144" s="3913">
        <f t="shared" si="382"/>
        <v>12483.77</v>
      </c>
      <c r="AZ144" s="3909"/>
      <c r="BA144" s="3921">
        <f>+'Direct sales IPT details'!AY20</f>
        <v>1544.2600000000002</v>
      </c>
      <c r="BB144" s="3961"/>
      <c r="BC144" s="3911">
        <f t="shared" si="383"/>
        <v>3615.44</v>
      </c>
      <c r="BD144" s="3909"/>
      <c r="BE144" s="3905">
        <f t="shared" si="384"/>
        <v>6322.88</v>
      </c>
      <c r="BF144" s="3909"/>
      <c r="BG144" s="3913">
        <f t="shared" si="385"/>
        <v>14028.03</v>
      </c>
      <c r="BH144" s="23"/>
    </row>
    <row r="145" spans="3:60" ht="15" customHeight="1" thickBot="1" x14ac:dyDescent="0.35">
      <c r="C145" s="6278"/>
      <c r="D145" s="3922" t="s">
        <v>1440</v>
      </c>
      <c r="E145" s="3922"/>
      <c r="F145" s="3908"/>
      <c r="G145" s="3909">
        <f>+SMS!F42</f>
        <v>0</v>
      </c>
      <c r="H145" s="3909"/>
      <c r="I145" s="3909">
        <f>+SMS!H42</f>
        <v>33</v>
      </c>
      <c r="J145" s="3909"/>
      <c r="K145" s="3910">
        <f t="shared" si="367"/>
        <v>33</v>
      </c>
      <c r="L145" s="3909"/>
      <c r="M145" s="3909">
        <f>+SMS!L42</f>
        <v>0</v>
      </c>
      <c r="N145" s="3909"/>
      <c r="O145" s="3911">
        <f t="shared" si="368"/>
        <v>33</v>
      </c>
      <c r="P145" s="3909"/>
      <c r="Q145" s="3909">
        <f>+SMS!P42</f>
        <v>0</v>
      </c>
      <c r="R145" s="3909"/>
      <c r="S145" s="3910">
        <f t="shared" si="370"/>
        <v>33</v>
      </c>
      <c r="T145" s="3909"/>
      <c r="U145" s="3909">
        <f>+SMS!T42</f>
        <v>0</v>
      </c>
      <c r="V145" s="3909"/>
      <c r="W145" s="3910">
        <f t="shared" si="371"/>
        <v>33</v>
      </c>
      <c r="X145" s="3909"/>
      <c r="Y145" s="3909">
        <f>+SMS!X42</f>
        <v>0</v>
      </c>
      <c r="Z145" s="3909"/>
      <c r="AA145" s="3911">
        <f t="shared" si="293"/>
        <v>0</v>
      </c>
      <c r="AB145" s="3909"/>
      <c r="AC145" s="3912">
        <f t="shared" si="373"/>
        <v>33</v>
      </c>
      <c r="AD145" s="3909"/>
      <c r="AE145" s="3909">
        <f>+SMS!AD42</f>
        <v>17</v>
      </c>
      <c r="AF145" s="3909"/>
      <c r="AG145" s="3910">
        <f t="shared" si="374"/>
        <v>50</v>
      </c>
      <c r="AH145" s="3909"/>
      <c r="AI145" s="3909">
        <f>+SMS!AH42</f>
        <v>0</v>
      </c>
      <c r="AJ145" s="3909"/>
      <c r="AK145" s="3913">
        <f t="shared" si="376"/>
        <v>50</v>
      </c>
      <c r="AL145" s="3909"/>
      <c r="AM145" s="3909">
        <f>+SMS!AL42</f>
        <v>0</v>
      </c>
      <c r="AN145" s="3961"/>
      <c r="AO145" s="3911">
        <f t="shared" si="297"/>
        <v>17</v>
      </c>
      <c r="AP145" s="3909"/>
      <c r="AQ145" s="3913">
        <f t="shared" si="378"/>
        <v>50</v>
      </c>
      <c r="AR145" s="3909"/>
      <c r="AS145" s="3909">
        <f>+SMS!AR42</f>
        <v>35</v>
      </c>
      <c r="AT145" s="3909"/>
      <c r="AU145" s="3913">
        <f t="shared" si="380"/>
        <v>85</v>
      </c>
      <c r="AV145" s="3909"/>
      <c r="AW145" s="3909">
        <f>+SMS!AV42</f>
        <v>22</v>
      </c>
      <c r="AX145" s="3909"/>
      <c r="AY145" s="3913">
        <f t="shared" si="382"/>
        <v>107</v>
      </c>
      <c r="AZ145" s="3909"/>
      <c r="BA145" s="3909">
        <f>+SMS!AZ42</f>
        <v>0</v>
      </c>
      <c r="BB145" s="3961"/>
      <c r="BC145" s="3911">
        <f t="shared" si="383"/>
        <v>57</v>
      </c>
      <c r="BD145" s="3909"/>
      <c r="BE145" s="3905">
        <f t="shared" si="384"/>
        <v>74</v>
      </c>
      <c r="BF145" s="3909"/>
      <c r="BG145" s="3913">
        <f t="shared" si="385"/>
        <v>107</v>
      </c>
      <c r="BH145" s="23"/>
    </row>
    <row r="146" spans="3:60" ht="15.75" customHeight="1" thickBot="1" x14ac:dyDescent="0.35">
      <c r="C146" s="6279"/>
      <c r="D146" s="3887" t="s">
        <v>21</v>
      </c>
      <c r="E146" s="3887"/>
      <c r="F146" s="3882"/>
      <c r="G146" s="3888">
        <f t="shared" ref="G146" si="386">SUM(G142:G145)</f>
        <v>1625.08</v>
      </c>
      <c r="H146" s="3888"/>
      <c r="I146" s="3888">
        <f t="shared" ref="I146" si="387">SUM(I142:I145)</f>
        <v>988.59799999999996</v>
      </c>
      <c r="J146" s="3888"/>
      <c r="K146" s="3923">
        <f t="shared" si="367"/>
        <v>2613.6779999999999</v>
      </c>
      <c r="L146" s="3888"/>
      <c r="M146" s="3888">
        <f t="shared" ref="M146" si="388">SUM(M142:M145)</f>
        <v>1065.5999999999999</v>
      </c>
      <c r="N146" s="3888"/>
      <c r="O146" s="3924">
        <f t="shared" si="368"/>
        <v>3679.2779999999998</v>
      </c>
      <c r="P146" s="3888"/>
      <c r="Q146" s="3888">
        <f t="shared" ref="Q146:AE146" si="389">SUM(Q142:Q145)</f>
        <v>463.1</v>
      </c>
      <c r="R146" s="3888"/>
      <c r="S146" s="3923">
        <f t="shared" si="370"/>
        <v>4142.3779999999997</v>
      </c>
      <c r="T146" s="3888"/>
      <c r="U146" s="3888">
        <f t="shared" si="389"/>
        <v>2830.3140000000003</v>
      </c>
      <c r="V146" s="3888"/>
      <c r="W146" s="3923">
        <f t="shared" si="371"/>
        <v>6972.692</v>
      </c>
      <c r="X146" s="3888"/>
      <c r="Y146" s="3888">
        <f t="shared" ref="Y146" si="390">SUM(Y142:Y145)</f>
        <v>1413.7700000000002</v>
      </c>
      <c r="Z146" s="3888"/>
      <c r="AA146" s="3924">
        <f t="shared" si="293"/>
        <v>4707.1840000000002</v>
      </c>
      <c r="AB146" s="3888"/>
      <c r="AC146" s="3925">
        <f t="shared" si="373"/>
        <v>8386.4619999999995</v>
      </c>
      <c r="AD146" s="3888"/>
      <c r="AE146" s="3888">
        <f t="shared" si="389"/>
        <v>2162.1</v>
      </c>
      <c r="AF146" s="3888"/>
      <c r="AG146" s="3923">
        <f t="shared" si="374"/>
        <v>10548.562</v>
      </c>
      <c r="AH146" s="3888"/>
      <c r="AI146" s="3888">
        <f t="shared" ref="AI146" si="391">SUM(AI142:AI145)</f>
        <v>0</v>
      </c>
      <c r="AJ146" s="3888"/>
      <c r="AK146" s="3926">
        <f t="shared" si="376"/>
        <v>10548.562</v>
      </c>
      <c r="AL146" s="3888"/>
      <c r="AM146" s="3888">
        <f t="shared" ref="AM146" si="392">SUM(AM142:AM145)</f>
        <v>703.34</v>
      </c>
      <c r="AN146" s="3888"/>
      <c r="AO146" s="3924">
        <f t="shared" si="297"/>
        <v>2865.44</v>
      </c>
      <c r="AP146" s="3888"/>
      <c r="AQ146" s="3926">
        <f t="shared" si="378"/>
        <v>11251.902</v>
      </c>
      <c r="AR146" s="3888"/>
      <c r="AS146" s="3888">
        <f t="shared" ref="AS146" si="393">SUM(AS142:AS145)</f>
        <v>1855.84</v>
      </c>
      <c r="AT146" s="3888"/>
      <c r="AU146" s="3926">
        <f t="shared" si="380"/>
        <v>13107.742</v>
      </c>
      <c r="AV146" s="3888"/>
      <c r="AW146" s="3888">
        <f t="shared" ref="AW146" si="394">SUM(AW142:AW145)</f>
        <v>668.38200000000006</v>
      </c>
      <c r="AX146" s="3888"/>
      <c r="AY146" s="3926">
        <f t="shared" si="382"/>
        <v>13776.124</v>
      </c>
      <c r="AZ146" s="3888"/>
      <c r="BA146" s="3888">
        <f t="shared" ref="BA146" si="395">SUM(BA142:BA145)</f>
        <v>1660.5550000000003</v>
      </c>
      <c r="BB146" s="3888"/>
      <c r="BC146" s="3924">
        <f t="shared" si="383"/>
        <v>4184.777</v>
      </c>
      <c r="BD146" s="3888"/>
      <c r="BE146" s="3905">
        <f t="shared" si="384"/>
        <v>7050.2170000000006</v>
      </c>
      <c r="BF146" s="3888"/>
      <c r="BG146" s="3926">
        <f t="shared" si="385"/>
        <v>15436.679</v>
      </c>
      <c r="BH146" s="23"/>
    </row>
    <row r="147" spans="3:60" s="209" customFormat="1" ht="17.399999999999999" thickBot="1" x14ac:dyDescent="0.35">
      <c r="C147" s="3933"/>
      <c r="D147" s="5230" t="s">
        <v>1429</v>
      </c>
      <c r="E147" s="5230"/>
      <c r="F147" s="5232"/>
      <c r="G147" s="5233">
        <f>+G141-G146</f>
        <v>0</v>
      </c>
      <c r="H147" s="3934"/>
      <c r="I147" s="5233">
        <f>+I141-I146</f>
        <v>8.40000000002874E-2</v>
      </c>
      <c r="J147" s="5233"/>
      <c r="K147" s="5526">
        <f t="shared" si="367"/>
        <v>8.40000000002874E-2</v>
      </c>
      <c r="L147" s="3934"/>
      <c r="M147" s="3934">
        <f>+M141-M146</f>
        <v>0.40000000000009095</v>
      </c>
      <c r="N147" s="3934"/>
      <c r="O147" s="3936">
        <f t="shared" si="368"/>
        <v>0.48400000000037835</v>
      </c>
      <c r="P147" s="3934"/>
      <c r="Q147" s="3934">
        <f t="shared" ref="Q147:AE147" si="396">+Q141-Q146</f>
        <v>-0.10000000000002274</v>
      </c>
      <c r="R147" s="3934"/>
      <c r="S147" s="3935">
        <f t="shared" si="370"/>
        <v>0.38400000000035561</v>
      </c>
      <c r="T147" s="3934"/>
      <c r="U147" s="3934">
        <f t="shared" si="396"/>
        <v>0</v>
      </c>
      <c r="V147" s="3934"/>
      <c r="W147" s="3935">
        <f t="shared" si="371"/>
        <v>0.38400000000035561</v>
      </c>
      <c r="X147" s="3934"/>
      <c r="Y147" s="3934">
        <f t="shared" ref="Y147" si="397">+Y141-Y146</f>
        <v>0.22999999999979082</v>
      </c>
      <c r="Z147" s="3934"/>
      <c r="AA147" s="3936">
        <f t="shared" si="293"/>
        <v>0.12999999999976808</v>
      </c>
      <c r="AB147" s="3934"/>
      <c r="AC147" s="3937">
        <f t="shared" si="373"/>
        <v>0.61400000000014643</v>
      </c>
      <c r="AD147" s="3934"/>
      <c r="AE147" s="3934">
        <f t="shared" si="396"/>
        <v>-9.9999999999909051E-2</v>
      </c>
      <c r="AF147" s="3934"/>
      <c r="AG147" s="3935">
        <f t="shared" si="374"/>
        <v>0.51400000000023738</v>
      </c>
      <c r="AH147" s="3934"/>
      <c r="AI147" s="3934">
        <f t="shared" ref="AI147" si="398">+AI141-AI146</f>
        <v>0</v>
      </c>
      <c r="AJ147" s="3934"/>
      <c r="AK147" s="3938">
        <f t="shared" si="376"/>
        <v>0.51400000000023738</v>
      </c>
      <c r="AL147" s="3934"/>
      <c r="AM147" s="3934">
        <f t="shared" ref="AM147" si="399">+AM141-AM146</f>
        <v>0</v>
      </c>
      <c r="AN147" s="3934"/>
      <c r="AO147" s="3936">
        <f t="shared" si="297"/>
        <v>-9.9999999999909051E-2</v>
      </c>
      <c r="AP147" s="3934"/>
      <c r="AQ147" s="3938">
        <f t="shared" si="378"/>
        <v>0.51400000000023738</v>
      </c>
      <c r="AR147" s="3934"/>
      <c r="AS147" s="3934">
        <f t="shared" ref="AS147" si="400">+AS141-AS146</f>
        <v>0</v>
      </c>
      <c r="AT147" s="3934"/>
      <c r="AU147" s="3938">
        <f t="shared" si="380"/>
        <v>0.51400000000023738</v>
      </c>
      <c r="AV147" s="3934"/>
      <c r="AW147" s="3934">
        <f t="shared" ref="AW147" si="401">+AW141-AW146</f>
        <v>0</v>
      </c>
      <c r="AX147" s="3934"/>
      <c r="AY147" s="3938">
        <f t="shared" si="382"/>
        <v>0.51400000000023738</v>
      </c>
      <c r="AZ147" s="3934"/>
      <c r="BA147" s="3934">
        <f>+BA141-BA146</f>
        <v>-7.8999999999723514E-2</v>
      </c>
      <c r="BB147" s="3934"/>
      <c r="BC147" s="3936">
        <f t="shared" si="383"/>
        <v>-7.8999999999723514E-2</v>
      </c>
      <c r="BD147" s="3934"/>
      <c r="BE147" s="3937">
        <f t="shared" ref="BE147" si="402">AQ147+BC147</f>
        <v>0.43500000000051386</v>
      </c>
      <c r="BF147" s="3934"/>
      <c r="BG147" s="3938">
        <f t="shared" si="385"/>
        <v>0.43500000000051386</v>
      </c>
    </row>
    <row r="148" spans="3:60" x14ac:dyDescent="0.3">
      <c r="E148"/>
      <c r="K148"/>
      <c r="O148"/>
      <c r="S148"/>
      <c r="W148"/>
      <c r="X148"/>
      <c r="Y148"/>
      <c r="AA148"/>
      <c r="AB148"/>
      <c r="AC148"/>
      <c r="AG148"/>
      <c r="AK148"/>
      <c r="AV148" s="209"/>
    </row>
    <row r="149" spans="3:60" x14ac:dyDescent="0.3">
      <c r="E149"/>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row>
    <row r="150" spans="3:60" x14ac:dyDescent="0.3">
      <c r="E150"/>
      <c r="K150"/>
      <c r="O150"/>
      <c r="S150"/>
      <c r="W150"/>
      <c r="X150"/>
      <c r="Y150"/>
      <c r="AA150"/>
      <c r="AB150"/>
      <c r="AC150"/>
      <c r="AG150"/>
      <c r="AK150"/>
    </row>
    <row r="151" spans="3:60" x14ac:dyDescent="0.3">
      <c r="E151"/>
      <c r="K151"/>
      <c r="O151"/>
      <c r="S151"/>
      <c r="W151"/>
      <c r="X151"/>
      <c r="Y151"/>
      <c r="AA151"/>
      <c r="AB151"/>
      <c r="AC151"/>
      <c r="AG151"/>
      <c r="AK151"/>
    </row>
    <row r="152" spans="3:60" x14ac:dyDescent="0.3">
      <c r="E152"/>
      <c r="K152"/>
      <c r="O152"/>
      <c r="S152"/>
      <c r="W152"/>
      <c r="X152"/>
      <c r="Y152"/>
      <c r="AA152"/>
      <c r="AB152"/>
      <c r="AC152"/>
      <c r="AG152"/>
      <c r="AK152"/>
    </row>
    <row r="153" spans="3:60" x14ac:dyDescent="0.3">
      <c r="E153"/>
      <c r="K153"/>
      <c r="O153"/>
      <c r="S153"/>
      <c r="W153"/>
      <c r="X153"/>
      <c r="Y153"/>
      <c r="AA153"/>
      <c r="AB153"/>
      <c r="AC153"/>
      <c r="AG153"/>
      <c r="AK153"/>
    </row>
    <row r="154" spans="3:60" x14ac:dyDescent="0.3">
      <c r="E154"/>
      <c r="K154"/>
      <c r="O154"/>
      <c r="S154"/>
      <c r="W154"/>
      <c r="X154"/>
      <c r="Y154"/>
      <c r="AA154"/>
      <c r="AB154"/>
      <c r="AC154"/>
      <c r="AG154"/>
      <c r="AK154"/>
    </row>
    <row r="155" spans="3:60" x14ac:dyDescent="0.3">
      <c r="E155"/>
      <c r="K155"/>
      <c r="O155"/>
      <c r="S155"/>
      <c r="W155"/>
      <c r="X155"/>
      <c r="Y155"/>
      <c r="AA155"/>
      <c r="AB155"/>
      <c r="AC155"/>
      <c r="AG155"/>
      <c r="AK155"/>
    </row>
    <row r="156" spans="3:60" x14ac:dyDescent="0.3">
      <c r="E156"/>
      <c r="K156"/>
      <c r="O156"/>
      <c r="S156"/>
      <c r="W156"/>
      <c r="X156"/>
      <c r="Y156"/>
      <c r="AA156"/>
      <c r="AB156"/>
      <c r="AC156"/>
      <c r="AG156"/>
      <c r="AK156"/>
    </row>
    <row r="157" spans="3:60" x14ac:dyDescent="0.3">
      <c r="E157"/>
      <c r="K157"/>
      <c r="O157"/>
      <c r="S157"/>
      <c r="W157"/>
      <c r="X157"/>
      <c r="Y157"/>
      <c r="AA157"/>
      <c r="AB157"/>
      <c r="AC157"/>
      <c r="AG157"/>
      <c r="AK157"/>
    </row>
    <row r="158" spans="3:60" x14ac:dyDescent="0.3">
      <c r="E158"/>
      <c r="K158"/>
      <c r="O158"/>
      <c r="S158"/>
      <c r="W158"/>
      <c r="X158"/>
      <c r="Y158"/>
      <c r="AA158"/>
      <c r="AB158"/>
      <c r="AC158"/>
      <c r="AG158"/>
      <c r="AK158"/>
    </row>
    <row r="159" spans="3:60" x14ac:dyDescent="0.3">
      <c r="E159"/>
      <c r="K159"/>
      <c r="O159"/>
      <c r="S159"/>
      <c r="W159"/>
      <c r="X159"/>
      <c r="Y159"/>
      <c r="AA159"/>
      <c r="AB159"/>
      <c r="AC159"/>
      <c r="AG159"/>
      <c r="AK159"/>
    </row>
    <row r="160" spans="3:60" x14ac:dyDescent="0.3">
      <c r="E160"/>
      <c r="K160"/>
      <c r="O160"/>
      <c r="S160"/>
      <c r="W160"/>
      <c r="X160"/>
      <c r="Y160"/>
      <c r="AA160"/>
      <c r="AB160"/>
      <c r="AC160"/>
      <c r="AG160"/>
      <c r="AK160"/>
    </row>
    <row r="161" customFormat="1" x14ac:dyDescent="0.3"/>
    <row r="162" customFormat="1" x14ac:dyDescent="0.3"/>
    <row r="163" customFormat="1" x14ac:dyDescent="0.3"/>
    <row r="164" customFormat="1" x14ac:dyDescent="0.3"/>
    <row r="165" customFormat="1" x14ac:dyDescent="0.3"/>
    <row r="166" customFormat="1" x14ac:dyDescent="0.3"/>
    <row r="167" customFormat="1" x14ac:dyDescent="0.3"/>
    <row r="168" customFormat="1" x14ac:dyDescent="0.3"/>
    <row r="169" customFormat="1" x14ac:dyDescent="0.3"/>
    <row r="170" customFormat="1" x14ac:dyDescent="0.3"/>
    <row r="171" customFormat="1" x14ac:dyDescent="0.3"/>
    <row r="172" customFormat="1" x14ac:dyDescent="0.3"/>
    <row r="173" customFormat="1" x14ac:dyDescent="0.3"/>
    <row r="174" customFormat="1" x14ac:dyDescent="0.3"/>
    <row r="175" customFormat="1" x14ac:dyDescent="0.3"/>
    <row r="176" customFormat="1" x14ac:dyDescent="0.3"/>
    <row r="177" spans="5:37" x14ac:dyDescent="0.3">
      <c r="E177"/>
      <c r="K177"/>
      <c r="O177"/>
      <c r="S177"/>
      <c r="W177"/>
      <c r="X177"/>
      <c r="Y177"/>
      <c r="AA177"/>
      <c r="AB177"/>
      <c r="AC177"/>
      <c r="AG177"/>
      <c r="AK177"/>
    </row>
    <row r="178" spans="5:37" x14ac:dyDescent="0.3">
      <c r="E178"/>
      <c r="K178"/>
      <c r="O178"/>
      <c r="S178"/>
      <c r="W178"/>
      <c r="X178"/>
      <c r="Y178"/>
      <c r="AA178"/>
      <c r="AB178"/>
      <c r="AC178"/>
      <c r="AG178"/>
      <c r="AK178"/>
    </row>
    <row r="179" spans="5:37" x14ac:dyDescent="0.3">
      <c r="E179"/>
      <c r="K179"/>
      <c r="O179"/>
      <c r="S179"/>
      <c r="W179"/>
      <c r="X179"/>
      <c r="Y179"/>
      <c r="AA179"/>
      <c r="AB179"/>
      <c r="AC179"/>
      <c r="AG179"/>
      <c r="AK179"/>
    </row>
    <row r="180" spans="5:37" x14ac:dyDescent="0.3">
      <c r="E180"/>
      <c r="K180"/>
      <c r="O180"/>
      <c r="S180"/>
      <c r="W180"/>
      <c r="X180"/>
      <c r="Y180"/>
      <c r="AA180"/>
      <c r="AB180"/>
      <c r="AC180"/>
      <c r="AG180"/>
      <c r="AK180"/>
    </row>
    <row r="181" spans="5:37" x14ac:dyDescent="0.3">
      <c r="E181"/>
      <c r="K181"/>
      <c r="O181"/>
      <c r="S181"/>
      <c r="W181"/>
      <c r="X181"/>
      <c r="Y181"/>
      <c r="AA181"/>
      <c r="AB181"/>
      <c r="AC181"/>
      <c r="AG181"/>
      <c r="AK181"/>
    </row>
    <row r="182" spans="5:37" x14ac:dyDescent="0.3">
      <c r="E182"/>
      <c r="K182"/>
      <c r="O182"/>
      <c r="S182"/>
      <c r="W182"/>
      <c r="X182"/>
      <c r="Y182"/>
      <c r="AA182"/>
      <c r="AB182"/>
      <c r="AC182"/>
      <c r="AG182"/>
      <c r="AK182"/>
    </row>
    <row r="183" spans="5:37" x14ac:dyDescent="0.3">
      <c r="E183"/>
      <c r="K183"/>
      <c r="O183"/>
      <c r="S183"/>
      <c r="W183"/>
      <c r="X183"/>
      <c r="Y183"/>
      <c r="AA183"/>
      <c r="AB183"/>
      <c r="AC183"/>
      <c r="AG183"/>
      <c r="AK183"/>
    </row>
    <row r="184" spans="5:37" x14ac:dyDescent="0.3">
      <c r="E184"/>
      <c r="K184"/>
      <c r="O184"/>
      <c r="S184"/>
      <c r="W184"/>
      <c r="X184"/>
      <c r="Y184"/>
      <c r="AA184"/>
      <c r="AB184"/>
      <c r="AC184"/>
      <c r="AG184"/>
      <c r="AK184"/>
    </row>
    <row r="185" spans="5:37" x14ac:dyDescent="0.3">
      <c r="E185"/>
      <c r="K185"/>
      <c r="O185"/>
      <c r="S185"/>
      <c r="W185"/>
      <c r="X185"/>
      <c r="Y185"/>
      <c r="AA185"/>
      <c r="AB185"/>
      <c r="AC185"/>
      <c r="AG185"/>
      <c r="AK185"/>
    </row>
    <row r="186" spans="5:37" x14ac:dyDescent="0.3">
      <c r="E186"/>
      <c r="K186"/>
      <c r="O186"/>
      <c r="S186"/>
      <c r="W186"/>
      <c r="X186"/>
      <c r="Y186"/>
      <c r="AA186"/>
      <c r="AB186"/>
      <c r="AC186"/>
      <c r="AG186"/>
      <c r="AK186"/>
    </row>
    <row r="187" spans="5:37" x14ac:dyDescent="0.3">
      <c r="E187"/>
    </row>
    <row r="188" spans="5:37" x14ac:dyDescent="0.3">
      <c r="E188"/>
    </row>
  </sheetData>
  <mergeCells count="39">
    <mergeCell ref="C1:AQ1"/>
    <mergeCell ref="C138:C146"/>
    <mergeCell ref="V3:W3"/>
    <mergeCell ref="C108:C117"/>
    <mergeCell ref="C120:C122"/>
    <mergeCell ref="C124:C126"/>
    <mergeCell ref="C128:C135"/>
    <mergeCell ref="J3:K3"/>
    <mergeCell ref="L3:M3"/>
    <mergeCell ref="P3:Q3"/>
    <mergeCell ref="R3:S3"/>
    <mergeCell ref="T3:U3"/>
    <mergeCell ref="AH3:AI3"/>
    <mergeCell ref="AJ3:AK3"/>
    <mergeCell ref="Z3:AA3"/>
    <mergeCell ref="AP3:AQ3"/>
    <mergeCell ref="C98:D98"/>
    <mergeCell ref="N3:O3"/>
    <mergeCell ref="C96:D96"/>
    <mergeCell ref="C38:D38"/>
    <mergeCell ref="C46:D46"/>
    <mergeCell ref="C54:D54"/>
    <mergeCell ref="C79:D79"/>
    <mergeCell ref="C94:D94"/>
    <mergeCell ref="C95:D95"/>
    <mergeCell ref="F3:G3"/>
    <mergeCell ref="H3:I3"/>
    <mergeCell ref="E4:E95"/>
    <mergeCell ref="AZ3:BA3"/>
    <mergeCell ref="BF3:BG3"/>
    <mergeCell ref="BB3:BC3"/>
    <mergeCell ref="AD3:AE3"/>
    <mergeCell ref="AF3:AG3"/>
    <mergeCell ref="AL3:AM3"/>
    <mergeCell ref="AN3:AO3"/>
    <mergeCell ref="AR3:AS3"/>
    <mergeCell ref="AV3:AW3"/>
    <mergeCell ref="AT3:AU3"/>
    <mergeCell ref="AX3:AY3"/>
  </mergeCells>
  <printOptions horizontalCentered="1" verticalCentered="1"/>
  <pageMargins left="0" right="0" top="0" bottom="0" header="0" footer="0"/>
  <pageSetup scale="34"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0">
    <tabColor rgb="FF996633"/>
    <pageSetUpPr fitToPage="1"/>
  </sheetPr>
  <dimension ref="A1:BR106"/>
  <sheetViews>
    <sheetView zoomScaleNormal="100" zoomScaleSheetLayoutView="98" workbookViewId="0">
      <pane xSplit="8" topLeftCell="I1" activePane="topRight" state="frozen"/>
      <selection activeCell="BG78" sqref="BG78"/>
      <selection pane="topRight" activeCell="BM53" sqref="BM53"/>
    </sheetView>
  </sheetViews>
  <sheetFormatPr defaultColWidth="9.109375" defaultRowHeight="14.4" x14ac:dyDescent="0.3"/>
  <cols>
    <col min="1" max="1" width="16.88671875" style="251" hidden="1" customWidth="1"/>
    <col min="2" max="2" width="56.6640625" hidden="1" customWidth="1"/>
    <col min="3" max="3" width="6.109375" style="252" hidden="1" customWidth="1"/>
    <col min="4" max="4" width="11.109375" style="255" hidden="1" customWidth="1"/>
    <col min="5" max="5" width="8.109375" hidden="1" customWidth="1"/>
    <col min="6" max="6" width="13.33203125" customWidth="1"/>
    <col min="7" max="7" width="8.44140625" style="236" bestFit="1" customWidth="1"/>
    <col min="8" max="8" width="55" bestFit="1" customWidth="1"/>
    <col min="9" max="10" width="11.6640625" bestFit="1" customWidth="1"/>
    <col min="11" max="11" width="11.6640625" customWidth="1"/>
    <col min="12" max="13" width="14.33203125" customWidth="1"/>
    <col min="14" max="14" width="14.109375" customWidth="1"/>
    <col min="15" max="15" width="11.33203125" style="137" hidden="1" customWidth="1"/>
    <col min="16" max="16" width="11.6640625" hidden="1" customWidth="1"/>
    <col min="17" max="18" width="12.33203125" hidden="1" customWidth="1"/>
    <col min="19" max="19" width="11.6640625" style="137" hidden="1" customWidth="1"/>
    <col min="20" max="21" width="11.6640625" hidden="1" customWidth="1"/>
    <col min="22" max="22" width="14.109375" hidden="1" customWidth="1"/>
    <col min="23" max="23" width="11.6640625" style="137" hidden="1" customWidth="1"/>
    <col min="24" max="25" width="11.6640625" hidden="1" customWidth="1"/>
    <col min="26" max="26" width="14.109375" hidden="1" customWidth="1"/>
    <col min="27" max="27" width="12.33203125" hidden="1" customWidth="1"/>
    <col min="28" max="28" width="11.6640625" hidden="1" customWidth="1"/>
    <col min="29" max="29" width="12.33203125" hidden="1" customWidth="1"/>
    <col min="30" max="30" width="11.6640625" hidden="1" customWidth="1"/>
    <col min="31" max="31" width="17.109375" hidden="1" customWidth="1"/>
    <col min="32" max="33" width="11.6640625" hidden="1" customWidth="1"/>
    <col min="34" max="34" width="11.6640625" style="251" hidden="1" customWidth="1"/>
    <col min="35" max="35" width="12.88671875" style="251" hidden="1" customWidth="1"/>
    <col min="36" max="36" width="14.109375" hidden="1" customWidth="1"/>
    <col min="37" max="37" width="12.33203125" hidden="1" customWidth="1"/>
    <col min="38" max="38" width="11.6640625" hidden="1" customWidth="1"/>
    <col min="39" max="39" width="17.109375" hidden="1" customWidth="1"/>
    <col min="40" max="40" width="14.109375" hidden="1" customWidth="1"/>
    <col min="41" max="41" width="12.33203125" hidden="1" customWidth="1"/>
    <col min="42" max="42" width="11.6640625" hidden="1" customWidth="1"/>
    <col min="43" max="43" width="12.33203125" hidden="1" customWidth="1"/>
    <col min="44" max="44" width="11.6640625" hidden="1" customWidth="1"/>
    <col min="45" max="46" width="12.88671875" hidden="1" customWidth="1"/>
    <col min="47" max="47" width="12.33203125" hidden="1" customWidth="1"/>
    <col min="48" max="48" width="14.109375" hidden="1" customWidth="1"/>
    <col min="49" max="50" width="12.88671875" hidden="1" customWidth="1"/>
    <col min="51" max="51" width="12.33203125" hidden="1" customWidth="1"/>
    <col min="52" max="52" width="11.6640625" hidden="1" customWidth="1"/>
    <col min="53" max="54" width="12.88671875" hidden="1" customWidth="1"/>
    <col min="55" max="55" width="12.33203125" hidden="1" customWidth="1"/>
    <col min="56" max="56" width="11.6640625" hidden="1" customWidth="1"/>
    <col min="57" max="58" width="12.33203125" hidden="1" customWidth="1"/>
    <col min="59" max="59" width="12.88671875" hidden="1" customWidth="1"/>
    <col min="60" max="60" width="11.6640625" hidden="1" customWidth="1"/>
    <col min="61" max="62" width="12.88671875" hidden="1" customWidth="1"/>
    <col min="63" max="63" width="13.6640625" bestFit="1" customWidth="1"/>
    <col min="64" max="64" width="11.33203125" customWidth="1"/>
    <col min="65" max="65" width="13.6640625" bestFit="1" customWidth="1"/>
    <col min="66" max="66" width="15.6640625" bestFit="1" customWidth="1"/>
    <col min="67" max="67" width="12.33203125" bestFit="1" customWidth="1"/>
    <col min="69" max="69" width="12" bestFit="1" customWidth="1"/>
    <col min="70" max="70" width="10.6640625" bestFit="1" customWidth="1"/>
  </cols>
  <sheetData>
    <row r="1" spans="1:70" ht="22.8" x14ac:dyDescent="0.4">
      <c r="B1" s="16" t="s">
        <v>472</v>
      </c>
      <c r="C1" s="254"/>
      <c r="G1" s="836"/>
      <c r="H1" s="357" t="s">
        <v>472</v>
      </c>
      <c r="I1" s="3814"/>
      <c r="J1" s="3814"/>
      <c r="K1" s="3814"/>
      <c r="L1" s="3814"/>
      <c r="M1" s="3814"/>
      <c r="N1" s="3814"/>
      <c r="O1" s="3814"/>
      <c r="P1" s="3814"/>
      <c r="Q1" s="3814"/>
      <c r="R1" s="3814"/>
      <c r="S1" s="3814"/>
      <c r="T1" s="3814"/>
      <c r="U1" s="3814"/>
      <c r="V1" s="3814"/>
      <c r="W1" s="3814"/>
      <c r="X1" s="3814"/>
      <c r="Y1" s="3814"/>
      <c r="Z1" s="3814"/>
      <c r="AA1" s="3814"/>
      <c r="AB1" s="3814"/>
      <c r="AC1" s="3814"/>
      <c r="AD1" s="3814"/>
      <c r="AE1" s="3814"/>
      <c r="AF1" s="3814"/>
      <c r="AG1" s="3814"/>
      <c r="AH1" s="3814"/>
      <c r="AI1" s="3814"/>
      <c r="AJ1" s="3965"/>
      <c r="AK1" s="3965"/>
      <c r="AL1" s="3965"/>
      <c r="AM1" s="3814"/>
      <c r="AN1" s="3814"/>
    </row>
    <row r="2" spans="1:70" x14ac:dyDescent="0.3">
      <c r="B2" s="4"/>
      <c r="C2" s="254"/>
      <c r="G2" s="836"/>
      <c r="H2" s="41"/>
      <c r="I2" s="41"/>
      <c r="J2" s="88"/>
      <c r="K2" s="88"/>
      <c r="L2" s="88"/>
      <c r="M2" s="88"/>
      <c r="N2" s="88"/>
      <c r="O2" s="142"/>
      <c r="P2" s="88"/>
      <c r="Q2" s="88"/>
      <c r="R2" s="88"/>
      <c r="S2" s="142"/>
      <c r="T2" s="88"/>
      <c r="U2" s="88"/>
      <c r="V2" s="88"/>
      <c r="W2" s="142"/>
      <c r="X2" s="88"/>
      <c r="Y2" s="88"/>
      <c r="Z2" s="88"/>
      <c r="AA2" s="88"/>
      <c r="AB2" s="3740"/>
      <c r="AC2" s="88"/>
      <c r="AD2" s="88"/>
      <c r="AE2" s="88"/>
      <c r="AF2" s="88"/>
      <c r="AH2" s="3740"/>
      <c r="AI2" s="88"/>
      <c r="AK2" s="1111"/>
    </row>
    <row r="3" spans="1:70" ht="15" thickBot="1" x14ac:dyDescent="0.35">
      <c r="B3" s="21"/>
      <c r="C3" s="22"/>
      <c r="D3" s="256">
        <v>30</v>
      </c>
      <c r="E3" s="256">
        <v>31</v>
      </c>
      <c r="G3" s="836"/>
      <c r="H3" s="41"/>
      <c r="I3" s="189">
        <v>30</v>
      </c>
      <c r="J3" s="316">
        <v>30</v>
      </c>
      <c r="K3" s="316">
        <v>31</v>
      </c>
      <c r="L3" s="316">
        <v>31</v>
      </c>
      <c r="M3" s="837">
        <f>+I3+K3</f>
        <v>61</v>
      </c>
      <c r="N3" s="837">
        <f>+J3+L3</f>
        <v>61</v>
      </c>
      <c r="O3" s="597">
        <v>30</v>
      </c>
      <c r="P3" s="316">
        <v>30</v>
      </c>
      <c r="Q3" s="316">
        <f>+M3+O3</f>
        <v>91</v>
      </c>
      <c r="R3" s="316">
        <f>+N3+P3</f>
        <v>91</v>
      </c>
      <c r="S3" s="536">
        <v>31</v>
      </c>
      <c r="T3" s="316">
        <v>31</v>
      </c>
      <c r="U3" s="837">
        <f>+Q3+S3</f>
        <v>122</v>
      </c>
      <c r="V3" s="837">
        <f>+R3+T3</f>
        <v>122</v>
      </c>
      <c r="W3" s="536">
        <v>31</v>
      </c>
      <c r="X3" s="316">
        <v>31</v>
      </c>
      <c r="Y3" s="837">
        <f>+U3+W3</f>
        <v>153</v>
      </c>
      <c r="Z3" s="837">
        <f>+V3+X3</f>
        <v>153</v>
      </c>
      <c r="AA3" s="316">
        <v>30</v>
      </c>
      <c r="AB3" s="316">
        <v>30</v>
      </c>
      <c r="AC3" s="316">
        <f>+AA3+W3+S3</f>
        <v>92</v>
      </c>
      <c r="AD3" s="316">
        <f>+AB3+X3+T3</f>
        <v>92</v>
      </c>
      <c r="AE3" s="837">
        <f>+Y3+AA3</f>
        <v>183</v>
      </c>
      <c r="AF3" s="837">
        <f>+Z3+AB3</f>
        <v>183</v>
      </c>
      <c r="AG3" s="316">
        <v>31</v>
      </c>
      <c r="AH3" s="316">
        <v>31</v>
      </c>
      <c r="AI3" s="837">
        <f>+AE3+AG3</f>
        <v>214</v>
      </c>
      <c r="AJ3" s="837">
        <f>+AF3+AH3</f>
        <v>214</v>
      </c>
      <c r="AK3" s="316">
        <v>30</v>
      </c>
      <c r="AL3" s="316">
        <v>30</v>
      </c>
      <c r="AM3" s="837">
        <f>+AI3+AK3</f>
        <v>244</v>
      </c>
      <c r="AN3" s="837">
        <f>+AJ3+AL3</f>
        <v>244</v>
      </c>
      <c r="AO3" s="316">
        <v>31</v>
      </c>
      <c r="AP3" s="316">
        <v>31</v>
      </c>
      <c r="AQ3" s="316">
        <f>+AO3+AK3+AG3</f>
        <v>92</v>
      </c>
      <c r="AR3" s="316">
        <f>+AP3+AL3+AH3</f>
        <v>92</v>
      </c>
      <c r="AS3" s="837">
        <f>+AM3+AO3</f>
        <v>275</v>
      </c>
      <c r="AT3" s="837">
        <f>+AN3+AP3</f>
        <v>275</v>
      </c>
      <c r="AU3" s="316">
        <v>31</v>
      </c>
      <c r="AV3" s="316">
        <v>31</v>
      </c>
      <c r="AW3" s="837">
        <f>+AS3+AU3</f>
        <v>306</v>
      </c>
      <c r="AX3" s="837">
        <f>+AT3+AV3</f>
        <v>306</v>
      </c>
      <c r="AY3" s="316">
        <v>28</v>
      </c>
      <c r="AZ3" s="316">
        <v>28</v>
      </c>
      <c r="BA3" s="837">
        <f>+AW3+AY3</f>
        <v>334</v>
      </c>
      <c r="BB3" s="837">
        <f>+AX3+AZ3</f>
        <v>334</v>
      </c>
      <c r="BC3" s="316">
        <v>31</v>
      </c>
      <c r="BD3" s="316">
        <v>31</v>
      </c>
      <c r="BE3" s="316">
        <f>+BC3+AY3+AU3</f>
        <v>90</v>
      </c>
      <c r="BF3" s="316">
        <f>+BD3+AZ3+AV3</f>
        <v>90</v>
      </c>
      <c r="BG3" s="837">
        <f>AQ3+BE3</f>
        <v>182</v>
      </c>
      <c r="BH3" s="837">
        <f>AR3+BF3</f>
        <v>182</v>
      </c>
      <c r="BI3" s="837">
        <f>+BA3+BC3</f>
        <v>365</v>
      </c>
      <c r="BJ3" s="837">
        <f>+BB3+BD3</f>
        <v>365</v>
      </c>
    </row>
    <row r="4" spans="1:70" ht="22.8" x14ac:dyDescent="0.3">
      <c r="B4" s="257" t="s">
        <v>134</v>
      </c>
      <c r="C4" s="6301" t="s">
        <v>171</v>
      </c>
      <c r="D4" s="258" t="s">
        <v>640</v>
      </c>
      <c r="E4" s="259" t="s">
        <v>641</v>
      </c>
      <c r="G4" s="838"/>
      <c r="H4" s="1303" t="s">
        <v>134</v>
      </c>
      <c r="I4" s="6305" t="s">
        <v>2211</v>
      </c>
      <c r="J4" s="5844"/>
      <c r="K4" s="6204" t="s">
        <v>2260</v>
      </c>
      <c r="L4" s="6286"/>
      <c r="M4" s="6287" t="s">
        <v>14</v>
      </c>
      <c r="N4" s="6288"/>
      <c r="O4" s="6306" t="s">
        <v>1963</v>
      </c>
      <c r="P4" s="5844"/>
      <c r="Q4" s="6293" t="s">
        <v>759</v>
      </c>
      <c r="R4" s="6294"/>
      <c r="S4" s="6204" t="s">
        <v>1985</v>
      </c>
      <c r="T4" s="6286"/>
      <c r="U4" s="6287" t="s">
        <v>17</v>
      </c>
      <c r="V4" s="6288"/>
      <c r="W4" s="6204" t="s">
        <v>1988</v>
      </c>
      <c r="X4" s="6286"/>
      <c r="Y4" s="6287" t="s">
        <v>18</v>
      </c>
      <c r="Z4" s="6288"/>
      <c r="AA4" s="6204" t="s">
        <v>2019</v>
      </c>
      <c r="AB4" s="6286"/>
      <c r="AC4" s="6293" t="s">
        <v>797</v>
      </c>
      <c r="AD4" s="6294"/>
      <c r="AE4" s="6295" t="s">
        <v>623</v>
      </c>
      <c r="AF4" s="6296"/>
      <c r="AG4" s="6204" t="s">
        <v>2043</v>
      </c>
      <c r="AH4" s="6286"/>
      <c r="AI4" s="6287" t="s">
        <v>24</v>
      </c>
      <c r="AJ4" s="6288"/>
      <c r="AK4" s="6204" t="s">
        <v>2064</v>
      </c>
      <c r="AL4" s="6286"/>
      <c r="AM4" s="6287" t="s">
        <v>27</v>
      </c>
      <c r="AN4" s="6288"/>
      <c r="AO4" s="6204" t="s">
        <v>2088</v>
      </c>
      <c r="AP4" s="6286"/>
      <c r="AQ4" s="6293" t="s">
        <v>1564</v>
      </c>
      <c r="AR4" s="6294"/>
      <c r="AS4" s="6287" t="s">
        <v>1565</v>
      </c>
      <c r="AT4" s="6288"/>
      <c r="AU4" s="6204" t="s">
        <v>2099</v>
      </c>
      <c r="AV4" s="6286"/>
      <c r="AW4" s="6287" t="s">
        <v>28</v>
      </c>
      <c r="AX4" s="6288"/>
      <c r="AY4" s="6204" t="s">
        <v>2136</v>
      </c>
      <c r="AZ4" s="6286"/>
      <c r="BA4" s="6287" t="s">
        <v>30</v>
      </c>
      <c r="BB4" s="6288"/>
      <c r="BC4" s="6204" t="s">
        <v>2154</v>
      </c>
      <c r="BD4" s="6286"/>
      <c r="BE4" s="6293" t="s">
        <v>1600</v>
      </c>
      <c r="BF4" s="6294"/>
      <c r="BG4" s="6295" t="s">
        <v>634</v>
      </c>
      <c r="BH4" s="6296"/>
      <c r="BI4" s="6287" t="s">
        <v>1961</v>
      </c>
      <c r="BJ4" s="6288"/>
    </row>
    <row r="5" spans="1:70" ht="15" thickBot="1" x14ac:dyDescent="0.35">
      <c r="A5" s="246" t="s">
        <v>707</v>
      </c>
      <c r="B5" s="260" t="s">
        <v>394</v>
      </c>
      <c r="C5" s="6302"/>
      <c r="D5" s="258" t="s">
        <v>173</v>
      </c>
      <c r="E5" s="259" t="s">
        <v>173</v>
      </c>
      <c r="G5" s="840"/>
      <c r="H5" s="822"/>
      <c r="I5" s="1199" t="s">
        <v>172</v>
      </c>
      <c r="J5" s="651" t="s">
        <v>173</v>
      </c>
      <c r="K5" s="651" t="s">
        <v>172</v>
      </c>
      <c r="L5" s="720" t="s">
        <v>173</v>
      </c>
      <c r="M5" s="652" t="s">
        <v>172</v>
      </c>
      <c r="N5" s="841" t="s">
        <v>173</v>
      </c>
      <c r="O5" s="1421" t="s">
        <v>172</v>
      </c>
      <c r="P5" s="651" t="s">
        <v>173</v>
      </c>
      <c r="Q5" s="653" t="s">
        <v>172</v>
      </c>
      <c r="R5" s="842" t="s">
        <v>173</v>
      </c>
      <c r="S5" s="744" t="s">
        <v>172</v>
      </c>
      <c r="T5" s="720" t="s">
        <v>173</v>
      </c>
      <c r="U5" s="652" t="s">
        <v>172</v>
      </c>
      <c r="V5" s="841" t="s">
        <v>173</v>
      </c>
      <c r="W5" s="744" t="s">
        <v>172</v>
      </c>
      <c r="X5" s="720" t="s">
        <v>173</v>
      </c>
      <c r="Y5" s="652" t="s">
        <v>172</v>
      </c>
      <c r="Z5" s="841" t="s">
        <v>173</v>
      </c>
      <c r="AA5" s="744" t="s">
        <v>172</v>
      </c>
      <c r="AB5" s="720" t="s">
        <v>173</v>
      </c>
      <c r="AC5" s="653" t="s">
        <v>172</v>
      </c>
      <c r="AD5" s="842" t="s">
        <v>173</v>
      </c>
      <c r="AE5" s="733" t="s">
        <v>172</v>
      </c>
      <c r="AF5" s="735" t="s">
        <v>173</v>
      </c>
      <c r="AG5" s="744" t="s">
        <v>172</v>
      </c>
      <c r="AH5" s="720" t="s">
        <v>173</v>
      </c>
      <c r="AI5" s="652" t="s">
        <v>172</v>
      </c>
      <c r="AJ5" s="841" t="s">
        <v>173</v>
      </c>
      <c r="AK5" s="744" t="s">
        <v>172</v>
      </c>
      <c r="AL5" s="720" t="s">
        <v>173</v>
      </c>
      <c r="AM5" s="652" t="s">
        <v>172</v>
      </c>
      <c r="AN5" s="841" t="s">
        <v>173</v>
      </c>
      <c r="AO5" s="744" t="s">
        <v>172</v>
      </c>
      <c r="AP5" s="720" t="s">
        <v>173</v>
      </c>
      <c r="AQ5" s="653" t="s">
        <v>172</v>
      </c>
      <c r="AR5" s="842" t="s">
        <v>173</v>
      </c>
      <c r="AS5" s="652" t="s">
        <v>172</v>
      </c>
      <c r="AT5" s="841" t="s">
        <v>173</v>
      </c>
      <c r="AU5" s="744" t="s">
        <v>172</v>
      </c>
      <c r="AV5" s="720" t="s">
        <v>173</v>
      </c>
      <c r="AW5" s="652" t="s">
        <v>172</v>
      </c>
      <c r="AX5" s="841" t="s">
        <v>173</v>
      </c>
      <c r="AY5" s="744" t="s">
        <v>172</v>
      </c>
      <c r="AZ5" s="720" t="s">
        <v>173</v>
      </c>
      <c r="BA5" s="652" t="s">
        <v>172</v>
      </c>
      <c r="BB5" s="841" t="s">
        <v>173</v>
      </c>
      <c r="BC5" s="744" t="s">
        <v>172</v>
      </c>
      <c r="BD5" s="720" t="s">
        <v>173</v>
      </c>
      <c r="BE5" s="653" t="s">
        <v>172</v>
      </c>
      <c r="BF5" s="842" t="s">
        <v>173</v>
      </c>
      <c r="BG5" s="733" t="s">
        <v>172</v>
      </c>
      <c r="BH5" s="735" t="s">
        <v>173</v>
      </c>
      <c r="BI5" s="652" t="s">
        <v>172</v>
      </c>
      <c r="BJ5" s="841" t="s">
        <v>173</v>
      </c>
    </row>
    <row r="6" spans="1:70" ht="15.6" x14ac:dyDescent="0.3">
      <c r="A6" s="246">
        <v>1</v>
      </c>
      <c r="B6" s="261" t="s">
        <v>456</v>
      </c>
      <c r="C6" s="15" t="s">
        <v>212</v>
      </c>
      <c r="D6" s="262">
        <v>0</v>
      </c>
      <c r="E6" s="263">
        <v>0</v>
      </c>
      <c r="G6" s="843">
        <v>1</v>
      </c>
      <c r="H6" s="1304" t="s">
        <v>708</v>
      </c>
      <c r="I6" s="1309">
        <f>SUM(I7:I11)</f>
        <v>101395594.23986326</v>
      </c>
      <c r="J6" s="293">
        <f>SUM(J7:J11)</f>
        <v>113426564.04999998</v>
      </c>
      <c r="K6" s="1309">
        <f>SUM(K7:K11)</f>
        <v>98856055.491286799</v>
      </c>
      <c r="L6" s="293">
        <f>SUM(L7:L11)</f>
        <v>79634030.379999876</v>
      </c>
      <c r="M6" s="845">
        <f>+I6+K6</f>
        <v>200251649.73115006</v>
      </c>
      <c r="N6" s="845">
        <f>+J6+L6</f>
        <v>193060594.42999986</v>
      </c>
      <c r="O6" s="1309">
        <f>SUM(O7:O11)</f>
        <v>117487319.29746184</v>
      </c>
      <c r="P6" s="293">
        <f>SUM(P7:P11)</f>
        <v>113950420.5</v>
      </c>
      <c r="Q6" s="1383">
        <f>+I6+K6+O6</f>
        <v>317738969.0286119</v>
      </c>
      <c r="R6" s="329">
        <f>+J6+L6+P6</f>
        <v>307011014.92999983</v>
      </c>
      <c r="S6" s="1309">
        <f>SUM(S7:S11)</f>
        <v>120523307.19417045</v>
      </c>
      <c r="T6" s="293">
        <f>SUM(T7:T11)</f>
        <v>118817105.80799998</v>
      </c>
      <c r="U6" s="845">
        <f>+Q6+S6</f>
        <v>438262276.22278237</v>
      </c>
      <c r="V6" s="845">
        <f>+R6+T6</f>
        <v>425828120.7379998</v>
      </c>
      <c r="W6" s="1309">
        <f>SUM(W7:W11)</f>
        <v>120523307.19417045</v>
      </c>
      <c r="X6" s="293">
        <f>SUM(X7:X11)</f>
        <v>115814820.9999999</v>
      </c>
      <c r="Y6" s="845">
        <f>+U6+W6</f>
        <v>558785583.41695285</v>
      </c>
      <c r="Z6" s="845">
        <f>+V6+X6</f>
        <v>541642941.73799968</v>
      </c>
      <c r="AA6" s="1309">
        <f>SUM(AA7:AA11)</f>
        <v>83308631.099244505</v>
      </c>
      <c r="AB6" s="293">
        <f>SUM(AB7:AB11)</f>
        <v>113325124</v>
      </c>
      <c r="AC6" s="1383">
        <f>S6+W6+AA6</f>
        <v>324355245.48758543</v>
      </c>
      <c r="AD6" s="329">
        <f>T6+X6+AB6</f>
        <v>347957050.80799985</v>
      </c>
      <c r="AE6" s="846">
        <f>Q6+AC6</f>
        <v>642094214.51619732</v>
      </c>
      <c r="AF6" s="846">
        <f>R6+AD6</f>
        <v>654968065.73799968</v>
      </c>
      <c r="AG6" s="1309">
        <f>SUM(AG7:AG11)</f>
        <v>121237124.22770301</v>
      </c>
      <c r="AH6" s="293">
        <f>SUM(AH7:AH11)</f>
        <v>103549486.47</v>
      </c>
      <c r="AI6" s="845">
        <f>+AE6+AG6</f>
        <v>763331338.7439003</v>
      </c>
      <c r="AJ6" s="845">
        <f>+AF6+AH6</f>
        <v>758517552.20799971</v>
      </c>
      <c r="AK6" s="1309">
        <f>SUM(AK7:AK11)</f>
        <v>117829577.65108055</v>
      </c>
      <c r="AL6" s="293">
        <f>SUM(AL7:AL11)</f>
        <v>111417799</v>
      </c>
      <c r="AM6" s="845">
        <f>+AI6+AK6</f>
        <v>881160916.39498091</v>
      </c>
      <c r="AN6" s="845">
        <f>+AJ6+AL6</f>
        <v>869935351.20799971</v>
      </c>
      <c r="AO6" s="1309">
        <f>SUM(AO7:AO11)</f>
        <v>121746433.12751524</v>
      </c>
      <c r="AP6" s="293">
        <f>SUM(AP7:AP11)</f>
        <v>113137667</v>
      </c>
      <c r="AQ6" s="1383">
        <f>AG6+AK6+AO6</f>
        <v>360813135.00629878</v>
      </c>
      <c r="AR6" s="329">
        <f>AH6+AL6+AP6</f>
        <v>328104952.47000003</v>
      </c>
      <c r="AS6" s="845">
        <f>+AM6+AO6</f>
        <v>1002907349.5224961</v>
      </c>
      <c r="AT6" s="844">
        <f>+AN6+AP6</f>
        <v>983073018.20799971</v>
      </c>
      <c r="AU6" s="1309">
        <f>SUM(AU7:AU11)</f>
        <v>122457691.60293768</v>
      </c>
      <c r="AV6" s="293">
        <f>SUM(AV7:AV11)</f>
        <v>113978078.25000007</v>
      </c>
      <c r="AW6" s="845">
        <f>+AS6+AU6</f>
        <v>1125365041.1254337</v>
      </c>
      <c r="AX6" s="844">
        <f>+AT6+AV6</f>
        <v>1097051096.4579997</v>
      </c>
      <c r="AY6" s="1309">
        <f>SUM(AY7:AY11)</f>
        <v>110169158.02639693</v>
      </c>
      <c r="AZ6" s="293">
        <f>SUM(AZ7:AZ11)</f>
        <v>100873469.33999999</v>
      </c>
      <c r="BA6" s="845">
        <f>+AW6+AY6</f>
        <v>1235534199.1518307</v>
      </c>
      <c r="BB6" s="844">
        <f>+AX6+AZ6</f>
        <v>1197924565.7979996</v>
      </c>
      <c r="BC6" s="1309">
        <f>SUM(BC7:BC11)</f>
        <v>122583410.07221156</v>
      </c>
      <c r="BD6" s="293">
        <f>SUM(BD7:BD11)</f>
        <v>115328542.40000013</v>
      </c>
      <c r="BE6" s="1383">
        <f>AU6+AY6+BC6</f>
        <v>355210259.70154619</v>
      </c>
      <c r="BF6" s="329">
        <f>AV6+AZ6+BD6</f>
        <v>330180089.99000019</v>
      </c>
      <c r="BG6" s="846">
        <f>AQ6+BE6</f>
        <v>716023394.70784497</v>
      </c>
      <c r="BH6" s="846">
        <f>AR6+BF6</f>
        <v>658285042.46000028</v>
      </c>
      <c r="BI6" s="845">
        <f t="shared" ref="BI6:BJ11" si="0">+BA6+BC6</f>
        <v>1358117609.2240422</v>
      </c>
      <c r="BJ6" s="844">
        <f t="shared" si="0"/>
        <v>1313253108.1979997</v>
      </c>
      <c r="BK6" s="1111"/>
      <c r="BL6" s="1111"/>
      <c r="BM6" s="1111"/>
      <c r="BN6" s="4941"/>
      <c r="BO6" s="4941"/>
      <c r="BP6" s="1111"/>
      <c r="BQ6" s="1111"/>
      <c r="BR6" s="23"/>
    </row>
    <row r="7" spans="1:70" x14ac:dyDescent="0.3">
      <c r="A7" s="246">
        <v>3</v>
      </c>
      <c r="B7" s="267" t="s">
        <v>457</v>
      </c>
      <c r="C7" s="12" t="s">
        <v>212</v>
      </c>
      <c r="D7" s="265">
        <v>3137000</v>
      </c>
      <c r="E7" s="266">
        <v>766000</v>
      </c>
      <c r="G7" s="840">
        <v>1.1000000000000001</v>
      </c>
      <c r="H7" s="822" t="s">
        <v>559</v>
      </c>
      <c r="I7" s="1311">
        <f>+I55*I$3*24*1000</f>
        <v>30501545.064016741</v>
      </c>
      <c r="J7" s="292">
        <v>37991799.999999985</v>
      </c>
      <c r="K7" s="1311">
        <f>+K55*K$3*24*1000</f>
        <v>27704449.370080885</v>
      </c>
      <c r="L7" s="292">
        <v>23099900</v>
      </c>
      <c r="M7" s="847">
        <f t="shared" ref="M7:N46" si="1">+I7+K7</f>
        <v>58205994.434097625</v>
      </c>
      <c r="N7" s="847">
        <f t="shared" si="1"/>
        <v>61091699.999999985</v>
      </c>
      <c r="O7" s="1311">
        <f>+O55*O$3*24*1000</f>
        <v>38443313.060934715</v>
      </c>
      <c r="P7" s="292">
        <v>39300399.999999993</v>
      </c>
      <c r="Q7" s="1385">
        <f t="shared" ref="Q7:Q10" si="2">+I7+K7+O7</f>
        <v>96649307.49503234</v>
      </c>
      <c r="R7" s="328">
        <f t="shared" ref="R7:R10" si="3">+J7+L7+P7</f>
        <v>100392099.99999997</v>
      </c>
      <c r="S7" s="1311">
        <f>+S55*S$3*24*1000</f>
        <v>39910513.372167096</v>
      </c>
      <c r="T7" s="292">
        <v>42763699.999999993</v>
      </c>
      <c r="U7" s="847">
        <f t="shared" ref="U7:U32" si="4">+Q7+S7</f>
        <v>136559820.86719942</v>
      </c>
      <c r="V7" s="847">
        <f t="shared" ref="V7:V32" si="5">+R7+T7</f>
        <v>143155799.99999997</v>
      </c>
      <c r="W7" s="1311">
        <f>+W55*W$3*24*1000</f>
        <v>39330490.682108618</v>
      </c>
      <c r="X7" s="292">
        <v>41038899.999999896</v>
      </c>
      <c r="Y7" s="847">
        <f t="shared" ref="Y7:Y32" si="6">+U7+W7</f>
        <v>175890311.54930803</v>
      </c>
      <c r="Z7" s="847">
        <f t="shared" ref="Z7:Z32" si="7">+V7+X7</f>
        <v>184194699.99999988</v>
      </c>
      <c r="AA7" s="1311">
        <f>+AA55*AA$3*24*1000</f>
        <v>29457715.358904649</v>
      </c>
      <c r="AB7" s="292">
        <v>38265400</v>
      </c>
      <c r="AC7" s="1384">
        <f t="shared" ref="AC7:AC11" si="8">S7+W7+AA7</f>
        <v>108698719.41318037</v>
      </c>
      <c r="AD7" s="1384">
        <f t="shared" ref="AD7:AD11" si="9">T7+X7+AB7</f>
        <v>122067999.99999988</v>
      </c>
      <c r="AE7" s="848">
        <f t="shared" ref="AE7:AE11" si="10">Q7+AC7</f>
        <v>205348026.90821272</v>
      </c>
      <c r="AF7" s="848">
        <f t="shared" ref="AF7:AF11" si="11">R7+AD7</f>
        <v>222460099.99999985</v>
      </c>
      <c r="AG7" s="1311">
        <f>+AG55*AG$3*24*1000</f>
        <v>39486904.219020285</v>
      </c>
      <c r="AH7" s="292">
        <v>34346299.999999993</v>
      </c>
      <c r="AI7" s="847">
        <f t="shared" ref="AI7:AI32" si="12">+AE7+AG7</f>
        <v>244834931.127233</v>
      </c>
      <c r="AJ7" s="847">
        <f t="shared" ref="AJ7:AJ32" si="13">+AF7+AH7</f>
        <v>256806399.99999985</v>
      </c>
      <c r="AK7" s="1311">
        <f>+AK55*AK$3*24*1000</f>
        <v>31321589.518975388</v>
      </c>
      <c r="AL7" s="292">
        <v>37637500</v>
      </c>
      <c r="AM7" s="847">
        <f t="shared" ref="AM7:AM32" si="14">+AI7+AK7</f>
        <v>276156520.64620841</v>
      </c>
      <c r="AN7" s="847">
        <f t="shared" ref="AN7:AN32" si="15">+AJ7+AL7</f>
        <v>294443899.99999988</v>
      </c>
      <c r="AO7" s="1311">
        <f>+AO55*AO$3*24*1000</f>
        <v>32337111.699331369</v>
      </c>
      <c r="AP7" s="292">
        <v>37124000</v>
      </c>
      <c r="AQ7" s="1384">
        <f t="shared" ref="AQ7:AQ11" si="16">AG7+AK7+AO7</f>
        <v>103145605.43732704</v>
      </c>
      <c r="AR7" s="1384">
        <f t="shared" ref="AR7:AR11" si="17">AH7+AL7+AP7</f>
        <v>109107800</v>
      </c>
      <c r="AS7" s="847">
        <f t="shared" ref="AS7:AS32" si="18">+AM7+AO7</f>
        <v>308493632.34553975</v>
      </c>
      <c r="AT7" s="847">
        <f t="shared" ref="AT7:AT32" si="19">+AN7+AP7</f>
        <v>331567899.99999988</v>
      </c>
      <c r="AU7" s="1311">
        <f>+AU55*AU$3*24*1000</f>
        <v>31663576.551385369</v>
      </c>
      <c r="AV7" s="292">
        <v>35634300.000000075</v>
      </c>
      <c r="AW7" s="847">
        <f t="shared" ref="AW7:AW32" si="20">+AS7+AU7</f>
        <v>340157208.89692509</v>
      </c>
      <c r="AX7" s="847">
        <f t="shared" ref="AX7:AX32" si="21">+AT7+AV7</f>
        <v>367202199.99999994</v>
      </c>
      <c r="AY7" s="1311">
        <f>+AY55*AY$3*24*1000</f>
        <v>28957942.811745428</v>
      </c>
      <c r="AZ7" s="292">
        <v>30300499.999999996</v>
      </c>
      <c r="BA7" s="847">
        <f t="shared" ref="BA7:BA32" si="22">+AW7+AY7</f>
        <v>369115151.7086705</v>
      </c>
      <c r="BB7" s="847">
        <f t="shared" ref="BB7:BB32" si="23">+AX7+AZ7</f>
        <v>397502699.99999994</v>
      </c>
      <c r="BC7" s="1311">
        <f>+BC55*BC$3*24*1000</f>
        <v>38558395.645938836</v>
      </c>
      <c r="BD7" s="292">
        <v>37147200.000000037</v>
      </c>
      <c r="BE7" s="1384">
        <f t="shared" ref="BE7:BE12" si="24">AU7+AY7+BC7</f>
        <v>99179915.009069622</v>
      </c>
      <c r="BF7" s="1384">
        <f t="shared" ref="BF7:BF11" si="25">AV7+AZ7+BD7</f>
        <v>103082000.00000012</v>
      </c>
      <c r="BG7" s="848">
        <f t="shared" ref="BG7:BH11" si="26">AQ7+BE7</f>
        <v>202325520.44639665</v>
      </c>
      <c r="BH7" s="848">
        <f t="shared" si="26"/>
        <v>212189800.00000012</v>
      </c>
      <c r="BI7" s="847">
        <f t="shared" si="0"/>
        <v>407673547.35460931</v>
      </c>
      <c r="BJ7" s="847">
        <f t="shared" si="0"/>
        <v>434649900</v>
      </c>
      <c r="BK7" s="1111"/>
      <c r="BL7" s="1111"/>
      <c r="BM7" s="1111"/>
      <c r="BN7" s="4941"/>
      <c r="BO7" s="4941"/>
      <c r="BP7" s="1111"/>
      <c r="BQ7" s="1111"/>
      <c r="BR7" s="23"/>
    </row>
    <row r="8" spans="1:70" x14ac:dyDescent="0.3">
      <c r="A8" s="246">
        <v>4</v>
      </c>
      <c r="B8" s="267" t="s">
        <v>458</v>
      </c>
      <c r="C8" s="12" t="s">
        <v>212</v>
      </c>
      <c r="D8" s="265">
        <v>56402000</v>
      </c>
      <c r="E8" s="266">
        <v>65310000</v>
      </c>
      <c r="G8" s="840">
        <v>1.2</v>
      </c>
      <c r="H8" s="822" t="s">
        <v>2233</v>
      </c>
      <c r="I8" s="1311">
        <f>+I56*I$3*24*1000</f>
        <v>3600000</v>
      </c>
      <c r="J8" s="292">
        <v>3565939.53</v>
      </c>
      <c r="K8" s="1311">
        <f>+K56*K$3*24*1000</f>
        <v>3720000</v>
      </c>
      <c r="L8" s="292">
        <v>3393719.1</v>
      </c>
      <c r="M8" s="847">
        <f t="shared" si="1"/>
        <v>7320000</v>
      </c>
      <c r="N8" s="847">
        <f t="shared" si="1"/>
        <v>6959658.6299999999</v>
      </c>
      <c r="O8" s="1311">
        <f>+O56*O$3*24*1000</f>
        <v>3600000</v>
      </c>
      <c r="P8" s="292">
        <v>3381201</v>
      </c>
      <c r="Q8" s="1385">
        <f t="shared" si="2"/>
        <v>10920000</v>
      </c>
      <c r="R8" s="328">
        <f t="shared" si="3"/>
        <v>10340859.629999999</v>
      </c>
      <c r="S8" s="1311">
        <f>+S56*S$3*24*1000</f>
        <v>3720000</v>
      </c>
      <c r="T8" s="292">
        <v>2712598</v>
      </c>
      <c r="U8" s="847">
        <f t="shared" si="4"/>
        <v>14640000</v>
      </c>
      <c r="V8" s="847">
        <f t="shared" si="5"/>
        <v>13053457.629999999</v>
      </c>
      <c r="W8" s="1311">
        <f>+W56*W$3*24*1000</f>
        <v>3720000</v>
      </c>
      <c r="X8" s="292">
        <v>3125705</v>
      </c>
      <c r="Y8" s="847">
        <f t="shared" si="6"/>
        <v>18360000</v>
      </c>
      <c r="Z8" s="847">
        <f t="shared" si="7"/>
        <v>16179162.629999999</v>
      </c>
      <c r="AA8" s="1311">
        <f>+AA56*AA$3*24*1000</f>
        <v>3600000</v>
      </c>
      <c r="AB8" s="292">
        <v>3614598</v>
      </c>
      <c r="AC8" s="1384">
        <f t="shared" si="8"/>
        <v>11040000</v>
      </c>
      <c r="AD8" s="1384">
        <f t="shared" si="9"/>
        <v>9452901</v>
      </c>
      <c r="AE8" s="848">
        <f t="shared" si="10"/>
        <v>21960000</v>
      </c>
      <c r="AF8" s="848">
        <f t="shared" si="11"/>
        <v>19793760.629999999</v>
      </c>
      <c r="AG8" s="1311">
        <f>+AG56*AG$3*24*1000</f>
        <v>3720000</v>
      </c>
      <c r="AH8" s="292">
        <v>3255599.87</v>
      </c>
      <c r="AI8" s="847">
        <f t="shared" si="12"/>
        <v>25680000</v>
      </c>
      <c r="AJ8" s="847">
        <f t="shared" si="13"/>
        <v>23049360.5</v>
      </c>
      <c r="AK8" s="1311">
        <f>+AK56*AK$3*24*1000</f>
        <v>3600000</v>
      </c>
      <c r="AL8" s="292">
        <v>2919400</v>
      </c>
      <c r="AM8" s="847">
        <f t="shared" si="14"/>
        <v>29280000</v>
      </c>
      <c r="AN8" s="847">
        <f t="shared" si="15"/>
        <v>25968760.5</v>
      </c>
      <c r="AO8" s="1311">
        <f>+AO56*AO$3*24*1000</f>
        <v>3720000</v>
      </c>
      <c r="AP8" s="292">
        <v>3139600</v>
      </c>
      <c r="AQ8" s="1384">
        <f t="shared" si="16"/>
        <v>11040000</v>
      </c>
      <c r="AR8" s="1384">
        <f t="shared" si="17"/>
        <v>9314599.870000001</v>
      </c>
      <c r="AS8" s="847">
        <f t="shared" si="18"/>
        <v>33000000</v>
      </c>
      <c r="AT8" s="847">
        <f t="shared" si="19"/>
        <v>29108360.5</v>
      </c>
      <c r="AU8" s="1311">
        <f>+AU56*AU$3*24*1000</f>
        <v>3720000</v>
      </c>
      <c r="AV8" s="292">
        <v>3390100.54</v>
      </c>
      <c r="AW8" s="847">
        <f t="shared" si="20"/>
        <v>36720000</v>
      </c>
      <c r="AX8" s="847">
        <f t="shared" si="21"/>
        <v>32498461.039999999</v>
      </c>
      <c r="AY8" s="1311">
        <f>+AY56*AY$3*24*1000</f>
        <v>3360000</v>
      </c>
      <c r="AZ8" s="292">
        <v>2725197.84</v>
      </c>
      <c r="BA8" s="847">
        <f t="shared" si="22"/>
        <v>40080000</v>
      </c>
      <c r="BB8" s="847">
        <f t="shared" si="23"/>
        <v>35223658.879999995</v>
      </c>
      <c r="BC8" s="1311">
        <f>+BC56*BC$3*24*1000</f>
        <v>3720000</v>
      </c>
      <c r="BD8" s="292">
        <v>3156462.25</v>
      </c>
      <c r="BE8" s="1384">
        <f t="shared" si="24"/>
        <v>10800000</v>
      </c>
      <c r="BF8" s="1384">
        <f t="shared" si="25"/>
        <v>9271760.629999999</v>
      </c>
      <c r="BG8" s="848">
        <f t="shared" si="26"/>
        <v>21840000</v>
      </c>
      <c r="BH8" s="848">
        <f t="shared" si="26"/>
        <v>18586360.5</v>
      </c>
      <c r="BI8" s="847">
        <f t="shared" si="0"/>
        <v>43800000</v>
      </c>
      <c r="BJ8" s="847">
        <f t="shared" si="0"/>
        <v>38380121.129999995</v>
      </c>
      <c r="BK8" s="1111"/>
      <c r="BL8" s="1111"/>
      <c r="BM8" s="1111"/>
      <c r="BN8" s="4941"/>
      <c r="BO8" s="4941"/>
      <c r="BP8" s="1111"/>
      <c r="BQ8" s="1111"/>
      <c r="BR8" s="23"/>
    </row>
    <row r="9" spans="1:70" ht="15" thickBot="1" x14ac:dyDescent="0.35">
      <c r="A9" s="246">
        <v>5</v>
      </c>
      <c r="B9" s="268" t="s">
        <v>459</v>
      </c>
      <c r="C9" s="13" t="s">
        <v>212</v>
      </c>
      <c r="D9" s="265">
        <v>514390</v>
      </c>
      <c r="E9" s="266">
        <v>517460.00000000029</v>
      </c>
      <c r="G9" s="840">
        <v>1.3</v>
      </c>
      <c r="H9" s="822" t="s">
        <v>458</v>
      </c>
      <c r="I9" s="1311">
        <f>+I57*I$3*24*1000</f>
        <v>66149249.175846517</v>
      </c>
      <c r="J9" s="292">
        <v>70648004.599999994</v>
      </c>
      <c r="K9" s="1311">
        <f>+K57*K$3*24*1000</f>
        <v>66270966.121205911</v>
      </c>
      <c r="L9" s="292">
        <v>51894943.749999881</v>
      </c>
      <c r="M9" s="847">
        <f t="shared" si="1"/>
        <v>132420215.29705243</v>
      </c>
      <c r="N9" s="847">
        <f t="shared" si="1"/>
        <v>122542948.34999987</v>
      </c>
      <c r="O9" s="1311">
        <f>+O57*O$3*24*1000</f>
        <v>74184006.236527115</v>
      </c>
      <c r="P9" s="292">
        <v>70337003</v>
      </c>
      <c r="Q9" s="1385">
        <f t="shared" si="2"/>
        <v>206604221.53357953</v>
      </c>
      <c r="R9" s="328">
        <f t="shared" si="3"/>
        <v>192879951.34999987</v>
      </c>
      <c r="S9" s="1311">
        <f>+S57*S$3*24*1000</f>
        <v>75590793.82200335</v>
      </c>
      <c r="T9" s="292">
        <v>72496939.008000001</v>
      </c>
      <c r="U9" s="847">
        <f t="shared" si="4"/>
        <v>282195015.35558289</v>
      </c>
      <c r="V9" s="847">
        <f t="shared" si="5"/>
        <v>265376890.35799986</v>
      </c>
      <c r="W9" s="1311">
        <f>+W57*W$3*24*1000</f>
        <v>76170816.512061834</v>
      </c>
      <c r="X9" s="292">
        <v>70569001</v>
      </c>
      <c r="Y9" s="847">
        <f t="shared" si="6"/>
        <v>358365831.86764473</v>
      </c>
      <c r="Z9" s="847">
        <f t="shared" si="7"/>
        <v>335945891.35799986</v>
      </c>
      <c r="AA9" s="1311">
        <f>+AA57*AA$3*24*1000</f>
        <v>48990915.74033986</v>
      </c>
      <c r="AB9" s="292">
        <v>70384025</v>
      </c>
      <c r="AC9" s="1384">
        <f t="shared" si="8"/>
        <v>200752526.07440507</v>
      </c>
      <c r="AD9" s="1384">
        <f t="shared" si="9"/>
        <v>213449965.00800002</v>
      </c>
      <c r="AE9" s="848">
        <f t="shared" si="10"/>
        <v>407356747.6079846</v>
      </c>
      <c r="AF9" s="848">
        <f t="shared" si="11"/>
        <v>406329916.35799992</v>
      </c>
      <c r="AG9" s="1311">
        <f>+AG57*AG$3*24*1000</f>
        <v>76728220.008682713</v>
      </c>
      <c r="AH9" s="292">
        <v>64899012.600000001</v>
      </c>
      <c r="AI9" s="847">
        <f t="shared" si="12"/>
        <v>484084967.61666733</v>
      </c>
      <c r="AJ9" s="847">
        <f t="shared" si="13"/>
        <v>471228928.95799994</v>
      </c>
      <c r="AK9" s="1311">
        <f>+AK57*AK$3*24*1000</f>
        <v>81647988.132105157</v>
      </c>
      <c r="AL9" s="292">
        <v>69897000</v>
      </c>
      <c r="AM9" s="847">
        <f t="shared" si="14"/>
        <v>565732955.7487725</v>
      </c>
      <c r="AN9" s="847">
        <f t="shared" si="15"/>
        <v>541125928.95799994</v>
      </c>
      <c r="AO9" s="1311">
        <f>+AO57*AO$3*24*1000</f>
        <v>84387321.428183869</v>
      </c>
      <c r="AP9" s="292">
        <v>71946000</v>
      </c>
      <c r="AQ9" s="1384">
        <f t="shared" si="16"/>
        <v>242763529.56897175</v>
      </c>
      <c r="AR9" s="1384">
        <f t="shared" si="17"/>
        <v>206742012.59999999</v>
      </c>
      <c r="AS9" s="847">
        <f t="shared" si="18"/>
        <v>650120277.17695642</v>
      </c>
      <c r="AT9" s="847">
        <f t="shared" si="19"/>
        <v>613071928.95799994</v>
      </c>
      <c r="AU9" s="1311">
        <f>+AU57*AU$3*24*1000</f>
        <v>85772115.051552311</v>
      </c>
      <c r="AV9" s="292">
        <v>73959980.409999996</v>
      </c>
      <c r="AW9" s="847">
        <f t="shared" si="20"/>
        <v>735892392.22850871</v>
      </c>
      <c r="AX9" s="847">
        <f t="shared" si="21"/>
        <v>687031909.36799991</v>
      </c>
      <c r="AY9" s="1311">
        <f>+AY57*AY$3*24*1000</f>
        <v>76675215.214651495</v>
      </c>
      <c r="AZ9" s="292">
        <v>66817949.700000003</v>
      </c>
      <c r="BA9" s="847">
        <f t="shared" si="22"/>
        <v>812567607.44316018</v>
      </c>
      <c r="BB9" s="847">
        <f t="shared" si="23"/>
        <v>753849859.06799996</v>
      </c>
      <c r="BC9" s="1311">
        <f>+BC57*BC$3*24*1000</f>
        <v>79003014.42627272</v>
      </c>
      <c r="BD9" s="292">
        <v>73892102.150000095</v>
      </c>
      <c r="BE9" s="1384">
        <f t="shared" si="24"/>
        <v>241450344.69247654</v>
      </c>
      <c r="BF9" s="1384">
        <f t="shared" si="25"/>
        <v>214670032.26000011</v>
      </c>
      <c r="BG9" s="848">
        <f t="shared" si="26"/>
        <v>484213874.26144826</v>
      </c>
      <c r="BH9" s="848">
        <f t="shared" si="26"/>
        <v>421412044.86000013</v>
      </c>
      <c r="BI9" s="847">
        <f t="shared" si="0"/>
        <v>891570621.86943293</v>
      </c>
      <c r="BJ9" s="847">
        <f t="shared" si="0"/>
        <v>827741961.21800005</v>
      </c>
      <c r="BK9" s="1111"/>
      <c r="BL9" s="1111"/>
      <c r="BM9" s="1111"/>
      <c r="BN9" s="4941"/>
      <c r="BO9" s="4941"/>
      <c r="BP9" s="1111"/>
      <c r="BQ9" s="1111"/>
      <c r="BR9" s="23"/>
    </row>
    <row r="10" spans="1:70" ht="16.2" thickBot="1" x14ac:dyDescent="0.35">
      <c r="A10" s="246">
        <v>6</v>
      </c>
      <c r="B10" s="269" t="s">
        <v>460</v>
      </c>
      <c r="C10" s="14" t="s">
        <v>212</v>
      </c>
      <c r="D10" s="270">
        <f>SUM(D6:D9)</f>
        <v>60053390</v>
      </c>
      <c r="E10" s="271">
        <f>SUM(E6:E9)</f>
        <v>66593460</v>
      </c>
      <c r="G10" s="840">
        <v>1.4</v>
      </c>
      <c r="H10" s="822" t="s">
        <v>459</v>
      </c>
      <c r="I10" s="1310">
        <f>+I58*I$3*24*1000</f>
        <v>424799.99999999994</v>
      </c>
      <c r="J10" s="292">
        <v>495729.99999999779</v>
      </c>
      <c r="K10" s="1310">
        <f>+K58*K$3*24*1000</f>
        <v>416640.00000000012</v>
      </c>
      <c r="L10" s="292">
        <v>379680.00000000029</v>
      </c>
      <c r="M10" s="847">
        <f t="shared" si="1"/>
        <v>841440</v>
      </c>
      <c r="N10" s="847">
        <f t="shared" si="1"/>
        <v>875409.99999999814</v>
      </c>
      <c r="O10" s="1310">
        <f>+O58*O$3*24*1000</f>
        <v>540000</v>
      </c>
      <c r="P10" s="292">
        <v>330650.00000000146</v>
      </c>
      <c r="Q10" s="1384">
        <f t="shared" si="2"/>
        <v>1381440</v>
      </c>
      <c r="R10" s="327">
        <f t="shared" si="3"/>
        <v>1206059.9999999995</v>
      </c>
      <c r="S10" s="1310">
        <f>+S58*S$3*24*1000</f>
        <v>558000</v>
      </c>
      <c r="T10" s="292">
        <v>267680.00000000029</v>
      </c>
      <c r="U10" s="847">
        <f t="shared" si="4"/>
        <v>1939440</v>
      </c>
      <c r="V10" s="847">
        <f t="shared" si="5"/>
        <v>1473739.9999999998</v>
      </c>
      <c r="W10" s="1310">
        <f>+W58*W$3*24*1000</f>
        <v>558000</v>
      </c>
      <c r="X10" s="292">
        <v>504279.99999999977</v>
      </c>
      <c r="Y10" s="847">
        <f t="shared" si="6"/>
        <v>2497440</v>
      </c>
      <c r="Z10" s="847">
        <f t="shared" si="7"/>
        <v>1978019.9999999995</v>
      </c>
      <c r="AA10" s="1310">
        <f>+AA58*AA$3*24*1000</f>
        <v>540000</v>
      </c>
      <c r="AB10" s="292">
        <v>483870.00000000012</v>
      </c>
      <c r="AC10" s="1384">
        <f t="shared" si="8"/>
        <v>1656000</v>
      </c>
      <c r="AD10" s="1384">
        <f t="shared" si="9"/>
        <v>1255830</v>
      </c>
      <c r="AE10" s="848">
        <f t="shared" si="10"/>
        <v>3037440</v>
      </c>
      <c r="AF10" s="848">
        <f t="shared" si="11"/>
        <v>2461889.9999999995</v>
      </c>
      <c r="AG10" s="1310">
        <f>+AG58*AG$3*24*1000</f>
        <v>558000</v>
      </c>
      <c r="AH10" s="292">
        <v>503900.00000000023</v>
      </c>
      <c r="AI10" s="847">
        <f t="shared" si="12"/>
        <v>3595440</v>
      </c>
      <c r="AJ10" s="847">
        <f t="shared" si="13"/>
        <v>2965790</v>
      </c>
      <c r="AK10" s="1310">
        <f>+AK58*AK$3*24*1000</f>
        <v>540000</v>
      </c>
      <c r="AL10" s="292">
        <v>492269.99999999901</v>
      </c>
      <c r="AM10" s="847">
        <f t="shared" si="14"/>
        <v>4135440</v>
      </c>
      <c r="AN10" s="847">
        <f t="shared" si="15"/>
        <v>3458059.9999999991</v>
      </c>
      <c r="AO10" s="1310">
        <f>+AO58*AO$3*24*1000</f>
        <v>558000</v>
      </c>
      <c r="AP10" s="292">
        <v>502220</v>
      </c>
      <c r="AQ10" s="1384">
        <f t="shared" si="16"/>
        <v>1656000</v>
      </c>
      <c r="AR10" s="1384">
        <f t="shared" si="17"/>
        <v>1498389.9999999993</v>
      </c>
      <c r="AS10" s="847">
        <f t="shared" si="18"/>
        <v>4693440</v>
      </c>
      <c r="AT10" s="847">
        <f t="shared" si="19"/>
        <v>3960279.9999999991</v>
      </c>
      <c r="AU10" s="1310">
        <f>+AU58*AU$3*24*1000</f>
        <v>558000</v>
      </c>
      <c r="AV10" s="292">
        <v>503299.99999999977</v>
      </c>
      <c r="AW10" s="847">
        <f t="shared" si="20"/>
        <v>5251440</v>
      </c>
      <c r="AX10" s="847">
        <f t="shared" si="21"/>
        <v>4463579.9999999991</v>
      </c>
      <c r="AY10" s="1310">
        <f>+AY58*AY$3*24*1000</f>
        <v>504000</v>
      </c>
      <c r="AZ10" s="292">
        <v>456230.0000000014</v>
      </c>
      <c r="BA10" s="847">
        <f t="shared" si="22"/>
        <v>5755440</v>
      </c>
      <c r="BB10" s="847">
        <f t="shared" si="23"/>
        <v>4919810</v>
      </c>
      <c r="BC10" s="1310">
        <f>+BC58*BC$3*24*1000</f>
        <v>558000</v>
      </c>
      <c r="BD10" s="292">
        <v>509829.99999999988</v>
      </c>
      <c r="BE10" s="1384">
        <f t="shared" si="24"/>
        <v>1620000</v>
      </c>
      <c r="BF10" s="1384">
        <f t="shared" si="25"/>
        <v>1469360.0000000009</v>
      </c>
      <c r="BG10" s="848">
        <f t="shared" si="26"/>
        <v>3276000</v>
      </c>
      <c r="BH10" s="848">
        <f t="shared" si="26"/>
        <v>2967750</v>
      </c>
      <c r="BI10" s="847">
        <f t="shared" si="0"/>
        <v>6313440</v>
      </c>
      <c r="BJ10" s="847">
        <f t="shared" si="0"/>
        <v>5429640</v>
      </c>
      <c r="BK10" s="1111"/>
      <c r="BL10" s="1111"/>
      <c r="BM10" s="1111"/>
      <c r="BN10" s="4941"/>
      <c r="BO10" s="4941"/>
      <c r="BP10" s="1111"/>
      <c r="BQ10" s="1111"/>
      <c r="BR10" s="23"/>
    </row>
    <row r="11" spans="1:70" ht="15.6" x14ac:dyDescent="0.3">
      <c r="A11" s="2256"/>
      <c r="B11" s="2257"/>
      <c r="C11" s="2258"/>
      <c r="D11" s="2259"/>
      <c r="E11" s="271"/>
      <c r="G11" s="840">
        <v>1.5</v>
      </c>
      <c r="H11" s="822" t="s">
        <v>1594</v>
      </c>
      <c r="I11" s="1310">
        <f>+I59*I$3*24*1000</f>
        <v>720000</v>
      </c>
      <c r="J11" s="292">
        <v>725089.91999999946</v>
      </c>
      <c r="K11" s="1310">
        <f>+K59*K$3*24*1000</f>
        <v>744000</v>
      </c>
      <c r="L11" s="292">
        <v>865787.53000000189</v>
      </c>
      <c r="M11" s="847">
        <f t="shared" ref="M11" si="27">+I11+K11</f>
        <v>1464000</v>
      </c>
      <c r="N11" s="847">
        <f t="shared" ref="N11" si="28">+J11+L11</f>
        <v>1590877.4500000014</v>
      </c>
      <c r="O11" s="1310">
        <f>+O59*O$3*24*1000</f>
        <v>720000</v>
      </c>
      <c r="P11" s="292">
        <v>601166.50000000047</v>
      </c>
      <c r="Q11" s="1384">
        <f t="shared" ref="Q11" si="29">+I11+K11+O11</f>
        <v>2184000</v>
      </c>
      <c r="R11" s="327">
        <f t="shared" ref="R11" si="30">+J11+L11+P11</f>
        <v>2192043.950000002</v>
      </c>
      <c r="S11" s="1310">
        <f>+S59*S$3*24*1000</f>
        <v>744000</v>
      </c>
      <c r="T11" s="292">
        <v>576188.7999999997</v>
      </c>
      <c r="U11" s="847">
        <f t="shared" ref="U11" si="31">+Q11+S11</f>
        <v>2928000</v>
      </c>
      <c r="V11" s="847">
        <f t="shared" ref="V11" si="32">+R11+T11</f>
        <v>2768232.7500000019</v>
      </c>
      <c r="W11" s="1310">
        <f>+W59*W$3*24*1000</f>
        <v>744000</v>
      </c>
      <c r="X11" s="292">
        <v>576934.99999999907</v>
      </c>
      <c r="Y11" s="847">
        <f t="shared" si="6"/>
        <v>3672000</v>
      </c>
      <c r="Z11" s="847">
        <f t="shared" si="7"/>
        <v>3345167.7500000009</v>
      </c>
      <c r="AA11" s="1310">
        <f>+AA59*AA$3*24*1000</f>
        <v>720000</v>
      </c>
      <c r="AB11" s="292">
        <v>577231.00000000035</v>
      </c>
      <c r="AC11" s="1384">
        <f t="shared" si="8"/>
        <v>2208000</v>
      </c>
      <c r="AD11" s="1384">
        <f t="shared" si="9"/>
        <v>1730354.7999999993</v>
      </c>
      <c r="AE11" s="848">
        <f t="shared" si="10"/>
        <v>4392000</v>
      </c>
      <c r="AF11" s="848">
        <f t="shared" si="11"/>
        <v>3922398.7500000014</v>
      </c>
      <c r="AG11" s="1310">
        <f>+AG59*AG$3*24*1000</f>
        <v>744000</v>
      </c>
      <c r="AH11" s="292">
        <v>544673.99999999942</v>
      </c>
      <c r="AI11" s="847">
        <f t="shared" si="12"/>
        <v>5136000</v>
      </c>
      <c r="AJ11" s="847">
        <f t="shared" si="13"/>
        <v>4467072.7500000009</v>
      </c>
      <c r="AK11" s="1310">
        <f>+AK59*AK$3*24*1000</f>
        <v>720000</v>
      </c>
      <c r="AL11" s="292">
        <v>471629</v>
      </c>
      <c r="AM11" s="847">
        <f t="shared" si="14"/>
        <v>5856000</v>
      </c>
      <c r="AN11" s="847">
        <f t="shared" si="15"/>
        <v>4938701.7500000009</v>
      </c>
      <c r="AO11" s="1310">
        <f>+AO59*AO$3*24*1000</f>
        <v>744000</v>
      </c>
      <c r="AP11" s="292">
        <v>425846.99999999889</v>
      </c>
      <c r="AQ11" s="1384">
        <f t="shared" si="16"/>
        <v>2208000</v>
      </c>
      <c r="AR11" s="1384">
        <f t="shared" si="17"/>
        <v>1442149.9999999984</v>
      </c>
      <c r="AS11" s="847">
        <f t="shared" si="18"/>
        <v>6600000</v>
      </c>
      <c r="AT11" s="847">
        <f t="shared" si="19"/>
        <v>5364548.75</v>
      </c>
      <c r="AU11" s="1310">
        <f>+AU59*AU$3*24*1000</f>
        <v>744000</v>
      </c>
      <c r="AV11" s="292">
        <v>490397.30000000133</v>
      </c>
      <c r="AW11" s="847">
        <f t="shared" si="20"/>
        <v>7344000</v>
      </c>
      <c r="AX11" s="847">
        <f t="shared" si="21"/>
        <v>5854946.0500000017</v>
      </c>
      <c r="AY11" s="1310">
        <f>+AY59*AY$3*24*1000</f>
        <v>672000</v>
      </c>
      <c r="AZ11" s="292">
        <v>573591.80000000063</v>
      </c>
      <c r="BA11" s="847">
        <f t="shared" si="22"/>
        <v>8016000</v>
      </c>
      <c r="BB11" s="847">
        <f t="shared" si="23"/>
        <v>6428537.8500000024</v>
      </c>
      <c r="BC11" s="1310">
        <f>+BC59*BC$3*24*1000</f>
        <v>744000</v>
      </c>
      <c r="BD11" s="292">
        <v>622947.9999999993</v>
      </c>
      <c r="BE11" s="1384">
        <f t="shared" si="24"/>
        <v>2160000</v>
      </c>
      <c r="BF11" s="1384">
        <f t="shared" si="25"/>
        <v>1686937.1000000013</v>
      </c>
      <c r="BG11" s="848">
        <f t="shared" si="26"/>
        <v>4368000</v>
      </c>
      <c r="BH11" s="848">
        <f t="shared" ref="BH11" si="33">AR11+BF11</f>
        <v>3129087.0999999996</v>
      </c>
      <c r="BI11" s="847">
        <f t="shared" si="0"/>
        <v>8760000</v>
      </c>
      <c r="BJ11" s="847">
        <f t="shared" ref="BJ11:BJ32" si="34">+BB11+BD11</f>
        <v>7051485.8500000015</v>
      </c>
      <c r="BK11" s="1111"/>
      <c r="BL11" s="1111"/>
      <c r="BM11" s="1111"/>
      <c r="BN11" s="4941"/>
      <c r="BO11" s="4941"/>
      <c r="BP11" s="1111"/>
      <c r="BQ11" s="1111"/>
      <c r="BR11" s="23"/>
    </row>
    <row r="12" spans="1:70" ht="15.6" x14ac:dyDescent="0.3">
      <c r="A12" s="246">
        <v>7</v>
      </c>
      <c r="B12" s="261" t="s">
        <v>466</v>
      </c>
      <c r="C12" s="15" t="s">
        <v>212</v>
      </c>
      <c r="D12" s="265">
        <v>261981.80799999906</v>
      </c>
      <c r="E12" s="266">
        <v>317978.65699999966</v>
      </c>
      <c r="G12" s="843">
        <v>2</v>
      </c>
      <c r="H12" s="1304" t="s">
        <v>709</v>
      </c>
      <c r="I12" s="1309">
        <f>SUM(I13:I14)</f>
        <v>1584000</v>
      </c>
      <c r="J12" s="293">
        <f>SUM(J13:J14)</f>
        <v>1310215.4929999951</v>
      </c>
      <c r="K12" s="1309">
        <f>SUM(K13:K14)</f>
        <v>1636800</v>
      </c>
      <c r="L12" s="293">
        <f>SUM(L13:L14)</f>
        <v>1937727.7749999361</v>
      </c>
      <c r="M12" s="845">
        <f t="shared" si="1"/>
        <v>3220800</v>
      </c>
      <c r="N12" s="845">
        <f t="shared" si="1"/>
        <v>3247943.2679999312</v>
      </c>
      <c r="O12" s="1309">
        <f>SUM(O13:O14)</f>
        <v>2160000</v>
      </c>
      <c r="P12" s="293">
        <f>SUM(P13:P14)</f>
        <v>894713.84900014149</v>
      </c>
      <c r="Q12" s="1383">
        <f t="shared" ref="Q12:Q46" si="35">+I12+K12+O12</f>
        <v>5380800</v>
      </c>
      <c r="R12" s="329">
        <f t="shared" ref="R12:R46" si="36">+J12+L12+P12</f>
        <v>4142657.1170000727</v>
      </c>
      <c r="S12" s="1309">
        <f>SUM(S13:S14)</f>
        <v>2232000</v>
      </c>
      <c r="T12" s="293">
        <f>SUM(T13:T14)</f>
        <v>1088152.0349998996</v>
      </c>
      <c r="U12" s="845">
        <f t="shared" si="4"/>
        <v>7612800</v>
      </c>
      <c r="V12" s="845">
        <f t="shared" si="5"/>
        <v>5230809.1519999728</v>
      </c>
      <c r="W12" s="1309">
        <f>SUM(W13:W14)</f>
        <v>2232000</v>
      </c>
      <c r="X12" s="293">
        <f>SUM(X13:X14)</f>
        <v>1092419.1020000172</v>
      </c>
      <c r="Y12" s="845">
        <f t="shared" si="6"/>
        <v>9844800</v>
      </c>
      <c r="Z12" s="845">
        <f t="shared" si="7"/>
        <v>6323228.2539999895</v>
      </c>
      <c r="AA12" s="1309">
        <f>SUM(AA13:AA14)</f>
        <v>2160000</v>
      </c>
      <c r="AB12" s="293">
        <f>SUM(AB13:AB14)</f>
        <v>1012213.6640000013</v>
      </c>
      <c r="AC12" s="1383">
        <f>S12+W12+AA12</f>
        <v>6624000</v>
      </c>
      <c r="AD12" s="1383">
        <f>T12+X12+AB12</f>
        <v>3192784.800999918</v>
      </c>
      <c r="AE12" s="846">
        <f>Q12+AC12</f>
        <v>12004800</v>
      </c>
      <c r="AF12" s="846">
        <f>R12+AD12</f>
        <v>7335441.9179999903</v>
      </c>
      <c r="AG12" s="1309">
        <f>SUM(AG13:AG14)</f>
        <v>2232000</v>
      </c>
      <c r="AH12" s="293">
        <f>SUM(AH13:AH14)</f>
        <v>1336921.4069999279</v>
      </c>
      <c r="AI12" s="845">
        <f t="shared" si="12"/>
        <v>14236800</v>
      </c>
      <c r="AJ12" s="845">
        <f t="shared" si="13"/>
        <v>8672363.3249999173</v>
      </c>
      <c r="AK12" s="1309">
        <f>SUM(AK13:AK14)</f>
        <v>2160000</v>
      </c>
      <c r="AL12" s="293">
        <f>SUM(AL13:AL14)</f>
        <v>997227.28899979964</v>
      </c>
      <c r="AM12" s="845">
        <f t="shared" si="14"/>
        <v>16396800</v>
      </c>
      <c r="AN12" s="845">
        <f t="shared" si="15"/>
        <v>9669590.6139997169</v>
      </c>
      <c r="AO12" s="1309">
        <f>SUM(AO13:AO14)</f>
        <v>2232000</v>
      </c>
      <c r="AP12" s="293">
        <f>SUM(AP13:AP14)</f>
        <v>1238806.680000185</v>
      </c>
      <c r="AQ12" s="1383">
        <f>AG12+AK12+AO12</f>
        <v>6624000</v>
      </c>
      <c r="AR12" s="1383">
        <f>AH12+AL12+AP12</f>
        <v>3572955.3759999126</v>
      </c>
      <c r="AS12" s="845">
        <f t="shared" si="18"/>
        <v>18628800</v>
      </c>
      <c r="AT12" s="845">
        <f t="shared" si="19"/>
        <v>10908397.293999903</v>
      </c>
      <c r="AU12" s="1309">
        <f>SUM(AU13:AU14)</f>
        <v>2232000</v>
      </c>
      <c r="AV12" s="293">
        <f>SUM(AV13:AV14)</f>
        <v>1279545.3970000362</v>
      </c>
      <c r="AW12" s="845">
        <f t="shared" si="20"/>
        <v>20860800</v>
      </c>
      <c r="AX12" s="845">
        <f t="shared" si="21"/>
        <v>12187942.69099994</v>
      </c>
      <c r="AY12" s="1309">
        <f>SUM(AY13:AY14)</f>
        <v>2015999.9999999998</v>
      </c>
      <c r="AZ12" s="293">
        <f>SUM(AZ13:AZ14)</f>
        <v>864873.96499997843</v>
      </c>
      <c r="BA12" s="845">
        <f t="shared" si="22"/>
        <v>22876800</v>
      </c>
      <c r="BB12" s="845">
        <f t="shared" si="23"/>
        <v>13052816.655999918</v>
      </c>
      <c r="BC12" s="1309">
        <f>SUM(BC13:BC14)</f>
        <v>2232000</v>
      </c>
      <c r="BD12" s="293">
        <f>SUM(BD13:BD14)</f>
        <v>1452622.6810000818</v>
      </c>
      <c r="BE12" s="1384">
        <f t="shared" si="24"/>
        <v>6480000</v>
      </c>
      <c r="BF12" s="1383">
        <f>AV12+AZ12+BD12</f>
        <v>3597042.0430000965</v>
      </c>
      <c r="BG12" s="846">
        <f>AQ12+BE12</f>
        <v>13104000</v>
      </c>
      <c r="BH12" s="846">
        <f>AR12+BF12</f>
        <v>7169997.4190000091</v>
      </c>
      <c r="BI12" s="845">
        <f t="shared" ref="BI12:BI32" si="37">+BA12+BC12</f>
        <v>25108800</v>
      </c>
      <c r="BJ12" s="845">
        <f t="shared" si="34"/>
        <v>14505439.336999999</v>
      </c>
      <c r="BK12" s="1111"/>
      <c r="BL12" s="1111"/>
      <c r="BM12" s="1111"/>
      <c r="BN12" s="4941"/>
      <c r="BO12" s="4941"/>
      <c r="BP12" s="1111"/>
      <c r="BQ12" s="1111"/>
      <c r="BR12" s="23"/>
    </row>
    <row r="13" spans="1:70" ht="15" thickBot="1" x14ac:dyDescent="0.35">
      <c r="A13" s="246">
        <v>8</v>
      </c>
      <c r="B13" s="272" t="s">
        <v>467</v>
      </c>
      <c r="C13" s="13" t="s">
        <v>212</v>
      </c>
      <c r="D13" s="265">
        <v>1020193.9999999553</v>
      </c>
      <c r="E13" s="266">
        <v>1775455.3000000119</v>
      </c>
      <c r="G13" s="840">
        <v>2.1</v>
      </c>
      <c r="H13" s="822" t="s">
        <v>466</v>
      </c>
      <c r="I13" s="1310">
        <f>+I61*I$3*24*1000</f>
        <v>288000</v>
      </c>
      <c r="J13" s="292">
        <v>311858.77299999632</v>
      </c>
      <c r="K13" s="1310">
        <f>+K61*K$3*24*1000</f>
        <v>297600</v>
      </c>
      <c r="L13" s="292">
        <v>392250.21499999333</v>
      </c>
      <c r="M13" s="847">
        <f t="shared" si="1"/>
        <v>585600</v>
      </c>
      <c r="N13" s="847">
        <f t="shared" si="1"/>
        <v>704108.98799998965</v>
      </c>
      <c r="O13" s="1310">
        <f>+O61*O$3*24*1000</f>
        <v>288000</v>
      </c>
      <c r="P13" s="292">
        <v>321440.58900000202</v>
      </c>
      <c r="Q13" s="1384">
        <f t="shared" si="35"/>
        <v>873600</v>
      </c>
      <c r="R13" s="328">
        <f t="shared" si="36"/>
        <v>1025549.5769999917</v>
      </c>
      <c r="S13" s="1310">
        <f>+S61*S$3*24*1000</f>
        <v>297600</v>
      </c>
      <c r="T13" s="292">
        <v>287445.36700000614</v>
      </c>
      <c r="U13" s="847">
        <f t="shared" si="4"/>
        <v>1171200</v>
      </c>
      <c r="V13" s="847">
        <f t="shared" si="5"/>
        <v>1312994.9439999978</v>
      </c>
      <c r="W13" s="1310">
        <f>+W61*W$3*24*1000</f>
        <v>297600</v>
      </c>
      <c r="X13" s="292">
        <v>378572.24199998798</v>
      </c>
      <c r="Y13" s="847">
        <f t="shared" si="6"/>
        <v>1468800</v>
      </c>
      <c r="Z13" s="847">
        <f t="shared" si="7"/>
        <v>1691567.1859999858</v>
      </c>
      <c r="AA13" s="1310">
        <f>+AA61*AA$3*24*1000</f>
        <v>288000</v>
      </c>
      <c r="AB13" s="292">
        <v>353067.78400000598</v>
      </c>
      <c r="AC13" s="1385">
        <f t="shared" ref="AC13:AC14" si="38">S13+W13+AA13</f>
        <v>883200</v>
      </c>
      <c r="AD13" s="1385">
        <f t="shared" ref="AD13:AD14" si="39">T13+X13+AB13</f>
        <v>1019085.3930000002</v>
      </c>
      <c r="AE13" s="848">
        <f t="shared" ref="AE13:AE32" si="40">Q13+AC13</f>
        <v>1756800</v>
      </c>
      <c r="AF13" s="848">
        <f t="shared" ref="AF13:AF32" si="41">R13+AD13</f>
        <v>2044634.9699999918</v>
      </c>
      <c r="AG13" s="1310">
        <f>+AG61*AG$3*24*1000</f>
        <v>297600</v>
      </c>
      <c r="AH13" s="292">
        <v>318775.90700000245</v>
      </c>
      <c r="AI13" s="847">
        <f t="shared" si="12"/>
        <v>2054400</v>
      </c>
      <c r="AJ13" s="847">
        <f t="shared" si="13"/>
        <v>2363410.8769999943</v>
      </c>
      <c r="AK13" s="1310">
        <f>+AK61*AK$3*24*1000</f>
        <v>288000</v>
      </c>
      <c r="AL13" s="292">
        <v>166716.68899999931</v>
      </c>
      <c r="AM13" s="847">
        <f t="shared" si="14"/>
        <v>2342400</v>
      </c>
      <c r="AN13" s="847">
        <f t="shared" si="15"/>
        <v>2530127.5659999936</v>
      </c>
      <c r="AO13" s="1310">
        <f>+AO61*AO$3*24*1000</f>
        <v>297600</v>
      </c>
      <c r="AP13" s="292">
        <v>271408.07999999728</v>
      </c>
      <c r="AQ13" s="1385">
        <f t="shared" ref="AQ13:AQ32" si="42">AG13+AK13+AO13</f>
        <v>883200</v>
      </c>
      <c r="AR13" s="1385">
        <f t="shared" ref="AR13:AR32" si="43">AH13+AL13+AP13</f>
        <v>756900.67599999905</v>
      </c>
      <c r="AS13" s="847">
        <f t="shared" si="18"/>
        <v>2640000</v>
      </c>
      <c r="AT13" s="847">
        <f t="shared" si="19"/>
        <v>2801535.6459999909</v>
      </c>
      <c r="AU13" s="1310">
        <f>+AU61*AU$3*24*1000</f>
        <v>297600</v>
      </c>
      <c r="AV13" s="292">
        <v>325915.68699999806</v>
      </c>
      <c r="AW13" s="847">
        <f t="shared" si="20"/>
        <v>2937600</v>
      </c>
      <c r="AX13" s="847">
        <f t="shared" si="21"/>
        <v>3127451.3329999889</v>
      </c>
      <c r="AY13" s="1310">
        <f>+AY61*AY$3*24*1000</f>
        <v>268800</v>
      </c>
      <c r="AZ13" s="292">
        <v>325911.96499999333</v>
      </c>
      <c r="BA13" s="847">
        <f t="shared" si="22"/>
        <v>3206400</v>
      </c>
      <c r="BB13" s="847">
        <f t="shared" si="23"/>
        <v>3453363.2979999823</v>
      </c>
      <c r="BC13" s="1310">
        <f>+BC61*BC$3*24*1000</f>
        <v>297600</v>
      </c>
      <c r="BD13" s="292">
        <v>385358.1310000103</v>
      </c>
      <c r="BE13" s="1385">
        <f t="shared" ref="BE13:BE32" si="44">AU13+AY13+BC13</f>
        <v>864000</v>
      </c>
      <c r="BF13" s="1385">
        <f t="shared" ref="BF13:BF32" si="45">AV13+AZ13+BD13</f>
        <v>1037185.7830000017</v>
      </c>
      <c r="BG13" s="848">
        <f t="shared" ref="BG13:BH14" si="46">AQ13+BE13</f>
        <v>1747200</v>
      </c>
      <c r="BH13" s="848">
        <f t="shared" si="46"/>
        <v>1794086.4590000007</v>
      </c>
      <c r="BI13" s="847">
        <f t="shared" si="37"/>
        <v>3504000</v>
      </c>
      <c r="BJ13" s="847">
        <f t="shared" si="34"/>
        <v>3838721.4289999926</v>
      </c>
      <c r="BK13" s="1111"/>
      <c r="BL13" s="1111"/>
      <c r="BM13" s="1111"/>
      <c r="BN13" s="4941"/>
      <c r="BO13" s="4941"/>
      <c r="BP13" s="1111"/>
      <c r="BQ13" s="1111"/>
      <c r="BR13" s="23"/>
    </row>
    <row r="14" spans="1:70" ht="16.2" thickBot="1" x14ac:dyDescent="0.35">
      <c r="A14" s="246">
        <v>9</v>
      </c>
      <c r="B14" s="269" t="s">
        <v>468</v>
      </c>
      <c r="C14" s="14" t="s">
        <v>212</v>
      </c>
      <c r="D14" s="270">
        <f>SUM(D12:D13)</f>
        <v>1282175.8079999543</v>
      </c>
      <c r="E14" s="271">
        <f>SUM(E12:E13)</f>
        <v>2093433.9570000116</v>
      </c>
      <c r="G14" s="840">
        <v>2.2000000000000002</v>
      </c>
      <c r="H14" s="822" t="s">
        <v>467</v>
      </c>
      <c r="I14" s="1310">
        <f>+I62*I$3*24*1000</f>
        <v>1296000</v>
      </c>
      <c r="J14" s="292">
        <v>998356.71999999881</v>
      </c>
      <c r="K14" s="1310">
        <f>+K62*K$3*24*1000</f>
        <v>1339200</v>
      </c>
      <c r="L14" s="292">
        <v>1545477.5599999428</v>
      </c>
      <c r="M14" s="847">
        <f t="shared" si="1"/>
        <v>2635200</v>
      </c>
      <c r="N14" s="847">
        <f t="shared" si="1"/>
        <v>2543834.2799999416</v>
      </c>
      <c r="O14" s="1310">
        <f>+O62*O$3*24*1000</f>
        <v>1872000</v>
      </c>
      <c r="P14" s="292">
        <v>573273.26000013947</v>
      </c>
      <c r="Q14" s="1384">
        <f t="shared" ref="Q14" si="47">+I14+K14+O14</f>
        <v>4507200</v>
      </c>
      <c r="R14" s="328">
        <f t="shared" ref="R14" si="48">+J14+L14+P14</f>
        <v>3117107.5400000811</v>
      </c>
      <c r="S14" s="1310">
        <f>+S62*S$3*24*1000</f>
        <v>1934400</v>
      </c>
      <c r="T14" s="292">
        <v>800706.66799989343</v>
      </c>
      <c r="U14" s="847">
        <f t="shared" si="4"/>
        <v>6441600</v>
      </c>
      <c r="V14" s="847">
        <f t="shared" si="5"/>
        <v>3917814.2079999745</v>
      </c>
      <c r="W14" s="1310">
        <f>+W62*W$3*24*1000</f>
        <v>1934400</v>
      </c>
      <c r="X14" s="292">
        <v>713846.86000002921</v>
      </c>
      <c r="Y14" s="847">
        <f t="shared" si="6"/>
        <v>8376000</v>
      </c>
      <c r="Z14" s="847">
        <f t="shared" si="7"/>
        <v>4631661.0680000037</v>
      </c>
      <c r="AA14" s="1310">
        <f>+AA62*AA$3*24*1000</f>
        <v>1872000</v>
      </c>
      <c r="AB14" s="292">
        <v>659145.87999999523</v>
      </c>
      <c r="AC14" s="1385">
        <f t="shared" si="38"/>
        <v>5740800</v>
      </c>
      <c r="AD14" s="1385">
        <f t="shared" si="39"/>
        <v>2173699.4079999179</v>
      </c>
      <c r="AE14" s="848">
        <f t="shared" si="40"/>
        <v>10248000</v>
      </c>
      <c r="AF14" s="848">
        <f t="shared" si="41"/>
        <v>5290806.9479999989</v>
      </c>
      <c r="AG14" s="1310">
        <f>+AG62*AG$3*24*1000</f>
        <v>1934400</v>
      </c>
      <c r="AH14" s="292">
        <v>1018145.4999999255</v>
      </c>
      <c r="AI14" s="847">
        <f t="shared" si="12"/>
        <v>12182400</v>
      </c>
      <c r="AJ14" s="847">
        <f t="shared" si="13"/>
        <v>6308952.4479999244</v>
      </c>
      <c r="AK14" s="1310">
        <f>+AK62*AK$3*24*1000</f>
        <v>1872000</v>
      </c>
      <c r="AL14" s="292">
        <v>830510.59999980032</v>
      </c>
      <c r="AM14" s="847">
        <f t="shared" si="14"/>
        <v>14054400</v>
      </c>
      <c r="AN14" s="847">
        <f t="shared" si="15"/>
        <v>7139463.0479997247</v>
      </c>
      <c r="AO14" s="1310">
        <f>+AO62*AO$3*24*1000</f>
        <v>1934400</v>
      </c>
      <c r="AP14" s="292">
        <v>967398.60000018775</v>
      </c>
      <c r="AQ14" s="1385">
        <f t="shared" si="42"/>
        <v>5740800</v>
      </c>
      <c r="AR14" s="1385">
        <f t="shared" si="43"/>
        <v>2816054.6999999136</v>
      </c>
      <c r="AS14" s="847">
        <f t="shared" si="18"/>
        <v>15988800</v>
      </c>
      <c r="AT14" s="847">
        <f t="shared" si="19"/>
        <v>8106861.6479999125</v>
      </c>
      <c r="AU14" s="1310">
        <f>+AU62*AU$3*24*1000</f>
        <v>1934400</v>
      </c>
      <c r="AV14" s="292">
        <v>953629.71000003815</v>
      </c>
      <c r="AW14" s="847">
        <f t="shared" si="20"/>
        <v>17923200</v>
      </c>
      <c r="AX14" s="847">
        <f t="shared" si="21"/>
        <v>9060491.3579999506</v>
      </c>
      <c r="AY14" s="1310">
        <f>+AY62*AY$3*24*1000</f>
        <v>1747199.9999999998</v>
      </c>
      <c r="AZ14" s="292">
        <v>538961.9999999851</v>
      </c>
      <c r="BA14" s="847">
        <f t="shared" si="22"/>
        <v>19670400</v>
      </c>
      <c r="BB14" s="847">
        <f t="shared" si="23"/>
        <v>9599453.3579999357</v>
      </c>
      <c r="BC14" s="1310">
        <f>+BC62*BC$3*24*1000</f>
        <v>1934400</v>
      </c>
      <c r="BD14" s="292">
        <v>1067264.5500000715</v>
      </c>
      <c r="BE14" s="1385">
        <f t="shared" si="44"/>
        <v>5616000</v>
      </c>
      <c r="BF14" s="1385">
        <f t="shared" si="45"/>
        <v>2559856.2600000948</v>
      </c>
      <c r="BG14" s="848">
        <f t="shared" si="46"/>
        <v>11356800</v>
      </c>
      <c r="BH14" s="848">
        <f t="shared" si="46"/>
        <v>5375910.9600000083</v>
      </c>
      <c r="BI14" s="847">
        <f t="shared" si="37"/>
        <v>21604800</v>
      </c>
      <c r="BJ14" s="847">
        <f t="shared" si="34"/>
        <v>10666717.908000007</v>
      </c>
      <c r="BK14" s="1111"/>
      <c r="BL14" s="1111"/>
      <c r="BM14" s="1111"/>
      <c r="BN14" s="4941"/>
      <c r="BO14" s="4941"/>
      <c r="BP14" s="1111"/>
      <c r="BQ14" s="1111"/>
      <c r="BR14" s="23"/>
    </row>
    <row r="15" spans="1:70" ht="16.2" thickBot="1" x14ac:dyDescent="0.35">
      <c r="A15" s="246">
        <v>10</v>
      </c>
      <c r="B15" s="273" t="s">
        <v>124</v>
      </c>
      <c r="C15" s="14" t="s">
        <v>212</v>
      </c>
      <c r="D15" s="274">
        <f>+D10-D14</f>
        <v>58771214.192000046</v>
      </c>
      <c r="E15" s="275">
        <f>+E10-E14</f>
        <v>64500026.04299999</v>
      </c>
      <c r="G15" s="843">
        <v>3</v>
      </c>
      <c r="H15" s="1304" t="s">
        <v>710</v>
      </c>
      <c r="I15" s="1309">
        <f>I6-I12</f>
        <v>99811594.239863262</v>
      </c>
      <c r="J15" s="332">
        <f>J6-J12</f>
        <v>112116348.55699998</v>
      </c>
      <c r="K15" s="1309">
        <f>K6-K12</f>
        <v>97219255.491286799</v>
      </c>
      <c r="L15" s="332">
        <f>L6-L12</f>
        <v>77696302.604999945</v>
      </c>
      <c r="M15" s="845">
        <f t="shared" si="1"/>
        <v>197030849.73115006</v>
      </c>
      <c r="N15" s="845">
        <f t="shared" si="1"/>
        <v>189812651.16199994</v>
      </c>
      <c r="O15" s="1309">
        <f>O6-O12</f>
        <v>115327319.29746184</v>
      </c>
      <c r="P15" s="332">
        <f>P6-P12</f>
        <v>113055706.65099986</v>
      </c>
      <c r="Q15" s="1383">
        <f t="shared" si="35"/>
        <v>312358169.0286119</v>
      </c>
      <c r="R15" s="329">
        <f t="shared" si="36"/>
        <v>302868357.81299978</v>
      </c>
      <c r="S15" s="1309">
        <f>S6-S12</f>
        <v>118291307.19417045</v>
      </c>
      <c r="T15" s="332">
        <f>T6-T12</f>
        <v>117728953.77300009</v>
      </c>
      <c r="U15" s="845">
        <f t="shared" si="4"/>
        <v>430649476.22278237</v>
      </c>
      <c r="V15" s="845">
        <f t="shared" si="5"/>
        <v>420597311.58599985</v>
      </c>
      <c r="W15" s="1309">
        <f>W6-W12</f>
        <v>118291307.19417045</v>
      </c>
      <c r="X15" s="332">
        <f>X6-X12</f>
        <v>114722401.89799988</v>
      </c>
      <c r="Y15" s="845">
        <f t="shared" si="6"/>
        <v>548940783.41695285</v>
      </c>
      <c r="Z15" s="845">
        <f t="shared" si="7"/>
        <v>535319713.48399973</v>
      </c>
      <c r="AA15" s="1309">
        <f>AA6-AA12</f>
        <v>81148631.099244505</v>
      </c>
      <c r="AB15" s="332">
        <f>AB6-AB12</f>
        <v>112312910.336</v>
      </c>
      <c r="AC15" s="1383">
        <f t="shared" ref="AC15:AD17" si="49">S15+W15+AA15</f>
        <v>317731245.48758543</v>
      </c>
      <c r="AD15" s="1383">
        <f t="shared" si="49"/>
        <v>344764266.00699997</v>
      </c>
      <c r="AE15" s="846">
        <f t="shared" si="40"/>
        <v>630089414.51619732</v>
      </c>
      <c r="AF15" s="846">
        <f t="shared" si="41"/>
        <v>647632623.81999969</v>
      </c>
      <c r="AG15" s="1309">
        <f>AG6-AG12</f>
        <v>119005124.22770301</v>
      </c>
      <c r="AH15" s="332">
        <f>AH6-AH12</f>
        <v>102212565.06300007</v>
      </c>
      <c r="AI15" s="845">
        <f t="shared" si="12"/>
        <v>749094538.7439003</v>
      </c>
      <c r="AJ15" s="845">
        <f t="shared" si="13"/>
        <v>749845188.88299978</v>
      </c>
      <c r="AK15" s="1309">
        <f>AK6-AK12</f>
        <v>115669577.65108055</v>
      </c>
      <c r="AL15" s="332">
        <f>AL6-AL12</f>
        <v>110420571.7110002</v>
      </c>
      <c r="AM15" s="845">
        <f t="shared" si="14"/>
        <v>864764116.39498091</v>
      </c>
      <c r="AN15" s="845">
        <f t="shared" si="15"/>
        <v>860265760.59399998</v>
      </c>
      <c r="AO15" s="1309">
        <f>AO6-AO12</f>
        <v>119514433.12751524</v>
      </c>
      <c r="AP15" s="332">
        <f>AP6-AP12</f>
        <v>111898860.31999981</v>
      </c>
      <c r="AQ15" s="1383">
        <f t="shared" si="42"/>
        <v>354189135.00629878</v>
      </c>
      <c r="AR15" s="1383">
        <f t="shared" si="43"/>
        <v>324531997.0940001</v>
      </c>
      <c r="AS15" s="845">
        <f t="shared" si="18"/>
        <v>984278549.5224961</v>
      </c>
      <c r="AT15" s="845">
        <f t="shared" si="19"/>
        <v>972164620.9139998</v>
      </c>
      <c r="AU15" s="1309">
        <f>AU6-AU12</f>
        <v>120225691.60293768</v>
      </c>
      <c r="AV15" s="332">
        <f>AV6-AV12</f>
        <v>112698532.85300004</v>
      </c>
      <c r="AW15" s="845">
        <f t="shared" si="20"/>
        <v>1104504241.1254337</v>
      </c>
      <c r="AX15" s="845">
        <f t="shared" si="21"/>
        <v>1084863153.7669997</v>
      </c>
      <c r="AY15" s="1309">
        <f>AY6-AY12</f>
        <v>108153158.02639693</v>
      </c>
      <c r="AZ15" s="332">
        <f>AZ6-AZ12</f>
        <v>100008595.37500001</v>
      </c>
      <c r="BA15" s="845">
        <f t="shared" si="22"/>
        <v>1212657399.1518307</v>
      </c>
      <c r="BB15" s="845">
        <f t="shared" si="23"/>
        <v>1184871749.1419997</v>
      </c>
      <c r="BC15" s="1309">
        <f>BC6-BC12</f>
        <v>120351410.07221156</v>
      </c>
      <c r="BD15" s="332">
        <f>BD6-BD12</f>
        <v>113875919.71900004</v>
      </c>
      <c r="BE15" s="1383">
        <f t="shared" si="44"/>
        <v>348730259.70154619</v>
      </c>
      <c r="BF15" s="1383">
        <f t="shared" si="45"/>
        <v>326583047.94700009</v>
      </c>
      <c r="BG15" s="846">
        <f t="shared" ref="BG15:BH16" si="50">AQ15+BE15</f>
        <v>702919394.70784497</v>
      </c>
      <c r="BH15" s="846">
        <f t="shared" si="50"/>
        <v>651115045.04100013</v>
      </c>
      <c r="BI15" s="845">
        <f t="shared" si="37"/>
        <v>1333008809.2240422</v>
      </c>
      <c r="BJ15" s="845">
        <f t="shared" si="34"/>
        <v>1298747668.8609998</v>
      </c>
      <c r="BK15" s="1111"/>
      <c r="BL15" s="1111"/>
      <c r="BM15" s="1111"/>
      <c r="BN15" s="4941"/>
      <c r="BO15" s="4941"/>
      <c r="BP15" s="1111"/>
      <c r="BQ15" s="1111"/>
      <c r="BR15" s="23"/>
    </row>
    <row r="16" spans="1:70" ht="15.6" x14ac:dyDescent="0.3">
      <c r="A16" s="246">
        <v>11</v>
      </c>
      <c r="B16" s="264" t="s">
        <v>693</v>
      </c>
      <c r="C16" s="12" t="s">
        <v>212</v>
      </c>
      <c r="D16" s="265">
        <v>1093290</v>
      </c>
      <c r="E16" s="266">
        <v>1171532.8</v>
      </c>
      <c r="G16" s="843">
        <v>4</v>
      </c>
      <c r="H16" s="1304" t="s">
        <v>711</v>
      </c>
      <c r="I16" s="1309">
        <f>I17+I39</f>
        <v>99811594.239863232</v>
      </c>
      <c r="J16" s="332">
        <f>J17+J39</f>
        <v>112116348.55699997</v>
      </c>
      <c r="K16" s="1309">
        <f>K17+K39</f>
        <v>97219255.491286784</v>
      </c>
      <c r="L16" s="332">
        <f>L17+L39</f>
        <v>77696302.604999945</v>
      </c>
      <c r="M16" s="845">
        <f t="shared" si="1"/>
        <v>197030849.73115003</v>
      </c>
      <c r="N16" s="845">
        <f t="shared" si="1"/>
        <v>189812651.16199991</v>
      </c>
      <c r="O16" s="1309">
        <f>O17+O39</f>
        <v>115327319.29746182</v>
      </c>
      <c r="P16" s="332">
        <f>P17+P39</f>
        <v>113055705.65099986</v>
      </c>
      <c r="Q16" s="1383">
        <f t="shared" si="35"/>
        <v>312358169.02861184</v>
      </c>
      <c r="R16" s="329">
        <f t="shared" si="36"/>
        <v>302868356.81299978</v>
      </c>
      <c r="S16" s="1309">
        <f>S17+S39</f>
        <v>118291307.19417048</v>
      </c>
      <c r="T16" s="332">
        <f>T17+T39</f>
        <v>117728953.77300008</v>
      </c>
      <c r="U16" s="845">
        <f t="shared" si="4"/>
        <v>430649476.22278231</v>
      </c>
      <c r="V16" s="845">
        <f t="shared" si="5"/>
        <v>420597310.58599985</v>
      </c>
      <c r="W16" s="1309">
        <f>W17+W39</f>
        <v>118291307.19417048</v>
      </c>
      <c r="X16" s="332">
        <f>X17+X39</f>
        <v>114722401.89799993</v>
      </c>
      <c r="Y16" s="845">
        <f t="shared" si="6"/>
        <v>548940783.41695285</v>
      </c>
      <c r="Z16" s="845">
        <f t="shared" si="7"/>
        <v>535319712.48399979</v>
      </c>
      <c r="AA16" s="1309">
        <f>AA17+AA39</f>
        <v>81148631.099244505</v>
      </c>
      <c r="AB16" s="332">
        <f>AB17+AB39</f>
        <v>112312910.33599998</v>
      </c>
      <c r="AC16" s="1383">
        <f t="shared" si="49"/>
        <v>317731245.48758543</v>
      </c>
      <c r="AD16" s="1383">
        <f t="shared" si="49"/>
        <v>344764266.00699997</v>
      </c>
      <c r="AE16" s="846">
        <f t="shared" si="40"/>
        <v>630089414.5161972</v>
      </c>
      <c r="AF16" s="846">
        <f t="shared" si="41"/>
        <v>647632622.81999969</v>
      </c>
      <c r="AG16" s="1309">
        <f>AG17+AG39</f>
        <v>119005124.22770299</v>
      </c>
      <c r="AH16" s="332">
        <f>AH17+AH39</f>
        <v>102212565.06300005</v>
      </c>
      <c r="AI16" s="845">
        <f t="shared" si="12"/>
        <v>749094538.74390018</v>
      </c>
      <c r="AJ16" s="845">
        <f t="shared" si="13"/>
        <v>749845187.88299978</v>
      </c>
      <c r="AK16" s="1309">
        <f>AK17+AK39</f>
        <v>115669577.65108055</v>
      </c>
      <c r="AL16" s="332">
        <f>AL17+AL39</f>
        <v>110420571.71100014</v>
      </c>
      <c r="AM16" s="845">
        <f t="shared" si="14"/>
        <v>864764116.39498067</v>
      </c>
      <c r="AN16" s="845">
        <f t="shared" si="15"/>
        <v>860265759.59399986</v>
      </c>
      <c r="AO16" s="1309">
        <f>AO17+AO39</f>
        <v>119514433.12751526</v>
      </c>
      <c r="AP16" s="332">
        <f>AP17+AP39</f>
        <v>111898860.31999983</v>
      </c>
      <c r="AQ16" s="1383">
        <f t="shared" si="42"/>
        <v>354189135.00629878</v>
      </c>
      <c r="AR16" s="1383">
        <f t="shared" si="43"/>
        <v>324531997.09400004</v>
      </c>
      <c r="AS16" s="845">
        <f t="shared" si="18"/>
        <v>984278549.52249599</v>
      </c>
      <c r="AT16" s="845">
        <f t="shared" si="19"/>
        <v>972164619.91399968</v>
      </c>
      <c r="AU16" s="1309">
        <f>AU17+AU39</f>
        <v>120225691.60293768</v>
      </c>
      <c r="AV16" s="332">
        <f>AV17+AV39</f>
        <v>112698532.85300003</v>
      </c>
      <c r="AW16" s="845">
        <f t="shared" si="20"/>
        <v>1104504241.1254337</v>
      </c>
      <c r="AX16" s="845">
        <f t="shared" si="21"/>
        <v>1084863152.7669997</v>
      </c>
      <c r="AY16" s="1309">
        <f>AY17+AY39</f>
        <v>108153158.02639693</v>
      </c>
      <c r="AZ16" s="332">
        <f>AZ17+AZ39</f>
        <v>100008595.37500001</v>
      </c>
      <c r="BA16" s="845">
        <f t="shared" si="22"/>
        <v>1212657399.1518307</v>
      </c>
      <c r="BB16" s="845">
        <f t="shared" si="23"/>
        <v>1184871748.1419997</v>
      </c>
      <c r="BC16" s="1309">
        <f>BC17+BC39</f>
        <v>120351410.07221158</v>
      </c>
      <c r="BD16" s="332">
        <f>BD17+BD39</f>
        <v>113819919.719</v>
      </c>
      <c r="BE16" s="1383">
        <f t="shared" si="44"/>
        <v>348730259.70154619</v>
      </c>
      <c r="BF16" s="1383">
        <f t="shared" si="45"/>
        <v>326527047.94700003</v>
      </c>
      <c r="BG16" s="846">
        <f t="shared" si="50"/>
        <v>702919394.70784497</v>
      </c>
      <c r="BH16" s="846">
        <f t="shared" si="50"/>
        <v>651059045.04100013</v>
      </c>
      <c r="BI16" s="845">
        <f t="shared" si="37"/>
        <v>1333008809.2240422</v>
      </c>
      <c r="BJ16" s="845">
        <f t="shared" si="34"/>
        <v>1298691667.8609998</v>
      </c>
      <c r="BK16" s="1111"/>
      <c r="BL16" s="1111"/>
      <c r="BM16" s="1111"/>
      <c r="BN16" s="4941"/>
      <c r="BO16" s="4941"/>
      <c r="BP16" s="1111"/>
      <c r="BQ16" s="1111"/>
      <c r="BR16" s="23"/>
    </row>
    <row r="17" spans="1:70" ht="15.6" x14ac:dyDescent="0.3">
      <c r="A17" s="246">
        <v>12</v>
      </c>
      <c r="B17" s="264" t="s">
        <v>685</v>
      </c>
      <c r="C17" s="12" t="s">
        <v>212</v>
      </c>
      <c r="D17" s="265">
        <v>5090630.0000000047</v>
      </c>
      <c r="E17" s="266">
        <v>4892460.0000000009</v>
      </c>
      <c r="G17" s="849">
        <v>4.0999999999999996</v>
      </c>
      <c r="H17" s="1305" t="s">
        <v>705</v>
      </c>
      <c r="I17" s="1312">
        <f>I18+I34</f>
        <v>90163594.239863232</v>
      </c>
      <c r="J17" s="294">
        <f>J18+J34</f>
        <v>102810581.79333331</v>
      </c>
      <c r="K17" s="1312">
        <f>K18+K34</f>
        <v>87249655.491286784</v>
      </c>
      <c r="L17" s="294">
        <f>L18+L34</f>
        <v>69894322.119999945</v>
      </c>
      <c r="M17" s="169">
        <f t="shared" si="1"/>
        <v>177413249.73115003</v>
      </c>
      <c r="N17" s="169">
        <f t="shared" si="1"/>
        <v>172704903.91333324</v>
      </c>
      <c r="O17" s="1312">
        <f>O18+O34</f>
        <v>105733319.29746182</v>
      </c>
      <c r="P17" s="294">
        <f>P18+P34</f>
        <v>103286034.35333319</v>
      </c>
      <c r="Q17" s="1386">
        <f t="shared" si="35"/>
        <v>283146569.02861184</v>
      </c>
      <c r="R17" s="1387">
        <f t="shared" si="36"/>
        <v>275990938.26666641</v>
      </c>
      <c r="S17" s="1312">
        <f>S18+S34</f>
        <v>108377507.19417048</v>
      </c>
      <c r="T17" s="294">
        <f>T18+T34</f>
        <v>107683835.92866676</v>
      </c>
      <c r="U17" s="1456">
        <f t="shared" si="4"/>
        <v>391524076.22278231</v>
      </c>
      <c r="V17" s="1456">
        <f t="shared" si="5"/>
        <v>383674774.19533318</v>
      </c>
      <c r="W17" s="1312">
        <f>W18+W34</f>
        <v>108377507.19417048</v>
      </c>
      <c r="X17" s="294">
        <f>X18+X34</f>
        <v>104855082.12733324</v>
      </c>
      <c r="Y17" s="1456">
        <f t="shared" si="6"/>
        <v>499901583.41695279</v>
      </c>
      <c r="Z17" s="1456">
        <f t="shared" si="7"/>
        <v>488529856.32266641</v>
      </c>
      <c r="AA17" s="1312">
        <f>AA18+AA34</f>
        <v>71554631.099244505</v>
      </c>
      <c r="AB17" s="294">
        <f>AB18+AB34</f>
        <v>102645175.81166665</v>
      </c>
      <c r="AC17" s="1386">
        <f t="shared" si="49"/>
        <v>288309645.48758543</v>
      </c>
      <c r="AD17" s="1387">
        <f t="shared" si="49"/>
        <v>315184093.86766666</v>
      </c>
      <c r="AE17" s="1519">
        <f t="shared" si="40"/>
        <v>571456214.5161972</v>
      </c>
      <c r="AF17" s="1519">
        <f t="shared" si="41"/>
        <v>591175032.13433313</v>
      </c>
      <c r="AG17" s="1312">
        <f>AG18+AG34</f>
        <v>109091324.22770299</v>
      </c>
      <c r="AH17" s="294">
        <f>AH18+AH34</f>
        <v>93286300.57766673</v>
      </c>
      <c r="AI17" s="1456">
        <f t="shared" si="12"/>
        <v>680547538.74390018</v>
      </c>
      <c r="AJ17" s="1456">
        <f t="shared" si="13"/>
        <v>684461332.71199989</v>
      </c>
      <c r="AK17" s="1312">
        <f>AK18+AK34</f>
        <v>106075577.65108055</v>
      </c>
      <c r="AL17" s="294">
        <f>AL18+AL34</f>
        <v>101571789.45733348</v>
      </c>
      <c r="AM17" s="1456">
        <f t="shared" si="14"/>
        <v>786623116.39498067</v>
      </c>
      <c r="AN17" s="1456">
        <f t="shared" si="15"/>
        <v>786033122.16933334</v>
      </c>
      <c r="AO17" s="1312">
        <f>AO18+AO34</f>
        <v>109600633.12751526</v>
      </c>
      <c r="AP17" s="294">
        <f>AP18+AP34</f>
        <v>102832934.62699983</v>
      </c>
      <c r="AQ17" s="1386">
        <f t="shared" si="42"/>
        <v>324767535.00629878</v>
      </c>
      <c r="AR17" s="1387">
        <f t="shared" si="43"/>
        <v>297691024.66200006</v>
      </c>
      <c r="AS17" s="1456">
        <f t="shared" si="18"/>
        <v>896223749.52249599</v>
      </c>
      <c r="AT17" s="1456">
        <f t="shared" si="19"/>
        <v>888866056.79633319</v>
      </c>
      <c r="AU17" s="1312">
        <f>AU18+AU34</f>
        <v>110311891.60293768</v>
      </c>
      <c r="AV17" s="294">
        <f>AV18+AV34</f>
        <v>103812028.72700003</v>
      </c>
      <c r="AW17" s="1456">
        <f t="shared" si="20"/>
        <v>1006535641.1254337</v>
      </c>
      <c r="AX17" s="1456">
        <f t="shared" si="21"/>
        <v>992678085.52333319</v>
      </c>
      <c r="AY17" s="1312">
        <f>AY18+AY34</f>
        <v>99198758.02639693</v>
      </c>
      <c r="AZ17" s="294">
        <f>AZ18+AZ34</f>
        <v>92705168.716000006</v>
      </c>
      <c r="BA17" s="1456">
        <f t="shared" si="22"/>
        <v>1105734399.1518307</v>
      </c>
      <c r="BB17" s="1456">
        <f t="shared" si="23"/>
        <v>1085383254.2393332</v>
      </c>
      <c r="BC17" s="1312">
        <f>BC18+BC34</f>
        <v>110437610.07221158</v>
      </c>
      <c r="BD17" s="294">
        <f>BD18+BD34</f>
        <v>105190911.32333334</v>
      </c>
      <c r="BE17" s="1386">
        <f t="shared" si="44"/>
        <v>319948259.70154619</v>
      </c>
      <c r="BF17" s="1387">
        <f t="shared" si="45"/>
        <v>301708108.76633334</v>
      </c>
      <c r="BG17" s="1519">
        <f>AQ17+BE17</f>
        <v>644715794.70784497</v>
      </c>
      <c r="BH17" s="1519">
        <f>AR17+BF17</f>
        <v>599399133.4283334</v>
      </c>
      <c r="BI17" s="1456">
        <f t="shared" si="37"/>
        <v>1216172009.2240422</v>
      </c>
      <c r="BJ17" s="1456">
        <f t="shared" si="34"/>
        <v>1190574165.5626664</v>
      </c>
      <c r="BK17" s="1111"/>
      <c r="BL17" s="1111"/>
      <c r="BM17" s="1111"/>
      <c r="BN17" s="4941"/>
      <c r="BO17" s="4941"/>
      <c r="BP17" s="1111"/>
      <c r="BQ17" s="1111"/>
      <c r="BR17" s="23"/>
    </row>
    <row r="18" spans="1:70" ht="15.6" x14ac:dyDescent="0.3">
      <c r="A18" s="246">
        <v>13</v>
      </c>
      <c r="B18" s="264" t="s">
        <v>602</v>
      </c>
      <c r="C18" s="12" t="s">
        <v>212</v>
      </c>
      <c r="D18" s="265">
        <v>1555939.9999999995</v>
      </c>
      <c r="E18" s="266">
        <v>1505040</v>
      </c>
      <c r="G18" s="850" t="s">
        <v>712</v>
      </c>
      <c r="H18" s="1306" t="s">
        <v>684</v>
      </c>
      <c r="I18" s="1313">
        <f>SUM(I19:I32)</f>
        <v>88457134.719863236</v>
      </c>
      <c r="J18" s="295">
        <f>SUM(J19:J32)</f>
        <v>101327143.49999997</v>
      </c>
      <c r="K18" s="1313">
        <f>SUM(K19:K32)</f>
        <v>85486313.987286791</v>
      </c>
      <c r="L18" s="295">
        <f>SUM(L19:L32)</f>
        <v>68449423.719999939</v>
      </c>
      <c r="M18" s="851">
        <f t="shared" si="1"/>
        <v>173943448.70715004</v>
      </c>
      <c r="N18" s="851">
        <f t="shared" si="1"/>
        <v>169776567.21999991</v>
      </c>
      <c r="O18" s="1313">
        <f>SUM(O19:O32)</f>
        <v>103966924.09746182</v>
      </c>
      <c r="P18" s="295">
        <f>SUM(P19:P32)</f>
        <v>101691418.23999986</v>
      </c>
      <c r="Q18" s="1388">
        <f t="shared" si="35"/>
        <v>277910372.80461186</v>
      </c>
      <c r="R18" s="1389">
        <f t="shared" si="36"/>
        <v>271467985.4599998</v>
      </c>
      <c r="S18" s="1313">
        <f>SUM(S19:S32)</f>
        <v>106552232.15417047</v>
      </c>
      <c r="T18" s="295">
        <f>SUM(T19:T32)</f>
        <v>106066937.44000009</v>
      </c>
      <c r="U18" s="851">
        <f t="shared" si="4"/>
        <v>384462604.95878232</v>
      </c>
      <c r="V18" s="851">
        <f t="shared" si="5"/>
        <v>377534922.89999986</v>
      </c>
      <c r="W18" s="1313">
        <f>SUM(W19:W32)</f>
        <v>106552232.15417047</v>
      </c>
      <c r="X18" s="295">
        <f>SUM(X19:X32)</f>
        <v>103288592.13999991</v>
      </c>
      <c r="Y18" s="851">
        <f t="shared" si="6"/>
        <v>491014837.11295277</v>
      </c>
      <c r="Z18" s="851">
        <f t="shared" si="7"/>
        <v>480823515.03999978</v>
      </c>
      <c r="AA18" s="1313">
        <f>SUM(AA19:AA32)</f>
        <v>69811569.419244498</v>
      </c>
      <c r="AB18" s="295">
        <f>SUM(AB19:AB32)</f>
        <v>101067071.11999999</v>
      </c>
      <c r="AC18" s="1388">
        <f t="shared" ref="AC18:AC32" si="51">S18+W18+AA18</f>
        <v>282916033.72758543</v>
      </c>
      <c r="AD18" s="1389">
        <f t="shared" ref="AD18:AD32" si="52">T18+X18+AB18</f>
        <v>310422600.69999999</v>
      </c>
      <c r="AE18" s="852">
        <f t="shared" si="40"/>
        <v>560826406.53219724</v>
      </c>
      <c r="AF18" s="852">
        <f t="shared" si="41"/>
        <v>581890586.15999985</v>
      </c>
      <c r="AG18" s="1313">
        <f>SUM(AG19:AG32)</f>
        <v>107266049.18770298</v>
      </c>
      <c r="AH18" s="295">
        <f>SUM(AH19:AH32)</f>
        <v>91702051.100000069</v>
      </c>
      <c r="AI18" s="851">
        <f t="shared" si="12"/>
        <v>668092455.71990025</v>
      </c>
      <c r="AJ18" s="851">
        <f t="shared" si="13"/>
        <v>673592637.25999987</v>
      </c>
      <c r="AK18" s="1313">
        <f>SUM(AK19:AK32)</f>
        <v>104309182.45108055</v>
      </c>
      <c r="AL18" s="295">
        <f>SUM(AL19:AL32)</f>
        <v>99979868.40000014</v>
      </c>
      <c r="AM18" s="851">
        <f t="shared" si="14"/>
        <v>772401638.17098081</v>
      </c>
      <c r="AN18" s="851">
        <f t="shared" si="15"/>
        <v>773572505.65999997</v>
      </c>
      <c r="AO18" s="1313">
        <f>SUM(AO19:AO32)</f>
        <v>107775358.08751525</v>
      </c>
      <c r="AP18" s="295">
        <f>SUM(AP19:AP32)</f>
        <v>101258028.39999983</v>
      </c>
      <c r="AQ18" s="1388">
        <f t="shared" si="42"/>
        <v>319350589.72629875</v>
      </c>
      <c r="AR18" s="1389">
        <f t="shared" si="43"/>
        <v>292939947.90000004</v>
      </c>
      <c r="AS18" s="851">
        <f t="shared" si="18"/>
        <v>880176996.25849605</v>
      </c>
      <c r="AT18" s="851">
        <f t="shared" si="19"/>
        <v>874830534.05999982</v>
      </c>
      <c r="AU18" s="1313">
        <f>SUM(AU19:AU32)</f>
        <v>108486616.56293768</v>
      </c>
      <c r="AV18" s="295">
        <f>SUM(AV19:AV32)</f>
        <v>102228038.00000003</v>
      </c>
      <c r="AW18" s="851">
        <f t="shared" si="20"/>
        <v>988663612.82143378</v>
      </c>
      <c r="AX18" s="851">
        <f t="shared" si="21"/>
        <v>977058572.05999982</v>
      </c>
      <c r="AY18" s="1313">
        <f>SUM(AY19:AY32)</f>
        <v>97550122.506396934</v>
      </c>
      <c r="AZ18" s="295">
        <f>SUM(AZ19:AZ32)</f>
        <v>91404309.5</v>
      </c>
      <c r="BA18" s="851">
        <f t="shared" si="22"/>
        <v>1086213735.3278308</v>
      </c>
      <c r="BB18" s="851">
        <f t="shared" si="23"/>
        <v>1068462881.5599998</v>
      </c>
      <c r="BC18" s="1313">
        <f>SUM(BC19:BC32)</f>
        <v>108612335.03221157</v>
      </c>
      <c r="BD18" s="295">
        <f>SUM(BD19:BD32)</f>
        <v>103747850.60000001</v>
      </c>
      <c r="BE18" s="1388">
        <f t="shared" si="44"/>
        <v>314649074.10154617</v>
      </c>
      <c r="BF18" s="1389">
        <f t="shared" si="45"/>
        <v>297380198.10000002</v>
      </c>
      <c r="BG18" s="846">
        <f>AQ18+BE18</f>
        <v>633999663.82784486</v>
      </c>
      <c r="BH18" s="846">
        <f>AR18+BF18</f>
        <v>590320146</v>
      </c>
      <c r="BI18" s="851">
        <f t="shared" si="37"/>
        <v>1194826070.3600423</v>
      </c>
      <c r="BJ18" s="851">
        <f t="shared" si="34"/>
        <v>1172210732.1599998</v>
      </c>
      <c r="BK18" s="1111"/>
      <c r="BL18" s="1111"/>
      <c r="BM18" s="1111"/>
      <c r="BN18" s="4941"/>
      <c r="BO18" s="4941"/>
      <c r="BP18" s="1111"/>
      <c r="BQ18" s="1111"/>
      <c r="BR18" s="23"/>
    </row>
    <row r="19" spans="1:70" x14ac:dyDescent="0.3">
      <c r="A19" s="246">
        <v>14</v>
      </c>
      <c r="B19" s="264" t="s">
        <v>461</v>
      </c>
      <c r="C19" s="12" t="s">
        <v>212</v>
      </c>
      <c r="D19" s="265">
        <v>7954979.9999999814</v>
      </c>
      <c r="E19" s="266">
        <v>8018420.0000000149</v>
      </c>
      <c r="G19" s="840" t="s">
        <v>713</v>
      </c>
      <c r="H19" s="822" t="s">
        <v>685</v>
      </c>
      <c r="I19" s="1311">
        <f t="shared" ref="I19:I32" si="53">+I67*I$3*24*1000</f>
        <v>4761773.352</v>
      </c>
      <c r="J19" s="292">
        <v>4800473.7999999989</v>
      </c>
      <c r="K19" s="1311">
        <f t="shared" ref="K19:K32" si="54">+K67*K$3*24*1000</f>
        <v>4891465.1293199984</v>
      </c>
      <c r="L19" s="292">
        <v>4953235.9000000004</v>
      </c>
      <c r="M19" s="847">
        <f t="shared" si="1"/>
        <v>9653238.4813199975</v>
      </c>
      <c r="N19" s="847">
        <f t="shared" si="1"/>
        <v>9753709.6999999993</v>
      </c>
      <c r="O19" s="1311">
        <f t="shared" ref="O19:O32" si="55">+O67*O$3*24*1000</f>
        <v>5267670.03</v>
      </c>
      <c r="P19" s="292">
        <v>4982808.9399999864</v>
      </c>
      <c r="Q19" s="1385">
        <f t="shared" si="35"/>
        <v>14920908.511319999</v>
      </c>
      <c r="R19" s="328">
        <f t="shared" si="36"/>
        <v>14736518.639999986</v>
      </c>
      <c r="S19" s="1311">
        <f t="shared" ref="S19:S32" si="56">+S67*S$3*24*1000</f>
        <v>5443259.0310000004</v>
      </c>
      <c r="T19" s="292">
        <v>5165082.3400000138</v>
      </c>
      <c r="U19" s="847">
        <f t="shared" si="4"/>
        <v>20364167.542319998</v>
      </c>
      <c r="V19" s="847">
        <f t="shared" si="5"/>
        <v>19901600.98</v>
      </c>
      <c r="W19" s="1311">
        <f t="shared" ref="W19:W32" si="57">+W67*W$3*24*1000</f>
        <v>5443259.0310000004</v>
      </c>
      <c r="X19" s="292">
        <v>4967620.5999999903</v>
      </c>
      <c r="Y19" s="847">
        <f t="shared" si="6"/>
        <v>25807426.573319998</v>
      </c>
      <c r="Z19" s="847">
        <f t="shared" si="7"/>
        <v>24869221.579999991</v>
      </c>
      <c r="AA19" s="1311">
        <f t="shared" ref="AA19:AA32" si="58">+AA67*AA$3*24*1000</f>
        <v>5025787.2224999992</v>
      </c>
      <c r="AB19" s="292">
        <v>4729684.800000011</v>
      </c>
      <c r="AC19" s="1385">
        <f t="shared" si="51"/>
        <v>15912305.284499999</v>
      </c>
      <c r="AD19" s="328">
        <f t="shared" si="52"/>
        <v>14862387.740000017</v>
      </c>
      <c r="AE19" s="848">
        <f t="shared" si="40"/>
        <v>30833213.795819998</v>
      </c>
      <c r="AF19" s="848">
        <f t="shared" si="41"/>
        <v>29598906.380000003</v>
      </c>
      <c r="AG19" s="1311">
        <f t="shared" ref="AG19:AG32" si="59">+AG67*AG$3*24*1000</f>
        <v>5443259.0310000004</v>
      </c>
      <c r="AH19" s="292">
        <v>4972368.8999999939</v>
      </c>
      <c r="AI19" s="847">
        <f t="shared" si="12"/>
        <v>36276472.826820001</v>
      </c>
      <c r="AJ19" s="847">
        <f t="shared" si="13"/>
        <v>34571275.279999994</v>
      </c>
      <c r="AK19" s="1311">
        <f t="shared" ref="AK19:AK32" si="60">+AK67*AK$3*24*1000</f>
        <v>5267670.03</v>
      </c>
      <c r="AL19" s="292">
        <v>5090430.7000000188</v>
      </c>
      <c r="AM19" s="847">
        <f t="shared" si="14"/>
        <v>41544142.856820002</v>
      </c>
      <c r="AN19" s="847">
        <f t="shared" si="15"/>
        <v>39661705.980000012</v>
      </c>
      <c r="AO19" s="1311">
        <f t="shared" ref="AO19:AO32" si="61">+AO67*AO$3*24*1000</f>
        <v>5443259.0310000004</v>
      </c>
      <c r="AP19" s="292">
        <v>5200091.999999986</v>
      </c>
      <c r="AQ19" s="1385">
        <f t="shared" si="42"/>
        <v>16154188.092</v>
      </c>
      <c r="AR19" s="328">
        <f t="shared" si="43"/>
        <v>15262891.599999998</v>
      </c>
      <c r="AS19" s="847">
        <f t="shared" si="18"/>
        <v>46987401.887820005</v>
      </c>
      <c r="AT19" s="847">
        <f t="shared" si="19"/>
        <v>44861797.979999997</v>
      </c>
      <c r="AU19" s="1311">
        <f t="shared" ref="AU19:AU32" si="62">+AU67*AU$3*24*1000</f>
        <v>5443259.0310000004</v>
      </c>
      <c r="AV19" s="292">
        <v>5008155.8999999892</v>
      </c>
      <c r="AW19" s="847">
        <f t="shared" si="20"/>
        <v>52430660.918820009</v>
      </c>
      <c r="AX19" s="847">
        <f t="shared" si="21"/>
        <v>49869953.879999988</v>
      </c>
      <c r="AY19" s="1311">
        <f t="shared" ref="AY19:AY32" si="63">+AY67*AY$3*24*1000</f>
        <v>4916492.0280000009</v>
      </c>
      <c r="AZ19" s="292">
        <v>4650549.8000000147</v>
      </c>
      <c r="BA19" s="847">
        <f t="shared" si="22"/>
        <v>57347152.946820006</v>
      </c>
      <c r="BB19" s="847">
        <f t="shared" si="23"/>
        <v>54520503.68</v>
      </c>
      <c r="BC19" s="1311">
        <f t="shared" ref="BC19:BC32" si="64">+BC67*BC$3*24*1000</f>
        <v>5443259.0310000004</v>
      </c>
      <c r="BD19" s="292">
        <v>5022713.2999999952</v>
      </c>
      <c r="BE19" s="1385">
        <f t="shared" si="44"/>
        <v>15803010.09</v>
      </c>
      <c r="BF19" s="328">
        <f t="shared" si="45"/>
        <v>14681418.999999998</v>
      </c>
      <c r="BG19" s="848">
        <f t="shared" ref="BG19:BH32" si="65">AQ19+BE19</f>
        <v>31957198.182</v>
      </c>
      <c r="BH19" s="848">
        <f t="shared" si="65"/>
        <v>29944310.599999994</v>
      </c>
      <c r="BI19" s="847">
        <f t="shared" si="37"/>
        <v>62790411.977820009</v>
      </c>
      <c r="BJ19" s="847">
        <f t="shared" si="34"/>
        <v>59543216.979999997</v>
      </c>
      <c r="BK19" s="1111"/>
      <c r="BL19" s="1111"/>
      <c r="BM19" s="1111"/>
      <c r="BN19" s="4941"/>
      <c r="BO19" s="4941"/>
      <c r="BP19" s="1111"/>
      <c r="BQ19" s="1111"/>
      <c r="BR19" s="23"/>
    </row>
    <row r="20" spans="1:70" x14ac:dyDescent="0.3">
      <c r="A20" s="246">
        <v>15</v>
      </c>
      <c r="B20" s="264" t="s">
        <v>686</v>
      </c>
      <c r="C20" s="12" t="s">
        <v>212</v>
      </c>
      <c r="D20" s="265">
        <v>9405013.9999999981</v>
      </c>
      <c r="E20" s="266">
        <v>9828956</v>
      </c>
      <c r="G20" s="840" t="s">
        <v>714</v>
      </c>
      <c r="H20" s="822" t="s">
        <v>602</v>
      </c>
      <c r="I20" s="1311">
        <f t="shared" si="53"/>
        <v>2232000</v>
      </c>
      <c r="J20" s="292">
        <v>2059379.9999999974</v>
      </c>
      <c r="K20" s="1311">
        <f t="shared" si="54"/>
        <v>2306400</v>
      </c>
      <c r="L20" s="292">
        <v>1492870.0000000002</v>
      </c>
      <c r="M20" s="847">
        <f t="shared" si="1"/>
        <v>4538400</v>
      </c>
      <c r="N20" s="847">
        <f t="shared" si="1"/>
        <v>3552249.9999999977</v>
      </c>
      <c r="O20" s="1311">
        <f t="shared" si="55"/>
        <v>2088000</v>
      </c>
      <c r="P20" s="292">
        <v>2115320</v>
      </c>
      <c r="Q20" s="1385">
        <f t="shared" ref="Q20:Q32" si="66">+I20+K20+O20</f>
        <v>6626400</v>
      </c>
      <c r="R20" s="328">
        <f t="shared" ref="R20:R32" si="67">+J20+L20+P20</f>
        <v>5667569.9999999981</v>
      </c>
      <c r="S20" s="1311">
        <f t="shared" si="56"/>
        <v>2157600</v>
      </c>
      <c r="T20" s="292">
        <v>2432859.9999999972</v>
      </c>
      <c r="U20" s="847">
        <f t="shared" si="4"/>
        <v>8784000</v>
      </c>
      <c r="V20" s="847">
        <f t="shared" si="5"/>
        <v>8100429.9999999953</v>
      </c>
      <c r="W20" s="1311">
        <f t="shared" si="57"/>
        <v>2157600</v>
      </c>
      <c r="X20" s="292">
        <v>2330123.0000000047</v>
      </c>
      <c r="Y20" s="847">
        <f t="shared" si="6"/>
        <v>10941600</v>
      </c>
      <c r="Z20" s="847">
        <f t="shared" si="7"/>
        <v>10430553</v>
      </c>
      <c r="AA20" s="1311">
        <f t="shared" si="58"/>
        <v>1447199.9999999998</v>
      </c>
      <c r="AB20" s="292">
        <v>2252446.9999999991</v>
      </c>
      <c r="AC20" s="1385">
        <f t="shared" si="51"/>
        <v>5762400</v>
      </c>
      <c r="AD20" s="328">
        <f t="shared" si="52"/>
        <v>7015430.0000000009</v>
      </c>
      <c r="AE20" s="848">
        <f t="shared" si="40"/>
        <v>12388800</v>
      </c>
      <c r="AF20" s="848">
        <f t="shared" si="41"/>
        <v>12683000</v>
      </c>
      <c r="AG20" s="1311">
        <f t="shared" si="59"/>
        <v>2157600</v>
      </c>
      <c r="AH20" s="292">
        <v>2151319.9999999981</v>
      </c>
      <c r="AI20" s="847">
        <f t="shared" si="12"/>
        <v>14546400</v>
      </c>
      <c r="AJ20" s="847">
        <f t="shared" si="13"/>
        <v>14834319.999999998</v>
      </c>
      <c r="AK20" s="1311">
        <f t="shared" si="60"/>
        <v>2088000</v>
      </c>
      <c r="AL20" s="292">
        <v>2153549.9999999995</v>
      </c>
      <c r="AM20" s="847">
        <f t="shared" si="14"/>
        <v>16634400</v>
      </c>
      <c r="AN20" s="847">
        <f t="shared" si="15"/>
        <v>16987869.999999996</v>
      </c>
      <c r="AO20" s="1311">
        <f t="shared" si="61"/>
        <v>2157600</v>
      </c>
      <c r="AP20" s="292">
        <v>2185450.0000000033</v>
      </c>
      <c r="AQ20" s="1385">
        <f t="shared" si="42"/>
        <v>6403200</v>
      </c>
      <c r="AR20" s="328">
        <f t="shared" si="43"/>
        <v>6490320.0000000019</v>
      </c>
      <c r="AS20" s="847">
        <f t="shared" si="18"/>
        <v>18792000</v>
      </c>
      <c r="AT20" s="847">
        <f t="shared" si="19"/>
        <v>19173320</v>
      </c>
      <c r="AU20" s="1311">
        <f t="shared" si="62"/>
        <v>2157600</v>
      </c>
      <c r="AV20" s="292">
        <v>2194230</v>
      </c>
      <c r="AW20" s="847">
        <f t="shared" si="20"/>
        <v>20949600</v>
      </c>
      <c r="AX20" s="847">
        <f t="shared" si="21"/>
        <v>21367550</v>
      </c>
      <c r="AY20" s="1311">
        <f t="shared" si="63"/>
        <v>1948800.0000000002</v>
      </c>
      <c r="AZ20" s="292">
        <v>1876840.0000000014</v>
      </c>
      <c r="BA20" s="847">
        <f t="shared" si="22"/>
        <v>22898400</v>
      </c>
      <c r="BB20" s="847">
        <f t="shared" si="23"/>
        <v>23244390</v>
      </c>
      <c r="BC20" s="1311">
        <f t="shared" si="64"/>
        <v>2157600</v>
      </c>
      <c r="BD20" s="292">
        <v>2113349.9999999995</v>
      </c>
      <c r="BE20" s="1385">
        <f t="shared" si="44"/>
        <v>6264000</v>
      </c>
      <c r="BF20" s="328">
        <f t="shared" si="45"/>
        <v>6184420.0000000009</v>
      </c>
      <c r="BG20" s="848">
        <f>AQ20+BE20</f>
        <v>12667200</v>
      </c>
      <c r="BH20" s="848">
        <f t="shared" si="65"/>
        <v>12674740.000000004</v>
      </c>
      <c r="BI20" s="847">
        <f t="shared" si="37"/>
        <v>25056000</v>
      </c>
      <c r="BJ20" s="847">
        <f t="shared" si="34"/>
        <v>25357740</v>
      </c>
      <c r="BK20" s="1111"/>
      <c r="BL20" s="1111"/>
      <c r="BM20" s="1111"/>
      <c r="BN20" s="4941"/>
      <c r="BO20" s="4941"/>
      <c r="BP20" s="1111"/>
      <c r="BQ20" s="1111"/>
      <c r="BR20" s="23"/>
    </row>
    <row r="21" spans="1:70" x14ac:dyDescent="0.3">
      <c r="A21" s="246">
        <v>16</v>
      </c>
      <c r="B21" s="264" t="s">
        <v>687</v>
      </c>
      <c r="C21" s="12" t="s">
        <v>212</v>
      </c>
      <c r="D21" s="265">
        <v>16006660.000000006</v>
      </c>
      <c r="E21" s="266">
        <v>16895070</v>
      </c>
      <c r="G21" s="840" t="s">
        <v>715</v>
      </c>
      <c r="H21" s="822" t="s">
        <v>461</v>
      </c>
      <c r="I21" s="1311">
        <f t="shared" si="53"/>
        <v>8858244.3057163507</v>
      </c>
      <c r="J21" s="292">
        <v>11705460</v>
      </c>
      <c r="K21" s="1311">
        <f t="shared" si="54"/>
        <v>7963902.3325430648</v>
      </c>
      <c r="L21" s="292">
        <v>5899570.0000000019</v>
      </c>
      <c r="M21" s="847">
        <f t="shared" si="1"/>
        <v>16822146.638259415</v>
      </c>
      <c r="N21" s="847">
        <f t="shared" si="1"/>
        <v>17605030</v>
      </c>
      <c r="O21" s="1311">
        <f t="shared" si="55"/>
        <v>11514717.277581625</v>
      </c>
      <c r="P21" s="292">
        <v>11736979.999999998</v>
      </c>
      <c r="Q21" s="1385">
        <f t="shared" si="66"/>
        <v>28336863.915841039</v>
      </c>
      <c r="R21" s="328">
        <f t="shared" si="67"/>
        <v>29342010</v>
      </c>
      <c r="S21" s="1311">
        <f t="shared" si="56"/>
        <v>11644431.145174664</v>
      </c>
      <c r="T21" s="292">
        <v>12452919.999999998</v>
      </c>
      <c r="U21" s="847">
        <f t="shared" si="4"/>
        <v>39981295.061015703</v>
      </c>
      <c r="V21" s="847">
        <f t="shared" si="5"/>
        <v>41794930</v>
      </c>
      <c r="W21" s="1311">
        <f t="shared" si="57"/>
        <v>11644431.145174664</v>
      </c>
      <c r="X21" s="292">
        <v>12425240.000000002</v>
      </c>
      <c r="Y21" s="847">
        <f t="shared" si="6"/>
        <v>51625726.206190363</v>
      </c>
      <c r="Z21" s="847">
        <f t="shared" si="7"/>
        <v>54220170</v>
      </c>
      <c r="AA21" s="1311">
        <f t="shared" si="58"/>
        <v>6424565.2608682904</v>
      </c>
      <c r="AB21" s="292">
        <v>12303829.999999996</v>
      </c>
      <c r="AC21" s="1385">
        <f t="shared" si="51"/>
        <v>29713427.551217616</v>
      </c>
      <c r="AD21" s="328">
        <f t="shared" si="52"/>
        <v>37181990</v>
      </c>
      <c r="AE21" s="848">
        <f t="shared" si="40"/>
        <v>58050291.467058659</v>
      </c>
      <c r="AF21" s="848">
        <f t="shared" si="41"/>
        <v>66524000</v>
      </c>
      <c r="AG21" s="1311">
        <f t="shared" si="59"/>
        <v>11860620.924496397</v>
      </c>
      <c r="AH21" s="292">
        <v>10323149.999999998</v>
      </c>
      <c r="AI21" s="847">
        <f t="shared" si="12"/>
        <v>69910912.391555056</v>
      </c>
      <c r="AJ21" s="847">
        <f t="shared" si="13"/>
        <v>76847150</v>
      </c>
      <c r="AK21" s="1311">
        <f t="shared" si="60"/>
        <v>11638467.757534873</v>
      </c>
      <c r="AL21" s="292">
        <v>11758380.000000009</v>
      </c>
      <c r="AM21" s="847">
        <f t="shared" si="14"/>
        <v>81549380.149089932</v>
      </c>
      <c r="AN21" s="847">
        <f t="shared" si="15"/>
        <v>88605530.000000015</v>
      </c>
      <c r="AO21" s="1311">
        <f t="shared" si="61"/>
        <v>11984371.404449644</v>
      </c>
      <c r="AP21" s="292">
        <v>10587819.999999993</v>
      </c>
      <c r="AQ21" s="1385">
        <f t="shared" si="42"/>
        <v>35483460.086480916</v>
      </c>
      <c r="AR21" s="328">
        <f t="shared" si="43"/>
        <v>32669350</v>
      </c>
      <c r="AS21" s="847">
        <f t="shared" si="18"/>
        <v>93533751.553539574</v>
      </c>
      <c r="AT21" s="847">
        <f t="shared" si="19"/>
        <v>99193350</v>
      </c>
      <c r="AU21" s="1311">
        <f t="shared" si="62"/>
        <v>12033572.747953784</v>
      </c>
      <c r="AV21" s="292">
        <v>11832350.000000006</v>
      </c>
      <c r="AW21" s="847">
        <f t="shared" si="20"/>
        <v>105567324.30149336</v>
      </c>
      <c r="AX21" s="847">
        <f t="shared" si="21"/>
        <v>111025700</v>
      </c>
      <c r="AY21" s="1311">
        <f t="shared" si="63"/>
        <v>10822909.983752074</v>
      </c>
      <c r="AZ21" s="292">
        <v>10396270</v>
      </c>
      <c r="BA21" s="847">
        <f t="shared" si="22"/>
        <v>116390234.28524543</v>
      </c>
      <c r="BB21" s="847">
        <f t="shared" si="23"/>
        <v>121421970</v>
      </c>
      <c r="BC21" s="1311">
        <f t="shared" si="64"/>
        <v>12033572.747953784</v>
      </c>
      <c r="BD21" s="292">
        <v>12188319.999999996</v>
      </c>
      <c r="BE21" s="1385">
        <f t="shared" si="44"/>
        <v>34890055.479659647</v>
      </c>
      <c r="BF21" s="328">
        <f t="shared" si="45"/>
        <v>34416940</v>
      </c>
      <c r="BG21" s="848">
        <f t="shared" si="65"/>
        <v>70373515.566140562</v>
      </c>
      <c r="BH21" s="848">
        <f t="shared" si="65"/>
        <v>67086290</v>
      </c>
      <c r="BI21" s="847">
        <f t="shared" si="37"/>
        <v>128423807.03319922</v>
      </c>
      <c r="BJ21" s="847">
        <f t="shared" si="34"/>
        <v>133610290</v>
      </c>
      <c r="BK21" s="1111"/>
      <c r="BL21" s="1111"/>
      <c r="BM21" s="1111"/>
      <c r="BN21" s="4941"/>
      <c r="BO21" s="4941"/>
      <c r="BP21" s="1111"/>
      <c r="BQ21" s="1111"/>
      <c r="BR21" s="23"/>
    </row>
    <row r="22" spans="1:70" x14ac:dyDescent="0.3">
      <c r="A22" s="246">
        <v>17</v>
      </c>
      <c r="B22" s="264" t="s">
        <v>82</v>
      </c>
      <c r="C22" s="12" t="s">
        <v>212</v>
      </c>
      <c r="D22" s="265">
        <v>961360.0000000014</v>
      </c>
      <c r="E22" s="266">
        <v>1006979.9999999992</v>
      </c>
      <c r="G22" s="840" t="s">
        <v>716</v>
      </c>
      <c r="H22" s="822" t="s">
        <v>686</v>
      </c>
      <c r="I22" s="1311">
        <f t="shared" si="53"/>
        <v>9595039.9999999981</v>
      </c>
      <c r="J22" s="292">
        <v>12014494.000000004</v>
      </c>
      <c r="K22" s="1311">
        <f t="shared" si="54"/>
        <v>8626310</v>
      </c>
      <c r="L22" s="292">
        <v>8376050.0000000047</v>
      </c>
      <c r="M22" s="847">
        <f t="shared" si="1"/>
        <v>18221350</v>
      </c>
      <c r="N22" s="847">
        <f t="shared" si="1"/>
        <v>20390544.000000007</v>
      </c>
      <c r="O22" s="1311">
        <f t="shared" si="55"/>
        <v>11845370.205535013</v>
      </c>
      <c r="P22" s="292">
        <v>12313432.000000006</v>
      </c>
      <c r="Q22" s="1385">
        <f t="shared" si="66"/>
        <v>30066720.205535013</v>
      </c>
      <c r="R22" s="328">
        <f t="shared" si="67"/>
        <v>32703976.000000015</v>
      </c>
      <c r="S22" s="1311">
        <f t="shared" si="56"/>
        <v>11986386.517505666</v>
      </c>
      <c r="T22" s="292">
        <v>12668533.999999953</v>
      </c>
      <c r="U22" s="847">
        <f t="shared" si="4"/>
        <v>42053106.723040678</v>
      </c>
      <c r="V22" s="847">
        <f t="shared" si="5"/>
        <v>45372509.99999997</v>
      </c>
      <c r="W22" s="1311">
        <f t="shared" si="57"/>
        <v>11986386.517505666</v>
      </c>
      <c r="X22" s="292">
        <v>12400062.000000037</v>
      </c>
      <c r="Y22" s="847">
        <f t="shared" si="6"/>
        <v>54039493.240546346</v>
      </c>
      <c r="Z22" s="847">
        <f t="shared" si="7"/>
        <v>57772572.000000007</v>
      </c>
      <c r="AA22" s="1311">
        <f t="shared" si="58"/>
        <v>8474361.2252972294</v>
      </c>
      <c r="AB22" s="292">
        <v>12240051.999999998</v>
      </c>
      <c r="AC22" s="1385">
        <f t="shared" si="51"/>
        <v>32447134.260308564</v>
      </c>
      <c r="AD22" s="328">
        <f t="shared" si="52"/>
        <v>37308647.999999993</v>
      </c>
      <c r="AE22" s="848">
        <f t="shared" si="40"/>
        <v>62513854.465843573</v>
      </c>
      <c r="AF22" s="848">
        <f t="shared" si="41"/>
        <v>70012624</v>
      </c>
      <c r="AG22" s="1311">
        <f t="shared" si="59"/>
        <v>12221413.704123424</v>
      </c>
      <c r="AH22" s="292">
        <v>11183425.999999981</v>
      </c>
      <c r="AI22" s="847">
        <f t="shared" si="12"/>
        <v>74735268.169966996</v>
      </c>
      <c r="AJ22" s="847">
        <f t="shared" si="13"/>
        <v>81196049.999999985</v>
      </c>
      <c r="AK22" s="1311">
        <f t="shared" si="60"/>
        <v>11845370.205535013</v>
      </c>
      <c r="AL22" s="292">
        <v>12323946.00000003</v>
      </c>
      <c r="AM22" s="847">
        <f t="shared" si="14"/>
        <v>86580638.375502005</v>
      </c>
      <c r="AN22" s="847">
        <f t="shared" si="15"/>
        <v>93519996.000000015</v>
      </c>
      <c r="AO22" s="1311">
        <f t="shared" si="61"/>
        <v>12221413.704123424</v>
      </c>
      <c r="AP22" s="292">
        <v>12037367.999999981</v>
      </c>
      <c r="AQ22" s="1385">
        <f t="shared" si="42"/>
        <v>36288197.613781862</v>
      </c>
      <c r="AR22" s="328">
        <f t="shared" si="43"/>
        <v>35544739.999999993</v>
      </c>
      <c r="AS22" s="847">
        <f t="shared" si="18"/>
        <v>98802052.079625428</v>
      </c>
      <c r="AT22" s="847">
        <f t="shared" si="19"/>
        <v>105557364</v>
      </c>
      <c r="AU22" s="1311">
        <f t="shared" si="62"/>
        <v>12409435.453417631</v>
      </c>
      <c r="AV22" s="292">
        <v>11958026.000000011</v>
      </c>
      <c r="AW22" s="847">
        <f t="shared" si="20"/>
        <v>111211487.53304306</v>
      </c>
      <c r="AX22" s="847">
        <f t="shared" si="21"/>
        <v>117515390.00000001</v>
      </c>
      <c r="AY22" s="1311">
        <f t="shared" si="63"/>
        <v>11093283.208358185</v>
      </c>
      <c r="AZ22" s="292">
        <v>10781632.000000009</v>
      </c>
      <c r="BA22" s="847">
        <f t="shared" si="22"/>
        <v>122304770.74140124</v>
      </c>
      <c r="BB22" s="847">
        <f t="shared" si="23"/>
        <v>128297022.00000003</v>
      </c>
      <c r="BC22" s="1311">
        <f t="shared" si="64"/>
        <v>12409435.453417631</v>
      </c>
      <c r="BD22" s="292">
        <v>11861079.99999998</v>
      </c>
      <c r="BE22" s="1385">
        <f t="shared" si="44"/>
        <v>35912154.115193449</v>
      </c>
      <c r="BF22" s="328">
        <f t="shared" si="45"/>
        <v>34600738</v>
      </c>
      <c r="BG22" s="848">
        <f t="shared" si="65"/>
        <v>72200351.728975311</v>
      </c>
      <c r="BH22" s="848">
        <f t="shared" si="65"/>
        <v>70145478</v>
      </c>
      <c r="BI22" s="847">
        <f t="shared" si="37"/>
        <v>134714206.19481888</v>
      </c>
      <c r="BJ22" s="847">
        <f t="shared" si="34"/>
        <v>140158102</v>
      </c>
      <c r="BK22" s="1111"/>
      <c r="BL22" s="1111"/>
      <c r="BM22" s="1111"/>
      <c r="BN22" s="4941"/>
      <c r="BO22" s="4941"/>
      <c r="BP22" s="1111"/>
      <c r="BQ22" s="1111"/>
      <c r="BR22" s="23"/>
    </row>
    <row r="23" spans="1:70" x14ac:dyDescent="0.3">
      <c r="A23" s="246">
        <v>18</v>
      </c>
      <c r="B23" s="264" t="s">
        <v>462</v>
      </c>
      <c r="C23" s="12" t="s">
        <v>212</v>
      </c>
      <c r="D23" s="265">
        <v>3675250.0000000093</v>
      </c>
      <c r="E23" s="266">
        <v>4377139.9999999879</v>
      </c>
      <c r="G23" s="840" t="s">
        <v>717</v>
      </c>
      <c r="H23" s="822" t="s">
        <v>687</v>
      </c>
      <c r="I23" s="1311">
        <f t="shared" si="53"/>
        <v>16432757.062146895</v>
      </c>
      <c r="J23" s="292">
        <v>20585170.000000004</v>
      </c>
      <c r="K23" s="1311">
        <f t="shared" si="54"/>
        <v>14499491.525423728</v>
      </c>
      <c r="L23" s="292">
        <v>11294260.000000011</v>
      </c>
      <c r="M23" s="847">
        <f t="shared" si="1"/>
        <v>30932248.587570623</v>
      </c>
      <c r="N23" s="847">
        <f t="shared" si="1"/>
        <v>31879430.000000015</v>
      </c>
      <c r="O23" s="1311">
        <f t="shared" si="55"/>
        <v>21577053.824362602</v>
      </c>
      <c r="P23" s="292">
        <v>19860070</v>
      </c>
      <c r="Q23" s="1385">
        <f t="shared" si="66"/>
        <v>52509302.411933228</v>
      </c>
      <c r="R23" s="328">
        <f t="shared" si="67"/>
        <v>51739500.000000015</v>
      </c>
      <c r="S23" s="1311">
        <f t="shared" si="56"/>
        <v>21834844.192634564</v>
      </c>
      <c r="T23" s="292">
        <v>20412479.999999993</v>
      </c>
      <c r="U23" s="847">
        <f t="shared" si="4"/>
        <v>74344146.604567796</v>
      </c>
      <c r="V23" s="847">
        <f t="shared" si="5"/>
        <v>72151980</v>
      </c>
      <c r="W23" s="1311">
        <f t="shared" si="57"/>
        <v>21834844.192634564</v>
      </c>
      <c r="X23" s="292">
        <v>19977985.000000007</v>
      </c>
      <c r="Y23" s="847">
        <f t="shared" si="6"/>
        <v>96178990.797202364</v>
      </c>
      <c r="Z23" s="847">
        <f t="shared" si="7"/>
        <v>92129965</v>
      </c>
      <c r="AA23" s="1311">
        <f t="shared" si="58"/>
        <v>12214781.869688384</v>
      </c>
      <c r="AB23" s="292">
        <v>19075500</v>
      </c>
      <c r="AC23" s="1385">
        <f t="shared" si="51"/>
        <v>55884470.254957512</v>
      </c>
      <c r="AD23" s="328">
        <f t="shared" si="52"/>
        <v>59465965</v>
      </c>
      <c r="AE23" s="848">
        <f t="shared" si="40"/>
        <v>108393772.66689074</v>
      </c>
      <c r="AF23" s="848">
        <f t="shared" si="41"/>
        <v>111205465.00000001</v>
      </c>
      <c r="AG23" s="1311">
        <f t="shared" si="59"/>
        <v>22264494.80642115</v>
      </c>
      <c r="AH23" s="292">
        <v>17140469.999999993</v>
      </c>
      <c r="AI23" s="847">
        <f t="shared" si="12"/>
        <v>130658267.47331189</v>
      </c>
      <c r="AJ23" s="847">
        <f t="shared" si="13"/>
        <v>128345935</v>
      </c>
      <c r="AK23" s="1311">
        <f t="shared" si="60"/>
        <v>21577053.824362602</v>
      </c>
      <c r="AL23" s="292">
        <v>20069990</v>
      </c>
      <c r="AM23" s="847">
        <f t="shared" si="14"/>
        <v>152235321.29767448</v>
      </c>
      <c r="AN23" s="847">
        <f t="shared" si="15"/>
        <v>148415925</v>
      </c>
      <c r="AO23" s="1311">
        <f t="shared" si="61"/>
        <v>22264494.80642115</v>
      </c>
      <c r="AP23" s="292">
        <v>20294950.000000011</v>
      </c>
      <c r="AQ23" s="1385">
        <f t="shared" si="42"/>
        <v>66106043.437204897</v>
      </c>
      <c r="AR23" s="328">
        <f t="shared" si="43"/>
        <v>57505410</v>
      </c>
      <c r="AS23" s="847">
        <f t="shared" si="18"/>
        <v>174499816.10409564</v>
      </c>
      <c r="AT23" s="847">
        <f t="shared" si="19"/>
        <v>168710875</v>
      </c>
      <c r="AU23" s="1311">
        <f t="shared" si="62"/>
        <v>22608215.297450427</v>
      </c>
      <c r="AV23" s="292">
        <v>20309500.000000004</v>
      </c>
      <c r="AW23" s="847">
        <f t="shared" si="20"/>
        <v>197108031.40154606</v>
      </c>
      <c r="AX23" s="847">
        <f t="shared" si="21"/>
        <v>189020375</v>
      </c>
      <c r="AY23" s="1311">
        <f t="shared" si="63"/>
        <v>20202171.860245515</v>
      </c>
      <c r="AZ23" s="292">
        <v>17159379.999999993</v>
      </c>
      <c r="BA23" s="847">
        <f t="shared" si="22"/>
        <v>217310203.26179159</v>
      </c>
      <c r="BB23" s="847">
        <f t="shared" si="23"/>
        <v>206179755</v>
      </c>
      <c r="BC23" s="1311">
        <f t="shared" si="64"/>
        <v>22608215.297450427</v>
      </c>
      <c r="BD23" s="292">
        <v>21041790</v>
      </c>
      <c r="BE23" s="1385">
        <f t="shared" si="44"/>
        <v>65418602.455146372</v>
      </c>
      <c r="BF23" s="328">
        <f t="shared" si="45"/>
        <v>58510670</v>
      </c>
      <c r="BG23" s="848">
        <f t="shared" si="65"/>
        <v>131524645.89235127</v>
      </c>
      <c r="BH23" s="848">
        <f t="shared" si="65"/>
        <v>116016080</v>
      </c>
      <c r="BI23" s="847">
        <f t="shared" si="37"/>
        <v>239918418.55924201</v>
      </c>
      <c r="BJ23" s="847">
        <f t="shared" si="34"/>
        <v>227221545</v>
      </c>
      <c r="BK23" s="1111"/>
      <c r="BL23" s="1111"/>
      <c r="BM23" s="1111"/>
      <c r="BN23" s="4941"/>
      <c r="BO23" s="4941"/>
      <c r="BP23" s="1111"/>
      <c r="BQ23" s="1111"/>
      <c r="BR23" s="23"/>
    </row>
    <row r="24" spans="1:70" x14ac:dyDescent="0.3">
      <c r="A24" s="246">
        <v>19</v>
      </c>
      <c r="B24" s="264" t="s">
        <v>463</v>
      </c>
      <c r="C24" s="12" t="s">
        <v>212</v>
      </c>
      <c r="D24" s="265">
        <v>2119909.9999999995</v>
      </c>
      <c r="E24" s="266">
        <v>4863980</v>
      </c>
      <c r="G24" s="840" t="s">
        <v>718</v>
      </c>
      <c r="H24" s="822" t="s">
        <v>82</v>
      </c>
      <c r="I24" s="1311">
        <f t="shared" si="53"/>
        <v>1440000</v>
      </c>
      <c r="J24" s="292">
        <v>1206880.0000000019</v>
      </c>
      <c r="K24" s="1311">
        <f t="shared" si="54"/>
        <v>1488000</v>
      </c>
      <c r="L24" s="292">
        <v>545200.99999999953</v>
      </c>
      <c r="M24" s="847">
        <f t="shared" si="1"/>
        <v>2928000</v>
      </c>
      <c r="N24" s="847">
        <f t="shared" si="1"/>
        <v>1752081.0000000014</v>
      </c>
      <c r="O24" s="1311">
        <f t="shared" si="55"/>
        <v>1440000</v>
      </c>
      <c r="P24" s="292">
        <v>1330849.999999997</v>
      </c>
      <c r="Q24" s="1385">
        <f t="shared" si="66"/>
        <v>4368000</v>
      </c>
      <c r="R24" s="328">
        <f t="shared" si="67"/>
        <v>3082930.9999999981</v>
      </c>
      <c r="S24" s="1311">
        <f t="shared" si="56"/>
        <v>1488000</v>
      </c>
      <c r="T24" s="292">
        <v>1174270.0000000035</v>
      </c>
      <c r="U24" s="847">
        <f t="shared" si="4"/>
        <v>5856000</v>
      </c>
      <c r="V24" s="847">
        <f t="shared" si="5"/>
        <v>4257201.0000000019</v>
      </c>
      <c r="W24" s="1311">
        <f t="shared" si="57"/>
        <v>1488000</v>
      </c>
      <c r="X24" s="292">
        <v>1283100</v>
      </c>
      <c r="Y24" s="847">
        <f t="shared" si="6"/>
        <v>7344000</v>
      </c>
      <c r="Z24" s="847">
        <f t="shared" si="7"/>
        <v>5540301.0000000019</v>
      </c>
      <c r="AA24" s="1311">
        <f t="shared" si="58"/>
        <v>1440000</v>
      </c>
      <c r="AB24" s="292">
        <v>1261749.9999999991</v>
      </c>
      <c r="AC24" s="1385">
        <f t="shared" si="51"/>
        <v>4416000</v>
      </c>
      <c r="AD24" s="328">
        <f t="shared" si="52"/>
        <v>3719120.0000000028</v>
      </c>
      <c r="AE24" s="848">
        <f t="shared" si="40"/>
        <v>8784000</v>
      </c>
      <c r="AF24" s="848">
        <f t="shared" si="41"/>
        <v>6802051.0000000009</v>
      </c>
      <c r="AG24" s="1311">
        <f t="shared" si="59"/>
        <v>1488000</v>
      </c>
      <c r="AH24" s="292">
        <v>1037050.0000000003</v>
      </c>
      <c r="AI24" s="847">
        <f t="shared" si="12"/>
        <v>10272000</v>
      </c>
      <c r="AJ24" s="847">
        <f t="shared" si="13"/>
        <v>7839101.0000000009</v>
      </c>
      <c r="AK24" s="1311">
        <f t="shared" si="60"/>
        <v>1440000</v>
      </c>
      <c r="AL24" s="292">
        <v>1196350</v>
      </c>
      <c r="AM24" s="847">
        <f t="shared" si="14"/>
        <v>11712000</v>
      </c>
      <c r="AN24" s="847">
        <f t="shared" si="15"/>
        <v>9035451</v>
      </c>
      <c r="AO24" s="1311">
        <f t="shared" si="61"/>
        <v>1488000</v>
      </c>
      <c r="AP24" s="292">
        <v>1168429.9999999981</v>
      </c>
      <c r="AQ24" s="1385">
        <f t="shared" si="42"/>
        <v>4416000</v>
      </c>
      <c r="AR24" s="328">
        <f t="shared" si="43"/>
        <v>3401829.9999999986</v>
      </c>
      <c r="AS24" s="847">
        <f t="shared" si="18"/>
        <v>13200000</v>
      </c>
      <c r="AT24" s="847">
        <f t="shared" si="19"/>
        <v>10203880.999999998</v>
      </c>
      <c r="AU24" s="1311">
        <f t="shared" si="62"/>
        <v>1488000</v>
      </c>
      <c r="AV24" s="292">
        <v>1244180.0000000047</v>
      </c>
      <c r="AW24" s="847">
        <f t="shared" si="20"/>
        <v>14688000</v>
      </c>
      <c r="AX24" s="847">
        <f t="shared" si="21"/>
        <v>11448061.000000004</v>
      </c>
      <c r="AY24" s="1311">
        <f t="shared" si="63"/>
        <v>1344000</v>
      </c>
      <c r="AZ24" s="292">
        <v>1120569.9999999988</v>
      </c>
      <c r="BA24" s="847">
        <f t="shared" si="22"/>
        <v>16032000</v>
      </c>
      <c r="BB24" s="847">
        <f t="shared" si="23"/>
        <v>12568631.000000002</v>
      </c>
      <c r="BC24" s="1311">
        <f t="shared" si="64"/>
        <v>1488000</v>
      </c>
      <c r="BD24" s="292">
        <v>1297249.999999997</v>
      </c>
      <c r="BE24" s="1385">
        <f t="shared" si="44"/>
        <v>4320000</v>
      </c>
      <c r="BF24" s="328">
        <f t="shared" si="45"/>
        <v>3662000.0000000009</v>
      </c>
      <c r="BG24" s="848">
        <f t="shared" si="65"/>
        <v>8736000</v>
      </c>
      <c r="BH24" s="848">
        <f t="shared" si="65"/>
        <v>7063830</v>
      </c>
      <c r="BI24" s="847">
        <f t="shared" si="37"/>
        <v>17520000</v>
      </c>
      <c r="BJ24" s="847">
        <f t="shared" si="34"/>
        <v>13865880.999999998</v>
      </c>
      <c r="BK24" s="1111"/>
      <c r="BL24" s="1111"/>
      <c r="BM24" s="1111"/>
      <c r="BN24" s="4941"/>
      <c r="BO24" s="4941"/>
      <c r="BP24" s="1111"/>
      <c r="BQ24" s="1111"/>
      <c r="BR24" s="23"/>
    </row>
    <row r="25" spans="1:70" x14ac:dyDescent="0.3">
      <c r="A25" s="246">
        <v>20</v>
      </c>
      <c r="B25" s="264" t="s">
        <v>464</v>
      </c>
      <c r="C25" s="12" t="s">
        <v>212</v>
      </c>
      <c r="D25" s="265">
        <v>423946.99999999942</v>
      </c>
      <c r="E25" s="266">
        <v>543130.00000000047</v>
      </c>
      <c r="G25" s="840" t="s">
        <v>719</v>
      </c>
      <c r="H25" s="822" t="s">
        <v>462</v>
      </c>
      <c r="I25" s="1311">
        <f t="shared" si="53"/>
        <v>6314500</v>
      </c>
      <c r="J25" s="292">
        <v>7402183.0000000112</v>
      </c>
      <c r="K25" s="1311">
        <f t="shared" si="54"/>
        <v>6487500</v>
      </c>
      <c r="L25" s="292">
        <v>4332032.666666666</v>
      </c>
      <c r="M25" s="847">
        <f t="shared" si="1"/>
        <v>12802000</v>
      </c>
      <c r="N25" s="847">
        <f t="shared" si="1"/>
        <v>11734215.666666677</v>
      </c>
      <c r="O25" s="1311">
        <f t="shared" si="55"/>
        <v>7362131.9332452696</v>
      </c>
      <c r="P25" s="292">
        <v>6922432.3333333284</v>
      </c>
      <c r="Q25" s="1385">
        <f t="shared" si="66"/>
        <v>20164131.933245271</v>
      </c>
      <c r="R25" s="328">
        <f t="shared" si="67"/>
        <v>18656648.000000007</v>
      </c>
      <c r="S25" s="1311">
        <f t="shared" si="56"/>
        <v>7621971.8838303965</v>
      </c>
      <c r="T25" s="292">
        <v>7841078.3333333544</v>
      </c>
      <c r="U25" s="847">
        <f t="shared" si="4"/>
        <v>27786103.81707567</v>
      </c>
      <c r="V25" s="847">
        <f t="shared" si="5"/>
        <v>26497726.333333362</v>
      </c>
      <c r="W25" s="1311">
        <f t="shared" si="57"/>
        <v>7621971.8838303965</v>
      </c>
      <c r="X25" s="292">
        <v>6963410.9999999758</v>
      </c>
      <c r="Y25" s="847">
        <f t="shared" si="6"/>
        <v>35408075.700906068</v>
      </c>
      <c r="Z25" s="847">
        <f t="shared" si="7"/>
        <v>33461137.333333336</v>
      </c>
      <c r="AA25" s="1311">
        <f t="shared" si="58"/>
        <v>4568265.843085452</v>
      </c>
      <c r="AB25" s="292">
        <v>7182929.0000000158</v>
      </c>
      <c r="AC25" s="1385">
        <f t="shared" si="51"/>
        <v>19812209.610746246</v>
      </c>
      <c r="AD25" s="328">
        <f t="shared" si="52"/>
        <v>21987418.333333347</v>
      </c>
      <c r="AE25" s="848">
        <f t="shared" si="40"/>
        <v>39976341.543991521</v>
      </c>
      <c r="AF25" s="848">
        <f t="shared" si="41"/>
        <v>40644066.333333358</v>
      </c>
      <c r="AG25" s="1311">
        <f t="shared" si="59"/>
        <v>7362131.9332452696</v>
      </c>
      <c r="AH25" s="292">
        <v>5547879.3333333228</v>
      </c>
      <c r="AI25" s="847">
        <f t="shared" si="12"/>
        <v>47338473.477236792</v>
      </c>
      <c r="AJ25" s="847">
        <f t="shared" si="13"/>
        <v>46191945.666666679</v>
      </c>
      <c r="AK25" s="1311">
        <f t="shared" si="60"/>
        <v>7362131.9332452696</v>
      </c>
      <c r="AL25" s="292">
        <v>6512563.6666666623</v>
      </c>
      <c r="AM25" s="847">
        <f t="shared" si="14"/>
        <v>54700605.410482064</v>
      </c>
      <c r="AN25" s="847">
        <f t="shared" si="15"/>
        <v>52704509.333333343</v>
      </c>
      <c r="AO25" s="1311">
        <f t="shared" si="61"/>
        <v>7621971.8838303965</v>
      </c>
      <c r="AP25" s="292">
        <v>7109740.333333334</v>
      </c>
      <c r="AQ25" s="1385">
        <f t="shared" si="42"/>
        <v>22346235.750320934</v>
      </c>
      <c r="AR25" s="328">
        <f t="shared" si="43"/>
        <v>19170183.333333321</v>
      </c>
      <c r="AS25" s="847">
        <f t="shared" si="18"/>
        <v>62322577.294312462</v>
      </c>
      <c r="AT25" s="847">
        <f t="shared" si="19"/>
        <v>59814249.666666679</v>
      </c>
      <c r="AU25" s="1311">
        <f t="shared" si="62"/>
        <v>7708585.2006921051</v>
      </c>
      <c r="AV25" s="292">
        <v>7408421.3333333433</v>
      </c>
      <c r="AW25" s="847">
        <f t="shared" si="20"/>
        <v>70031162.495004565</v>
      </c>
      <c r="AX25" s="847">
        <f t="shared" si="21"/>
        <v>67222671.00000003</v>
      </c>
      <c r="AY25" s="1311">
        <f t="shared" si="63"/>
        <v>6929065.3489367226</v>
      </c>
      <c r="AZ25" s="292">
        <v>6514605.0000000028</v>
      </c>
      <c r="BA25" s="847">
        <f t="shared" si="22"/>
        <v>76960227.843941286</v>
      </c>
      <c r="BB25" s="847">
        <f t="shared" si="23"/>
        <v>73737276.00000003</v>
      </c>
      <c r="BC25" s="1311">
        <f t="shared" si="64"/>
        <v>7708585.2006921051</v>
      </c>
      <c r="BD25" s="292">
        <v>7028978.3333333144</v>
      </c>
      <c r="BE25" s="1385">
        <f t="shared" si="44"/>
        <v>22346235.750320934</v>
      </c>
      <c r="BF25" s="328">
        <f t="shared" si="45"/>
        <v>20952004.66666666</v>
      </c>
      <c r="BG25" s="848">
        <f t="shared" si="65"/>
        <v>44692471.500641868</v>
      </c>
      <c r="BH25" s="848">
        <f t="shared" si="65"/>
        <v>40122187.999999985</v>
      </c>
      <c r="BI25" s="847">
        <f t="shared" si="37"/>
        <v>84668813.044633389</v>
      </c>
      <c r="BJ25" s="847">
        <f t="shared" si="34"/>
        <v>80766254.333333343</v>
      </c>
      <c r="BK25" s="1111"/>
      <c r="BL25" s="1111"/>
      <c r="BM25" s="1111"/>
      <c r="BN25" s="4941"/>
      <c r="BO25" s="4941"/>
      <c r="BP25" s="1111"/>
      <c r="BQ25" s="1111"/>
      <c r="BR25" s="23"/>
    </row>
    <row r="26" spans="1:70" x14ac:dyDescent="0.3">
      <c r="A26" s="246">
        <v>21</v>
      </c>
      <c r="B26" s="264" t="s">
        <v>720</v>
      </c>
      <c r="C26" s="12" t="s">
        <v>212</v>
      </c>
      <c r="D26" s="265">
        <v>378639</v>
      </c>
      <c r="E26" s="266">
        <v>383365</v>
      </c>
      <c r="G26" s="840" t="s">
        <v>721</v>
      </c>
      <c r="H26" s="822" t="s">
        <v>463</v>
      </c>
      <c r="I26" s="1311">
        <f t="shared" si="53"/>
        <v>5548500</v>
      </c>
      <c r="J26" s="292">
        <v>5980485.0000000056</v>
      </c>
      <c r="K26" s="1311">
        <f t="shared" si="54"/>
        <v>5751000</v>
      </c>
      <c r="L26" s="292">
        <v>2910956.6666666465</v>
      </c>
      <c r="M26" s="847">
        <f t="shared" si="1"/>
        <v>11299500</v>
      </c>
      <c r="N26" s="847">
        <f t="shared" si="1"/>
        <v>8891441.666666653</v>
      </c>
      <c r="O26" s="1311">
        <f t="shared" si="55"/>
        <v>6233283.9851005385</v>
      </c>
      <c r="P26" s="292">
        <v>6101723.3333333191</v>
      </c>
      <c r="Q26" s="1385">
        <f t="shared" si="66"/>
        <v>17532783.985100538</v>
      </c>
      <c r="R26" s="328">
        <f t="shared" si="67"/>
        <v>14993164.999999972</v>
      </c>
      <c r="S26" s="1311">
        <f t="shared" si="56"/>
        <v>6479334.6687229276</v>
      </c>
      <c r="T26" s="292">
        <v>6624798.3333333451</v>
      </c>
      <c r="U26" s="847">
        <f t="shared" si="4"/>
        <v>24012118.653823465</v>
      </c>
      <c r="V26" s="847">
        <f t="shared" si="5"/>
        <v>21617963.333333317</v>
      </c>
      <c r="W26" s="1311">
        <f t="shared" si="57"/>
        <v>6479334.6687229276</v>
      </c>
      <c r="X26" s="292">
        <v>6379560.0000000093</v>
      </c>
      <c r="Y26" s="847">
        <f t="shared" si="6"/>
        <v>30491453.322546393</v>
      </c>
      <c r="Z26" s="847">
        <f t="shared" si="7"/>
        <v>27997523.333333328</v>
      </c>
      <c r="AA26" s="1311">
        <f t="shared" si="58"/>
        <v>4068602.4906878364</v>
      </c>
      <c r="AB26" s="292">
        <v>6181474.9999999786</v>
      </c>
      <c r="AC26" s="1385">
        <f t="shared" si="51"/>
        <v>17027271.828133691</v>
      </c>
      <c r="AD26" s="328">
        <f t="shared" si="52"/>
        <v>19185833.333333332</v>
      </c>
      <c r="AE26" s="848">
        <f t="shared" si="40"/>
        <v>34560055.813234225</v>
      </c>
      <c r="AF26" s="848">
        <f t="shared" si="41"/>
        <v>34178998.333333306</v>
      </c>
      <c r="AG26" s="1311">
        <f t="shared" si="59"/>
        <v>6397317.7741821306</v>
      </c>
      <c r="AH26" s="292">
        <v>4587853.3333333451</v>
      </c>
      <c r="AI26" s="847">
        <f t="shared" si="12"/>
        <v>40957373.587416358</v>
      </c>
      <c r="AJ26" s="847">
        <f t="shared" si="13"/>
        <v>38766851.666666649</v>
      </c>
      <c r="AK26" s="1311">
        <f t="shared" si="60"/>
        <v>6233283.9851005385</v>
      </c>
      <c r="AL26" s="292">
        <v>5907461.6666666539</v>
      </c>
      <c r="AM26" s="847">
        <f t="shared" si="14"/>
        <v>47190657.572516896</v>
      </c>
      <c r="AN26" s="847">
        <f t="shared" si="15"/>
        <v>44674313.333333306</v>
      </c>
      <c r="AO26" s="1311">
        <f t="shared" si="61"/>
        <v>6479334.6687229276</v>
      </c>
      <c r="AP26" s="292">
        <v>6448303.3333333479</v>
      </c>
      <c r="AQ26" s="1385">
        <f t="shared" si="42"/>
        <v>19109936.428005598</v>
      </c>
      <c r="AR26" s="328">
        <f t="shared" si="43"/>
        <v>16943618.333333347</v>
      </c>
      <c r="AS26" s="847">
        <f t="shared" si="18"/>
        <v>53669992.241239823</v>
      </c>
      <c r="AT26" s="847">
        <f t="shared" si="19"/>
        <v>51122616.666666657</v>
      </c>
      <c r="AU26" s="1311">
        <f t="shared" si="62"/>
        <v>6479334.6687229276</v>
      </c>
      <c r="AV26" s="292">
        <v>6498523.3333333377</v>
      </c>
      <c r="AW26" s="847">
        <f t="shared" si="20"/>
        <v>60149326.909962751</v>
      </c>
      <c r="AX26" s="847">
        <f t="shared" si="21"/>
        <v>57621139.999999993</v>
      </c>
      <c r="AY26" s="1311">
        <f t="shared" si="63"/>
        <v>5864207.9596669534</v>
      </c>
      <c r="AZ26" s="292">
        <v>5990404.9999999991</v>
      </c>
      <c r="BA26" s="847">
        <f t="shared" si="22"/>
        <v>66013534.869629703</v>
      </c>
      <c r="BB26" s="847">
        <f t="shared" si="23"/>
        <v>63611544.999999993</v>
      </c>
      <c r="BC26" s="1311">
        <f t="shared" si="64"/>
        <v>6561351.5632637246</v>
      </c>
      <c r="BD26" s="292">
        <v>6297818.3333333377</v>
      </c>
      <c r="BE26" s="1385">
        <f t="shared" si="44"/>
        <v>18904894.191653606</v>
      </c>
      <c r="BF26" s="328">
        <f t="shared" si="45"/>
        <v>18786746.666666672</v>
      </c>
      <c r="BG26" s="848">
        <f t="shared" si="65"/>
        <v>38014830.6196592</v>
      </c>
      <c r="BH26" s="848">
        <f t="shared" si="65"/>
        <v>35730365.000000015</v>
      </c>
      <c r="BI26" s="847">
        <f t="shared" si="37"/>
        <v>72574886.432893425</v>
      </c>
      <c r="BJ26" s="847">
        <f t="shared" si="34"/>
        <v>69909363.333333328</v>
      </c>
      <c r="BK26" s="1111"/>
      <c r="BL26" s="1111"/>
      <c r="BM26" s="1111"/>
      <c r="BN26" s="4941"/>
      <c r="BO26" s="4941"/>
      <c r="BP26" s="1111"/>
      <c r="BQ26" s="1111"/>
      <c r="BR26" s="23"/>
    </row>
    <row r="27" spans="1:70" x14ac:dyDescent="0.3">
      <c r="A27" s="246">
        <v>22</v>
      </c>
      <c r="B27" s="264" t="s">
        <v>722</v>
      </c>
      <c r="C27" s="12" t="s">
        <v>212</v>
      </c>
      <c r="D27" s="265">
        <v>5408863.7999999998</v>
      </c>
      <c r="E27" s="266">
        <v>5589150</v>
      </c>
      <c r="G27" s="840" t="s">
        <v>723</v>
      </c>
      <c r="H27" s="822" t="s">
        <v>464</v>
      </c>
      <c r="I27" s="1311">
        <f t="shared" si="53"/>
        <v>4215120</v>
      </c>
      <c r="J27" s="292">
        <v>3931378.0000000037</v>
      </c>
      <c r="K27" s="1311">
        <f t="shared" si="54"/>
        <v>4478565.0000000009</v>
      </c>
      <c r="L27" s="292">
        <v>1755714.6666666591</v>
      </c>
      <c r="M27" s="847">
        <f t="shared" si="1"/>
        <v>8693685</v>
      </c>
      <c r="N27" s="847">
        <f t="shared" si="1"/>
        <v>5687092.6666666623</v>
      </c>
      <c r="O27" s="1311">
        <f t="shared" si="55"/>
        <v>5462696.8416367695</v>
      </c>
      <c r="P27" s="292">
        <v>4293833.3333333321</v>
      </c>
      <c r="Q27" s="1385">
        <f t="shared" si="66"/>
        <v>14156381.841636769</v>
      </c>
      <c r="R27" s="328">
        <f t="shared" si="67"/>
        <v>9980925.9999999944</v>
      </c>
      <c r="S27" s="1311">
        <f t="shared" si="56"/>
        <v>5681204.7153022392</v>
      </c>
      <c r="T27" s="292">
        <v>4334408.3333333256</v>
      </c>
      <c r="U27" s="847">
        <f t="shared" si="4"/>
        <v>19837586.55693901</v>
      </c>
      <c r="V27" s="847">
        <f t="shared" si="5"/>
        <v>14315334.333333321</v>
      </c>
      <c r="W27" s="1311">
        <f t="shared" si="57"/>
        <v>5681204.7153022392</v>
      </c>
      <c r="X27" s="292">
        <v>3962541.0000000037</v>
      </c>
      <c r="Y27" s="847">
        <f t="shared" si="6"/>
        <v>25518791.27224125</v>
      </c>
      <c r="Z27" s="847">
        <f t="shared" si="7"/>
        <v>18277875.333333325</v>
      </c>
      <c r="AA27" s="1311">
        <f t="shared" si="58"/>
        <v>3230405.5071173077</v>
      </c>
      <c r="AB27" s="292">
        <v>4053481.0000000028</v>
      </c>
      <c r="AC27" s="1385">
        <f t="shared" si="51"/>
        <v>14592814.937721785</v>
      </c>
      <c r="AD27" s="328">
        <f t="shared" si="52"/>
        <v>12350430.333333332</v>
      </c>
      <c r="AE27" s="848">
        <f t="shared" si="40"/>
        <v>28749196.779358555</v>
      </c>
      <c r="AF27" s="848">
        <f t="shared" si="41"/>
        <v>22331356.333333328</v>
      </c>
      <c r="AG27" s="1311">
        <f t="shared" si="59"/>
        <v>5856011.0142346155</v>
      </c>
      <c r="AH27" s="292">
        <v>2894984.3333333354</v>
      </c>
      <c r="AI27" s="847">
        <f t="shared" si="12"/>
        <v>34605207.793593168</v>
      </c>
      <c r="AJ27" s="847">
        <f t="shared" si="13"/>
        <v>25226340.666666664</v>
      </c>
      <c r="AK27" s="1311">
        <f t="shared" si="60"/>
        <v>5681204.7153022392</v>
      </c>
      <c r="AL27" s="292">
        <v>3936189.6666666646</v>
      </c>
      <c r="AM27" s="847">
        <f t="shared" si="14"/>
        <v>40286412.508895405</v>
      </c>
      <c r="AN27" s="847">
        <f t="shared" si="15"/>
        <v>29162530.333333328</v>
      </c>
      <c r="AO27" s="1311">
        <f t="shared" si="61"/>
        <v>5899712.5889677098</v>
      </c>
      <c r="AP27" s="292">
        <v>4167595.3333333298</v>
      </c>
      <c r="AQ27" s="1385">
        <f t="shared" si="42"/>
        <v>17436928.318504564</v>
      </c>
      <c r="AR27" s="328">
        <f t="shared" si="43"/>
        <v>10998769.33333333</v>
      </c>
      <c r="AS27" s="847">
        <f t="shared" si="18"/>
        <v>46186125.097863115</v>
      </c>
      <c r="AT27" s="847">
        <f t="shared" si="19"/>
        <v>33330125.666666657</v>
      </c>
      <c r="AU27" s="1311">
        <f t="shared" si="62"/>
        <v>5943414.1637008041</v>
      </c>
      <c r="AV27" s="292">
        <v>4334470.333333334</v>
      </c>
      <c r="AW27" s="847">
        <f t="shared" si="20"/>
        <v>52129539.261563919</v>
      </c>
      <c r="AX27" s="847">
        <f t="shared" si="21"/>
        <v>37664595.999999993</v>
      </c>
      <c r="AY27" s="1311">
        <f t="shared" si="63"/>
        <v>5331592.1174374856</v>
      </c>
      <c r="AZ27" s="292">
        <v>3892468.0000000093</v>
      </c>
      <c r="BA27" s="847">
        <f t="shared" si="22"/>
        <v>57461131.379001409</v>
      </c>
      <c r="BB27" s="847">
        <f t="shared" si="23"/>
        <v>41557064</v>
      </c>
      <c r="BC27" s="1311">
        <f t="shared" si="64"/>
        <v>5987115.7384338975</v>
      </c>
      <c r="BD27" s="292">
        <v>4348140.3333333246</v>
      </c>
      <c r="BE27" s="1385">
        <f t="shared" si="44"/>
        <v>17262122.019572187</v>
      </c>
      <c r="BF27" s="328">
        <f t="shared" si="45"/>
        <v>12575078.666666668</v>
      </c>
      <c r="BG27" s="848">
        <f t="shared" si="65"/>
        <v>34699050.338076755</v>
      </c>
      <c r="BH27" s="848">
        <f t="shared" si="65"/>
        <v>23573848</v>
      </c>
      <c r="BI27" s="847">
        <f t="shared" si="37"/>
        <v>63448247.117435306</v>
      </c>
      <c r="BJ27" s="847">
        <f t="shared" si="34"/>
        <v>45905204.333333328</v>
      </c>
      <c r="BK27" s="1111"/>
      <c r="BL27" s="1111"/>
      <c r="BM27" s="1111"/>
      <c r="BN27" s="4941"/>
      <c r="BO27" s="4941"/>
      <c r="BP27" s="1111"/>
      <c r="BQ27" s="1111"/>
      <c r="BR27" s="23"/>
    </row>
    <row r="28" spans="1:70" x14ac:dyDescent="0.3">
      <c r="A28" s="246">
        <v>23</v>
      </c>
      <c r="B28" s="264" t="s">
        <v>688</v>
      </c>
      <c r="C28" s="12" t="s">
        <v>212</v>
      </c>
      <c r="D28" s="265">
        <v>24602610.000000015</v>
      </c>
      <c r="E28" s="266">
        <v>25208649.999999989</v>
      </c>
      <c r="G28" s="840" t="s">
        <v>724</v>
      </c>
      <c r="H28" s="822" t="s">
        <v>688</v>
      </c>
      <c r="I28" s="1311">
        <f t="shared" si="53"/>
        <v>22651200</v>
      </c>
      <c r="J28" s="292">
        <v>25399130.999999963</v>
      </c>
      <c r="K28" s="1311">
        <f t="shared" si="54"/>
        <v>22372079.999999996</v>
      </c>
      <c r="L28" s="292">
        <v>21662733.999999955</v>
      </c>
      <c r="M28" s="847">
        <f t="shared" si="1"/>
        <v>45023280</v>
      </c>
      <c r="N28" s="847">
        <f t="shared" si="1"/>
        <v>47061864.999999918</v>
      </c>
      <c r="O28" s="1311">
        <f t="shared" si="55"/>
        <v>24768000</v>
      </c>
      <c r="P28" s="292">
        <v>25499298.999999911</v>
      </c>
      <c r="Q28" s="1385">
        <f t="shared" si="66"/>
        <v>69791280</v>
      </c>
      <c r="R28" s="328">
        <f t="shared" si="67"/>
        <v>72561163.999999821</v>
      </c>
      <c r="S28" s="1311">
        <f t="shared" si="56"/>
        <v>25593600</v>
      </c>
      <c r="T28" s="292">
        <v>26238659.000000089</v>
      </c>
      <c r="U28" s="847">
        <f t="shared" si="4"/>
        <v>95384880</v>
      </c>
      <c r="V28" s="847">
        <f t="shared" si="5"/>
        <v>98799822.999999911</v>
      </c>
      <c r="W28" s="1311">
        <f t="shared" si="57"/>
        <v>25593600</v>
      </c>
      <c r="X28" s="292">
        <v>26137079.999999899</v>
      </c>
      <c r="Y28" s="847">
        <f t="shared" si="6"/>
        <v>120978480</v>
      </c>
      <c r="Z28" s="847">
        <f t="shared" si="7"/>
        <v>124936902.99999981</v>
      </c>
      <c r="AA28" s="1311">
        <f t="shared" si="58"/>
        <v>16509599.999999998</v>
      </c>
      <c r="AB28" s="292">
        <v>25447567</v>
      </c>
      <c r="AC28" s="1385">
        <f t="shared" si="51"/>
        <v>67696800</v>
      </c>
      <c r="AD28" s="328">
        <f t="shared" si="52"/>
        <v>77823305.999999985</v>
      </c>
      <c r="AE28" s="848">
        <f t="shared" si="40"/>
        <v>137488080</v>
      </c>
      <c r="AF28" s="848">
        <f t="shared" si="41"/>
        <v>150384469.99999982</v>
      </c>
      <c r="AG28" s="1311">
        <f t="shared" si="59"/>
        <v>25593600</v>
      </c>
      <c r="AH28" s="292">
        <v>25941650.000000093</v>
      </c>
      <c r="AI28" s="847">
        <f t="shared" si="12"/>
        <v>163081680</v>
      </c>
      <c r="AJ28" s="847">
        <f t="shared" si="13"/>
        <v>176326119.99999991</v>
      </c>
      <c r="AK28" s="1311">
        <f t="shared" si="60"/>
        <v>24768000</v>
      </c>
      <c r="AL28" s="292">
        <v>25022552.000000093</v>
      </c>
      <c r="AM28" s="847">
        <f t="shared" si="14"/>
        <v>187849680</v>
      </c>
      <c r="AN28" s="847">
        <f t="shared" si="15"/>
        <v>201348672</v>
      </c>
      <c r="AO28" s="1311">
        <f t="shared" si="61"/>
        <v>25593600</v>
      </c>
      <c r="AP28" s="292">
        <v>25806187.999999829</v>
      </c>
      <c r="AQ28" s="1385">
        <f t="shared" si="42"/>
        <v>75955200</v>
      </c>
      <c r="AR28" s="328">
        <f t="shared" si="43"/>
        <v>76770390.000000015</v>
      </c>
      <c r="AS28" s="847">
        <f t="shared" si="18"/>
        <v>213443280</v>
      </c>
      <c r="AT28" s="847">
        <f t="shared" si="19"/>
        <v>227154859.99999982</v>
      </c>
      <c r="AU28" s="1311">
        <f t="shared" si="62"/>
        <v>25593600</v>
      </c>
      <c r="AV28" s="292">
        <v>25369403.00000003</v>
      </c>
      <c r="AW28" s="847">
        <f t="shared" si="20"/>
        <v>239036880</v>
      </c>
      <c r="AX28" s="847">
        <f t="shared" si="21"/>
        <v>252524262.99999985</v>
      </c>
      <c r="AY28" s="1311">
        <f t="shared" si="63"/>
        <v>23116800</v>
      </c>
      <c r="AZ28" s="292">
        <v>23439559.999999974</v>
      </c>
      <c r="BA28" s="847">
        <f t="shared" si="22"/>
        <v>262153680</v>
      </c>
      <c r="BB28" s="847">
        <f t="shared" si="23"/>
        <v>275963822.99999982</v>
      </c>
      <c r="BC28" s="1311">
        <f t="shared" si="64"/>
        <v>25593600</v>
      </c>
      <c r="BD28" s="292">
        <v>26017956.000000075</v>
      </c>
      <c r="BE28" s="1385">
        <f t="shared" si="44"/>
        <v>74304000</v>
      </c>
      <c r="BF28" s="328">
        <f t="shared" si="45"/>
        <v>74826919.000000075</v>
      </c>
      <c r="BG28" s="848">
        <f t="shared" si="65"/>
        <v>150259200</v>
      </c>
      <c r="BH28" s="848">
        <f t="shared" si="65"/>
        <v>151597309.00000009</v>
      </c>
      <c r="BI28" s="847">
        <f t="shared" si="37"/>
        <v>287747280</v>
      </c>
      <c r="BJ28" s="847">
        <f t="shared" si="34"/>
        <v>301981778.99999988</v>
      </c>
      <c r="BK28" s="1111"/>
      <c r="BL28" s="1111"/>
      <c r="BM28" s="1111"/>
      <c r="BN28" s="4941"/>
      <c r="BO28" s="4941"/>
      <c r="BP28" s="1111"/>
      <c r="BQ28" s="1111"/>
      <c r="BR28" s="23"/>
    </row>
    <row r="29" spans="1:70" x14ac:dyDescent="0.3">
      <c r="A29" s="246">
        <v>24</v>
      </c>
      <c r="B29" s="264" t="s">
        <v>465</v>
      </c>
      <c r="C29" s="12" t="s">
        <v>212</v>
      </c>
      <c r="D29" s="265">
        <v>3577000</v>
      </c>
      <c r="E29" s="266">
        <v>3313400.0000000051</v>
      </c>
      <c r="G29" s="840" t="s">
        <v>725</v>
      </c>
      <c r="H29" s="822" t="s">
        <v>465</v>
      </c>
      <c r="I29" s="1311">
        <f t="shared" si="53"/>
        <v>3888000</v>
      </c>
      <c r="J29" s="292">
        <v>3986299.9999999884</v>
      </c>
      <c r="K29" s="1311">
        <f t="shared" si="54"/>
        <v>4017600.0000000005</v>
      </c>
      <c r="L29" s="292">
        <v>3207300.0000000102</v>
      </c>
      <c r="M29" s="847">
        <f t="shared" si="1"/>
        <v>7905600</v>
      </c>
      <c r="N29" s="847">
        <f t="shared" si="1"/>
        <v>7193599.9999999981</v>
      </c>
      <c r="O29" s="1311">
        <f t="shared" si="55"/>
        <v>3888000</v>
      </c>
      <c r="P29" s="292">
        <v>4042799.9999999884</v>
      </c>
      <c r="Q29" s="1385">
        <f t="shared" si="66"/>
        <v>11793600</v>
      </c>
      <c r="R29" s="328">
        <f t="shared" si="67"/>
        <v>11236399.999999987</v>
      </c>
      <c r="S29" s="1311">
        <f t="shared" si="56"/>
        <v>4017600.0000000005</v>
      </c>
      <c r="T29" s="292">
        <v>4275000.0000000149</v>
      </c>
      <c r="U29" s="847">
        <f t="shared" si="4"/>
        <v>15811200</v>
      </c>
      <c r="V29" s="847">
        <f t="shared" si="5"/>
        <v>15511400.000000002</v>
      </c>
      <c r="W29" s="1311">
        <f t="shared" si="57"/>
        <v>4017600.0000000005</v>
      </c>
      <c r="X29" s="292">
        <v>4063099.9999999842</v>
      </c>
      <c r="Y29" s="847">
        <f t="shared" si="6"/>
        <v>19828800</v>
      </c>
      <c r="Z29" s="847">
        <f t="shared" si="7"/>
        <v>19574499.999999985</v>
      </c>
      <c r="AA29" s="1311">
        <f t="shared" si="58"/>
        <v>3888000</v>
      </c>
      <c r="AB29" s="292">
        <v>4065000</v>
      </c>
      <c r="AC29" s="1385">
        <f t="shared" si="51"/>
        <v>11923200</v>
      </c>
      <c r="AD29" s="328">
        <f t="shared" si="52"/>
        <v>12403100</v>
      </c>
      <c r="AE29" s="848">
        <f t="shared" si="40"/>
        <v>23716800</v>
      </c>
      <c r="AF29" s="848">
        <f t="shared" si="41"/>
        <v>23639499.999999985</v>
      </c>
      <c r="AG29" s="1311">
        <f t="shared" si="59"/>
        <v>4017600.0000000005</v>
      </c>
      <c r="AH29" s="292">
        <v>3611500.0000000075</v>
      </c>
      <c r="AI29" s="847">
        <f t="shared" si="12"/>
        <v>27734400</v>
      </c>
      <c r="AJ29" s="847">
        <f t="shared" si="13"/>
        <v>27250999.999999993</v>
      </c>
      <c r="AK29" s="1311">
        <f t="shared" si="60"/>
        <v>3888000</v>
      </c>
      <c r="AL29" s="292">
        <v>3885699.9999999972</v>
      </c>
      <c r="AM29" s="847">
        <f t="shared" si="14"/>
        <v>31622400</v>
      </c>
      <c r="AN29" s="847">
        <f t="shared" si="15"/>
        <v>31136699.999999989</v>
      </c>
      <c r="AO29" s="1311">
        <f t="shared" si="61"/>
        <v>4017600.0000000005</v>
      </c>
      <c r="AP29" s="292">
        <v>4202099.9999999981</v>
      </c>
      <c r="AQ29" s="1385">
        <f t="shared" si="42"/>
        <v>11923200</v>
      </c>
      <c r="AR29" s="328">
        <f t="shared" si="43"/>
        <v>11699300.000000004</v>
      </c>
      <c r="AS29" s="847">
        <f t="shared" si="18"/>
        <v>35640000</v>
      </c>
      <c r="AT29" s="847">
        <f t="shared" si="19"/>
        <v>35338799.999999985</v>
      </c>
      <c r="AU29" s="1311">
        <f t="shared" si="62"/>
        <v>4017600.0000000005</v>
      </c>
      <c r="AV29" s="292">
        <v>4029699.9999999898</v>
      </c>
      <c r="AW29" s="847">
        <f t="shared" si="20"/>
        <v>39657600</v>
      </c>
      <c r="AX29" s="847">
        <f t="shared" si="21"/>
        <v>39368499.999999978</v>
      </c>
      <c r="AY29" s="1311">
        <f t="shared" si="63"/>
        <v>3628800</v>
      </c>
      <c r="AZ29" s="292">
        <v>3623600.0000000056</v>
      </c>
      <c r="BA29" s="847">
        <f t="shared" si="22"/>
        <v>43286400</v>
      </c>
      <c r="BB29" s="847">
        <f t="shared" si="23"/>
        <v>42992099.999999985</v>
      </c>
      <c r="BC29" s="1311">
        <f t="shared" si="64"/>
        <v>4017600.0000000005</v>
      </c>
      <c r="BD29" s="292">
        <v>4073500</v>
      </c>
      <c r="BE29" s="1385">
        <f t="shared" si="44"/>
        <v>11664000</v>
      </c>
      <c r="BF29" s="328">
        <f t="shared" si="45"/>
        <v>11726799.999999996</v>
      </c>
      <c r="BG29" s="848">
        <f t="shared" si="65"/>
        <v>23587200</v>
      </c>
      <c r="BH29" s="848">
        <f t="shared" si="65"/>
        <v>23426100</v>
      </c>
      <c r="BI29" s="847">
        <f t="shared" si="37"/>
        <v>47304000</v>
      </c>
      <c r="BJ29" s="847">
        <f t="shared" si="34"/>
        <v>47065599.999999985</v>
      </c>
      <c r="BK29" s="1111"/>
      <c r="BL29" s="1111"/>
      <c r="BM29" s="1111"/>
      <c r="BN29" s="4941"/>
      <c r="BO29" s="4941"/>
      <c r="BP29" s="1111"/>
      <c r="BQ29" s="1111"/>
      <c r="BR29" s="23"/>
    </row>
    <row r="30" spans="1:70" x14ac:dyDescent="0.3">
      <c r="A30" s="246">
        <v>25</v>
      </c>
      <c r="B30" s="264" t="s">
        <v>726</v>
      </c>
      <c r="C30" s="12" t="s">
        <v>212</v>
      </c>
      <c r="D30" s="265">
        <v>2204510.0000000019</v>
      </c>
      <c r="E30" s="266">
        <v>2354639.9999999991</v>
      </c>
      <c r="G30" s="840" t="s">
        <v>727</v>
      </c>
      <c r="H30" s="822" t="s">
        <v>689</v>
      </c>
      <c r="I30" s="1310">
        <f t="shared" si="53"/>
        <v>648000</v>
      </c>
      <c r="J30" s="292">
        <v>649220.0000000007</v>
      </c>
      <c r="K30" s="1310">
        <f t="shared" si="54"/>
        <v>669600</v>
      </c>
      <c r="L30" s="292">
        <v>552959.99999999919</v>
      </c>
      <c r="M30" s="847">
        <f t="shared" si="1"/>
        <v>1317600</v>
      </c>
      <c r="N30" s="847">
        <f t="shared" si="1"/>
        <v>1202180</v>
      </c>
      <c r="O30" s="1310">
        <f t="shared" si="55"/>
        <v>648000</v>
      </c>
      <c r="P30" s="292">
        <v>624429.99999999907</v>
      </c>
      <c r="Q30" s="1385">
        <f t="shared" si="66"/>
        <v>1965600</v>
      </c>
      <c r="R30" s="328">
        <f t="shared" si="67"/>
        <v>1826609.9999999991</v>
      </c>
      <c r="S30" s="1310">
        <f t="shared" si="56"/>
        <v>669600</v>
      </c>
      <c r="T30" s="292">
        <v>650400.00000000105</v>
      </c>
      <c r="U30" s="847">
        <f t="shared" si="4"/>
        <v>2635200</v>
      </c>
      <c r="V30" s="847">
        <f t="shared" si="5"/>
        <v>2477010</v>
      </c>
      <c r="W30" s="1310">
        <f t="shared" si="57"/>
        <v>669600</v>
      </c>
      <c r="X30" s="292">
        <v>634049.99999999837</v>
      </c>
      <c r="Y30" s="847">
        <f t="shared" si="6"/>
        <v>3304800</v>
      </c>
      <c r="Z30" s="847">
        <f t="shared" si="7"/>
        <v>3111059.9999999981</v>
      </c>
      <c r="AA30" s="1310">
        <f t="shared" si="58"/>
        <v>648000</v>
      </c>
      <c r="AB30" s="292">
        <v>608530.00000000163</v>
      </c>
      <c r="AC30" s="1384">
        <f t="shared" si="51"/>
        <v>1987200</v>
      </c>
      <c r="AD30" s="328">
        <f t="shared" si="52"/>
        <v>1892980.0000000012</v>
      </c>
      <c r="AE30" s="848">
        <f t="shared" si="40"/>
        <v>3952800</v>
      </c>
      <c r="AF30" s="848">
        <f t="shared" si="41"/>
        <v>3719590</v>
      </c>
      <c r="AG30" s="1310">
        <f t="shared" si="59"/>
        <v>669600</v>
      </c>
      <c r="AH30" s="292">
        <v>624680.00000000163</v>
      </c>
      <c r="AI30" s="847">
        <f t="shared" si="12"/>
        <v>4622400</v>
      </c>
      <c r="AJ30" s="847">
        <f t="shared" si="13"/>
        <v>4344270.0000000019</v>
      </c>
      <c r="AK30" s="1310">
        <f t="shared" si="60"/>
        <v>648000</v>
      </c>
      <c r="AL30" s="292">
        <v>587229.99999999907</v>
      </c>
      <c r="AM30" s="847">
        <f t="shared" si="14"/>
        <v>5270400</v>
      </c>
      <c r="AN30" s="847">
        <f t="shared" si="15"/>
        <v>4931500.0000000009</v>
      </c>
      <c r="AO30" s="1310">
        <f t="shared" si="61"/>
        <v>669600</v>
      </c>
      <c r="AP30" s="292">
        <v>594459.9999999986</v>
      </c>
      <c r="AQ30" s="1384">
        <f t="shared" si="42"/>
        <v>1987200</v>
      </c>
      <c r="AR30" s="328">
        <f t="shared" si="43"/>
        <v>1806369.9999999993</v>
      </c>
      <c r="AS30" s="847">
        <f t="shared" si="18"/>
        <v>5940000</v>
      </c>
      <c r="AT30" s="847">
        <f t="shared" si="19"/>
        <v>5525960</v>
      </c>
      <c r="AU30" s="1310">
        <f t="shared" si="62"/>
        <v>669600</v>
      </c>
      <c r="AV30" s="292">
        <v>609220.00000000116</v>
      </c>
      <c r="AW30" s="847">
        <f t="shared" si="20"/>
        <v>6609600</v>
      </c>
      <c r="AX30" s="847">
        <f t="shared" si="21"/>
        <v>6135180.0000000009</v>
      </c>
      <c r="AY30" s="1310">
        <f t="shared" si="63"/>
        <v>604800</v>
      </c>
      <c r="AZ30" s="292">
        <v>538579.99999999988</v>
      </c>
      <c r="BA30" s="847">
        <f t="shared" si="22"/>
        <v>7214400</v>
      </c>
      <c r="BB30" s="847">
        <f t="shared" si="23"/>
        <v>6673760.0000000009</v>
      </c>
      <c r="BC30" s="1310">
        <f t="shared" si="64"/>
        <v>669600</v>
      </c>
      <c r="BD30" s="292">
        <v>637669.9999999986</v>
      </c>
      <c r="BE30" s="1384">
        <f t="shared" si="44"/>
        <v>1944000</v>
      </c>
      <c r="BF30" s="328">
        <f t="shared" si="45"/>
        <v>1785469.9999999995</v>
      </c>
      <c r="BG30" s="848">
        <f t="shared" si="65"/>
        <v>3931200</v>
      </c>
      <c r="BH30" s="848">
        <f t="shared" si="65"/>
        <v>3591839.9999999991</v>
      </c>
      <c r="BI30" s="847">
        <f t="shared" si="37"/>
        <v>7884000</v>
      </c>
      <c r="BJ30" s="847">
        <f t="shared" si="34"/>
        <v>7311430</v>
      </c>
      <c r="BK30" s="1111"/>
      <c r="BL30" s="1111"/>
      <c r="BM30" s="1111"/>
      <c r="BN30" s="4941"/>
      <c r="BO30" s="4941"/>
      <c r="BP30" s="1111"/>
      <c r="BQ30" s="1111"/>
      <c r="BR30" s="23"/>
    </row>
    <row r="31" spans="1:70" x14ac:dyDescent="0.3">
      <c r="A31" s="246"/>
      <c r="B31" s="264"/>
      <c r="C31" s="12"/>
      <c r="D31" s="265"/>
      <c r="E31" s="266"/>
      <c r="G31" s="840" t="s">
        <v>728</v>
      </c>
      <c r="H31" s="822" t="s">
        <v>690</v>
      </c>
      <c r="I31" s="1310">
        <f t="shared" si="53"/>
        <v>1008000</v>
      </c>
      <c r="J31" s="292">
        <v>716599.9999999986</v>
      </c>
      <c r="K31" s="1310">
        <f t="shared" si="54"/>
        <v>1041599.9999999999</v>
      </c>
      <c r="L31" s="292">
        <v>646099.9999999986</v>
      </c>
      <c r="M31" s="847">
        <f t="shared" si="1"/>
        <v>2049600</v>
      </c>
      <c r="N31" s="847">
        <f t="shared" si="1"/>
        <v>1362699.9999999972</v>
      </c>
      <c r="O31" s="1310">
        <f t="shared" si="55"/>
        <v>1008000</v>
      </c>
      <c r="P31" s="292">
        <v>995819.9999999943</v>
      </c>
      <c r="Q31" s="1385">
        <f t="shared" si="66"/>
        <v>3057600</v>
      </c>
      <c r="R31" s="328">
        <f t="shared" si="67"/>
        <v>2358519.9999999916</v>
      </c>
      <c r="S31" s="1310">
        <f t="shared" si="56"/>
        <v>1041599.9999999999</v>
      </c>
      <c r="T31" s="292">
        <v>883790</v>
      </c>
      <c r="U31" s="847">
        <f t="shared" si="4"/>
        <v>4099200</v>
      </c>
      <c r="V31" s="847">
        <f t="shared" si="5"/>
        <v>3242309.9999999916</v>
      </c>
      <c r="W31" s="1310">
        <f t="shared" si="57"/>
        <v>1041599.9999999999</v>
      </c>
      <c r="X31" s="292">
        <v>885889.9999999986</v>
      </c>
      <c r="Y31" s="847">
        <f t="shared" si="6"/>
        <v>5140800</v>
      </c>
      <c r="Z31" s="847">
        <f t="shared" si="7"/>
        <v>4128199.9999999902</v>
      </c>
      <c r="AA31" s="1310">
        <f t="shared" si="58"/>
        <v>1008000</v>
      </c>
      <c r="AB31" s="292">
        <v>822450</v>
      </c>
      <c r="AC31" s="1384">
        <f t="shared" si="51"/>
        <v>3091200</v>
      </c>
      <c r="AD31" s="328">
        <f t="shared" si="52"/>
        <v>2592129.9999999986</v>
      </c>
      <c r="AE31" s="848">
        <f t="shared" si="40"/>
        <v>6148800</v>
      </c>
      <c r="AF31" s="848">
        <f t="shared" si="41"/>
        <v>4950649.9999999907</v>
      </c>
      <c r="AG31" s="1310">
        <f t="shared" si="59"/>
        <v>1041599.9999999999</v>
      </c>
      <c r="AH31" s="292">
        <v>883130.00000000396</v>
      </c>
      <c r="AI31" s="847">
        <f t="shared" si="12"/>
        <v>7190400</v>
      </c>
      <c r="AJ31" s="847">
        <f t="shared" si="13"/>
        <v>5833779.9999999944</v>
      </c>
      <c r="AK31" s="1310">
        <f t="shared" si="60"/>
        <v>1008000</v>
      </c>
      <c r="AL31" s="292">
        <v>632979.99999999593</v>
      </c>
      <c r="AM31" s="847">
        <f t="shared" si="14"/>
        <v>8198400</v>
      </c>
      <c r="AN31" s="847">
        <f t="shared" si="15"/>
        <v>6466759.9999999907</v>
      </c>
      <c r="AO31" s="1310">
        <f t="shared" si="61"/>
        <v>1041599.9999999999</v>
      </c>
      <c r="AP31" s="292">
        <v>660800.00000000291</v>
      </c>
      <c r="AQ31" s="1384">
        <f t="shared" si="42"/>
        <v>3091200</v>
      </c>
      <c r="AR31" s="328">
        <f t="shared" si="43"/>
        <v>2176910.0000000028</v>
      </c>
      <c r="AS31" s="847">
        <f t="shared" si="18"/>
        <v>9240000</v>
      </c>
      <c r="AT31" s="847">
        <f t="shared" si="19"/>
        <v>7127559.9999999935</v>
      </c>
      <c r="AU31" s="1310">
        <f t="shared" si="62"/>
        <v>1041599.9999999999</v>
      </c>
      <c r="AV31" s="292">
        <v>600099.9999999986</v>
      </c>
      <c r="AW31" s="847">
        <f t="shared" si="20"/>
        <v>10281600</v>
      </c>
      <c r="AX31" s="847">
        <f t="shared" si="21"/>
        <v>7727659.9999999925</v>
      </c>
      <c r="AY31" s="1310">
        <f t="shared" si="63"/>
        <v>940800</v>
      </c>
      <c r="AZ31" s="292">
        <v>662199.99999999709</v>
      </c>
      <c r="BA31" s="847">
        <f t="shared" si="22"/>
        <v>11222400</v>
      </c>
      <c r="BB31" s="847">
        <f t="shared" si="23"/>
        <v>8389859.9999999888</v>
      </c>
      <c r="BC31" s="1310">
        <f t="shared" si="64"/>
        <v>1041599.9999999999</v>
      </c>
      <c r="BD31" s="292">
        <v>929300.00000000279</v>
      </c>
      <c r="BE31" s="1384">
        <f t="shared" si="44"/>
        <v>3024000</v>
      </c>
      <c r="BF31" s="328">
        <f t="shared" si="45"/>
        <v>2191599.9999999986</v>
      </c>
      <c r="BG31" s="848">
        <f t="shared" si="65"/>
        <v>6115200</v>
      </c>
      <c r="BH31" s="848">
        <f t="shared" si="65"/>
        <v>4368510.0000000019</v>
      </c>
      <c r="BI31" s="847">
        <f t="shared" si="37"/>
        <v>12264000</v>
      </c>
      <c r="BJ31" s="847">
        <f t="shared" si="34"/>
        <v>9319159.9999999925</v>
      </c>
      <c r="BK31" s="1111"/>
      <c r="BL31" s="1111"/>
      <c r="BM31" s="1111"/>
      <c r="BN31" s="4941"/>
      <c r="BO31" s="4941"/>
      <c r="BP31" s="1111"/>
      <c r="BQ31" s="1111"/>
      <c r="BR31" s="23"/>
    </row>
    <row r="32" spans="1:70" x14ac:dyDescent="0.3">
      <c r="A32" s="246">
        <v>26</v>
      </c>
      <c r="B32" s="264" t="s">
        <v>729</v>
      </c>
      <c r="C32" s="12" t="s">
        <v>212</v>
      </c>
      <c r="D32" s="265">
        <v>1110620</v>
      </c>
      <c r="E32" s="266">
        <v>1155720.0000000005</v>
      </c>
      <c r="G32" s="840" t="s">
        <v>730</v>
      </c>
      <c r="H32" s="822" t="s">
        <v>691</v>
      </c>
      <c r="I32" s="1310">
        <f t="shared" si="53"/>
        <v>864000</v>
      </c>
      <c r="J32" s="292">
        <v>889988.69999999832</v>
      </c>
      <c r="K32" s="1310">
        <f t="shared" si="54"/>
        <v>892800</v>
      </c>
      <c r="L32" s="292">
        <v>820438.81999999925</v>
      </c>
      <c r="M32" s="847">
        <f t="shared" si="1"/>
        <v>1756800</v>
      </c>
      <c r="N32" s="847">
        <f t="shared" si="1"/>
        <v>1710427.5199999977</v>
      </c>
      <c r="O32" s="1310">
        <f t="shared" si="55"/>
        <v>864000</v>
      </c>
      <c r="P32" s="292">
        <v>871619.29999999958</v>
      </c>
      <c r="Q32" s="1385">
        <f t="shared" si="66"/>
        <v>2620800</v>
      </c>
      <c r="R32" s="328">
        <f t="shared" si="67"/>
        <v>2582046.8199999975</v>
      </c>
      <c r="S32" s="1310">
        <f t="shared" si="56"/>
        <v>892800</v>
      </c>
      <c r="T32" s="292">
        <v>912657.09999999974</v>
      </c>
      <c r="U32" s="847">
        <f t="shared" si="4"/>
        <v>3513600</v>
      </c>
      <c r="V32" s="847">
        <f t="shared" si="5"/>
        <v>3494703.9199999971</v>
      </c>
      <c r="W32" s="1310">
        <f t="shared" si="57"/>
        <v>892800</v>
      </c>
      <c r="X32" s="292">
        <v>878829.5400000019</v>
      </c>
      <c r="Y32" s="847">
        <f t="shared" si="6"/>
        <v>4406400</v>
      </c>
      <c r="Z32" s="847">
        <f t="shared" si="7"/>
        <v>4373533.459999999</v>
      </c>
      <c r="AA32" s="1310">
        <f t="shared" si="58"/>
        <v>864000</v>
      </c>
      <c r="AB32" s="292">
        <v>842375.31999999855</v>
      </c>
      <c r="AC32" s="1384">
        <f t="shared" si="51"/>
        <v>2649600</v>
      </c>
      <c r="AD32" s="328">
        <f t="shared" si="52"/>
        <v>2633861.96</v>
      </c>
      <c r="AE32" s="848">
        <f t="shared" si="40"/>
        <v>5270400</v>
      </c>
      <c r="AF32" s="848">
        <f t="shared" si="41"/>
        <v>5215908.7799999975</v>
      </c>
      <c r="AG32" s="1310">
        <f t="shared" si="59"/>
        <v>892800</v>
      </c>
      <c r="AH32" s="292">
        <v>802589.2000000003</v>
      </c>
      <c r="AI32" s="847">
        <f t="shared" si="12"/>
        <v>6163200</v>
      </c>
      <c r="AJ32" s="847">
        <f t="shared" si="13"/>
        <v>6018497.9799999977</v>
      </c>
      <c r="AK32" s="1310">
        <f t="shared" si="60"/>
        <v>864000</v>
      </c>
      <c r="AL32" s="292">
        <v>902544.70000000007</v>
      </c>
      <c r="AM32" s="847">
        <f t="shared" si="14"/>
        <v>7027200</v>
      </c>
      <c r="AN32" s="847">
        <f t="shared" si="15"/>
        <v>6921042.6799999978</v>
      </c>
      <c r="AO32" s="1310">
        <f t="shared" si="61"/>
        <v>892800</v>
      </c>
      <c r="AP32" s="292">
        <v>794731.39999999991</v>
      </c>
      <c r="AQ32" s="1384">
        <f t="shared" si="42"/>
        <v>2649600</v>
      </c>
      <c r="AR32" s="328">
        <f t="shared" si="43"/>
        <v>2499865.3000000003</v>
      </c>
      <c r="AS32" s="847">
        <f t="shared" si="18"/>
        <v>7920000</v>
      </c>
      <c r="AT32" s="847">
        <f t="shared" si="19"/>
        <v>7715774.0799999982</v>
      </c>
      <c r="AU32" s="1310">
        <f t="shared" si="62"/>
        <v>892800</v>
      </c>
      <c r="AV32" s="292">
        <v>831758.10000000126</v>
      </c>
      <c r="AW32" s="847">
        <f t="shared" si="20"/>
        <v>8812800</v>
      </c>
      <c r="AX32" s="847">
        <f t="shared" si="21"/>
        <v>8547532.1799999997</v>
      </c>
      <c r="AY32" s="1310">
        <f t="shared" si="63"/>
        <v>806400.00000000012</v>
      </c>
      <c r="AZ32" s="292">
        <v>757649.70000000088</v>
      </c>
      <c r="BA32" s="847">
        <f t="shared" si="22"/>
        <v>9619200</v>
      </c>
      <c r="BB32" s="847">
        <f t="shared" si="23"/>
        <v>9305181.8800000008</v>
      </c>
      <c r="BC32" s="1310">
        <f t="shared" si="64"/>
        <v>892800</v>
      </c>
      <c r="BD32" s="292">
        <v>889984.29999999935</v>
      </c>
      <c r="BE32" s="1384">
        <f t="shared" si="44"/>
        <v>2592000</v>
      </c>
      <c r="BF32" s="328">
        <f t="shared" si="45"/>
        <v>2479392.1000000015</v>
      </c>
      <c r="BG32" s="848">
        <f t="shared" si="65"/>
        <v>5241600</v>
      </c>
      <c r="BH32" s="848">
        <f t="shared" si="65"/>
        <v>4979257.4000000022</v>
      </c>
      <c r="BI32" s="847">
        <f t="shared" si="37"/>
        <v>10512000</v>
      </c>
      <c r="BJ32" s="847">
        <f t="shared" si="34"/>
        <v>10195166.18</v>
      </c>
      <c r="BK32" s="1111"/>
      <c r="BL32" s="1111"/>
      <c r="BM32" s="1111"/>
      <c r="BN32" s="4941"/>
      <c r="BO32" s="4941"/>
      <c r="BP32" s="1111"/>
      <c r="BQ32" s="1111"/>
      <c r="BR32" s="23"/>
    </row>
    <row r="33" spans="1:69" s="137" customFormat="1" x14ac:dyDescent="0.3">
      <c r="G33" s="142"/>
      <c r="H33" s="142"/>
      <c r="I33" s="1314"/>
      <c r="K33" s="1314"/>
      <c r="M33" s="142"/>
      <c r="N33" s="1215"/>
      <c r="O33" s="1314"/>
      <c r="S33" s="1314"/>
      <c r="U33" s="142"/>
      <c r="V33" s="142"/>
      <c r="W33" s="1314"/>
      <c r="Y33" s="142"/>
      <c r="Z33" s="142"/>
      <c r="AA33" s="1314"/>
      <c r="AE33" s="142"/>
      <c r="AF33" s="142"/>
      <c r="AG33" s="1314"/>
      <c r="AI33" s="142"/>
      <c r="AJ33" s="142"/>
      <c r="AK33" s="1314"/>
      <c r="AM33" s="142"/>
      <c r="AN33" s="142"/>
      <c r="AO33" s="1314"/>
      <c r="AS33" s="142"/>
      <c r="AT33" s="142"/>
      <c r="AU33" s="1314"/>
      <c r="AW33" s="142"/>
      <c r="AX33" s="142"/>
      <c r="AY33" s="1314"/>
      <c r="BA33" s="142"/>
      <c r="BB33" s="142"/>
      <c r="BC33" s="1314"/>
      <c r="BG33" s="142"/>
      <c r="BH33" s="142"/>
      <c r="BI33" s="142"/>
      <c r="BJ33" s="142"/>
      <c r="BK33" s="1111"/>
      <c r="BL33" s="1111"/>
      <c r="BM33" s="1111"/>
      <c r="BN33" s="4941"/>
      <c r="BO33" s="4941"/>
      <c r="BP33" s="1111"/>
      <c r="BQ33" s="1111"/>
    </row>
    <row r="34" spans="1:69" ht="15.6" x14ac:dyDescent="0.3">
      <c r="A34" s="246">
        <v>27</v>
      </c>
      <c r="B34" s="264" t="s">
        <v>689</v>
      </c>
      <c r="C34" s="12" t="s">
        <v>212</v>
      </c>
      <c r="D34" s="265">
        <v>454899.99999999919</v>
      </c>
      <c r="E34" s="266">
        <v>444510.0000000007</v>
      </c>
      <c r="G34" s="850" t="s">
        <v>731</v>
      </c>
      <c r="H34" s="1306" t="s">
        <v>692</v>
      </c>
      <c r="I34" s="1313">
        <f>SUM(I35:I38)</f>
        <v>1706459.52</v>
      </c>
      <c r="J34" s="295">
        <f>SUM(J35:J38)</f>
        <v>1483438.2933333339</v>
      </c>
      <c r="K34" s="1313">
        <f>SUM(K35:K38)</f>
        <v>1763341.5039999997</v>
      </c>
      <c r="L34" s="295">
        <f>SUM(L35:L38)</f>
        <v>1444898.4000000013</v>
      </c>
      <c r="M34" s="851">
        <f t="shared" si="1"/>
        <v>3469801.0239999997</v>
      </c>
      <c r="N34" s="851">
        <f t="shared" si="1"/>
        <v>2928336.6933333352</v>
      </c>
      <c r="O34" s="1313">
        <f>SUM(O35:O38)</f>
        <v>1766395.2</v>
      </c>
      <c r="P34" s="295">
        <f>SUM(P35:P38)</f>
        <v>1594616.1133333324</v>
      </c>
      <c r="Q34" s="1388">
        <f t="shared" si="35"/>
        <v>5236196.2239999995</v>
      </c>
      <c r="R34" s="1389">
        <f t="shared" si="36"/>
        <v>4522952.8066666676</v>
      </c>
      <c r="S34" s="1313">
        <f>SUM(S35:S38)</f>
        <v>1825275.04</v>
      </c>
      <c r="T34" s="295">
        <f>SUM(T35:T38)</f>
        <v>1616898.4886666664</v>
      </c>
      <c r="U34" s="851">
        <f t="shared" ref="U34:U46" si="68">+Q34+S34</f>
        <v>7061471.2639999995</v>
      </c>
      <c r="V34" s="851">
        <f t="shared" ref="V34:V46" si="69">+R34+T34</f>
        <v>6139851.2953333342</v>
      </c>
      <c r="W34" s="1313">
        <f>SUM(W35:W38)</f>
        <v>1825275.04</v>
      </c>
      <c r="X34" s="295">
        <f>SUM(X35:X38)</f>
        <v>1566489.9873333345</v>
      </c>
      <c r="Y34" s="851">
        <f t="shared" ref="Y34:Y46" si="70">+U34+W34</f>
        <v>8886746.3039999995</v>
      </c>
      <c r="Z34" s="851">
        <f t="shared" ref="Z34:Z46" si="71">+V34+X34</f>
        <v>7706341.2826666683</v>
      </c>
      <c r="AA34" s="1313">
        <f>SUM(AA35:AA38)</f>
        <v>1743061.68</v>
      </c>
      <c r="AB34" s="295">
        <f>SUM(AB35:AB38)</f>
        <v>1578104.6916666662</v>
      </c>
      <c r="AC34" s="1388">
        <f>S34+W34+AA34</f>
        <v>5393611.7599999998</v>
      </c>
      <c r="AD34" s="1389">
        <f>T34+X34+AB34</f>
        <v>4761493.1676666671</v>
      </c>
      <c r="AE34" s="852">
        <f t="shared" ref="AE34:AE46" si="72">Q34+AC34</f>
        <v>10629807.983999999</v>
      </c>
      <c r="AF34" s="852">
        <f t="shared" ref="AF34:AF46" si="73">R34+AD34</f>
        <v>9284445.9743333347</v>
      </c>
      <c r="AG34" s="1313">
        <f>SUM(AG35:AG38)</f>
        <v>1825275.04</v>
      </c>
      <c r="AH34" s="295">
        <f>SUM(AH35:AH38)</f>
        <v>1584249.4776666653</v>
      </c>
      <c r="AI34" s="851">
        <f t="shared" ref="AI34:AI46" si="74">+AE34+AG34</f>
        <v>12455083.024</v>
      </c>
      <c r="AJ34" s="851">
        <f t="shared" ref="AJ34:AJ46" si="75">+AF34+AH34</f>
        <v>10868695.452</v>
      </c>
      <c r="AK34" s="1313">
        <f>SUM(AK35:AK38)</f>
        <v>1766395.2</v>
      </c>
      <c r="AL34" s="295">
        <f>SUM(AL35:AL38)</f>
        <v>1591921.0573333341</v>
      </c>
      <c r="AM34" s="851">
        <f t="shared" ref="AM34:AM46" si="76">+AI34+AK34</f>
        <v>14221478.223999999</v>
      </c>
      <c r="AN34" s="851">
        <f t="shared" ref="AN34:AN46" si="77">+AJ34+AL34</f>
        <v>12460616.509333333</v>
      </c>
      <c r="AO34" s="1313">
        <f>SUM(AO35:AO38)</f>
        <v>1825275.04</v>
      </c>
      <c r="AP34" s="295">
        <f>SUM(AP35:AP38)</f>
        <v>1574906.227</v>
      </c>
      <c r="AQ34" s="1388">
        <f>AG34+AK34+AO34</f>
        <v>5416945.2800000003</v>
      </c>
      <c r="AR34" s="1389">
        <f>AH34+AL34+AP34</f>
        <v>4751076.7619999992</v>
      </c>
      <c r="AS34" s="851">
        <f t="shared" ref="AS34:AS46" si="78">+AM34+AO34</f>
        <v>16046753.263999999</v>
      </c>
      <c r="AT34" s="851">
        <f t="shared" ref="AT34:AT46" si="79">+AN34+AP34</f>
        <v>14035522.736333333</v>
      </c>
      <c r="AU34" s="1313">
        <f>SUM(AU35:AU38)</f>
        <v>1825275.04</v>
      </c>
      <c r="AV34" s="295">
        <f>SUM(AV35:AV38)</f>
        <v>1583990.7270000009</v>
      </c>
      <c r="AW34" s="851">
        <f t="shared" ref="AW34:AW46" si="80">+AS34+AU34</f>
        <v>17872028.303999998</v>
      </c>
      <c r="AX34" s="851">
        <f t="shared" ref="AX34:AX46" si="81">+AT34+AV34</f>
        <v>15619513.463333335</v>
      </c>
      <c r="AY34" s="1313">
        <f>SUM(AY35:AY38)</f>
        <v>1648635.52</v>
      </c>
      <c r="AZ34" s="295">
        <f>SUM(AZ35:AZ38)</f>
        <v>1300859.2160000007</v>
      </c>
      <c r="BA34" s="851">
        <f t="shared" ref="BA34:BA46" si="82">+AW34+AY34</f>
        <v>19520663.823999997</v>
      </c>
      <c r="BB34" s="851">
        <f t="shared" ref="BB34:BB46" si="83">+AX34+AZ34</f>
        <v>16920372.679333337</v>
      </c>
      <c r="BC34" s="1313">
        <f>SUM(BC35:BC38)</f>
        <v>1825275.04</v>
      </c>
      <c r="BD34" s="295">
        <f>SUM(BD35:BD38)</f>
        <v>1443060.7233333318</v>
      </c>
      <c r="BE34" s="1388">
        <f>AU34+AY34+BC34</f>
        <v>5299185.5999999996</v>
      </c>
      <c r="BF34" s="1389">
        <f>AV34+AZ34+BD34</f>
        <v>4327910.6663333336</v>
      </c>
      <c r="BG34" s="846">
        <f>AQ34+BE34</f>
        <v>10716130.879999999</v>
      </c>
      <c r="BH34" s="846">
        <f>AR34+BF34</f>
        <v>9078987.4283333328</v>
      </c>
      <c r="BI34" s="851">
        <f t="shared" ref="BI34:BI46" si="84">+BA34+BC34</f>
        <v>21345938.863999996</v>
      </c>
      <c r="BJ34" s="851">
        <f t="shared" ref="BJ34:BJ46" si="85">+BB34+BD34</f>
        <v>18363433.402666669</v>
      </c>
      <c r="BK34" s="1111"/>
      <c r="BL34" s="1111"/>
      <c r="BM34" s="1111"/>
      <c r="BN34" s="4941"/>
      <c r="BO34" s="4941"/>
      <c r="BP34" s="1111"/>
      <c r="BQ34" s="1111"/>
    </row>
    <row r="35" spans="1:69" x14ac:dyDescent="0.3">
      <c r="A35" s="246">
        <v>28</v>
      </c>
      <c r="B35" s="276" t="s">
        <v>694</v>
      </c>
      <c r="C35" s="12" t="s">
        <v>212</v>
      </c>
      <c r="D35" s="265">
        <v>644972.74900000007</v>
      </c>
      <c r="E35" s="266">
        <v>646895.54300000006</v>
      </c>
      <c r="G35" s="840" t="s">
        <v>732</v>
      </c>
      <c r="H35" s="822" t="s">
        <v>693</v>
      </c>
      <c r="I35" s="1311">
        <f>+I83*I$3*24*1000</f>
        <v>1144859.52</v>
      </c>
      <c r="J35" s="292">
        <v>1090654.0000000007</v>
      </c>
      <c r="K35" s="1311">
        <f>+K83*K$3*24*1000</f>
        <v>1183021.5039999997</v>
      </c>
      <c r="L35" s="292">
        <v>1099536</v>
      </c>
      <c r="M35" s="847">
        <f t="shared" si="1"/>
        <v>2327881.0239999997</v>
      </c>
      <c r="N35" s="847">
        <f t="shared" si="1"/>
        <v>2190190.0000000009</v>
      </c>
      <c r="O35" s="1311">
        <f>+O83*O$3*24*1000</f>
        <v>1154395.2</v>
      </c>
      <c r="P35" s="292">
        <v>1198690</v>
      </c>
      <c r="Q35" s="1385">
        <f t="shared" si="35"/>
        <v>3482276.2239999995</v>
      </c>
      <c r="R35" s="328">
        <f t="shared" si="36"/>
        <v>3388880.0000000009</v>
      </c>
      <c r="S35" s="1311">
        <f>+S83*S$3*24*1000</f>
        <v>1192875.04</v>
      </c>
      <c r="T35" s="292">
        <v>1201692</v>
      </c>
      <c r="U35" s="847">
        <f t="shared" si="68"/>
        <v>4675151.2639999995</v>
      </c>
      <c r="V35" s="847">
        <f t="shared" si="69"/>
        <v>4590572.0000000009</v>
      </c>
      <c r="W35" s="1311">
        <f>+W83*W$3*24*1000</f>
        <v>1192875.04</v>
      </c>
      <c r="X35" s="292">
        <v>1172043</v>
      </c>
      <c r="Y35" s="847">
        <f t="shared" si="70"/>
        <v>5868026.3039999995</v>
      </c>
      <c r="Z35" s="847">
        <f t="shared" si="71"/>
        <v>5762615.0000000009</v>
      </c>
      <c r="AA35" s="1311">
        <f>+AA83*AA$3*24*1000</f>
        <v>1131061.68</v>
      </c>
      <c r="AB35" s="292">
        <v>1117056.9999999995</v>
      </c>
      <c r="AC35" s="1385">
        <f t="shared" ref="AC35:AC46" si="86">S35+W35+AA35</f>
        <v>3516811.76</v>
      </c>
      <c r="AD35" s="328">
        <f t="shared" ref="AD35:AD46" si="87">T35+X35+AB35</f>
        <v>3490791.9999999995</v>
      </c>
      <c r="AE35" s="848">
        <f t="shared" si="72"/>
        <v>6999087.9839999992</v>
      </c>
      <c r="AF35" s="848">
        <f t="shared" si="73"/>
        <v>6879672</v>
      </c>
      <c r="AG35" s="1311">
        <f>+AG83*AG$3*24*1000</f>
        <v>1192875.04</v>
      </c>
      <c r="AH35" s="292">
        <v>1136315.9999999995</v>
      </c>
      <c r="AI35" s="847">
        <f t="shared" si="74"/>
        <v>8191963.0239999993</v>
      </c>
      <c r="AJ35" s="847">
        <f t="shared" si="75"/>
        <v>8015988</v>
      </c>
      <c r="AK35" s="1311">
        <f>+AK83*AK$3*24*1000</f>
        <v>1154395.2</v>
      </c>
      <c r="AL35" s="292">
        <v>1129714.0000000007</v>
      </c>
      <c r="AM35" s="847">
        <f t="shared" si="76"/>
        <v>9346358.2239999995</v>
      </c>
      <c r="AN35" s="847">
        <f t="shared" si="77"/>
        <v>9145702</v>
      </c>
      <c r="AO35" s="1311">
        <f>+AO83*AO$3*24*1000</f>
        <v>1192875.04</v>
      </c>
      <c r="AP35" s="292">
        <v>1098775.9999999995</v>
      </c>
      <c r="AQ35" s="1385">
        <f t="shared" ref="AQ35:AQ41" si="88">AG35+AK35+AO35</f>
        <v>3540145.2800000003</v>
      </c>
      <c r="AR35" s="328">
        <f t="shared" ref="AR35:AR41" si="89">AH35+AL35+AP35</f>
        <v>3364805.9999999995</v>
      </c>
      <c r="AS35" s="847">
        <f t="shared" si="78"/>
        <v>10539233.263999999</v>
      </c>
      <c r="AT35" s="847">
        <f t="shared" si="79"/>
        <v>10244478</v>
      </c>
      <c r="AU35" s="1311">
        <f>+AU83*AU$3*24*1000</f>
        <v>1192875.04</v>
      </c>
      <c r="AV35" s="292">
        <v>1079565.9999999998</v>
      </c>
      <c r="AW35" s="847">
        <f t="shared" si="80"/>
        <v>11732108.303999998</v>
      </c>
      <c r="AX35" s="847">
        <f t="shared" si="81"/>
        <v>11324044</v>
      </c>
      <c r="AY35" s="1311">
        <f>+AY83*AY$3*24*1000</f>
        <v>1077435.52</v>
      </c>
      <c r="AZ35" s="292">
        <v>916298.00000000081</v>
      </c>
      <c r="BA35" s="847">
        <f t="shared" si="82"/>
        <v>12809543.823999997</v>
      </c>
      <c r="BB35" s="847">
        <f t="shared" si="83"/>
        <v>12240342</v>
      </c>
      <c r="BC35" s="1311">
        <f>+BC83*BC$3*24*1000</f>
        <v>1192875.04</v>
      </c>
      <c r="BD35" s="292">
        <v>1084823.9999999988</v>
      </c>
      <c r="BE35" s="1385">
        <f t="shared" ref="BE35:BE41" si="90">AU35+AY35+BC35</f>
        <v>3463185.6</v>
      </c>
      <c r="BF35" s="328">
        <f t="shared" ref="BF35:BF41" si="91">AV35+AZ35+BD35</f>
        <v>3080687.9999999991</v>
      </c>
      <c r="BG35" s="848">
        <f t="shared" ref="BG35:BG38" si="92">AQ35+BE35</f>
        <v>7003330.8800000008</v>
      </c>
      <c r="BH35" s="848">
        <f t="shared" ref="BH35:BH38" si="93">AR35+BF35</f>
        <v>6445493.9999999981</v>
      </c>
      <c r="BI35" s="847">
        <f t="shared" si="84"/>
        <v>14002418.863999996</v>
      </c>
      <c r="BJ35" s="847">
        <f t="shared" si="85"/>
        <v>13325165.999999998</v>
      </c>
      <c r="BK35" s="1111"/>
      <c r="BL35" s="1111"/>
      <c r="BM35" s="1111"/>
      <c r="BN35" s="4941"/>
      <c r="BO35" s="4941"/>
      <c r="BP35" s="1111"/>
      <c r="BQ35" s="1111"/>
    </row>
    <row r="36" spans="1:69" x14ac:dyDescent="0.3">
      <c r="A36" s="246">
        <v>29</v>
      </c>
      <c r="B36" s="276" t="s">
        <v>695</v>
      </c>
      <c r="C36" s="12" t="s">
        <v>212</v>
      </c>
      <c r="D36" s="265">
        <v>187023.60760000031</v>
      </c>
      <c r="E36" s="266">
        <v>184126.8434000003</v>
      </c>
      <c r="G36" s="840" t="s">
        <v>733</v>
      </c>
      <c r="H36" s="822" t="s">
        <v>694</v>
      </c>
      <c r="I36" s="1311">
        <f>+I84*I$3*24*1000</f>
        <v>288000</v>
      </c>
      <c r="J36" s="292">
        <v>170333.33333333279</v>
      </c>
      <c r="K36" s="1311">
        <f>+K84*K$3*24*1000</f>
        <v>297600</v>
      </c>
      <c r="L36" s="292">
        <v>166174.00000000119</v>
      </c>
      <c r="M36" s="847">
        <f t="shared" si="1"/>
        <v>585600</v>
      </c>
      <c r="N36" s="847">
        <f t="shared" si="1"/>
        <v>336507.33333333395</v>
      </c>
      <c r="O36" s="1311">
        <f>+O84*O$3*24*1000</f>
        <v>360000</v>
      </c>
      <c r="P36" s="292">
        <v>226562.33333333299</v>
      </c>
      <c r="Q36" s="1385">
        <f t="shared" si="35"/>
        <v>945600</v>
      </c>
      <c r="R36" s="328">
        <f t="shared" si="36"/>
        <v>563069.66666666698</v>
      </c>
      <c r="S36" s="1311">
        <f>+S84*S$3*24*1000</f>
        <v>372000</v>
      </c>
      <c r="T36" s="292">
        <v>243511.66666666663</v>
      </c>
      <c r="U36" s="847">
        <f t="shared" si="68"/>
        <v>1317600</v>
      </c>
      <c r="V36" s="847">
        <f t="shared" si="69"/>
        <v>806581.3333333336</v>
      </c>
      <c r="W36" s="1311">
        <f>+W84*W$3*24*1000</f>
        <v>372000</v>
      </c>
      <c r="X36" s="292">
        <v>230576.33333333401</v>
      </c>
      <c r="Y36" s="847">
        <f t="shared" si="70"/>
        <v>1689600</v>
      </c>
      <c r="Z36" s="847">
        <f t="shared" si="71"/>
        <v>1037157.6666666677</v>
      </c>
      <c r="AA36" s="1311">
        <f>+AA84*AA$3*24*1000</f>
        <v>360000</v>
      </c>
      <c r="AB36" s="292">
        <v>266296.26666666672</v>
      </c>
      <c r="AC36" s="1385">
        <f t="shared" si="86"/>
        <v>1104000</v>
      </c>
      <c r="AD36" s="328">
        <f t="shared" si="87"/>
        <v>740384.2666666673</v>
      </c>
      <c r="AE36" s="848">
        <f t="shared" si="72"/>
        <v>2049600</v>
      </c>
      <c r="AF36" s="848">
        <f t="shared" si="73"/>
        <v>1303453.9333333343</v>
      </c>
      <c r="AG36" s="1311">
        <f>+AG84*AG$3*24*1000</f>
        <v>372000</v>
      </c>
      <c r="AH36" s="292">
        <v>272108.6666666664</v>
      </c>
      <c r="AI36" s="847">
        <f t="shared" si="74"/>
        <v>2421600</v>
      </c>
      <c r="AJ36" s="847">
        <f t="shared" si="75"/>
        <v>1575562.6000000006</v>
      </c>
      <c r="AK36" s="1311">
        <f>+AK84*AK$3*24*1000</f>
        <v>360000</v>
      </c>
      <c r="AL36" s="292">
        <v>243552.33333333296</v>
      </c>
      <c r="AM36" s="847">
        <f t="shared" si="76"/>
        <v>2781600</v>
      </c>
      <c r="AN36" s="847">
        <f t="shared" si="77"/>
        <v>1819114.9333333336</v>
      </c>
      <c r="AO36" s="1311">
        <f>+AO84*AO$3*24*1000</f>
        <v>372000</v>
      </c>
      <c r="AP36" s="292">
        <v>247903.99999999994</v>
      </c>
      <c r="AQ36" s="1385">
        <f t="shared" si="88"/>
        <v>1104000</v>
      </c>
      <c r="AR36" s="328">
        <f t="shared" si="89"/>
        <v>763564.9999999993</v>
      </c>
      <c r="AS36" s="847">
        <f t="shared" si="78"/>
        <v>3153600</v>
      </c>
      <c r="AT36" s="847">
        <f t="shared" si="79"/>
        <v>2067018.9333333336</v>
      </c>
      <c r="AU36" s="1311">
        <f>+AU84*AU$3*24*1000</f>
        <v>372000</v>
      </c>
      <c r="AV36" s="292">
        <v>245725.00000000023</v>
      </c>
      <c r="AW36" s="847">
        <f t="shared" si="80"/>
        <v>3525600</v>
      </c>
      <c r="AX36" s="847">
        <f t="shared" si="81"/>
        <v>2312743.9333333336</v>
      </c>
      <c r="AY36" s="1311">
        <f>+AY84*AY$3*24*1000</f>
        <v>336000</v>
      </c>
      <c r="AZ36" s="292">
        <v>224869.00000000012</v>
      </c>
      <c r="BA36" s="847">
        <f t="shared" si="82"/>
        <v>3861600</v>
      </c>
      <c r="BB36" s="847">
        <f t="shared" si="83"/>
        <v>2537612.9333333336</v>
      </c>
      <c r="BC36" s="1311">
        <f>+BC84*BC$3*24*1000</f>
        <v>372000</v>
      </c>
      <c r="BD36" s="292">
        <v>176478.33333333343</v>
      </c>
      <c r="BE36" s="1385">
        <f t="shared" si="90"/>
        <v>1080000</v>
      </c>
      <c r="BF36" s="328">
        <f t="shared" si="91"/>
        <v>647072.33333333372</v>
      </c>
      <c r="BG36" s="848">
        <f t="shared" si="92"/>
        <v>2184000</v>
      </c>
      <c r="BH36" s="848">
        <f t="shared" si="93"/>
        <v>1410637.333333333</v>
      </c>
      <c r="BI36" s="847">
        <f t="shared" si="84"/>
        <v>4233600</v>
      </c>
      <c r="BJ36" s="847">
        <f t="shared" si="85"/>
        <v>2714091.2666666671</v>
      </c>
      <c r="BK36" s="1111"/>
      <c r="BL36" s="1111"/>
      <c r="BM36" s="1111"/>
      <c r="BN36" s="4941"/>
      <c r="BO36" s="4941"/>
      <c r="BP36" s="1111"/>
      <c r="BQ36" s="1111"/>
    </row>
    <row r="37" spans="1:69" x14ac:dyDescent="0.3">
      <c r="A37" s="246">
        <v>30</v>
      </c>
      <c r="B37" s="276" t="s">
        <v>701</v>
      </c>
      <c r="C37" s="12" t="s">
        <v>212</v>
      </c>
      <c r="D37" s="265">
        <v>339821.83539999893</v>
      </c>
      <c r="E37" s="266">
        <v>349899.85260000126</v>
      </c>
      <c r="G37" s="840" t="s">
        <v>734</v>
      </c>
      <c r="H37" s="822" t="s">
        <v>695</v>
      </c>
      <c r="I37" s="1310">
        <f>+I85*I$3*24*1000</f>
        <v>108000</v>
      </c>
      <c r="J37" s="292">
        <v>40213.96000000013</v>
      </c>
      <c r="K37" s="1310">
        <f>+K85*K$3*24*1000</f>
        <v>111600</v>
      </c>
      <c r="L37" s="292">
        <v>48562.399999999878</v>
      </c>
      <c r="M37" s="847">
        <f t="shared" si="1"/>
        <v>219600</v>
      </c>
      <c r="N37" s="847">
        <f t="shared" si="1"/>
        <v>88776.360000000015</v>
      </c>
      <c r="O37" s="1310">
        <f>+O85*O$3*24*1000</f>
        <v>144000</v>
      </c>
      <c r="P37" s="292">
        <v>84885.98</v>
      </c>
      <c r="Q37" s="1384">
        <f t="shared" si="35"/>
        <v>363600</v>
      </c>
      <c r="R37" s="328">
        <f t="shared" si="36"/>
        <v>173662.34000000003</v>
      </c>
      <c r="S37" s="1310">
        <f>+S85*S$3*24*1000</f>
        <v>148800</v>
      </c>
      <c r="T37" s="292">
        <v>81425.221999999747</v>
      </c>
      <c r="U37" s="847">
        <f t="shared" si="68"/>
        <v>512400</v>
      </c>
      <c r="V37" s="847">
        <f t="shared" si="69"/>
        <v>255087.56199999977</v>
      </c>
      <c r="W37" s="1310">
        <f>+W85*W$3*24*1000</f>
        <v>148800</v>
      </c>
      <c r="X37" s="292">
        <v>98515.254000000001</v>
      </c>
      <c r="Y37" s="847">
        <f t="shared" si="70"/>
        <v>661200</v>
      </c>
      <c r="Z37" s="847">
        <f t="shared" si="71"/>
        <v>353602.81599999976</v>
      </c>
      <c r="AA37" s="1310">
        <f>+AA85*AA$3*24*1000</f>
        <v>144000</v>
      </c>
      <c r="AB37" s="292">
        <v>100176.22500000021</v>
      </c>
      <c r="AC37" s="1384">
        <f t="shared" si="86"/>
        <v>441600</v>
      </c>
      <c r="AD37" s="328">
        <f t="shared" si="87"/>
        <v>280116.70099999994</v>
      </c>
      <c r="AE37" s="848">
        <f t="shared" si="72"/>
        <v>805200</v>
      </c>
      <c r="AF37" s="848">
        <f t="shared" si="73"/>
        <v>453779.04099999997</v>
      </c>
      <c r="AG37" s="1310">
        <f>+AG85*AG$3*24*1000</f>
        <v>148800</v>
      </c>
      <c r="AH37" s="292">
        <v>93263.610999999801</v>
      </c>
      <c r="AI37" s="847">
        <f t="shared" si="74"/>
        <v>954000</v>
      </c>
      <c r="AJ37" s="847">
        <f t="shared" si="75"/>
        <v>547042.65199999977</v>
      </c>
      <c r="AK37" s="1310">
        <f>+AK85*AK$3*24*1000</f>
        <v>144000</v>
      </c>
      <c r="AL37" s="292">
        <v>70023.124000000229</v>
      </c>
      <c r="AM37" s="847">
        <f t="shared" si="76"/>
        <v>1098000</v>
      </c>
      <c r="AN37" s="847">
        <f t="shared" si="77"/>
        <v>617065.77599999995</v>
      </c>
      <c r="AO37" s="1310">
        <f>+AO85*AO$3*24*1000</f>
        <v>148800</v>
      </c>
      <c r="AP37" s="292">
        <v>77297.226999999708</v>
      </c>
      <c r="AQ37" s="1384">
        <f t="shared" si="88"/>
        <v>441600</v>
      </c>
      <c r="AR37" s="328">
        <f t="shared" si="89"/>
        <v>240583.96199999977</v>
      </c>
      <c r="AS37" s="847">
        <f t="shared" si="78"/>
        <v>1246800</v>
      </c>
      <c r="AT37" s="847">
        <f t="shared" si="79"/>
        <v>694363.00299999968</v>
      </c>
      <c r="AU37" s="1310">
        <f>+AU85*AU$3*24*1000</f>
        <v>148800</v>
      </c>
      <c r="AV37" s="292">
        <v>72170.52700000022</v>
      </c>
      <c r="AW37" s="847">
        <f t="shared" si="80"/>
        <v>1395600</v>
      </c>
      <c r="AX37" s="847">
        <f t="shared" si="81"/>
        <v>766533.52999999991</v>
      </c>
      <c r="AY37" s="1310">
        <f>+AY85*AY$3*24*1000</f>
        <v>134400</v>
      </c>
      <c r="AZ37" s="292">
        <v>55202.015999999996</v>
      </c>
      <c r="BA37" s="847">
        <f t="shared" si="82"/>
        <v>1530000</v>
      </c>
      <c r="BB37" s="847">
        <f t="shared" si="83"/>
        <v>821735.54599999986</v>
      </c>
      <c r="BC37" s="1310">
        <f>+BC85*BC$3*24*1000</f>
        <v>148800</v>
      </c>
      <c r="BD37" s="292">
        <v>55980.589999999866</v>
      </c>
      <c r="BE37" s="1384">
        <f t="shared" si="90"/>
        <v>432000</v>
      </c>
      <c r="BF37" s="328">
        <f t="shared" si="91"/>
        <v>183353.13300000009</v>
      </c>
      <c r="BG37" s="848">
        <f t="shared" si="92"/>
        <v>873600</v>
      </c>
      <c r="BH37" s="848">
        <f t="shared" si="93"/>
        <v>423937.09499999986</v>
      </c>
      <c r="BI37" s="847">
        <f t="shared" si="84"/>
        <v>1678800</v>
      </c>
      <c r="BJ37" s="847">
        <f t="shared" si="85"/>
        <v>877716.13599999971</v>
      </c>
      <c r="BK37" s="1111"/>
      <c r="BL37" s="1111"/>
      <c r="BM37" s="1111"/>
      <c r="BN37" s="4941"/>
      <c r="BO37" s="4941"/>
      <c r="BP37" s="1111"/>
      <c r="BQ37" s="1111"/>
    </row>
    <row r="38" spans="1:69" x14ac:dyDescent="0.3">
      <c r="A38" s="246"/>
      <c r="B38" s="276"/>
      <c r="C38" s="13"/>
      <c r="D38" s="265"/>
      <c r="E38" s="266"/>
      <c r="G38" s="840" t="s">
        <v>734</v>
      </c>
      <c r="H38" s="822" t="s">
        <v>696</v>
      </c>
      <c r="I38" s="1310">
        <f>+I86*I$3*24*1000</f>
        <v>165600.00000000003</v>
      </c>
      <c r="J38" s="292">
        <v>182237.00000000023</v>
      </c>
      <c r="K38" s="1310">
        <f>+K86*K$3*24*1000</f>
        <v>171120</v>
      </c>
      <c r="L38" s="292">
        <v>130626.00000000035</v>
      </c>
      <c r="M38" s="847">
        <f t="shared" si="1"/>
        <v>336720</v>
      </c>
      <c r="N38" s="847">
        <f t="shared" si="1"/>
        <v>312863.00000000058</v>
      </c>
      <c r="O38" s="1310">
        <f>+O86*O$3*24*1000</f>
        <v>108000</v>
      </c>
      <c r="P38" s="292">
        <v>84477.799999999406</v>
      </c>
      <c r="Q38" s="1384">
        <f t="shared" si="35"/>
        <v>444720</v>
      </c>
      <c r="R38" s="328">
        <f t="shared" si="36"/>
        <v>397340.8</v>
      </c>
      <c r="S38" s="1310">
        <f>+S86*S$3*24*1000</f>
        <v>111600</v>
      </c>
      <c r="T38" s="292">
        <v>90269.6</v>
      </c>
      <c r="U38" s="847">
        <f t="shared" si="68"/>
        <v>556320</v>
      </c>
      <c r="V38" s="847">
        <f t="shared" si="69"/>
        <v>487610.4</v>
      </c>
      <c r="W38" s="1310">
        <f>+W86*W$3*24*1000</f>
        <v>111600</v>
      </c>
      <c r="X38" s="292">
        <v>65355.400000000584</v>
      </c>
      <c r="Y38" s="847">
        <f t="shared" si="70"/>
        <v>667920</v>
      </c>
      <c r="Z38" s="847">
        <f t="shared" si="71"/>
        <v>552965.80000000063</v>
      </c>
      <c r="AA38" s="1310">
        <f>+AA86*AA$3*24*1000</f>
        <v>108000</v>
      </c>
      <c r="AB38" s="292">
        <v>94575.200000000012</v>
      </c>
      <c r="AC38" s="1384">
        <f t="shared" si="86"/>
        <v>331200</v>
      </c>
      <c r="AD38" s="328">
        <f t="shared" si="87"/>
        <v>250200.20000000059</v>
      </c>
      <c r="AE38" s="848">
        <f t="shared" si="72"/>
        <v>775920</v>
      </c>
      <c r="AF38" s="848">
        <f t="shared" si="73"/>
        <v>647541.00000000058</v>
      </c>
      <c r="AG38" s="1310">
        <f>+AG86*AG$3*24*1000</f>
        <v>111600</v>
      </c>
      <c r="AH38" s="292">
        <v>82561.19999999943</v>
      </c>
      <c r="AI38" s="847">
        <f t="shared" si="74"/>
        <v>887520</v>
      </c>
      <c r="AJ38" s="847">
        <f t="shared" si="75"/>
        <v>730102.2</v>
      </c>
      <c r="AK38" s="1310">
        <f>+AK86*AK$3*24*1000</f>
        <v>108000</v>
      </c>
      <c r="AL38" s="292">
        <v>148631.60000000003</v>
      </c>
      <c r="AM38" s="847">
        <f t="shared" si="76"/>
        <v>995520</v>
      </c>
      <c r="AN38" s="847">
        <f t="shared" si="77"/>
        <v>878733.8</v>
      </c>
      <c r="AO38" s="1310">
        <f>+AO86*AO$3*24*1000</f>
        <v>111600</v>
      </c>
      <c r="AP38" s="292">
        <v>150929.00000000064</v>
      </c>
      <c r="AQ38" s="1384">
        <f t="shared" si="88"/>
        <v>331200</v>
      </c>
      <c r="AR38" s="328">
        <f t="shared" si="89"/>
        <v>382121.8000000001</v>
      </c>
      <c r="AS38" s="847">
        <f t="shared" si="78"/>
        <v>1107120</v>
      </c>
      <c r="AT38" s="847">
        <f t="shared" si="79"/>
        <v>1029662.8000000007</v>
      </c>
      <c r="AU38" s="1310">
        <f>+AU86*AU$3*24*1000</f>
        <v>111600</v>
      </c>
      <c r="AV38" s="292">
        <v>186529.20000000054</v>
      </c>
      <c r="AW38" s="847">
        <f t="shared" si="80"/>
        <v>1218720</v>
      </c>
      <c r="AX38" s="847">
        <f t="shared" si="81"/>
        <v>1216192.0000000014</v>
      </c>
      <c r="AY38" s="1310">
        <f>+AY86*AY$3*24*1000</f>
        <v>100800.00000000001</v>
      </c>
      <c r="AZ38" s="292">
        <v>104490.19999999981</v>
      </c>
      <c r="BA38" s="847">
        <f t="shared" si="82"/>
        <v>1319520</v>
      </c>
      <c r="BB38" s="847">
        <f t="shared" si="83"/>
        <v>1320682.2000000011</v>
      </c>
      <c r="BC38" s="1310">
        <f>+BC86*BC$3*24*1000</f>
        <v>111600</v>
      </c>
      <c r="BD38" s="292">
        <v>125777.79999999964</v>
      </c>
      <c r="BE38" s="1384">
        <f t="shared" si="90"/>
        <v>324000</v>
      </c>
      <c r="BF38" s="328">
        <f t="shared" si="91"/>
        <v>416797.2</v>
      </c>
      <c r="BG38" s="848">
        <f t="shared" si="92"/>
        <v>655200</v>
      </c>
      <c r="BH38" s="848">
        <f t="shared" si="93"/>
        <v>798919.00000000012</v>
      </c>
      <c r="BI38" s="847">
        <f t="shared" si="84"/>
        <v>1431120</v>
      </c>
      <c r="BJ38" s="847">
        <f t="shared" si="85"/>
        <v>1446460.0000000007</v>
      </c>
      <c r="BK38" s="1111"/>
      <c r="BL38" s="1111"/>
      <c r="BM38" s="1111"/>
      <c r="BN38" s="4941"/>
      <c r="BO38" s="4941"/>
      <c r="BP38" s="1111"/>
      <c r="BQ38" s="1111"/>
    </row>
    <row r="39" spans="1:69" ht="16.2" thickBot="1" x14ac:dyDescent="0.35">
      <c r="A39" s="246">
        <v>31</v>
      </c>
      <c r="B39" s="264" t="s">
        <v>691</v>
      </c>
      <c r="C39" s="13" t="s">
        <v>212</v>
      </c>
      <c r="D39" s="265">
        <v>865772.19999999972</v>
      </c>
      <c r="E39" s="266">
        <v>777589.69999999867</v>
      </c>
      <c r="G39" s="850">
        <v>4.2</v>
      </c>
      <c r="H39" s="1306" t="s">
        <v>697</v>
      </c>
      <c r="I39" s="1313">
        <f>I40+I42</f>
        <v>9648000</v>
      </c>
      <c r="J39" s="295">
        <f>J40+J42</f>
        <v>9305766.7636666633</v>
      </c>
      <c r="K39" s="1313">
        <f>K40+K42</f>
        <v>9969600</v>
      </c>
      <c r="L39" s="295">
        <f>L40+L42</f>
        <v>7801980.485000005</v>
      </c>
      <c r="M39" s="851">
        <f t="shared" si="1"/>
        <v>19617600</v>
      </c>
      <c r="N39" s="851">
        <f t="shared" si="1"/>
        <v>17107747.248666666</v>
      </c>
      <c r="O39" s="1313">
        <f>O40+O42</f>
        <v>9594000</v>
      </c>
      <c r="P39" s="295">
        <f>P40+P42</f>
        <v>9769671.2976666633</v>
      </c>
      <c r="Q39" s="1388">
        <f t="shared" si="35"/>
        <v>29211600</v>
      </c>
      <c r="R39" s="1389">
        <f t="shared" si="36"/>
        <v>26877418.546333328</v>
      </c>
      <c r="S39" s="1313">
        <f>S40+S42</f>
        <v>9913800</v>
      </c>
      <c r="T39" s="295">
        <f>T40+T42</f>
        <v>10045117.844333326</v>
      </c>
      <c r="U39" s="851">
        <f t="shared" si="68"/>
        <v>39125400</v>
      </c>
      <c r="V39" s="851">
        <f t="shared" si="69"/>
        <v>36922536.390666656</v>
      </c>
      <c r="W39" s="1313">
        <f>W40+W42</f>
        <v>9913800</v>
      </c>
      <c r="X39" s="295">
        <f>X40+X42</f>
        <v>9867319.7706666831</v>
      </c>
      <c r="Y39" s="851">
        <f t="shared" si="70"/>
        <v>49039200</v>
      </c>
      <c r="Z39" s="851">
        <f t="shared" si="71"/>
        <v>46789856.161333337</v>
      </c>
      <c r="AA39" s="1313">
        <f>AA40+AA42</f>
        <v>9594000</v>
      </c>
      <c r="AB39" s="295">
        <f>AB40+AB42</f>
        <v>9667734.524333328</v>
      </c>
      <c r="AC39" s="1388">
        <f t="shared" si="86"/>
        <v>29421600</v>
      </c>
      <c r="AD39" s="1389">
        <f t="shared" si="87"/>
        <v>29580172.139333338</v>
      </c>
      <c r="AE39" s="852">
        <f t="shared" si="72"/>
        <v>58633200</v>
      </c>
      <c r="AF39" s="852">
        <f t="shared" si="73"/>
        <v>56457590.685666665</v>
      </c>
      <c r="AG39" s="1313">
        <f>AG40+AG42</f>
        <v>9913800</v>
      </c>
      <c r="AH39" s="295">
        <f>AH40+AH42</f>
        <v>8926264.4853333309</v>
      </c>
      <c r="AI39" s="851">
        <f t="shared" si="74"/>
        <v>68547000</v>
      </c>
      <c r="AJ39" s="851">
        <f t="shared" si="75"/>
        <v>65383855.170999996</v>
      </c>
      <c r="AK39" s="1313">
        <f>AK40+AK42</f>
        <v>9594000</v>
      </c>
      <c r="AL39" s="295">
        <f>AL40+AL42</f>
        <v>8848782.2536666635</v>
      </c>
      <c r="AM39" s="851">
        <f t="shared" si="76"/>
        <v>78141000</v>
      </c>
      <c r="AN39" s="851">
        <f t="shared" si="77"/>
        <v>74232637.424666658</v>
      </c>
      <c r="AO39" s="1313">
        <f>AO40+AO42</f>
        <v>9913800</v>
      </c>
      <c r="AP39" s="295">
        <f>AP40+AP42</f>
        <v>9065925.6930000037</v>
      </c>
      <c r="AQ39" s="1388">
        <f t="shared" si="88"/>
        <v>29421600</v>
      </c>
      <c r="AR39" s="1389">
        <f t="shared" si="89"/>
        <v>26840972.431999996</v>
      </c>
      <c r="AS39" s="851">
        <f t="shared" si="78"/>
        <v>88054800</v>
      </c>
      <c r="AT39" s="851">
        <f t="shared" si="79"/>
        <v>83298563.117666662</v>
      </c>
      <c r="AU39" s="1313">
        <f>AU40+AU42</f>
        <v>9913800</v>
      </c>
      <c r="AV39" s="295">
        <f>AV40+AV42</f>
        <v>8886504.1260000002</v>
      </c>
      <c r="AW39" s="851">
        <f t="shared" si="80"/>
        <v>97968600</v>
      </c>
      <c r="AX39" s="851">
        <f t="shared" si="81"/>
        <v>92185067.243666664</v>
      </c>
      <c r="AY39" s="1313">
        <f>AY40+AY42</f>
        <v>8954400</v>
      </c>
      <c r="AZ39" s="295">
        <f>AZ40+AZ42</f>
        <v>7303426.6590000056</v>
      </c>
      <c r="BA39" s="851">
        <f t="shared" si="82"/>
        <v>106923000</v>
      </c>
      <c r="BB39" s="851">
        <f t="shared" si="83"/>
        <v>99488493.902666673</v>
      </c>
      <c r="BC39" s="1313">
        <f>BC40+BC42</f>
        <v>9913800</v>
      </c>
      <c r="BD39" s="295">
        <f>BD40+BD42</f>
        <v>8629008.3956666589</v>
      </c>
      <c r="BE39" s="1388">
        <f t="shared" si="90"/>
        <v>28782000</v>
      </c>
      <c r="BF39" s="1389">
        <f t="shared" si="91"/>
        <v>24818939.180666663</v>
      </c>
      <c r="BG39" s="846">
        <f>AQ39+BE39</f>
        <v>58203600</v>
      </c>
      <c r="BH39" s="846">
        <f>AR39+BF39</f>
        <v>51659911.612666659</v>
      </c>
      <c r="BI39" s="851">
        <f t="shared" si="84"/>
        <v>116836800</v>
      </c>
      <c r="BJ39" s="851">
        <f t="shared" si="85"/>
        <v>108117502.29833333</v>
      </c>
      <c r="BK39" s="1111"/>
      <c r="BL39" s="1111"/>
      <c r="BM39" s="1111"/>
      <c r="BN39" s="4941"/>
      <c r="BO39" s="4941"/>
      <c r="BP39" s="1111"/>
      <c r="BQ39" s="1111"/>
    </row>
    <row r="40" spans="1:69" ht="16.2" thickBot="1" x14ac:dyDescent="0.35">
      <c r="A40" s="246">
        <v>32</v>
      </c>
      <c r="B40" s="277" t="s">
        <v>735</v>
      </c>
      <c r="C40" s="14" t="s">
        <v>212</v>
      </c>
      <c r="D40" s="274">
        <f>SUM(D16:D39)</f>
        <v>88061714.192000017</v>
      </c>
      <c r="E40" s="275">
        <f>SUM(E16:E39)</f>
        <v>93510655.738999993</v>
      </c>
      <c r="G40" s="850" t="s">
        <v>736</v>
      </c>
      <c r="H40" s="1306" t="s">
        <v>698</v>
      </c>
      <c r="I40" s="1313">
        <f>I41</f>
        <v>5832000</v>
      </c>
      <c r="J40" s="295">
        <f>J41</f>
        <v>5804484.2999999942</v>
      </c>
      <c r="K40" s="1313">
        <f>K41</f>
        <v>6026400</v>
      </c>
      <c r="L40" s="295">
        <f>L41</f>
        <v>4374610</v>
      </c>
      <c r="M40" s="851">
        <f t="shared" si="1"/>
        <v>11858400</v>
      </c>
      <c r="N40" s="851">
        <f t="shared" si="1"/>
        <v>10179094.299999993</v>
      </c>
      <c r="O40" s="1313">
        <f>O41</f>
        <v>5616000</v>
      </c>
      <c r="P40" s="295">
        <f>P41</f>
        <v>5923218</v>
      </c>
      <c r="Q40" s="1388">
        <f t="shared" si="35"/>
        <v>17474400</v>
      </c>
      <c r="R40" s="1389">
        <f t="shared" si="36"/>
        <v>16102312.299999993</v>
      </c>
      <c r="S40" s="1313">
        <f>S41</f>
        <v>5803200</v>
      </c>
      <c r="T40" s="295">
        <f>T41</f>
        <v>6233883.6999999993</v>
      </c>
      <c r="U40" s="851">
        <f t="shared" si="68"/>
        <v>23277600</v>
      </c>
      <c r="V40" s="851">
        <f t="shared" si="69"/>
        <v>22336195.999999993</v>
      </c>
      <c r="W40" s="1313">
        <f>W41</f>
        <v>5803200</v>
      </c>
      <c r="X40" s="295">
        <f>X41</f>
        <v>6154906.9999999991</v>
      </c>
      <c r="Y40" s="851">
        <f t="shared" si="70"/>
        <v>29080800</v>
      </c>
      <c r="Z40" s="851">
        <f t="shared" si="71"/>
        <v>28491102.999999993</v>
      </c>
      <c r="AA40" s="1313">
        <f>AA41</f>
        <v>5616000</v>
      </c>
      <c r="AB40" s="295">
        <f>AB41</f>
        <v>5917700</v>
      </c>
      <c r="AC40" s="1388">
        <f t="shared" si="86"/>
        <v>17222400</v>
      </c>
      <c r="AD40" s="1389">
        <f t="shared" si="87"/>
        <v>18306490.699999999</v>
      </c>
      <c r="AE40" s="852">
        <f t="shared" si="72"/>
        <v>34696800</v>
      </c>
      <c r="AF40" s="852">
        <f t="shared" si="73"/>
        <v>34408802.999999993</v>
      </c>
      <c r="AG40" s="1313">
        <f>AG41</f>
        <v>5803200</v>
      </c>
      <c r="AH40" s="295">
        <f>AH41</f>
        <v>5487800</v>
      </c>
      <c r="AI40" s="851">
        <f t="shared" si="74"/>
        <v>40500000</v>
      </c>
      <c r="AJ40" s="851">
        <f t="shared" si="75"/>
        <v>39896602.999999993</v>
      </c>
      <c r="AK40" s="1313">
        <f>AK41</f>
        <v>5616000</v>
      </c>
      <c r="AL40" s="295">
        <f>AL41</f>
        <v>5806999.9999999963</v>
      </c>
      <c r="AM40" s="851">
        <f t="shared" si="76"/>
        <v>46116000</v>
      </c>
      <c r="AN40" s="851">
        <f t="shared" si="77"/>
        <v>45703602.999999985</v>
      </c>
      <c r="AO40" s="1313">
        <f>AO41</f>
        <v>5803200</v>
      </c>
      <c r="AP40" s="295">
        <f>AP41</f>
        <v>5812600</v>
      </c>
      <c r="AQ40" s="1388">
        <f t="shared" si="88"/>
        <v>17222400</v>
      </c>
      <c r="AR40" s="1389">
        <f t="shared" si="89"/>
        <v>17107399.999999996</v>
      </c>
      <c r="AS40" s="851">
        <f t="shared" si="78"/>
        <v>51919200</v>
      </c>
      <c r="AT40" s="851">
        <f t="shared" si="79"/>
        <v>51516202.999999985</v>
      </c>
      <c r="AU40" s="1313">
        <f>AU41</f>
        <v>5803200</v>
      </c>
      <c r="AV40" s="295">
        <f>AV41</f>
        <v>5567900</v>
      </c>
      <c r="AW40" s="851">
        <f t="shared" si="80"/>
        <v>57722400</v>
      </c>
      <c r="AX40" s="851">
        <f t="shared" si="81"/>
        <v>57084102.999999985</v>
      </c>
      <c r="AY40" s="1313">
        <f>AY41</f>
        <v>5241600</v>
      </c>
      <c r="AZ40" s="295">
        <f>AZ41</f>
        <v>4999000</v>
      </c>
      <c r="BA40" s="851">
        <f t="shared" si="82"/>
        <v>62964000</v>
      </c>
      <c r="BB40" s="851">
        <f t="shared" si="83"/>
        <v>62083102.999999985</v>
      </c>
      <c r="BC40" s="1313">
        <f>BC41</f>
        <v>5803200</v>
      </c>
      <c r="BD40" s="295">
        <f>BD41</f>
        <v>5930415.0000000019</v>
      </c>
      <c r="BE40" s="1388">
        <f t="shared" si="90"/>
        <v>16848000</v>
      </c>
      <c r="BF40" s="1389">
        <f t="shared" si="91"/>
        <v>16497315.000000002</v>
      </c>
      <c r="BG40" s="846">
        <f>AQ40+BE40</f>
        <v>34070400</v>
      </c>
      <c r="BH40" s="846">
        <f>AR40+BF40</f>
        <v>33604715</v>
      </c>
      <c r="BI40" s="851">
        <f t="shared" si="84"/>
        <v>68767200</v>
      </c>
      <c r="BJ40" s="851">
        <f t="shared" si="85"/>
        <v>68013517.999999985</v>
      </c>
      <c r="BK40" s="1111"/>
      <c r="BL40" s="1111"/>
      <c r="BM40" s="1111"/>
      <c r="BN40" s="4941"/>
      <c r="BO40" s="4941"/>
      <c r="BP40" s="1111"/>
      <c r="BQ40" s="1111"/>
    </row>
    <row r="41" spans="1:69" ht="15" thickBot="1" x14ac:dyDescent="0.35">
      <c r="E41" s="255"/>
      <c r="G41" s="840" t="s">
        <v>737</v>
      </c>
      <c r="H41" s="822" t="s">
        <v>699</v>
      </c>
      <c r="I41" s="1310">
        <f>+I89*I$3*24*1000</f>
        <v>5832000</v>
      </c>
      <c r="J41" s="292">
        <v>5804484.2999999942</v>
      </c>
      <c r="K41" s="1310">
        <f>+K89*K$3*24*1000</f>
        <v>6026400</v>
      </c>
      <c r="L41" s="292">
        <v>4374610</v>
      </c>
      <c r="M41" s="847">
        <f t="shared" si="1"/>
        <v>11858400</v>
      </c>
      <c r="N41" s="847">
        <f t="shared" si="1"/>
        <v>10179094.299999993</v>
      </c>
      <c r="O41" s="1310">
        <f>+O89*O$3*24*1000</f>
        <v>5616000</v>
      </c>
      <c r="P41" s="292">
        <v>5923218</v>
      </c>
      <c r="Q41" s="1384">
        <f t="shared" si="35"/>
        <v>17474400</v>
      </c>
      <c r="R41" s="328">
        <f t="shared" si="36"/>
        <v>16102312.299999993</v>
      </c>
      <c r="S41" s="1310">
        <f>+S89*S$3*24*1000</f>
        <v>5803200</v>
      </c>
      <c r="T41" s="292">
        <v>6233883.6999999993</v>
      </c>
      <c r="U41" s="847">
        <f t="shared" si="68"/>
        <v>23277600</v>
      </c>
      <c r="V41" s="847">
        <f t="shared" si="69"/>
        <v>22336195.999999993</v>
      </c>
      <c r="W41" s="1310">
        <f>+W89*W$3*24*1000</f>
        <v>5803200</v>
      </c>
      <c r="X41" s="292">
        <v>6154906.9999999991</v>
      </c>
      <c r="Y41" s="847">
        <f t="shared" si="70"/>
        <v>29080800</v>
      </c>
      <c r="Z41" s="847">
        <f t="shared" si="71"/>
        <v>28491102.999999993</v>
      </c>
      <c r="AA41" s="1310">
        <f>+AA89*AA$3*24*1000</f>
        <v>5616000</v>
      </c>
      <c r="AB41" s="292">
        <v>5917700</v>
      </c>
      <c r="AC41" s="1384">
        <f t="shared" si="86"/>
        <v>17222400</v>
      </c>
      <c r="AD41" s="328">
        <f t="shared" si="87"/>
        <v>18306490.699999999</v>
      </c>
      <c r="AE41" s="848">
        <f t="shared" si="72"/>
        <v>34696800</v>
      </c>
      <c r="AF41" s="848">
        <f t="shared" si="73"/>
        <v>34408802.999999993</v>
      </c>
      <c r="AG41" s="1310">
        <f>+AG89*AG$3*24*1000</f>
        <v>5803200</v>
      </c>
      <c r="AH41" s="292">
        <v>5487800</v>
      </c>
      <c r="AI41" s="847">
        <f t="shared" si="74"/>
        <v>40500000</v>
      </c>
      <c r="AJ41" s="847">
        <f t="shared" si="75"/>
        <v>39896602.999999993</v>
      </c>
      <c r="AK41" s="1310">
        <f>+AK89*AK$3*24*1000</f>
        <v>5616000</v>
      </c>
      <c r="AL41" s="292">
        <v>5806999.9999999963</v>
      </c>
      <c r="AM41" s="847">
        <f t="shared" si="76"/>
        <v>46116000</v>
      </c>
      <c r="AN41" s="847">
        <f t="shared" si="77"/>
        <v>45703602.999999985</v>
      </c>
      <c r="AO41" s="1310">
        <f>+AO89*AO$3*24*1000</f>
        <v>5803200</v>
      </c>
      <c r="AP41" s="292">
        <v>5812600</v>
      </c>
      <c r="AQ41" s="1384">
        <f t="shared" si="88"/>
        <v>17222400</v>
      </c>
      <c r="AR41" s="328">
        <f t="shared" si="89"/>
        <v>17107399.999999996</v>
      </c>
      <c r="AS41" s="847">
        <f t="shared" si="78"/>
        <v>51919200</v>
      </c>
      <c r="AT41" s="847">
        <f t="shared" si="79"/>
        <v>51516202.999999985</v>
      </c>
      <c r="AU41" s="1310">
        <f>+AU89*AU$3*24*1000</f>
        <v>5803200</v>
      </c>
      <c r="AV41" s="292">
        <v>5567900</v>
      </c>
      <c r="AW41" s="847">
        <f t="shared" si="80"/>
        <v>57722400</v>
      </c>
      <c r="AX41" s="847">
        <f t="shared" si="81"/>
        <v>57084102.999999985</v>
      </c>
      <c r="AY41" s="1310">
        <f>+AY89*AY$3*24*1000</f>
        <v>5241600</v>
      </c>
      <c r="AZ41" s="292">
        <v>4999000</v>
      </c>
      <c r="BA41" s="847">
        <f t="shared" si="82"/>
        <v>62964000</v>
      </c>
      <c r="BB41" s="847">
        <f t="shared" si="83"/>
        <v>62083102.999999985</v>
      </c>
      <c r="BC41" s="1310">
        <f>+BC89*BC$3*24*1000</f>
        <v>5803200</v>
      </c>
      <c r="BD41" s="292">
        <v>5930415.0000000019</v>
      </c>
      <c r="BE41" s="1384">
        <f t="shared" si="90"/>
        <v>16848000</v>
      </c>
      <c r="BF41" s="328">
        <f t="shared" si="91"/>
        <v>16497315.000000002</v>
      </c>
      <c r="BG41" s="848">
        <f t="shared" ref="BG41" si="94">AQ41+BE41</f>
        <v>34070400</v>
      </c>
      <c r="BH41" s="848">
        <f t="shared" ref="BH41" si="95">AR41+BF41</f>
        <v>33604715</v>
      </c>
      <c r="BI41" s="847">
        <f t="shared" si="84"/>
        <v>68767200</v>
      </c>
      <c r="BJ41" s="847">
        <f t="shared" si="85"/>
        <v>68013517.999999985</v>
      </c>
      <c r="BK41" s="1111"/>
      <c r="BL41" s="1111"/>
      <c r="BM41" s="1111"/>
      <c r="BN41" s="4941"/>
      <c r="BO41" s="4941"/>
      <c r="BP41" s="1111"/>
      <c r="BQ41" s="1111"/>
    </row>
    <row r="42" spans="1:69" ht="21" thickBot="1" x14ac:dyDescent="0.35">
      <c r="A42" s="246">
        <v>33</v>
      </c>
      <c r="B42" s="278" t="s">
        <v>490</v>
      </c>
      <c r="C42" s="279" t="s">
        <v>212</v>
      </c>
      <c r="D42" s="280">
        <v>79406183.556600019</v>
      </c>
      <c r="E42" s="281">
        <v>84399504.886399984</v>
      </c>
      <c r="G42" s="850" t="s">
        <v>738</v>
      </c>
      <c r="H42" s="1306" t="s">
        <v>700</v>
      </c>
      <c r="I42" s="1313">
        <f>SUM(I43:I46)</f>
        <v>3816000</v>
      </c>
      <c r="J42" s="295">
        <f>SUM(J43:J46)</f>
        <v>3501282.4636666691</v>
      </c>
      <c r="K42" s="1313">
        <f>SUM(K43:K46)</f>
        <v>3943200</v>
      </c>
      <c r="L42" s="295">
        <f>SUM(L43:L46)</f>
        <v>3427370.4850000055</v>
      </c>
      <c r="M42" s="851">
        <f t="shared" si="1"/>
        <v>7759200</v>
      </c>
      <c r="N42" s="851">
        <f t="shared" si="1"/>
        <v>6928652.948666675</v>
      </c>
      <c r="O42" s="1313">
        <f>SUM(O43:O46)</f>
        <v>3978000</v>
      </c>
      <c r="P42" s="295">
        <f>SUM(P43:P46)</f>
        <v>3846453.2976666633</v>
      </c>
      <c r="Q42" s="1388">
        <f t="shared" si="35"/>
        <v>11737200</v>
      </c>
      <c r="R42" s="1389">
        <f t="shared" si="36"/>
        <v>10775106.246333338</v>
      </c>
      <c r="S42" s="1313">
        <f>SUM(S43:S46)</f>
        <v>4110600</v>
      </c>
      <c r="T42" s="295">
        <f>SUM(T43:T46)</f>
        <v>3811234.1443333272</v>
      </c>
      <c r="U42" s="851">
        <f t="shared" si="68"/>
        <v>15847800</v>
      </c>
      <c r="V42" s="851">
        <f t="shared" si="69"/>
        <v>14586340.390666666</v>
      </c>
      <c r="W42" s="1313">
        <f>SUM(W43:W46)</f>
        <v>4110600</v>
      </c>
      <c r="X42" s="295">
        <f>SUM(X43:X46)</f>
        <v>3712412.7706666836</v>
      </c>
      <c r="Y42" s="851">
        <f t="shared" si="70"/>
        <v>19958400</v>
      </c>
      <c r="Z42" s="851">
        <f t="shared" si="71"/>
        <v>18298753.161333349</v>
      </c>
      <c r="AA42" s="1313">
        <f>SUM(AA43:AA46)</f>
        <v>3978000</v>
      </c>
      <c r="AB42" s="295">
        <f>SUM(AB43:AB46)</f>
        <v>3750034.5243333285</v>
      </c>
      <c r="AC42" s="1388">
        <f>S42+W42+AA42</f>
        <v>12199200</v>
      </c>
      <c r="AD42" s="1389">
        <f>T42+X42+AB42</f>
        <v>11273681.439333338</v>
      </c>
      <c r="AE42" s="852">
        <f t="shared" si="72"/>
        <v>23936400</v>
      </c>
      <c r="AF42" s="852">
        <f t="shared" si="73"/>
        <v>22048787.685666677</v>
      </c>
      <c r="AG42" s="1313">
        <f>SUM(AG43:AG46)</f>
        <v>4110600</v>
      </c>
      <c r="AH42" s="295">
        <f>SUM(AH43:AH46)</f>
        <v>3438464.4853333319</v>
      </c>
      <c r="AI42" s="851">
        <f t="shared" si="74"/>
        <v>28047000</v>
      </c>
      <c r="AJ42" s="851">
        <f t="shared" si="75"/>
        <v>25487252.171000008</v>
      </c>
      <c r="AK42" s="1313">
        <f>SUM(AK43:AK46)</f>
        <v>3978000</v>
      </c>
      <c r="AL42" s="295">
        <f>SUM(AL43:AL46)</f>
        <v>3041782.2536666677</v>
      </c>
      <c r="AM42" s="851">
        <f t="shared" si="76"/>
        <v>32025000</v>
      </c>
      <c r="AN42" s="851">
        <f t="shared" si="77"/>
        <v>28529034.424666677</v>
      </c>
      <c r="AO42" s="1313">
        <f>SUM(AO43:AO46)</f>
        <v>4110600</v>
      </c>
      <c r="AP42" s="295">
        <f>SUM(AP43:AP46)</f>
        <v>3253325.6930000032</v>
      </c>
      <c r="AQ42" s="1388">
        <f>AG42+AK42+AO42</f>
        <v>12199200</v>
      </c>
      <c r="AR42" s="1389">
        <f>AH42+AL42+AP42</f>
        <v>9733572.4320000038</v>
      </c>
      <c r="AS42" s="851">
        <f t="shared" si="78"/>
        <v>36135600</v>
      </c>
      <c r="AT42" s="851">
        <f t="shared" si="79"/>
        <v>31782360.11766668</v>
      </c>
      <c r="AU42" s="1313">
        <f>SUM(AU43:AU46)</f>
        <v>4110600</v>
      </c>
      <c r="AV42" s="295">
        <f>SUM(AV43:AV46)</f>
        <v>3318604.1260000006</v>
      </c>
      <c r="AW42" s="851">
        <f t="shared" si="80"/>
        <v>40246200</v>
      </c>
      <c r="AX42" s="851">
        <f t="shared" si="81"/>
        <v>35100964.243666679</v>
      </c>
      <c r="AY42" s="1313">
        <f>SUM(AY43:AY46)</f>
        <v>3712800</v>
      </c>
      <c r="AZ42" s="295">
        <f>SUM(AZ43:AZ46)</f>
        <v>2304426.6590000056</v>
      </c>
      <c r="BA42" s="851">
        <f t="shared" si="82"/>
        <v>43959000</v>
      </c>
      <c r="BB42" s="851">
        <f t="shared" si="83"/>
        <v>37405390.902666688</v>
      </c>
      <c r="BC42" s="1313">
        <f>SUM(BC43:BC46)</f>
        <v>4110600</v>
      </c>
      <c r="BD42" s="295">
        <f>SUM(BD43:BD46)</f>
        <v>2698593.3956666575</v>
      </c>
      <c r="BE42" s="1388">
        <f>AU42+AY42+BC42</f>
        <v>11934000</v>
      </c>
      <c r="BF42" s="1389">
        <f>AV42+AZ42+BD42</f>
        <v>8321624.1806666628</v>
      </c>
      <c r="BG42" s="846">
        <f>AQ42+BE42</f>
        <v>24133200</v>
      </c>
      <c r="BH42" s="846">
        <f>AR42+BF42</f>
        <v>18055196.612666667</v>
      </c>
      <c r="BI42" s="851">
        <f t="shared" si="84"/>
        <v>48069600</v>
      </c>
      <c r="BJ42" s="851">
        <f t="shared" si="85"/>
        <v>40103984.298333347</v>
      </c>
      <c r="BK42" s="1111"/>
      <c r="BL42" s="1111"/>
      <c r="BM42" s="1111"/>
      <c r="BN42" s="4941"/>
      <c r="BO42" s="4941"/>
      <c r="BP42" s="1111"/>
      <c r="BQ42" s="1111"/>
    </row>
    <row r="43" spans="1:69" ht="15.6" x14ac:dyDescent="0.3">
      <c r="A43" s="282"/>
      <c r="B43" s="283"/>
      <c r="C43" s="284"/>
      <c r="D43" s="285"/>
      <c r="E43" s="285"/>
      <c r="G43" s="840" t="s">
        <v>739</v>
      </c>
      <c r="H43" s="822" t="s">
        <v>701</v>
      </c>
      <c r="I43" s="1310">
        <f>+I91*I$3*24*1000</f>
        <v>439200.00000000006</v>
      </c>
      <c r="J43" s="292">
        <v>345006.83066666604</v>
      </c>
      <c r="K43" s="1310">
        <f>+K91*K$3*24*1000</f>
        <v>453840.00000000006</v>
      </c>
      <c r="L43" s="292">
        <v>406409.8339999998</v>
      </c>
      <c r="M43" s="847">
        <f t="shared" si="1"/>
        <v>893040.00000000012</v>
      </c>
      <c r="N43" s="847">
        <f t="shared" si="1"/>
        <v>751416.66466666583</v>
      </c>
      <c r="O43" s="1310">
        <f>+O91*O$3*24*1000</f>
        <v>378000</v>
      </c>
      <c r="P43" s="292">
        <v>402563.794666667</v>
      </c>
      <c r="Q43" s="1384">
        <f t="shared" si="35"/>
        <v>1271040</v>
      </c>
      <c r="R43" s="328">
        <f t="shared" si="36"/>
        <v>1153980.4593333327</v>
      </c>
      <c r="S43" s="1310">
        <f>+S91*S$3*24*1000</f>
        <v>390600</v>
      </c>
      <c r="T43" s="292">
        <v>402847.5843333333</v>
      </c>
      <c r="U43" s="847">
        <f t="shared" si="68"/>
        <v>1661640</v>
      </c>
      <c r="V43" s="847">
        <f t="shared" si="69"/>
        <v>1556828.0436666659</v>
      </c>
      <c r="W43" s="1310">
        <f>+W91*W$3*24*1000</f>
        <v>390600</v>
      </c>
      <c r="X43" s="292">
        <v>413019.89566666802</v>
      </c>
      <c r="Y43" s="847">
        <f t="shared" si="70"/>
        <v>2052240</v>
      </c>
      <c r="Z43" s="847">
        <f t="shared" si="71"/>
        <v>1969847.9393333339</v>
      </c>
      <c r="AA43" s="1310">
        <f>+AA91*AA$3*24*1000</f>
        <v>378000</v>
      </c>
      <c r="AB43" s="292">
        <v>416110.33433333371</v>
      </c>
      <c r="AC43" s="1384">
        <f t="shared" si="86"/>
        <v>1159200</v>
      </c>
      <c r="AD43" s="328">
        <f t="shared" si="87"/>
        <v>1231977.814333335</v>
      </c>
      <c r="AE43" s="848">
        <f t="shared" si="72"/>
        <v>2430240</v>
      </c>
      <c r="AF43" s="848">
        <f t="shared" si="73"/>
        <v>2385958.2736666678</v>
      </c>
      <c r="AG43" s="1310">
        <f>+AG91*AG$3*24*1000</f>
        <v>390600</v>
      </c>
      <c r="AH43" s="292">
        <v>380236.93533333257</v>
      </c>
      <c r="AI43" s="847">
        <f t="shared" si="74"/>
        <v>2820840</v>
      </c>
      <c r="AJ43" s="847">
        <f t="shared" si="75"/>
        <v>2766195.2090000003</v>
      </c>
      <c r="AK43" s="1310">
        <f>+AK91*AK$3*24*1000</f>
        <v>378000</v>
      </c>
      <c r="AL43" s="292">
        <v>291079.56366666663</v>
      </c>
      <c r="AM43" s="847">
        <f t="shared" si="76"/>
        <v>3198840</v>
      </c>
      <c r="AN43" s="847">
        <f t="shared" si="77"/>
        <v>3057274.7726666667</v>
      </c>
      <c r="AO43" s="1310">
        <f>+AO91*AO$3*24*1000</f>
        <v>390600</v>
      </c>
      <c r="AP43" s="292">
        <v>289265.58299999905</v>
      </c>
      <c r="AQ43" s="1384">
        <f t="shared" ref="AQ43:AQ46" si="96">AG43+AK43+AO43</f>
        <v>1159200</v>
      </c>
      <c r="AR43" s="328">
        <f t="shared" ref="AR43:AR46" si="97">AH43+AL43+AP43</f>
        <v>960582.08199999819</v>
      </c>
      <c r="AS43" s="847">
        <f t="shared" si="78"/>
        <v>3589440</v>
      </c>
      <c r="AT43" s="847">
        <f t="shared" si="79"/>
        <v>3346540.3556666658</v>
      </c>
      <c r="AU43" s="1310">
        <f>+AU91*AU$3*24*1000</f>
        <v>390600</v>
      </c>
      <c r="AV43" s="292">
        <v>320288.64599999995</v>
      </c>
      <c r="AW43" s="847">
        <f t="shared" si="80"/>
        <v>3980040</v>
      </c>
      <c r="AX43" s="847">
        <f t="shared" si="81"/>
        <v>3666829.001666666</v>
      </c>
      <c r="AY43" s="1310">
        <f>+AY91*AY$3*24*1000</f>
        <v>352800</v>
      </c>
      <c r="AZ43" s="292">
        <v>247466.85900000177</v>
      </c>
      <c r="BA43" s="847">
        <f t="shared" si="82"/>
        <v>4332840</v>
      </c>
      <c r="BB43" s="847">
        <f t="shared" si="83"/>
        <v>3914295.8606666676</v>
      </c>
      <c r="BC43" s="1310">
        <f>+BC91*BC$3*24*1000</f>
        <v>390600</v>
      </c>
      <c r="BD43" s="292">
        <v>249843.51266666618</v>
      </c>
      <c r="BE43" s="1384">
        <f t="shared" ref="BE43:BE46" si="98">AU43+AY43+BC43</f>
        <v>1134000</v>
      </c>
      <c r="BF43" s="328">
        <f t="shared" ref="BF43:BF46" si="99">AV43+AZ43+BD43</f>
        <v>817599.01766666793</v>
      </c>
      <c r="BG43" s="848">
        <f t="shared" ref="BG43:BG46" si="100">AQ43+BE43</f>
        <v>2293200</v>
      </c>
      <c r="BH43" s="848">
        <f t="shared" ref="BH43:BH46" si="101">AR43+BF43</f>
        <v>1778181.0996666662</v>
      </c>
      <c r="BI43" s="847">
        <f t="shared" si="84"/>
        <v>4723440</v>
      </c>
      <c r="BJ43" s="847">
        <f t="shared" si="85"/>
        <v>4164139.373333334</v>
      </c>
      <c r="BK43" s="1111"/>
      <c r="BL43" s="1111"/>
      <c r="BM43" s="1111"/>
      <c r="BN43" s="4941"/>
      <c r="BO43" s="4941"/>
      <c r="BP43" s="1111"/>
      <c r="BQ43" s="1111"/>
    </row>
    <row r="44" spans="1:69" ht="15.6" x14ac:dyDescent="0.3">
      <c r="A44" s="282"/>
      <c r="B44" s="283"/>
      <c r="C44" s="284"/>
      <c r="D44" s="285"/>
      <c r="E44" s="285"/>
      <c r="G44" s="840" t="s">
        <v>740</v>
      </c>
      <c r="H44" s="822" t="s">
        <v>702</v>
      </c>
      <c r="I44" s="1310">
        <f>+I92*I$3*24*1000</f>
        <v>2520000</v>
      </c>
      <c r="J44" s="292">
        <v>2406727.6330000018</v>
      </c>
      <c r="K44" s="1310">
        <f>+K92*K$3*24*1000</f>
        <v>2604000</v>
      </c>
      <c r="L44" s="292">
        <v>2481454.6510000043</v>
      </c>
      <c r="M44" s="847">
        <f t="shared" si="1"/>
        <v>5124000</v>
      </c>
      <c r="N44" s="847">
        <f t="shared" si="1"/>
        <v>4888182.2840000056</v>
      </c>
      <c r="O44" s="1310">
        <f>+O92*O$3*24*1000</f>
        <v>2520000</v>
      </c>
      <c r="P44" s="292">
        <v>2694212.3029999989</v>
      </c>
      <c r="Q44" s="1384">
        <f t="shared" si="35"/>
        <v>7644000</v>
      </c>
      <c r="R44" s="328">
        <f t="shared" si="36"/>
        <v>7582394.5870000049</v>
      </c>
      <c r="S44" s="1310">
        <f>+S92*S$3*24*1000</f>
        <v>2604000</v>
      </c>
      <c r="T44" s="292">
        <v>2665378.1599999946</v>
      </c>
      <c r="U44" s="847">
        <f t="shared" si="68"/>
        <v>10248000</v>
      </c>
      <c r="V44" s="847">
        <f t="shared" si="69"/>
        <v>10247772.747</v>
      </c>
      <c r="W44" s="1310">
        <f>+W92*W$3*24*1000</f>
        <v>2604000</v>
      </c>
      <c r="X44" s="292">
        <v>2643462.275000012</v>
      </c>
      <c r="Y44" s="847">
        <f t="shared" si="70"/>
        <v>12852000</v>
      </c>
      <c r="Z44" s="847">
        <f t="shared" si="71"/>
        <v>12891235.022000011</v>
      </c>
      <c r="AA44" s="1310">
        <f>+AA92*AA$3*24*1000</f>
        <v>2520000</v>
      </c>
      <c r="AB44" s="292">
        <v>2547984.389999995</v>
      </c>
      <c r="AC44" s="1384">
        <f t="shared" si="86"/>
        <v>7728000</v>
      </c>
      <c r="AD44" s="328">
        <f t="shared" si="87"/>
        <v>7856824.8250000011</v>
      </c>
      <c r="AE44" s="848">
        <f t="shared" si="72"/>
        <v>15372000</v>
      </c>
      <c r="AF44" s="848">
        <f t="shared" si="73"/>
        <v>15439219.412000006</v>
      </c>
      <c r="AG44" s="1310">
        <f>+AG92*AG$3*24*1000</f>
        <v>2604000</v>
      </c>
      <c r="AH44" s="292">
        <v>2289605.7500000019</v>
      </c>
      <c r="AI44" s="847">
        <f t="shared" si="74"/>
        <v>17976000</v>
      </c>
      <c r="AJ44" s="847">
        <f t="shared" si="75"/>
        <v>17728825.162000008</v>
      </c>
      <c r="AK44" s="1310">
        <f>+AK92*AK$3*24*1000</f>
        <v>2520000</v>
      </c>
      <c r="AL44" s="292">
        <v>1767986.2900000003</v>
      </c>
      <c r="AM44" s="847">
        <f t="shared" si="76"/>
        <v>20496000</v>
      </c>
      <c r="AN44" s="847">
        <f t="shared" si="77"/>
        <v>19496811.452000007</v>
      </c>
      <c r="AO44" s="1310">
        <f>+AO92*AO$3*24*1000</f>
        <v>2604000</v>
      </c>
      <c r="AP44" s="292">
        <v>1953408.1100000017</v>
      </c>
      <c r="AQ44" s="1384">
        <f t="shared" si="96"/>
        <v>7728000</v>
      </c>
      <c r="AR44" s="328">
        <f t="shared" si="97"/>
        <v>6011000.1500000041</v>
      </c>
      <c r="AS44" s="847">
        <f t="shared" si="78"/>
        <v>23100000</v>
      </c>
      <c r="AT44" s="847">
        <f t="shared" si="79"/>
        <v>21450219.56200001</v>
      </c>
      <c r="AU44" s="1310">
        <f>+AU92*AU$3*24*1000</f>
        <v>2604000</v>
      </c>
      <c r="AV44" s="292">
        <v>1991176.6799999981</v>
      </c>
      <c r="AW44" s="847">
        <f t="shared" si="80"/>
        <v>25704000</v>
      </c>
      <c r="AX44" s="847">
        <f t="shared" si="81"/>
        <v>23441396.24200001</v>
      </c>
      <c r="AY44" s="1310">
        <f>+AY92*AY$3*24*1000</f>
        <v>2352000</v>
      </c>
      <c r="AZ44" s="292">
        <v>1613619.0000000044</v>
      </c>
      <c r="BA44" s="847">
        <f t="shared" si="82"/>
        <v>28056000</v>
      </c>
      <c r="BB44" s="847">
        <f t="shared" si="83"/>
        <v>25055015.242000014</v>
      </c>
      <c r="BC44" s="1310">
        <f>+BC92*BC$3*24*1000</f>
        <v>2604000</v>
      </c>
      <c r="BD44" s="292">
        <v>1923738.6829999932</v>
      </c>
      <c r="BE44" s="1384">
        <f t="shared" si="98"/>
        <v>7560000</v>
      </c>
      <c r="BF44" s="328">
        <f t="shared" si="99"/>
        <v>5528534.3629999962</v>
      </c>
      <c r="BG44" s="848">
        <f t="shared" si="100"/>
        <v>15288000</v>
      </c>
      <c r="BH44" s="848">
        <f t="shared" si="101"/>
        <v>11539534.513</v>
      </c>
      <c r="BI44" s="847">
        <f t="shared" si="84"/>
        <v>30660000</v>
      </c>
      <c r="BJ44" s="847">
        <f t="shared" si="85"/>
        <v>26978753.925000008</v>
      </c>
      <c r="BK44" s="1111"/>
      <c r="BL44" s="1111"/>
      <c r="BM44" s="1111"/>
      <c r="BN44" s="4941"/>
      <c r="BO44" s="4941"/>
      <c r="BP44" s="1111"/>
      <c r="BQ44" s="1111"/>
    </row>
    <row r="45" spans="1:69" ht="22.8" x14ac:dyDescent="0.4">
      <c r="A45" s="282"/>
      <c r="B45" s="16" t="s">
        <v>473</v>
      </c>
      <c r="C45" s="286"/>
      <c r="D45" s="285"/>
      <c r="E45" s="285"/>
      <c r="G45" s="840" t="s">
        <v>741</v>
      </c>
      <c r="H45" s="822" t="s">
        <v>703</v>
      </c>
      <c r="I45" s="1310">
        <f>+I93*I$3*24*1000</f>
        <v>662400.00000000012</v>
      </c>
      <c r="J45" s="292">
        <v>728948.00000000093</v>
      </c>
      <c r="K45" s="1310">
        <f>+K93*K$3*24*1000</f>
        <v>684480</v>
      </c>
      <c r="L45" s="292">
        <v>522504.0000000014</v>
      </c>
      <c r="M45" s="847">
        <f t="shared" si="1"/>
        <v>1346880</v>
      </c>
      <c r="N45" s="847">
        <f t="shared" si="1"/>
        <v>1251452.0000000023</v>
      </c>
      <c r="O45" s="1310">
        <f>+O93*O$3*24*1000</f>
        <v>432000</v>
      </c>
      <c r="P45" s="292">
        <v>337911.19999999763</v>
      </c>
      <c r="Q45" s="1384">
        <f t="shared" si="35"/>
        <v>1778880</v>
      </c>
      <c r="R45" s="328">
        <f t="shared" si="36"/>
        <v>1589363.2</v>
      </c>
      <c r="S45" s="1310">
        <f>+S93*S$3*24*1000</f>
        <v>446400</v>
      </c>
      <c r="T45" s="292">
        <v>361078.4</v>
      </c>
      <c r="U45" s="847">
        <f t="shared" si="68"/>
        <v>2225280</v>
      </c>
      <c r="V45" s="847">
        <f t="shared" si="69"/>
        <v>1950441.6</v>
      </c>
      <c r="W45" s="1310">
        <f>+W93*W$3*24*1000</f>
        <v>446400</v>
      </c>
      <c r="X45" s="292">
        <v>261421.60000000233</v>
      </c>
      <c r="Y45" s="847">
        <f t="shared" si="70"/>
        <v>2671680</v>
      </c>
      <c r="Z45" s="847">
        <f t="shared" si="71"/>
        <v>2211863.2000000025</v>
      </c>
      <c r="AA45" s="1310">
        <f>+AA93*AA$3*24*1000</f>
        <v>432000</v>
      </c>
      <c r="AB45" s="292">
        <v>378300.80000000005</v>
      </c>
      <c r="AC45" s="1384">
        <f t="shared" si="86"/>
        <v>1324800</v>
      </c>
      <c r="AD45" s="328">
        <f t="shared" si="87"/>
        <v>1000800.8000000024</v>
      </c>
      <c r="AE45" s="848">
        <f t="shared" si="72"/>
        <v>3103680</v>
      </c>
      <c r="AF45" s="848">
        <f t="shared" si="73"/>
        <v>2590164.0000000023</v>
      </c>
      <c r="AG45" s="1310">
        <f>+AG93*AG$3*24*1000</f>
        <v>446400</v>
      </c>
      <c r="AH45" s="292">
        <v>330244.79999999772</v>
      </c>
      <c r="AI45" s="847">
        <f t="shared" si="74"/>
        <v>3550080</v>
      </c>
      <c r="AJ45" s="847">
        <f t="shared" si="75"/>
        <v>2920408.8</v>
      </c>
      <c r="AK45" s="1310">
        <f>+AK93*AK$3*24*1000</f>
        <v>432000</v>
      </c>
      <c r="AL45" s="292">
        <v>594526.40000000014</v>
      </c>
      <c r="AM45" s="847">
        <f t="shared" si="76"/>
        <v>3982080</v>
      </c>
      <c r="AN45" s="847">
        <f t="shared" si="77"/>
        <v>3514935.2</v>
      </c>
      <c r="AO45" s="1310">
        <f>+AO93*AO$3*24*1000</f>
        <v>446400</v>
      </c>
      <c r="AP45" s="292">
        <v>603716.00000000256</v>
      </c>
      <c r="AQ45" s="1384">
        <f t="shared" si="96"/>
        <v>1324800</v>
      </c>
      <c r="AR45" s="328">
        <f t="shared" si="97"/>
        <v>1528487.2000000004</v>
      </c>
      <c r="AS45" s="847">
        <f t="shared" si="78"/>
        <v>4428480</v>
      </c>
      <c r="AT45" s="847">
        <f t="shared" si="79"/>
        <v>4118651.200000003</v>
      </c>
      <c r="AU45" s="1310">
        <f>+AU93*AU$3*24*1000</f>
        <v>446400</v>
      </c>
      <c r="AV45" s="292">
        <v>746116.80000000214</v>
      </c>
      <c r="AW45" s="847">
        <f t="shared" si="80"/>
        <v>4874880</v>
      </c>
      <c r="AX45" s="847">
        <f t="shared" si="81"/>
        <v>4864768.0000000056</v>
      </c>
      <c r="AY45" s="1310">
        <f>+AY93*AY$3*24*1000</f>
        <v>403200.00000000006</v>
      </c>
      <c r="AZ45" s="292">
        <v>417960.79999999923</v>
      </c>
      <c r="BA45" s="847">
        <f t="shared" si="82"/>
        <v>5278080</v>
      </c>
      <c r="BB45" s="847">
        <f t="shared" si="83"/>
        <v>5282728.8000000045</v>
      </c>
      <c r="BC45" s="1310">
        <f>+BC93*BC$3*24*1000</f>
        <v>446400</v>
      </c>
      <c r="BD45" s="292">
        <v>503111.19999999856</v>
      </c>
      <c r="BE45" s="1384">
        <f t="shared" si="98"/>
        <v>1296000</v>
      </c>
      <c r="BF45" s="328">
        <f t="shared" si="99"/>
        <v>1667188.8</v>
      </c>
      <c r="BG45" s="848">
        <f t="shared" si="100"/>
        <v>2620800</v>
      </c>
      <c r="BH45" s="848">
        <f t="shared" si="101"/>
        <v>3195676.0000000005</v>
      </c>
      <c r="BI45" s="847">
        <f t="shared" si="84"/>
        <v>5724480</v>
      </c>
      <c r="BJ45" s="847">
        <f t="shared" si="85"/>
        <v>5785840.0000000028</v>
      </c>
      <c r="BK45" s="1111"/>
      <c r="BL45" s="1111"/>
      <c r="BM45" s="1111"/>
      <c r="BN45" s="4941"/>
      <c r="BO45" s="4941"/>
      <c r="BP45" s="1111"/>
      <c r="BQ45" s="1111"/>
    </row>
    <row r="46" spans="1:69" ht="15" thickBot="1" x14ac:dyDescent="0.35">
      <c r="B46" s="4"/>
      <c r="C46" s="254"/>
      <c r="E46" s="255"/>
      <c r="G46" s="853" t="s">
        <v>742</v>
      </c>
      <c r="H46" s="1307" t="s">
        <v>704</v>
      </c>
      <c r="I46" s="1315">
        <f>+I94*I$3*24*1000</f>
        <v>194400.00000000003</v>
      </c>
      <c r="J46" s="296">
        <v>20600.000000000364</v>
      </c>
      <c r="K46" s="1315">
        <f>+K94*K$3*24*1000</f>
        <v>200880.00000000003</v>
      </c>
      <c r="L46" s="296">
        <v>17002</v>
      </c>
      <c r="M46" s="855">
        <f t="shared" si="1"/>
        <v>395280.00000000006</v>
      </c>
      <c r="N46" s="855">
        <f t="shared" si="1"/>
        <v>37602.000000000364</v>
      </c>
      <c r="O46" s="1315">
        <f>+O94*O$3*24*1000</f>
        <v>648000</v>
      </c>
      <c r="P46" s="296">
        <v>411766</v>
      </c>
      <c r="Q46" s="1390">
        <f t="shared" si="35"/>
        <v>1043280</v>
      </c>
      <c r="R46" s="1391">
        <f t="shared" si="36"/>
        <v>449368.00000000035</v>
      </c>
      <c r="S46" s="1315">
        <f>+S94*S$3*24*1000</f>
        <v>669600</v>
      </c>
      <c r="T46" s="296">
        <v>381929.9999999993</v>
      </c>
      <c r="U46" s="855">
        <f t="shared" si="68"/>
        <v>1712880</v>
      </c>
      <c r="V46" s="855">
        <f t="shared" si="69"/>
        <v>831297.99999999965</v>
      </c>
      <c r="W46" s="1315">
        <f>+W94*W$3*24*1000</f>
        <v>669600</v>
      </c>
      <c r="X46" s="296">
        <v>394509.00000000099</v>
      </c>
      <c r="Y46" s="855">
        <f t="shared" si="70"/>
        <v>2382480</v>
      </c>
      <c r="Z46" s="855">
        <f t="shared" si="71"/>
        <v>1225807.0000000007</v>
      </c>
      <c r="AA46" s="1315">
        <f>+AA94*AA$3*24*1000</f>
        <v>648000</v>
      </c>
      <c r="AB46" s="296">
        <v>407638.99999999953</v>
      </c>
      <c r="AC46" s="1390">
        <f t="shared" si="86"/>
        <v>1987200</v>
      </c>
      <c r="AD46" s="1391">
        <f t="shared" si="87"/>
        <v>1184077.9999999998</v>
      </c>
      <c r="AE46" s="856">
        <f t="shared" si="72"/>
        <v>3030480</v>
      </c>
      <c r="AF46" s="856">
        <f t="shared" si="73"/>
        <v>1633446</v>
      </c>
      <c r="AG46" s="1315">
        <f>+AG94*AG$3*24*1000</f>
        <v>669600</v>
      </c>
      <c r="AH46" s="296">
        <v>438376.99999999983</v>
      </c>
      <c r="AI46" s="855">
        <f t="shared" si="74"/>
        <v>3700080</v>
      </c>
      <c r="AJ46" s="855">
        <f t="shared" si="75"/>
        <v>2071822.9999999998</v>
      </c>
      <c r="AK46" s="1315">
        <f>+AK94*AK$3*24*1000</f>
        <v>648000</v>
      </c>
      <c r="AL46" s="296">
        <v>388190.00000000052</v>
      </c>
      <c r="AM46" s="855">
        <f t="shared" si="76"/>
        <v>4348080</v>
      </c>
      <c r="AN46" s="855">
        <f t="shared" si="77"/>
        <v>2460013.0000000005</v>
      </c>
      <c r="AO46" s="1315">
        <f>+AO94*AO$3*24*1000</f>
        <v>669600</v>
      </c>
      <c r="AP46" s="296">
        <v>406935.99999999936</v>
      </c>
      <c r="AQ46" s="1390">
        <f t="shared" si="96"/>
        <v>1987200</v>
      </c>
      <c r="AR46" s="1391">
        <f t="shared" si="97"/>
        <v>1233502.9999999998</v>
      </c>
      <c r="AS46" s="855">
        <f t="shared" si="78"/>
        <v>5017680</v>
      </c>
      <c r="AT46" s="855">
        <f t="shared" si="79"/>
        <v>2866949</v>
      </c>
      <c r="AU46" s="1315">
        <f>+AU94*AU$3*24*1000</f>
        <v>669600</v>
      </c>
      <c r="AV46" s="296">
        <v>261022.00000000058</v>
      </c>
      <c r="AW46" s="855">
        <f t="shared" si="80"/>
        <v>5687280</v>
      </c>
      <c r="AX46" s="855">
        <f t="shared" si="81"/>
        <v>3127971.0000000005</v>
      </c>
      <c r="AY46" s="1315">
        <f>+AY94*AY$3*24*1000</f>
        <v>604800</v>
      </c>
      <c r="AZ46" s="296">
        <v>25380.000000000109</v>
      </c>
      <c r="BA46" s="855">
        <f t="shared" si="82"/>
        <v>6292080</v>
      </c>
      <c r="BB46" s="855">
        <f t="shared" si="83"/>
        <v>3153351.0000000005</v>
      </c>
      <c r="BC46" s="1315">
        <f>+BC94*BC$3*24*1000</f>
        <v>669600</v>
      </c>
      <c r="BD46" s="296">
        <v>21899.999999999636</v>
      </c>
      <c r="BE46" s="1390">
        <f t="shared" si="98"/>
        <v>1944000</v>
      </c>
      <c r="BF46" s="1391">
        <f t="shared" si="99"/>
        <v>308302.00000000035</v>
      </c>
      <c r="BG46" s="848">
        <f t="shared" si="100"/>
        <v>3931200</v>
      </c>
      <c r="BH46" s="848">
        <f t="shared" si="101"/>
        <v>1541805</v>
      </c>
      <c r="BI46" s="855">
        <f t="shared" si="84"/>
        <v>6961680</v>
      </c>
      <c r="BJ46" s="855">
        <f t="shared" si="85"/>
        <v>3175251</v>
      </c>
      <c r="BK46" s="1111"/>
      <c r="BL46" s="1111"/>
      <c r="BM46" s="1111"/>
      <c r="BN46" s="4941"/>
      <c r="BO46" s="4941"/>
      <c r="BP46" s="1111"/>
      <c r="BQ46" s="1111"/>
    </row>
    <row r="47" spans="1:69" s="137" customFormat="1" ht="15" thickBot="1" x14ac:dyDescent="0.35">
      <c r="A47" s="138"/>
      <c r="B47" s="1166"/>
      <c r="C47" s="5027"/>
      <c r="D47" s="5028"/>
      <c r="E47" s="5028"/>
      <c r="G47" s="857"/>
      <c r="H47" s="142"/>
      <c r="I47" s="306"/>
      <c r="J47" s="4092"/>
      <c r="K47" s="306"/>
      <c r="L47" s="4092"/>
      <c r="M47" s="4407"/>
      <c r="N47" s="4407"/>
      <c r="O47" s="306"/>
      <c r="P47" s="4092"/>
      <c r="Q47" s="306"/>
      <c r="R47" s="4092"/>
      <c r="S47" s="306"/>
      <c r="T47" s="4092"/>
      <c r="U47" s="4407"/>
      <c r="V47" s="4407"/>
      <c r="W47" s="306"/>
      <c r="X47" s="4092"/>
      <c r="Y47" s="4407"/>
      <c r="Z47" s="4407"/>
      <c r="AA47" s="306"/>
      <c r="AB47" s="4092"/>
      <c r="AC47" s="306"/>
      <c r="AD47" s="4092"/>
      <c r="AE47" s="4407"/>
      <c r="AF47" s="4407"/>
      <c r="AG47" s="306"/>
      <c r="AH47" s="4092"/>
      <c r="AI47" s="4407"/>
      <c r="AJ47" s="4407"/>
      <c r="AK47" s="306"/>
      <c r="AL47" s="4092"/>
      <c r="AM47" s="4407"/>
      <c r="AN47" s="4407"/>
      <c r="AO47" s="306"/>
      <c r="AP47" s="4092"/>
      <c r="AQ47" s="306"/>
      <c r="AR47" s="4092"/>
      <c r="AS47" s="4407"/>
      <c r="AT47" s="4407"/>
      <c r="AU47" s="306"/>
      <c r="AV47" s="4092"/>
      <c r="AW47" s="4407"/>
      <c r="AX47" s="4407"/>
      <c r="AY47" s="306"/>
      <c r="AZ47" s="4092"/>
      <c r="BA47" s="4407"/>
      <c r="BB47" s="4407"/>
      <c r="BC47" s="306"/>
      <c r="BD47" s="4092"/>
      <c r="BE47" s="306"/>
      <c r="BF47" s="4092"/>
      <c r="BG47" s="4407"/>
      <c r="BH47" s="4407"/>
      <c r="BI47" s="4407"/>
      <c r="BJ47" s="4407"/>
      <c r="BK47" s="507"/>
      <c r="BL47" s="507"/>
      <c r="BM47" s="5029"/>
      <c r="BN47" s="5029"/>
      <c r="BO47" s="5029"/>
    </row>
    <row r="48" spans="1:69" s="137" customFormat="1" ht="22.8" x14ac:dyDescent="0.3">
      <c r="A48" s="307"/>
      <c r="B48" s="308" t="s">
        <v>134</v>
      </c>
      <c r="C48" s="6303" t="s">
        <v>171</v>
      </c>
      <c r="D48" s="309"/>
      <c r="E48" s="309"/>
      <c r="G48" s="857"/>
      <c r="H48" s="142"/>
      <c r="I48" s="4092">
        <f t="shared" ref="I48:J48" si="102">+I15-I16</f>
        <v>0</v>
      </c>
      <c r="J48" s="4092">
        <f t="shared" si="102"/>
        <v>0</v>
      </c>
      <c r="K48" s="4092">
        <f t="shared" ref="K48:L48" si="103">+K15-K16</f>
        <v>0</v>
      </c>
      <c r="L48" s="4092">
        <f t="shared" si="103"/>
        <v>0</v>
      </c>
      <c r="M48" s="4092">
        <f t="shared" ref="M48:AP48" si="104">+M15-M16</f>
        <v>0</v>
      </c>
      <c r="N48" s="4092">
        <f t="shared" si="104"/>
        <v>0</v>
      </c>
      <c r="O48" s="4092">
        <f t="shared" si="104"/>
        <v>0</v>
      </c>
      <c r="P48" s="4092">
        <f t="shared" si="104"/>
        <v>1</v>
      </c>
      <c r="Q48" s="4092">
        <f t="shared" si="104"/>
        <v>0</v>
      </c>
      <c r="R48" s="4092">
        <f t="shared" si="104"/>
        <v>1</v>
      </c>
      <c r="S48" s="4092">
        <f t="shared" ref="S48:T48" si="105">+S15-S16</f>
        <v>0</v>
      </c>
      <c r="T48" s="4092">
        <f t="shared" si="105"/>
        <v>0</v>
      </c>
      <c r="U48" s="4092">
        <f t="shared" si="104"/>
        <v>0</v>
      </c>
      <c r="V48" s="4092">
        <f t="shared" si="104"/>
        <v>1</v>
      </c>
      <c r="W48" s="4092">
        <f t="shared" si="104"/>
        <v>0</v>
      </c>
      <c r="X48" s="4092">
        <f t="shared" si="104"/>
        <v>0</v>
      </c>
      <c r="Y48" s="4092">
        <f t="shared" si="104"/>
        <v>0</v>
      </c>
      <c r="Z48" s="4092">
        <f t="shared" si="104"/>
        <v>0.99999994039535522</v>
      </c>
      <c r="AA48" s="4092">
        <f t="shared" ref="AA48:AB48" si="106">+AA15-AA16</f>
        <v>0</v>
      </c>
      <c r="AB48" s="4092">
        <f t="shared" si="106"/>
        <v>0</v>
      </c>
      <c r="AC48" s="4092">
        <f t="shared" si="104"/>
        <v>0</v>
      </c>
      <c r="AD48" s="4092">
        <f t="shared" si="104"/>
        <v>0</v>
      </c>
      <c r="AE48" s="4092">
        <f t="shared" si="104"/>
        <v>0</v>
      </c>
      <c r="AF48" s="4092">
        <f t="shared" si="104"/>
        <v>1</v>
      </c>
      <c r="AG48" s="4092">
        <f t="shared" si="104"/>
        <v>0</v>
      </c>
      <c r="AH48" s="4092">
        <f t="shared" si="104"/>
        <v>0</v>
      </c>
      <c r="AI48" s="4092">
        <f t="shared" si="104"/>
        <v>0</v>
      </c>
      <c r="AJ48" s="4092">
        <f t="shared" si="104"/>
        <v>1</v>
      </c>
      <c r="AK48" s="4092">
        <f t="shared" ref="AK48:AL48" si="107">+AK15-AK16</f>
        <v>0</v>
      </c>
      <c r="AL48" s="4092">
        <f t="shared" si="107"/>
        <v>0</v>
      </c>
      <c r="AM48" s="4092">
        <f t="shared" si="104"/>
        <v>0</v>
      </c>
      <c r="AN48" s="4092">
        <f t="shared" si="104"/>
        <v>1.0000001192092896</v>
      </c>
      <c r="AO48" s="4092">
        <f t="shared" si="104"/>
        <v>0</v>
      </c>
      <c r="AP48" s="4092">
        <f t="shared" si="104"/>
        <v>0</v>
      </c>
      <c r="AQ48" s="4092">
        <f t="shared" ref="AQ48:BJ48" si="108">+AQ15-AQ16</f>
        <v>0</v>
      </c>
      <c r="AR48" s="4092">
        <f t="shared" si="108"/>
        <v>0</v>
      </c>
      <c r="AS48" s="4092">
        <f t="shared" si="108"/>
        <v>0</v>
      </c>
      <c r="AT48" s="4092">
        <f t="shared" si="108"/>
        <v>1.0000001192092896</v>
      </c>
      <c r="AU48" s="4092">
        <f t="shared" si="108"/>
        <v>0</v>
      </c>
      <c r="AV48" s="4092">
        <f t="shared" si="108"/>
        <v>0</v>
      </c>
      <c r="AW48" s="4092">
        <f t="shared" si="108"/>
        <v>0</v>
      </c>
      <c r="AX48" s="4092">
        <f t="shared" si="108"/>
        <v>1</v>
      </c>
      <c r="AY48" s="4092">
        <f t="shared" ref="AY48:AZ48" si="109">+AY15-AY16</f>
        <v>0</v>
      </c>
      <c r="AZ48" s="4092">
        <f t="shared" si="109"/>
        <v>0</v>
      </c>
      <c r="BA48" s="4092">
        <f t="shared" si="108"/>
        <v>0</v>
      </c>
      <c r="BB48" s="4092">
        <f t="shared" si="108"/>
        <v>1</v>
      </c>
      <c r="BC48" s="4092">
        <f t="shared" si="108"/>
        <v>0</v>
      </c>
      <c r="BD48" s="4092">
        <f t="shared" si="108"/>
        <v>56000.000000044703</v>
      </c>
      <c r="BE48" s="4092">
        <f t="shared" si="108"/>
        <v>0</v>
      </c>
      <c r="BF48" s="4092">
        <f t="shared" si="108"/>
        <v>56000.000000059605</v>
      </c>
      <c r="BG48" s="4092">
        <f t="shared" si="108"/>
        <v>0</v>
      </c>
      <c r="BH48" s="4092">
        <f t="shared" si="108"/>
        <v>56000</v>
      </c>
      <c r="BI48" s="4092">
        <f t="shared" si="108"/>
        <v>0</v>
      </c>
      <c r="BJ48" s="4092">
        <f t="shared" si="108"/>
        <v>56001</v>
      </c>
      <c r="BK48" s="1111"/>
      <c r="BL48" s="23"/>
      <c r="BM48" s="1111"/>
      <c r="BN48" s="1111"/>
      <c r="BO48" s="1111"/>
    </row>
    <row r="49" spans="1:67" s="137" customFormat="1" ht="23.4" thickBot="1" x14ac:dyDescent="0.45">
      <c r="A49" s="307"/>
      <c r="B49" s="310" t="s">
        <v>394</v>
      </c>
      <c r="C49" s="6304"/>
      <c r="D49" s="311" t="s">
        <v>173</v>
      </c>
      <c r="E49" s="311" t="s">
        <v>173</v>
      </c>
      <c r="G49" s="857"/>
      <c r="H49" s="728" t="s">
        <v>473</v>
      </c>
      <c r="I49" s="306"/>
      <c r="K49" s="306"/>
      <c r="M49" s="142"/>
      <c r="N49" s="142"/>
      <c r="O49" s="306"/>
      <c r="Q49" s="142"/>
      <c r="R49" s="142"/>
      <c r="S49" s="306"/>
      <c r="U49" s="142"/>
      <c r="V49" s="142"/>
      <c r="W49" s="306"/>
      <c r="Y49" s="142"/>
      <c r="Z49" s="142"/>
      <c r="AA49" s="306"/>
      <c r="AC49" s="142"/>
      <c r="AD49" s="142"/>
      <c r="AE49" s="142"/>
      <c r="AF49" s="142"/>
      <c r="AG49" s="306"/>
      <c r="AI49" s="142"/>
      <c r="AJ49" s="142"/>
      <c r="AK49" s="306"/>
      <c r="AM49" s="142"/>
      <c r="AN49" s="142"/>
      <c r="AO49" s="306"/>
      <c r="AQ49" s="142"/>
      <c r="AR49" s="142"/>
      <c r="AS49" s="142"/>
      <c r="AT49" s="142"/>
      <c r="AU49" s="306"/>
      <c r="AW49" s="142"/>
      <c r="AX49" s="142"/>
      <c r="AY49" s="306"/>
      <c r="BA49" s="142"/>
      <c r="BB49" s="142"/>
      <c r="BC49" s="306"/>
      <c r="BE49" s="142"/>
      <c r="BF49" s="142"/>
      <c r="BG49" s="142"/>
      <c r="BH49" s="142"/>
      <c r="BI49" s="142"/>
      <c r="BJ49" s="142"/>
      <c r="BK49" s="1111"/>
      <c r="BL49" s="1111"/>
      <c r="BM49" s="1111"/>
      <c r="BN49" s="1111"/>
      <c r="BO49" s="1111"/>
    </row>
    <row r="50" spans="1:67" s="137" customFormat="1" x14ac:dyDescent="0.3">
      <c r="A50" s="312"/>
      <c r="B50" s="313" t="s">
        <v>456</v>
      </c>
      <c r="C50" s="235" t="s">
        <v>373</v>
      </c>
      <c r="D50" s="314">
        <f>+((D6/1000)/D$3)/24</f>
        <v>0</v>
      </c>
      <c r="E50" s="314">
        <f>+((E6/1000)/E$3)/24</f>
        <v>0</v>
      </c>
      <c r="G50" s="857"/>
      <c r="H50" s="486"/>
      <c r="I50" s="306"/>
      <c r="K50" s="306"/>
      <c r="M50" s="142"/>
      <c r="N50" s="142"/>
      <c r="O50" s="306"/>
      <c r="Q50" s="142"/>
      <c r="R50" s="142"/>
      <c r="S50" s="306"/>
      <c r="U50" s="142"/>
      <c r="V50" s="142"/>
      <c r="W50" s="306"/>
      <c r="Y50" s="142"/>
      <c r="Z50" s="142"/>
      <c r="AA50" s="306"/>
      <c r="AC50" s="142"/>
      <c r="AD50" s="142"/>
      <c r="AE50" s="142"/>
      <c r="AF50" s="142"/>
      <c r="AG50" s="306"/>
      <c r="AI50" s="142"/>
      <c r="AJ50" s="142"/>
      <c r="AK50" s="306"/>
      <c r="AM50" s="142"/>
      <c r="AN50" s="142"/>
      <c r="AO50" s="306"/>
      <c r="AQ50" s="142"/>
      <c r="AR50" s="142"/>
      <c r="AS50" s="142"/>
      <c r="AT50" s="142"/>
      <c r="AU50" s="306"/>
      <c r="AW50" s="142"/>
      <c r="AX50" s="142"/>
      <c r="AY50" s="306"/>
      <c r="BA50" s="142"/>
      <c r="BB50" s="142"/>
      <c r="BC50" s="306"/>
      <c r="BE50" s="142"/>
      <c r="BF50" s="142"/>
      <c r="BG50" s="142"/>
      <c r="BH50" s="142"/>
      <c r="BI50" s="142"/>
      <c r="BJ50" s="142"/>
      <c r="BK50" s="1111"/>
      <c r="BL50" s="1111"/>
      <c r="BM50" s="1111"/>
      <c r="BN50" s="1111"/>
      <c r="BO50" s="1111"/>
    </row>
    <row r="51" spans="1:67" s="137" customFormat="1" ht="15" thickBot="1" x14ac:dyDescent="0.35">
      <c r="A51" s="315"/>
      <c r="B51" s="170" t="s">
        <v>559</v>
      </c>
      <c r="C51" s="206" t="s">
        <v>373</v>
      </c>
      <c r="D51" s="314" t="e">
        <f>+((#REF!/1000)/D$3)/24</f>
        <v>#REF!</v>
      </c>
      <c r="E51" s="314" t="e">
        <f>+((#REF!/1000)/E$3)/24</f>
        <v>#REF!</v>
      </c>
      <c r="G51" s="857"/>
      <c r="H51" s="486"/>
      <c r="I51" s="330">
        <f t="shared" ref="I51:AN51" si="110">+I3</f>
        <v>30</v>
      </c>
      <c r="J51" s="330">
        <f t="shared" si="110"/>
        <v>30</v>
      </c>
      <c r="K51" s="330">
        <f t="shared" si="110"/>
        <v>31</v>
      </c>
      <c r="L51" s="330">
        <f t="shared" si="110"/>
        <v>31</v>
      </c>
      <c r="M51" s="330">
        <f t="shared" si="110"/>
        <v>61</v>
      </c>
      <c r="N51" s="330">
        <f t="shared" si="110"/>
        <v>61</v>
      </c>
      <c r="O51" s="330">
        <f t="shared" si="110"/>
        <v>30</v>
      </c>
      <c r="P51" s="330">
        <f t="shared" si="110"/>
        <v>30</v>
      </c>
      <c r="Q51" s="330">
        <f t="shared" si="110"/>
        <v>91</v>
      </c>
      <c r="R51" s="330">
        <f t="shared" si="110"/>
        <v>91</v>
      </c>
      <c r="S51" s="330">
        <f t="shared" si="110"/>
        <v>31</v>
      </c>
      <c r="T51" s="330">
        <f t="shared" si="110"/>
        <v>31</v>
      </c>
      <c r="U51" s="330">
        <f t="shared" si="110"/>
        <v>122</v>
      </c>
      <c r="V51" s="330">
        <f t="shared" si="110"/>
        <v>122</v>
      </c>
      <c r="W51" s="330">
        <f t="shared" si="110"/>
        <v>31</v>
      </c>
      <c r="X51" s="330">
        <f t="shared" si="110"/>
        <v>31</v>
      </c>
      <c r="Y51" s="330">
        <f t="shared" si="110"/>
        <v>153</v>
      </c>
      <c r="Z51" s="330">
        <f t="shared" si="110"/>
        <v>153</v>
      </c>
      <c r="AA51" s="330">
        <f t="shared" si="110"/>
        <v>30</v>
      </c>
      <c r="AB51" s="330">
        <f t="shared" si="110"/>
        <v>30</v>
      </c>
      <c r="AC51" s="330">
        <f t="shared" si="110"/>
        <v>92</v>
      </c>
      <c r="AD51" s="330">
        <f t="shared" si="110"/>
        <v>92</v>
      </c>
      <c r="AE51" s="330">
        <f t="shared" si="110"/>
        <v>183</v>
      </c>
      <c r="AF51" s="330">
        <f t="shared" si="110"/>
        <v>183</v>
      </c>
      <c r="AG51" s="330">
        <f t="shared" si="110"/>
        <v>31</v>
      </c>
      <c r="AH51" s="330">
        <f t="shared" si="110"/>
        <v>31</v>
      </c>
      <c r="AI51" s="330">
        <f t="shared" si="110"/>
        <v>214</v>
      </c>
      <c r="AJ51" s="330">
        <f t="shared" si="110"/>
        <v>214</v>
      </c>
      <c r="AK51" s="330">
        <f t="shared" si="110"/>
        <v>30</v>
      </c>
      <c r="AL51" s="330">
        <f t="shared" si="110"/>
        <v>30</v>
      </c>
      <c r="AM51" s="330">
        <f t="shared" si="110"/>
        <v>244</v>
      </c>
      <c r="AN51" s="330">
        <f t="shared" si="110"/>
        <v>244</v>
      </c>
      <c r="AO51" s="330">
        <f t="shared" ref="AO51:BJ51" si="111">+AO3</f>
        <v>31</v>
      </c>
      <c r="AP51" s="330">
        <f t="shared" si="111"/>
        <v>31</v>
      </c>
      <c r="AQ51" s="330">
        <f t="shared" si="111"/>
        <v>92</v>
      </c>
      <c r="AR51" s="330">
        <f t="shared" si="111"/>
        <v>92</v>
      </c>
      <c r="AS51" s="330">
        <f t="shared" si="111"/>
        <v>275</v>
      </c>
      <c r="AT51" s="330">
        <f t="shared" si="111"/>
        <v>275</v>
      </c>
      <c r="AU51" s="330">
        <f t="shared" si="111"/>
        <v>31</v>
      </c>
      <c r="AV51" s="330">
        <f t="shared" si="111"/>
        <v>31</v>
      </c>
      <c r="AW51" s="330">
        <f t="shared" si="111"/>
        <v>306</v>
      </c>
      <c r="AX51" s="330">
        <f t="shared" si="111"/>
        <v>306</v>
      </c>
      <c r="AY51" s="330">
        <f t="shared" si="111"/>
        <v>28</v>
      </c>
      <c r="AZ51" s="330">
        <f t="shared" si="111"/>
        <v>28</v>
      </c>
      <c r="BA51" s="330">
        <f t="shared" si="111"/>
        <v>334</v>
      </c>
      <c r="BB51" s="330">
        <f t="shared" si="111"/>
        <v>334</v>
      </c>
      <c r="BC51" s="330">
        <f t="shared" si="111"/>
        <v>31</v>
      </c>
      <c r="BD51" s="330">
        <f t="shared" si="111"/>
        <v>31</v>
      </c>
      <c r="BE51" s="330">
        <f t="shared" si="111"/>
        <v>90</v>
      </c>
      <c r="BF51" s="330">
        <f t="shared" si="111"/>
        <v>90</v>
      </c>
      <c r="BG51" s="330">
        <f t="shared" si="111"/>
        <v>182</v>
      </c>
      <c r="BH51" s="330">
        <f t="shared" si="111"/>
        <v>182</v>
      </c>
      <c r="BI51" s="330">
        <f t="shared" si="111"/>
        <v>365</v>
      </c>
      <c r="BJ51" s="330">
        <f t="shared" si="111"/>
        <v>365</v>
      </c>
      <c r="BK51" s="1111"/>
      <c r="BL51" s="1111"/>
      <c r="BM51" s="1111"/>
      <c r="BN51" s="1111"/>
      <c r="BO51" s="1111"/>
    </row>
    <row r="52" spans="1:67" ht="22.8" x14ac:dyDescent="0.3">
      <c r="A52" s="61"/>
      <c r="B52" s="170" t="s">
        <v>457</v>
      </c>
      <c r="C52" s="12" t="s">
        <v>373</v>
      </c>
      <c r="D52" s="287">
        <f t="shared" ref="D52:E54" si="112">+((D7/1000)/D$3)/24</f>
        <v>4.3569444444444443</v>
      </c>
      <c r="E52" s="287">
        <f t="shared" si="112"/>
        <v>1.0295698924731183</v>
      </c>
      <c r="G52" s="838"/>
      <c r="H52" s="839" t="s">
        <v>134</v>
      </c>
      <c r="I52" s="6289" t="str">
        <f>+I4</f>
        <v>Apr'26</v>
      </c>
      <c r="J52" s="6290"/>
      <c r="K52" s="6289" t="str">
        <f>+K4</f>
        <v>May'26</v>
      </c>
      <c r="L52" s="6290"/>
      <c r="M52" s="6291" t="s">
        <v>14</v>
      </c>
      <c r="N52" s="6292"/>
      <c r="O52" s="6289" t="str">
        <f>+O4</f>
        <v>Jun'25</v>
      </c>
      <c r="P52" s="6290"/>
      <c r="Q52" s="6297" t="str">
        <f>+Q4</f>
        <v>QTR 1</v>
      </c>
      <c r="R52" s="6298"/>
      <c r="S52" s="6289" t="str">
        <f>+S4</f>
        <v>Jul'25</v>
      </c>
      <c r="T52" s="6290"/>
      <c r="U52" s="6291" t="s">
        <v>17</v>
      </c>
      <c r="V52" s="6292"/>
      <c r="W52" s="6289" t="str">
        <f>+W4</f>
        <v>Aug'25</v>
      </c>
      <c r="X52" s="6290"/>
      <c r="Y52" s="6291" t="s">
        <v>17</v>
      </c>
      <c r="Z52" s="6292"/>
      <c r="AA52" s="6289" t="str">
        <f>+AA4</f>
        <v>Sep'25</v>
      </c>
      <c r="AB52" s="6290"/>
      <c r="AC52" s="6297" t="str">
        <f>+AC4</f>
        <v>QTR 2</v>
      </c>
      <c r="AD52" s="6298"/>
      <c r="AE52" s="6299" t="s">
        <v>623</v>
      </c>
      <c r="AF52" s="6300"/>
      <c r="AG52" s="6289" t="str">
        <f>+AG4</f>
        <v>Oct'25</v>
      </c>
      <c r="AH52" s="6290"/>
      <c r="AI52" s="6291" t="s">
        <v>24</v>
      </c>
      <c r="AJ52" s="6292"/>
      <c r="AK52" s="6289" t="str">
        <f>+AK4</f>
        <v>Nov'25</v>
      </c>
      <c r="AL52" s="6290"/>
      <c r="AM52" s="6291" t="str">
        <f>+AM4</f>
        <v>8M</v>
      </c>
      <c r="AN52" s="6292"/>
      <c r="AO52" s="6289" t="str">
        <f>+AO4</f>
        <v>Dec'25</v>
      </c>
      <c r="AP52" s="6290"/>
      <c r="AQ52" s="6297" t="str">
        <f>+AQ4</f>
        <v>QTR 3</v>
      </c>
      <c r="AR52" s="6298"/>
      <c r="AS52" s="6291" t="s">
        <v>1565</v>
      </c>
      <c r="AT52" s="6292"/>
      <c r="AU52" s="6289" t="str">
        <f>+AU4</f>
        <v>Jan'26</v>
      </c>
      <c r="AV52" s="6290"/>
      <c r="AW52" s="6291" t="s">
        <v>28</v>
      </c>
      <c r="AX52" s="6292"/>
      <c r="AY52" s="6289" t="str">
        <f>+AY4</f>
        <v>Feb'26</v>
      </c>
      <c r="AZ52" s="6290"/>
      <c r="BA52" s="6291" t="s">
        <v>27</v>
      </c>
      <c r="BB52" s="6292"/>
      <c r="BC52" s="6289" t="str">
        <f>+BC4</f>
        <v>Mar'26</v>
      </c>
      <c r="BD52" s="6290"/>
      <c r="BE52" s="6297" t="str">
        <f>+BE4</f>
        <v>QTR 4</v>
      </c>
      <c r="BF52" s="6298"/>
      <c r="BG52" s="6299" t="s">
        <v>623</v>
      </c>
      <c r="BH52" s="6300"/>
      <c r="BI52" s="6291" t="str">
        <f>+BI4</f>
        <v>2025-26</v>
      </c>
      <c r="BJ52" s="6292"/>
      <c r="BK52" s="1111"/>
      <c r="BL52" s="1111"/>
      <c r="BM52" s="1111"/>
      <c r="BN52" s="1111"/>
      <c r="BO52" s="1111"/>
    </row>
    <row r="53" spans="1:67" x14ac:dyDescent="0.3">
      <c r="A53" s="253"/>
      <c r="B53" s="170" t="s">
        <v>458</v>
      </c>
      <c r="C53" s="12" t="s">
        <v>373</v>
      </c>
      <c r="D53" s="287">
        <f t="shared" si="112"/>
        <v>78.336111111111109</v>
      </c>
      <c r="E53" s="287">
        <f t="shared" si="112"/>
        <v>87.782258064516142</v>
      </c>
      <c r="G53" s="840"/>
      <c r="H53" s="243"/>
      <c r="I53" s="1418" t="s">
        <v>172</v>
      </c>
      <c r="J53" s="5" t="s">
        <v>173</v>
      </c>
      <c r="K53" s="506" t="s">
        <v>172</v>
      </c>
      <c r="L53" s="5" t="s">
        <v>173</v>
      </c>
      <c r="M53" s="652" t="s">
        <v>172</v>
      </c>
      <c r="N53" s="841" t="s">
        <v>173</v>
      </c>
      <c r="O53" s="506" t="s">
        <v>172</v>
      </c>
      <c r="P53" s="5" t="s">
        <v>173</v>
      </c>
      <c r="Q53" s="653" t="s">
        <v>172</v>
      </c>
      <c r="R53" s="842" t="s">
        <v>173</v>
      </c>
      <c r="S53" s="506" t="s">
        <v>172</v>
      </c>
      <c r="T53" s="5" t="s">
        <v>173</v>
      </c>
      <c r="U53" s="652" t="s">
        <v>172</v>
      </c>
      <c r="V53" s="841" t="s">
        <v>173</v>
      </c>
      <c r="W53" s="506" t="s">
        <v>172</v>
      </c>
      <c r="X53" s="5" t="s">
        <v>173</v>
      </c>
      <c r="Y53" s="652" t="s">
        <v>172</v>
      </c>
      <c r="Z53" s="841" t="s">
        <v>173</v>
      </c>
      <c r="AA53" s="506" t="s">
        <v>172</v>
      </c>
      <c r="AB53" s="5" t="s">
        <v>173</v>
      </c>
      <c r="AC53" s="653" t="s">
        <v>172</v>
      </c>
      <c r="AD53" s="842" t="s">
        <v>173</v>
      </c>
      <c r="AE53" s="733" t="s">
        <v>172</v>
      </c>
      <c r="AF53" s="735" t="s">
        <v>173</v>
      </c>
      <c r="AG53" s="506" t="s">
        <v>172</v>
      </c>
      <c r="AH53" s="5" t="s">
        <v>173</v>
      </c>
      <c r="AI53" s="652" t="s">
        <v>172</v>
      </c>
      <c r="AJ53" s="841" t="s">
        <v>173</v>
      </c>
      <c r="AK53" s="506" t="s">
        <v>172</v>
      </c>
      <c r="AL53" s="5" t="s">
        <v>173</v>
      </c>
      <c r="AM53" s="652" t="s">
        <v>172</v>
      </c>
      <c r="AN53" s="841" t="s">
        <v>173</v>
      </c>
      <c r="AO53" s="506" t="s">
        <v>172</v>
      </c>
      <c r="AP53" s="5" t="s">
        <v>173</v>
      </c>
      <c r="AQ53" s="653" t="s">
        <v>172</v>
      </c>
      <c r="AR53" s="842" t="s">
        <v>173</v>
      </c>
      <c r="AS53" s="652" t="s">
        <v>172</v>
      </c>
      <c r="AT53" s="841" t="s">
        <v>173</v>
      </c>
      <c r="AU53" s="1418" t="s">
        <v>172</v>
      </c>
      <c r="AV53" s="5" t="s">
        <v>173</v>
      </c>
      <c r="AW53" s="652" t="s">
        <v>172</v>
      </c>
      <c r="AX53" s="841" t="s">
        <v>173</v>
      </c>
      <c r="AY53" s="1418" t="s">
        <v>172</v>
      </c>
      <c r="AZ53" s="5" t="s">
        <v>173</v>
      </c>
      <c r="BA53" s="652" t="s">
        <v>172</v>
      </c>
      <c r="BB53" s="841" t="s">
        <v>173</v>
      </c>
      <c r="BC53" s="1418" t="s">
        <v>172</v>
      </c>
      <c r="BD53" s="5" t="s">
        <v>173</v>
      </c>
      <c r="BE53" s="653" t="s">
        <v>172</v>
      </c>
      <c r="BF53" s="842" t="s">
        <v>173</v>
      </c>
      <c r="BG53" s="733" t="s">
        <v>172</v>
      </c>
      <c r="BH53" s="735" t="s">
        <v>173</v>
      </c>
      <c r="BI53" s="652" t="s">
        <v>172</v>
      </c>
      <c r="BJ53" s="841" t="s">
        <v>173</v>
      </c>
      <c r="BK53" s="1111"/>
      <c r="BL53" s="1111"/>
      <c r="BM53" s="1111"/>
      <c r="BN53" s="1111"/>
      <c r="BO53" s="1111"/>
    </row>
    <row r="54" spans="1:67" ht="15.6" x14ac:dyDescent="0.3">
      <c r="A54" s="253"/>
      <c r="B54" s="20" t="s">
        <v>459</v>
      </c>
      <c r="C54" s="13" t="s">
        <v>373</v>
      </c>
      <c r="D54" s="287">
        <f t="shared" si="112"/>
        <v>0.71443055555555557</v>
      </c>
      <c r="E54" s="287">
        <f t="shared" si="112"/>
        <v>0.69551075268817242</v>
      </c>
      <c r="G54" s="843">
        <v>1</v>
      </c>
      <c r="H54" s="741" t="s">
        <v>708</v>
      </c>
      <c r="I54" s="297">
        <f>+SUM(I55:I59)</f>
        <v>140.8272142220323</v>
      </c>
      <c r="J54" s="298">
        <f t="shared" ref="J54:J80" si="113">J6/1000/24/J$3</f>
        <v>157.53689451388888</v>
      </c>
      <c r="K54" s="297">
        <f>+SUM(K55:K59)</f>
        <v>132.87104232699841</v>
      </c>
      <c r="L54" s="298">
        <f t="shared" ref="L54:N80" si="114">L6/1000/24/L$3</f>
        <v>107.03498706989231</v>
      </c>
      <c r="M54" s="858">
        <f t="shared" si="114"/>
        <v>136.78391375078556</v>
      </c>
      <c r="N54" s="858">
        <f t="shared" si="114"/>
        <v>131.87199073087422</v>
      </c>
      <c r="O54" s="297">
        <f>+SUM(O55:O59)</f>
        <v>163.17683235758588</v>
      </c>
      <c r="P54" s="298">
        <f t="shared" ref="P54:R80" si="115">P6/1000/24/P$3</f>
        <v>158.26447291666668</v>
      </c>
      <c r="Q54" s="859">
        <f t="shared" si="115"/>
        <v>145.48487592885161</v>
      </c>
      <c r="R54" s="859">
        <f t="shared" si="115"/>
        <v>140.57280903388269</v>
      </c>
      <c r="S54" s="297">
        <f>+SUM(S55:S59)</f>
        <v>161.99369246528286</v>
      </c>
      <c r="T54" s="298">
        <f t="shared" ref="T54:V80" si="116">T6/1000/24/T$3</f>
        <v>159.70041103225802</v>
      </c>
      <c r="U54" s="858">
        <f t="shared" si="116"/>
        <v>149.67973914712513</v>
      </c>
      <c r="V54" s="858">
        <f t="shared" si="116"/>
        <v>145.43310134494527</v>
      </c>
      <c r="W54" s="297">
        <f>+SUM(W55:W59)</f>
        <v>161.99369246528286</v>
      </c>
      <c r="X54" s="298">
        <f t="shared" ref="X54:Z80" si="117">X6/1000/24/X$3</f>
        <v>155.66508198924717</v>
      </c>
      <c r="Y54" s="858">
        <f t="shared" si="117"/>
        <v>152.17472315276495</v>
      </c>
      <c r="Z54" s="858">
        <f t="shared" si="117"/>
        <v>147.50624774999991</v>
      </c>
      <c r="AA54" s="297">
        <f>+SUM(AA55:AA59)</f>
        <v>115.70643208228404</v>
      </c>
      <c r="AB54" s="298">
        <f t="shared" ref="AB54:AF63" si="118">AB6/1000/24/AB$3</f>
        <v>157.39600555555555</v>
      </c>
      <c r="AC54" s="859">
        <f t="shared" si="118"/>
        <v>146.9000206012615</v>
      </c>
      <c r="AD54" s="859">
        <f t="shared" si="118"/>
        <v>157.58924402536223</v>
      </c>
      <c r="AE54" s="860">
        <f t="shared" si="118"/>
        <v>146.19631478055496</v>
      </c>
      <c r="AF54" s="860">
        <f t="shared" si="118"/>
        <v>149.12751952140246</v>
      </c>
      <c r="AG54" s="297">
        <f>+SUM(AG55:AG59)</f>
        <v>162.95312396196638</v>
      </c>
      <c r="AH54" s="298">
        <f t="shared" ref="AH54:AJ80" si="119">AH6/1000/24/AH$3</f>
        <v>139.17941729838711</v>
      </c>
      <c r="AI54" s="858">
        <f t="shared" si="119"/>
        <v>148.62370302646033</v>
      </c>
      <c r="AJ54" s="858">
        <f t="shared" si="119"/>
        <v>147.68643929283485</v>
      </c>
      <c r="AK54" s="297">
        <f>+SUM(AK55:AK59)</f>
        <v>163.6521911820563</v>
      </c>
      <c r="AL54" s="298">
        <f t="shared" ref="AL54:AN80" si="120">AL6/1000/24/AL$3</f>
        <v>154.74694305555556</v>
      </c>
      <c r="AM54" s="858">
        <f t="shared" si="120"/>
        <v>150.47146796362378</v>
      </c>
      <c r="AN54" s="858">
        <f t="shared" si="120"/>
        <v>148.55453401775952</v>
      </c>
      <c r="AO54" s="297">
        <f>+SUM(AO55:AO59)</f>
        <v>163.63767893483231</v>
      </c>
      <c r="AP54" s="298">
        <f t="shared" ref="AP54:AT63" si="121">AP6/1000/24/AP$3</f>
        <v>152.06675672043011</v>
      </c>
      <c r="AQ54" s="859">
        <f t="shared" si="121"/>
        <v>163.41174592676575</v>
      </c>
      <c r="AR54" s="859">
        <f t="shared" si="121"/>
        <v>148.59825745923914</v>
      </c>
      <c r="AS54" s="858">
        <f t="shared" si="121"/>
        <v>151.95565901856003</v>
      </c>
      <c r="AT54" s="858">
        <f t="shared" si="121"/>
        <v>148.95045730424238</v>
      </c>
      <c r="AU54" s="297">
        <f>+SUM(AU55:AU59)</f>
        <v>164.59367150932485</v>
      </c>
      <c r="AV54" s="298">
        <f t="shared" ref="AV54:AX80" si="122">AV6/1000/24/AV$3</f>
        <v>153.19634173387107</v>
      </c>
      <c r="AW54" s="858">
        <f t="shared" si="122"/>
        <v>153.23598054540219</v>
      </c>
      <c r="AX54" s="858">
        <f t="shared" si="122"/>
        <v>149.38059592293024</v>
      </c>
      <c r="AY54" s="297">
        <f>+SUM(AY55:AY59)</f>
        <v>163.94219944404304</v>
      </c>
      <c r="AZ54" s="298">
        <f t="shared" ref="AZ54:BB80" si="123">AZ6/1000/24/AZ$3</f>
        <v>150.10932937499999</v>
      </c>
      <c r="BA54" s="858">
        <f t="shared" si="123"/>
        <v>154.13350787822239</v>
      </c>
      <c r="BB54" s="858">
        <f t="shared" si="123"/>
        <v>149.44168735004985</v>
      </c>
      <c r="BC54" s="297">
        <f>+SUM(BC55:BC59)</f>
        <v>164.76264794652093</v>
      </c>
      <c r="BD54" s="298">
        <f t="shared" ref="BD54:BJ63" si="124">BD6/1000/24/BD$3</f>
        <v>155.01148172043028</v>
      </c>
      <c r="BE54" s="859">
        <f t="shared" si="124"/>
        <v>164.44919430627138</v>
      </c>
      <c r="BF54" s="859">
        <f t="shared" si="124"/>
        <v>152.86115277314823</v>
      </c>
      <c r="BG54" s="860">
        <f t="shared" si="124"/>
        <v>163.92476985069709</v>
      </c>
      <c r="BH54" s="860">
        <f t="shared" si="124"/>
        <v>150.70628261446893</v>
      </c>
      <c r="BI54" s="858">
        <f t="shared" si="124"/>
        <v>155.0362567607354</v>
      </c>
      <c r="BJ54" s="858">
        <f t="shared" si="124"/>
        <v>149.91473837876708</v>
      </c>
      <c r="BK54" s="1111"/>
      <c r="BL54" s="1111"/>
      <c r="BM54" s="1111"/>
      <c r="BN54" s="1111"/>
      <c r="BO54" s="1111"/>
    </row>
    <row r="55" spans="1:67" x14ac:dyDescent="0.3">
      <c r="A55" s="253"/>
      <c r="B55" s="54" t="s">
        <v>466</v>
      </c>
      <c r="C55" s="15" t="s">
        <v>373</v>
      </c>
      <c r="D55" s="287">
        <f t="shared" ref="D55:E57" si="125">+((D12/1000)/D$3)/24</f>
        <v>0.36386362222222091</v>
      </c>
      <c r="E55" s="287">
        <f t="shared" si="125"/>
        <v>0.42739066801075221</v>
      </c>
      <c r="G55" s="840">
        <v>1.1000000000000001</v>
      </c>
      <c r="H55" s="243" t="s">
        <v>559</v>
      </c>
      <c r="I55" s="352">
        <v>42.363257033356582</v>
      </c>
      <c r="J55" s="300">
        <f t="shared" si="113"/>
        <v>52.766388888888869</v>
      </c>
      <c r="K55" s="352">
        <v>37.237163131829149</v>
      </c>
      <c r="L55" s="300">
        <f t="shared" si="114"/>
        <v>31.048252688172045</v>
      </c>
      <c r="M55" s="861">
        <f t="shared" si="114"/>
        <v>39.758192919465586</v>
      </c>
      <c r="N55" s="861">
        <f t="shared" si="114"/>
        <v>41.729303278688512</v>
      </c>
      <c r="O55" s="352">
        <v>53.393490362409324</v>
      </c>
      <c r="P55" s="300">
        <f t="shared" si="115"/>
        <v>54.583888888888879</v>
      </c>
      <c r="Q55" s="862">
        <f t="shared" si="115"/>
        <v>44.253345922633855</v>
      </c>
      <c r="R55" s="862">
        <f t="shared" si="115"/>
        <v>45.967078754578743</v>
      </c>
      <c r="S55" s="352">
        <v>53.643163134633191</v>
      </c>
      <c r="T55" s="300">
        <f t="shared" si="116"/>
        <v>57.478091397849454</v>
      </c>
      <c r="U55" s="861">
        <f t="shared" si="116"/>
        <v>46.639283083059908</v>
      </c>
      <c r="V55" s="861">
        <f t="shared" si="116"/>
        <v>48.892008196721292</v>
      </c>
      <c r="W55" s="352">
        <v>52.863562744769652</v>
      </c>
      <c r="X55" s="300">
        <f t="shared" si="117"/>
        <v>55.159811827956844</v>
      </c>
      <c r="Y55" s="861">
        <f t="shared" si="117"/>
        <v>47.900411641968418</v>
      </c>
      <c r="Z55" s="861">
        <f t="shared" si="117"/>
        <v>50.161955337690607</v>
      </c>
      <c r="AA55" s="352">
        <v>40.91349355403424</v>
      </c>
      <c r="AB55" s="300">
        <f t="shared" si="118"/>
        <v>53.146388888888886</v>
      </c>
      <c r="AC55" s="862">
        <f t="shared" si="118"/>
        <v>49.229492487853427</v>
      </c>
      <c r="AD55" s="862">
        <f t="shared" si="118"/>
        <v>55.284420289855014</v>
      </c>
      <c r="AE55" s="863">
        <f t="shared" si="118"/>
        <v>46.75501523411036</v>
      </c>
      <c r="AF55" s="863">
        <f t="shared" si="118"/>
        <v>50.65120673952638</v>
      </c>
      <c r="AG55" s="352">
        <v>53.073795993306831</v>
      </c>
      <c r="AH55" s="300">
        <f t="shared" si="119"/>
        <v>46.1643817204301</v>
      </c>
      <c r="AI55" s="861">
        <f t="shared" si="119"/>
        <v>47.670352633807042</v>
      </c>
      <c r="AJ55" s="861">
        <f t="shared" si="119"/>
        <v>50.001246105918973</v>
      </c>
      <c r="AK55" s="352">
        <v>43.502207665243596</v>
      </c>
      <c r="AL55" s="300">
        <f t="shared" si="120"/>
        <v>52.274305555555557</v>
      </c>
      <c r="AM55" s="861">
        <f t="shared" si="120"/>
        <v>47.157875793409907</v>
      </c>
      <c r="AN55" s="861">
        <f t="shared" si="120"/>
        <v>50.280720628415281</v>
      </c>
      <c r="AO55" s="352">
        <v>43.463859810929264</v>
      </c>
      <c r="AP55" s="300">
        <f t="shared" si="121"/>
        <v>49.897849462365592</v>
      </c>
      <c r="AQ55" s="862">
        <f t="shared" si="121"/>
        <v>46.714495216180723</v>
      </c>
      <c r="AR55" s="862">
        <f t="shared" si="121"/>
        <v>49.414764492753626</v>
      </c>
      <c r="AS55" s="861">
        <f t="shared" si="121"/>
        <v>46.741459446293902</v>
      </c>
      <c r="AT55" s="861">
        <f t="shared" si="121"/>
        <v>50.23756060606059</v>
      </c>
      <c r="AU55" s="352">
        <v>42.558570633582491</v>
      </c>
      <c r="AV55" s="300">
        <f t="shared" si="122"/>
        <v>47.895564516129134</v>
      </c>
      <c r="AW55" s="861">
        <f t="shared" si="122"/>
        <v>46.317702736509403</v>
      </c>
      <c r="AX55" s="861">
        <f t="shared" si="122"/>
        <v>50.000299564270151</v>
      </c>
      <c r="AY55" s="352">
        <v>43.092176803192601</v>
      </c>
      <c r="AZ55" s="300">
        <f t="shared" si="123"/>
        <v>45.090029761904759</v>
      </c>
      <c r="BA55" s="861">
        <f t="shared" si="123"/>
        <v>46.047299364854098</v>
      </c>
      <c r="BB55" s="861">
        <f t="shared" si="123"/>
        <v>49.588660179640719</v>
      </c>
      <c r="BC55" s="352">
        <v>51.825800599380159</v>
      </c>
      <c r="BD55" s="300">
        <f t="shared" si="124"/>
        <v>49.929032258064574</v>
      </c>
      <c r="BE55" s="862">
        <f t="shared" si="124"/>
        <v>45.916627319013713</v>
      </c>
      <c r="BF55" s="862">
        <f t="shared" si="124"/>
        <v>47.723148148148205</v>
      </c>
      <c r="BG55" s="863">
        <f t="shared" si="124"/>
        <v>46.319945157142087</v>
      </c>
      <c r="BH55" s="863">
        <f t="shared" si="124"/>
        <v>48.578250915750935</v>
      </c>
      <c r="BI55" s="861">
        <f t="shared" si="124"/>
        <v>46.538076182033031</v>
      </c>
      <c r="BJ55" s="861">
        <f t="shared" si="124"/>
        <v>49.617568493150692</v>
      </c>
      <c r="BK55" s="1111"/>
      <c r="BL55" s="1111"/>
      <c r="BM55" s="1111"/>
      <c r="BN55" s="1111"/>
      <c r="BO55" s="1111"/>
    </row>
    <row r="56" spans="1:67" ht="15" thickBot="1" x14ac:dyDescent="0.35">
      <c r="A56" s="253"/>
      <c r="B56" s="55" t="s">
        <v>467</v>
      </c>
      <c r="C56" s="13" t="s">
        <v>373</v>
      </c>
      <c r="D56" s="287">
        <f t="shared" si="125"/>
        <v>1.416936111111049</v>
      </c>
      <c r="E56" s="287">
        <f t="shared" si="125"/>
        <v>2.3863646505376503</v>
      </c>
      <c r="G56" s="840">
        <v>1.2</v>
      </c>
      <c r="H56" s="243" t="s">
        <v>457</v>
      </c>
      <c r="I56" s="352">
        <v>5</v>
      </c>
      <c r="J56" s="300">
        <f t="shared" si="113"/>
        <v>4.9526937916666656</v>
      </c>
      <c r="K56" s="352">
        <v>5</v>
      </c>
      <c r="L56" s="300">
        <f t="shared" si="114"/>
        <v>4.5614504032258072</v>
      </c>
      <c r="M56" s="861">
        <f t="shared" si="114"/>
        <v>5</v>
      </c>
      <c r="N56" s="861">
        <f t="shared" si="114"/>
        <v>4.7538651844262301</v>
      </c>
      <c r="O56" s="352">
        <v>5</v>
      </c>
      <c r="P56" s="300">
        <f t="shared" si="115"/>
        <v>4.6961124999999999</v>
      </c>
      <c r="Q56" s="862">
        <f t="shared" si="115"/>
        <v>5</v>
      </c>
      <c r="R56" s="862">
        <f t="shared" si="115"/>
        <v>4.7348258379120871</v>
      </c>
      <c r="S56" s="352">
        <v>5</v>
      </c>
      <c r="T56" s="300">
        <f t="shared" si="116"/>
        <v>3.6459650537634412</v>
      </c>
      <c r="U56" s="861">
        <f t="shared" si="116"/>
        <v>5</v>
      </c>
      <c r="V56" s="861">
        <f t="shared" si="116"/>
        <v>4.4581480976775953</v>
      </c>
      <c r="W56" s="352">
        <v>5</v>
      </c>
      <c r="X56" s="300">
        <f t="shared" si="117"/>
        <v>4.2012163978494623</v>
      </c>
      <c r="Y56" s="861">
        <f t="shared" si="117"/>
        <v>5</v>
      </c>
      <c r="Z56" s="861">
        <f t="shared" si="117"/>
        <v>4.4060900408496728</v>
      </c>
      <c r="AA56" s="352">
        <v>5</v>
      </c>
      <c r="AB56" s="300">
        <f t="shared" si="118"/>
        <v>5.0202749999999998</v>
      </c>
      <c r="AC56" s="862">
        <f t="shared" si="118"/>
        <v>5</v>
      </c>
      <c r="AD56" s="862">
        <f t="shared" si="118"/>
        <v>4.2812051630434782</v>
      </c>
      <c r="AE56" s="863">
        <f t="shared" si="118"/>
        <v>5</v>
      </c>
      <c r="AF56" s="863">
        <f t="shared" si="118"/>
        <v>4.5067760997267765</v>
      </c>
      <c r="AG56" s="352">
        <v>5</v>
      </c>
      <c r="AH56" s="300">
        <f t="shared" si="119"/>
        <v>4.3758062768817201</v>
      </c>
      <c r="AI56" s="861">
        <f t="shared" si="119"/>
        <v>5</v>
      </c>
      <c r="AJ56" s="861">
        <f t="shared" si="119"/>
        <v>4.4878038356697818</v>
      </c>
      <c r="AK56" s="352">
        <v>5</v>
      </c>
      <c r="AL56" s="300">
        <f t="shared" si="120"/>
        <v>4.0547222222222219</v>
      </c>
      <c r="AM56" s="861">
        <f t="shared" si="120"/>
        <v>5</v>
      </c>
      <c r="AN56" s="861">
        <f t="shared" si="120"/>
        <v>4.4345560963114758</v>
      </c>
      <c r="AO56" s="352">
        <v>5</v>
      </c>
      <c r="AP56" s="300">
        <f t="shared" si="121"/>
        <v>4.2198924731182794</v>
      </c>
      <c r="AQ56" s="862">
        <f t="shared" si="121"/>
        <v>5</v>
      </c>
      <c r="AR56" s="862">
        <f t="shared" si="121"/>
        <v>4.2185687817028992</v>
      </c>
      <c r="AS56" s="861">
        <f t="shared" si="121"/>
        <v>5</v>
      </c>
      <c r="AT56" s="861">
        <f t="shared" si="121"/>
        <v>4.4103576515151515</v>
      </c>
      <c r="AU56" s="352">
        <v>5</v>
      </c>
      <c r="AV56" s="300">
        <f t="shared" si="122"/>
        <v>4.5565867473118278</v>
      </c>
      <c r="AW56" s="861">
        <f t="shared" si="122"/>
        <v>5</v>
      </c>
      <c r="AX56" s="861">
        <f t="shared" si="122"/>
        <v>4.4251717102396508</v>
      </c>
      <c r="AY56" s="352">
        <v>5</v>
      </c>
      <c r="AZ56" s="300">
        <f t="shared" si="123"/>
        <v>4.0553539285714288</v>
      </c>
      <c r="BA56" s="861">
        <f t="shared" si="123"/>
        <v>5</v>
      </c>
      <c r="BB56" s="861">
        <f t="shared" si="123"/>
        <v>4.3941690219560874</v>
      </c>
      <c r="BC56" s="352">
        <v>5</v>
      </c>
      <c r="BD56" s="300">
        <f t="shared" si="124"/>
        <v>4.2425567876344088</v>
      </c>
      <c r="BE56" s="862">
        <f t="shared" si="124"/>
        <v>5</v>
      </c>
      <c r="BF56" s="862">
        <f t="shared" si="124"/>
        <v>4.2924817731481477</v>
      </c>
      <c r="BG56" s="863">
        <f t="shared" si="124"/>
        <v>5</v>
      </c>
      <c r="BH56" s="863">
        <f t="shared" si="124"/>
        <v>4.2551191620879116</v>
      </c>
      <c r="BI56" s="861">
        <f t="shared" si="124"/>
        <v>5</v>
      </c>
      <c r="BJ56" s="861">
        <f t="shared" si="124"/>
        <v>4.3812923664383554</v>
      </c>
      <c r="BK56" s="1111"/>
      <c r="BL56" s="1111"/>
      <c r="BM56" s="1111"/>
      <c r="BN56" s="1111"/>
      <c r="BO56" s="1111"/>
    </row>
    <row r="57" spans="1:67" ht="16.2" thickBot="1" x14ac:dyDescent="0.35">
      <c r="A57" s="62"/>
      <c r="B57" s="289" t="s">
        <v>468</v>
      </c>
      <c r="C57" s="290" t="s">
        <v>373</v>
      </c>
      <c r="D57" s="288">
        <f t="shared" si="125"/>
        <v>1.7807997333332697</v>
      </c>
      <c r="E57" s="288">
        <f t="shared" si="125"/>
        <v>2.8137553185484028</v>
      </c>
      <c r="G57" s="840">
        <v>1.3</v>
      </c>
      <c r="H57" s="243" t="s">
        <v>458</v>
      </c>
      <c r="I57" s="352">
        <v>91.873957188675718</v>
      </c>
      <c r="J57" s="300">
        <f t="shared" si="113"/>
        <v>98.122228611111112</v>
      </c>
      <c r="K57" s="352">
        <v>89.073879195169255</v>
      </c>
      <c r="L57" s="300">
        <f t="shared" si="114"/>
        <v>69.751268481182635</v>
      </c>
      <c r="M57" s="861">
        <f t="shared" si="114"/>
        <v>90.450966732959316</v>
      </c>
      <c r="N57" s="861">
        <f t="shared" si="114"/>
        <v>83.704199692622865</v>
      </c>
      <c r="O57" s="352">
        <v>103.03334199517656</v>
      </c>
      <c r="P57" s="300">
        <f t="shared" si="115"/>
        <v>97.690281944444436</v>
      </c>
      <c r="Q57" s="862">
        <f t="shared" si="115"/>
        <v>94.599002533690253</v>
      </c>
      <c r="R57" s="862">
        <f t="shared" si="115"/>
        <v>88.31499603937722</v>
      </c>
      <c r="S57" s="352">
        <v>101.60052933064966</v>
      </c>
      <c r="T57" s="300">
        <f t="shared" si="116"/>
        <v>97.442122322580659</v>
      </c>
      <c r="U57" s="861">
        <f t="shared" si="116"/>
        <v>96.378079014884861</v>
      </c>
      <c r="V57" s="861">
        <f t="shared" si="116"/>
        <v>90.634183865437123</v>
      </c>
      <c r="W57" s="352">
        <v>102.38012972051321</v>
      </c>
      <c r="X57" s="300">
        <f t="shared" si="117"/>
        <v>94.850807795698927</v>
      </c>
      <c r="Y57" s="861">
        <f t="shared" si="117"/>
        <v>97.594180791842248</v>
      </c>
      <c r="Z57" s="861">
        <f t="shared" si="117"/>
        <v>91.488532504901926</v>
      </c>
      <c r="AA57" s="352">
        <v>68.042938528249806</v>
      </c>
      <c r="AB57" s="300">
        <f t="shared" si="118"/>
        <v>97.75559027777777</v>
      </c>
      <c r="AC57" s="862">
        <f t="shared" si="118"/>
        <v>90.920528113408082</v>
      </c>
      <c r="AD57" s="862">
        <f t="shared" si="118"/>
        <v>96.671179804347844</v>
      </c>
      <c r="AE57" s="863">
        <f t="shared" si="118"/>
        <v>92.749714846991012</v>
      </c>
      <c r="AF57" s="863">
        <f t="shared" si="118"/>
        <v>92.515919025045505</v>
      </c>
      <c r="AG57" s="352">
        <v>103.12932796865955</v>
      </c>
      <c r="AH57" s="300">
        <f t="shared" si="119"/>
        <v>87.229855645161294</v>
      </c>
      <c r="AI57" s="861">
        <f t="shared" si="119"/>
        <v>94.253303663681336</v>
      </c>
      <c r="AJ57" s="861">
        <f t="shared" si="119"/>
        <v>91.750180871884723</v>
      </c>
      <c r="AK57" s="352">
        <v>113.39998351681271</v>
      </c>
      <c r="AL57" s="300">
        <f t="shared" si="120"/>
        <v>97.079166666666666</v>
      </c>
      <c r="AM57" s="861">
        <f t="shared" si="120"/>
        <v>96.607403645623705</v>
      </c>
      <c r="AN57" s="861">
        <f t="shared" si="120"/>
        <v>92.405384043374312</v>
      </c>
      <c r="AO57" s="352">
        <v>113.42381912390304</v>
      </c>
      <c r="AP57" s="300">
        <f t="shared" si="121"/>
        <v>96.701612903225808</v>
      </c>
      <c r="AQ57" s="862">
        <f t="shared" si="121"/>
        <v>109.94725071058504</v>
      </c>
      <c r="AR57" s="862">
        <f t="shared" si="121"/>
        <v>93.63315788043478</v>
      </c>
      <c r="AS57" s="861">
        <f t="shared" si="121"/>
        <v>98.503072299538857</v>
      </c>
      <c r="AT57" s="861">
        <f t="shared" si="121"/>
        <v>92.88968620575757</v>
      </c>
      <c r="AU57" s="352">
        <v>115.28510087574236</v>
      </c>
      <c r="AV57" s="300">
        <f t="shared" si="122"/>
        <v>99.408575819892462</v>
      </c>
      <c r="AW57" s="861">
        <f t="shared" si="122"/>
        <v>100.20321244941567</v>
      </c>
      <c r="AX57" s="861">
        <f t="shared" si="122"/>
        <v>93.550096591503248</v>
      </c>
      <c r="AY57" s="352">
        <v>114.10002264085044</v>
      </c>
      <c r="AZ57" s="300">
        <f t="shared" si="123"/>
        <v>99.431472767857144</v>
      </c>
      <c r="BA57" s="861">
        <f t="shared" si="123"/>
        <v>101.36821450139223</v>
      </c>
      <c r="BB57" s="861">
        <f t="shared" si="123"/>
        <v>94.043146091317368</v>
      </c>
      <c r="BC57" s="352">
        <v>106.18684734714077</v>
      </c>
      <c r="BD57" s="300">
        <f t="shared" si="124"/>
        <v>99.317341599462495</v>
      </c>
      <c r="BE57" s="862">
        <f t="shared" si="124"/>
        <v>111.78256698725765</v>
      </c>
      <c r="BF57" s="862">
        <f t="shared" si="124"/>
        <v>99.384274194444501</v>
      </c>
      <c r="BG57" s="863">
        <f t="shared" si="124"/>
        <v>110.854824693555</v>
      </c>
      <c r="BH57" s="863">
        <f t="shared" si="124"/>
        <v>96.47711649725278</v>
      </c>
      <c r="BI57" s="861">
        <f t="shared" si="124"/>
        <v>101.77746824993527</v>
      </c>
      <c r="BJ57" s="861">
        <f t="shared" si="124"/>
        <v>94.491091463242014</v>
      </c>
      <c r="BK57" s="1111"/>
      <c r="BL57" s="1111"/>
      <c r="BM57" s="1111"/>
      <c r="BN57" s="1111"/>
      <c r="BO57" s="1111"/>
    </row>
    <row r="58" spans="1:67" ht="16.2" thickBot="1" x14ac:dyDescent="0.35">
      <c r="A58" s="62"/>
      <c r="B58" s="289"/>
      <c r="C58" s="290"/>
      <c r="D58" s="288"/>
      <c r="E58" s="288"/>
      <c r="G58" s="840">
        <v>1.4</v>
      </c>
      <c r="H58" s="2335" t="s">
        <v>459</v>
      </c>
      <c r="I58" s="352">
        <v>0.59</v>
      </c>
      <c r="J58" s="300">
        <f t="shared" si="113"/>
        <v>0.68851388888888587</v>
      </c>
      <c r="K58" s="352">
        <v>0.56000000000000005</v>
      </c>
      <c r="L58" s="300">
        <f t="shared" si="114"/>
        <v>0.51032258064516167</v>
      </c>
      <c r="M58" s="861">
        <f t="shared" si="114"/>
        <v>0.57475409836065583</v>
      </c>
      <c r="N58" s="861">
        <f t="shared" si="114"/>
        <v>0.59795765027322278</v>
      </c>
      <c r="O58" s="352">
        <v>0.75</v>
      </c>
      <c r="P58" s="300">
        <f t="shared" si="115"/>
        <v>0.45923611111111312</v>
      </c>
      <c r="Q58" s="862">
        <f t="shared" si="115"/>
        <v>0.63252747252747255</v>
      </c>
      <c r="R58" s="862">
        <f t="shared" si="115"/>
        <v>0.5522252747252745</v>
      </c>
      <c r="S58" s="352">
        <v>0.75</v>
      </c>
      <c r="T58" s="300">
        <f t="shared" si="116"/>
        <v>0.35978494623655949</v>
      </c>
      <c r="U58" s="861">
        <f t="shared" si="116"/>
        <v>0.66237704918032791</v>
      </c>
      <c r="V58" s="861">
        <f t="shared" si="116"/>
        <v>0.50332650273224033</v>
      </c>
      <c r="W58" s="352">
        <v>0.75</v>
      </c>
      <c r="X58" s="300">
        <f t="shared" si="117"/>
        <v>0.67779569892473079</v>
      </c>
      <c r="Y58" s="861">
        <f t="shared" si="117"/>
        <v>0.68013071895424837</v>
      </c>
      <c r="Z58" s="861">
        <f t="shared" si="117"/>
        <v>0.53867647058823509</v>
      </c>
      <c r="AA58" s="352">
        <v>0.75</v>
      </c>
      <c r="AB58" s="300">
        <f t="shared" si="118"/>
        <v>0.67204166666666687</v>
      </c>
      <c r="AC58" s="862">
        <f t="shared" si="118"/>
        <v>0.75</v>
      </c>
      <c r="AD58" s="862">
        <f t="shared" si="118"/>
        <v>0.56876358695652163</v>
      </c>
      <c r="AE58" s="863">
        <f t="shared" si="118"/>
        <v>0.69158469945355194</v>
      </c>
      <c r="AF58" s="863">
        <f t="shared" si="118"/>
        <v>0.56053961748633863</v>
      </c>
      <c r="AG58" s="352">
        <v>0.75</v>
      </c>
      <c r="AH58" s="300">
        <f t="shared" si="119"/>
        <v>0.67728494623655933</v>
      </c>
      <c r="AI58" s="861">
        <f t="shared" si="119"/>
        <v>0.70004672897196263</v>
      </c>
      <c r="AJ58" s="861">
        <f t="shared" si="119"/>
        <v>0.57745132398753896</v>
      </c>
      <c r="AK58" s="352">
        <v>0.75</v>
      </c>
      <c r="AL58" s="300">
        <f t="shared" si="120"/>
        <v>0.68370833333333192</v>
      </c>
      <c r="AM58" s="861">
        <f t="shared" si="120"/>
        <v>0.70618852459016379</v>
      </c>
      <c r="AN58" s="861">
        <f t="shared" si="120"/>
        <v>0.59051571038251349</v>
      </c>
      <c r="AO58" s="352">
        <v>0.75</v>
      </c>
      <c r="AP58" s="300">
        <f t="shared" si="121"/>
        <v>0.67502688172043013</v>
      </c>
      <c r="AQ58" s="862">
        <f t="shared" si="121"/>
        <v>0.75</v>
      </c>
      <c r="AR58" s="862">
        <f t="shared" si="121"/>
        <v>0.67861865942028954</v>
      </c>
      <c r="AS58" s="861">
        <f t="shared" si="121"/>
        <v>0.71112727272727261</v>
      </c>
      <c r="AT58" s="861">
        <f t="shared" si="121"/>
        <v>0.60004242424242415</v>
      </c>
      <c r="AU58" s="352">
        <v>0.75</v>
      </c>
      <c r="AV58" s="300">
        <f t="shared" si="122"/>
        <v>0.67647849462365561</v>
      </c>
      <c r="AW58" s="861">
        <f t="shared" si="122"/>
        <v>0.71506535947712413</v>
      </c>
      <c r="AX58" s="861">
        <f t="shared" si="122"/>
        <v>0.60778594771241812</v>
      </c>
      <c r="AY58" s="352">
        <v>0.75</v>
      </c>
      <c r="AZ58" s="300">
        <f t="shared" si="123"/>
        <v>0.67891369047619254</v>
      </c>
      <c r="BA58" s="861">
        <f t="shared" si="123"/>
        <v>0.71799401197604784</v>
      </c>
      <c r="BB58" s="861">
        <f t="shared" si="123"/>
        <v>0.61374875249501004</v>
      </c>
      <c r="BC58" s="352">
        <v>0.75</v>
      </c>
      <c r="BD58" s="300">
        <f t="shared" si="124"/>
        <v>0.68525537634408584</v>
      </c>
      <c r="BE58" s="862">
        <f t="shared" si="124"/>
        <v>0.75</v>
      </c>
      <c r="BF58" s="862">
        <f t="shared" si="124"/>
        <v>0.68025925925925979</v>
      </c>
      <c r="BG58" s="863">
        <f t="shared" si="124"/>
        <v>0.75</v>
      </c>
      <c r="BH58" s="863">
        <f t="shared" si="124"/>
        <v>0.67942994505494503</v>
      </c>
      <c r="BI58" s="861">
        <f t="shared" si="124"/>
        <v>0.72071232876712332</v>
      </c>
      <c r="BJ58" s="861">
        <f t="shared" si="124"/>
        <v>0.61982191780821927</v>
      </c>
      <c r="BK58" s="1111"/>
      <c r="BL58" s="1111"/>
      <c r="BM58" s="1111"/>
      <c r="BN58" s="1111"/>
      <c r="BO58" s="1111"/>
    </row>
    <row r="59" spans="1:67" ht="15.6" x14ac:dyDescent="0.3">
      <c r="A59" s="62"/>
      <c r="B59" s="291" t="s">
        <v>124</v>
      </c>
      <c r="C59" s="33" t="s">
        <v>373</v>
      </c>
      <c r="D59" s="288">
        <f t="shared" ref="D59:E74" si="126">+((D15/1000)/D$3)/24</f>
        <v>81.62668637777783</v>
      </c>
      <c r="E59" s="288">
        <f t="shared" si="126"/>
        <v>86.693583391129025</v>
      </c>
      <c r="G59" s="840">
        <v>1.5</v>
      </c>
      <c r="H59" s="243" t="s">
        <v>1594</v>
      </c>
      <c r="I59" s="352">
        <v>1</v>
      </c>
      <c r="J59" s="300">
        <f t="shared" si="113"/>
        <v>1.0070693333333325</v>
      </c>
      <c r="K59" s="352">
        <v>1</v>
      </c>
      <c r="L59" s="300">
        <f t="shared" si="114"/>
        <v>1.1636929166666692</v>
      </c>
      <c r="M59" s="861">
        <f t="shared" si="114"/>
        <v>1</v>
      </c>
      <c r="N59" s="861">
        <f t="shared" si="114"/>
        <v>1.0866649248633888</v>
      </c>
      <c r="O59" s="352">
        <v>1</v>
      </c>
      <c r="P59" s="300">
        <f t="shared" si="115"/>
        <v>0.83495347222222294</v>
      </c>
      <c r="Q59" s="862">
        <f t="shared" si="115"/>
        <v>1</v>
      </c>
      <c r="R59" s="862">
        <f t="shared" si="115"/>
        <v>1.0036831272893783</v>
      </c>
      <c r="S59" s="352">
        <v>1</v>
      </c>
      <c r="T59" s="300">
        <f t="shared" si="116"/>
        <v>0.77444731182795656</v>
      </c>
      <c r="U59" s="861">
        <f t="shared" si="116"/>
        <v>1</v>
      </c>
      <c r="V59" s="861">
        <f t="shared" si="116"/>
        <v>0.94543468237704986</v>
      </c>
      <c r="W59" s="352">
        <v>1</v>
      </c>
      <c r="X59" s="300">
        <f t="shared" si="117"/>
        <v>0.77545026881720303</v>
      </c>
      <c r="Y59" s="861">
        <f t="shared" si="117"/>
        <v>1</v>
      </c>
      <c r="Z59" s="861">
        <f t="shared" si="117"/>
        <v>0.91099339596949913</v>
      </c>
      <c r="AA59" s="352">
        <v>1</v>
      </c>
      <c r="AB59" s="300">
        <f t="shared" si="118"/>
        <v>0.8017097222222227</v>
      </c>
      <c r="AC59" s="862">
        <f t="shared" si="118"/>
        <v>1</v>
      </c>
      <c r="AD59" s="862">
        <f t="shared" si="118"/>
        <v>0.78367518115942003</v>
      </c>
      <c r="AE59" s="863">
        <f t="shared" si="118"/>
        <v>1</v>
      </c>
      <c r="AF59" s="863">
        <f t="shared" si="118"/>
        <v>0.89307803961748666</v>
      </c>
      <c r="AG59" s="352">
        <v>1</v>
      </c>
      <c r="AH59" s="300">
        <f t="shared" si="119"/>
        <v>0.73208870967741857</v>
      </c>
      <c r="AI59" s="861">
        <f t="shared" si="119"/>
        <v>1</v>
      </c>
      <c r="AJ59" s="861">
        <f t="shared" si="119"/>
        <v>0.86975715537383202</v>
      </c>
      <c r="AK59" s="352">
        <v>1</v>
      </c>
      <c r="AL59" s="300">
        <f t="shared" si="120"/>
        <v>0.65504027777777774</v>
      </c>
      <c r="AM59" s="861">
        <f t="shared" si="120"/>
        <v>1</v>
      </c>
      <c r="AN59" s="861">
        <f t="shared" si="120"/>
        <v>0.84335753927595647</v>
      </c>
      <c r="AO59" s="352">
        <v>1</v>
      </c>
      <c r="AP59" s="300">
        <f t="shared" si="121"/>
        <v>0.57237499999999852</v>
      </c>
      <c r="AQ59" s="862">
        <f t="shared" si="121"/>
        <v>1</v>
      </c>
      <c r="AR59" s="862">
        <f t="shared" si="121"/>
        <v>0.65314764492753541</v>
      </c>
      <c r="AS59" s="861">
        <f t="shared" si="121"/>
        <v>1</v>
      </c>
      <c r="AT59" s="861">
        <f t="shared" si="121"/>
        <v>0.81281041666666665</v>
      </c>
      <c r="AU59" s="352">
        <v>1</v>
      </c>
      <c r="AV59" s="300">
        <f t="shared" si="122"/>
        <v>0.65913615591398034</v>
      </c>
      <c r="AW59" s="861">
        <f t="shared" si="122"/>
        <v>1</v>
      </c>
      <c r="AX59" s="861">
        <f t="shared" si="122"/>
        <v>0.79724210920479321</v>
      </c>
      <c r="AY59" s="352">
        <v>1</v>
      </c>
      <c r="AZ59" s="300">
        <f t="shared" si="123"/>
        <v>0.85355922619047708</v>
      </c>
      <c r="BA59" s="861">
        <f t="shared" si="123"/>
        <v>1</v>
      </c>
      <c r="BB59" s="861">
        <f t="shared" si="123"/>
        <v>0.80196330464071885</v>
      </c>
      <c r="BC59" s="352">
        <v>1</v>
      </c>
      <c r="BD59" s="300">
        <f t="shared" si="124"/>
        <v>0.83729569892473021</v>
      </c>
      <c r="BE59" s="862">
        <f t="shared" si="124"/>
        <v>1</v>
      </c>
      <c r="BF59" s="862">
        <f t="shared" si="124"/>
        <v>0.78098939814814883</v>
      </c>
      <c r="BG59" s="863">
        <f t="shared" si="124"/>
        <v>1</v>
      </c>
      <c r="BH59" s="863">
        <f t="shared" si="124"/>
        <v>0.71636609432234422</v>
      </c>
      <c r="BI59" s="861">
        <f t="shared" si="124"/>
        <v>1</v>
      </c>
      <c r="BJ59" s="861">
        <f t="shared" si="124"/>
        <v>0.80496413812785417</v>
      </c>
      <c r="BK59" s="1111"/>
      <c r="BL59" s="1111"/>
      <c r="BM59" s="1111"/>
      <c r="BN59" s="1111"/>
      <c r="BO59" s="1111"/>
    </row>
    <row r="60" spans="1:67" ht="15.6" x14ac:dyDescent="0.3">
      <c r="A60" s="253"/>
      <c r="B60" s="19" t="s">
        <v>693</v>
      </c>
      <c r="C60" s="12" t="s">
        <v>373</v>
      </c>
      <c r="D60" s="287">
        <f t="shared" si="126"/>
        <v>1.5184583333333332</v>
      </c>
      <c r="E60" s="287">
        <f t="shared" si="126"/>
        <v>1.5746408602150537</v>
      </c>
      <c r="G60" s="843">
        <v>2</v>
      </c>
      <c r="H60" s="741" t="s">
        <v>709</v>
      </c>
      <c r="I60" s="354">
        <f>+I61+I62</f>
        <v>2.2000000000000002</v>
      </c>
      <c r="J60" s="298">
        <f t="shared" si="113"/>
        <v>1.8197437402777712</v>
      </c>
      <c r="K60" s="354">
        <f>+K61+K62</f>
        <v>2.2000000000000002</v>
      </c>
      <c r="L60" s="298">
        <f t="shared" si="114"/>
        <v>2.6044728158601296</v>
      </c>
      <c r="M60" s="858">
        <f t="shared" si="114"/>
        <v>2.2000000000000002</v>
      </c>
      <c r="N60" s="858">
        <f t="shared" si="114"/>
        <v>2.2185404836065103</v>
      </c>
      <c r="O60" s="354">
        <f>+O61+O62</f>
        <v>3</v>
      </c>
      <c r="P60" s="298">
        <f t="shared" si="115"/>
        <v>1.2426581236113077</v>
      </c>
      <c r="Q60" s="859">
        <f t="shared" si="115"/>
        <v>2.4637362637362639</v>
      </c>
      <c r="R60" s="859">
        <f t="shared" si="115"/>
        <v>1.8968210242674326</v>
      </c>
      <c r="S60" s="354">
        <f>+S61+S62</f>
        <v>3</v>
      </c>
      <c r="T60" s="298">
        <f t="shared" si="116"/>
        <v>1.4625699395159941</v>
      </c>
      <c r="U60" s="858">
        <f t="shared" si="116"/>
        <v>2.6</v>
      </c>
      <c r="V60" s="858">
        <f t="shared" si="116"/>
        <v>1.7864785355191164</v>
      </c>
      <c r="W60" s="354">
        <f>+W61+W62</f>
        <v>3</v>
      </c>
      <c r="X60" s="298">
        <f t="shared" si="117"/>
        <v>1.4683052446236788</v>
      </c>
      <c r="Y60" s="858">
        <f t="shared" si="117"/>
        <v>2.6810457516339867</v>
      </c>
      <c r="Z60" s="858">
        <f t="shared" si="117"/>
        <v>1.7220120517429167</v>
      </c>
      <c r="AA60" s="354">
        <f>+AA61+AA62</f>
        <v>3</v>
      </c>
      <c r="AB60" s="298">
        <f t="shared" si="118"/>
        <v>1.4058523111111128</v>
      </c>
      <c r="AC60" s="859">
        <f t="shared" si="118"/>
        <v>3</v>
      </c>
      <c r="AD60" s="859">
        <f t="shared" si="118"/>
        <v>1.4460076091485135</v>
      </c>
      <c r="AE60" s="860">
        <f t="shared" si="118"/>
        <v>2.7333333333333334</v>
      </c>
      <c r="AF60" s="860">
        <f t="shared" si="118"/>
        <v>1.6701825860655715</v>
      </c>
      <c r="AG60" s="354">
        <f>+AG61+AG62</f>
        <v>3</v>
      </c>
      <c r="AH60" s="298">
        <f t="shared" si="119"/>
        <v>1.7969373749999034</v>
      </c>
      <c r="AI60" s="858">
        <f t="shared" si="119"/>
        <v>2.7719626168224294</v>
      </c>
      <c r="AJ60" s="858">
        <f t="shared" si="119"/>
        <v>1.6885442610981145</v>
      </c>
      <c r="AK60" s="354">
        <f>+AK61+AK62</f>
        <v>3</v>
      </c>
      <c r="AL60" s="298">
        <f t="shared" si="120"/>
        <v>1.3850379013886105</v>
      </c>
      <c r="AM60" s="858">
        <f t="shared" si="120"/>
        <v>2.8</v>
      </c>
      <c r="AN60" s="858">
        <f t="shared" si="120"/>
        <v>1.6512279053961265</v>
      </c>
      <c r="AO60" s="354">
        <f>+AO61+AO62</f>
        <v>3</v>
      </c>
      <c r="AP60" s="298">
        <f t="shared" si="121"/>
        <v>1.6650627419357327</v>
      </c>
      <c r="AQ60" s="859">
        <f t="shared" si="121"/>
        <v>3</v>
      </c>
      <c r="AR60" s="859">
        <f t="shared" si="121"/>
        <v>1.6181863115941635</v>
      </c>
      <c r="AS60" s="858">
        <f t="shared" si="121"/>
        <v>2.8225454545454545</v>
      </c>
      <c r="AT60" s="858">
        <f t="shared" si="121"/>
        <v>1.6527874687878639</v>
      </c>
      <c r="AU60" s="354">
        <f>+AU61+AU62</f>
        <v>3</v>
      </c>
      <c r="AV60" s="298">
        <f t="shared" si="122"/>
        <v>1.719819081989296</v>
      </c>
      <c r="AW60" s="858">
        <f t="shared" si="122"/>
        <v>2.8405228758169931</v>
      </c>
      <c r="AX60" s="858">
        <f t="shared" si="122"/>
        <v>1.6595782531318002</v>
      </c>
      <c r="AY60" s="354">
        <f>+AY61+AY62</f>
        <v>3</v>
      </c>
      <c r="AZ60" s="298">
        <f t="shared" si="123"/>
        <v>1.2870148288690155</v>
      </c>
      <c r="BA60" s="858">
        <f t="shared" si="123"/>
        <v>2.853892215568862</v>
      </c>
      <c r="BB60" s="858">
        <f t="shared" si="123"/>
        <v>1.6283453912175545</v>
      </c>
      <c r="BC60" s="354">
        <f>+BC61+BC62</f>
        <v>3</v>
      </c>
      <c r="BD60" s="298">
        <f t="shared" si="124"/>
        <v>1.9524498400538735</v>
      </c>
      <c r="BE60" s="859">
        <f t="shared" si="124"/>
        <v>3</v>
      </c>
      <c r="BF60" s="859">
        <f t="shared" si="124"/>
        <v>1.6652972421296741</v>
      </c>
      <c r="BG60" s="860">
        <f t="shared" si="124"/>
        <v>3</v>
      </c>
      <c r="BH60" s="860">
        <f t="shared" si="124"/>
        <v>1.6414829255952401</v>
      </c>
      <c r="BI60" s="858">
        <f t="shared" si="124"/>
        <v>2.866301369863014</v>
      </c>
      <c r="BJ60" s="858">
        <f t="shared" si="124"/>
        <v>1.6558720704337899</v>
      </c>
      <c r="BK60" s="1111"/>
      <c r="BL60" s="1111"/>
      <c r="BM60" s="1111"/>
      <c r="BN60" s="1111"/>
      <c r="BO60" s="1111"/>
    </row>
    <row r="61" spans="1:67" x14ac:dyDescent="0.3">
      <c r="A61" s="253"/>
      <c r="B61" s="19" t="s">
        <v>685</v>
      </c>
      <c r="C61" s="12" t="s">
        <v>373</v>
      </c>
      <c r="D61" s="287">
        <f t="shared" si="126"/>
        <v>7.0703194444444506</v>
      </c>
      <c r="E61" s="287">
        <f t="shared" si="126"/>
        <v>6.5758870967741947</v>
      </c>
      <c r="G61" s="840">
        <v>2.1</v>
      </c>
      <c r="H61" s="243" t="s">
        <v>466</v>
      </c>
      <c r="I61" s="352">
        <v>0.4</v>
      </c>
      <c r="J61" s="300">
        <f t="shared" si="113"/>
        <v>0.43313718472221718</v>
      </c>
      <c r="K61" s="352">
        <v>0.4</v>
      </c>
      <c r="L61" s="300">
        <f t="shared" si="114"/>
        <v>0.52721803091396946</v>
      </c>
      <c r="M61" s="861">
        <f t="shared" si="114"/>
        <v>0.4</v>
      </c>
      <c r="N61" s="861">
        <f t="shared" si="114"/>
        <v>0.48094876229507488</v>
      </c>
      <c r="O61" s="352">
        <v>0.4</v>
      </c>
      <c r="P61" s="300">
        <f t="shared" si="115"/>
        <v>0.44644526250000283</v>
      </c>
      <c r="Q61" s="862">
        <f t="shared" si="115"/>
        <v>0.39999999999999997</v>
      </c>
      <c r="R61" s="862">
        <f t="shared" si="115"/>
        <v>0.46957398214285329</v>
      </c>
      <c r="S61" s="352">
        <v>0.4</v>
      </c>
      <c r="T61" s="300">
        <f t="shared" si="116"/>
        <v>0.38635129973119098</v>
      </c>
      <c r="U61" s="861">
        <f t="shared" si="116"/>
        <v>0.4</v>
      </c>
      <c r="V61" s="861">
        <f t="shared" si="116"/>
        <v>0.44842723497267684</v>
      </c>
      <c r="W61" s="352">
        <v>0.4</v>
      </c>
      <c r="X61" s="300">
        <f t="shared" si="117"/>
        <v>0.50883365860213436</v>
      </c>
      <c r="Y61" s="861">
        <f t="shared" si="117"/>
        <v>0.39999999999999997</v>
      </c>
      <c r="Z61" s="861">
        <f t="shared" si="117"/>
        <v>0.46066644498910292</v>
      </c>
      <c r="AA61" s="352">
        <v>0.4</v>
      </c>
      <c r="AB61" s="300">
        <f t="shared" si="118"/>
        <v>0.49037192222223053</v>
      </c>
      <c r="AC61" s="862">
        <f t="shared" si="118"/>
        <v>0.4</v>
      </c>
      <c r="AD61" s="862">
        <f t="shared" si="118"/>
        <v>0.46154229755434789</v>
      </c>
      <c r="AE61" s="863">
        <f t="shared" si="118"/>
        <v>0.4</v>
      </c>
      <c r="AF61" s="863">
        <f t="shared" si="118"/>
        <v>0.46553619535518936</v>
      </c>
      <c r="AG61" s="352">
        <v>0.4</v>
      </c>
      <c r="AH61" s="300">
        <f t="shared" si="119"/>
        <v>0.42846224059140114</v>
      </c>
      <c r="AI61" s="861">
        <f t="shared" si="119"/>
        <v>0.4</v>
      </c>
      <c r="AJ61" s="861">
        <f t="shared" si="119"/>
        <v>0.46016566919781821</v>
      </c>
      <c r="AK61" s="352">
        <v>0.4</v>
      </c>
      <c r="AL61" s="300">
        <f t="shared" si="120"/>
        <v>0.2315509569444435</v>
      </c>
      <c r="AM61" s="861">
        <f t="shared" si="120"/>
        <v>0.4</v>
      </c>
      <c r="AN61" s="861">
        <f t="shared" si="120"/>
        <v>0.43205730293715744</v>
      </c>
      <c r="AO61" s="352">
        <v>0.4</v>
      </c>
      <c r="AP61" s="300">
        <f t="shared" si="121"/>
        <v>0.36479580645160919</v>
      </c>
      <c r="AQ61" s="862">
        <f t="shared" si="121"/>
        <v>0.4</v>
      </c>
      <c r="AR61" s="862">
        <f t="shared" si="121"/>
        <v>0.34279921920289813</v>
      </c>
      <c r="AS61" s="861">
        <f t="shared" si="121"/>
        <v>0.4</v>
      </c>
      <c r="AT61" s="861">
        <f t="shared" si="121"/>
        <v>0.42447509787878646</v>
      </c>
      <c r="AU61" s="352">
        <v>0.4</v>
      </c>
      <c r="AV61" s="300">
        <f t="shared" si="122"/>
        <v>0.4380587190860189</v>
      </c>
      <c r="AW61" s="861">
        <f t="shared" si="122"/>
        <v>0.39999999999999997</v>
      </c>
      <c r="AX61" s="861">
        <f t="shared" si="122"/>
        <v>0.42585121636710088</v>
      </c>
      <c r="AY61" s="352">
        <v>0.4</v>
      </c>
      <c r="AZ61" s="300">
        <f t="shared" si="123"/>
        <v>0.48498804315475202</v>
      </c>
      <c r="BA61" s="861">
        <f t="shared" si="123"/>
        <v>0.39999999999999997</v>
      </c>
      <c r="BB61" s="861">
        <f t="shared" si="123"/>
        <v>0.43080879466067645</v>
      </c>
      <c r="BC61" s="352">
        <v>0.4</v>
      </c>
      <c r="BD61" s="300">
        <f t="shared" si="124"/>
        <v>0.51795447715055143</v>
      </c>
      <c r="BE61" s="862">
        <f t="shared" si="124"/>
        <v>0.4</v>
      </c>
      <c r="BF61" s="862">
        <f t="shared" si="124"/>
        <v>0.48017860324074152</v>
      </c>
      <c r="BG61" s="863">
        <f t="shared" si="124"/>
        <v>0.39999999999999997</v>
      </c>
      <c r="BH61" s="863">
        <f t="shared" si="124"/>
        <v>0.41073407944139212</v>
      </c>
      <c r="BI61" s="861">
        <f t="shared" si="124"/>
        <v>0.4</v>
      </c>
      <c r="BJ61" s="861">
        <f t="shared" si="124"/>
        <v>0.43821020878995348</v>
      </c>
      <c r="BK61" s="1111"/>
      <c r="BL61" s="1111"/>
      <c r="BM61" s="1111"/>
      <c r="BN61" s="1111"/>
      <c r="BO61" s="1111"/>
    </row>
    <row r="62" spans="1:67" x14ac:dyDescent="0.3">
      <c r="A62" s="253"/>
      <c r="B62" s="19" t="s">
        <v>602</v>
      </c>
      <c r="C62" s="12" t="s">
        <v>373</v>
      </c>
      <c r="D62" s="287">
        <f t="shared" si="126"/>
        <v>2.1610277777777771</v>
      </c>
      <c r="E62" s="287">
        <f t="shared" si="126"/>
        <v>2.0229032258064517</v>
      </c>
      <c r="G62" s="840">
        <v>2.2000000000000002</v>
      </c>
      <c r="H62" s="243" t="s">
        <v>467</v>
      </c>
      <c r="I62" s="352">
        <v>1.8</v>
      </c>
      <c r="J62" s="300">
        <f t="shared" si="113"/>
        <v>1.3866065555555538</v>
      </c>
      <c r="K62" s="352">
        <v>1.8</v>
      </c>
      <c r="L62" s="300">
        <f t="shared" si="114"/>
        <v>2.0772547849461596</v>
      </c>
      <c r="M62" s="861">
        <f t="shared" si="114"/>
        <v>1.8</v>
      </c>
      <c r="N62" s="861">
        <f t="shared" si="114"/>
        <v>1.7375917213114354</v>
      </c>
      <c r="O62" s="352">
        <v>2.6</v>
      </c>
      <c r="P62" s="300">
        <f t="shared" si="115"/>
        <v>0.79621286111130485</v>
      </c>
      <c r="Q62" s="862">
        <f t="shared" si="115"/>
        <v>2.0637362637362635</v>
      </c>
      <c r="R62" s="862">
        <f t="shared" si="115"/>
        <v>1.4272470421245793</v>
      </c>
      <c r="S62" s="352">
        <v>2.6</v>
      </c>
      <c r="T62" s="300">
        <f t="shared" si="116"/>
        <v>1.076218639784803</v>
      </c>
      <c r="U62" s="861">
        <f t="shared" si="116"/>
        <v>2.2000000000000002</v>
      </c>
      <c r="V62" s="861">
        <f t="shared" si="116"/>
        <v>1.3380513005464394</v>
      </c>
      <c r="W62" s="352">
        <v>2.6</v>
      </c>
      <c r="X62" s="300">
        <f t="shared" si="117"/>
        <v>0.95947158602154459</v>
      </c>
      <c r="Y62" s="861">
        <f t="shared" si="117"/>
        <v>2.2810457516339868</v>
      </c>
      <c r="Z62" s="861">
        <f t="shared" si="117"/>
        <v>1.2613456067538136</v>
      </c>
      <c r="AA62" s="352">
        <v>2.6</v>
      </c>
      <c r="AB62" s="300">
        <f t="shared" si="118"/>
        <v>0.91548038888888228</v>
      </c>
      <c r="AC62" s="862">
        <f t="shared" si="118"/>
        <v>2.6</v>
      </c>
      <c r="AD62" s="862">
        <f t="shared" si="118"/>
        <v>0.98446531159416562</v>
      </c>
      <c r="AE62" s="863">
        <f t="shared" si="118"/>
        <v>2.3333333333333335</v>
      </c>
      <c r="AF62" s="863">
        <f t="shared" si="118"/>
        <v>1.2046463907103822</v>
      </c>
      <c r="AG62" s="352">
        <v>2.6</v>
      </c>
      <c r="AH62" s="300">
        <f t="shared" si="119"/>
        <v>1.368475134408502</v>
      </c>
      <c r="AI62" s="861">
        <f t="shared" si="119"/>
        <v>2.3719626168224299</v>
      </c>
      <c r="AJ62" s="861">
        <f t="shared" si="119"/>
        <v>1.228378591900297</v>
      </c>
      <c r="AK62" s="352">
        <v>2.6</v>
      </c>
      <c r="AL62" s="300">
        <f t="shared" si="120"/>
        <v>1.1534869444441671</v>
      </c>
      <c r="AM62" s="861">
        <f t="shared" si="120"/>
        <v>2.4</v>
      </c>
      <c r="AN62" s="861">
        <f t="shared" si="120"/>
        <v>1.2191706024589695</v>
      </c>
      <c r="AO62" s="352">
        <v>2.6</v>
      </c>
      <c r="AP62" s="300">
        <f t="shared" si="121"/>
        <v>1.3002669354841234</v>
      </c>
      <c r="AQ62" s="862">
        <f t="shared" si="121"/>
        <v>2.6</v>
      </c>
      <c r="AR62" s="862">
        <f t="shared" si="121"/>
        <v>1.2753870923912651</v>
      </c>
      <c r="AS62" s="861">
        <f t="shared" si="121"/>
        <v>2.4225454545454541</v>
      </c>
      <c r="AT62" s="861">
        <f t="shared" si="121"/>
        <v>1.2283123709090777</v>
      </c>
      <c r="AU62" s="352">
        <v>2.6</v>
      </c>
      <c r="AV62" s="300">
        <f t="shared" si="122"/>
        <v>1.281760362903277</v>
      </c>
      <c r="AW62" s="861">
        <f t="shared" si="122"/>
        <v>2.4405228758169937</v>
      </c>
      <c r="AX62" s="861">
        <f t="shared" si="122"/>
        <v>1.2337270367646991</v>
      </c>
      <c r="AY62" s="352">
        <v>2.6</v>
      </c>
      <c r="AZ62" s="300">
        <f t="shared" si="123"/>
        <v>0.80202678571426345</v>
      </c>
      <c r="BA62" s="861">
        <f t="shared" si="123"/>
        <v>2.4538922155688625</v>
      </c>
      <c r="BB62" s="861">
        <f t="shared" si="123"/>
        <v>1.1975365965568781</v>
      </c>
      <c r="BC62" s="352">
        <v>2.6</v>
      </c>
      <c r="BD62" s="300">
        <f t="shared" si="124"/>
        <v>1.4344953629033219</v>
      </c>
      <c r="BE62" s="862">
        <f t="shared" si="124"/>
        <v>2.6</v>
      </c>
      <c r="BF62" s="862">
        <f t="shared" si="124"/>
        <v>1.1851186388889328</v>
      </c>
      <c r="BG62" s="863">
        <f t="shared" si="124"/>
        <v>2.6</v>
      </c>
      <c r="BH62" s="863">
        <f t="shared" si="124"/>
        <v>1.2307488461538481</v>
      </c>
      <c r="BI62" s="861">
        <f t="shared" si="124"/>
        <v>2.4663013698630136</v>
      </c>
      <c r="BJ62" s="861">
        <f t="shared" si="124"/>
        <v>1.2176618616438366</v>
      </c>
      <c r="BK62" s="1111"/>
      <c r="BL62" s="1111"/>
      <c r="BM62" s="1111"/>
      <c r="BN62" s="1111"/>
      <c r="BO62" s="1111"/>
    </row>
    <row r="63" spans="1:67" ht="15.6" x14ac:dyDescent="0.3">
      <c r="A63" s="253"/>
      <c r="B63" s="19" t="s">
        <v>461</v>
      </c>
      <c r="C63" s="12" t="s">
        <v>373</v>
      </c>
      <c r="D63" s="287">
        <f t="shared" si="126"/>
        <v>11.048583333333307</v>
      </c>
      <c r="E63" s="287">
        <f t="shared" si="126"/>
        <v>10.777446236559159</v>
      </c>
      <c r="G63" s="843">
        <v>3</v>
      </c>
      <c r="H63" s="741" t="s">
        <v>710</v>
      </c>
      <c r="I63" s="297">
        <f>+I54-I60</f>
        <v>138.62721422203231</v>
      </c>
      <c r="J63" s="298">
        <f t="shared" si="113"/>
        <v>155.71715077361108</v>
      </c>
      <c r="K63" s="297">
        <f>+K54-K60</f>
        <v>130.67104232699842</v>
      </c>
      <c r="L63" s="298">
        <f t="shared" si="114"/>
        <v>104.43051425403218</v>
      </c>
      <c r="M63" s="858">
        <f t="shared" si="114"/>
        <v>134.58391375078557</v>
      </c>
      <c r="N63" s="858">
        <f t="shared" si="114"/>
        <v>129.6534502472677</v>
      </c>
      <c r="O63" s="297">
        <f>+O54-O60</f>
        <v>160.17683235758588</v>
      </c>
      <c r="P63" s="298">
        <f t="shared" si="115"/>
        <v>157.02181479305537</v>
      </c>
      <c r="Q63" s="859">
        <f t="shared" si="115"/>
        <v>143.02113966511533</v>
      </c>
      <c r="R63" s="859">
        <f t="shared" si="115"/>
        <v>138.67598800961528</v>
      </c>
      <c r="S63" s="297">
        <f>+S54-S60</f>
        <v>158.99369246528286</v>
      </c>
      <c r="T63" s="298">
        <f t="shared" si="116"/>
        <v>158.23784109274206</v>
      </c>
      <c r="U63" s="858">
        <f t="shared" si="116"/>
        <v>147.07973914712514</v>
      </c>
      <c r="V63" s="858">
        <f t="shared" si="116"/>
        <v>143.64662280942619</v>
      </c>
      <c r="W63" s="297">
        <f>+W54-W60</f>
        <v>158.99369246528286</v>
      </c>
      <c r="X63" s="298">
        <f t="shared" si="117"/>
        <v>154.19677674462349</v>
      </c>
      <c r="Y63" s="858">
        <f t="shared" si="117"/>
        <v>149.49367740113092</v>
      </c>
      <c r="Z63" s="858">
        <f t="shared" si="117"/>
        <v>145.78423569825702</v>
      </c>
      <c r="AA63" s="297">
        <f>+AA54-AA60</f>
        <v>112.70643208228404</v>
      </c>
      <c r="AB63" s="298">
        <f t="shared" si="118"/>
        <v>155.99015324444446</v>
      </c>
      <c r="AC63" s="859">
        <f t="shared" si="118"/>
        <v>143.9000206012615</v>
      </c>
      <c r="AD63" s="859">
        <f t="shared" si="118"/>
        <v>156.14323641621377</v>
      </c>
      <c r="AE63" s="860">
        <f t="shared" si="118"/>
        <v>143.46298144722161</v>
      </c>
      <c r="AF63" s="860">
        <f t="shared" si="118"/>
        <v>147.45733693533691</v>
      </c>
      <c r="AG63" s="297">
        <f>+AG54-AG60</f>
        <v>159.95312396196638</v>
      </c>
      <c r="AH63" s="298">
        <f t="shared" si="119"/>
        <v>137.38247992338719</v>
      </c>
      <c r="AI63" s="858">
        <f t="shared" si="119"/>
        <v>145.8517404096379</v>
      </c>
      <c r="AJ63" s="858">
        <f t="shared" si="119"/>
        <v>145.99789503173673</v>
      </c>
      <c r="AK63" s="297">
        <f>+AK54-AK60</f>
        <v>160.6521911820563</v>
      </c>
      <c r="AL63" s="298">
        <f t="shared" si="120"/>
        <v>153.36190515416695</v>
      </c>
      <c r="AM63" s="858">
        <f t="shared" si="120"/>
        <v>147.6714679636238</v>
      </c>
      <c r="AN63" s="858">
        <f t="shared" si="120"/>
        <v>146.9033061123634</v>
      </c>
      <c r="AO63" s="297">
        <f>+AO54-AO60</f>
        <v>160.63767893483231</v>
      </c>
      <c r="AP63" s="298">
        <f t="shared" si="121"/>
        <v>150.40169397849436</v>
      </c>
      <c r="AQ63" s="859">
        <f t="shared" si="121"/>
        <v>160.41174592676575</v>
      </c>
      <c r="AR63" s="859">
        <f t="shared" si="121"/>
        <v>146.98007114764496</v>
      </c>
      <c r="AS63" s="858">
        <f t="shared" si="121"/>
        <v>149.13311356401454</v>
      </c>
      <c r="AT63" s="858">
        <f t="shared" si="121"/>
        <v>147.29766983545451</v>
      </c>
      <c r="AU63" s="297">
        <f>+AU54-AU60</f>
        <v>161.59367150932485</v>
      </c>
      <c r="AV63" s="298">
        <f t="shared" si="122"/>
        <v>151.47652265188179</v>
      </c>
      <c r="AW63" s="858">
        <f t="shared" si="122"/>
        <v>150.3954576695852</v>
      </c>
      <c r="AX63" s="858">
        <f t="shared" si="122"/>
        <v>147.72101766979844</v>
      </c>
      <c r="AY63" s="297">
        <f>+AY54-AY60</f>
        <v>160.94219944404304</v>
      </c>
      <c r="AZ63" s="298">
        <f t="shared" si="123"/>
        <v>148.82231454613097</v>
      </c>
      <c r="BA63" s="858">
        <f t="shared" si="123"/>
        <v>151.27961566265353</v>
      </c>
      <c r="BB63" s="858">
        <f t="shared" si="123"/>
        <v>147.8133419588323</v>
      </c>
      <c r="BC63" s="297">
        <f>+BC54-BC60</f>
        <v>161.76264794652093</v>
      </c>
      <c r="BD63" s="298">
        <f t="shared" si="124"/>
        <v>153.05903188037638</v>
      </c>
      <c r="BE63" s="859">
        <f t="shared" si="124"/>
        <v>161.44919430627138</v>
      </c>
      <c r="BF63" s="859">
        <f t="shared" si="124"/>
        <v>151.19585553101854</v>
      </c>
      <c r="BG63" s="860">
        <f t="shared" si="124"/>
        <v>160.92476985069709</v>
      </c>
      <c r="BH63" s="860">
        <f t="shared" si="124"/>
        <v>149.06479968887365</v>
      </c>
      <c r="BI63" s="858">
        <f t="shared" si="124"/>
        <v>152.16995539087239</v>
      </c>
      <c r="BJ63" s="858">
        <f t="shared" si="124"/>
        <v>148.25886630833332</v>
      </c>
      <c r="BK63" s="1111"/>
      <c r="BL63" s="1111"/>
      <c r="BM63" s="1111"/>
      <c r="BN63" s="1111"/>
      <c r="BO63" s="1111"/>
    </row>
    <row r="64" spans="1:67" ht="15.6" x14ac:dyDescent="0.3">
      <c r="A64" s="253"/>
      <c r="B64" s="19" t="s">
        <v>686</v>
      </c>
      <c r="C64" s="12" t="s">
        <v>373</v>
      </c>
      <c r="D64" s="287">
        <f t="shared" si="126"/>
        <v>13.06251944444444</v>
      </c>
      <c r="E64" s="287">
        <f t="shared" si="126"/>
        <v>13.210962365591397</v>
      </c>
      <c r="G64" s="843">
        <v>4</v>
      </c>
      <c r="H64" s="741" t="s">
        <v>711</v>
      </c>
      <c r="I64" s="297">
        <f>+I65+I87</f>
        <v>138.62721422203228</v>
      </c>
      <c r="J64" s="298">
        <f t="shared" si="113"/>
        <v>155.71715077361105</v>
      </c>
      <c r="K64" s="297">
        <f>+K65+K87</f>
        <v>130.67104232699839</v>
      </c>
      <c r="L64" s="298">
        <f t="shared" si="114"/>
        <v>104.43051425403218</v>
      </c>
      <c r="M64" s="858">
        <f t="shared" si="114"/>
        <v>134.58391375078551</v>
      </c>
      <c r="N64" s="858">
        <f t="shared" si="114"/>
        <v>129.6534502472677</v>
      </c>
      <c r="O64" s="297">
        <f>+O65+O87</f>
        <v>160.17683235758588</v>
      </c>
      <c r="P64" s="298">
        <f t="shared" si="115"/>
        <v>157.02181340416649</v>
      </c>
      <c r="Q64" s="859">
        <f t="shared" si="115"/>
        <v>143.02113966511533</v>
      </c>
      <c r="R64" s="859">
        <f t="shared" si="115"/>
        <v>138.67598755173981</v>
      </c>
      <c r="S64" s="297">
        <f>+S65+S87</f>
        <v>158.99369246528286</v>
      </c>
      <c r="T64" s="298">
        <f t="shared" si="116"/>
        <v>158.23784109274203</v>
      </c>
      <c r="U64" s="858">
        <f t="shared" si="116"/>
        <v>147.07973914712514</v>
      </c>
      <c r="V64" s="858">
        <f t="shared" si="116"/>
        <v>143.64662246789615</v>
      </c>
      <c r="W64" s="297">
        <f>+W65+W87</f>
        <v>158.99369246528286</v>
      </c>
      <c r="X64" s="298">
        <f t="shared" si="117"/>
        <v>154.19677674462358</v>
      </c>
      <c r="Y64" s="858">
        <f t="shared" si="117"/>
        <v>149.49367740113092</v>
      </c>
      <c r="Z64" s="858">
        <f t="shared" si="117"/>
        <v>145.78423542592586</v>
      </c>
      <c r="AA64" s="297">
        <f>+AA65+AA87</f>
        <v>112.70643208228404</v>
      </c>
      <c r="AB64" s="298">
        <f t="shared" ref="AB64:AF73" si="127">AB16/1000/24/AB$3</f>
        <v>155.99015324444443</v>
      </c>
      <c r="AC64" s="859">
        <f t="shared" si="127"/>
        <v>143.9000206012615</v>
      </c>
      <c r="AD64" s="859">
        <f t="shared" si="127"/>
        <v>156.14323641621377</v>
      </c>
      <c r="AE64" s="860">
        <f t="shared" si="127"/>
        <v>143.46298144722158</v>
      </c>
      <c r="AF64" s="860">
        <f t="shared" si="127"/>
        <v>147.4573367076502</v>
      </c>
      <c r="AG64" s="297">
        <f>+AG65+AG87</f>
        <v>159.95312396196638</v>
      </c>
      <c r="AH64" s="298">
        <f t="shared" si="119"/>
        <v>137.38247992338717</v>
      </c>
      <c r="AI64" s="858">
        <f t="shared" si="119"/>
        <v>145.85174040963787</v>
      </c>
      <c r="AJ64" s="858">
        <f t="shared" si="119"/>
        <v>145.99789483703265</v>
      </c>
      <c r="AK64" s="297">
        <f>+AK65+AK87</f>
        <v>160.6521911820563</v>
      </c>
      <c r="AL64" s="298">
        <f t="shared" si="120"/>
        <v>153.36190515416686</v>
      </c>
      <c r="AM64" s="858">
        <f t="shared" si="120"/>
        <v>147.67146796362374</v>
      </c>
      <c r="AN64" s="858">
        <f t="shared" si="120"/>
        <v>146.90330594159835</v>
      </c>
      <c r="AO64" s="297">
        <f>+AO65+AO87</f>
        <v>160.63767893483231</v>
      </c>
      <c r="AP64" s="298">
        <f t="shared" ref="AP64:AT73" si="128">AP16/1000/24/AP$3</f>
        <v>150.40169397849439</v>
      </c>
      <c r="AQ64" s="859">
        <f t="shared" si="128"/>
        <v>160.41174592676575</v>
      </c>
      <c r="AR64" s="859">
        <f t="shared" si="128"/>
        <v>146.98007114764496</v>
      </c>
      <c r="AS64" s="858">
        <f t="shared" si="128"/>
        <v>149.13311356401454</v>
      </c>
      <c r="AT64" s="858">
        <f t="shared" si="128"/>
        <v>147.29766968393935</v>
      </c>
      <c r="AU64" s="297">
        <f>+AU65+AU87</f>
        <v>161.59367150932485</v>
      </c>
      <c r="AV64" s="298">
        <f t="shared" si="122"/>
        <v>151.47652265188177</v>
      </c>
      <c r="AW64" s="858">
        <f t="shared" si="122"/>
        <v>150.3954576695852</v>
      </c>
      <c r="AX64" s="858">
        <f t="shared" si="122"/>
        <v>147.72101753363287</v>
      </c>
      <c r="AY64" s="297">
        <f>+AY65+AY87</f>
        <v>160.94219944404304</v>
      </c>
      <c r="AZ64" s="298">
        <f t="shared" si="123"/>
        <v>148.82231454613097</v>
      </c>
      <c r="BA64" s="858">
        <f t="shared" si="123"/>
        <v>151.27961566265353</v>
      </c>
      <c r="BB64" s="858">
        <f t="shared" si="123"/>
        <v>147.8133418340818</v>
      </c>
      <c r="BC64" s="297">
        <f>+BC65+BC87</f>
        <v>161.76264794652093</v>
      </c>
      <c r="BD64" s="298">
        <f t="shared" ref="BD64:BJ73" si="129">BD16/1000/24/BD$3</f>
        <v>152.98376306317203</v>
      </c>
      <c r="BE64" s="859">
        <f t="shared" si="129"/>
        <v>161.44919430627138</v>
      </c>
      <c r="BF64" s="859">
        <f t="shared" si="129"/>
        <v>151.16992960509259</v>
      </c>
      <c r="BG64" s="860">
        <f t="shared" si="129"/>
        <v>160.92476985069709</v>
      </c>
      <c r="BH64" s="860">
        <f t="shared" si="129"/>
        <v>149.05197917605312</v>
      </c>
      <c r="BI64" s="858">
        <f t="shared" si="129"/>
        <v>152.16995539087239</v>
      </c>
      <c r="BJ64" s="858">
        <f t="shared" si="129"/>
        <v>148.25247350011415</v>
      </c>
      <c r="BK64" s="1111"/>
      <c r="BL64" s="1111"/>
      <c r="BM64" s="1111"/>
      <c r="BN64" s="1111"/>
      <c r="BO64" s="1111"/>
    </row>
    <row r="65" spans="1:67" ht="15.6" x14ac:dyDescent="0.3">
      <c r="A65" s="253"/>
      <c r="B65" s="19" t="s">
        <v>687</v>
      </c>
      <c r="C65" s="12" t="s">
        <v>373</v>
      </c>
      <c r="D65" s="287">
        <f t="shared" si="126"/>
        <v>22.231472222222227</v>
      </c>
      <c r="E65" s="287">
        <f t="shared" si="126"/>
        <v>22.708427419354837</v>
      </c>
      <c r="G65" s="849">
        <v>4.0999999999999996</v>
      </c>
      <c r="H65" s="742" t="s">
        <v>705</v>
      </c>
      <c r="I65" s="301">
        <f>I66+I82</f>
        <v>125.22721422203229</v>
      </c>
      <c r="J65" s="302">
        <f t="shared" si="113"/>
        <v>142.7924747129629</v>
      </c>
      <c r="K65" s="301">
        <f>K66+K82</f>
        <v>117.2710423269984</v>
      </c>
      <c r="L65" s="302">
        <f t="shared" si="114"/>
        <v>93.943981344085941</v>
      </c>
      <c r="M65" s="864">
        <f t="shared" si="114"/>
        <v>121.18391375078554</v>
      </c>
      <c r="N65" s="864">
        <f t="shared" si="114"/>
        <v>117.96783054189429</v>
      </c>
      <c r="O65" s="301">
        <f>O66+O82</f>
        <v>146.85183235758589</v>
      </c>
      <c r="P65" s="302">
        <f t="shared" si="115"/>
        <v>143.45282549074054</v>
      </c>
      <c r="Q65" s="1518">
        <f t="shared" si="115"/>
        <v>129.64586493984058</v>
      </c>
      <c r="R65" s="1518">
        <f t="shared" si="115"/>
        <v>126.36947722832711</v>
      </c>
      <c r="S65" s="301">
        <f>S66+S82</f>
        <v>145.66869246528287</v>
      </c>
      <c r="T65" s="302">
        <f t="shared" si="116"/>
        <v>144.7363386137994</v>
      </c>
      <c r="U65" s="864">
        <f t="shared" si="116"/>
        <v>133.7172391471251</v>
      </c>
      <c r="V65" s="864">
        <f t="shared" si="116"/>
        <v>131.03646659676679</v>
      </c>
      <c r="W65" s="301">
        <f>W66+W82</f>
        <v>145.66869246528287</v>
      </c>
      <c r="X65" s="302">
        <f t="shared" si="117"/>
        <v>140.93425017114683</v>
      </c>
      <c r="Y65" s="864">
        <f t="shared" si="117"/>
        <v>136.13877544034662</v>
      </c>
      <c r="Z65" s="864">
        <f t="shared" si="117"/>
        <v>133.0418998700072</v>
      </c>
      <c r="AA65" s="301">
        <f>AA66+AA82</f>
        <v>99.381432082284036</v>
      </c>
      <c r="AB65" s="302">
        <f t="shared" si="127"/>
        <v>142.56274418287032</v>
      </c>
      <c r="AC65" s="1518">
        <f t="shared" si="127"/>
        <v>130.57502060126154</v>
      </c>
      <c r="AD65" s="1518">
        <f t="shared" si="127"/>
        <v>142.74641932412439</v>
      </c>
      <c r="AE65" s="1517">
        <f t="shared" si="127"/>
        <v>130.11298144722159</v>
      </c>
      <c r="AF65" s="1517">
        <f t="shared" si="127"/>
        <v>134.60269401965689</v>
      </c>
      <c r="AG65" s="301">
        <f>AG66+AG82</f>
        <v>146.62812396196639</v>
      </c>
      <c r="AH65" s="302">
        <f t="shared" si="119"/>
        <v>125.38481260439076</v>
      </c>
      <c r="AI65" s="864">
        <f t="shared" si="119"/>
        <v>132.50536190496499</v>
      </c>
      <c r="AJ65" s="864">
        <f t="shared" si="119"/>
        <v>133.26739344080994</v>
      </c>
      <c r="AK65" s="301">
        <f>AK66+AK82</f>
        <v>147.32719118205631</v>
      </c>
      <c r="AL65" s="302">
        <f t="shared" si="120"/>
        <v>141.07192980185206</v>
      </c>
      <c r="AM65" s="864">
        <f t="shared" si="120"/>
        <v>134.32771796362374</v>
      </c>
      <c r="AN65" s="864">
        <f t="shared" si="120"/>
        <v>134.22696758356102</v>
      </c>
      <c r="AO65" s="301">
        <f>AO66+AO82</f>
        <v>147.31267893483232</v>
      </c>
      <c r="AP65" s="302">
        <f t="shared" si="128"/>
        <v>138.21630998252664</v>
      </c>
      <c r="AQ65" s="1518">
        <f t="shared" si="128"/>
        <v>147.08674592676576</v>
      </c>
      <c r="AR65" s="1518">
        <f t="shared" si="128"/>
        <v>134.82383363315222</v>
      </c>
      <c r="AS65" s="2336">
        <f t="shared" si="128"/>
        <v>135.79147720037818</v>
      </c>
      <c r="AT65" s="2336">
        <f t="shared" si="128"/>
        <v>134.67667527217168</v>
      </c>
      <c r="AU65" s="301">
        <f>AU66+AU82</f>
        <v>148.26867150932486</v>
      </c>
      <c r="AV65" s="302">
        <f t="shared" si="122"/>
        <v>139.5322966760753</v>
      </c>
      <c r="AW65" s="2336">
        <f t="shared" si="122"/>
        <v>137.05550668919307</v>
      </c>
      <c r="AX65" s="2336">
        <f t="shared" si="122"/>
        <v>135.1685846300835</v>
      </c>
      <c r="AY65" s="301">
        <f>AY66+AY82</f>
        <v>147.61719944404305</v>
      </c>
      <c r="AZ65" s="302">
        <f t="shared" si="123"/>
        <v>137.95412011309523</v>
      </c>
      <c r="BA65" s="2336">
        <f t="shared" si="123"/>
        <v>137.94091805786312</v>
      </c>
      <c r="BB65" s="2336">
        <f t="shared" si="123"/>
        <v>135.4021025747671</v>
      </c>
      <c r="BC65" s="301">
        <f>BC66+BC82</f>
        <v>148.43764794652094</v>
      </c>
      <c r="BD65" s="302">
        <f t="shared" si="129"/>
        <v>141.38563349910396</v>
      </c>
      <c r="BE65" s="1518">
        <f t="shared" si="129"/>
        <v>148.12419430627139</v>
      </c>
      <c r="BF65" s="1518">
        <f t="shared" si="129"/>
        <v>139.67967998441358</v>
      </c>
      <c r="BG65" s="1517">
        <f t="shared" si="129"/>
        <v>147.5997698506971</v>
      </c>
      <c r="BH65" s="1517">
        <f t="shared" si="129"/>
        <v>137.22507633432542</v>
      </c>
      <c r="BI65" s="2336">
        <f t="shared" si="129"/>
        <v>138.83242114429706</v>
      </c>
      <c r="BJ65" s="2336">
        <f t="shared" si="129"/>
        <v>135.91029287245053</v>
      </c>
      <c r="BK65" s="1111"/>
      <c r="BL65" s="1111"/>
      <c r="BM65" s="1111"/>
      <c r="BN65" s="1111"/>
      <c r="BO65" s="1111"/>
    </row>
    <row r="66" spans="1:67" x14ac:dyDescent="0.3">
      <c r="A66" s="253"/>
      <c r="B66" s="19" t="s">
        <v>82</v>
      </c>
      <c r="C66" s="12" t="s">
        <v>373</v>
      </c>
      <c r="D66" s="287">
        <f t="shared" si="126"/>
        <v>1.3352222222222243</v>
      </c>
      <c r="E66" s="287">
        <f t="shared" si="126"/>
        <v>1.3534677419354828</v>
      </c>
      <c r="G66" s="850" t="s">
        <v>712</v>
      </c>
      <c r="H66" s="769" t="s">
        <v>684</v>
      </c>
      <c r="I66" s="303">
        <f>+SUM(I67:I80)</f>
        <v>122.85713155536563</v>
      </c>
      <c r="J66" s="304">
        <f t="shared" si="113"/>
        <v>140.73214374999998</v>
      </c>
      <c r="K66" s="303">
        <f>+SUM(K67:K80)</f>
        <v>114.90095966033174</v>
      </c>
      <c r="L66" s="304">
        <f t="shared" si="114"/>
        <v>92.001913602150452</v>
      </c>
      <c r="M66" s="865">
        <f t="shared" si="114"/>
        <v>118.81383108411887</v>
      </c>
      <c r="N66" s="865">
        <f t="shared" si="114"/>
        <v>115.96760056010923</v>
      </c>
      <c r="O66" s="303">
        <f>+SUM(O67:O80)</f>
        <v>144.39850569091922</v>
      </c>
      <c r="P66" s="304">
        <f t="shared" si="115"/>
        <v>141.2380808888887</v>
      </c>
      <c r="Q66" s="866">
        <f t="shared" si="115"/>
        <v>127.24833919625085</v>
      </c>
      <c r="R66" s="866">
        <f t="shared" si="115"/>
        <v>124.29852814102556</v>
      </c>
      <c r="S66" s="303">
        <f>+SUM(S67:S80)</f>
        <v>143.2153657986162</v>
      </c>
      <c r="T66" s="304">
        <f t="shared" si="116"/>
        <v>142.56308795698934</v>
      </c>
      <c r="U66" s="865">
        <f t="shared" si="116"/>
        <v>131.30553448045845</v>
      </c>
      <c r="V66" s="865">
        <f t="shared" si="116"/>
        <v>128.93952284836061</v>
      </c>
      <c r="W66" s="303">
        <f>+SUM(W67:W80)</f>
        <v>143.2153657986162</v>
      </c>
      <c r="X66" s="304">
        <f t="shared" si="117"/>
        <v>138.82875287634397</v>
      </c>
      <c r="Y66" s="865">
        <f t="shared" si="117"/>
        <v>133.71863755799367</v>
      </c>
      <c r="Z66" s="865">
        <f t="shared" si="117"/>
        <v>130.94322305010886</v>
      </c>
      <c r="AA66" s="303">
        <f>+SUM(AA67:AA80)</f>
        <v>96.960513082284038</v>
      </c>
      <c r="AB66" s="304">
        <f t="shared" si="127"/>
        <v>140.3709321111111</v>
      </c>
      <c r="AC66" s="866">
        <f t="shared" si="127"/>
        <v>128.13226165198617</v>
      </c>
      <c r="AD66" s="866">
        <f t="shared" si="127"/>
        <v>140.58994596920292</v>
      </c>
      <c r="AE66" s="867">
        <f t="shared" si="127"/>
        <v>127.69271551279537</v>
      </c>
      <c r="AF66" s="867">
        <f t="shared" si="127"/>
        <v>132.48874912568303</v>
      </c>
      <c r="AG66" s="303">
        <f>+SUM(AG67:AG80)</f>
        <v>144.17479729529973</v>
      </c>
      <c r="AH66" s="304">
        <f t="shared" si="119"/>
        <v>123.25544502688182</v>
      </c>
      <c r="AI66" s="865">
        <f t="shared" si="119"/>
        <v>130.08030679904599</v>
      </c>
      <c r="AJ66" s="865">
        <f t="shared" si="119"/>
        <v>131.15121441978189</v>
      </c>
      <c r="AK66" s="303">
        <f>+SUM(AK67:AK80)</f>
        <v>144.87386451538964</v>
      </c>
      <c r="AL66" s="304">
        <f t="shared" si="120"/>
        <v>138.86092833333353</v>
      </c>
      <c r="AM66" s="865">
        <f t="shared" si="120"/>
        <v>131.89918684613744</v>
      </c>
      <c r="AN66" s="865">
        <f t="shared" si="120"/>
        <v>132.09913006489072</v>
      </c>
      <c r="AO66" s="303">
        <f>+SUM(AO67:AO80)</f>
        <v>144.85935226816565</v>
      </c>
      <c r="AP66" s="304">
        <f t="shared" si="128"/>
        <v>136.09950053763419</v>
      </c>
      <c r="AQ66" s="866">
        <f t="shared" si="128"/>
        <v>144.63341926009906</v>
      </c>
      <c r="AR66" s="866">
        <f t="shared" si="128"/>
        <v>132.67207785326087</v>
      </c>
      <c r="AS66" s="865">
        <f t="shared" si="128"/>
        <v>133.360150948257</v>
      </c>
      <c r="AT66" s="865">
        <f t="shared" si="128"/>
        <v>132.55008091818178</v>
      </c>
      <c r="AU66" s="303">
        <f>+SUM(AU67:AU80)</f>
        <v>145.81534484265819</v>
      </c>
      <c r="AV66" s="304">
        <f t="shared" si="122"/>
        <v>137.40327688172047</v>
      </c>
      <c r="AW66" s="865">
        <f t="shared" si="122"/>
        <v>134.62195163690549</v>
      </c>
      <c r="AX66" s="865">
        <f t="shared" si="122"/>
        <v>133.04174456154681</v>
      </c>
      <c r="AY66" s="303">
        <f>+SUM(AY67:AY80)</f>
        <v>145.16387277737638</v>
      </c>
      <c r="AZ66" s="304">
        <f t="shared" si="123"/>
        <v>136.01831770833334</v>
      </c>
      <c r="BA66" s="865">
        <f t="shared" si="123"/>
        <v>135.50570550496892</v>
      </c>
      <c r="BB66" s="865">
        <f t="shared" si="123"/>
        <v>133.29127763972053</v>
      </c>
      <c r="BC66" s="303">
        <f>+SUM(BC67:BC80)</f>
        <v>145.98432127985427</v>
      </c>
      <c r="BD66" s="304">
        <f t="shared" si="129"/>
        <v>139.44603575268818</v>
      </c>
      <c r="BE66" s="866">
        <f t="shared" si="129"/>
        <v>145.67086763960472</v>
      </c>
      <c r="BF66" s="866">
        <f t="shared" si="129"/>
        <v>137.67601763888891</v>
      </c>
      <c r="BG66" s="867">
        <f t="shared" si="129"/>
        <v>145.14644318403043</v>
      </c>
      <c r="BH66" s="867">
        <f t="shared" si="129"/>
        <v>135.14655357142857</v>
      </c>
      <c r="BI66" s="865">
        <f t="shared" si="129"/>
        <v>136.39567013242493</v>
      </c>
      <c r="BJ66" s="865">
        <f t="shared" si="129"/>
        <v>133.81401052054795</v>
      </c>
      <c r="BK66" s="1111"/>
      <c r="BL66" s="1111"/>
      <c r="BM66" s="1111"/>
      <c r="BN66" s="1111"/>
      <c r="BO66" s="1111"/>
    </row>
    <row r="67" spans="1:67" x14ac:dyDescent="0.3">
      <c r="A67" s="253"/>
      <c r="B67" s="19" t="s">
        <v>462</v>
      </c>
      <c r="C67" s="12" t="s">
        <v>373</v>
      </c>
      <c r="D67" s="287">
        <f t="shared" si="126"/>
        <v>5.1045138888889019</v>
      </c>
      <c r="E67" s="287">
        <f t="shared" si="126"/>
        <v>5.8832526881720257</v>
      </c>
      <c r="G67" s="840" t="s">
        <v>713</v>
      </c>
      <c r="H67" s="243" t="s">
        <v>685</v>
      </c>
      <c r="I67" s="299">
        <v>6.6135740999999992</v>
      </c>
      <c r="J67" s="300">
        <f t="shared" si="113"/>
        <v>6.6673247222222205</v>
      </c>
      <c r="K67" s="299">
        <v>6.5745499049999987</v>
      </c>
      <c r="L67" s="300">
        <f t="shared" si="114"/>
        <v>6.6575751344086029</v>
      </c>
      <c r="M67" s="861">
        <f t="shared" si="114"/>
        <v>6.5937421320491785</v>
      </c>
      <c r="N67" s="861">
        <f t="shared" si="114"/>
        <v>6.6623700136612021</v>
      </c>
      <c r="O67" s="299">
        <v>7.3162083750000004</v>
      </c>
      <c r="P67" s="300">
        <f t="shared" si="115"/>
        <v>6.9205679722222033</v>
      </c>
      <c r="Q67" s="862">
        <f t="shared" si="115"/>
        <v>6.8319178165384606</v>
      </c>
      <c r="R67" s="862">
        <f t="shared" si="115"/>
        <v>6.7474902197802136</v>
      </c>
      <c r="S67" s="299">
        <v>7.3162083750000004</v>
      </c>
      <c r="T67" s="300">
        <f t="shared" si="116"/>
        <v>6.9423149731182976</v>
      </c>
      <c r="U67" s="861">
        <f t="shared" si="116"/>
        <v>6.9549752535245899</v>
      </c>
      <c r="V67" s="861">
        <f t="shared" si="116"/>
        <v>6.7969948702185787</v>
      </c>
      <c r="W67" s="299">
        <v>7.3162083750000004</v>
      </c>
      <c r="X67" s="300">
        <f t="shared" si="117"/>
        <v>6.6769094086021372</v>
      </c>
      <c r="Y67" s="861">
        <f t="shared" si="117"/>
        <v>7.0281662781372534</v>
      </c>
      <c r="Z67" s="861">
        <f t="shared" si="117"/>
        <v>6.7726638289760315</v>
      </c>
      <c r="AA67" s="299">
        <v>6.9802600312499994</v>
      </c>
      <c r="AB67" s="300">
        <f t="shared" si="127"/>
        <v>6.5690066666666818</v>
      </c>
      <c r="AC67" s="862">
        <f t="shared" si="127"/>
        <v>7.206660002038042</v>
      </c>
      <c r="AD67" s="862">
        <f t="shared" si="127"/>
        <v>6.7311538677536307</v>
      </c>
      <c r="AE67" s="863">
        <f t="shared" si="127"/>
        <v>7.0203127950409829</v>
      </c>
      <c r="AF67" s="863">
        <f t="shared" si="127"/>
        <v>6.7392774089253189</v>
      </c>
      <c r="AG67" s="299">
        <v>7.3162083750000004</v>
      </c>
      <c r="AH67" s="300">
        <f t="shared" si="119"/>
        <v>6.6832915322580568</v>
      </c>
      <c r="AI67" s="861">
        <f t="shared" si="119"/>
        <v>7.0631761734462613</v>
      </c>
      <c r="AJ67" s="861">
        <f t="shared" si="119"/>
        <v>6.7311673052959495</v>
      </c>
      <c r="AK67" s="299">
        <v>7.3162083750000004</v>
      </c>
      <c r="AL67" s="300">
        <f t="shared" si="120"/>
        <v>7.0700426388889159</v>
      </c>
      <c r="AM67" s="861">
        <f t="shared" si="120"/>
        <v>7.0942866900307378</v>
      </c>
      <c r="AN67" s="861">
        <f t="shared" si="120"/>
        <v>6.7728323053278707</v>
      </c>
      <c r="AO67" s="299">
        <v>7.3162083750000004</v>
      </c>
      <c r="AP67" s="300">
        <f t="shared" si="128"/>
        <v>6.989370967741916</v>
      </c>
      <c r="AQ67" s="862">
        <f t="shared" si="128"/>
        <v>7.3162083749999995</v>
      </c>
      <c r="AR67" s="862">
        <f t="shared" si="128"/>
        <v>6.9125414855072451</v>
      </c>
      <c r="AS67" s="861">
        <f t="shared" si="128"/>
        <v>7.1193033163363655</v>
      </c>
      <c r="AT67" s="861">
        <f t="shared" si="128"/>
        <v>6.7972421181818179</v>
      </c>
      <c r="AU67" s="299">
        <v>7.3162083750000004</v>
      </c>
      <c r="AV67" s="300">
        <f t="shared" si="122"/>
        <v>6.7313923387096626</v>
      </c>
      <c r="AW67" s="861">
        <f t="shared" si="122"/>
        <v>7.1392512144362756</v>
      </c>
      <c r="AX67" s="861">
        <f t="shared" si="122"/>
        <v>6.7905710620915016</v>
      </c>
      <c r="AY67" s="299">
        <v>7.3162083750000004</v>
      </c>
      <c r="AZ67" s="300">
        <f t="shared" si="123"/>
        <v>6.9204610119047834</v>
      </c>
      <c r="BA67" s="861">
        <f t="shared" si="123"/>
        <v>7.1540859464595812</v>
      </c>
      <c r="BB67" s="861">
        <f t="shared" si="123"/>
        <v>6.8014600399201601</v>
      </c>
      <c r="BC67" s="299">
        <v>7.3162083750000004</v>
      </c>
      <c r="BD67" s="300">
        <f t="shared" si="129"/>
        <v>6.7509587365591335</v>
      </c>
      <c r="BE67" s="862">
        <f t="shared" si="129"/>
        <v>7.3162083750000004</v>
      </c>
      <c r="BF67" s="862">
        <f t="shared" si="129"/>
        <v>6.7969532407407405</v>
      </c>
      <c r="BG67" s="863">
        <f t="shared" si="129"/>
        <v>7.3162083750000004</v>
      </c>
      <c r="BH67" s="863">
        <f t="shared" si="129"/>
        <v>6.8553824633699625</v>
      </c>
      <c r="BI67" s="861">
        <f t="shared" si="129"/>
        <v>7.1678552486095901</v>
      </c>
      <c r="BJ67" s="861">
        <f t="shared" si="129"/>
        <v>6.7971708881278534</v>
      </c>
      <c r="BK67" s="1111"/>
      <c r="BL67" s="1111"/>
      <c r="BM67" s="1111"/>
      <c r="BN67" s="1111"/>
      <c r="BO67" s="1111"/>
    </row>
    <row r="68" spans="1:67" x14ac:dyDescent="0.3">
      <c r="A68" s="253"/>
      <c r="B68" s="19" t="s">
        <v>463</v>
      </c>
      <c r="C68" s="12" t="s">
        <v>373</v>
      </c>
      <c r="D68" s="287">
        <f t="shared" si="126"/>
        <v>2.9443194444444436</v>
      </c>
      <c r="E68" s="287">
        <f t="shared" si="126"/>
        <v>6.5376075268817191</v>
      </c>
      <c r="G68" s="840" t="s">
        <v>714</v>
      </c>
      <c r="H68" s="243" t="s">
        <v>602</v>
      </c>
      <c r="I68" s="299">
        <v>3.1</v>
      </c>
      <c r="J68" s="300">
        <f t="shared" si="113"/>
        <v>2.8602499999999962</v>
      </c>
      <c r="K68" s="299">
        <v>3.1</v>
      </c>
      <c r="L68" s="300">
        <f t="shared" si="114"/>
        <v>2.0065456989247314</v>
      </c>
      <c r="M68" s="861">
        <f t="shared" si="114"/>
        <v>3.1</v>
      </c>
      <c r="N68" s="861">
        <f t="shared" si="114"/>
        <v>2.4264002732240422</v>
      </c>
      <c r="O68" s="299">
        <v>2.9</v>
      </c>
      <c r="P68" s="300">
        <f t="shared" si="115"/>
        <v>2.9379444444444447</v>
      </c>
      <c r="Q68" s="862">
        <f t="shared" si="115"/>
        <v>3.0340659340659335</v>
      </c>
      <c r="R68" s="862">
        <f t="shared" si="115"/>
        <v>2.595041208791208</v>
      </c>
      <c r="S68" s="299">
        <v>2.9</v>
      </c>
      <c r="T68" s="300">
        <f t="shared" si="116"/>
        <v>3.2699731182795664</v>
      </c>
      <c r="U68" s="861">
        <f t="shared" si="116"/>
        <v>3</v>
      </c>
      <c r="V68" s="861">
        <f t="shared" si="116"/>
        <v>2.7665403005464468</v>
      </c>
      <c r="W68" s="299">
        <v>2.9</v>
      </c>
      <c r="X68" s="300">
        <f t="shared" si="117"/>
        <v>3.131885752688178</v>
      </c>
      <c r="Y68" s="861">
        <f t="shared" si="117"/>
        <v>2.9797385620915033</v>
      </c>
      <c r="Z68" s="861">
        <f t="shared" si="117"/>
        <v>2.8405645424836603</v>
      </c>
      <c r="AA68" s="299">
        <v>2.0099999999999998</v>
      </c>
      <c r="AB68" s="300">
        <f t="shared" si="127"/>
        <v>3.12839861111111</v>
      </c>
      <c r="AC68" s="862">
        <f t="shared" si="127"/>
        <v>2.6097826086956522</v>
      </c>
      <c r="AD68" s="862">
        <f t="shared" si="127"/>
        <v>3.1772780797101454</v>
      </c>
      <c r="AE68" s="863">
        <f t="shared" si="127"/>
        <v>2.8207650273224041</v>
      </c>
      <c r="AF68" s="863">
        <f t="shared" si="127"/>
        <v>2.8877504553734066</v>
      </c>
      <c r="AG68" s="299">
        <v>2.9</v>
      </c>
      <c r="AH68" s="300">
        <f t="shared" si="119"/>
        <v>2.8915591397849441</v>
      </c>
      <c r="AI68" s="861">
        <f t="shared" si="119"/>
        <v>2.8322429906542057</v>
      </c>
      <c r="AJ68" s="861">
        <f t="shared" si="119"/>
        <v>2.8883021806853577</v>
      </c>
      <c r="AK68" s="299">
        <v>2.9</v>
      </c>
      <c r="AL68" s="300">
        <f t="shared" si="120"/>
        <v>2.9910416666666664</v>
      </c>
      <c r="AM68" s="861">
        <f t="shared" si="120"/>
        <v>2.8405737704918033</v>
      </c>
      <c r="AN68" s="861">
        <f t="shared" si="120"/>
        <v>2.9009340846994531</v>
      </c>
      <c r="AO68" s="299">
        <v>2.9</v>
      </c>
      <c r="AP68" s="300">
        <f t="shared" si="128"/>
        <v>2.9374327956989292</v>
      </c>
      <c r="AQ68" s="862">
        <f t="shared" si="128"/>
        <v>2.9</v>
      </c>
      <c r="AR68" s="862">
        <f t="shared" si="128"/>
        <v>2.9394565217391313</v>
      </c>
      <c r="AS68" s="861">
        <f t="shared" si="128"/>
        <v>2.8472727272727272</v>
      </c>
      <c r="AT68" s="861">
        <f t="shared" si="128"/>
        <v>2.9050484848484848</v>
      </c>
      <c r="AU68" s="299">
        <v>2.9</v>
      </c>
      <c r="AV68" s="300">
        <f t="shared" si="122"/>
        <v>2.9492338709677419</v>
      </c>
      <c r="AW68" s="861">
        <f t="shared" si="122"/>
        <v>2.8526143790849674</v>
      </c>
      <c r="AX68" s="861">
        <f t="shared" si="122"/>
        <v>2.909524782135076</v>
      </c>
      <c r="AY68" s="299">
        <v>2.9</v>
      </c>
      <c r="AZ68" s="300">
        <f t="shared" si="123"/>
        <v>2.7929166666666689</v>
      </c>
      <c r="BA68" s="861">
        <f t="shared" si="123"/>
        <v>2.8565868263473053</v>
      </c>
      <c r="BB68" s="861">
        <f t="shared" si="123"/>
        <v>2.8997492514970062</v>
      </c>
      <c r="BC68" s="299">
        <v>2.9</v>
      </c>
      <c r="BD68" s="300">
        <f t="shared" si="129"/>
        <v>2.8405241935483865</v>
      </c>
      <c r="BE68" s="862">
        <f t="shared" si="129"/>
        <v>2.9</v>
      </c>
      <c r="BF68" s="862">
        <f t="shared" si="129"/>
        <v>2.863157407407408</v>
      </c>
      <c r="BG68" s="863">
        <f t="shared" si="129"/>
        <v>2.9000000000000004</v>
      </c>
      <c r="BH68" s="863">
        <f t="shared" si="129"/>
        <v>2.9017261904761913</v>
      </c>
      <c r="BI68" s="861">
        <f t="shared" si="129"/>
        <v>2.8602739726027395</v>
      </c>
      <c r="BJ68" s="861">
        <f t="shared" si="129"/>
        <v>2.8947191780821919</v>
      </c>
      <c r="BK68" s="1111"/>
      <c r="BL68" s="1111"/>
      <c r="BM68" s="1111"/>
      <c r="BN68" s="1111"/>
      <c r="BO68" s="1111"/>
    </row>
    <row r="69" spans="1:67" x14ac:dyDescent="0.3">
      <c r="A69" s="253"/>
      <c r="B69" s="19" t="s">
        <v>464</v>
      </c>
      <c r="C69" s="12" t="s">
        <v>373</v>
      </c>
      <c r="D69" s="287">
        <f t="shared" si="126"/>
        <v>0.58881527777777698</v>
      </c>
      <c r="E69" s="287">
        <f t="shared" si="126"/>
        <v>0.73001344086021558</v>
      </c>
      <c r="G69" s="840" t="s">
        <v>715</v>
      </c>
      <c r="H69" s="243" t="s">
        <v>461</v>
      </c>
      <c r="I69" s="299">
        <v>12.303117091272709</v>
      </c>
      <c r="J69" s="300">
        <f t="shared" si="113"/>
        <v>16.257583333333333</v>
      </c>
      <c r="K69" s="299">
        <v>10.704169801805195</v>
      </c>
      <c r="L69" s="300">
        <f t="shared" si="114"/>
        <v>7.929529569892475</v>
      </c>
      <c r="M69" s="861">
        <f t="shared" si="114"/>
        <v>11.490537321215447</v>
      </c>
      <c r="N69" s="861">
        <f t="shared" si="114"/>
        <v>12.025293715846994</v>
      </c>
      <c r="O69" s="299">
        <v>15.992662885530034</v>
      </c>
      <c r="P69" s="300">
        <f t="shared" si="115"/>
        <v>16.30136111111111</v>
      </c>
      <c r="Q69" s="862">
        <f t="shared" si="115"/>
        <v>12.974754540220257</v>
      </c>
      <c r="R69" s="862">
        <f t="shared" si="115"/>
        <v>13.434986263736263</v>
      </c>
      <c r="S69" s="299">
        <v>15.651117130611107</v>
      </c>
      <c r="T69" s="300">
        <f t="shared" si="116"/>
        <v>16.737795698924728</v>
      </c>
      <c r="U69" s="861">
        <f t="shared" si="116"/>
        <v>13.654813886958916</v>
      </c>
      <c r="V69" s="861">
        <f t="shared" si="116"/>
        <v>14.274224726775957</v>
      </c>
      <c r="W69" s="299">
        <v>15.651117130611107</v>
      </c>
      <c r="X69" s="300">
        <f t="shared" si="117"/>
        <v>16.700591397849465</v>
      </c>
      <c r="Y69" s="861">
        <f t="shared" si="117"/>
        <v>14.059293629136807</v>
      </c>
      <c r="Z69" s="861">
        <f t="shared" si="117"/>
        <v>14.765841503267973</v>
      </c>
      <c r="AA69" s="299">
        <v>8.9230073067615141</v>
      </c>
      <c r="AB69" s="300">
        <f t="shared" si="127"/>
        <v>17.088652777777774</v>
      </c>
      <c r="AC69" s="862">
        <f t="shared" si="127"/>
        <v>13.457168275007978</v>
      </c>
      <c r="AD69" s="862">
        <f t="shared" si="127"/>
        <v>16.83966938405797</v>
      </c>
      <c r="AE69" s="863">
        <f t="shared" si="127"/>
        <v>13.217279477927747</v>
      </c>
      <c r="AF69" s="863">
        <f t="shared" si="127"/>
        <v>15.146630236794172</v>
      </c>
      <c r="AG69" s="299">
        <v>15.941694790989782</v>
      </c>
      <c r="AH69" s="300">
        <f t="shared" si="119"/>
        <v>13.875201612903222</v>
      </c>
      <c r="AI69" s="861">
        <f t="shared" si="119"/>
        <v>13.611937770941406</v>
      </c>
      <c r="AJ69" s="861">
        <f t="shared" si="119"/>
        <v>14.962451323987537</v>
      </c>
      <c r="AK69" s="299">
        <v>16.164538552131766</v>
      </c>
      <c r="AL69" s="300">
        <f t="shared" si="120"/>
        <v>16.331083333333346</v>
      </c>
      <c r="AM69" s="861">
        <f t="shared" si="120"/>
        <v>13.925782129284483</v>
      </c>
      <c r="AN69" s="861">
        <f t="shared" si="120"/>
        <v>15.130725751366121</v>
      </c>
      <c r="AO69" s="299">
        <v>16.10802608124952</v>
      </c>
      <c r="AP69" s="300">
        <f t="shared" si="128"/>
        <v>14.230940860215044</v>
      </c>
      <c r="AQ69" s="862">
        <f t="shared" si="128"/>
        <v>16.070407647862734</v>
      </c>
      <c r="AR69" s="862">
        <f t="shared" si="128"/>
        <v>14.795901268115941</v>
      </c>
      <c r="AS69" s="861">
        <f t="shared" si="128"/>
        <v>14.171780538415089</v>
      </c>
      <c r="AT69" s="861">
        <f t="shared" si="128"/>
        <v>15.029295454545457</v>
      </c>
      <c r="AU69" s="299">
        <v>16.17415691929272</v>
      </c>
      <c r="AV69" s="300">
        <f t="shared" si="122"/>
        <v>15.903696236559147</v>
      </c>
      <c r="AW69" s="861">
        <f t="shared" si="122"/>
        <v>14.374635661968052</v>
      </c>
      <c r="AX69" s="861">
        <f t="shared" si="122"/>
        <v>15.117878540305011</v>
      </c>
      <c r="AY69" s="299">
        <v>16.105520809154871</v>
      </c>
      <c r="AZ69" s="300">
        <f t="shared" si="123"/>
        <v>15.470639880952382</v>
      </c>
      <c r="BA69" s="861">
        <f t="shared" si="123"/>
        <v>14.519739806043592</v>
      </c>
      <c r="BB69" s="861">
        <f t="shared" si="123"/>
        <v>15.147451347305388</v>
      </c>
      <c r="BC69" s="299">
        <v>16.17415691929272</v>
      </c>
      <c r="BD69" s="300">
        <f t="shared" si="129"/>
        <v>16.382150537634406</v>
      </c>
      <c r="BE69" s="862">
        <f t="shared" si="129"/>
        <v>16.152803462805391</v>
      </c>
      <c r="BF69" s="862">
        <f t="shared" si="129"/>
        <v>15.933768518518519</v>
      </c>
      <c r="BG69" s="863">
        <f t="shared" si="129"/>
        <v>16.111152831076133</v>
      </c>
      <c r="BH69" s="863">
        <f t="shared" si="129"/>
        <v>15.358582875457873</v>
      </c>
      <c r="BI69" s="861">
        <f t="shared" si="129"/>
        <v>14.660251944429136</v>
      </c>
      <c r="BJ69" s="861">
        <f t="shared" si="129"/>
        <v>15.252316210045663</v>
      </c>
      <c r="BK69" s="1111"/>
      <c r="BL69" s="1111"/>
      <c r="BM69" s="1111"/>
      <c r="BN69" s="1111"/>
      <c r="BO69" s="1111"/>
    </row>
    <row r="70" spans="1:67" x14ac:dyDescent="0.3">
      <c r="A70" s="253"/>
      <c r="B70" s="19" t="s">
        <v>720</v>
      </c>
      <c r="C70" s="12" t="s">
        <v>373</v>
      </c>
      <c r="D70" s="287">
        <f t="shared" si="126"/>
        <v>0.52588749999999995</v>
      </c>
      <c r="E70" s="287">
        <f t="shared" si="126"/>
        <v>0.51527553763440859</v>
      </c>
      <c r="G70" s="840" t="s">
        <v>716</v>
      </c>
      <c r="H70" s="243" t="s">
        <v>686</v>
      </c>
      <c r="I70" s="299">
        <v>13.326444444444443</v>
      </c>
      <c r="J70" s="300">
        <f t="shared" si="113"/>
        <v>16.686797222222228</v>
      </c>
      <c r="K70" s="299">
        <v>11.594502688172042</v>
      </c>
      <c r="L70" s="300">
        <f t="shared" si="114"/>
        <v>11.258131720430114</v>
      </c>
      <c r="M70" s="861">
        <f t="shared" si="114"/>
        <v>12.44627732240437</v>
      </c>
      <c r="N70" s="861">
        <f t="shared" si="114"/>
        <v>13.92796721311476</v>
      </c>
      <c r="O70" s="299">
        <v>16.451903063243073</v>
      </c>
      <c r="P70" s="300">
        <f t="shared" si="115"/>
        <v>17.101988888888897</v>
      </c>
      <c r="Q70" s="862">
        <f t="shared" si="115"/>
        <v>13.766813280922626</v>
      </c>
      <c r="R70" s="862">
        <f t="shared" si="115"/>
        <v>14.974347985347991</v>
      </c>
      <c r="S70" s="299">
        <v>16.110734566539875</v>
      </c>
      <c r="T70" s="300">
        <f t="shared" si="116"/>
        <v>17.027599462365529</v>
      </c>
      <c r="U70" s="861">
        <f t="shared" si="116"/>
        <v>14.362399837104057</v>
      </c>
      <c r="V70" s="861">
        <f t="shared" si="116"/>
        <v>15.496075819672122</v>
      </c>
      <c r="W70" s="299">
        <v>16.110734566539875</v>
      </c>
      <c r="X70" s="300">
        <f t="shared" si="117"/>
        <v>16.666750000000054</v>
      </c>
      <c r="Y70" s="861">
        <f t="shared" si="117"/>
        <v>14.71663759274138</v>
      </c>
      <c r="Z70" s="861">
        <f t="shared" si="117"/>
        <v>15.733271241830066</v>
      </c>
      <c r="AA70" s="299">
        <v>11.769946146246152</v>
      </c>
      <c r="AB70" s="300">
        <f t="shared" si="127"/>
        <v>17.000072222222219</v>
      </c>
      <c r="AC70" s="862">
        <f t="shared" si="127"/>
        <v>14.695260081661488</v>
      </c>
      <c r="AD70" s="862">
        <f t="shared" si="127"/>
        <v>16.89703260869565</v>
      </c>
      <c r="AE70" s="863">
        <f t="shared" si="127"/>
        <v>14.233573421184783</v>
      </c>
      <c r="AF70" s="863">
        <f t="shared" si="127"/>
        <v>15.940943533697631</v>
      </c>
      <c r="AG70" s="299">
        <v>16.426631322746537</v>
      </c>
      <c r="AH70" s="300">
        <f t="shared" si="119"/>
        <v>15.03148655913976</v>
      </c>
      <c r="AI70" s="861">
        <f t="shared" si="119"/>
        <v>14.551259378887654</v>
      </c>
      <c r="AJ70" s="861">
        <f t="shared" si="119"/>
        <v>15.809199766355137</v>
      </c>
      <c r="AK70" s="299">
        <v>16.451903063243073</v>
      </c>
      <c r="AL70" s="300">
        <f t="shared" si="120"/>
        <v>17.116591666666707</v>
      </c>
      <c r="AM70" s="861">
        <f t="shared" si="120"/>
        <v>14.784945077783812</v>
      </c>
      <c r="AN70" s="861">
        <f t="shared" si="120"/>
        <v>15.969944672131151</v>
      </c>
      <c r="AO70" s="299">
        <v>16.426631322746537</v>
      </c>
      <c r="AP70" s="300">
        <f t="shared" si="128"/>
        <v>16.179258064516105</v>
      </c>
      <c r="AQ70" s="862">
        <f t="shared" si="128"/>
        <v>16.434872107691064</v>
      </c>
      <c r="AR70" s="862">
        <f t="shared" si="128"/>
        <v>16.098161231884056</v>
      </c>
      <c r="AS70" s="861">
        <f t="shared" si="128"/>
        <v>14.970007890852338</v>
      </c>
      <c r="AT70" s="861">
        <f t="shared" si="128"/>
        <v>15.993539999999999</v>
      </c>
      <c r="AU70" s="299">
        <v>16.679348727711869</v>
      </c>
      <c r="AV70" s="300">
        <f t="shared" si="122"/>
        <v>16.072615591397863</v>
      </c>
      <c r="AW70" s="861">
        <f t="shared" si="122"/>
        <v>15.143176407004773</v>
      </c>
      <c r="AX70" s="861">
        <f t="shared" si="122"/>
        <v>16.001550925925926</v>
      </c>
      <c r="AY70" s="299">
        <v>16.50786191719968</v>
      </c>
      <c r="AZ70" s="300">
        <f t="shared" si="123"/>
        <v>16.044095238095249</v>
      </c>
      <c r="BA70" s="861">
        <f t="shared" si="123"/>
        <v>15.257581180314524</v>
      </c>
      <c r="BB70" s="861">
        <f t="shared" si="123"/>
        <v>16.005117514970063</v>
      </c>
      <c r="BC70" s="299">
        <v>16.679348727711869</v>
      </c>
      <c r="BD70" s="300">
        <f t="shared" si="129"/>
        <v>15.942311827956964</v>
      </c>
      <c r="BE70" s="862">
        <f t="shared" si="129"/>
        <v>16.625997275552525</v>
      </c>
      <c r="BF70" s="862">
        <f t="shared" si="129"/>
        <v>16.018860185185186</v>
      </c>
      <c r="BG70" s="863">
        <f t="shared" si="129"/>
        <v>16.529384553336836</v>
      </c>
      <c r="BH70" s="863">
        <f t="shared" si="129"/>
        <v>16.058946428571428</v>
      </c>
      <c r="BI70" s="861">
        <f t="shared" si="129"/>
        <v>15.37833404050444</v>
      </c>
      <c r="BJ70" s="861">
        <f t="shared" si="129"/>
        <v>15.999783333333333</v>
      </c>
      <c r="BK70" s="1111"/>
      <c r="BL70" s="1111"/>
      <c r="BM70" s="1111"/>
      <c r="BN70" s="1111"/>
      <c r="BO70" s="1111"/>
    </row>
    <row r="71" spans="1:67" x14ac:dyDescent="0.3">
      <c r="A71" s="253"/>
      <c r="B71" s="19" t="s">
        <v>722</v>
      </c>
      <c r="C71" s="12" t="s">
        <v>373</v>
      </c>
      <c r="D71" s="287">
        <f t="shared" si="126"/>
        <v>7.5123108333333333</v>
      </c>
      <c r="E71" s="287">
        <f t="shared" si="126"/>
        <v>7.5122983870967737</v>
      </c>
      <c r="G71" s="840" t="s">
        <v>717</v>
      </c>
      <c r="H71" s="243" t="s">
        <v>687</v>
      </c>
      <c r="I71" s="299">
        <v>22.823273697426245</v>
      </c>
      <c r="J71" s="300">
        <f t="shared" si="113"/>
        <v>28.590513888888896</v>
      </c>
      <c r="K71" s="299">
        <v>19.488563878257697</v>
      </c>
      <c r="L71" s="300">
        <f t="shared" si="114"/>
        <v>15.180456989247327</v>
      </c>
      <c r="M71" s="861">
        <f t="shared" si="114"/>
        <v>21.128585100799604</v>
      </c>
      <c r="N71" s="861">
        <f t="shared" si="114"/>
        <v>21.775566939890719</v>
      </c>
      <c r="O71" s="299">
        <v>29.968130311614729</v>
      </c>
      <c r="P71" s="300">
        <f t="shared" si="115"/>
        <v>27.583430555555555</v>
      </c>
      <c r="Q71" s="862">
        <f t="shared" si="115"/>
        <v>24.04272088458481</v>
      </c>
      <c r="R71" s="862">
        <f t="shared" si="115"/>
        <v>23.690247252747259</v>
      </c>
      <c r="S71" s="299">
        <v>29.347908861067957</v>
      </c>
      <c r="T71" s="300">
        <f t="shared" si="116"/>
        <v>27.436129032258052</v>
      </c>
      <c r="U71" s="861">
        <f t="shared" si="116"/>
        <v>25.390760452379713</v>
      </c>
      <c r="V71" s="861">
        <f t="shared" si="116"/>
        <v>24.642069672131147</v>
      </c>
      <c r="W71" s="299">
        <v>29.347908861067957</v>
      </c>
      <c r="X71" s="300">
        <f t="shared" si="117"/>
        <v>26.852130376344096</v>
      </c>
      <c r="Y71" s="861">
        <f t="shared" si="117"/>
        <v>26.192535620153148</v>
      </c>
      <c r="Z71" s="861">
        <f t="shared" si="117"/>
        <v>25.089859749455336</v>
      </c>
      <c r="AA71" s="299">
        <v>16.964974819011644</v>
      </c>
      <c r="AB71" s="300">
        <f t="shared" si="127"/>
        <v>26.493749999999999</v>
      </c>
      <c r="AC71" s="862">
        <f t="shared" si="127"/>
        <v>25.30999558648438</v>
      </c>
      <c r="AD71" s="862">
        <f t="shared" si="127"/>
        <v>26.932049365942024</v>
      </c>
      <c r="AE71" s="863">
        <f t="shared" si="127"/>
        <v>24.679820734720114</v>
      </c>
      <c r="AF71" s="863">
        <f t="shared" si="127"/>
        <v>25.320005692167577</v>
      </c>
      <c r="AG71" s="299">
        <v>29.92539624518972</v>
      </c>
      <c r="AH71" s="300">
        <f t="shared" si="119"/>
        <v>23.038266129032248</v>
      </c>
      <c r="AI71" s="861">
        <f t="shared" si="119"/>
        <v>25.439693822685339</v>
      </c>
      <c r="AJ71" s="861">
        <f t="shared" si="119"/>
        <v>24.98947332554517</v>
      </c>
      <c r="AK71" s="299">
        <v>29.968130311614729</v>
      </c>
      <c r="AL71" s="300">
        <f t="shared" si="120"/>
        <v>27.874986111111113</v>
      </c>
      <c r="AM71" s="861">
        <f t="shared" si="120"/>
        <v>25.996468800832389</v>
      </c>
      <c r="AN71" s="861">
        <f t="shared" si="120"/>
        <v>25.344249487704918</v>
      </c>
      <c r="AO71" s="299">
        <v>29.92539624518972</v>
      </c>
      <c r="AP71" s="300">
        <f t="shared" si="128"/>
        <v>27.278158602150555</v>
      </c>
      <c r="AQ71" s="862">
        <f t="shared" si="128"/>
        <v>29.93933126685004</v>
      </c>
      <c r="AR71" s="862">
        <f t="shared" si="128"/>
        <v>26.044116847826089</v>
      </c>
      <c r="AS71" s="861">
        <f t="shared" si="128"/>
        <v>26.439366076378128</v>
      </c>
      <c r="AT71" s="861">
        <f t="shared" si="128"/>
        <v>25.562253787878788</v>
      </c>
      <c r="AU71" s="299">
        <v>30.387386152487132</v>
      </c>
      <c r="AV71" s="300">
        <f t="shared" si="122"/>
        <v>27.297715053763447</v>
      </c>
      <c r="AW71" s="861">
        <f t="shared" si="122"/>
        <v>26.839328894546032</v>
      </c>
      <c r="AX71" s="861">
        <f t="shared" si="122"/>
        <v>25.738068491285404</v>
      </c>
      <c r="AY71" s="299">
        <v>30.062755744412971</v>
      </c>
      <c r="AZ71" s="300">
        <f t="shared" si="123"/>
        <v>25.534791666666656</v>
      </c>
      <c r="BA71" s="861">
        <f t="shared" si="123"/>
        <v>27.109556295133679</v>
      </c>
      <c r="BB71" s="861">
        <f t="shared" si="123"/>
        <v>25.721027320359283</v>
      </c>
      <c r="BC71" s="299">
        <v>30.387386152487132</v>
      </c>
      <c r="BD71" s="300">
        <f t="shared" si="129"/>
        <v>28.281975806451616</v>
      </c>
      <c r="BE71" s="862">
        <f t="shared" si="129"/>
        <v>30.286390025530729</v>
      </c>
      <c r="BF71" s="862">
        <f t="shared" si="129"/>
        <v>27.088273148148151</v>
      </c>
      <c r="BG71" s="863">
        <f t="shared" si="129"/>
        <v>30.110953729933904</v>
      </c>
      <c r="BH71" s="863">
        <f t="shared" si="129"/>
        <v>26.560457875457875</v>
      </c>
      <c r="BI71" s="861">
        <f t="shared" si="129"/>
        <v>27.387947324114386</v>
      </c>
      <c r="BJ71" s="861">
        <f t="shared" si="129"/>
        <v>25.938532534246576</v>
      </c>
      <c r="BK71" s="1111"/>
      <c r="BL71" s="1111"/>
      <c r="BM71" s="1111"/>
      <c r="BN71" s="1111"/>
      <c r="BO71" s="1111"/>
    </row>
    <row r="72" spans="1:67" x14ac:dyDescent="0.3">
      <c r="A72" s="253"/>
      <c r="B72" s="19" t="s">
        <v>688</v>
      </c>
      <c r="C72" s="12" t="s">
        <v>373</v>
      </c>
      <c r="D72" s="287">
        <f t="shared" si="126"/>
        <v>34.170291666666692</v>
      </c>
      <c r="E72" s="287">
        <f t="shared" si="126"/>
        <v>33.882594086021491</v>
      </c>
      <c r="G72" s="840" t="s">
        <v>718</v>
      </c>
      <c r="H72" s="243" t="s">
        <v>82</v>
      </c>
      <c r="I72" s="299">
        <v>2</v>
      </c>
      <c r="J72" s="300">
        <f t="shared" si="113"/>
        <v>1.6762222222222249</v>
      </c>
      <c r="K72" s="299">
        <v>2</v>
      </c>
      <c r="L72" s="300">
        <f t="shared" si="114"/>
        <v>0.7327970430107521</v>
      </c>
      <c r="M72" s="861">
        <f t="shared" si="114"/>
        <v>2</v>
      </c>
      <c r="N72" s="861">
        <f t="shared" si="114"/>
        <v>1.1967766393442634</v>
      </c>
      <c r="O72" s="299">
        <v>2</v>
      </c>
      <c r="P72" s="300">
        <f t="shared" si="115"/>
        <v>1.8484027777777736</v>
      </c>
      <c r="Q72" s="862">
        <f t="shared" si="115"/>
        <v>2</v>
      </c>
      <c r="R72" s="862">
        <f t="shared" si="115"/>
        <v>1.4115984432234425</v>
      </c>
      <c r="S72" s="299">
        <v>2</v>
      </c>
      <c r="T72" s="300">
        <f t="shared" si="116"/>
        <v>1.578319892473123</v>
      </c>
      <c r="U72" s="861">
        <f t="shared" si="116"/>
        <v>2</v>
      </c>
      <c r="V72" s="861">
        <f t="shared" si="116"/>
        <v>1.4539620901639352</v>
      </c>
      <c r="W72" s="299">
        <v>2</v>
      </c>
      <c r="X72" s="300">
        <f t="shared" si="117"/>
        <v>1.7245967741935484</v>
      </c>
      <c r="Y72" s="861">
        <f t="shared" si="117"/>
        <v>2</v>
      </c>
      <c r="Z72" s="861">
        <f t="shared" si="117"/>
        <v>1.5087965686274516</v>
      </c>
      <c r="AA72" s="299">
        <v>2</v>
      </c>
      <c r="AB72" s="300">
        <f t="shared" si="127"/>
        <v>1.7524305555555544</v>
      </c>
      <c r="AC72" s="862">
        <f t="shared" si="127"/>
        <v>2</v>
      </c>
      <c r="AD72" s="862">
        <f t="shared" si="127"/>
        <v>1.6843840579710159</v>
      </c>
      <c r="AE72" s="863">
        <f t="shared" si="127"/>
        <v>2</v>
      </c>
      <c r="AF72" s="863">
        <f t="shared" si="127"/>
        <v>1.5487365664845176</v>
      </c>
      <c r="AG72" s="299">
        <v>2</v>
      </c>
      <c r="AH72" s="300">
        <f t="shared" si="119"/>
        <v>1.3938844086021509</v>
      </c>
      <c r="AI72" s="861">
        <f t="shared" si="119"/>
        <v>2</v>
      </c>
      <c r="AJ72" s="861">
        <f t="shared" si="119"/>
        <v>1.5263047118380062</v>
      </c>
      <c r="AK72" s="299">
        <v>2</v>
      </c>
      <c r="AL72" s="300">
        <f t="shared" si="120"/>
        <v>1.6615972222222222</v>
      </c>
      <c r="AM72" s="861">
        <f t="shared" si="120"/>
        <v>2</v>
      </c>
      <c r="AN72" s="861">
        <f t="shared" si="120"/>
        <v>1.5429390368852456</v>
      </c>
      <c r="AO72" s="299">
        <v>2</v>
      </c>
      <c r="AP72" s="300">
        <f t="shared" si="128"/>
        <v>1.5704704301075245</v>
      </c>
      <c r="AQ72" s="862">
        <f t="shared" si="128"/>
        <v>2</v>
      </c>
      <c r="AR72" s="862">
        <f t="shared" si="128"/>
        <v>1.5406838768115936</v>
      </c>
      <c r="AS72" s="861">
        <f t="shared" si="128"/>
        <v>2</v>
      </c>
      <c r="AT72" s="861">
        <f t="shared" si="128"/>
        <v>1.5460425757575755</v>
      </c>
      <c r="AU72" s="299">
        <v>2</v>
      </c>
      <c r="AV72" s="300">
        <f t="shared" si="122"/>
        <v>1.6722849462365654</v>
      </c>
      <c r="AW72" s="861">
        <f t="shared" si="122"/>
        <v>2</v>
      </c>
      <c r="AX72" s="861">
        <f t="shared" si="122"/>
        <v>1.558831835511983</v>
      </c>
      <c r="AY72" s="299">
        <v>2</v>
      </c>
      <c r="AZ72" s="300">
        <f t="shared" si="123"/>
        <v>1.667514880952379</v>
      </c>
      <c r="BA72" s="861">
        <f t="shared" si="123"/>
        <v>2</v>
      </c>
      <c r="BB72" s="861">
        <f t="shared" si="123"/>
        <v>1.5679429890219563</v>
      </c>
      <c r="BC72" s="299">
        <v>2</v>
      </c>
      <c r="BD72" s="300">
        <f t="shared" si="129"/>
        <v>1.7436155913978455</v>
      </c>
      <c r="BE72" s="862">
        <f t="shared" si="129"/>
        <v>2</v>
      </c>
      <c r="BF72" s="862">
        <f t="shared" si="129"/>
        <v>1.6953703703703709</v>
      </c>
      <c r="BG72" s="863">
        <f t="shared" si="129"/>
        <v>2</v>
      </c>
      <c r="BH72" s="863">
        <f t="shared" si="129"/>
        <v>1.6171771978021978</v>
      </c>
      <c r="BI72" s="861">
        <f t="shared" si="129"/>
        <v>2</v>
      </c>
      <c r="BJ72" s="861">
        <f t="shared" si="129"/>
        <v>1.5828631278538809</v>
      </c>
      <c r="BK72" s="1111"/>
      <c r="BL72" s="1111"/>
      <c r="BM72" s="1111"/>
      <c r="BN72" s="1111"/>
      <c r="BO72" s="1111"/>
    </row>
    <row r="73" spans="1:67" x14ac:dyDescent="0.3">
      <c r="A73" s="253"/>
      <c r="B73" s="19" t="s">
        <v>465</v>
      </c>
      <c r="C73" s="12" t="s">
        <v>373</v>
      </c>
      <c r="D73" s="287">
        <f t="shared" si="126"/>
        <v>4.9680555555555559</v>
      </c>
      <c r="E73" s="287">
        <f t="shared" si="126"/>
        <v>4.4534946236559207</v>
      </c>
      <c r="G73" s="840" t="s">
        <v>719</v>
      </c>
      <c r="H73" s="243" t="s">
        <v>462</v>
      </c>
      <c r="I73" s="299">
        <v>8.7701388888888889</v>
      </c>
      <c r="J73" s="300">
        <f t="shared" si="113"/>
        <v>10.280809722222237</v>
      </c>
      <c r="K73" s="299">
        <v>8.7197580645161299</v>
      </c>
      <c r="L73" s="300">
        <f t="shared" si="114"/>
        <v>5.8226245519713258</v>
      </c>
      <c r="M73" s="861">
        <f t="shared" si="114"/>
        <v>8.7445355191256819</v>
      </c>
      <c r="N73" s="861">
        <f t="shared" si="114"/>
        <v>8.0151746357012819</v>
      </c>
      <c r="O73" s="299">
        <v>10.22518324061843</v>
      </c>
      <c r="P73" s="300">
        <f t="shared" si="115"/>
        <v>9.6144893518518462</v>
      </c>
      <c r="Q73" s="862">
        <f t="shared" si="115"/>
        <v>9.2326611415958197</v>
      </c>
      <c r="R73" s="862">
        <f t="shared" si="115"/>
        <v>8.5424212454212487</v>
      </c>
      <c r="S73" s="299">
        <v>10.244585865363435</v>
      </c>
      <c r="T73" s="300">
        <f t="shared" si="116"/>
        <v>10.539083781362036</v>
      </c>
      <c r="U73" s="861">
        <f t="shared" si="116"/>
        <v>9.489789555012182</v>
      </c>
      <c r="V73" s="861">
        <f t="shared" si="116"/>
        <v>9.0497699225865311</v>
      </c>
      <c r="W73" s="299">
        <v>10.244585865363435</v>
      </c>
      <c r="X73" s="300">
        <f t="shared" si="117"/>
        <v>9.3594233870967418</v>
      </c>
      <c r="Y73" s="861">
        <f t="shared" si="117"/>
        <v>9.6427221407696262</v>
      </c>
      <c r="Z73" s="861">
        <f t="shared" si="117"/>
        <v>9.1125101670297735</v>
      </c>
      <c r="AA73" s="299">
        <v>6.3448136709520169</v>
      </c>
      <c r="AB73" s="300">
        <f t="shared" si="127"/>
        <v>9.9762902777777995</v>
      </c>
      <c r="AC73" s="862">
        <f t="shared" si="127"/>
        <v>8.9729210193597133</v>
      </c>
      <c r="AD73" s="862">
        <f t="shared" si="127"/>
        <v>9.958069897343</v>
      </c>
      <c r="AE73" s="863">
        <f t="shared" si="127"/>
        <v>9.1020814080126407</v>
      </c>
      <c r="AF73" s="863">
        <f t="shared" si="127"/>
        <v>9.2541134638737148</v>
      </c>
      <c r="AG73" s="299">
        <v>9.8953386199533178</v>
      </c>
      <c r="AH73" s="300">
        <f t="shared" si="119"/>
        <v>7.456827060931885</v>
      </c>
      <c r="AI73" s="861">
        <f t="shared" si="119"/>
        <v>9.2169924994619929</v>
      </c>
      <c r="AJ73" s="861">
        <f t="shared" si="119"/>
        <v>8.993758891484946</v>
      </c>
      <c r="AK73" s="299">
        <v>10.22518324061843</v>
      </c>
      <c r="AL73" s="300">
        <f t="shared" si="120"/>
        <v>9.0452273148148095</v>
      </c>
      <c r="AM73" s="861">
        <f t="shared" si="120"/>
        <v>9.34095037747303</v>
      </c>
      <c r="AN73" s="861">
        <f t="shared" si="120"/>
        <v>9.0000869763205849</v>
      </c>
      <c r="AO73" s="299">
        <v>10.244585865363435</v>
      </c>
      <c r="AP73" s="300">
        <f t="shared" si="128"/>
        <v>9.5561025985663104</v>
      </c>
      <c r="AQ73" s="862">
        <f t="shared" si="128"/>
        <v>10.120577785471438</v>
      </c>
      <c r="AR73" s="862">
        <f t="shared" si="128"/>
        <v>8.6821482487922648</v>
      </c>
      <c r="AS73" s="861">
        <f t="shared" si="128"/>
        <v>9.4428147415624952</v>
      </c>
      <c r="AT73" s="861">
        <f t="shared" si="128"/>
        <v>9.062765101010104</v>
      </c>
      <c r="AU73" s="299">
        <v>10.361001613833475</v>
      </c>
      <c r="AV73" s="300">
        <f t="shared" si="122"/>
        <v>9.9575555555555706</v>
      </c>
      <c r="AW73" s="861">
        <f t="shared" si="122"/>
        <v>9.5358336730670707</v>
      </c>
      <c r="AX73" s="861">
        <f t="shared" si="122"/>
        <v>9.1534138071895477</v>
      </c>
      <c r="AY73" s="299">
        <v>10.311109150203455</v>
      </c>
      <c r="AZ73" s="300">
        <f t="shared" si="123"/>
        <v>9.694352678571434</v>
      </c>
      <c r="BA73" s="861">
        <f t="shared" si="123"/>
        <v>9.6008268268389845</v>
      </c>
      <c r="BB73" s="861">
        <f t="shared" si="123"/>
        <v>9.1987619760479067</v>
      </c>
      <c r="BC73" s="299">
        <v>10.361001613833475</v>
      </c>
      <c r="BD73" s="300">
        <f t="shared" si="129"/>
        <v>9.4475515232974665</v>
      </c>
      <c r="BE73" s="862">
        <f t="shared" si="129"/>
        <v>10.34547951403747</v>
      </c>
      <c r="BF73" s="862">
        <f t="shared" si="129"/>
        <v>9.700002160493824</v>
      </c>
      <c r="BG73" s="863">
        <f t="shared" si="129"/>
        <v>10.231792925971124</v>
      </c>
      <c r="BH73" s="863">
        <f t="shared" si="129"/>
        <v>9.1854826007325983</v>
      </c>
      <c r="BI73" s="861">
        <f t="shared" si="129"/>
        <v>9.6653896169672802</v>
      </c>
      <c r="BJ73" s="861">
        <f t="shared" si="129"/>
        <v>9.219892047184171</v>
      </c>
      <c r="BK73" s="1111"/>
      <c r="BL73" s="1111"/>
      <c r="BM73" s="1111"/>
      <c r="BN73" s="1111"/>
      <c r="BO73" s="1111"/>
    </row>
    <row r="74" spans="1:67" x14ac:dyDescent="0.3">
      <c r="A74" s="253"/>
      <c r="B74" s="19" t="s">
        <v>726</v>
      </c>
      <c r="C74" s="12" t="s">
        <v>373</v>
      </c>
      <c r="D74" s="287">
        <f t="shared" si="126"/>
        <v>3.0618194444444473</v>
      </c>
      <c r="E74" s="287">
        <f t="shared" si="126"/>
        <v>3.1648387096774182</v>
      </c>
      <c r="G74" s="840" t="s">
        <v>721</v>
      </c>
      <c r="H74" s="243" t="s">
        <v>463</v>
      </c>
      <c r="I74" s="299">
        <v>7.7062499999999998</v>
      </c>
      <c r="J74" s="300">
        <f t="shared" si="113"/>
        <v>8.3062291666666752</v>
      </c>
      <c r="K74" s="299">
        <v>7.729838709677419</v>
      </c>
      <c r="L74" s="300">
        <f t="shared" si="114"/>
        <v>3.9125761648745248</v>
      </c>
      <c r="M74" s="861">
        <f t="shared" si="114"/>
        <v>7.7182377049180326</v>
      </c>
      <c r="N74" s="861">
        <f t="shared" si="114"/>
        <v>6.0733891165755827</v>
      </c>
      <c r="O74" s="299">
        <v>8.6573388681951915</v>
      </c>
      <c r="P74" s="300">
        <f t="shared" si="115"/>
        <v>8.4746157407407203</v>
      </c>
      <c r="Q74" s="862">
        <f t="shared" si="115"/>
        <v>8.0278314950094032</v>
      </c>
      <c r="R74" s="862">
        <f t="shared" si="115"/>
        <v>6.8650022893772764</v>
      </c>
      <c r="S74" s="299">
        <v>8.7087831568856551</v>
      </c>
      <c r="T74" s="300">
        <f t="shared" si="116"/>
        <v>8.9042988351254646</v>
      </c>
      <c r="U74" s="861">
        <f t="shared" si="116"/>
        <v>8.2008601959779597</v>
      </c>
      <c r="V74" s="861">
        <f t="shared" si="116"/>
        <v>7.3831841985427999</v>
      </c>
      <c r="W74" s="299">
        <v>8.7087831568856551</v>
      </c>
      <c r="X74" s="300">
        <f t="shared" si="117"/>
        <v>8.5746774193548507</v>
      </c>
      <c r="Y74" s="861">
        <f t="shared" si="117"/>
        <v>8.3037726913252712</v>
      </c>
      <c r="Z74" s="861">
        <f t="shared" si="117"/>
        <v>7.6245978576615814</v>
      </c>
      <c r="AA74" s="299">
        <v>5.6508367926219956</v>
      </c>
      <c r="AB74" s="300">
        <f t="shared" ref="AB74:AF80" si="130">AB26/1000/24/AB$3</f>
        <v>8.5853819444444142</v>
      </c>
      <c r="AC74" s="862">
        <f t="shared" si="130"/>
        <v>7.7116267337562023</v>
      </c>
      <c r="AD74" s="862">
        <f t="shared" si="130"/>
        <v>8.6892361111111107</v>
      </c>
      <c r="AE74" s="863">
        <f t="shared" si="130"/>
        <v>7.8688651669476837</v>
      </c>
      <c r="AF74" s="863">
        <f t="shared" si="130"/>
        <v>7.7821034456587679</v>
      </c>
      <c r="AG74" s="299">
        <v>8.5985453954060898</v>
      </c>
      <c r="AH74" s="300">
        <f t="shared" si="119"/>
        <v>6.1664695340501954</v>
      </c>
      <c r="AI74" s="861">
        <f t="shared" si="119"/>
        <v>7.974566508453341</v>
      </c>
      <c r="AJ74" s="861">
        <f t="shared" si="119"/>
        <v>7.5480630192107956</v>
      </c>
      <c r="AK74" s="299">
        <v>8.6573388681951915</v>
      </c>
      <c r="AL74" s="300">
        <f t="shared" si="120"/>
        <v>8.2048078703703524</v>
      </c>
      <c r="AM74" s="861">
        <f t="shared" si="120"/>
        <v>8.0585139297330759</v>
      </c>
      <c r="AN74" s="861">
        <f t="shared" si="120"/>
        <v>7.6288103369763158</v>
      </c>
      <c r="AO74" s="299">
        <v>8.7087831568856551</v>
      </c>
      <c r="AP74" s="300">
        <f t="shared" ref="AP74:AT80" si="131">AP26/1000/24/AP$3</f>
        <v>8.6670743727598758</v>
      </c>
      <c r="AQ74" s="862">
        <f t="shared" si="131"/>
        <v>8.654862512683696</v>
      </c>
      <c r="AR74" s="862">
        <f t="shared" si="131"/>
        <v>7.6737401871980735</v>
      </c>
      <c r="AS74" s="861">
        <f t="shared" si="131"/>
        <v>8.1318170062484594</v>
      </c>
      <c r="AT74" s="861">
        <f t="shared" si="131"/>
        <v>7.7458510101010081</v>
      </c>
      <c r="AU74" s="299">
        <v>8.7087831568856551</v>
      </c>
      <c r="AV74" s="300">
        <f t="shared" si="122"/>
        <v>8.7345743727598641</v>
      </c>
      <c r="AW74" s="861">
        <f t="shared" si="122"/>
        <v>8.1902678254306576</v>
      </c>
      <c r="AX74" s="861">
        <f t="shared" si="122"/>
        <v>7.8460157952069709</v>
      </c>
      <c r="AY74" s="299">
        <v>8.7264999399805863</v>
      </c>
      <c r="AZ74" s="300">
        <f t="shared" si="123"/>
        <v>8.9142931547619035</v>
      </c>
      <c r="BA74" s="861">
        <f t="shared" si="123"/>
        <v>8.235221415871969</v>
      </c>
      <c r="BB74" s="861">
        <f t="shared" si="123"/>
        <v>7.9355719810379233</v>
      </c>
      <c r="BC74" s="299">
        <v>8.8190209183652204</v>
      </c>
      <c r="BD74" s="300">
        <f t="shared" ref="BD74:BJ80" si="132">BD26/1000/24/BD$3</f>
        <v>8.464809587813626</v>
      </c>
      <c r="BE74" s="862">
        <f t="shared" si="132"/>
        <v>8.7522658294692626</v>
      </c>
      <c r="BF74" s="862">
        <f t="shared" si="132"/>
        <v>8.6975679012345708</v>
      </c>
      <c r="BG74" s="863">
        <f t="shared" si="132"/>
        <v>8.7030289880172162</v>
      </c>
      <c r="BH74" s="863">
        <f t="shared" si="132"/>
        <v>8.1800286172161201</v>
      </c>
      <c r="BI74" s="861">
        <f t="shared" si="132"/>
        <v>8.2848043873166013</v>
      </c>
      <c r="BJ74" s="861">
        <f t="shared" si="132"/>
        <v>7.9805209284627079</v>
      </c>
      <c r="BK74" s="1111"/>
      <c r="BL74" s="1111"/>
      <c r="BM74" s="1111"/>
      <c r="BN74" s="1111"/>
      <c r="BO74" s="1111"/>
    </row>
    <row r="75" spans="1:67" x14ac:dyDescent="0.3">
      <c r="A75" s="253"/>
      <c r="B75" s="19" t="s">
        <v>729</v>
      </c>
      <c r="C75" s="12" t="s">
        <v>373</v>
      </c>
      <c r="D75" s="287">
        <f>+((D32/1000)/D$3)/24</f>
        <v>1.5425277777777777</v>
      </c>
      <c r="E75" s="287">
        <f>+((E32/1000)/E$3)/24</f>
        <v>1.5533870967741941</v>
      </c>
      <c r="G75" s="840" t="s">
        <v>723</v>
      </c>
      <c r="H75" s="243" t="s">
        <v>464</v>
      </c>
      <c r="I75" s="299">
        <v>5.8543333333333329</v>
      </c>
      <c r="J75" s="300">
        <f t="shared" si="113"/>
        <v>5.4602472222222271</v>
      </c>
      <c r="K75" s="299">
        <v>6.0195766129032258</v>
      </c>
      <c r="L75" s="300">
        <f t="shared" si="114"/>
        <v>2.3598315412186275</v>
      </c>
      <c r="M75" s="861">
        <f t="shared" si="114"/>
        <v>5.938309426229508</v>
      </c>
      <c r="N75" s="861">
        <f t="shared" si="114"/>
        <v>3.8846261384335121</v>
      </c>
      <c r="O75" s="299">
        <v>7.5870789467177344</v>
      </c>
      <c r="P75" s="300">
        <f t="shared" si="115"/>
        <v>5.963657407407406</v>
      </c>
      <c r="Q75" s="862">
        <f t="shared" si="115"/>
        <v>6.4818598175992541</v>
      </c>
      <c r="R75" s="862">
        <f t="shared" si="115"/>
        <v>4.57002106227106</v>
      </c>
      <c r="S75" s="299">
        <v>7.6360278431481712</v>
      </c>
      <c r="T75" s="300">
        <f t="shared" si="116"/>
        <v>5.8258176523297385</v>
      </c>
      <c r="U75" s="861">
        <f t="shared" si="116"/>
        <v>6.775132020812503</v>
      </c>
      <c r="V75" s="861">
        <f t="shared" si="116"/>
        <v>4.8891169171220357</v>
      </c>
      <c r="W75" s="299">
        <v>7.6360278431481712</v>
      </c>
      <c r="X75" s="300">
        <f t="shared" si="117"/>
        <v>5.3259959677419406</v>
      </c>
      <c r="Y75" s="861">
        <f t="shared" si="117"/>
        <v>6.9495618933118868</v>
      </c>
      <c r="Z75" s="861">
        <f t="shared" si="117"/>
        <v>4.9776348946986184</v>
      </c>
      <c r="AA75" s="299">
        <v>4.4866743154407054</v>
      </c>
      <c r="AB75" s="300">
        <f t="shared" si="130"/>
        <v>5.6298347222222267</v>
      </c>
      <c r="AC75" s="862">
        <f t="shared" si="130"/>
        <v>6.6090647362870403</v>
      </c>
      <c r="AD75" s="862">
        <f t="shared" si="130"/>
        <v>5.5934919987922704</v>
      </c>
      <c r="AE75" s="863">
        <f t="shared" si="130"/>
        <v>6.5458098313657906</v>
      </c>
      <c r="AF75" s="863">
        <f t="shared" si="130"/>
        <v>5.084552899210685</v>
      </c>
      <c r="AG75" s="299">
        <v>7.8709825460142682</v>
      </c>
      <c r="AH75" s="300">
        <f t="shared" si="119"/>
        <v>3.8911079749103967</v>
      </c>
      <c r="AI75" s="861">
        <f t="shared" si="119"/>
        <v>6.7377741031139342</v>
      </c>
      <c r="AJ75" s="861">
        <f t="shared" si="119"/>
        <v>4.9116706905503635</v>
      </c>
      <c r="AK75" s="299">
        <v>7.8905621045864427</v>
      </c>
      <c r="AL75" s="300">
        <f t="shared" si="120"/>
        <v>5.4669300925925901</v>
      </c>
      <c r="AM75" s="861">
        <f t="shared" si="120"/>
        <v>6.8795103328031768</v>
      </c>
      <c r="AN75" s="861">
        <f t="shared" si="120"/>
        <v>4.9799402891621121</v>
      </c>
      <c r="AO75" s="299">
        <v>7.9297212217307926</v>
      </c>
      <c r="AP75" s="300">
        <f t="shared" si="131"/>
        <v>5.6016066308243682</v>
      </c>
      <c r="AQ75" s="862">
        <f t="shared" si="131"/>
        <v>7.8971595645401109</v>
      </c>
      <c r="AR75" s="862">
        <f t="shared" si="131"/>
        <v>4.9813266908212546</v>
      </c>
      <c r="AS75" s="861">
        <f t="shared" si="131"/>
        <v>6.9978977421004718</v>
      </c>
      <c r="AT75" s="861">
        <f t="shared" si="131"/>
        <v>5.0500190404040399</v>
      </c>
      <c r="AU75" s="299">
        <v>7.9884598974473171</v>
      </c>
      <c r="AV75" s="300">
        <f t="shared" si="122"/>
        <v>5.8259009856630826</v>
      </c>
      <c r="AW75" s="861">
        <f t="shared" si="122"/>
        <v>7.0982488101258063</v>
      </c>
      <c r="AX75" s="861">
        <f t="shared" si="122"/>
        <v>5.1286214596949877</v>
      </c>
      <c r="AY75" s="299">
        <v>7.9339168414248302</v>
      </c>
      <c r="AZ75" s="300">
        <f t="shared" si="123"/>
        <v>5.7923630952381089</v>
      </c>
      <c r="BA75" s="861">
        <f t="shared" si="123"/>
        <v>7.1683048127496773</v>
      </c>
      <c r="BB75" s="861">
        <f t="shared" si="123"/>
        <v>5.184264471057884</v>
      </c>
      <c r="BC75" s="299">
        <v>8.0471985731638416</v>
      </c>
      <c r="BD75" s="300">
        <f t="shared" si="132"/>
        <v>5.8442746415770488</v>
      </c>
      <c r="BE75" s="862">
        <f t="shared" si="132"/>
        <v>7.9917231572093455</v>
      </c>
      <c r="BF75" s="862">
        <f t="shared" si="132"/>
        <v>5.8217956790123466</v>
      </c>
      <c r="BG75" s="863">
        <f t="shared" si="132"/>
        <v>7.9439217806952271</v>
      </c>
      <c r="BH75" s="863">
        <f t="shared" si="132"/>
        <v>5.3969432234432242</v>
      </c>
      <c r="BI75" s="861">
        <f t="shared" si="132"/>
        <v>7.242950584182112</v>
      </c>
      <c r="BJ75" s="861">
        <f t="shared" si="132"/>
        <v>5.2403201293759505</v>
      </c>
      <c r="BK75" s="1111"/>
      <c r="BL75" s="1111"/>
      <c r="BM75" s="1111"/>
      <c r="BN75" s="1111"/>
      <c r="BO75" s="1111"/>
    </row>
    <row r="76" spans="1:67" x14ac:dyDescent="0.3">
      <c r="A76" s="253"/>
      <c r="B76" s="19" t="s">
        <v>689</v>
      </c>
      <c r="C76" s="12" t="s">
        <v>373</v>
      </c>
      <c r="D76" s="287">
        <f t="shared" ref="D76:E79" si="133">+((D34/1000)/D$3)/24</f>
        <v>0.6318055555555544</v>
      </c>
      <c r="E76" s="287">
        <f t="shared" si="133"/>
        <v>0.59745967741935579</v>
      </c>
      <c r="G76" s="840" t="s">
        <v>724</v>
      </c>
      <c r="H76" s="243" t="s">
        <v>688</v>
      </c>
      <c r="I76" s="352">
        <v>31.46</v>
      </c>
      <c r="J76" s="300">
        <f t="shared" si="113"/>
        <v>35.276570833333281</v>
      </c>
      <c r="K76" s="352">
        <v>30.07</v>
      </c>
      <c r="L76" s="300">
        <f t="shared" si="114"/>
        <v>29.11657795698919</v>
      </c>
      <c r="M76" s="861">
        <f t="shared" si="114"/>
        <v>30.753606557377051</v>
      </c>
      <c r="N76" s="861">
        <f t="shared" si="114"/>
        <v>32.146082650273172</v>
      </c>
      <c r="O76" s="352">
        <v>34.4</v>
      </c>
      <c r="P76" s="300">
        <f t="shared" si="115"/>
        <v>35.41569305555543</v>
      </c>
      <c r="Q76" s="862">
        <f t="shared" si="115"/>
        <v>31.955714285714283</v>
      </c>
      <c r="R76" s="862">
        <f t="shared" si="115"/>
        <v>33.223976190476108</v>
      </c>
      <c r="S76" s="352">
        <v>34.4</v>
      </c>
      <c r="T76" s="300">
        <f t="shared" si="116"/>
        <v>35.267014784946362</v>
      </c>
      <c r="U76" s="861">
        <f t="shared" si="116"/>
        <v>32.57680327868853</v>
      </c>
      <c r="V76" s="861">
        <f t="shared" si="116"/>
        <v>33.743108948087404</v>
      </c>
      <c r="W76" s="352">
        <v>34.4</v>
      </c>
      <c r="X76" s="300">
        <f t="shared" si="117"/>
        <v>35.130483870967602</v>
      </c>
      <c r="Y76" s="861">
        <f t="shared" si="117"/>
        <v>32.946209150326794</v>
      </c>
      <c r="Z76" s="861">
        <f t="shared" si="117"/>
        <v>34.02421105664483</v>
      </c>
      <c r="AA76" s="352">
        <v>22.93</v>
      </c>
      <c r="AB76" s="300">
        <f t="shared" si="130"/>
        <v>35.343843055555553</v>
      </c>
      <c r="AC76" s="862">
        <f t="shared" si="130"/>
        <v>30.659782608695654</v>
      </c>
      <c r="AD76" s="862">
        <f t="shared" si="130"/>
        <v>35.246062499999994</v>
      </c>
      <c r="AE76" s="863">
        <f t="shared" si="130"/>
        <v>31.30420765027322</v>
      </c>
      <c r="AF76" s="863">
        <f t="shared" si="130"/>
        <v>34.240544171220364</v>
      </c>
      <c r="AG76" s="352">
        <v>34.4</v>
      </c>
      <c r="AH76" s="300">
        <f t="shared" si="119"/>
        <v>34.867809139785074</v>
      </c>
      <c r="AI76" s="861">
        <f t="shared" si="119"/>
        <v>31.752663551401866</v>
      </c>
      <c r="AJ76" s="861">
        <f t="shared" si="119"/>
        <v>34.331409657320854</v>
      </c>
      <c r="AK76" s="352">
        <v>34.4</v>
      </c>
      <c r="AL76" s="300">
        <f t="shared" si="120"/>
        <v>34.753544444444579</v>
      </c>
      <c r="AM76" s="861">
        <f t="shared" si="120"/>
        <v>32.078155737704918</v>
      </c>
      <c r="AN76" s="861">
        <f t="shared" si="120"/>
        <v>34.38331147540984</v>
      </c>
      <c r="AO76" s="352">
        <v>34.4</v>
      </c>
      <c r="AP76" s="300">
        <f t="shared" si="131"/>
        <v>34.685736559139549</v>
      </c>
      <c r="AQ76" s="862">
        <f t="shared" si="131"/>
        <v>34.4</v>
      </c>
      <c r="AR76" s="862">
        <f t="shared" si="131"/>
        <v>34.769198369565224</v>
      </c>
      <c r="AS76" s="861">
        <f t="shared" si="131"/>
        <v>32.339890909090904</v>
      </c>
      <c r="AT76" s="861">
        <f t="shared" si="131"/>
        <v>34.417403030303007</v>
      </c>
      <c r="AU76" s="352">
        <v>34.4</v>
      </c>
      <c r="AV76" s="300">
        <f t="shared" si="122"/>
        <v>34.098659946236602</v>
      </c>
      <c r="AW76" s="861">
        <f t="shared" si="122"/>
        <v>32.548594771241831</v>
      </c>
      <c r="AX76" s="861">
        <f t="shared" si="122"/>
        <v>34.385112064270132</v>
      </c>
      <c r="AY76" s="352">
        <v>34.4</v>
      </c>
      <c r="AZ76" s="300">
        <f t="shared" si="123"/>
        <v>34.880297619047575</v>
      </c>
      <c r="BA76" s="861">
        <f t="shared" si="123"/>
        <v>32.703802395209578</v>
      </c>
      <c r="BB76" s="861">
        <f t="shared" si="123"/>
        <v>34.426624625748481</v>
      </c>
      <c r="BC76" s="352">
        <v>34.4</v>
      </c>
      <c r="BD76" s="300">
        <f t="shared" si="132"/>
        <v>34.970370967742035</v>
      </c>
      <c r="BE76" s="862">
        <f t="shared" si="132"/>
        <v>34.4</v>
      </c>
      <c r="BF76" s="862">
        <f t="shared" si="132"/>
        <v>34.642092129629667</v>
      </c>
      <c r="BG76" s="863">
        <f t="shared" si="132"/>
        <v>34.4</v>
      </c>
      <c r="BH76" s="863">
        <f t="shared" si="132"/>
        <v>34.706343635531162</v>
      </c>
      <c r="BI76" s="861">
        <f t="shared" si="132"/>
        <v>32.847863013698635</v>
      </c>
      <c r="BJ76" s="861">
        <f t="shared" si="132"/>
        <v>34.472805821917788</v>
      </c>
      <c r="BK76" s="1111"/>
      <c r="BL76" s="1111"/>
      <c r="BM76" s="1111"/>
      <c r="BN76" s="1111"/>
      <c r="BO76" s="1111"/>
    </row>
    <row r="77" spans="1:67" x14ac:dyDescent="0.3">
      <c r="A77" s="253"/>
      <c r="B77" s="2" t="s">
        <v>694</v>
      </c>
      <c r="C77" s="12" t="s">
        <v>373</v>
      </c>
      <c r="D77" s="287">
        <f t="shared" si="133"/>
        <v>0.89579548472222215</v>
      </c>
      <c r="E77" s="287">
        <f t="shared" si="133"/>
        <v>0.86948325672043014</v>
      </c>
      <c r="G77" s="840" t="s">
        <v>725</v>
      </c>
      <c r="H77" s="243" t="s">
        <v>465</v>
      </c>
      <c r="I77" s="352">
        <v>5.4</v>
      </c>
      <c r="J77" s="300">
        <f t="shared" si="113"/>
        <v>5.5365277777777617</v>
      </c>
      <c r="K77" s="352">
        <v>5.4</v>
      </c>
      <c r="L77" s="300">
        <f t="shared" si="114"/>
        <v>4.3108870967742066</v>
      </c>
      <c r="M77" s="861">
        <f t="shared" si="114"/>
        <v>5.4</v>
      </c>
      <c r="N77" s="861">
        <f t="shared" si="114"/>
        <v>4.9136612021857919</v>
      </c>
      <c r="O77" s="352">
        <v>5.4</v>
      </c>
      <c r="P77" s="300">
        <f t="shared" si="115"/>
        <v>5.6149999999999833</v>
      </c>
      <c r="Q77" s="862">
        <f t="shared" si="115"/>
        <v>5.4</v>
      </c>
      <c r="R77" s="862">
        <f t="shared" si="115"/>
        <v>5.144871794871789</v>
      </c>
      <c r="S77" s="352">
        <v>5.4</v>
      </c>
      <c r="T77" s="300">
        <f t="shared" si="116"/>
        <v>5.7459677419355035</v>
      </c>
      <c r="U77" s="861">
        <f t="shared" si="116"/>
        <v>5.4</v>
      </c>
      <c r="V77" s="861">
        <f t="shared" si="116"/>
        <v>5.2976092896174869</v>
      </c>
      <c r="W77" s="352">
        <v>5.4</v>
      </c>
      <c r="X77" s="300">
        <f t="shared" si="117"/>
        <v>5.4611559139784731</v>
      </c>
      <c r="Y77" s="861">
        <f t="shared" si="117"/>
        <v>5.3999999999999995</v>
      </c>
      <c r="Z77" s="861">
        <f t="shared" si="117"/>
        <v>5.3307461873638307</v>
      </c>
      <c r="AA77" s="352">
        <v>5.4</v>
      </c>
      <c r="AB77" s="300">
        <f t="shared" si="130"/>
        <v>5.645833333333333</v>
      </c>
      <c r="AC77" s="862">
        <f t="shared" si="130"/>
        <v>5.4</v>
      </c>
      <c r="AD77" s="862">
        <f t="shared" si="130"/>
        <v>5.6173460144927541</v>
      </c>
      <c r="AE77" s="863">
        <f t="shared" si="130"/>
        <v>5.3999999999999995</v>
      </c>
      <c r="AF77" s="863">
        <f t="shared" si="130"/>
        <v>5.3823998178506338</v>
      </c>
      <c r="AG77" s="352">
        <v>5.4</v>
      </c>
      <c r="AH77" s="300">
        <f t="shared" si="119"/>
        <v>4.8541666666666767</v>
      </c>
      <c r="AI77" s="861">
        <f t="shared" si="119"/>
        <v>5.4</v>
      </c>
      <c r="AJ77" s="861">
        <f t="shared" si="119"/>
        <v>5.3058800623052944</v>
      </c>
      <c r="AK77" s="352">
        <v>5.4</v>
      </c>
      <c r="AL77" s="300">
        <f t="shared" si="120"/>
        <v>5.3968055555555514</v>
      </c>
      <c r="AM77" s="861">
        <f t="shared" si="120"/>
        <v>5.4</v>
      </c>
      <c r="AN77" s="861">
        <f t="shared" si="120"/>
        <v>5.3170594262295063</v>
      </c>
      <c r="AO77" s="352">
        <v>5.4</v>
      </c>
      <c r="AP77" s="300">
        <f t="shared" si="131"/>
        <v>5.6479838709677406</v>
      </c>
      <c r="AQ77" s="862">
        <f t="shared" si="131"/>
        <v>5.4</v>
      </c>
      <c r="AR77" s="862">
        <f t="shared" si="131"/>
        <v>5.2985960144927553</v>
      </c>
      <c r="AS77" s="861">
        <f t="shared" si="131"/>
        <v>5.4</v>
      </c>
      <c r="AT77" s="861">
        <f t="shared" si="131"/>
        <v>5.3543636363636349</v>
      </c>
      <c r="AU77" s="352">
        <v>5.4</v>
      </c>
      <c r="AV77" s="300">
        <f t="shared" si="122"/>
        <v>5.4162634408602015</v>
      </c>
      <c r="AW77" s="861">
        <f t="shared" si="122"/>
        <v>5.3999999999999995</v>
      </c>
      <c r="AX77" s="861">
        <f t="shared" si="122"/>
        <v>5.3606345315904109</v>
      </c>
      <c r="AY77" s="352">
        <v>5.4</v>
      </c>
      <c r="AZ77" s="300">
        <f t="shared" si="123"/>
        <v>5.392261904761912</v>
      </c>
      <c r="BA77" s="861">
        <f t="shared" si="123"/>
        <v>5.4</v>
      </c>
      <c r="BB77" s="861">
        <f t="shared" si="123"/>
        <v>5.3632859281437106</v>
      </c>
      <c r="BC77" s="352">
        <v>5.4</v>
      </c>
      <c r="BD77" s="300">
        <f t="shared" si="132"/>
        <v>5.4751344086021501</v>
      </c>
      <c r="BE77" s="862">
        <f t="shared" si="132"/>
        <v>5.4</v>
      </c>
      <c r="BF77" s="862">
        <f t="shared" si="132"/>
        <v>5.4290740740740722</v>
      </c>
      <c r="BG77" s="863">
        <f t="shared" si="132"/>
        <v>5.4</v>
      </c>
      <c r="BH77" s="863">
        <f t="shared" si="132"/>
        <v>5.3631181318681316</v>
      </c>
      <c r="BI77" s="861">
        <f t="shared" si="132"/>
        <v>5.4</v>
      </c>
      <c r="BJ77" s="861">
        <f t="shared" si="132"/>
        <v>5.372785388127852</v>
      </c>
      <c r="BK77" s="1111"/>
      <c r="BL77" s="1111"/>
      <c r="BM77" s="1111"/>
      <c r="BN77" s="1111"/>
      <c r="BO77" s="1111"/>
    </row>
    <row r="78" spans="1:67" x14ac:dyDescent="0.3">
      <c r="A78" s="253"/>
      <c r="B78" s="2" t="s">
        <v>695</v>
      </c>
      <c r="C78" s="12" t="s">
        <v>373</v>
      </c>
      <c r="D78" s="287">
        <f t="shared" si="133"/>
        <v>0.259755010555556</v>
      </c>
      <c r="E78" s="287">
        <f t="shared" si="133"/>
        <v>0.24748231639784987</v>
      </c>
      <c r="G78" s="840" t="s">
        <v>727</v>
      </c>
      <c r="H78" s="243" t="s">
        <v>689</v>
      </c>
      <c r="I78" s="352">
        <v>0.9</v>
      </c>
      <c r="J78" s="300">
        <f t="shared" si="113"/>
        <v>0.90169444444444535</v>
      </c>
      <c r="K78" s="352">
        <v>0.9</v>
      </c>
      <c r="L78" s="300">
        <f t="shared" si="114"/>
        <v>0.74322580645161185</v>
      </c>
      <c r="M78" s="861">
        <f t="shared" si="114"/>
        <v>0.9</v>
      </c>
      <c r="N78" s="861">
        <f t="shared" si="114"/>
        <v>0.82116120218579236</v>
      </c>
      <c r="O78" s="352">
        <v>0.9</v>
      </c>
      <c r="P78" s="300">
        <f t="shared" si="115"/>
        <v>0.8672638888888875</v>
      </c>
      <c r="Q78" s="862">
        <f t="shared" si="115"/>
        <v>0.89999999999999991</v>
      </c>
      <c r="R78" s="862">
        <f t="shared" si="115"/>
        <v>0.83635989010988965</v>
      </c>
      <c r="S78" s="352">
        <v>0.9</v>
      </c>
      <c r="T78" s="300">
        <f t="shared" si="116"/>
        <v>0.87419354838709806</v>
      </c>
      <c r="U78" s="861">
        <f t="shared" si="116"/>
        <v>0.9</v>
      </c>
      <c r="V78" s="861">
        <f t="shared" si="116"/>
        <v>0.8459733606557378</v>
      </c>
      <c r="W78" s="352">
        <v>0.9</v>
      </c>
      <c r="X78" s="300">
        <f t="shared" si="117"/>
        <v>0.85221774193548172</v>
      </c>
      <c r="Y78" s="861">
        <f t="shared" si="117"/>
        <v>0.90000000000000013</v>
      </c>
      <c r="Z78" s="861">
        <f t="shared" si="117"/>
        <v>0.84723856209150272</v>
      </c>
      <c r="AA78" s="352">
        <v>0.9</v>
      </c>
      <c r="AB78" s="300">
        <f t="shared" si="130"/>
        <v>0.84518055555555793</v>
      </c>
      <c r="AC78" s="862">
        <f t="shared" si="130"/>
        <v>0.9</v>
      </c>
      <c r="AD78" s="862">
        <f t="shared" si="130"/>
        <v>0.85732789855072511</v>
      </c>
      <c r="AE78" s="863">
        <f t="shared" si="130"/>
        <v>0.90000000000000013</v>
      </c>
      <c r="AF78" s="863">
        <f t="shared" si="130"/>
        <v>0.84690118397085623</v>
      </c>
      <c r="AG78" s="352">
        <v>0.9</v>
      </c>
      <c r="AH78" s="300">
        <f t="shared" si="119"/>
        <v>0.8396236559139808</v>
      </c>
      <c r="AI78" s="861">
        <f t="shared" si="119"/>
        <v>0.9</v>
      </c>
      <c r="AJ78" s="861">
        <f t="shared" si="119"/>
        <v>0.84584696261682291</v>
      </c>
      <c r="AK78" s="352">
        <v>0.9</v>
      </c>
      <c r="AL78" s="300">
        <f t="shared" si="120"/>
        <v>0.81559722222222097</v>
      </c>
      <c r="AM78" s="861">
        <f t="shared" si="120"/>
        <v>0.9</v>
      </c>
      <c r="AN78" s="861">
        <f t="shared" si="120"/>
        <v>0.84212773224043735</v>
      </c>
      <c r="AO78" s="352">
        <v>0.9</v>
      </c>
      <c r="AP78" s="300">
        <f t="shared" si="131"/>
        <v>0.79900537634408408</v>
      </c>
      <c r="AQ78" s="862">
        <f t="shared" si="131"/>
        <v>0.9</v>
      </c>
      <c r="AR78" s="862">
        <f t="shared" si="131"/>
        <v>0.81810235507246343</v>
      </c>
      <c r="AS78" s="861">
        <f t="shared" si="131"/>
        <v>0.9</v>
      </c>
      <c r="AT78" s="861">
        <f t="shared" si="131"/>
        <v>0.83726666666666671</v>
      </c>
      <c r="AU78" s="352">
        <v>0.9</v>
      </c>
      <c r="AV78" s="300">
        <f t="shared" si="122"/>
        <v>0.81884408602150693</v>
      </c>
      <c r="AW78" s="861">
        <f t="shared" si="122"/>
        <v>0.90000000000000013</v>
      </c>
      <c r="AX78" s="861">
        <f t="shared" si="122"/>
        <v>0.83540032679738574</v>
      </c>
      <c r="AY78" s="352">
        <v>0.9</v>
      </c>
      <c r="AZ78" s="300">
        <f t="shared" si="123"/>
        <v>0.80145833333333327</v>
      </c>
      <c r="BA78" s="861">
        <f t="shared" si="123"/>
        <v>0.89999999999999991</v>
      </c>
      <c r="BB78" s="861">
        <f t="shared" si="123"/>
        <v>0.83255489021956097</v>
      </c>
      <c r="BC78" s="352">
        <v>0.9</v>
      </c>
      <c r="BD78" s="300">
        <f t="shared" si="132"/>
        <v>0.85708333333333142</v>
      </c>
      <c r="BE78" s="862">
        <f t="shared" si="132"/>
        <v>0.9</v>
      </c>
      <c r="BF78" s="862">
        <f t="shared" si="132"/>
        <v>0.8266064814814813</v>
      </c>
      <c r="BG78" s="863">
        <f t="shared" si="132"/>
        <v>0.89999999999999991</v>
      </c>
      <c r="BH78" s="863">
        <f t="shared" si="132"/>
        <v>0.82230769230769218</v>
      </c>
      <c r="BI78" s="861">
        <f t="shared" si="132"/>
        <v>0.9</v>
      </c>
      <c r="BJ78" s="861">
        <f t="shared" si="132"/>
        <v>0.83463812785388136</v>
      </c>
      <c r="BK78" s="1111"/>
      <c r="BL78" s="1111"/>
      <c r="BM78" s="1111"/>
      <c r="BN78" s="1111"/>
      <c r="BO78" s="1111"/>
    </row>
    <row r="79" spans="1:67" ht="15.6" x14ac:dyDescent="0.3">
      <c r="A79" s="62"/>
      <c r="B79" s="2" t="s">
        <v>701</v>
      </c>
      <c r="C79" s="12" t="s">
        <v>373</v>
      </c>
      <c r="D79" s="287">
        <f t="shared" si="133"/>
        <v>0.47197477138888738</v>
      </c>
      <c r="E79" s="287">
        <f t="shared" si="133"/>
        <v>0.47029550080645333</v>
      </c>
      <c r="G79" s="840" t="s">
        <v>728</v>
      </c>
      <c r="H79" s="243" t="s">
        <v>690</v>
      </c>
      <c r="I79" s="352">
        <v>1.4</v>
      </c>
      <c r="J79" s="300">
        <f t="shared" si="113"/>
        <v>0.99527777777777593</v>
      </c>
      <c r="K79" s="352">
        <v>1.4</v>
      </c>
      <c r="L79" s="300">
        <f t="shared" si="114"/>
        <v>0.86841397849462187</v>
      </c>
      <c r="M79" s="861">
        <f t="shared" si="114"/>
        <v>1.4</v>
      </c>
      <c r="N79" s="861">
        <f t="shared" si="114"/>
        <v>0.93080601092895987</v>
      </c>
      <c r="O79" s="352">
        <v>1.4</v>
      </c>
      <c r="P79" s="300">
        <f t="shared" si="115"/>
        <v>1.3830833333333252</v>
      </c>
      <c r="Q79" s="862">
        <f t="shared" si="115"/>
        <v>1.4</v>
      </c>
      <c r="R79" s="862">
        <f t="shared" si="115"/>
        <v>1.0799084249084212</v>
      </c>
      <c r="S79" s="352">
        <v>1.4</v>
      </c>
      <c r="T79" s="300">
        <f t="shared" si="116"/>
        <v>1.1878897849462364</v>
      </c>
      <c r="U79" s="861">
        <f t="shared" si="116"/>
        <v>1.4</v>
      </c>
      <c r="V79" s="861">
        <f t="shared" si="116"/>
        <v>1.107346311475407</v>
      </c>
      <c r="W79" s="352">
        <v>1.4</v>
      </c>
      <c r="X79" s="300">
        <f t="shared" si="117"/>
        <v>1.190712365591396</v>
      </c>
      <c r="Y79" s="861">
        <f t="shared" si="117"/>
        <v>1.4000000000000001</v>
      </c>
      <c r="Z79" s="861">
        <f t="shared" si="117"/>
        <v>1.1242374727668818</v>
      </c>
      <c r="AA79" s="352">
        <v>1.4</v>
      </c>
      <c r="AB79" s="300">
        <f t="shared" si="130"/>
        <v>1.1422916666666667</v>
      </c>
      <c r="AC79" s="862">
        <f t="shared" si="130"/>
        <v>1.4</v>
      </c>
      <c r="AD79" s="862">
        <f t="shared" si="130"/>
        <v>1.1739719202898546</v>
      </c>
      <c r="AE79" s="863">
        <f t="shared" si="130"/>
        <v>1.4</v>
      </c>
      <c r="AF79" s="863">
        <f t="shared" si="130"/>
        <v>1.1271971766848794</v>
      </c>
      <c r="AG79" s="352">
        <v>1.4</v>
      </c>
      <c r="AH79" s="300">
        <f t="shared" si="119"/>
        <v>1.1870026881720483</v>
      </c>
      <c r="AI79" s="861">
        <f t="shared" si="119"/>
        <v>1.4</v>
      </c>
      <c r="AJ79" s="861">
        <f t="shared" si="119"/>
        <v>1.1358605919003104</v>
      </c>
      <c r="AK79" s="352">
        <v>1.4</v>
      </c>
      <c r="AL79" s="300">
        <f t="shared" si="120"/>
        <v>0.87913888888888325</v>
      </c>
      <c r="AM79" s="861">
        <f t="shared" si="120"/>
        <v>1.4</v>
      </c>
      <c r="AN79" s="861">
        <f t="shared" si="120"/>
        <v>1.1042964480874302</v>
      </c>
      <c r="AO79" s="352">
        <v>1.4</v>
      </c>
      <c r="AP79" s="300">
        <f t="shared" si="131"/>
        <v>0.88817204301075658</v>
      </c>
      <c r="AQ79" s="862">
        <f t="shared" si="131"/>
        <v>1.4</v>
      </c>
      <c r="AR79" s="862">
        <f t="shared" si="131"/>
        <v>0.98591938405797219</v>
      </c>
      <c r="AS79" s="861">
        <f t="shared" si="131"/>
        <v>1.4</v>
      </c>
      <c r="AT79" s="861">
        <f t="shared" si="131"/>
        <v>1.0799333333333323</v>
      </c>
      <c r="AU79" s="352">
        <v>1.4</v>
      </c>
      <c r="AV79" s="300">
        <f t="shared" si="122"/>
        <v>0.80658602150537451</v>
      </c>
      <c r="AW79" s="861">
        <f t="shared" si="122"/>
        <v>1.4000000000000001</v>
      </c>
      <c r="AX79" s="861">
        <f t="shared" si="122"/>
        <v>1.052241285403049</v>
      </c>
      <c r="AY79" s="352">
        <v>1.4</v>
      </c>
      <c r="AZ79" s="300">
        <f t="shared" si="123"/>
        <v>0.98541666666666228</v>
      </c>
      <c r="BA79" s="861">
        <f t="shared" si="123"/>
        <v>1.4</v>
      </c>
      <c r="BB79" s="861">
        <f t="shared" si="123"/>
        <v>1.0466392215568849</v>
      </c>
      <c r="BC79" s="352">
        <v>1.4</v>
      </c>
      <c r="BD79" s="300">
        <f t="shared" si="132"/>
        <v>1.24905913978495</v>
      </c>
      <c r="BE79" s="862">
        <f t="shared" si="132"/>
        <v>1.4</v>
      </c>
      <c r="BF79" s="862">
        <f t="shared" si="132"/>
        <v>1.0146296296296289</v>
      </c>
      <c r="BG79" s="863">
        <f t="shared" si="132"/>
        <v>1.4</v>
      </c>
      <c r="BH79" s="863">
        <f t="shared" si="132"/>
        <v>1.0001167582417587</v>
      </c>
      <c r="BI79" s="861">
        <f t="shared" si="132"/>
        <v>1.4</v>
      </c>
      <c r="BJ79" s="861">
        <f t="shared" si="132"/>
        <v>1.0638310502283097</v>
      </c>
      <c r="BK79" s="1111"/>
      <c r="BL79" s="1111"/>
      <c r="BM79" s="1111"/>
      <c r="BN79" s="1111"/>
      <c r="BO79" s="1111"/>
    </row>
    <row r="80" spans="1:67" x14ac:dyDescent="0.3">
      <c r="B80" s="19" t="s">
        <v>691</v>
      </c>
      <c r="C80" s="12" t="s">
        <v>373</v>
      </c>
      <c r="D80" s="287">
        <f>+((D39/1000)/D$3)/24</f>
        <v>1.2024613888888884</v>
      </c>
      <c r="E80" s="287">
        <f>+((E39/1000)/E$3)/24</f>
        <v>1.0451474462365573</v>
      </c>
      <c r="G80" s="840" t="s">
        <v>730</v>
      </c>
      <c r="H80" s="243" t="s">
        <v>691</v>
      </c>
      <c r="I80" s="352">
        <v>1.2</v>
      </c>
      <c r="J80" s="300">
        <f t="shared" si="113"/>
        <v>1.2360954166666642</v>
      </c>
      <c r="K80" s="352">
        <v>1.2</v>
      </c>
      <c r="L80" s="300">
        <f t="shared" si="114"/>
        <v>1.1027403494623647</v>
      </c>
      <c r="M80" s="861">
        <f t="shared" si="114"/>
        <v>1.2</v>
      </c>
      <c r="N80" s="861">
        <f t="shared" si="114"/>
        <v>1.1683248087431679</v>
      </c>
      <c r="O80" s="352">
        <v>1.2</v>
      </c>
      <c r="P80" s="300">
        <f t="shared" si="115"/>
        <v>1.2105823611111106</v>
      </c>
      <c r="Q80" s="862">
        <f t="shared" si="115"/>
        <v>1.2</v>
      </c>
      <c r="R80" s="862">
        <f t="shared" si="115"/>
        <v>1.1822558699633687</v>
      </c>
      <c r="S80" s="352">
        <v>1.2</v>
      </c>
      <c r="T80" s="300">
        <f t="shared" si="116"/>
        <v>1.2266896505376341</v>
      </c>
      <c r="U80" s="861">
        <f t="shared" si="116"/>
        <v>1.2</v>
      </c>
      <c r="V80" s="861">
        <f t="shared" si="116"/>
        <v>1.1935464207650264</v>
      </c>
      <c r="W80" s="352">
        <v>1.2</v>
      </c>
      <c r="X80" s="300">
        <f t="shared" si="117"/>
        <v>1.1812225000000025</v>
      </c>
      <c r="Y80" s="861">
        <f t="shared" si="117"/>
        <v>1.2</v>
      </c>
      <c r="Z80" s="861">
        <f t="shared" si="117"/>
        <v>1.1910494172113286</v>
      </c>
      <c r="AA80" s="352">
        <v>1.2</v>
      </c>
      <c r="AB80" s="300">
        <f t="shared" si="130"/>
        <v>1.1699657222222202</v>
      </c>
      <c r="AC80" s="862">
        <f t="shared" si="130"/>
        <v>1.2</v>
      </c>
      <c r="AD80" s="862">
        <f t="shared" si="130"/>
        <v>1.1928722644927539</v>
      </c>
      <c r="AE80" s="863">
        <f t="shared" si="130"/>
        <v>1.2</v>
      </c>
      <c r="AF80" s="863">
        <f t="shared" si="130"/>
        <v>1.1875930737704912</v>
      </c>
      <c r="AG80" s="352">
        <v>1.2</v>
      </c>
      <c r="AH80" s="300">
        <f t="shared" si="119"/>
        <v>1.0787489247311834</v>
      </c>
      <c r="AI80" s="861">
        <f t="shared" si="119"/>
        <v>1.2</v>
      </c>
      <c r="AJ80" s="861">
        <f t="shared" si="119"/>
        <v>1.1718259306853578</v>
      </c>
      <c r="AK80" s="352">
        <v>1.2</v>
      </c>
      <c r="AL80" s="300">
        <f t="shared" si="120"/>
        <v>1.2535343055555555</v>
      </c>
      <c r="AM80" s="861">
        <f t="shared" si="120"/>
        <v>1.2</v>
      </c>
      <c r="AN80" s="861">
        <f t="shared" si="120"/>
        <v>1.1818720423497262</v>
      </c>
      <c r="AO80" s="352">
        <v>1.2</v>
      </c>
      <c r="AP80" s="300">
        <f t="shared" si="131"/>
        <v>1.0681873655913978</v>
      </c>
      <c r="AQ80" s="862">
        <f t="shared" si="131"/>
        <v>1.2</v>
      </c>
      <c r="AR80" s="862">
        <f t="shared" si="131"/>
        <v>1.1321853713768117</v>
      </c>
      <c r="AS80" s="861">
        <f t="shared" si="131"/>
        <v>1.2</v>
      </c>
      <c r="AT80" s="861">
        <f t="shared" si="131"/>
        <v>1.1690566787878787</v>
      </c>
      <c r="AU80" s="352">
        <v>1.2</v>
      </c>
      <c r="AV80" s="300">
        <f t="shared" si="122"/>
        <v>1.1179544354838726</v>
      </c>
      <c r="AW80" s="861">
        <f t="shared" si="122"/>
        <v>1.2</v>
      </c>
      <c r="AX80" s="861">
        <f t="shared" si="122"/>
        <v>1.1638796541394336</v>
      </c>
      <c r="AY80" s="352">
        <v>1.2</v>
      </c>
      <c r="AZ80" s="300">
        <f t="shared" si="123"/>
        <v>1.1274549107142871</v>
      </c>
      <c r="BA80" s="861">
        <f t="shared" si="123"/>
        <v>1.2</v>
      </c>
      <c r="BB80" s="861">
        <f t="shared" si="123"/>
        <v>1.1608260828343313</v>
      </c>
      <c r="BC80" s="352">
        <v>1.2</v>
      </c>
      <c r="BD80" s="300">
        <f t="shared" si="132"/>
        <v>1.1962154569892465</v>
      </c>
      <c r="BE80" s="862">
        <f t="shared" si="132"/>
        <v>1.2</v>
      </c>
      <c r="BF80" s="862">
        <f t="shared" si="132"/>
        <v>1.1478667129629636</v>
      </c>
      <c r="BG80" s="863">
        <f t="shared" si="132"/>
        <v>1.2</v>
      </c>
      <c r="BH80" s="863">
        <f t="shared" si="132"/>
        <v>1.1399398809523815</v>
      </c>
      <c r="BI80" s="861">
        <f t="shared" si="132"/>
        <v>1.2</v>
      </c>
      <c r="BJ80" s="861">
        <f t="shared" si="132"/>
        <v>1.1638317557077624</v>
      </c>
      <c r="BK80" s="1111"/>
      <c r="BL80" s="1111"/>
      <c r="BM80" s="1111"/>
      <c r="BN80" s="1111"/>
      <c r="BO80" s="1111"/>
    </row>
    <row r="81" spans="1:67" s="137" customFormat="1" x14ac:dyDescent="0.3">
      <c r="B81" s="137" t="s">
        <v>735</v>
      </c>
      <c r="C81" s="137" t="s">
        <v>373</v>
      </c>
      <c r="D81" s="137">
        <f>+((D40/1000)/D$3)/24</f>
        <v>122.30793637777781</v>
      </c>
      <c r="E81" s="137">
        <f>+((E40/1000)/E$3)/24</f>
        <v>125.68636524059139</v>
      </c>
      <c r="G81" s="142"/>
      <c r="H81" s="142"/>
      <c r="M81" s="142"/>
      <c r="N81" s="142"/>
      <c r="Q81" s="142"/>
      <c r="R81" s="142"/>
      <c r="U81" s="142"/>
      <c r="V81" s="142"/>
      <c r="Y81" s="142"/>
      <c r="Z81" s="142"/>
      <c r="AC81" s="142"/>
      <c r="AD81" s="142"/>
      <c r="AE81" s="142"/>
      <c r="AF81" s="142"/>
      <c r="AI81" s="142"/>
      <c r="AJ81" s="142"/>
      <c r="AM81" s="142"/>
      <c r="AN81" s="142"/>
      <c r="AQ81" s="142"/>
      <c r="AR81" s="142"/>
      <c r="AS81" s="142"/>
      <c r="AT81" s="142"/>
      <c r="AW81" s="142"/>
      <c r="AX81" s="142"/>
      <c r="BA81" s="142"/>
      <c r="BB81" s="142"/>
      <c r="BE81" s="142"/>
      <c r="BF81" s="142"/>
      <c r="BG81" s="142"/>
      <c r="BH81" s="142"/>
      <c r="BI81" s="142"/>
      <c r="BJ81" s="142"/>
      <c r="BK81" s="1111"/>
      <c r="BL81" s="1111"/>
      <c r="BM81" s="1111"/>
      <c r="BN81" s="1111"/>
      <c r="BO81" s="1111"/>
    </row>
    <row r="82" spans="1:67" ht="15" thickBot="1" x14ac:dyDescent="0.35">
      <c r="D82" s="288"/>
      <c r="E82" s="288"/>
      <c r="G82" s="850" t="s">
        <v>731</v>
      </c>
      <c r="H82" s="769" t="s">
        <v>692</v>
      </c>
      <c r="I82" s="353">
        <f>+SUM(I83:I86)</f>
        <v>2.3700826666666668</v>
      </c>
      <c r="J82" s="304">
        <f t="shared" ref="J82:J94" si="134">J34/1000/24/J$3</f>
        <v>2.0603309629629636</v>
      </c>
      <c r="K82" s="353">
        <f>+SUM(K83:K86)</f>
        <v>2.3700826666666663</v>
      </c>
      <c r="L82" s="304">
        <f t="shared" ref="L82:N94" si="135">L34/1000/24/L$3</f>
        <v>1.9420677419354859</v>
      </c>
      <c r="M82" s="865">
        <f t="shared" si="135"/>
        <v>2.3700826666666668</v>
      </c>
      <c r="N82" s="865">
        <f t="shared" si="135"/>
        <v>2.0002299817850648</v>
      </c>
      <c r="O82" s="353">
        <f>+SUM(O83:O86)</f>
        <v>2.4533266666666669</v>
      </c>
      <c r="P82" s="304">
        <f t="shared" ref="P82:R94" si="136">P34/1000/24/P$3</f>
        <v>2.2147446018518502</v>
      </c>
      <c r="Q82" s="866">
        <f t="shared" si="136"/>
        <v>2.3975257435897435</v>
      </c>
      <c r="R82" s="866">
        <f t="shared" si="136"/>
        <v>2.0709490873015874</v>
      </c>
      <c r="S82" s="353">
        <f>+SUM(S83:S86)</f>
        <v>2.4533266666666669</v>
      </c>
      <c r="T82" s="304">
        <f t="shared" ref="T82:V94" si="137">T34/1000/24/T$3</f>
        <v>2.1732506568100356</v>
      </c>
      <c r="U82" s="865">
        <f t="shared" si="137"/>
        <v>2.4117046666666666</v>
      </c>
      <c r="V82" s="865">
        <f t="shared" si="137"/>
        <v>2.096943748406193</v>
      </c>
      <c r="W82" s="353">
        <f>+SUM(W83:W86)</f>
        <v>2.4533266666666669</v>
      </c>
      <c r="X82" s="304">
        <f t="shared" ref="X82:Z94" si="138">X34/1000/24/X$3</f>
        <v>2.105497294802869</v>
      </c>
      <c r="Y82" s="865">
        <f t="shared" si="138"/>
        <v>2.4201378823529409</v>
      </c>
      <c r="Z82" s="865">
        <f t="shared" si="138"/>
        <v>2.0986768198983299</v>
      </c>
      <c r="AA82" s="353">
        <f>+SUM(AA83:AA86)</f>
        <v>2.420919</v>
      </c>
      <c r="AB82" s="304">
        <f t="shared" ref="AB82:AF94" si="139">AB34/1000/24/AB$3</f>
        <v>2.1918120717592586</v>
      </c>
      <c r="AC82" s="866">
        <f t="shared" si="139"/>
        <v>2.4427589492753623</v>
      </c>
      <c r="AD82" s="866">
        <f t="shared" si="139"/>
        <v>2.1564733549214981</v>
      </c>
      <c r="AE82" s="867">
        <f t="shared" si="139"/>
        <v>2.4202659344262294</v>
      </c>
      <c r="AF82" s="867">
        <f t="shared" si="139"/>
        <v>2.1139448939738927</v>
      </c>
      <c r="AG82" s="353">
        <f>+SUM(AG83:AG86)</f>
        <v>2.4533266666666669</v>
      </c>
      <c r="AH82" s="304">
        <f t="shared" ref="AH82:AJ94" si="140">AH34/1000/24/AH$3</f>
        <v>2.1293675775089587</v>
      </c>
      <c r="AI82" s="865">
        <f t="shared" si="140"/>
        <v>2.4250551059190029</v>
      </c>
      <c r="AJ82" s="865">
        <f t="shared" si="140"/>
        <v>2.1161790210280373</v>
      </c>
      <c r="AK82" s="353">
        <f>+SUM(AK83:AK86)</f>
        <v>2.4533266666666669</v>
      </c>
      <c r="AL82" s="304">
        <f t="shared" ref="AL82:AN94" si="141">AL34/1000/24/AL$3</f>
        <v>2.2110014685185195</v>
      </c>
      <c r="AM82" s="865">
        <f t="shared" si="141"/>
        <v>2.4285311174863384</v>
      </c>
      <c r="AN82" s="865">
        <f t="shared" si="141"/>
        <v>2.1278375186703098</v>
      </c>
      <c r="AO82" s="353">
        <f>+SUM(AO83:AO86)</f>
        <v>2.4533266666666669</v>
      </c>
      <c r="AP82" s="304">
        <f t="shared" ref="AP82:AT94" si="142">AP34/1000/24/AP$3</f>
        <v>2.116809444892473</v>
      </c>
      <c r="AQ82" s="866">
        <f t="shared" si="142"/>
        <v>2.4533266666666664</v>
      </c>
      <c r="AR82" s="866">
        <f t="shared" si="142"/>
        <v>2.1517557798913036</v>
      </c>
      <c r="AS82" s="865">
        <f t="shared" si="142"/>
        <v>2.4313262521212118</v>
      </c>
      <c r="AT82" s="865">
        <f t="shared" si="142"/>
        <v>2.126594353989899</v>
      </c>
      <c r="AU82" s="353">
        <f>+SUM(AU83:AU86)</f>
        <v>2.4533266666666669</v>
      </c>
      <c r="AV82" s="304">
        <f t="shared" ref="AV82:AX94" si="143">AV34/1000/24/AV$3</f>
        <v>2.1290197943548401</v>
      </c>
      <c r="AW82" s="865">
        <f t="shared" si="143"/>
        <v>2.4335550522875815</v>
      </c>
      <c r="AX82" s="865">
        <f t="shared" si="143"/>
        <v>2.1268400685366742</v>
      </c>
      <c r="AY82" s="353">
        <f>+SUM(AY83:AY86)</f>
        <v>2.4533266666666669</v>
      </c>
      <c r="AZ82" s="304">
        <f t="shared" ref="AZ82:BB94" si="144">AZ34/1000/24/AZ$3</f>
        <v>1.935802404761906</v>
      </c>
      <c r="BA82" s="865">
        <f t="shared" si="144"/>
        <v>2.4352125528942108</v>
      </c>
      <c r="BB82" s="865">
        <f t="shared" si="144"/>
        <v>2.110824935046574</v>
      </c>
      <c r="BC82" s="353">
        <f>+SUM(BC83:BC86)</f>
        <v>2.4533266666666669</v>
      </c>
      <c r="BD82" s="304">
        <f t="shared" ref="BD82:BJ94" si="145">BD34/1000/24/BD$3</f>
        <v>1.9395977464157685</v>
      </c>
      <c r="BE82" s="866">
        <f t="shared" si="145"/>
        <v>2.4533266666666664</v>
      </c>
      <c r="BF82" s="866">
        <f t="shared" si="145"/>
        <v>2.0036623455246914</v>
      </c>
      <c r="BG82" s="867">
        <f t="shared" si="145"/>
        <v>2.4533266666666664</v>
      </c>
      <c r="BH82" s="867">
        <f t="shared" si="145"/>
        <v>2.0785227628968248</v>
      </c>
      <c r="BI82" s="865">
        <f t="shared" si="145"/>
        <v>2.4367510118721456</v>
      </c>
      <c r="BJ82" s="865">
        <f t="shared" si="145"/>
        <v>2.0962823519025879</v>
      </c>
      <c r="BK82" s="1111"/>
      <c r="BL82" s="1111"/>
      <c r="BM82" s="1111"/>
      <c r="BN82" s="1111"/>
      <c r="BO82" s="1111"/>
    </row>
    <row r="83" spans="1:67" ht="21" thickBot="1" x14ac:dyDescent="0.35">
      <c r="A83" s="246"/>
      <c r="B83" s="278" t="s">
        <v>490</v>
      </c>
      <c r="C83" s="197" t="s">
        <v>373</v>
      </c>
      <c r="D83" s="288">
        <f>+((D42/1000)/D$3)/24</f>
        <v>110.28636605083337</v>
      </c>
      <c r="E83" s="288">
        <f>+((E42/1000)/E$3)/24</f>
        <v>113.44019473978493</v>
      </c>
      <c r="G83" s="840" t="s">
        <v>732</v>
      </c>
      <c r="H83" s="243" t="s">
        <v>693</v>
      </c>
      <c r="I83" s="352">
        <v>1.5900826666666668</v>
      </c>
      <c r="J83" s="300">
        <f t="shared" si="134"/>
        <v>1.5147972222222232</v>
      </c>
      <c r="K83" s="352">
        <v>1.5900826666666665</v>
      </c>
      <c r="L83" s="300">
        <f t="shared" si="135"/>
        <v>1.4778709677419355</v>
      </c>
      <c r="M83" s="861">
        <f t="shared" si="135"/>
        <v>1.5900826666666665</v>
      </c>
      <c r="N83" s="861">
        <f t="shared" si="135"/>
        <v>1.4960314207650278</v>
      </c>
      <c r="O83" s="352">
        <v>1.6033266666666666</v>
      </c>
      <c r="P83" s="300">
        <f t="shared" si="136"/>
        <v>1.6648472222222221</v>
      </c>
      <c r="Q83" s="862">
        <f t="shared" si="136"/>
        <v>1.5944488205128202</v>
      </c>
      <c r="R83" s="862">
        <f t="shared" si="136"/>
        <v>1.5516849816849823</v>
      </c>
      <c r="S83" s="352">
        <v>1.6033266666666668</v>
      </c>
      <c r="T83" s="300">
        <f t="shared" si="137"/>
        <v>1.6151774193548387</v>
      </c>
      <c r="U83" s="861">
        <f t="shared" si="137"/>
        <v>1.5967046666666664</v>
      </c>
      <c r="V83" s="861">
        <f t="shared" si="137"/>
        <v>1.5678183060109294</v>
      </c>
      <c r="W83" s="352">
        <v>1.6033266666666668</v>
      </c>
      <c r="X83" s="300">
        <f t="shared" si="138"/>
        <v>1.5753266129032257</v>
      </c>
      <c r="Y83" s="861">
        <f t="shared" si="138"/>
        <v>1.5980463790849673</v>
      </c>
      <c r="Z83" s="861">
        <f t="shared" si="138"/>
        <v>1.5693395969498913</v>
      </c>
      <c r="AA83" s="352">
        <v>1.570919</v>
      </c>
      <c r="AB83" s="300">
        <f t="shared" si="139"/>
        <v>1.5514680555555551</v>
      </c>
      <c r="AC83" s="862">
        <f t="shared" si="139"/>
        <v>1.5927589492753622</v>
      </c>
      <c r="AD83" s="862">
        <f t="shared" si="139"/>
        <v>1.5809746376811591</v>
      </c>
      <c r="AE83" s="863">
        <f t="shared" si="139"/>
        <v>1.5935992677595625</v>
      </c>
      <c r="AF83" s="863">
        <f t="shared" si="139"/>
        <v>1.5664098360655736</v>
      </c>
      <c r="AG83" s="352">
        <v>1.6033266666666668</v>
      </c>
      <c r="AH83" s="300">
        <f t="shared" si="140"/>
        <v>1.5273064516129027</v>
      </c>
      <c r="AI83" s="861">
        <f t="shared" si="140"/>
        <v>1.5950083769470405</v>
      </c>
      <c r="AJ83" s="861">
        <f t="shared" si="140"/>
        <v>1.5607453271028038</v>
      </c>
      <c r="AK83" s="352">
        <v>1.6033266666666666</v>
      </c>
      <c r="AL83" s="300">
        <f t="shared" si="141"/>
        <v>1.5690472222222231</v>
      </c>
      <c r="AM83" s="861">
        <f t="shared" si="141"/>
        <v>1.5960311174863386</v>
      </c>
      <c r="AN83" s="861">
        <f t="shared" si="141"/>
        <v>1.561766051912568</v>
      </c>
      <c r="AO83" s="352">
        <v>1.6033266666666668</v>
      </c>
      <c r="AP83" s="300">
        <f t="shared" si="142"/>
        <v>1.476849462365591</v>
      </c>
      <c r="AQ83" s="862">
        <f t="shared" si="142"/>
        <v>1.6033266666666668</v>
      </c>
      <c r="AR83" s="862">
        <f t="shared" si="142"/>
        <v>1.523915760869565</v>
      </c>
      <c r="AS83" s="861">
        <f t="shared" si="142"/>
        <v>1.5968535248484848</v>
      </c>
      <c r="AT83" s="861">
        <f t="shared" si="142"/>
        <v>1.5521936363636362</v>
      </c>
      <c r="AU83" s="352">
        <v>1.6033266666666668</v>
      </c>
      <c r="AV83" s="300">
        <f t="shared" si="143"/>
        <v>1.4510295698924727</v>
      </c>
      <c r="AW83" s="861">
        <f t="shared" si="143"/>
        <v>1.5975093006535945</v>
      </c>
      <c r="AX83" s="861">
        <f t="shared" si="143"/>
        <v>1.5419449891067538</v>
      </c>
      <c r="AY83" s="352">
        <v>1.6033266666666666</v>
      </c>
      <c r="AZ83" s="300">
        <f t="shared" si="144"/>
        <v>1.3635386904761917</v>
      </c>
      <c r="BA83" s="861">
        <f t="shared" si="144"/>
        <v>1.5979969840319359</v>
      </c>
      <c r="BB83" s="861">
        <f t="shared" si="144"/>
        <v>1.5269887724550899</v>
      </c>
      <c r="BC83" s="352">
        <v>1.6033266666666668</v>
      </c>
      <c r="BD83" s="300">
        <f t="shared" si="145"/>
        <v>1.4580967741935471</v>
      </c>
      <c r="BE83" s="862">
        <f t="shared" si="145"/>
        <v>1.6033266666666668</v>
      </c>
      <c r="BF83" s="862">
        <f t="shared" si="145"/>
        <v>1.426244444444444</v>
      </c>
      <c r="BG83" s="863">
        <f t="shared" si="145"/>
        <v>1.6033266666666666</v>
      </c>
      <c r="BH83" s="863">
        <f t="shared" si="145"/>
        <v>1.4756167582417576</v>
      </c>
      <c r="BI83" s="861">
        <f t="shared" si="145"/>
        <v>1.5984496420091319</v>
      </c>
      <c r="BJ83" s="861">
        <f t="shared" si="145"/>
        <v>1.5211376712328764</v>
      </c>
      <c r="BK83" s="1111"/>
      <c r="BL83" s="1111"/>
      <c r="BM83" s="1111"/>
      <c r="BN83" s="1111"/>
      <c r="BO83" s="1111"/>
    </row>
    <row r="84" spans="1:67" x14ac:dyDescent="0.3">
      <c r="G84" s="840" t="s">
        <v>733</v>
      </c>
      <c r="H84" s="243" t="s">
        <v>694</v>
      </c>
      <c r="I84" s="352">
        <v>0.4</v>
      </c>
      <c r="J84" s="300">
        <f t="shared" si="134"/>
        <v>0.23657407407407333</v>
      </c>
      <c r="K84" s="352">
        <v>0.4</v>
      </c>
      <c r="L84" s="300">
        <f t="shared" si="135"/>
        <v>0.22335215053763602</v>
      </c>
      <c r="M84" s="861">
        <f t="shared" si="135"/>
        <v>0.4</v>
      </c>
      <c r="N84" s="861">
        <f t="shared" si="135"/>
        <v>0.22985473588342484</v>
      </c>
      <c r="O84" s="352">
        <v>0.5</v>
      </c>
      <c r="P84" s="300">
        <f t="shared" si="136"/>
        <v>0.31466990740740697</v>
      </c>
      <c r="Q84" s="862">
        <f t="shared" si="136"/>
        <v>0.43296703296703293</v>
      </c>
      <c r="R84" s="862">
        <f t="shared" si="136"/>
        <v>0.2578157814407816</v>
      </c>
      <c r="S84" s="352">
        <v>0.5</v>
      </c>
      <c r="T84" s="300">
        <f t="shared" si="137"/>
        <v>0.3273006272401433</v>
      </c>
      <c r="U84" s="861">
        <f t="shared" si="137"/>
        <v>0.45</v>
      </c>
      <c r="V84" s="861">
        <f t="shared" si="137"/>
        <v>0.27547176684881614</v>
      </c>
      <c r="W84" s="352">
        <v>0.5</v>
      </c>
      <c r="X84" s="300">
        <f t="shared" si="138"/>
        <v>0.30991442652329837</v>
      </c>
      <c r="Y84" s="861">
        <f t="shared" si="138"/>
        <v>0.46013071895424829</v>
      </c>
      <c r="Z84" s="861">
        <f t="shared" si="138"/>
        <v>0.2824503449527962</v>
      </c>
      <c r="AA84" s="352">
        <v>0.5</v>
      </c>
      <c r="AB84" s="300">
        <f t="shared" si="139"/>
        <v>0.36985592592592603</v>
      </c>
      <c r="AC84" s="862">
        <f t="shared" si="139"/>
        <v>0.5</v>
      </c>
      <c r="AD84" s="862">
        <f t="shared" si="139"/>
        <v>0.33531896135265726</v>
      </c>
      <c r="AE84" s="863">
        <f t="shared" si="139"/>
        <v>0.46666666666666662</v>
      </c>
      <c r="AF84" s="863">
        <f t="shared" si="139"/>
        <v>0.29677912871888301</v>
      </c>
      <c r="AG84" s="352">
        <v>0.5</v>
      </c>
      <c r="AH84" s="300">
        <f t="shared" si="140"/>
        <v>0.3657374551971323</v>
      </c>
      <c r="AI84" s="861">
        <f t="shared" si="140"/>
        <v>0.47149532710280367</v>
      </c>
      <c r="AJ84" s="861">
        <f t="shared" si="140"/>
        <v>0.30676841900311541</v>
      </c>
      <c r="AK84" s="352">
        <v>0.5</v>
      </c>
      <c r="AL84" s="300">
        <f t="shared" si="141"/>
        <v>0.33826712962962913</v>
      </c>
      <c r="AM84" s="861">
        <f t="shared" si="141"/>
        <v>0.47499999999999998</v>
      </c>
      <c r="AN84" s="861">
        <f t="shared" si="141"/>
        <v>0.3106412112932605</v>
      </c>
      <c r="AO84" s="352">
        <v>0.5</v>
      </c>
      <c r="AP84" s="300">
        <f t="shared" si="142"/>
        <v>0.33320430107526872</v>
      </c>
      <c r="AQ84" s="862">
        <f t="shared" si="142"/>
        <v>0.5</v>
      </c>
      <c r="AR84" s="862">
        <f t="shared" si="142"/>
        <v>0.34581748188405764</v>
      </c>
      <c r="AS84" s="861">
        <f t="shared" si="142"/>
        <v>0.47781818181818186</v>
      </c>
      <c r="AT84" s="861">
        <f t="shared" si="142"/>
        <v>0.31318468686868695</v>
      </c>
      <c r="AU84" s="352">
        <v>0.5</v>
      </c>
      <c r="AV84" s="300">
        <f t="shared" si="143"/>
        <v>0.33027553763440887</v>
      </c>
      <c r="AW84" s="861">
        <f t="shared" si="143"/>
        <v>0.4800653594771242</v>
      </c>
      <c r="AX84" s="861">
        <f t="shared" si="143"/>
        <v>0.31491611292665217</v>
      </c>
      <c r="AY84" s="352">
        <v>0.5</v>
      </c>
      <c r="AZ84" s="300">
        <f t="shared" si="144"/>
        <v>0.33462648809523826</v>
      </c>
      <c r="BA84" s="861">
        <f t="shared" si="144"/>
        <v>0.4817365269461078</v>
      </c>
      <c r="BB84" s="861">
        <f t="shared" si="144"/>
        <v>0.31656847970725221</v>
      </c>
      <c r="BC84" s="352">
        <v>0.5</v>
      </c>
      <c r="BD84" s="300">
        <f t="shared" si="145"/>
        <v>0.23720206093189977</v>
      </c>
      <c r="BE84" s="862">
        <f t="shared" si="145"/>
        <v>0.5</v>
      </c>
      <c r="BF84" s="862">
        <f t="shared" si="145"/>
        <v>0.29957052469135825</v>
      </c>
      <c r="BG84" s="863">
        <f t="shared" si="145"/>
        <v>0.5</v>
      </c>
      <c r="BH84" s="863">
        <f t="shared" si="145"/>
        <v>0.32294810744810742</v>
      </c>
      <c r="BI84" s="861">
        <f t="shared" si="145"/>
        <v>0.48328767123287675</v>
      </c>
      <c r="BJ84" s="861">
        <f t="shared" si="145"/>
        <v>0.3098277701674278</v>
      </c>
      <c r="BK84" s="1111"/>
      <c r="BL84" s="1111"/>
      <c r="BM84" s="1111"/>
      <c r="BN84" s="1111"/>
      <c r="BO84" s="1111"/>
    </row>
    <row r="85" spans="1:67" x14ac:dyDescent="0.3">
      <c r="G85" s="840" t="s">
        <v>734</v>
      </c>
      <c r="H85" s="243" t="s">
        <v>695</v>
      </c>
      <c r="I85" s="352">
        <v>0.15</v>
      </c>
      <c r="J85" s="300">
        <f t="shared" si="134"/>
        <v>5.5852722222222401E-2</v>
      </c>
      <c r="K85" s="352">
        <v>0.15</v>
      </c>
      <c r="L85" s="300">
        <f t="shared" si="135"/>
        <v>6.5272043010752526E-2</v>
      </c>
      <c r="M85" s="861">
        <f t="shared" si="135"/>
        <v>0.15</v>
      </c>
      <c r="N85" s="861">
        <f t="shared" si="135"/>
        <v>6.0639590163934436E-2</v>
      </c>
      <c r="O85" s="352">
        <v>0.2</v>
      </c>
      <c r="P85" s="300">
        <f t="shared" si="136"/>
        <v>0.11789719444444444</v>
      </c>
      <c r="Q85" s="862">
        <f t="shared" si="136"/>
        <v>0.16648351648351647</v>
      </c>
      <c r="R85" s="862">
        <f t="shared" si="136"/>
        <v>7.9515723443223454E-2</v>
      </c>
      <c r="S85" s="352">
        <v>0.2</v>
      </c>
      <c r="T85" s="300">
        <f t="shared" si="137"/>
        <v>0.1094425026881717</v>
      </c>
      <c r="U85" s="861">
        <f t="shared" si="137"/>
        <v>0.17499999999999999</v>
      </c>
      <c r="V85" s="861">
        <f t="shared" si="137"/>
        <v>8.7120068989070959E-2</v>
      </c>
      <c r="W85" s="352">
        <v>0.2</v>
      </c>
      <c r="X85" s="300">
        <f t="shared" si="138"/>
        <v>0.13241297580645159</v>
      </c>
      <c r="Y85" s="861">
        <f t="shared" si="138"/>
        <v>0.18006535947712418</v>
      </c>
      <c r="Z85" s="861">
        <f t="shared" si="138"/>
        <v>9.6297063180827813E-2</v>
      </c>
      <c r="AA85" s="352">
        <v>0.2</v>
      </c>
      <c r="AB85" s="300">
        <f t="shared" si="139"/>
        <v>0.13913364583333362</v>
      </c>
      <c r="AC85" s="862">
        <f t="shared" si="139"/>
        <v>0.2</v>
      </c>
      <c r="AD85" s="862">
        <f t="shared" si="139"/>
        <v>0.12686444791666665</v>
      </c>
      <c r="AE85" s="863">
        <f t="shared" si="139"/>
        <v>0.18333333333333335</v>
      </c>
      <c r="AF85" s="863">
        <f t="shared" si="139"/>
        <v>0.10331945377959925</v>
      </c>
      <c r="AG85" s="352">
        <v>0.2</v>
      </c>
      <c r="AH85" s="300">
        <f t="shared" si="140"/>
        <v>0.12535431586021478</v>
      </c>
      <c r="AI85" s="861">
        <f t="shared" si="140"/>
        <v>0.18574766355140188</v>
      </c>
      <c r="AJ85" s="861">
        <f t="shared" si="140"/>
        <v>0.10651141978193142</v>
      </c>
      <c r="AK85" s="352">
        <v>0.2</v>
      </c>
      <c r="AL85" s="300">
        <f t="shared" si="141"/>
        <v>9.7254338888889194E-2</v>
      </c>
      <c r="AM85" s="861">
        <f t="shared" si="141"/>
        <v>0.1875</v>
      </c>
      <c r="AN85" s="861">
        <f t="shared" si="141"/>
        <v>0.10537325409836064</v>
      </c>
      <c r="AO85" s="352">
        <v>0.2</v>
      </c>
      <c r="AP85" s="300">
        <f t="shared" si="142"/>
        <v>0.10389412231182757</v>
      </c>
      <c r="AQ85" s="862">
        <f t="shared" si="142"/>
        <v>0.2</v>
      </c>
      <c r="AR85" s="862">
        <f t="shared" si="142"/>
        <v>0.10896012771739119</v>
      </c>
      <c r="AS85" s="861">
        <f t="shared" si="142"/>
        <v>0.18890909090909089</v>
      </c>
      <c r="AT85" s="861">
        <f t="shared" si="142"/>
        <v>0.10520651560606056</v>
      </c>
      <c r="AU85" s="352">
        <v>0.2</v>
      </c>
      <c r="AV85" s="300">
        <f t="shared" si="143"/>
        <v>9.7003396505376635E-2</v>
      </c>
      <c r="AW85" s="861">
        <f t="shared" si="143"/>
        <v>0.19003267973856208</v>
      </c>
      <c r="AX85" s="861">
        <f t="shared" si="143"/>
        <v>0.10437548066448801</v>
      </c>
      <c r="AY85" s="352">
        <v>0.2</v>
      </c>
      <c r="AZ85" s="300">
        <f t="shared" si="144"/>
        <v>8.2145857142857132E-2</v>
      </c>
      <c r="BA85" s="861">
        <f t="shared" si="144"/>
        <v>0.19086826347305388</v>
      </c>
      <c r="BB85" s="861">
        <f t="shared" si="144"/>
        <v>0.10251191941117763</v>
      </c>
      <c r="BC85" s="352">
        <v>0.2</v>
      </c>
      <c r="BD85" s="300">
        <f t="shared" si="145"/>
        <v>7.5242728494623476E-2</v>
      </c>
      <c r="BE85" s="862">
        <f t="shared" si="145"/>
        <v>0.2</v>
      </c>
      <c r="BF85" s="862">
        <f t="shared" si="145"/>
        <v>8.4885709722222272E-2</v>
      </c>
      <c r="BG85" s="863">
        <f t="shared" si="145"/>
        <v>0.19999999999999998</v>
      </c>
      <c r="BH85" s="863">
        <f t="shared" si="145"/>
        <v>9.7055195741758207E-2</v>
      </c>
      <c r="BI85" s="861">
        <f t="shared" si="145"/>
        <v>0.19164383561643836</v>
      </c>
      <c r="BJ85" s="861">
        <f t="shared" si="145"/>
        <v>0.10019590593607303</v>
      </c>
      <c r="BK85" s="1111"/>
      <c r="BL85" s="1111"/>
      <c r="BM85" s="1111"/>
      <c r="BN85" s="1111"/>
      <c r="BO85" s="1111"/>
    </row>
    <row r="86" spans="1:67" x14ac:dyDescent="0.3">
      <c r="G86" s="840" t="s">
        <v>734</v>
      </c>
      <c r="H86" s="243" t="s">
        <v>696</v>
      </c>
      <c r="I86" s="352">
        <v>0.23</v>
      </c>
      <c r="J86" s="300">
        <f t="shared" si="134"/>
        <v>0.25310694444444476</v>
      </c>
      <c r="K86" s="352">
        <v>0.23</v>
      </c>
      <c r="L86" s="300">
        <f t="shared" si="135"/>
        <v>0.17557258064516176</v>
      </c>
      <c r="M86" s="861">
        <f t="shared" si="135"/>
        <v>0.23</v>
      </c>
      <c r="N86" s="861">
        <f t="shared" si="135"/>
        <v>0.21370423497267799</v>
      </c>
      <c r="O86" s="352">
        <v>0.15</v>
      </c>
      <c r="P86" s="300">
        <f t="shared" si="136"/>
        <v>0.11733027777777695</v>
      </c>
      <c r="Q86" s="862">
        <f t="shared" si="136"/>
        <v>0.20362637362637365</v>
      </c>
      <c r="R86" s="862">
        <f t="shared" si="136"/>
        <v>0.18193260073260073</v>
      </c>
      <c r="S86" s="352">
        <v>0.15</v>
      </c>
      <c r="T86" s="300">
        <f t="shared" si="137"/>
        <v>0.12133010752688173</v>
      </c>
      <c r="U86" s="861">
        <f t="shared" si="137"/>
        <v>0.19000000000000003</v>
      </c>
      <c r="V86" s="861">
        <f t="shared" si="137"/>
        <v>0.16653360655737706</v>
      </c>
      <c r="W86" s="352">
        <v>0.15</v>
      </c>
      <c r="X86" s="300">
        <f t="shared" si="138"/>
        <v>8.7843279569893268E-2</v>
      </c>
      <c r="Y86" s="861">
        <f t="shared" si="138"/>
        <v>0.18189542483660129</v>
      </c>
      <c r="Z86" s="861">
        <f t="shared" si="138"/>
        <v>0.15058981481481498</v>
      </c>
      <c r="AA86" s="352">
        <v>0.15</v>
      </c>
      <c r="AB86" s="300">
        <f t="shared" si="139"/>
        <v>0.13135444444444447</v>
      </c>
      <c r="AC86" s="862">
        <f t="shared" si="139"/>
        <v>0.15</v>
      </c>
      <c r="AD86" s="862">
        <f t="shared" si="139"/>
        <v>0.11331530797101476</v>
      </c>
      <c r="AE86" s="863">
        <f t="shared" si="139"/>
        <v>0.17666666666666667</v>
      </c>
      <c r="AF86" s="863">
        <f t="shared" si="139"/>
        <v>0.1474364754098362</v>
      </c>
      <c r="AG86" s="352">
        <v>0.15</v>
      </c>
      <c r="AH86" s="300">
        <f t="shared" si="140"/>
        <v>0.11096935483870891</v>
      </c>
      <c r="AI86" s="861">
        <f t="shared" si="140"/>
        <v>0.172803738317757</v>
      </c>
      <c r="AJ86" s="861">
        <f t="shared" si="140"/>
        <v>0.14215385514018691</v>
      </c>
      <c r="AK86" s="352">
        <v>0.15</v>
      </c>
      <c r="AL86" s="300">
        <f t="shared" si="141"/>
        <v>0.20643277777777783</v>
      </c>
      <c r="AM86" s="861">
        <f t="shared" si="141"/>
        <v>0.16999999999999998</v>
      </c>
      <c r="AN86" s="861">
        <f t="shared" si="141"/>
        <v>0.15005700136612021</v>
      </c>
      <c r="AO86" s="352">
        <v>0.15</v>
      </c>
      <c r="AP86" s="300">
        <f t="shared" si="142"/>
        <v>0.20286155913978579</v>
      </c>
      <c r="AQ86" s="862">
        <f t="shared" si="142"/>
        <v>0.15</v>
      </c>
      <c r="AR86" s="862">
        <f t="shared" si="142"/>
        <v>0.17306240942028991</v>
      </c>
      <c r="AS86" s="861">
        <f t="shared" si="142"/>
        <v>0.16774545454545453</v>
      </c>
      <c r="AT86" s="861">
        <f t="shared" si="142"/>
        <v>0.15600951515151526</v>
      </c>
      <c r="AU86" s="352">
        <v>0.15</v>
      </c>
      <c r="AV86" s="300">
        <f t="shared" si="143"/>
        <v>0.25071129032258138</v>
      </c>
      <c r="AW86" s="861">
        <f t="shared" si="143"/>
        <v>0.16594771241830067</v>
      </c>
      <c r="AX86" s="861">
        <f t="shared" si="143"/>
        <v>0.16560348583878015</v>
      </c>
      <c r="AY86" s="352">
        <v>0.15</v>
      </c>
      <c r="AZ86" s="300">
        <f t="shared" si="144"/>
        <v>0.15549136904761876</v>
      </c>
      <c r="BA86" s="861">
        <f t="shared" si="144"/>
        <v>0.16461077844311375</v>
      </c>
      <c r="BB86" s="861">
        <f t="shared" si="144"/>
        <v>0.16475576347305404</v>
      </c>
      <c r="BC86" s="352">
        <v>0.15</v>
      </c>
      <c r="BD86" s="300">
        <f t="shared" si="145"/>
        <v>0.16905618279569842</v>
      </c>
      <c r="BE86" s="862">
        <f t="shared" si="145"/>
        <v>0.15</v>
      </c>
      <c r="BF86" s="862">
        <f t="shared" si="145"/>
        <v>0.19296166666666667</v>
      </c>
      <c r="BG86" s="863">
        <f t="shared" si="145"/>
        <v>0.15</v>
      </c>
      <c r="BH86" s="863">
        <f t="shared" si="145"/>
        <v>0.18290270146520149</v>
      </c>
      <c r="BI86" s="861">
        <f t="shared" si="145"/>
        <v>0.16336986301369863</v>
      </c>
      <c r="BJ86" s="861">
        <f t="shared" si="145"/>
        <v>0.16512100456621012</v>
      </c>
      <c r="BK86" s="1111"/>
      <c r="BL86" s="1111"/>
      <c r="BM86" s="1111"/>
      <c r="BN86" s="1111"/>
      <c r="BO86" s="1111"/>
    </row>
    <row r="87" spans="1:67" x14ac:dyDescent="0.3">
      <c r="G87" s="850">
        <v>4.2</v>
      </c>
      <c r="H87" s="769" t="s">
        <v>697</v>
      </c>
      <c r="I87" s="353">
        <f>+I88+I90</f>
        <v>13.4</v>
      </c>
      <c r="J87" s="304">
        <f t="shared" si="134"/>
        <v>12.924676060648144</v>
      </c>
      <c r="K87" s="353">
        <f>+K88+K90</f>
        <v>13.4</v>
      </c>
      <c r="L87" s="304">
        <f t="shared" si="135"/>
        <v>10.486532909946241</v>
      </c>
      <c r="M87" s="865">
        <f t="shared" si="135"/>
        <v>13.4</v>
      </c>
      <c r="N87" s="865">
        <f t="shared" si="135"/>
        <v>11.685619705373407</v>
      </c>
      <c r="O87" s="353">
        <f>+O88+O90</f>
        <v>13.324999999999999</v>
      </c>
      <c r="P87" s="304">
        <f t="shared" si="136"/>
        <v>13.568987913425923</v>
      </c>
      <c r="Q87" s="866">
        <f t="shared" si="136"/>
        <v>13.375274725274723</v>
      </c>
      <c r="R87" s="866">
        <f t="shared" si="136"/>
        <v>12.306510323412695</v>
      </c>
      <c r="S87" s="353">
        <f>+S88+S90</f>
        <v>13.324999999999999</v>
      </c>
      <c r="T87" s="304">
        <f t="shared" si="137"/>
        <v>13.501502478942644</v>
      </c>
      <c r="U87" s="865">
        <f t="shared" si="137"/>
        <v>13.362500000000001</v>
      </c>
      <c r="V87" s="865">
        <f t="shared" si="137"/>
        <v>12.610155871129322</v>
      </c>
      <c r="W87" s="353">
        <f>+W88+W90</f>
        <v>13.324999999999999</v>
      </c>
      <c r="X87" s="304">
        <f t="shared" si="138"/>
        <v>13.262526573476725</v>
      </c>
      <c r="Y87" s="865">
        <f t="shared" si="138"/>
        <v>13.354901960784314</v>
      </c>
      <c r="Z87" s="865">
        <f t="shared" si="138"/>
        <v>12.742335555918665</v>
      </c>
      <c r="AA87" s="353">
        <f>+AA88+AA90</f>
        <v>13.324999999999999</v>
      </c>
      <c r="AB87" s="304">
        <f t="shared" si="139"/>
        <v>13.427409061574066</v>
      </c>
      <c r="AC87" s="866">
        <f t="shared" si="139"/>
        <v>13.324999999999999</v>
      </c>
      <c r="AD87" s="866">
        <f t="shared" si="139"/>
        <v>13.396817092089375</v>
      </c>
      <c r="AE87" s="867">
        <f t="shared" si="139"/>
        <v>13.349999999999998</v>
      </c>
      <c r="AF87" s="867">
        <f t="shared" si="139"/>
        <v>12.854642687993319</v>
      </c>
      <c r="AG87" s="353">
        <f>+AG88+AG90</f>
        <v>13.324999999999999</v>
      </c>
      <c r="AH87" s="304">
        <f t="shared" si="140"/>
        <v>11.997667318996413</v>
      </c>
      <c r="AI87" s="865">
        <f t="shared" si="140"/>
        <v>13.346378504672897</v>
      </c>
      <c r="AJ87" s="865">
        <f t="shared" si="140"/>
        <v>12.730501396222742</v>
      </c>
      <c r="AK87" s="353">
        <f>+AK88+AK90</f>
        <v>13.324999999999999</v>
      </c>
      <c r="AL87" s="304">
        <f t="shared" si="141"/>
        <v>12.289975352314809</v>
      </c>
      <c r="AM87" s="865">
        <f t="shared" si="141"/>
        <v>13.34375</v>
      </c>
      <c r="AN87" s="865">
        <f t="shared" si="141"/>
        <v>12.67633835803734</v>
      </c>
      <c r="AO87" s="353">
        <f>+AO88+AO90</f>
        <v>13.324999999999999</v>
      </c>
      <c r="AP87" s="304">
        <f t="shared" si="142"/>
        <v>12.185383995967745</v>
      </c>
      <c r="AQ87" s="866">
        <f t="shared" si="142"/>
        <v>13.324999999999999</v>
      </c>
      <c r="AR87" s="866">
        <f t="shared" si="142"/>
        <v>12.15623751449275</v>
      </c>
      <c r="AS87" s="865">
        <f t="shared" si="142"/>
        <v>13.341636363636365</v>
      </c>
      <c r="AT87" s="865">
        <f t="shared" si="142"/>
        <v>12.620994411767677</v>
      </c>
      <c r="AU87" s="353">
        <f>+AU88+AU90</f>
        <v>13.324999999999999</v>
      </c>
      <c r="AV87" s="304">
        <f t="shared" si="143"/>
        <v>11.94422597580645</v>
      </c>
      <c r="AW87" s="865">
        <f t="shared" si="143"/>
        <v>13.339950980392157</v>
      </c>
      <c r="AX87" s="865">
        <f t="shared" si="143"/>
        <v>12.552432903549382</v>
      </c>
      <c r="AY87" s="353">
        <f>+AY88+AY90</f>
        <v>13.324999999999999</v>
      </c>
      <c r="AZ87" s="304">
        <f t="shared" si="144"/>
        <v>10.868194433035722</v>
      </c>
      <c r="BA87" s="865">
        <f t="shared" si="144"/>
        <v>13.338697604790418</v>
      </c>
      <c r="BB87" s="865">
        <f t="shared" si="144"/>
        <v>12.411239259314703</v>
      </c>
      <c r="BC87" s="353">
        <f>+BC88+BC90</f>
        <v>13.324999999999999</v>
      </c>
      <c r="BD87" s="304">
        <f t="shared" si="145"/>
        <v>11.598129564068088</v>
      </c>
      <c r="BE87" s="866">
        <f t="shared" si="145"/>
        <v>13.324999999999999</v>
      </c>
      <c r="BF87" s="866">
        <f t="shared" si="145"/>
        <v>11.490249620679013</v>
      </c>
      <c r="BG87" s="867">
        <f t="shared" si="145"/>
        <v>13.325000000000001</v>
      </c>
      <c r="BH87" s="867">
        <f t="shared" si="145"/>
        <v>11.826902841727716</v>
      </c>
      <c r="BI87" s="865">
        <f t="shared" si="145"/>
        <v>13.337534246575341</v>
      </c>
      <c r="BJ87" s="865">
        <f t="shared" si="145"/>
        <v>12.342180627663623</v>
      </c>
      <c r="BK87" s="1111"/>
      <c r="BL87" s="1111"/>
      <c r="BM87" s="1111"/>
      <c r="BN87" s="1111"/>
      <c r="BO87" s="1111"/>
    </row>
    <row r="88" spans="1:67" x14ac:dyDescent="0.3">
      <c r="G88" s="850" t="s">
        <v>736</v>
      </c>
      <c r="H88" s="769" t="s">
        <v>698</v>
      </c>
      <c r="I88" s="353">
        <f>+I89</f>
        <v>8.1</v>
      </c>
      <c r="J88" s="304">
        <f t="shared" si="134"/>
        <v>8.0617837499999929</v>
      </c>
      <c r="K88" s="353">
        <f>+K89</f>
        <v>8.1</v>
      </c>
      <c r="L88" s="304">
        <f t="shared" si="135"/>
        <v>5.8798521505376335</v>
      </c>
      <c r="M88" s="865">
        <f t="shared" si="135"/>
        <v>8.1</v>
      </c>
      <c r="N88" s="865">
        <f t="shared" si="135"/>
        <v>6.9529332650273181</v>
      </c>
      <c r="O88" s="353">
        <f>+O89</f>
        <v>7.8</v>
      </c>
      <c r="P88" s="304">
        <f t="shared" si="136"/>
        <v>8.2266916666666656</v>
      </c>
      <c r="Q88" s="866">
        <f t="shared" si="136"/>
        <v>8.0010989010989011</v>
      </c>
      <c r="R88" s="866">
        <f t="shared" si="136"/>
        <v>7.3728536172161148</v>
      </c>
      <c r="S88" s="353">
        <f>+S89</f>
        <v>7.8</v>
      </c>
      <c r="T88" s="304">
        <f t="shared" si="137"/>
        <v>8.3788759408602136</v>
      </c>
      <c r="U88" s="865">
        <f t="shared" si="137"/>
        <v>7.95</v>
      </c>
      <c r="V88" s="865">
        <f t="shared" si="137"/>
        <v>7.6284822404371564</v>
      </c>
      <c r="W88" s="353">
        <f>+W89</f>
        <v>7.8</v>
      </c>
      <c r="X88" s="304">
        <f t="shared" si="138"/>
        <v>8.2727244623655913</v>
      </c>
      <c r="Y88" s="865">
        <f t="shared" si="138"/>
        <v>7.9196078431372552</v>
      </c>
      <c r="Z88" s="865">
        <f t="shared" si="138"/>
        <v>7.7590149782135063</v>
      </c>
      <c r="AA88" s="353">
        <f>+AA89</f>
        <v>7.8</v>
      </c>
      <c r="AB88" s="304">
        <f t="shared" si="139"/>
        <v>8.2190277777777769</v>
      </c>
      <c r="AC88" s="866">
        <f t="shared" si="139"/>
        <v>7.8</v>
      </c>
      <c r="AD88" s="866">
        <f t="shared" si="139"/>
        <v>8.2909831068840578</v>
      </c>
      <c r="AE88" s="867">
        <f t="shared" si="139"/>
        <v>7.9</v>
      </c>
      <c r="AF88" s="867">
        <f t="shared" si="139"/>
        <v>7.8344269125683041</v>
      </c>
      <c r="AG88" s="353">
        <f>+AG89</f>
        <v>7.8</v>
      </c>
      <c r="AH88" s="304">
        <f t="shared" si="140"/>
        <v>7.3760752688172042</v>
      </c>
      <c r="AI88" s="865">
        <f t="shared" si="140"/>
        <v>7.8855140186915884</v>
      </c>
      <c r="AJ88" s="865">
        <f t="shared" si="140"/>
        <v>7.7680301791277246</v>
      </c>
      <c r="AK88" s="353">
        <f>+AK89</f>
        <v>7.8</v>
      </c>
      <c r="AL88" s="304">
        <f t="shared" si="141"/>
        <v>8.0652777777777729</v>
      </c>
      <c r="AM88" s="865">
        <f t="shared" si="141"/>
        <v>7.875</v>
      </c>
      <c r="AN88" s="865">
        <f t="shared" si="141"/>
        <v>7.8045770150273208</v>
      </c>
      <c r="AO88" s="353">
        <f>+AO89</f>
        <v>7.8</v>
      </c>
      <c r="AP88" s="304">
        <f t="shared" si="142"/>
        <v>7.8126344086021513</v>
      </c>
      <c r="AQ88" s="866">
        <f t="shared" si="142"/>
        <v>7.8</v>
      </c>
      <c r="AR88" s="866">
        <f t="shared" si="142"/>
        <v>7.7479166666666659</v>
      </c>
      <c r="AS88" s="865">
        <f t="shared" si="142"/>
        <v>7.8665454545454532</v>
      </c>
      <c r="AT88" s="865">
        <f t="shared" si="142"/>
        <v>7.8054853030303013</v>
      </c>
      <c r="AU88" s="353">
        <f>+AU89</f>
        <v>7.8</v>
      </c>
      <c r="AV88" s="304">
        <f t="shared" si="143"/>
        <v>7.4837365591397838</v>
      </c>
      <c r="AW88" s="865">
        <f t="shared" si="143"/>
        <v>7.8598039215686271</v>
      </c>
      <c r="AX88" s="865">
        <f t="shared" si="143"/>
        <v>7.7728898420479284</v>
      </c>
      <c r="AY88" s="353">
        <f>+AY89</f>
        <v>7.8</v>
      </c>
      <c r="AZ88" s="304">
        <f t="shared" si="144"/>
        <v>7.4389880952380949</v>
      </c>
      <c r="BA88" s="865">
        <f t="shared" si="144"/>
        <v>7.8547904191616764</v>
      </c>
      <c r="BB88" s="865">
        <f t="shared" si="144"/>
        <v>7.7448980788423132</v>
      </c>
      <c r="BC88" s="353">
        <f>+BC89</f>
        <v>7.8</v>
      </c>
      <c r="BD88" s="304">
        <f t="shared" si="145"/>
        <v>7.9709879032258089</v>
      </c>
      <c r="BE88" s="866">
        <f t="shared" si="145"/>
        <v>7.8</v>
      </c>
      <c r="BF88" s="866">
        <f t="shared" si="145"/>
        <v>7.6376458333333339</v>
      </c>
      <c r="BG88" s="867">
        <f t="shared" si="145"/>
        <v>7.8000000000000007</v>
      </c>
      <c r="BH88" s="867">
        <f t="shared" si="145"/>
        <v>7.6933871336996322</v>
      </c>
      <c r="BI88" s="865">
        <f t="shared" si="145"/>
        <v>7.8501369863013695</v>
      </c>
      <c r="BJ88" s="865">
        <f t="shared" si="145"/>
        <v>7.7641002283105003</v>
      </c>
      <c r="BK88" s="1111"/>
      <c r="BL88" s="1111"/>
      <c r="BM88" s="1111"/>
      <c r="BN88" s="1111"/>
      <c r="BO88" s="1111"/>
    </row>
    <row r="89" spans="1:67" x14ac:dyDescent="0.3">
      <c r="G89" s="840" t="s">
        <v>737</v>
      </c>
      <c r="H89" s="243" t="s">
        <v>699</v>
      </c>
      <c r="I89" s="299">
        <v>8.1</v>
      </c>
      <c r="J89" s="300">
        <f t="shared" si="134"/>
        <v>8.0617837499999929</v>
      </c>
      <c r="K89" s="299">
        <v>8.1</v>
      </c>
      <c r="L89" s="300">
        <f t="shared" si="135"/>
        <v>5.8798521505376335</v>
      </c>
      <c r="M89" s="861">
        <f t="shared" si="135"/>
        <v>8.1</v>
      </c>
      <c r="N89" s="861">
        <f t="shared" si="135"/>
        <v>6.9529332650273181</v>
      </c>
      <c r="O89" s="299">
        <v>7.8</v>
      </c>
      <c r="P89" s="300">
        <f t="shared" si="136"/>
        <v>8.2266916666666656</v>
      </c>
      <c r="Q89" s="862">
        <f t="shared" si="136"/>
        <v>8.0010989010989011</v>
      </c>
      <c r="R89" s="862">
        <f t="shared" si="136"/>
        <v>7.3728536172161148</v>
      </c>
      <c r="S89" s="299">
        <v>7.8</v>
      </c>
      <c r="T89" s="300">
        <f t="shared" si="137"/>
        <v>8.3788759408602136</v>
      </c>
      <c r="U89" s="861">
        <f t="shared" si="137"/>
        <v>7.95</v>
      </c>
      <c r="V89" s="861">
        <f t="shared" si="137"/>
        <v>7.6284822404371564</v>
      </c>
      <c r="W89" s="299">
        <v>7.8</v>
      </c>
      <c r="X89" s="300">
        <f t="shared" si="138"/>
        <v>8.2727244623655913</v>
      </c>
      <c r="Y89" s="861">
        <f t="shared" si="138"/>
        <v>7.9196078431372552</v>
      </c>
      <c r="Z89" s="861">
        <f t="shared" si="138"/>
        <v>7.7590149782135063</v>
      </c>
      <c r="AA89" s="299">
        <v>7.8</v>
      </c>
      <c r="AB89" s="300">
        <f t="shared" si="139"/>
        <v>8.2190277777777769</v>
      </c>
      <c r="AC89" s="862">
        <f t="shared" si="139"/>
        <v>7.8</v>
      </c>
      <c r="AD89" s="862">
        <f t="shared" si="139"/>
        <v>8.2909831068840578</v>
      </c>
      <c r="AE89" s="863">
        <f t="shared" si="139"/>
        <v>7.9</v>
      </c>
      <c r="AF89" s="863">
        <f t="shared" si="139"/>
        <v>7.8344269125683041</v>
      </c>
      <c r="AG89" s="299">
        <v>7.8</v>
      </c>
      <c r="AH89" s="300">
        <f t="shared" si="140"/>
        <v>7.3760752688172042</v>
      </c>
      <c r="AI89" s="861">
        <f t="shared" si="140"/>
        <v>7.8855140186915884</v>
      </c>
      <c r="AJ89" s="861">
        <f t="shared" si="140"/>
        <v>7.7680301791277246</v>
      </c>
      <c r="AK89" s="299">
        <v>7.8</v>
      </c>
      <c r="AL89" s="300">
        <f t="shared" si="141"/>
        <v>8.0652777777777729</v>
      </c>
      <c r="AM89" s="861">
        <f t="shared" si="141"/>
        <v>7.875</v>
      </c>
      <c r="AN89" s="861">
        <f t="shared" si="141"/>
        <v>7.8045770150273208</v>
      </c>
      <c r="AO89" s="299">
        <v>7.8</v>
      </c>
      <c r="AP89" s="300">
        <f t="shared" si="142"/>
        <v>7.8126344086021513</v>
      </c>
      <c r="AQ89" s="862">
        <f t="shared" si="142"/>
        <v>7.8</v>
      </c>
      <c r="AR89" s="862">
        <f t="shared" si="142"/>
        <v>7.7479166666666659</v>
      </c>
      <c r="AS89" s="861">
        <f t="shared" si="142"/>
        <v>7.8665454545454532</v>
      </c>
      <c r="AT89" s="861">
        <f t="shared" si="142"/>
        <v>7.8054853030303013</v>
      </c>
      <c r="AU89" s="299">
        <v>7.8</v>
      </c>
      <c r="AV89" s="300">
        <f t="shared" si="143"/>
        <v>7.4837365591397838</v>
      </c>
      <c r="AW89" s="861">
        <f t="shared" si="143"/>
        <v>7.8598039215686271</v>
      </c>
      <c r="AX89" s="861">
        <f t="shared" si="143"/>
        <v>7.7728898420479284</v>
      </c>
      <c r="AY89" s="299">
        <v>7.8</v>
      </c>
      <c r="AZ89" s="300">
        <f t="shared" si="144"/>
        <v>7.4389880952380949</v>
      </c>
      <c r="BA89" s="861">
        <f t="shared" si="144"/>
        <v>7.8547904191616764</v>
      </c>
      <c r="BB89" s="861">
        <f t="shared" si="144"/>
        <v>7.7448980788423132</v>
      </c>
      <c r="BC89" s="299">
        <v>7.8</v>
      </c>
      <c r="BD89" s="300">
        <f t="shared" si="145"/>
        <v>7.9709879032258089</v>
      </c>
      <c r="BE89" s="862">
        <f t="shared" si="145"/>
        <v>7.8</v>
      </c>
      <c r="BF89" s="862">
        <f t="shared" si="145"/>
        <v>7.6376458333333339</v>
      </c>
      <c r="BG89" s="863">
        <f t="shared" si="145"/>
        <v>7.8000000000000007</v>
      </c>
      <c r="BH89" s="863">
        <f t="shared" si="145"/>
        <v>7.6933871336996322</v>
      </c>
      <c r="BI89" s="861">
        <f t="shared" si="145"/>
        <v>7.8501369863013695</v>
      </c>
      <c r="BJ89" s="861">
        <f t="shared" si="145"/>
        <v>7.7641002283105003</v>
      </c>
      <c r="BK89" s="1111"/>
      <c r="BL89" s="1111"/>
      <c r="BM89" s="1111"/>
      <c r="BN89" s="1111"/>
      <c r="BO89" s="1111"/>
    </row>
    <row r="90" spans="1:67" x14ac:dyDescent="0.3">
      <c r="G90" s="850" t="s">
        <v>738</v>
      </c>
      <c r="H90" s="769" t="s">
        <v>700</v>
      </c>
      <c r="I90" s="303">
        <f>+SUM(I91:I94)</f>
        <v>5.3000000000000007</v>
      </c>
      <c r="J90" s="304">
        <f t="shared" si="134"/>
        <v>4.8628923106481512</v>
      </c>
      <c r="K90" s="303">
        <f>+SUM(K91:K94)</f>
        <v>5.3000000000000007</v>
      </c>
      <c r="L90" s="304">
        <f t="shared" si="135"/>
        <v>4.6066807594086097</v>
      </c>
      <c r="M90" s="865">
        <f t="shared" si="135"/>
        <v>5.3</v>
      </c>
      <c r="N90" s="865">
        <f t="shared" si="135"/>
        <v>4.7326864403460895</v>
      </c>
      <c r="O90" s="303">
        <f>+SUM(O91:O94)</f>
        <v>5.5250000000000004</v>
      </c>
      <c r="P90" s="304">
        <f t="shared" si="136"/>
        <v>5.342296246759255</v>
      </c>
      <c r="Q90" s="866">
        <f t="shared" si="136"/>
        <v>5.3741758241758246</v>
      </c>
      <c r="R90" s="866">
        <f t="shared" si="136"/>
        <v>4.933656706196583</v>
      </c>
      <c r="S90" s="303">
        <f>+SUM(S91:S94)</f>
        <v>5.5250000000000004</v>
      </c>
      <c r="T90" s="304">
        <f t="shared" si="137"/>
        <v>5.1226265380824296</v>
      </c>
      <c r="U90" s="865">
        <f t="shared" si="137"/>
        <v>5.4124999999999996</v>
      </c>
      <c r="V90" s="865">
        <f t="shared" si="137"/>
        <v>4.9816736306921676</v>
      </c>
      <c r="W90" s="303">
        <f>+SUM(W91:W94)</f>
        <v>5.5250000000000004</v>
      </c>
      <c r="X90" s="304">
        <f t="shared" si="138"/>
        <v>4.9898021111111346</v>
      </c>
      <c r="Y90" s="865">
        <f t="shared" si="138"/>
        <v>5.4352941176470591</v>
      </c>
      <c r="Z90" s="865">
        <f t="shared" si="138"/>
        <v>4.9833205777051601</v>
      </c>
      <c r="AA90" s="303">
        <f>+SUM(AA91:AA94)</f>
        <v>5.5250000000000004</v>
      </c>
      <c r="AB90" s="304">
        <f t="shared" si="139"/>
        <v>5.2083812837962897</v>
      </c>
      <c r="AC90" s="866">
        <f t="shared" si="139"/>
        <v>5.5250000000000004</v>
      </c>
      <c r="AD90" s="866">
        <f t="shared" si="139"/>
        <v>5.1058339852053169</v>
      </c>
      <c r="AE90" s="867">
        <f t="shared" si="139"/>
        <v>5.45</v>
      </c>
      <c r="AF90" s="867">
        <f t="shared" si="139"/>
        <v>5.020215775425017</v>
      </c>
      <c r="AG90" s="303">
        <f>+SUM(AG91:AG94)</f>
        <v>5.5250000000000004</v>
      </c>
      <c r="AH90" s="304">
        <f t="shared" si="140"/>
        <v>4.6215920501792098</v>
      </c>
      <c r="AI90" s="865">
        <f t="shared" si="140"/>
        <v>5.4608644859813085</v>
      </c>
      <c r="AJ90" s="865">
        <f t="shared" si="140"/>
        <v>4.9624712170950174</v>
      </c>
      <c r="AK90" s="303">
        <f>+SUM(AK91:AK94)</f>
        <v>5.5250000000000004</v>
      </c>
      <c r="AL90" s="304">
        <f t="shared" si="141"/>
        <v>4.2246975745370383</v>
      </c>
      <c r="AM90" s="865">
        <f t="shared" si="141"/>
        <v>5.46875</v>
      </c>
      <c r="AN90" s="865">
        <f t="shared" si="141"/>
        <v>4.8717613430100197</v>
      </c>
      <c r="AO90" s="303">
        <f>+SUM(AO91:AO94)</f>
        <v>5.5250000000000004</v>
      </c>
      <c r="AP90" s="304">
        <f t="shared" si="142"/>
        <v>4.3727495873655959</v>
      </c>
      <c r="AQ90" s="866">
        <f t="shared" si="142"/>
        <v>5.5250000000000004</v>
      </c>
      <c r="AR90" s="866">
        <f t="shared" si="142"/>
        <v>4.4083208478260891</v>
      </c>
      <c r="AS90" s="865">
        <f t="shared" si="142"/>
        <v>5.475090909090909</v>
      </c>
      <c r="AT90" s="865">
        <f t="shared" si="142"/>
        <v>4.815509108737376</v>
      </c>
      <c r="AU90" s="303">
        <f>+SUM(AU91:AU94)</f>
        <v>5.5250000000000004</v>
      </c>
      <c r="AV90" s="304">
        <f t="shared" si="143"/>
        <v>4.4604894166666673</v>
      </c>
      <c r="AW90" s="865">
        <f t="shared" si="143"/>
        <v>5.4801470588235297</v>
      </c>
      <c r="AX90" s="865">
        <f t="shared" si="143"/>
        <v>4.779543061501454</v>
      </c>
      <c r="AY90" s="303">
        <f>+SUM(AY91:AY94)</f>
        <v>5.5250000000000004</v>
      </c>
      <c r="AZ90" s="304">
        <f t="shared" si="144"/>
        <v>3.4292063377976274</v>
      </c>
      <c r="BA90" s="865">
        <f t="shared" si="144"/>
        <v>5.4839071856287429</v>
      </c>
      <c r="BB90" s="865">
        <f t="shared" si="144"/>
        <v>4.6663411804723909</v>
      </c>
      <c r="BC90" s="303">
        <f>+SUM(BC91:BC94)</f>
        <v>5.5250000000000004</v>
      </c>
      <c r="BD90" s="304">
        <f t="shared" si="145"/>
        <v>3.6271416608422817</v>
      </c>
      <c r="BE90" s="866">
        <f t="shared" si="145"/>
        <v>5.5250000000000004</v>
      </c>
      <c r="BF90" s="866">
        <f t="shared" si="145"/>
        <v>3.8526037873456769</v>
      </c>
      <c r="BG90" s="867">
        <f t="shared" si="145"/>
        <v>5.5250000000000004</v>
      </c>
      <c r="BH90" s="867">
        <f t="shared" si="145"/>
        <v>4.1335157080280833</v>
      </c>
      <c r="BI90" s="865">
        <f t="shared" si="145"/>
        <v>5.4873972602739718</v>
      </c>
      <c r="BJ90" s="865">
        <f t="shared" si="145"/>
        <v>4.5780803993531212</v>
      </c>
      <c r="BK90" s="1111"/>
      <c r="BL90" s="1111"/>
      <c r="BM90" s="1111"/>
      <c r="BN90" s="1111"/>
      <c r="BO90" s="1111"/>
    </row>
    <row r="91" spans="1:67" x14ac:dyDescent="0.3">
      <c r="G91" s="840" t="s">
        <v>739</v>
      </c>
      <c r="H91" s="243" t="s">
        <v>701</v>
      </c>
      <c r="I91" s="352">
        <v>0.61</v>
      </c>
      <c r="J91" s="300">
        <f t="shared" si="134"/>
        <v>0.47917615370370281</v>
      </c>
      <c r="K91" s="352">
        <v>0.61</v>
      </c>
      <c r="L91" s="300">
        <f t="shared" si="135"/>
        <v>0.54624977688172016</v>
      </c>
      <c r="M91" s="861">
        <f t="shared" si="135"/>
        <v>0.61</v>
      </c>
      <c r="N91" s="861">
        <f t="shared" si="135"/>
        <v>0.51326274908925262</v>
      </c>
      <c r="O91" s="352">
        <v>0.52500000000000002</v>
      </c>
      <c r="P91" s="300">
        <f t="shared" si="136"/>
        <v>0.55911638148148191</v>
      </c>
      <c r="Q91" s="862">
        <f t="shared" si="136"/>
        <v>0.58197802197802195</v>
      </c>
      <c r="R91" s="862">
        <f t="shared" si="136"/>
        <v>0.52837933119658087</v>
      </c>
      <c r="S91" s="352">
        <v>0.52500000000000002</v>
      </c>
      <c r="T91" s="300">
        <f t="shared" si="137"/>
        <v>0.54146180689964152</v>
      </c>
      <c r="U91" s="861">
        <f t="shared" si="137"/>
        <v>0.5675</v>
      </c>
      <c r="V91" s="861">
        <f t="shared" si="137"/>
        <v>0.53170356682604702</v>
      </c>
      <c r="W91" s="352">
        <v>0.52500000000000002</v>
      </c>
      <c r="X91" s="300">
        <f t="shared" si="138"/>
        <v>0.55513426836917734</v>
      </c>
      <c r="Y91" s="861">
        <f t="shared" si="138"/>
        <v>0.55888888888888888</v>
      </c>
      <c r="Z91" s="861">
        <f t="shared" si="138"/>
        <v>0.53645096387073365</v>
      </c>
      <c r="AA91" s="352">
        <v>0.52500000000000002</v>
      </c>
      <c r="AB91" s="300">
        <f t="shared" si="139"/>
        <v>0.57793101990740792</v>
      </c>
      <c r="AC91" s="862">
        <f t="shared" si="139"/>
        <v>0.52500000000000002</v>
      </c>
      <c r="AD91" s="862">
        <f t="shared" si="139"/>
        <v>0.55796096663647421</v>
      </c>
      <c r="AE91" s="863">
        <f t="shared" si="139"/>
        <v>0.55333333333333323</v>
      </c>
      <c r="AF91" s="863">
        <f t="shared" si="139"/>
        <v>0.5432509730570737</v>
      </c>
      <c r="AG91" s="352">
        <v>0.52500000000000002</v>
      </c>
      <c r="AH91" s="300">
        <f t="shared" si="140"/>
        <v>0.51107114964157596</v>
      </c>
      <c r="AI91" s="861">
        <f t="shared" si="140"/>
        <v>0.54922897196261689</v>
      </c>
      <c r="AJ91" s="861">
        <f t="shared" si="140"/>
        <v>0.53858940985202497</v>
      </c>
      <c r="AK91" s="352">
        <v>0.52500000000000002</v>
      </c>
      <c r="AL91" s="300">
        <f t="shared" si="141"/>
        <v>0.40427717175925915</v>
      </c>
      <c r="AM91" s="861">
        <f t="shared" si="141"/>
        <v>0.54625000000000001</v>
      </c>
      <c r="AN91" s="861">
        <f t="shared" si="141"/>
        <v>0.52207561008652092</v>
      </c>
      <c r="AO91" s="352">
        <v>0.52500000000000002</v>
      </c>
      <c r="AP91" s="300">
        <f t="shared" si="142"/>
        <v>0.38879782661290191</v>
      </c>
      <c r="AQ91" s="862">
        <f t="shared" si="142"/>
        <v>0.52500000000000002</v>
      </c>
      <c r="AR91" s="862">
        <f t="shared" si="142"/>
        <v>0.43504623278985421</v>
      </c>
      <c r="AS91" s="861">
        <f t="shared" si="142"/>
        <v>0.54385454545454548</v>
      </c>
      <c r="AT91" s="861">
        <f t="shared" si="142"/>
        <v>0.50705156904040383</v>
      </c>
      <c r="AU91" s="352">
        <v>0.52500000000000002</v>
      </c>
      <c r="AV91" s="300">
        <f t="shared" si="143"/>
        <v>0.43049549193548381</v>
      </c>
      <c r="AW91" s="861">
        <f t="shared" si="143"/>
        <v>0.54194444444444445</v>
      </c>
      <c r="AX91" s="861">
        <f t="shared" si="143"/>
        <v>0.49929588802650682</v>
      </c>
      <c r="AY91" s="352">
        <v>0.52500000000000002</v>
      </c>
      <c r="AZ91" s="300">
        <f t="shared" si="144"/>
        <v>0.36825425446428833</v>
      </c>
      <c r="BA91" s="861">
        <f t="shared" si="144"/>
        <v>0.54052395209580839</v>
      </c>
      <c r="BB91" s="861">
        <f t="shared" si="144"/>
        <v>0.48831036185961424</v>
      </c>
      <c r="BC91" s="352">
        <v>0.52500000000000002</v>
      </c>
      <c r="BD91" s="300">
        <f t="shared" si="145"/>
        <v>0.33581117293906743</v>
      </c>
      <c r="BE91" s="862">
        <f t="shared" si="145"/>
        <v>0.52500000000000002</v>
      </c>
      <c r="BF91" s="862">
        <f t="shared" si="145"/>
        <v>0.37851806373456848</v>
      </c>
      <c r="BG91" s="863">
        <f t="shared" si="145"/>
        <v>0.52500000000000002</v>
      </c>
      <c r="BH91" s="863">
        <f t="shared" si="145"/>
        <v>0.40709274259768002</v>
      </c>
      <c r="BI91" s="861">
        <f t="shared" si="145"/>
        <v>0.53920547945205477</v>
      </c>
      <c r="BJ91" s="861">
        <f t="shared" si="145"/>
        <v>0.47535837595129388</v>
      </c>
      <c r="BK91" s="1111"/>
      <c r="BL91" s="1111"/>
      <c r="BM91" s="1111"/>
      <c r="BN91" s="1111"/>
      <c r="BO91" s="1111"/>
    </row>
    <row r="92" spans="1:67" x14ac:dyDescent="0.3">
      <c r="G92" s="840" t="s">
        <v>740</v>
      </c>
      <c r="H92" s="243" t="s">
        <v>702</v>
      </c>
      <c r="I92" s="352">
        <v>3.5</v>
      </c>
      <c r="J92" s="300">
        <f t="shared" si="134"/>
        <v>3.3426772680555583</v>
      </c>
      <c r="K92" s="352">
        <v>3.5</v>
      </c>
      <c r="L92" s="300">
        <f t="shared" si="135"/>
        <v>3.335288509408608</v>
      </c>
      <c r="M92" s="861">
        <f t="shared" si="135"/>
        <v>3.5</v>
      </c>
      <c r="N92" s="861">
        <f t="shared" si="135"/>
        <v>3.338922325136616</v>
      </c>
      <c r="O92" s="352">
        <v>3.5</v>
      </c>
      <c r="P92" s="300">
        <f t="shared" si="136"/>
        <v>3.7419615319444426</v>
      </c>
      <c r="Q92" s="862">
        <f t="shared" si="136"/>
        <v>3.5</v>
      </c>
      <c r="R92" s="862">
        <f t="shared" si="136"/>
        <v>3.4717923933150208</v>
      </c>
      <c r="S92" s="352">
        <v>3.5</v>
      </c>
      <c r="T92" s="300">
        <f t="shared" si="137"/>
        <v>3.5824975268817134</v>
      </c>
      <c r="U92" s="861">
        <f t="shared" si="137"/>
        <v>3.5</v>
      </c>
      <c r="V92" s="861">
        <f t="shared" si="137"/>
        <v>3.4999223862704913</v>
      </c>
      <c r="W92" s="352">
        <v>3.5</v>
      </c>
      <c r="X92" s="300">
        <f t="shared" si="138"/>
        <v>3.5530406922043176</v>
      </c>
      <c r="Y92" s="861">
        <f t="shared" si="138"/>
        <v>3.5</v>
      </c>
      <c r="Z92" s="861">
        <f t="shared" si="138"/>
        <v>3.5106849188453193</v>
      </c>
      <c r="AA92" s="352">
        <v>3.5</v>
      </c>
      <c r="AB92" s="300">
        <f t="shared" si="139"/>
        <v>3.5388672083333268</v>
      </c>
      <c r="AC92" s="862">
        <f t="shared" si="139"/>
        <v>3.5</v>
      </c>
      <c r="AD92" s="862">
        <f t="shared" si="139"/>
        <v>3.5583445765398558</v>
      </c>
      <c r="AE92" s="863">
        <f t="shared" si="139"/>
        <v>3.5</v>
      </c>
      <c r="AF92" s="863">
        <f t="shared" si="139"/>
        <v>3.5153049663023692</v>
      </c>
      <c r="AG92" s="352">
        <v>3.5</v>
      </c>
      <c r="AH92" s="300">
        <f t="shared" si="140"/>
        <v>3.0774270833333359</v>
      </c>
      <c r="AI92" s="861">
        <f t="shared" si="140"/>
        <v>3.5</v>
      </c>
      <c r="AJ92" s="861">
        <f t="shared" si="140"/>
        <v>3.4518740580218088</v>
      </c>
      <c r="AK92" s="352">
        <v>3.5</v>
      </c>
      <c r="AL92" s="300">
        <f t="shared" si="141"/>
        <v>2.4555365138888892</v>
      </c>
      <c r="AM92" s="861">
        <f t="shared" si="141"/>
        <v>3.5</v>
      </c>
      <c r="AN92" s="861">
        <f t="shared" si="141"/>
        <v>3.3293735403005473</v>
      </c>
      <c r="AO92" s="352">
        <v>3.5</v>
      </c>
      <c r="AP92" s="300">
        <f t="shared" si="142"/>
        <v>2.6255485349462386</v>
      </c>
      <c r="AQ92" s="862">
        <f t="shared" si="142"/>
        <v>3.5</v>
      </c>
      <c r="AR92" s="862">
        <f t="shared" si="142"/>
        <v>2.7223732563405818</v>
      </c>
      <c r="AS92" s="861">
        <f t="shared" si="142"/>
        <v>3.5</v>
      </c>
      <c r="AT92" s="861">
        <f t="shared" si="142"/>
        <v>3.2500332669696981</v>
      </c>
      <c r="AU92" s="352">
        <v>3.5</v>
      </c>
      <c r="AV92" s="300">
        <f t="shared" si="143"/>
        <v>2.6763127419354809</v>
      </c>
      <c r="AW92" s="861">
        <f t="shared" si="143"/>
        <v>3.5</v>
      </c>
      <c r="AX92" s="861">
        <f t="shared" si="143"/>
        <v>3.1919112529956442</v>
      </c>
      <c r="AY92" s="352">
        <v>3.5</v>
      </c>
      <c r="AZ92" s="300">
        <f t="shared" si="144"/>
        <v>2.4012187500000066</v>
      </c>
      <c r="BA92" s="861">
        <f t="shared" si="144"/>
        <v>3.5</v>
      </c>
      <c r="BB92" s="861">
        <f t="shared" si="144"/>
        <v>3.1256256539421172</v>
      </c>
      <c r="BC92" s="352">
        <v>3.5</v>
      </c>
      <c r="BD92" s="300">
        <f t="shared" si="145"/>
        <v>2.5856702728494532</v>
      </c>
      <c r="BE92" s="862">
        <f t="shared" si="145"/>
        <v>3.5</v>
      </c>
      <c r="BF92" s="862">
        <f t="shared" si="145"/>
        <v>2.5595066495370351</v>
      </c>
      <c r="BG92" s="863">
        <f t="shared" si="145"/>
        <v>3.5</v>
      </c>
      <c r="BH92" s="863">
        <f t="shared" si="145"/>
        <v>2.641834824404762</v>
      </c>
      <c r="BI92" s="861">
        <f t="shared" si="145"/>
        <v>3.5</v>
      </c>
      <c r="BJ92" s="861">
        <f t="shared" si="145"/>
        <v>3.0797664297945211</v>
      </c>
      <c r="BK92" s="1111"/>
      <c r="BL92" s="1111"/>
      <c r="BM92" s="1111"/>
      <c r="BN92" s="1111"/>
      <c r="BO92" s="1111"/>
    </row>
    <row r="93" spans="1:67" x14ac:dyDescent="0.3">
      <c r="G93" s="840" t="s">
        <v>741</v>
      </c>
      <c r="H93" s="243" t="s">
        <v>703</v>
      </c>
      <c r="I93" s="352">
        <v>0.92</v>
      </c>
      <c r="J93" s="300">
        <f t="shared" si="134"/>
        <v>1.012427777777779</v>
      </c>
      <c r="K93" s="352">
        <v>0.92</v>
      </c>
      <c r="L93" s="300">
        <f t="shared" si="135"/>
        <v>0.70229032258064705</v>
      </c>
      <c r="M93" s="861">
        <f t="shared" si="135"/>
        <v>0.92</v>
      </c>
      <c r="N93" s="861">
        <f t="shared" si="135"/>
        <v>0.85481693989071195</v>
      </c>
      <c r="O93" s="352">
        <v>0.6</v>
      </c>
      <c r="P93" s="300">
        <f t="shared" si="136"/>
        <v>0.4693211111111078</v>
      </c>
      <c r="Q93" s="862">
        <f t="shared" si="136"/>
        <v>0.81450549450549459</v>
      </c>
      <c r="R93" s="862">
        <f t="shared" si="136"/>
        <v>0.72773040293040292</v>
      </c>
      <c r="S93" s="352">
        <v>0.6</v>
      </c>
      <c r="T93" s="300">
        <f t="shared" si="137"/>
        <v>0.4853204301075269</v>
      </c>
      <c r="U93" s="861">
        <f t="shared" si="137"/>
        <v>0.76000000000000012</v>
      </c>
      <c r="V93" s="861">
        <f t="shared" si="137"/>
        <v>0.66613442622950825</v>
      </c>
      <c r="W93" s="352">
        <v>0.6</v>
      </c>
      <c r="X93" s="300">
        <f t="shared" si="138"/>
        <v>0.35137311827957307</v>
      </c>
      <c r="Y93" s="861">
        <f t="shared" si="138"/>
        <v>0.72758169934640515</v>
      </c>
      <c r="Z93" s="861">
        <f t="shared" si="138"/>
        <v>0.60235925925925993</v>
      </c>
      <c r="AA93" s="352">
        <v>0.6</v>
      </c>
      <c r="AB93" s="300">
        <f t="shared" si="139"/>
        <v>0.52541777777777787</v>
      </c>
      <c r="AC93" s="862">
        <f t="shared" si="139"/>
        <v>0.6</v>
      </c>
      <c r="AD93" s="862">
        <f t="shared" si="139"/>
        <v>0.45326123188405903</v>
      </c>
      <c r="AE93" s="863">
        <f t="shared" si="139"/>
        <v>0.70666666666666667</v>
      </c>
      <c r="AF93" s="863">
        <f t="shared" si="139"/>
        <v>0.58974590163934482</v>
      </c>
      <c r="AG93" s="352">
        <v>0.6</v>
      </c>
      <c r="AH93" s="300">
        <f t="shared" si="140"/>
        <v>0.44387741935483566</v>
      </c>
      <c r="AI93" s="861">
        <f t="shared" si="140"/>
        <v>0.691214953271028</v>
      </c>
      <c r="AJ93" s="861">
        <f t="shared" si="140"/>
        <v>0.56861542056074765</v>
      </c>
      <c r="AK93" s="352">
        <v>0.6</v>
      </c>
      <c r="AL93" s="300">
        <f t="shared" si="141"/>
        <v>0.8257311111111113</v>
      </c>
      <c r="AM93" s="861">
        <f t="shared" si="141"/>
        <v>0.67999999999999994</v>
      </c>
      <c r="AN93" s="861">
        <f t="shared" si="141"/>
        <v>0.60022800546448085</v>
      </c>
      <c r="AO93" s="352">
        <v>0.6</v>
      </c>
      <c r="AP93" s="300">
        <f t="shared" si="142"/>
        <v>0.81144623655914316</v>
      </c>
      <c r="AQ93" s="862">
        <f t="shared" si="142"/>
        <v>0.6</v>
      </c>
      <c r="AR93" s="862">
        <f t="shared" si="142"/>
        <v>0.69224963768115966</v>
      </c>
      <c r="AS93" s="861">
        <f t="shared" si="142"/>
        <v>0.67098181818181812</v>
      </c>
      <c r="AT93" s="861">
        <f t="shared" si="142"/>
        <v>0.62403806060606104</v>
      </c>
      <c r="AU93" s="352">
        <v>0.6</v>
      </c>
      <c r="AV93" s="300">
        <f t="shared" si="143"/>
        <v>1.0028451612903255</v>
      </c>
      <c r="AW93" s="861">
        <f t="shared" si="143"/>
        <v>0.66379084967320268</v>
      </c>
      <c r="AX93" s="861">
        <f t="shared" si="143"/>
        <v>0.6624139433551206</v>
      </c>
      <c r="AY93" s="352">
        <v>0.6</v>
      </c>
      <c r="AZ93" s="300">
        <f t="shared" si="144"/>
        <v>0.62196547619047504</v>
      </c>
      <c r="BA93" s="861">
        <f t="shared" si="144"/>
        <v>0.65844311377245501</v>
      </c>
      <c r="BB93" s="861">
        <f t="shared" si="144"/>
        <v>0.65902305389221616</v>
      </c>
      <c r="BC93" s="352">
        <v>0.6</v>
      </c>
      <c r="BD93" s="300">
        <f t="shared" si="145"/>
        <v>0.67622473118279369</v>
      </c>
      <c r="BE93" s="862">
        <f t="shared" si="145"/>
        <v>0.6</v>
      </c>
      <c r="BF93" s="862">
        <f t="shared" si="145"/>
        <v>0.77184666666666668</v>
      </c>
      <c r="BG93" s="863">
        <f t="shared" si="145"/>
        <v>0.6</v>
      </c>
      <c r="BH93" s="863">
        <f t="shared" si="145"/>
        <v>0.73161080586080596</v>
      </c>
      <c r="BI93" s="861">
        <f t="shared" si="145"/>
        <v>0.65347945205479452</v>
      </c>
      <c r="BJ93" s="861">
        <f t="shared" si="145"/>
        <v>0.66048401826484049</v>
      </c>
      <c r="BK93" s="1111"/>
      <c r="BL93" s="1111"/>
      <c r="BM93" s="1111"/>
      <c r="BN93" s="1111"/>
      <c r="BO93" s="1111"/>
    </row>
    <row r="94" spans="1:67" ht="15" thickBot="1" x14ac:dyDescent="0.35">
      <c r="G94" s="840" t="s">
        <v>742</v>
      </c>
      <c r="H94" s="243" t="s">
        <v>704</v>
      </c>
      <c r="I94" s="355">
        <v>0.27</v>
      </c>
      <c r="J94" s="305">
        <f t="shared" si="134"/>
        <v>2.8611111111111618E-2</v>
      </c>
      <c r="K94" s="355">
        <v>0.27</v>
      </c>
      <c r="L94" s="305">
        <f t="shared" si="135"/>
        <v>2.2852150537634407E-2</v>
      </c>
      <c r="M94" s="868">
        <f t="shared" si="135"/>
        <v>0.27</v>
      </c>
      <c r="N94" s="868">
        <f t="shared" si="135"/>
        <v>2.5684426229508447E-2</v>
      </c>
      <c r="O94" s="355">
        <v>0.9</v>
      </c>
      <c r="P94" s="305">
        <f t="shared" si="136"/>
        <v>0.57189722222222228</v>
      </c>
      <c r="Q94" s="869">
        <f t="shared" si="136"/>
        <v>0.47769230769230769</v>
      </c>
      <c r="R94" s="869">
        <f t="shared" si="136"/>
        <v>0.20575457875457892</v>
      </c>
      <c r="S94" s="355">
        <v>0.9</v>
      </c>
      <c r="T94" s="305">
        <f t="shared" si="137"/>
        <v>0.51334677419354746</v>
      </c>
      <c r="U94" s="868">
        <f t="shared" si="137"/>
        <v>0.58500000000000008</v>
      </c>
      <c r="V94" s="868">
        <f t="shared" si="137"/>
        <v>0.28391325136612011</v>
      </c>
      <c r="W94" s="355">
        <v>0.9</v>
      </c>
      <c r="X94" s="305">
        <f t="shared" si="138"/>
        <v>0.53025403225806589</v>
      </c>
      <c r="Y94" s="868">
        <f t="shared" si="138"/>
        <v>0.64882352941176469</v>
      </c>
      <c r="Z94" s="868">
        <f t="shared" si="138"/>
        <v>0.33382543572984769</v>
      </c>
      <c r="AA94" s="355">
        <v>0.9</v>
      </c>
      <c r="AB94" s="305">
        <f t="shared" si="139"/>
        <v>0.56616527777777714</v>
      </c>
      <c r="AC94" s="869">
        <f t="shared" si="139"/>
        <v>0.9</v>
      </c>
      <c r="AD94" s="869">
        <f t="shared" si="139"/>
        <v>0.5362672101449274</v>
      </c>
      <c r="AE94" s="870">
        <f t="shared" si="139"/>
        <v>0.69</v>
      </c>
      <c r="AF94" s="870">
        <f t="shared" si="139"/>
        <v>0.3719139344262295</v>
      </c>
      <c r="AG94" s="355">
        <v>0.9</v>
      </c>
      <c r="AH94" s="305">
        <f t="shared" si="140"/>
        <v>0.58921639784946211</v>
      </c>
      <c r="AI94" s="868">
        <f t="shared" si="140"/>
        <v>0.72042056074766347</v>
      </c>
      <c r="AJ94" s="868">
        <f t="shared" si="140"/>
        <v>0.40339232866043612</v>
      </c>
      <c r="AK94" s="355">
        <v>0.9</v>
      </c>
      <c r="AL94" s="305">
        <f t="shared" si="141"/>
        <v>0.53915277777777848</v>
      </c>
      <c r="AM94" s="868">
        <f t="shared" si="141"/>
        <v>0.74249999999999994</v>
      </c>
      <c r="AN94" s="868">
        <f t="shared" si="141"/>
        <v>0.42008418715847001</v>
      </c>
      <c r="AO94" s="355">
        <v>0.9</v>
      </c>
      <c r="AP94" s="305">
        <f t="shared" si="142"/>
        <v>0.54695698924731095</v>
      </c>
      <c r="AQ94" s="869">
        <f t="shared" si="142"/>
        <v>0.9</v>
      </c>
      <c r="AR94" s="869">
        <f t="shared" si="142"/>
        <v>0.55865172101449256</v>
      </c>
      <c r="AS94" s="868">
        <f t="shared" si="142"/>
        <v>0.76025454545454552</v>
      </c>
      <c r="AT94" s="868">
        <f t="shared" si="142"/>
        <v>0.43438621212121215</v>
      </c>
      <c r="AU94" s="355">
        <v>0.9</v>
      </c>
      <c r="AV94" s="305">
        <f t="shared" si="143"/>
        <v>0.35083602150537707</v>
      </c>
      <c r="AW94" s="868">
        <f t="shared" si="143"/>
        <v>0.77441176470588236</v>
      </c>
      <c r="AX94" s="868">
        <f t="shared" si="143"/>
        <v>0.42592197712418306</v>
      </c>
      <c r="AY94" s="355">
        <v>0.9</v>
      </c>
      <c r="AZ94" s="305">
        <f t="shared" si="144"/>
        <v>3.7767857142857304E-2</v>
      </c>
      <c r="BA94" s="868">
        <f t="shared" si="144"/>
        <v>0.78494011976047906</v>
      </c>
      <c r="BB94" s="868">
        <f t="shared" si="144"/>
        <v>0.39338211077844321</v>
      </c>
      <c r="BC94" s="355">
        <v>0.9</v>
      </c>
      <c r="BD94" s="305">
        <f t="shared" si="145"/>
        <v>2.9435483870967255E-2</v>
      </c>
      <c r="BE94" s="869">
        <f t="shared" si="145"/>
        <v>0.9</v>
      </c>
      <c r="BF94" s="869">
        <f t="shared" si="145"/>
        <v>0.14273240740740759</v>
      </c>
      <c r="BG94" s="870">
        <f t="shared" si="145"/>
        <v>0.89999999999999991</v>
      </c>
      <c r="BH94" s="870">
        <f t="shared" si="145"/>
        <v>0.3529773351648352</v>
      </c>
      <c r="BI94" s="868">
        <f t="shared" si="145"/>
        <v>0.79471232876712328</v>
      </c>
      <c r="BJ94" s="868">
        <f t="shared" si="145"/>
        <v>0.36247157534246582</v>
      </c>
      <c r="BK94" s="1111"/>
      <c r="BL94" s="1111"/>
      <c r="BM94" s="1111"/>
      <c r="BN94" s="1111"/>
      <c r="BO94" s="1111"/>
    </row>
    <row r="95" spans="1:67" x14ac:dyDescent="0.3">
      <c r="O95"/>
      <c r="AA95" s="137"/>
      <c r="AG95" s="137"/>
      <c r="AH95"/>
      <c r="AK95" s="137"/>
      <c r="AO95" s="137"/>
      <c r="BL95" s="1111"/>
    </row>
    <row r="96" spans="1:67" x14ac:dyDescent="0.3">
      <c r="I96" s="1111">
        <f t="shared" ref="I96:J96" si="146">+I63-I64</f>
        <v>0</v>
      </c>
      <c r="J96" s="1111">
        <f t="shared" si="146"/>
        <v>0</v>
      </c>
      <c r="K96" s="1111">
        <f>+K63-K64</f>
        <v>0</v>
      </c>
      <c r="L96" s="1111">
        <f t="shared" ref="L96" si="147">+L63-L64</f>
        <v>0</v>
      </c>
      <c r="M96" s="1111">
        <f t="shared" ref="M96:BJ96" si="148">+M63-M64</f>
        <v>0</v>
      </c>
      <c r="N96" s="1111">
        <f t="shared" si="148"/>
        <v>0</v>
      </c>
      <c r="O96" s="1111">
        <f>+O63-O64</f>
        <v>0</v>
      </c>
      <c r="P96" s="1111">
        <f t="shared" ref="P96" si="149">+P63-P64</f>
        <v>1.3888888759083784E-6</v>
      </c>
      <c r="Q96" s="1111">
        <f t="shared" si="148"/>
        <v>0</v>
      </c>
      <c r="R96" s="1111">
        <f t="shared" si="148"/>
        <v>4.5787547264808381E-7</v>
      </c>
      <c r="S96" s="1111">
        <f t="shared" si="148"/>
        <v>0</v>
      </c>
      <c r="T96" s="1111">
        <f t="shared" si="148"/>
        <v>0</v>
      </c>
      <c r="U96" s="1111">
        <f t="shared" si="148"/>
        <v>0</v>
      </c>
      <c r="V96" s="1111">
        <f t="shared" si="148"/>
        <v>3.4153003980463836E-7</v>
      </c>
      <c r="W96" s="1111">
        <f t="shared" ref="W96:X96" si="150">+W63-W64</f>
        <v>0</v>
      </c>
      <c r="X96" s="1111">
        <f t="shared" si="150"/>
        <v>0</v>
      </c>
      <c r="Y96" s="1111">
        <f t="shared" si="148"/>
        <v>0</v>
      </c>
      <c r="Z96" s="1111">
        <f t="shared" si="148"/>
        <v>2.7233116384195455E-7</v>
      </c>
      <c r="AA96" s="1111">
        <f t="shared" si="148"/>
        <v>0</v>
      </c>
      <c r="AB96" s="1111">
        <f t="shared" si="148"/>
        <v>0</v>
      </c>
      <c r="AC96" s="1111">
        <f t="shared" si="148"/>
        <v>0</v>
      </c>
      <c r="AD96" s="1111">
        <f t="shared" si="148"/>
        <v>0</v>
      </c>
      <c r="AE96" s="1111">
        <f t="shared" si="148"/>
        <v>0</v>
      </c>
      <c r="AF96" s="1111">
        <f t="shared" si="148"/>
        <v>2.2768671215089853E-7</v>
      </c>
      <c r="AG96" s="1111">
        <f t="shared" ref="AG96:AH96" si="151">+AG63-AG64</f>
        <v>0</v>
      </c>
      <c r="AH96" s="1111">
        <f t="shared" si="151"/>
        <v>0</v>
      </c>
      <c r="AI96" s="1111">
        <f t="shared" si="148"/>
        <v>0</v>
      </c>
      <c r="AJ96" s="1111">
        <f t="shared" si="148"/>
        <v>1.947040857430693E-7</v>
      </c>
      <c r="AK96" s="1111">
        <f t="shared" si="148"/>
        <v>0</v>
      </c>
      <c r="AL96" s="1111">
        <f t="shared" si="148"/>
        <v>0</v>
      </c>
      <c r="AM96" s="1111">
        <f t="shared" si="148"/>
        <v>0</v>
      </c>
      <c r="AN96" s="1111">
        <f t="shared" si="148"/>
        <v>1.7076504832402861E-7</v>
      </c>
      <c r="AO96" s="1111">
        <f t="shared" ref="AO96:AP96" si="152">+AO63-AO64</f>
        <v>0</v>
      </c>
      <c r="AP96" s="1111">
        <f t="shared" si="152"/>
        <v>0</v>
      </c>
      <c r="AQ96" s="1111">
        <f t="shared" si="148"/>
        <v>0</v>
      </c>
      <c r="AR96" s="1111">
        <f t="shared" si="148"/>
        <v>0</v>
      </c>
      <c r="AS96" s="1111">
        <f t="shared" si="148"/>
        <v>0</v>
      </c>
      <c r="AT96" s="1111">
        <f t="shared" si="148"/>
        <v>1.5151516663536313E-7</v>
      </c>
      <c r="AU96" s="1111">
        <f t="shared" si="148"/>
        <v>0</v>
      </c>
      <c r="AV96" s="1111">
        <f t="shared" si="148"/>
        <v>0</v>
      </c>
      <c r="AW96" s="1111">
        <f t="shared" si="148"/>
        <v>0</v>
      </c>
      <c r="AX96" s="1111">
        <f t="shared" si="148"/>
        <v>1.3616556771012256E-7</v>
      </c>
      <c r="AY96" s="1111">
        <f t="shared" ref="AY96:AZ96" si="153">+AY63-AY64</f>
        <v>0</v>
      </c>
      <c r="AZ96" s="1111">
        <f t="shared" si="153"/>
        <v>0</v>
      </c>
      <c r="BA96" s="1111">
        <f t="shared" si="148"/>
        <v>0</v>
      </c>
      <c r="BB96" s="1111">
        <f t="shared" si="148"/>
        <v>1.2475049970817054E-7</v>
      </c>
      <c r="BC96" s="1111">
        <f t="shared" ref="BC96:BD96" si="154">+BC63-BC64</f>
        <v>0</v>
      </c>
      <c r="BD96" s="1111">
        <f t="shared" si="154"/>
        <v>7.5268817204346306E-2</v>
      </c>
      <c r="BE96" s="1111">
        <f t="shared" si="148"/>
        <v>0</v>
      </c>
      <c r="BF96" s="1111">
        <f t="shared" si="148"/>
        <v>2.5925925925946558E-2</v>
      </c>
      <c r="BG96" s="1111">
        <f t="shared" si="148"/>
        <v>0</v>
      </c>
      <c r="BH96" s="1111">
        <f t="shared" si="148"/>
        <v>1.2820512820525209E-2</v>
      </c>
      <c r="BI96" s="1111">
        <f t="shared" si="148"/>
        <v>0</v>
      </c>
      <c r="BJ96" s="1111">
        <f t="shared" si="148"/>
        <v>6.3928082191750946E-3</v>
      </c>
    </row>
    <row r="106" spans="19:24" x14ac:dyDescent="0.3">
      <c r="S106" s="142"/>
      <c r="T106" s="88"/>
      <c r="W106" s="142"/>
      <c r="X106" s="88"/>
    </row>
  </sheetData>
  <mergeCells count="56">
    <mergeCell ref="AQ4:AR4"/>
    <mergeCell ref="AQ52:AR52"/>
    <mergeCell ref="C4:C5"/>
    <mergeCell ref="C48:C49"/>
    <mergeCell ref="I4:J4"/>
    <mergeCell ref="K4:L4"/>
    <mergeCell ref="AC4:AD4"/>
    <mergeCell ref="O4:P4"/>
    <mergeCell ref="M4:N4"/>
    <mergeCell ref="S4:T4"/>
    <mergeCell ref="U4:V4"/>
    <mergeCell ref="Q4:R4"/>
    <mergeCell ref="W4:X4"/>
    <mergeCell ref="Y4:Z4"/>
    <mergeCell ref="AA4:AB4"/>
    <mergeCell ref="AA52:AB52"/>
    <mergeCell ref="I52:J52"/>
    <mergeCell ref="K52:L52"/>
    <mergeCell ref="AC52:AD52"/>
    <mergeCell ref="O52:P52"/>
    <mergeCell ref="M52:N52"/>
    <mergeCell ref="S52:T52"/>
    <mergeCell ref="U52:V52"/>
    <mergeCell ref="Q52:R52"/>
    <mergeCell ref="W52:X52"/>
    <mergeCell ref="Y52:Z52"/>
    <mergeCell ref="AG4:AH4"/>
    <mergeCell ref="AI4:AJ4"/>
    <mergeCell ref="AG52:AH52"/>
    <mergeCell ref="AI52:AJ52"/>
    <mergeCell ref="AE4:AF4"/>
    <mergeCell ref="AE52:AF52"/>
    <mergeCell ref="AY4:AZ4"/>
    <mergeCell ref="BA4:BB4"/>
    <mergeCell ref="AY52:AZ52"/>
    <mergeCell ref="BA52:BB52"/>
    <mergeCell ref="AK4:AL4"/>
    <mergeCell ref="AM4:AN4"/>
    <mergeCell ref="AK52:AL52"/>
    <mergeCell ref="AM52:AN52"/>
    <mergeCell ref="AU4:AV4"/>
    <mergeCell ref="AW4:AX4"/>
    <mergeCell ref="AU52:AV52"/>
    <mergeCell ref="AW52:AX52"/>
    <mergeCell ref="AO4:AP4"/>
    <mergeCell ref="AS4:AT4"/>
    <mergeCell ref="AO52:AP52"/>
    <mergeCell ref="AS52:AT52"/>
    <mergeCell ref="BC4:BD4"/>
    <mergeCell ref="BI4:BJ4"/>
    <mergeCell ref="BC52:BD52"/>
    <mergeCell ref="BI52:BJ52"/>
    <mergeCell ref="BE4:BF4"/>
    <mergeCell ref="BG4:BH4"/>
    <mergeCell ref="BE52:BF52"/>
    <mergeCell ref="BG52:BH52"/>
  </mergeCells>
  <pageMargins left="0.45" right="0.45" top="0.5" bottom="0.5" header="0.3" footer="0.3"/>
  <pageSetup scale="31"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1">
    <tabColor rgb="FF660033"/>
    <pageSetUpPr fitToPage="1"/>
  </sheetPr>
  <dimension ref="A1:BP85"/>
  <sheetViews>
    <sheetView zoomScaleNormal="100" workbookViewId="0">
      <pane xSplit="3" topLeftCell="D1" activePane="topRight" state="frozen"/>
      <selection pane="topRight" activeCell="BI61" sqref="BI61"/>
    </sheetView>
  </sheetViews>
  <sheetFormatPr defaultColWidth="11.109375" defaultRowHeight="14.4" x14ac:dyDescent="0.3"/>
  <cols>
    <col min="1" max="1" width="5.44140625" customWidth="1"/>
    <col min="2" max="2" width="74.88671875" bestFit="1" customWidth="1"/>
    <col min="3" max="3" width="27.109375" bestFit="1" customWidth="1"/>
    <col min="4" max="9" width="9.88671875" customWidth="1"/>
    <col min="10" max="50" width="11.109375" hidden="1" customWidth="1"/>
    <col min="51" max="51" width="9.88671875" hidden="1" customWidth="1"/>
    <col min="52" max="57" width="11.109375" hidden="1" customWidth="1"/>
    <col min="58" max="58" width="11.109375" customWidth="1"/>
  </cols>
  <sheetData>
    <row r="1" spans="2:62" ht="22.8" x14ac:dyDescent="0.4">
      <c r="B1" s="357" t="s">
        <v>1048</v>
      </c>
      <c r="C1" s="41"/>
      <c r="D1" s="486"/>
      <c r="E1" s="41"/>
      <c r="F1" s="41"/>
      <c r="G1" s="41"/>
      <c r="H1" s="41"/>
      <c r="I1" s="41"/>
      <c r="J1" s="142"/>
      <c r="K1" s="142"/>
      <c r="L1" s="88"/>
      <c r="M1" s="88"/>
      <c r="N1" s="142"/>
      <c r="O1" s="142"/>
      <c r="P1" s="88"/>
      <c r="Q1" s="88"/>
      <c r="R1" s="142"/>
      <c r="S1" s="142"/>
      <c r="T1" s="88"/>
      <c r="U1" s="88"/>
      <c r="V1" s="88"/>
      <c r="W1" s="88"/>
      <c r="X1" s="88"/>
      <c r="Y1" s="88"/>
      <c r="Z1" s="88"/>
      <c r="AA1" s="88"/>
    </row>
    <row r="2" spans="2:62" ht="22.8" hidden="1" x14ac:dyDescent="0.4">
      <c r="B2" s="357"/>
      <c r="C2" s="41" t="s">
        <v>1852</v>
      </c>
      <c r="D2" s="2281">
        <f>+'B-FCE'!E50</f>
        <v>26</v>
      </c>
      <c r="E2" s="2281">
        <f>+'B-FCE'!F50</f>
        <v>29.53833333333333</v>
      </c>
      <c r="F2" s="2281">
        <f>+'B-FCE'!G50</f>
        <v>22</v>
      </c>
      <c r="G2" s="2281">
        <f>+'B-FCE'!H50</f>
        <v>17.055555555555554</v>
      </c>
      <c r="H2" s="2281">
        <f>+'B-FCE'!I50</f>
        <v>48</v>
      </c>
      <c r="I2" s="2281">
        <f>+'B-FCE'!J50</f>
        <v>46.593888888888884</v>
      </c>
      <c r="J2" s="2281">
        <f>+'B-FCE'!K50</f>
        <v>29</v>
      </c>
      <c r="K2" s="2281">
        <f>+'B-FCE'!L50</f>
        <v>29.611111111111111</v>
      </c>
      <c r="L2" s="2281">
        <f>+'B-FCE'!M50</f>
        <v>77</v>
      </c>
      <c r="M2" s="2281">
        <f>+'B-FCE'!N50</f>
        <v>76.204999999999998</v>
      </c>
      <c r="N2" s="2281">
        <f>+'B-FCE'!O50</f>
        <v>30</v>
      </c>
      <c r="O2" s="2281">
        <f>+'B-FCE'!P50</f>
        <v>30.999999999999996</v>
      </c>
      <c r="P2" s="2281">
        <f>+'B-FCE'!Q50</f>
        <v>107</v>
      </c>
      <c r="Q2" s="2281">
        <f>+'B-FCE'!R50</f>
        <v>107.205</v>
      </c>
      <c r="R2" s="2281">
        <f>+'B-FCE'!S50</f>
        <v>30</v>
      </c>
      <c r="S2" s="2281">
        <f>+'B-FCE'!T50</f>
        <v>30.024305555555554</v>
      </c>
      <c r="T2" s="2281">
        <f>+'B-FCE'!U50</f>
        <v>137</v>
      </c>
      <c r="U2" s="2281">
        <f>+'B-FCE'!V50</f>
        <v>137.22930555555556</v>
      </c>
      <c r="V2" s="2281">
        <f>+'B-FCE'!W50</f>
        <v>17.016867469879518</v>
      </c>
      <c r="W2" s="2281">
        <f>+'B-FCE'!X50</f>
        <v>29.673611111111111</v>
      </c>
      <c r="X2" s="2281">
        <f>+'B-FCE'!Y50</f>
        <v>77.016867469879514</v>
      </c>
      <c r="Y2" s="2281">
        <f>+'B-FCE'!Z50</f>
        <v>90.697916666666657</v>
      </c>
      <c r="Z2" s="2281">
        <f>+'B-FCE'!AA50</f>
        <v>154.01686746987951</v>
      </c>
      <c r="AA2" s="2281">
        <f>+'B-FCE'!AB50</f>
        <v>166.90291666666667</v>
      </c>
      <c r="AB2" s="2281">
        <f>+'B-FCE'!AC50</f>
        <v>30.000000000000004</v>
      </c>
      <c r="AC2" s="2281">
        <f>+'B-FCE'!AD50</f>
        <v>26.930555555555561</v>
      </c>
      <c r="AD2" s="2281">
        <f>+'B-FCE'!AE50</f>
        <v>184.01686746987951</v>
      </c>
      <c r="AE2" s="2281">
        <f>+'B-FCE'!AF50</f>
        <v>193.83347222222224</v>
      </c>
      <c r="AF2" s="2281">
        <f>+'B-FCE'!AG50</f>
        <v>29</v>
      </c>
      <c r="AG2" s="2281">
        <f>+'B-FCE'!AH50</f>
        <v>29.107638888888889</v>
      </c>
      <c r="AH2" s="2281">
        <f>+'B-FCE'!AI50</f>
        <v>213.01686746987951</v>
      </c>
      <c r="AI2" s="2281">
        <f>+'B-FCE'!AJ50</f>
        <v>222.94111111111113</v>
      </c>
      <c r="AJ2" s="2281">
        <f>+'B-FCE'!AK50</f>
        <v>30.000000000000004</v>
      </c>
      <c r="AK2" s="2281">
        <f>+'B-FCE'!AL50</f>
        <v>30.697916666666668</v>
      </c>
      <c r="AL2" s="2281">
        <f>+'B-FCE'!AM50</f>
        <v>89</v>
      </c>
      <c r="AM2" s="2281">
        <f>+'B-FCE'!AN50</f>
        <v>86.736111111111114</v>
      </c>
      <c r="AN2" s="2281">
        <f>+'B-FCE'!AO50</f>
        <v>243.01686746987951</v>
      </c>
      <c r="AO2" s="2281">
        <f>+'B-FCE'!AP50</f>
        <v>253.63902777777778</v>
      </c>
      <c r="AP2" s="2281">
        <f>+'B-FCE'!AQ50</f>
        <v>30</v>
      </c>
      <c r="AQ2" s="2281">
        <f>+'B-FCE'!AR50</f>
        <v>30.413194444444393</v>
      </c>
      <c r="AR2" s="2281">
        <f>+'B-FCE'!AS50</f>
        <v>273.01686746987951</v>
      </c>
      <c r="AS2" s="2281">
        <f>+'B-FCE'!AT50</f>
        <v>284.05222222222216</v>
      </c>
      <c r="AT2" s="2281">
        <f>+'B-FCE'!AU50</f>
        <v>27</v>
      </c>
      <c r="AU2" s="2281">
        <f>+'B-FCE'!AV50</f>
        <v>27.576388888888886</v>
      </c>
      <c r="AV2" s="2281">
        <f>+'B-FCE'!AW50</f>
        <v>300.01686746987951</v>
      </c>
      <c r="AW2" s="2281">
        <f>+'B-FCE'!AX50</f>
        <v>311.62861111111101</v>
      </c>
      <c r="AX2" s="2281">
        <f>+'B-FCE'!AY50</f>
        <v>30</v>
      </c>
      <c r="AY2" s="2281">
        <f>+'B-FCE'!AZ50</f>
        <v>29.972222222222232</v>
      </c>
      <c r="AZ2" s="2281">
        <f>+'B-FCE'!BA50</f>
        <v>87</v>
      </c>
      <c r="BA2" s="2281">
        <f>+'B-FCE'!BB50</f>
        <v>87.961805555555515</v>
      </c>
      <c r="BB2" s="2281">
        <f>+'B-FCE'!BC50</f>
        <v>176</v>
      </c>
      <c r="BC2" s="2281">
        <f>+'B-FCE'!BD50</f>
        <v>174.69791666666663</v>
      </c>
      <c r="BD2" s="2281">
        <f>+'B-FCE'!BE50</f>
        <v>330.01686746987951</v>
      </c>
      <c r="BE2" s="2281">
        <f>+'B-FCE'!BF50</f>
        <v>341.60083333333324</v>
      </c>
    </row>
    <row r="3" spans="2:62" ht="15" thickBot="1" x14ac:dyDescent="0.35">
      <c r="B3" s="41"/>
      <c r="C3" s="41" t="s">
        <v>474</v>
      </c>
      <c r="D3" s="2281">
        <v>30</v>
      </c>
      <c r="E3" s="2281">
        <v>30</v>
      </c>
      <c r="F3" s="2281">
        <v>31</v>
      </c>
      <c r="G3" s="2281">
        <v>31</v>
      </c>
      <c r="H3" s="2281">
        <f>+D3+F3</f>
        <v>61</v>
      </c>
      <c r="I3" s="2281">
        <f>+E3+G3</f>
        <v>61</v>
      </c>
      <c r="J3" s="2281">
        <v>30</v>
      </c>
      <c r="K3" s="2281">
        <v>30</v>
      </c>
      <c r="L3" s="2281">
        <f>+H3+J3</f>
        <v>91</v>
      </c>
      <c r="M3" s="2281">
        <f>+I3+K3</f>
        <v>91</v>
      </c>
      <c r="N3" s="2281">
        <v>31</v>
      </c>
      <c r="O3" s="2281">
        <v>31</v>
      </c>
      <c r="P3" s="2281">
        <f>+L3+N3</f>
        <v>122</v>
      </c>
      <c r="Q3" s="2281">
        <f>+M3+O3</f>
        <v>122</v>
      </c>
      <c r="R3" s="2281">
        <v>31</v>
      </c>
      <c r="S3" s="2281">
        <v>31</v>
      </c>
      <c r="T3" s="2281">
        <f>+P3+R3</f>
        <v>153</v>
      </c>
      <c r="U3" s="2281">
        <f>+Q3+S3</f>
        <v>153</v>
      </c>
      <c r="V3" s="2281">
        <v>30</v>
      </c>
      <c r="W3" s="2281">
        <v>30</v>
      </c>
      <c r="X3" s="2281">
        <f>+N3+R3+V3</f>
        <v>92</v>
      </c>
      <c r="Y3" s="2281">
        <f>+O3+S3+W3</f>
        <v>92</v>
      </c>
      <c r="Z3" s="2281">
        <f>+T3+V3</f>
        <v>183</v>
      </c>
      <c r="AA3" s="2281">
        <f>+U3+W3</f>
        <v>183</v>
      </c>
      <c r="AB3" s="2281">
        <v>31</v>
      </c>
      <c r="AC3" s="2281">
        <v>31</v>
      </c>
      <c r="AD3" s="2281">
        <f>+Z3+AB3</f>
        <v>214</v>
      </c>
      <c r="AE3" s="2281">
        <f>+AA3+AC3</f>
        <v>214</v>
      </c>
      <c r="AF3" s="2281">
        <v>30</v>
      </c>
      <c r="AG3" s="2281">
        <v>30</v>
      </c>
      <c r="AH3" s="2281">
        <f>+AD3+AF3</f>
        <v>244</v>
      </c>
      <c r="AI3" s="2281">
        <f>+AE3+AG3</f>
        <v>244</v>
      </c>
      <c r="AJ3" s="2281">
        <v>31</v>
      </c>
      <c r="AK3" s="2281">
        <v>31</v>
      </c>
      <c r="AL3" s="2281">
        <f>+AB3+AF3+AJ3</f>
        <v>92</v>
      </c>
      <c r="AM3" s="2281">
        <f>+AC3+AG3+AK3</f>
        <v>92</v>
      </c>
      <c r="AN3" s="2281">
        <f>+AH3+AJ3</f>
        <v>275</v>
      </c>
      <c r="AO3" s="2281">
        <f>+AI3+AK3</f>
        <v>275</v>
      </c>
      <c r="AP3" s="2281">
        <v>31</v>
      </c>
      <c r="AQ3" s="2281">
        <v>31</v>
      </c>
      <c r="AR3" s="2281">
        <f>+AN3+AP3</f>
        <v>306</v>
      </c>
      <c r="AS3" s="2281">
        <f>+AO3+AQ3</f>
        <v>306</v>
      </c>
      <c r="AT3" s="2281">
        <v>28</v>
      </c>
      <c r="AU3" s="2281">
        <v>28</v>
      </c>
      <c r="AV3" s="2281">
        <f>+AR3+AT3</f>
        <v>334</v>
      </c>
      <c r="AW3" s="2281">
        <f>+AS3+AU3</f>
        <v>334</v>
      </c>
      <c r="AX3" s="2281">
        <v>31</v>
      </c>
      <c r="AY3" s="2281">
        <v>31</v>
      </c>
      <c r="AZ3" s="2281">
        <f>+AP3+AT3+AX3</f>
        <v>90</v>
      </c>
      <c r="BA3" s="2281">
        <f>+AQ3+AU3+AY3</f>
        <v>90</v>
      </c>
      <c r="BB3" s="2281">
        <f>AZ3+AL3</f>
        <v>182</v>
      </c>
      <c r="BC3" s="2281">
        <f>BA3+AM3</f>
        <v>182</v>
      </c>
      <c r="BD3" s="2281">
        <f>+AV3+AX3</f>
        <v>365</v>
      </c>
      <c r="BE3" s="2281">
        <f>+AW3+AY3</f>
        <v>365</v>
      </c>
    </row>
    <row r="4" spans="2:62" ht="15" thickBot="1" x14ac:dyDescent="0.35">
      <c r="B4" s="5955" t="s">
        <v>170</v>
      </c>
      <c r="C4" s="5887" t="s">
        <v>171</v>
      </c>
      <c r="D4" s="5880" t="s">
        <v>2211</v>
      </c>
      <c r="E4" s="5958"/>
      <c r="F4" s="5880" t="s">
        <v>2260</v>
      </c>
      <c r="G4" s="5880"/>
      <c r="H4" s="5878" t="s">
        <v>14</v>
      </c>
      <c r="I4" s="5879"/>
      <c r="J4" s="5880" t="s">
        <v>1963</v>
      </c>
      <c r="K4" s="5889"/>
      <c r="L4" s="5893" t="s">
        <v>604</v>
      </c>
      <c r="M4" s="6331"/>
      <c r="N4" s="5892" t="s">
        <v>1985</v>
      </c>
      <c r="O4" s="5889"/>
      <c r="P4" s="6309" t="s">
        <v>17</v>
      </c>
      <c r="Q4" s="6310"/>
      <c r="R4" s="5892" t="s">
        <v>1988</v>
      </c>
      <c r="S4" s="5889"/>
      <c r="T4" s="6309" t="s">
        <v>18</v>
      </c>
      <c r="U4" s="6310"/>
      <c r="V4" s="5892" t="s">
        <v>2019</v>
      </c>
      <c r="W4" s="5889"/>
      <c r="X4" s="5893" t="s">
        <v>625</v>
      </c>
      <c r="Y4" s="5882"/>
      <c r="Z4" s="5934" t="s">
        <v>623</v>
      </c>
      <c r="AA4" s="5884"/>
      <c r="AB4" s="5892" t="s">
        <v>2043</v>
      </c>
      <c r="AC4" s="5889"/>
      <c r="AD4" s="6309" t="s">
        <v>24</v>
      </c>
      <c r="AE4" s="6310"/>
      <c r="AF4" s="5892" t="s">
        <v>2064</v>
      </c>
      <c r="AG4" s="5889"/>
      <c r="AH4" s="6309" t="s">
        <v>27</v>
      </c>
      <c r="AI4" s="6310"/>
      <c r="AJ4" s="5892" t="s">
        <v>2088</v>
      </c>
      <c r="AK4" s="5889"/>
      <c r="AL4" s="5893" t="s">
        <v>627</v>
      </c>
      <c r="AM4" s="5882"/>
      <c r="AN4" s="6309" t="s">
        <v>1565</v>
      </c>
      <c r="AO4" s="6310"/>
      <c r="AP4" s="5892" t="s">
        <v>2099</v>
      </c>
      <c r="AQ4" s="5889"/>
      <c r="AR4" s="6309" t="s">
        <v>28</v>
      </c>
      <c r="AS4" s="6310"/>
      <c r="AT4" s="5892" t="s">
        <v>2136</v>
      </c>
      <c r="AU4" s="5889"/>
      <c r="AV4" s="6309" t="s">
        <v>30</v>
      </c>
      <c r="AW4" s="6310"/>
      <c r="AX4" s="5892" t="s">
        <v>2154</v>
      </c>
      <c r="AY4" s="5889"/>
      <c r="AZ4" s="5893" t="s">
        <v>628</v>
      </c>
      <c r="BA4" s="5882"/>
      <c r="BB4" s="5934" t="s">
        <v>634</v>
      </c>
      <c r="BC4" s="5884"/>
      <c r="BD4" s="6309" t="s">
        <v>1961</v>
      </c>
      <c r="BE4" s="6310"/>
    </row>
    <row r="5" spans="2:62" ht="15" thickBot="1" x14ac:dyDescent="0.35">
      <c r="B5" s="6201"/>
      <c r="C5" s="5888"/>
      <c r="D5" s="208" t="s">
        <v>172</v>
      </c>
      <c r="E5" s="144" t="s">
        <v>173</v>
      </c>
      <c r="F5" s="504" t="s">
        <v>172</v>
      </c>
      <c r="G5" s="5579" t="s">
        <v>173</v>
      </c>
      <c r="H5" s="134" t="s">
        <v>172</v>
      </c>
      <c r="I5" s="5580" t="s">
        <v>173</v>
      </c>
      <c r="J5" s="208" t="s">
        <v>172</v>
      </c>
      <c r="K5" s="368" t="s">
        <v>173</v>
      </c>
      <c r="L5" s="649" t="s">
        <v>172</v>
      </c>
      <c r="M5" s="641" t="s">
        <v>173</v>
      </c>
      <c r="N5" s="1426" t="s">
        <v>172</v>
      </c>
      <c r="O5" s="368" t="s">
        <v>173</v>
      </c>
      <c r="P5" s="1457" t="s">
        <v>172</v>
      </c>
      <c r="Q5" s="1458" t="s">
        <v>173</v>
      </c>
      <c r="R5" s="1426" t="s">
        <v>172</v>
      </c>
      <c r="S5" s="368" t="s">
        <v>173</v>
      </c>
      <c r="T5" s="1457" t="s">
        <v>172</v>
      </c>
      <c r="U5" s="1458" t="s">
        <v>173</v>
      </c>
      <c r="V5" s="1426" t="s">
        <v>172</v>
      </c>
      <c r="W5" s="165" t="s">
        <v>173</v>
      </c>
      <c r="X5" s="649" t="s">
        <v>172</v>
      </c>
      <c r="Y5" s="157" t="s">
        <v>173</v>
      </c>
      <c r="Z5" s="650" t="s">
        <v>172</v>
      </c>
      <c r="AA5" s="463" t="s">
        <v>173</v>
      </c>
      <c r="AB5" s="1426" t="s">
        <v>172</v>
      </c>
      <c r="AC5" s="165" t="s">
        <v>173</v>
      </c>
      <c r="AD5" s="1457" t="s">
        <v>172</v>
      </c>
      <c r="AE5" s="1458" t="s">
        <v>173</v>
      </c>
      <c r="AF5" s="1426" t="s">
        <v>172</v>
      </c>
      <c r="AG5" s="165" t="s">
        <v>173</v>
      </c>
      <c r="AH5" s="1457" t="s">
        <v>172</v>
      </c>
      <c r="AI5" s="1458" t="s">
        <v>173</v>
      </c>
      <c r="AJ5" s="1426" t="s">
        <v>172</v>
      </c>
      <c r="AK5" s="165" t="s">
        <v>173</v>
      </c>
      <c r="AL5" s="649" t="s">
        <v>172</v>
      </c>
      <c r="AM5" s="157" t="s">
        <v>173</v>
      </c>
      <c r="AN5" s="1457" t="s">
        <v>172</v>
      </c>
      <c r="AO5" s="1458" t="s">
        <v>173</v>
      </c>
      <c r="AP5" s="1426" t="s">
        <v>172</v>
      </c>
      <c r="AQ5" s="165" t="s">
        <v>173</v>
      </c>
      <c r="AR5" s="1457" t="s">
        <v>172</v>
      </c>
      <c r="AS5" s="1458" t="s">
        <v>173</v>
      </c>
      <c r="AT5" s="1426" t="s">
        <v>172</v>
      </c>
      <c r="AU5" s="165" t="s">
        <v>173</v>
      </c>
      <c r="AV5" s="1457" t="s">
        <v>172</v>
      </c>
      <c r="AW5" s="1458" t="s">
        <v>173</v>
      </c>
      <c r="AX5" s="1426" t="s">
        <v>172</v>
      </c>
      <c r="AY5" s="165" t="s">
        <v>173</v>
      </c>
      <c r="AZ5" s="649" t="s">
        <v>172</v>
      </c>
      <c r="BA5" s="157" t="s">
        <v>173</v>
      </c>
      <c r="BB5" s="650" t="s">
        <v>172</v>
      </c>
      <c r="BC5" s="463" t="s">
        <v>173</v>
      </c>
      <c r="BD5" s="1457" t="s">
        <v>172</v>
      </c>
      <c r="BE5" s="1458" t="s">
        <v>173</v>
      </c>
    </row>
    <row r="6" spans="2:62" ht="23.85" customHeight="1" thickTop="1" x14ac:dyDescent="0.4">
      <c r="B6" s="2803" t="s">
        <v>433</v>
      </c>
      <c r="C6" s="198"/>
      <c r="D6" s="2803"/>
      <c r="E6" s="2804"/>
      <c r="F6" s="2803"/>
      <c r="G6" s="2804"/>
      <c r="H6" s="198"/>
      <c r="I6" s="2804"/>
      <c r="J6" s="198"/>
      <c r="K6" s="2804"/>
      <c r="L6" s="126"/>
      <c r="M6" s="126"/>
      <c r="N6" s="2803"/>
      <c r="O6" s="2804"/>
      <c r="P6" s="126"/>
      <c r="Q6" s="126"/>
      <c r="R6" s="2803"/>
      <c r="S6" s="2804"/>
      <c r="T6" s="126"/>
      <c r="U6" s="126"/>
      <c r="V6" s="2803"/>
      <c r="W6" s="2804"/>
      <c r="X6" s="126"/>
      <c r="Y6" s="126"/>
      <c r="Z6" s="126"/>
      <c r="AA6" s="126"/>
      <c r="AB6" s="2803"/>
      <c r="AC6" s="2804"/>
      <c r="AD6" s="126"/>
      <c r="AE6" s="126"/>
      <c r="AF6" s="2803"/>
      <c r="AG6" s="2804"/>
      <c r="AH6" s="126"/>
      <c r="AI6" s="126"/>
      <c r="AJ6" s="2803"/>
      <c r="AK6" s="2804"/>
      <c r="AL6" s="126"/>
      <c r="AM6" s="126"/>
      <c r="AN6" s="126"/>
      <c r="AO6" s="4804"/>
      <c r="AP6" s="2803"/>
      <c r="AQ6" s="2804"/>
      <c r="AR6" s="126"/>
      <c r="AS6" s="126"/>
      <c r="AT6" s="2803"/>
      <c r="AU6" s="2804"/>
      <c r="AV6" s="126"/>
      <c r="AW6" s="126"/>
      <c r="AX6" s="2803"/>
      <c r="AY6" s="2804"/>
      <c r="AZ6" s="126"/>
      <c r="BA6" s="126"/>
      <c r="BB6" s="126"/>
      <c r="BC6" s="126"/>
      <c r="BD6" s="126"/>
      <c r="BE6" s="126"/>
      <c r="BF6" s="23"/>
      <c r="BG6" s="23"/>
      <c r="BH6" s="23"/>
      <c r="BI6" s="23"/>
      <c r="BJ6" s="23"/>
    </row>
    <row r="7" spans="2:62" ht="18" thickBot="1" x14ac:dyDescent="0.35">
      <c r="B7" s="2808" t="s">
        <v>382</v>
      </c>
      <c r="C7" s="5565"/>
      <c r="D7" s="2808"/>
      <c r="E7" s="2809"/>
      <c r="F7" s="2808"/>
      <c r="G7" s="2809"/>
      <c r="H7" s="5565"/>
      <c r="I7" s="2809"/>
      <c r="J7" s="5565"/>
      <c r="K7" s="2809"/>
      <c r="L7" s="7"/>
      <c r="M7" s="382"/>
      <c r="N7" s="2808"/>
      <c r="O7" s="2809"/>
      <c r="P7" s="7"/>
      <c r="Q7" s="382"/>
      <c r="R7" s="2808"/>
      <c r="S7" s="2809"/>
      <c r="T7" s="7"/>
      <c r="U7" s="382"/>
      <c r="V7" s="2808"/>
      <c r="W7" s="2809"/>
      <c r="X7" s="7"/>
      <c r="Y7" s="382"/>
      <c r="Z7" s="7"/>
      <c r="AA7" s="382"/>
      <c r="AB7" s="2808"/>
      <c r="AC7" s="2809"/>
      <c r="AD7" s="7"/>
      <c r="AE7" s="382"/>
      <c r="AF7" s="2808"/>
      <c r="AG7" s="2809"/>
      <c r="AH7" s="7"/>
      <c r="AI7" s="382"/>
      <c r="AJ7" s="2808"/>
      <c r="AK7" s="2809"/>
      <c r="AL7" s="7"/>
      <c r="AM7" s="382"/>
      <c r="AN7" s="7"/>
      <c r="AO7" s="382"/>
      <c r="AP7" s="2808"/>
      <c r="AQ7" s="2809"/>
      <c r="AR7" s="7"/>
      <c r="AS7" s="382"/>
      <c r="AT7" s="2808"/>
      <c r="AU7" s="2809"/>
      <c r="AV7" s="7"/>
      <c r="AW7" s="382"/>
      <c r="AX7" s="2808"/>
      <c r="AY7" s="2809"/>
      <c r="AZ7" s="7"/>
      <c r="BA7" s="382"/>
      <c r="BB7" s="7"/>
      <c r="BC7" s="382"/>
      <c r="BD7" s="7"/>
      <c r="BE7" s="382"/>
      <c r="BF7" s="23"/>
      <c r="BG7" s="23"/>
      <c r="BH7" s="23"/>
      <c r="BI7" s="23"/>
      <c r="BJ7" s="23"/>
    </row>
    <row r="8" spans="2:62" x14ac:dyDescent="0.3">
      <c r="B8" s="6334" t="s">
        <v>375</v>
      </c>
      <c r="C8" s="83" t="s">
        <v>374</v>
      </c>
      <c r="D8" s="6311"/>
      <c r="E8" s="249">
        <v>10972.5</v>
      </c>
      <c r="F8" s="6311"/>
      <c r="G8" s="249">
        <v>10158.299999999999</v>
      </c>
      <c r="H8" s="6340"/>
      <c r="I8" s="383">
        <f>+E8+G8</f>
        <v>21130.799999999999</v>
      </c>
      <c r="J8" s="6324"/>
      <c r="K8" s="249">
        <v>11468.4</v>
      </c>
      <c r="L8" s="6316"/>
      <c r="M8" s="392">
        <f>E8+G8+K8</f>
        <v>32599.199999999997</v>
      </c>
      <c r="N8" s="6311"/>
      <c r="O8" s="249">
        <v>12012.4</v>
      </c>
      <c r="P8" s="6314"/>
      <c r="Q8" s="383">
        <f>+M8+O8</f>
        <v>44611.6</v>
      </c>
      <c r="R8" s="6311"/>
      <c r="S8" s="249">
        <v>11673</v>
      </c>
      <c r="T8" s="6314"/>
      <c r="U8" s="383">
        <f>+Q8+S8</f>
        <v>56284.6</v>
      </c>
      <c r="V8" s="6311"/>
      <c r="W8" s="249">
        <v>11383.6</v>
      </c>
      <c r="X8" s="6316"/>
      <c r="Y8" s="392">
        <f t="shared" ref="Y8" si="0">+O8+S8+W8</f>
        <v>35069</v>
      </c>
      <c r="Z8" s="6320"/>
      <c r="AA8" s="467">
        <f>M8+Y8</f>
        <v>67668.2</v>
      </c>
      <c r="AB8" s="6311"/>
      <c r="AC8" s="249">
        <v>10642.9</v>
      </c>
      <c r="AD8" s="6314"/>
      <c r="AE8" s="383">
        <f>+AA8+AC8</f>
        <v>78311.099999999991</v>
      </c>
      <c r="AF8" s="6311"/>
      <c r="AG8" s="249">
        <v>11708.9</v>
      </c>
      <c r="AH8" s="6314"/>
      <c r="AI8" s="383">
        <f>+AE8+AG8</f>
        <v>90019.999999999985</v>
      </c>
      <c r="AJ8" s="6311"/>
      <c r="AK8" s="249">
        <v>11445.4</v>
      </c>
      <c r="AL8" s="6316"/>
      <c r="AM8" s="392">
        <f t="shared" ref="AM8" si="1">+AC8+AG8+AK8</f>
        <v>33797.199999999997</v>
      </c>
      <c r="AN8" s="6314"/>
      <c r="AO8" s="383">
        <f>+AI8+AK8</f>
        <v>101465.39999999998</v>
      </c>
      <c r="AP8" s="6311"/>
      <c r="AQ8" s="249">
        <v>10577.7</v>
      </c>
      <c r="AR8" s="6314"/>
      <c r="AS8" s="383">
        <f>+AO8+AQ8</f>
        <v>112043.09999999998</v>
      </c>
      <c r="AT8" s="6311"/>
      <c r="AU8" s="249">
        <v>9685.7000000000007</v>
      </c>
      <c r="AV8" s="6314"/>
      <c r="AW8" s="383">
        <f>+AS8+AU8</f>
        <v>121728.79999999997</v>
      </c>
      <c r="AX8" s="6311"/>
      <c r="AY8" s="249">
        <v>10958.7</v>
      </c>
      <c r="AZ8" s="6316"/>
      <c r="BA8" s="392">
        <f t="shared" ref="BA8" si="2">+AQ8+AU8+AY8</f>
        <v>31222.100000000002</v>
      </c>
      <c r="BB8" s="6320"/>
      <c r="BC8" s="659">
        <f t="shared" ref="BC8" si="3">+AM8+BA8</f>
        <v>65019.3</v>
      </c>
      <c r="BD8" s="6314"/>
      <c r="BE8" s="383">
        <f>+AW8+AY8</f>
        <v>132687.49999999997</v>
      </c>
      <c r="BF8" s="491"/>
      <c r="BG8" s="491"/>
      <c r="BH8" s="23"/>
      <c r="BI8" s="23"/>
      <c r="BJ8" s="23"/>
    </row>
    <row r="9" spans="2:62" ht="15" thickBot="1" x14ac:dyDescent="0.35">
      <c r="B9" s="6329"/>
      <c r="C9" s="5581" t="s">
        <v>373</v>
      </c>
      <c r="D9" s="6312"/>
      <c r="E9" s="5582">
        <f>+E8/E$3/24</f>
        <v>15.239583333333334</v>
      </c>
      <c r="F9" s="6312"/>
      <c r="G9" s="5582">
        <f>+G8/G$3/24</f>
        <v>13.653629032258065</v>
      </c>
      <c r="H9" s="6315"/>
      <c r="I9" s="384">
        <f>+I8/I$3/24</f>
        <v>14.433606557377049</v>
      </c>
      <c r="J9" s="6325"/>
      <c r="K9" s="628">
        <f>+K8/K$3/24</f>
        <v>15.928333333333333</v>
      </c>
      <c r="L9" s="6317"/>
      <c r="M9" s="393">
        <f>+M8/M$3/24</f>
        <v>14.926373626373625</v>
      </c>
      <c r="N9" s="6312"/>
      <c r="O9" s="628">
        <f>+O8/O$3/24</f>
        <v>16.145698924731182</v>
      </c>
      <c r="P9" s="6315"/>
      <c r="Q9" s="384">
        <f>+Q8/Q$3/24</f>
        <v>15.236202185792349</v>
      </c>
      <c r="R9" s="6312"/>
      <c r="S9" s="628">
        <f>+S8/S$3/24</f>
        <v>15.689516129032258</v>
      </c>
      <c r="T9" s="6315"/>
      <c r="U9" s="384">
        <f>+U8/U$3/24</f>
        <v>15.328050108932461</v>
      </c>
      <c r="V9" s="6312"/>
      <c r="W9" s="628">
        <f>+W8/W$3/24</f>
        <v>15.810555555555554</v>
      </c>
      <c r="X9" s="6317"/>
      <c r="Y9" s="393">
        <f>+Y8/Y$3/24</f>
        <v>15.882699275362318</v>
      </c>
      <c r="Z9" s="6321"/>
      <c r="AA9" s="468">
        <f>+AA8/AA$3/24</f>
        <v>15.407149362477229</v>
      </c>
      <c r="AB9" s="6312"/>
      <c r="AC9" s="628">
        <f>+AC8/AC$3/24</f>
        <v>14.30497311827957</v>
      </c>
      <c r="AD9" s="6315"/>
      <c r="AE9" s="384">
        <f>+AE8/AE$3/24</f>
        <v>15.247488317757009</v>
      </c>
      <c r="AF9" s="6312"/>
      <c r="AG9" s="628">
        <f>+AG8/AG$3/24</f>
        <v>16.262361111111112</v>
      </c>
      <c r="AH9" s="6315"/>
      <c r="AI9" s="384">
        <f>+AI8/AI$3/24</f>
        <v>15.372267759562838</v>
      </c>
      <c r="AJ9" s="6312"/>
      <c r="AK9" s="628">
        <f>+AK8/AK$3/24</f>
        <v>15.383602150537634</v>
      </c>
      <c r="AL9" s="6317"/>
      <c r="AM9" s="393">
        <f>+AM8/AM$3/24</f>
        <v>15.306702898550723</v>
      </c>
      <c r="AN9" s="6315"/>
      <c r="AO9" s="384">
        <f>+AO8/AO$3/24</f>
        <v>15.373545454545452</v>
      </c>
      <c r="AP9" s="6312"/>
      <c r="AQ9" s="628">
        <f>+AQ8/AQ$3/24</f>
        <v>14.217338709677421</v>
      </c>
      <c r="AR9" s="6315"/>
      <c r="AS9" s="384">
        <f>+AS8/AS$3/24</f>
        <v>15.256413398692807</v>
      </c>
      <c r="AT9" s="6312"/>
      <c r="AU9" s="628">
        <f>+AU8/AU$3/24</f>
        <v>14.413244047619047</v>
      </c>
      <c r="AV9" s="6315"/>
      <c r="AW9" s="384">
        <f>+AW8/AW$3/24</f>
        <v>15.185728542914168</v>
      </c>
      <c r="AX9" s="6312"/>
      <c r="AY9" s="628">
        <f>+AY8/AY$3/24</f>
        <v>14.72943548387097</v>
      </c>
      <c r="AZ9" s="6317"/>
      <c r="BA9" s="393">
        <f>+BA8/BA$3/24</f>
        <v>14.454675925925926</v>
      </c>
      <c r="BB9" s="6321"/>
      <c r="BC9" s="468">
        <f>+BC8/BC$3/24</f>
        <v>14.885370879120879</v>
      </c>
      <c r="BD9" s="6315"/>
      <c r="BE9" s="384">
        <f>+BE8/BE$3/24</f>
        <v>15.146974885844747</v>
      </c>
      <c r="BF9" s="491"/>
      <c r="BG9" s="491"/>
      <c r="BH9" s="23"/>
      <c r="BI9" s="23"/>
      <c r="BJ9" s="23"/>
    </row>
    <row r="10" spans="2:62" x14ac:dyDescent="0.3">
      <c r="B10" s="6329" t="s">
        <v>376</v>
      </c>
      <c r="C10" s="4033" t="s">
        <v>374</v>
      </c>
      <c r="D10" s="6312"/>
      <c r="E10" s="4772">
        <v>11148.8</v>
      </c>
      <c r="F10" s="6312"/>
      <c r="G10" s="4772">
        <v>9647.6</v>
      </c>
      <c r="H10" s="6315"/>
      <c r="I10" s="338">
        <f>+E10+G10</f>
        <v>20796.400000000001</v>
      </c>
      <c r="J10" s="6325"/>
      <c r="K10" s="168">
        <v>11245.4</v>
      </c>
      <c r="L10" s="6317"/>
      <c r="M10" s="392">
        <f>E10+G10+K10</f>
        <v>32041.800000000003</v>
      </c>
      <c r="N10" s="6312"/>
      <c r="O10" s="168">
        <v>12133.5</v>
      </c>
      <c r="P10" s="6315"/>
      <c r="Q10" s="338">
        <f>+M10+O10</f>
        <v>44175.3</v>
      </c>
      <c r="R10" s="6312"/>
      <c r="S10" s="168">
        <v>11836.7</v>
      </c>
      <c r="T10" s="6315"/>
      <c r="U10" s="338">
        <f>+Q10+S10</f>
        <v>56012</v>
      </c>
      <c r="V10" s="6312"/>
      <c r="W10" s="168">
        <v>11243.3</v>
      </c>
      <c r="X10" s="6317"/>
      <c r="Y10" s="394">
        <f t="shared" ref="Y10" si="4">+O10+S10+W10</f>
        <v>35213.5</v>
      </c>
      <c r="Z10" s="6321"/>
      <c r="AA10" s="467">
        <f>M10+Y10</f>
        <v>67255.3</v>
      </c>
      <c r="AB10" s="6312"/>
      <c r="AC10" s="168">
        <v>10538.6</v>
      </c>
      <c r="AD10" s="6315"/>
      <c r="AE10" s="338">
        <f>+AA10+AC10</f>
        <v>77793.900000000009</v>
      </c>
      <c r="AF10" s="6312"/>
      <c r="AG10" s="168">
        <v>10998</v>
      </c>
      <c r="AH10" s="6315"/>
      <c r="AI10" s="338">
        <f>+AE10+AG10</f>
        <v>88791.900000000009</v>
      </c>
      <c r="AJ10" s="6312"/>
      <c r="AK10" s="168">
        <v>10711.7</v>
      </c>
      <c r="AL10" s="6317"/>
      <c r="AM10" s="394">
        <f t="shared" ref="AM10" si="5">+AC10+AG10+AK10</f>
        <v>32248.3</v>
      </c>
      <c r="AN10" s="6315"/>
      <c r="AO10" s="338">
        <f>+AI10+AK10</f>
        <v>99503.6</v>
      </c>
      <c r="AP10" s="6312"/>
      <c r="AQ10" s="168">
        <v>10307.6</v>
      </c>
      <c r="AR10" s="6315"/>
      <c r="AS10" s="338">
        <f>+AO10+AQ10</f>
        <v>109811.20000000001</v>
      </c>
      <c r="AT10" s="6312"/>
      <c r="AU10" s="168">
        <v>9783.4</v>
      </c>
      <c r="AV10" s="6315"/>
      <c r="AW10" s="338">
        <f>+AS10+AU10</f>
        <v>119594.6</v>
      </c>
      <c r="AX10" s="6312"/>
      <c r="AY10" s="168">
        <v>10080.799999999999</v>
      </c>
      <c r="AZ10" s="6317"/>
      <c r="BA10" s="394">
        <f t="shared" ref="BA10" si="6">+AQ10+AU10+AY10</f>
        <v>30171.8</v>
      </c>
      <c r="BB10" s="6321"/>
      <c r="BC10" s="659">
        <f t="shared" ref="BC10" si="7">+AM10+BA10</f>
        <v>62420.1</v>
      </c>
      <c r="BD10" s="6315"/>
      <c r="BE10" s="338">
        <f>+AW10+AY10</f>
        <v>129675.40000000001</v>
      </c>
      <c r="BF10" s="491"/>
      <c r="BG10" s="491"/>
      <c r="BH10" s="23"/>
      <c r="BI10" s="23"/>
      <c r="BJ10" s="23"/>
    </row>
    <row r="11" spans="2:62" ht="15" thickBot="1" x14ac:dyDescent="0.35">
      <c r="B11" s="6329"/>
      <c r="C11" s="5581" t="s">
        <v>373</v>
      </c>
      <c r="D11" s="6312"/>
      <c r="E11" s="5582">
        <f>+E10/E$3/24</f>
        <v>15.484444444444444</v>
      </c>
      <c r="F11" s="6312"/>
      <c r="G11" s="5582">
        <f>+G10/G$3/24</f>
        <v>12.96720430107527</v>
      </c>
      <c r="H11" s="6315"/>
      <c r="I11" s="384">
        <f>+I10/I$3/24</f>
        <v>14.205191256830602</v>
      </c>
      <c r="J11" s="6325"/>
      <c r="K11" s="628">
        <f>+K10/K$3/24</f>
        <v>15.618611111111109</v>
      </c>
      <c r="L11" s="6317"/>
      <c r="M11" s="393">
        <f>+M10/M$3/24</f>
        <v>14.671153846153848</v>
      </c>
      <c r="N11" s="6312"/>
      <c r="O11" s="628">
        <f>+O10/O$3/24</f>
        <v>16.308467741935484</v>
      </c>
      <c r="P11" s="6315"/>
      <c r="Q11" s="384">
        <f>+Q10/Q$3/24</f>
        <v>15.087192622950822</v>
      </c>
      <c r="R11" s="6312"/>
      <c r="S11" s="628">
        <f>+S10/S$3/24</f>
        <v>15.909543010752691</v>
      </c>
      <c r="T11" s="6315"/>
      <c r="U11" s="384">
        <f>+U10/U$3/24</f>
        <v>15.253812636165577</v>
      </c>
      <c r="V11" s="6312"/>
      <c r="W11" s="628">
        <f>+W10/W$3/24</f>
        <v>15.615694444444443</v>
      </c>
      <c r="X11" s="6317"/>
      <c r="Y11" s="393">
        <f>+Y10/Y$3/24</f>
        <v>15.948143115942029</v>
      </c>
      <c r="Z11" s="6321"/>
      <c r="AA11" s="468">
        <f>+AA10/AA$3/24</f>
        <v>15.31313752276867</v>
      </c>
      <c r="AB11" s="6312"/>
      <c r="AC11" s="628">
        <f>+AC10/AC$3/24</f>
        <v>14.164784946236558</v>
      </c>
      <c r="AD11" s="6315"/>
      <c r="AE11" s="384">
        <f>+AE10/AE$3/24</f>
        <v>15.146787383177573</v>
      </c>
      <c r="AF11" s="6312"/>
      <c r="AG11" s="628">
        <f>+AG10/AG$3/24</f>
        <v>15.275</v>
      </c>
      <c r="AH11" s="6315"/>
      <c r="AI11" s="384">
        <f>+AI10/AI$3/24</f>
        <v>15.162551229508198</v>
      </c>
      <c r="AJ11" s="6312"/>
      <c r="AK11" s="628">
        <f>+AK10/AK$3/24</f>
        <v>14.397446236559141</v>
      </c>
      <c r="AL11" s="6317"/>
      <c r="AM11" s="393">
        <f>+AM10/AM$3/24</f>
        <v>14.605208333333332</v>
      </c>
      <c r="AN11" s="6315"/>
      <c r="AO11" s="384">
        <f>+AO10/AO$3/24</f>
        <v>15.076303030303031</v>
      </c>
      <c r="AP11" s="6312"/>
      <c r="AQ11" s="628">
        <f>+AQ10/AQ$3/24</f>
        <v>13.854301075268816</v>
      </c>
      <c r="AR11" s="6315"/>
      <c r="AS11" s="384">
        <f>+AS10/AS$3/24</f>
        <v>14.952505446623094</v>
      </c>
      <c r="AT11" s="6312"/>
      <c r="AU11" s="628">
        <f>+AU10/AU$3/24</f>
        <v>14.558630952380952</v>
      </c>
      <c r="AV11" s="6315"/>
      <c r="AW11" s="384">
        <f>+AW10/AW$3/24</f>
        <v>14.919486027944112</v>
      </c>
      <c r="AX11" s="6312"/>
      <c r="AY11" s="628">
        <f>+AY10/AY$3/24</f>
        <v>13.549462365591397</v>
      </c>
      <c r="AZ11" s="6317"/>
      <c r="BA11" s="393">
        <f>+BA10/BA$3/24</f>
        <v>13.968425925925926</v>
      </c>
      <c r="BB11" s="6321"/>
      <c r="BC11" s="468">
        <f>+BC10/BC$3/24</f>
        <v>14.290315934065935</v>
      </c>
      <c r="BD11" s="6315"/>
      <c r="BE11" s="384">
        <f>+BE10/BE$3/24</f>
        <v>14.803127853881278</v>
      </c>
      <c r="BF11" s="491"/>
      <c r="BG11" s="491"/>
      <c r="BH11" s="23"/>
      <c r="BI11" s="23"/>
      <c r="BJ11" s="23"/>
    </row>
    <row r="12" spans="2:62" x14ac:dyDescent="0.3">
      <c r="B12" s="6329" t="s">
        <v>377</v>
      </c>
      <c r="C12" s="4033" t="s">
        <v>374</v>
      </c>
      <c r="D12" s="6312"/>
      <c r="E12" s="4772">
        <v>5537.2</v>
      </c>
      <c r="F12" s="6312"/>
      <c r="G12" s="4772">
        <v>0</v>
      </c>
      <c r="H12" s="6315"/>
      <c r="I12" s="338">
        <f>+E12+G12</f>
        <v>5537.2</v>
      </c>
      <c r="J12" s="6325"/>
      <c r="K12" s="168">
        <v>5106.3</v>
      </c>
      <c r="L12" s="6317"/>
      <c r="M12" s="392">
        <f>E12+G12+K12</f>
        <v>10643.5</v>
      </c>
      <c r="N12" s="6312"/>
      <c r="O12" s="168">
        <v>6393.4</v>
      </c>
      <c r="P12" s="6315"/>
      <c r="Q12" s="338">
        <f>+M12+O12</f>
        <v>17036.900000000001</v>
      </c>
      <c r="R12" s="6312"/>
      <c r="S12" s="168">
        <v>6200.4</v>
      </c>
      <c r="T12" s="6315"/>
      <c r="U12" s="338">
        <f>+Q12+S12</f>
        <v>23237.300000000003</v>
      </c>
      <c r="V12" s="6312"/>
      <c r="W12" s="168">
        <v>5223.8999999999996</v>
      </c>
      <c r="X12" s="6317"/>
      <c r="Y12" s="394">
        <f t="shared" ref="Y12" si="8">+O12+S12+W12</f>
        <v>17817.699999999997</v>
      </c>
      <c r="Z12" s="6321"/>
      <c r="AA12" s="467">
        <f>M12+Y12</f>
        <v>28461.199999999997</v>
      </c>
      <c r="AB12" s="6312"/>
      <c r="AC12" s="168">
        <v>5468.1</v>
      </c>
      <c r="AD12" s="6315"/>
      <c r="AE12" s="338">
        <f>+AA12+AC12</f>
        <v>33929.299999999996</v>
      </c>
      <c r="AF12" s="6312"/>
      <c r="AG12" s="168">
        <v>5732.7</v>
      </c>
      <c r="AH12" s="6315"/>
      <c r="AI12" s="338">
        <f>+AE12+AG12</f>
        <v>39661.999999999993</v>
      </c>
      <c r="AJ12" s="6312"/>
      <c r="AK12" s="168">
        <v>5340</v>
      </c>
      <c r="AL12" s="6317"/>
      <c r="AM12" s="394">
        <f t="shared" ref="AM12" si="9">+AC12+AG12+AK12</f>
        <v>16540.8</v>
      </c>
      <c r="AN12" s="6315"/>
      <c r="AO12" s="338">
        <f>+AI12+AK12</f>
        <v>45001.999999999993</v>
      </c>
      <c r="AP12" s="6312"/>
      <c r="AQ12" s="168">
        <v>5134.6000000000004</v>
      </c>
      <c r="AR12" s="6315"/>
      <c r="AS12" s="338">
        <f>+AO12+AQ12</f>
        <v>50136.599999999991</v>
      </c>
      <c r="AT12" s="6312"/>
      <c r="AU12" s="168">
        <v>1726.6</v>
      </c>
      <c r="AV12" s="6315"/>
      <c r="AW12" s="338">
        <f>+AS12+AU12</f>
        <v>51863.19999999999</v>
      </c>
      <c r="AX12" s="6312"/>
      <c r="AY12" s="168">
        <v>5029.3999999999996</v>
      </c>
      <c r="AZ12" s="6317"/>
      <c r="BA12" s="394">
        <f t="shared" ref="BA12" si="10">+AQ12+AU12+AY12</f>
        <v>11890.6</v>
      </c>
      <c r="BB12" s="6321"/>
      <c r="BC12" s="659">
        <f t="shared" ref="BC12" si="11">+AM12+BA12</f>
        <v>28431.4</v>
      </c>
      <c r="BD12" s="6315"/>
      <c r="BE12" s="338">
        <f>+AW12+AY12</f>
        <v>56892.599999999991</v>
      </c>
      <c r="BF12" s="491"/>
      <c r="BG12" s="491"/>
      <c r="BH12" s="23"/>
      <c r="BI12" s="23"/>
      <c r="BJ12" s="23"/>
    </row>
    <row r="13" spans="2:62" ht="15" thickBot="1" x14ac:dyDescent="0.35">
      <c r="B13" s="6330"/>
      <c r="C13" s="5583" t="s">
        <v>373</v>
      </c>
      <c r="D13" s="6313"/>
      <c r="E13" s="5582">
        <f>+E12/E$3/24</f>
        <v>7.6905555555555551</v>
      </c>
      <c r="F13" s="6313"/>
      <c r="G13" s="5582">
        <f>+G12/G$3/24</f>
        <v>0</v>
      </c>
      <c r="H13" s="6315"/>
      <c r="I13" s="384">
        <f>+I12/I$3/24</f>
        <v>3.7822404371584697</v>
      </c>
      <c r="J13" s="6326"/>
      <c r="K13" s="628">
        <f>+K12/K$3/24</f>
        <v>7.092083333333334</v>
      </c>
      <c r="L13" s="6317"/>
      <c r="M13" s="393">
        <f>+M12/M$3/24</f>
        <v>4.8733974358974361</v>
      </c>
      <c r="N13" s="6313"/>
      <c r="O13" s="628">
        <f>+O12/O$3/24</f>
        <v>8.5932795698924718</v>
      </c>
      <c r="P13" s="6315"/>
      <c r="Q13" s="384">
        <f>+Q12/Q$3/24</f>
        <v>5.818613387978143</v>
      </c>
      <c r="R13" s="6313"/>
      <c r="S13" s="628">
        <f>+S12/S$3/24</f>
        <v>8.3338709677419356</v>
      </c>
      <c r="T13" s="6315"/>
      <c r="U13" s="384">
        <f>+U12/U$3/24</f>
        <v>6.3282407407407417</v>
      </c>
      <c r="V13" s="6313"/>
      <c r="W13" s="628">
        <f>+W12/W$3/24</f>
        <v>7.2554166666666662</v>
      </c>
      <c r="X13" s="6317"/>
      <c r="Y13" s="393">
        <f>+Y12/Y$3/24</f>
        <v>8.0696105072463755</v>
      </c>
      <c r="Z13" s="6321"/>
      <c r="AA13" s="468">
        <f>+AA12/AA$3/24</f>
        <v>6.48023679417122</v>
      </c>
      <c r="AB13" s="6313"/>
      <c r="AC13" s="628">
        <f>+AC12/AC$3/24</f>
        <v>7.3495967741935493</v>
      </c>
      <c r="AD13" s="6315"/>
      <c r="AE13" s="384">
        <f>+AE12/AE$3/24</f>
        <v>6.6061721183800612</v>
      </c>
      <c r="AF13" s="6313"/>
      <c r="AG13" s="628">
        <f>+AG12/AG$3/24</f>
        <v>7.9620833333333332</v>
      </c>
      <c r="AH13" s="6315"/>
      <c r="AI13" s="384">
        <f>+AI12/AI$3/24</f>
        <v>6.7728825136612008</v>
      </c>
      <c r="AJ13" s="6313"/>
      <c r="AK13" s="628">
        <f>+AK12/AK$3/24</f>
        <v>7.1774193548387091</v>
      </c>
      <c r="AL13" s="6317"/>
      <c r="AM13" s="393">
        <f>+AM12/AM$3/24</f>
        <v>7.4913043478260866</v>
      </c>
      <c r="AN13" s="6315"/>
      <c r="AO13" s="384">
        <f>+AO12/AO$3/24</f>
        <v>6.8184848484848475</v>
      </c>
      <c r="AP13" s="6313"/>
      <c r="AQ13" s="628">
        <f>+AQ12/AQ$3/24</f>
        <v>6.9013440860215063</v>
      </c>
      <c r="AR13" s="6315"/>
      <c r="AS13" s="384">
        <f>+AS12/AS$3/24</f>
        <v>6.8268790849673193</v>
      </c>
      <c r="AT13" s="6313"/>
      <c r="AU13" s="628">
        <f>+AU12/AU$3/24</f>
        <v>2.569345238095238</v>
      </c>
      <c r="AV13" s="6315"/>
      <c r="AW13" s="384">
        <f>+AW12/AW$3/24</f>
        <v>6.4699600798403187</v>
      </c>
      <c r="AX13" s="6313"/>
      <c r="AY13" s="628">
        <f>+AY12/AY$3/24</f>
        <v>6.7599462365591387</v>
      </c>
      <c r="AZ13" s="6317"/>
      <c r="BA13" s="393">
        <f>+BA12/BA$3/24</f>
        <v>5.5049074074074076</v>
      </c>
      <c r="BB13" s="6321"/>
      <c r="BC13" s="468">
        <f>+BC12/BC$3/24</f>
        <v>6.5090201465201467</v>
      </c>
      <c r="BD13" s="6315"/>
      <c r="BE13" s="384">
        <f>+BE12/BE$3/24</f>
        <v>6.4945890410958889</v>
      </c>
      <c r="BF13" s="491"/>
      <c r="BG13" s="491"/>
      <c r="BH13" s="23"/>
      <c r="BI13" s="23"/>
      <c r="BJ13" s="23"/>
    </row>
    <row r="14" spans="2:62" ht="18" x14ac:dyDescent="0.3">
      <c r="B14" s="6336" t="s">
        <v>434</v>
      </c>
      <c r="C14" s="31" t="s">
        <v>374</v>
      </c>
      <c r="D14" s="877">
        <f>+D15*D3*24</f>
        <v>18300.02361192973</v>
      </c>
      <c r="E14" s="377">
        <f>+E8+E10+E12</f>
        <v>27658.5</v>
      </c>
      <c r="F14" s="877">
        <f>+F15*F3*24</f>
        <v>16437.828778884534</v>
      </c>
      <c r="G14" s="377">
        <f>+G8+G10+G12</f>
        <v>19805.900000000001</v>
      </c>
      <c r="H14" s="625">
        <f>+D14+F14</f>
        <v>34737.852390814267</v>
      </c>
      <c r="I14" s="385">
        <f>+E14+G14</f>
        <v>47464.4</v>
      </c>
      <c r="J14" s="5566">
        <f>+J15*J3*24</f>
        <v>25981.979727601378</v>
      </c>
      <c r="K14" s="377">
        <f>+K8+K10+K12</f>
        <v>27820.1</v>
      </c>
      <c r="L14" s="642">
        <f>D14+F14+J14</f>
        <v>60719.832118415645</v>
      </c>
      <c r="M14" s="395">
        <f>M8+M10+M12</f>
        <v>75284.5</v>
      </c>
      <c r="N14" s="877">
        <f>+N15*N3*24</f>
        <v>27117.180038833758</v>
      </c>
      <c r="O14" s="377">
        <f>+O8+O10+O12</f>
        <v>30539.300000000003</v>
      </c>
      <c r="P14" s="625">
        <f>+L14+N14</f>
        <v>87837.01215724941</v>
      </c>
      <c r="Q14" s="385">
        <f>+M14+O14</f>
        <v>105823.8</v>
      </c>
      <c r="R14" s="877">
        <f>+R15*R3*24</f>
        <v>26603.2684598864</v>
      </c>
      <c r="S14" s="377">
        <f>+S8+S10+S12</f>
        <v>29710.1</v>
      </c>
      <c r="T14" s="625">
        <f>+P14+R14</f>
        <v>114440.28061713581</v>
      </c>
      <c r="U14" s="385">
        <f>+Q14+S14</f>
        <v>135533.9</v>
      </c>
      <c r="V14" s="877">
        <f>+V15*V3*24</f>
        <v>21383.789432978727</v>
      </c>
      <c r="W14" s="377">
        <f>+W8+W10+W12</f>
        <v>27850.800000000003</v>
      </c>
      <c r="X14" s="642">
        <f t="shared" ref="X14" si="12">+N14+R14+V14</f>
        <v>75104.237931698881</v>
      </c>
      <c r="Y14" s="395">
        <f>Y8+Y10+Y12</f>
        <v>88100.2</v>
      </c>
      <c r="Z14" s="878">
        <f>L14+X14</f>
        <v>135824.07005011453</v>
      </c>
      <c r="AA14" s="470">
        <f>M14+Y14</f>
        <v>163384.70000000001</v>
      </c>
      <c r="AB14" s="877">
        <f>+AB15*AB3*24</f>
        <v>26626.163478279537</v>
      </c>
      <c r="AC14" s="377">
        <f>+AC8+AC10+AC12</f>
        <v>26649.599999999999</v>
      </c>
      <c r="AD14" s="625">
        <f>+Z14+AB14</f>
        <v>162450.23352839408</v>
      </c>
      <c r="AE14" s="385">
        <f>+AA14+AC14</f>
        <v>190034.30000000002</v>
      </c>
      <c r="AF14" s="877">
        <f>+AF15*AF3*24</f>
        <v>18860.256185642058</v>
      </c>
      <c r="AG14" s="377">
        <f>+AG8+AG10+AG12</f>
        <v>28439.600000000002</v>
      </c>
      <c r="AH14" s="625">
        <f>+AD14+AF14</f>
        <v>181310.48971403614</v>
      </c>
      <c r="AI14" s="385">
        <f>+AE14+AG14</f>
        <v>218473.90000000002</v>
      </c>
      <c r="AJ14" s="877">
        <f>+AJ15*AJ3*24</f>
        <v>19476.370958590633</v>
      </c>
      <c r="AK14" s="377">
        <f>+AK8+AK10+AK12</f>
        <v>27497.1</v>
      </c>
      <c r="AL14" s="642">
        <f t="shared" ref="AL14" si="13">+AB14+AF14+AJ14</f>
        <v>64962.790622512228</v>
      </c>
      <c r="AM14" s="395">
        <f>AM8+AM10+AM12</f>
        <v>82586.3</v>
      </c>
      <c r="AN14" s="625">
        <f>+AH14+AJ14</f>
        <v>200786.86067262676</v>
      </c>
      <c r="AO14" s="385">
        <f>+AI14+AK14</f>
        <v>245971.00000000003</v>
      </c>
      <c r="AP14" s="877">
        <f>+AP15*AP3*24</f>
        <v>18780.020995829822</v>
      </c>
      <c r="AQ14" s="377">
        <f>+AQ8+AQ10+AQ12</f>
        <v>26019.9</v>
      </c>
      <c r="AR14" s="625">
        <f>+AN14+AP14</f>
        <v>219566.8816684566</v>
      </c>
      <c r="AS14" s="385">
        <f>+AO14+AQ14</f>
        <v>271990.90000000002</v>
      </c>
      <c r="AT14" s="877">
        <f>+AT15*AT3*24</f>
        <v>17326.016885819503</v>
      </c>
      <c r="AU14" s="377">
        <f>+AU8+AU10+AU12</f>
        <v>21195.699999999997</v>
      </c>
      <c r="AV14" s="625">
        <f>+AR14+AT14</f>
        <v>236892.89855427609</v>
      </c>
      <c r="AW14" s="385">
        <f>+AS14+AU14</f>
        <v>293186.60000000003</v>
      </c>
      <c r="AX14" s="877">
        <f>+AX15*AX3*24</f>
        <v>25674.840090383281</v>
      </c>
      <c r="AY14" s="377">
        <f>+AY8+AY10+AY12</f>
        <v>26068.9</v>
      </c>
      <c r="AZ14" s="642">
        <f t="shared" ref="AZ14" si="14">+AP14+AT14+AX14</f>
        <v>61780.877972032606</v>
      </c>
      <c r="BA14" s="395">
        <f>BA8+BA10+BA12</f>
        <v>73284.5</v>
      </c>
      <c r="BB14" s="878">
        <f>AL14+AZ14</f>
        <v>126743.66859454484</v>
      </c>
      <c r="BC14" s="470">
        <f>AM14+BA14</f>
        <v>155870.79999999999</v>
      </c>
      <c r="BD14" s="625">
        <f>+AV14+AX14</f>
        <v>262567.7386446594</v>
      </c>
      <c r="BE14" s="385">
        <f>+AW14+AY14</f>
        <v>319255.50000000006</v>
      </c>
      <c r="BF14" s="491"/>
      <c r="BG14" s="491"/>
      <c r="BH14" s="23"/>
      <c r="BI14" s="23"/>
      <c r="BJ14" s="23"/>
    </row>
    <row r="15" spans="2:62" ht="18" thickBot="1" x14ac:dyDescent="0.35">
      <c r="B15" s="6337"/>
      <c r="C15" s="18" t="s">
        <v>373</v>
      </c>
      <c r="D15" s="881">
        <v>25.416699461013515</v>
      </c>
      <c r="E15" s="376">
        <f>+E14/E$3/24</f>
        <v>38.414583333333333</v>
      </c>
      <c r="F15" s="881">
        <v>22.093855885597488</v>
      </c>
      <c r="G15" s="376">
        <f>+G14/G$3/24</f>
        <v>26.620833333333337</v>
      </c>
      <c r="H15" s="879">
        <f>+H14/(H3*24)</f>
        <v>23.728041250556192</v>
      </c>
      <c r="I15" s="386">
        <f>+I14/I$3/24</f>
        <v>32.42103825136612</v>
      </c>
      <c r="J15" s="5567">
        <v>36.086082955001913</v>
      </c>
      <c r="K15" s="376">
        <f>+K14/K$3/24</f>
        <v>38.639027777777777</v>
      </c>
      <c r="L15" s="880">
        <f>+L14/(L3*24)</f>
        <v>27.802120933340497</v>
      </c>
      <c r="M15" s="396">
        <f>+M14/M$3/24</f>
        <v>34.470924908424912</v>
      </c>
      <c r="N15" s="881">
        <v>36.447822632841074</v>
      </c>
      <c r="O15" s="376">
        <f>+O14/O$3/24</f>
        <v>41.047446236559146</v>
      </c>
      <c r="P15" s="879">
        <f>+P14/(P3*24)</f>
        <v>29.998979561902122</v>
      </c>
      <c r="Q15" s="386">
        <f>+Q14/Q$3/24</f>
        <v>36.142008196721314</v>
      </c>
      <c r="R15" s="881">
        <v>35.757081263288171</v>
      </c>
      <c r="S15" s="376">
        <f>+S14/S$3/24</f>
        <v>39.932930107526879</v>
      </c>
      <c r="T15" s="879">
        <f>+T14/(T3*24)</f>
        <v>31.165653762836548</v>
      </c>
      <c r="U15" s="386">
        <f>+U14/U$3/24</f>
        <v>36.910103485838782</v>
      </c>
      <c r="V15" s="881">
        <v>29.699707545803786</v>
      </c>
      <c r="W15" s="376">
        <f>+W14/W$3/24</f>
        <v>38.681666666666672</v>
      </c>
      <c r="X15" s="880">
        <f>+X14/(X3*24)</f>
        <v>34.014600512544781</v>
      </c>
      <c r="Y15" s="396">
        <f>+Y14/(Y3*24)</f>
        <v>39.900452898550725</v>
      </c>
      <c r="Z15" s="882">
        <f>+Z14/(Z3*24)</f>
        <v>30.925334710863964</v>
      </c>
      <c r="AA15" s="471">
        <f>+AA14/AA$3/24</f>
        <v>37.200523679417124</v>
      </c>
      <c r="AB15" s="881">
        <v>35.7878541374725</v>
      </c>
      <c r="AC15" s="376">
        <f>+AC14/AC$3/24</f>
        <v>35.819354838709678</v>
      </c>
      <c r="AD15" s="879">
        <f>+AD14/(AD3*24)</f>
        <v>31.629718366120343</v>
      </c>
      <c r="AE15" s="386">
        <f>+AE14/AE$3/24</f>
        <v>37.000447819314644</v>
      </c>
      <c r="AF15" s="881">
        <v>26.194800257836192</v>
      </c>
      <c r="AG15" s="376">
        <f>+AG14/AG$3/24</f>
        <v>39.49944444444445</v>
      </c>
      <c r="AH15" s="879">
        <f>+AH14/(AH3*24)</f>
        <v>30.9614907298559</v>
      </c>
      <c r="AI15" s="386">
        <f>+AI14/AI$3/24</f>
        <v>37.307701502732243</v>
      </c>
      <c r="AJ15" s="881">
        <v>26.177917955094937</v>
      </c>
      <c r="AK15" s="376">
        <f>+AK14/AK$3/24</f>
        <v>36.958467741935486</v>
      </c>
      <c r="AL15" s="880">
        <f>+AL14/(AL3*24)</f>
        <v>29.421553723963871</v>
      </c>
      <c r="AM15" s="396">
        <f>+AM14/(AM3*24)</f>
        <v>37.40321557971015</v>
      </c>
      <c r="AN15" s="879">
        <f>+AN14/(AN3*24)</f>
        <v>30.42225161706466</v>
      </c>
      <c r="AO15" s="386">
        <f>+AO14/AO$3/24</f>
        <v>37.268333333333338</v>
      </c>
      <c r="AP15" s="881">
        <v>25.24196370407234</v>
      </c>
      <c r="AQ15" s="376">
        <f>+AQ14/AQ$3/24</f>
        <v>34.972983870967745</v>
      </c>
      <c r="AR15" s="879">
        <f>+AR14/(AR3*24)</f>
        <v>29.897451207578513</v>
      </c>
      <c r="AS15" s="386">
        <f>+AS14/AS$3/24</f>
        <v>37.035797930283231</v>
      </c>
      <c r="AT15" s="881">
        <v>25.782763222945686</v>
      </c>
      <c r="AU15" s="376">
        <f>+AU14/AU$3/24</f>
        <v>31.541220238095235</v>
      </c>
      <c r="AV15" s="879">
        <f>+AV14/(AV3*24)</f>
        <v>29.55250730467516</v>
      </c>
      <c r="AW15" s="2404">
        <f>+AW14/AW$3/24</f>
        <v>36.575174650698607</v>
      </c>
      <c r="AX15" s="881">
        <v>34.509193669870001</v>
      </c>
      <c r="AY15" s="376">
        <f>+AY14/AY$3/24</f>
        <v>35.038844086021506</v>
      </c>
      <c r="AZ15" s="880">
        <f>+AZ14/(AZ3*24)</f>
        <v>28.602258320385467</v>
      </c>
      <c r="BA15" s="396">
        <f>+BA14/(BA3*24)</f>
        <v>33.928009259259262</v>
      </c>
      <c r="BB15" s="882">
        <f>+BB14/(BB3*24)</f>
        <v>29.016407645271254</v>
      </c>
      <c r="BC15" s="471">
        <f>+BC14/BC$3/24</f>
        <v>35.684706959706958</v>
      </c>
      <c r="BD15" s="4048">
        <f>+BD14/(BD3*24)</f>
        <v>29.973486146650618</v>
      </c>
      <c r="BE15" s="2404">
        <f>+BE14/BE$3/24</f>
        <v>36.44469178082192</v>
      </c>
      <c r="BF15" s="491"/>
      <c r="BG15" s="491"/>
      <c r="BH15" s="23"/>
      <c r="BI15" s="23"/>
      <c r="BJ15" s="23"/>
    </row>
    <row r="16" spans="2:62" ht="15" customHeight="1" x14ac:dyDescent="0.3">
      <c r="B16" s="6335" t="s">
        <v>378</v>
      </c>
      <c r="C16" s="25" t="s">
        <v>374</v>
      </c>
      <c r="D16" s="883">
        <f>+D17*D3*24</f>
        <v>2211.4285714285716</v>
      </c>
      <c r="E16" s="378">
        <v>1217</v>
      </c>
      <c r="F16" s="883">
        <f>+F17*F3*24</f>
        <v>2285.1428571428573</v>
      </c>
      <c r="G16" s="378">
        <v>911.9</v>
      </c>
      <c r="H16" s="697">
        <f>+D16+F16</f>
        <v>4496.5714285714294</v>
      </c>
      <c r="I16" s="338">
        <f>+E16+G16</f>
        <v>2128.9</v>
      </c>
      <c r="J16" s="5568">
        <f>+J17*J3*24</f>
        <v>2400</v>
      </c>
      <c r="K16" s="378">
        <v>0</v>
      </c>
      <c r="L16" s="698">
        <f>+H16+J16</f>
        <v>6896.5714285714294</v>
      </c>
      <c r="M16" s="394">
        <f>+I16+K16</f>
        <v>2128.9</v>
      </c>
      <c r="N16" s="883">
        <f>+N17*N3*24</f>
        <v>2480</v>
      </c>
      <c r="O16" s="378">
        <v>0</v>
      </c>
      <c r="P16" s="697">
        <f>+L16+N16</f>
        <v>9376.5714285714294</v>
      </c>
      <c r="Q16" s="338">
        <f>+M16+O16</f>
        <v>2128.9</v>
      </c>
      <c r="R16" s="883">
        <f>+R17*R3*24</f>
        <v>2480</v>
      </c>
      <c r="S16" s="378">
        <v>0</v>
      </c>
      <c r="T16" s="697">
        <f>+P16+R16</f>
        <v>11856.571428571429</v>
      </c>
      <c r="U16" s="338">
        <f>+Q16+S16</f>
        <v>2128.9</v>
      </c>
      <c r="V16" s="883">
        <f>+V17*V3*24</f>
        <v>2448</v>
      </c>
      <c r="W16" s="378">
        <v>0</v>
      </c>
      <c r="X16" s="698">
        <f t="shared" ref="X16" si="15">+N16+R16+V16</f>
        <v>7408</v>
      </c>
      <c r="Y16" s="394">
        <f t="shared" ref="Y16" si="16">+O16+S16+W16</f>
        <v>0</v>
      </c>
      <c r="Z16" s="700">
        <f>L16+X16</f>
        <v>14304.571428571429</v>
      </c>
      <c r="AA16" s="469">
        <f>M16+Y16</f>
        <v>2128.9</v>
      </c>
      <c r="AB16" s="883">
        <f>+AB17*AB3*24</f>
        <v>2480</v>
      </c>
      <c r="AC16" s="378">
        <v>0</v>
      </c>
      <c r="AD16" s="697">
        <f>+Z16+AB16</f>
        <v>16784.571428571428</v>
      </c>
      <c r="AE16" s="338">
        <f>+AA16+AC16</f>
        <v>2128.9</v>
      </c>
      <c r="AF16" s="883">
        <f>+AF17*AF3*24</f>
        <v>2400</v>
      </c>
      <c r="AG16" s="378">
        <v>0</v>
      </c>
      <c r="AH16" s="697">
        <f>+AD16+AF16</f>
        <v>19184.571428571428</v>
      </c>
      <c r="AI16" s="338">
        <f>+AE16+AG16</f>
        <v>2128.9</v>
      </c>
      <c r="AJ16" s="883">
        <f>+AJ17*AJ3*24</f>
        <v>2480</v>
      </c>
      <c r="AK16" s="378">
        <v>0</v>
      </c>
      <c r="AL16" s="698">
        <f t="shared" ref="AL16" si="17">+AB16+AF16+AJ16</f>
        <v>7360</v>
      </c>
      <c r="AM16" s="394">
        <f t="shared" ref="AM16" si="18">+AC16+AG16+AK16</f>
        <v>0</v>
      </c>
      <c r="AN16" s="697">
        <f>+AH16+AJ16</f>
        <v>21664.571428571428</v>
      </c>
      <c r="AO16" s="338">
        <f>+AI16+AK16</f>
        <v>2128.9</v>
      </c>
      <c r="AP16" s="883">
        <f>+AP17*AP3*24</f>
        <v>2480</v>
      </c>
      <c r="AQ16" s="378">
        <v>0</v>
      </c>
      <c r="AR16" s="697">
        <f>+AN16+AP16</f>
        <v>24144.571428571428</v>
      </c>
      <c r="AS16" s="338">
        <f>+AO16+AQ16</f>
        <v>2128.9</v>
      </c>
      <c r="AT16" s="883">
        <f>+AT17*AT3*24</f>
        <v>2240</v>
      </c>
      <c r="AU16" s="378">
        <v>1342.6</v>
      </c>
      <c r="AV16" s="697">
        <f>+AR16+AT16</f>
        <v>26384.571428571428</v>
      </c>
      <c r="AW16" s="338">
        <f>+AS16+AU16</f>
        <v>3471.5</v>
      </c>
      <c r="AX16" s="883">
        <f>+AX17*AX3*24</f>
        <v>2480</v>
      </c>
      <c r="AY16" s="378">
        <v>1344</v>
      </c>
      <c r="AZ16" s="698">
        <f t="shared" ref="AZ16" si="19">+AP16+AT16+AX16</f>
        <v>7200</v>
      </c>
      <c r="BA16" s="394">
        <f t="shared" ref="BA16" si="20">+AQ16+AU16+AY16</f>
        <v>2686.6</v>
      </c>
      <c r="BB16" s="700">
        <f>AL16+AZ16</f>
        <v>14560</v>
      </c>
      <c r="BC16" s="469">
        <f>AM16+BA16</f>
        <v>2686.6</v>
      </c>
      <c r="BD16" s="697">
        <f>+AV16+AX16</f>
        <v>28864.571428571428</v>
      </c>
      <c r="BE16" s="338">
        <f>+AW16+AY16</f>
        <v>4815.5</v>
      </c>
      <c r="BF16" s="491"/>
      <c r="BG16" s="491"/>
      <c r="BH16" s="23"/>
      <c r="BI16" s="23"/>
      <c r="BJ16" s="23"/>
    </row>
    <row r="17" spans="2:62" ht="15" customHeight="1" thickBot="1" x14ac:dyDescent="0.35">
      <c r="B17" s="6329"/>
      <c r="C17" s="5581" t="s">
        <v>373</v>
      </c>
      <c r="D17" s="5584">
        <v>3.0714285714285716</v>
      </c>
      <c r="E17" s="5585">
        <f>+E16/E$3/24</f>
        <v>1.690277777777778</v>
      </c>
      <c r="F17" s="5584">
        <v>3.0714285714285716</v>
      </c>
      <c r="G17" s="5585">
        <f>+G16/G$3/24</f>
        <v>1.2256720430107526</v>
      </c>
      <c r="H17" s="627">
        <f>+H16/(H$3*24)</f>
        <v>3.0714285714285721</v>
      </c>
      <c r="I17" s="387">
        <f>+I16/I$3/24</f>
        <v>1.4541666666666666</v>
      </c>
      <c r="J17" s="5569">
        <v>3.3333333333333335</v>
      </c>
      <c r="K17" s="629">
        <f>+K16/K$3/24</f>
        <v>0</v>
      </c>
      <c r="L17" s="643">
        <f>+L16/(L$3*24)</f>
        <v>3.1577708006279437</v>
      </c>
      <c r="M17" s="397">
        <f>+M16/M$3/24</f>
        <v>0.97477106227106225</v>
      </c>
      <c r="N17" s="884">
        <v>3.3333333333333335</v>
      </c>
      <c r="O17" s="629">
        <f>+O16/O$3/24</f>
        <v>0</v>
      </c>
      <c r="P17" s="627">
        <f>+P16/(P$3*24)</f>
        <v>3.2023809523809526</v>
      </c>
      <c r="Q17" s="387">
        <f>+Q16/Q$3/24</f>
        <v>0.7270833333333333</v>
      </c>
      <c r="R17" s="884">
        <v>3.3333333333333335</v>
      </c>
      <c r="S17" s="629">
        <f>+S16/S$3/24</f>
        <v>0</v>
      </c>
      <c r="T17" s="627">
        <f>+T16/(T$3*24)</f>
        <v>3.2289137877373175</v>
      </c>
      <c r="U17" s="387">
        <f>+U16/U$3/24</f>
        <v>0.57976579520697169</v>
      </c>
      <c r="V17" s="884">
        <v>3.4</v>
      </c>
      <c r="W17" s="629">
        <f>+W16/W$3/24</f>
        <v>0</v>
      </c>
      <c r="X17" s="643">
        <f>+X16/(X$3*24)</f>
        <v>3.3550724637681157</v>
      </c>
      <c r="Y17" s="397">
        <f>+Y16/Y$3/24</f>
        <v>0</v>
      </c>
      <c r="Z17" s="885">
        <f>+Z16/(Z$3*24)</f>
        <v>3.2569607077803799</v>
      </c>
      <c r="AA17" s="472">
        <f>+AA16/AA$3/24</f>
        <v>0.48472222222222228</v>
      </c>
      <c r="AB17" s="884">
        <v>3.3333333333333335</v>
      </c>
      <c r="AC17" s="629">
        <f>+AC16/AC$3/24</f>
        <v>0</v>
      </c>
      <c r="AD17" s="627">
        <f>+AD16/(AD$3*24)</f>
        <v>3.2680240320427236</v>
      </c>
      <c r="AE17" s="387">
        <f>+AE16/AE$3/24</f>
        <v>0.41450545171339565</v>
      </c>
      <c r="AF17" s="884">
        <v>3.3333333333333335</v>
      </c>
      <c r="AG17" s="629">
        <f>+AG16/AG$3/24</f>
        <v>0</v>
      </c>
      <c r="AH17" s="627">
        <f>+AH16/(AH$3*24)</f>
        <v>3.2760538641686181</v>
      </c>
      <c r="AI17" s="4798">
        <f>+AI16/AI$3/24</f>
        <v>0.36354166666666665</v>
      </c>
      <c r="AJ17" s="884">
        <v>3.3333333333333335</v>
      </c>
      <c r="AK17" s="629">
        <f>+AK16/AK$3/24</f>
        <v>0</v>
      </c>
      <c r="AL17" s="643">
        <f>+AL16/(AL$3*24)</f>
        <v>3.3333333333333335</v>
      </c>
      <c r="AM17" s="397">
        <f>+AM16/AM$3/24</f>
        <v>0</v>
      </c>
      <c r="AN17" s="627">
        <f>+AN16/(AN$3*24)</f>
        <v>3.2825108225108224</v>
      </c>
      <c r="AO17" s="387">
        <f>+AO16/AO$3/24</f>
        <v>0.32256060606060605</v>
      </c>
      <c r="AP17" s="884">
        <v>3.3333333333333335</v>
      </c>
      <c r="AQ17" s="629">
        <f>+AQ16/AQ$3/24</f>
        <v>0</v>
      </c>
      <c r="AR17" s="627">
        <f>+AR16/(AR$3*24)</f>
        <v>3.2876595082477436</v>
      </c>
      <c r="AS17" s="387">
        <f>+AS16/AS$3/24</f>
        <v>0.28988289760348585</v>
      </c>
      <c r="AT17" s="884">
        <v>3.3333333333333335</v>
      </c>
      <c r="AU17" s="629">
        <f>+AU16/AU$3/24</f>
        <v>1.9979166666666666</v>
      </c>
      <c r="AV17" s="627">
        <f>+AV16/(AV$3*24)</f>
        <v>3.2914884516680925</v>
      </c>
      <c r="AW17" s="387">
        <f>+AW16/AW$3/24</f>
        <v>0.43307135728542917</v>
      </c>
      <c r="AX17" s="884">
        <v>3.3333333333333335</v>
      </c>
      <c r="AY17" s="629">
        <f>+AY16/AY$3/24</f>
        <v>1.8064516129032258</v>
      </c>
      <c r="AZ17" s="643">
        <f>+AZ16/(AZ$3*24)</f>
        <v>3.3333333333333335</v>
      </c>
      <c r="BA17" s="397">
        <f>+BA16/BA$3/24</f>
        <v>1.2437962962962963</v>
      </c>
      <c r="BB17" s="885">
        <f>+BB16/(BB$3*24)</f>
        <v>3.3333333333333335</v>
      </c>
      <c r="BC17" s="472">
        <f>+BC16/BC$3/24</f>
        <v>0.61506410256410249</v>
      </c>
      <c r="BD17" s="627">
        <f>+BD16/(BD$3*24)</f>
        <v>3.2950424005218526</v>
      </c>
      <c r="BE17" s="387">
        <f>+BE16/BE$3/24</f>
        <v>0.5497146118721461</v>
      </c>
      <c r="BF17" s="491"/>
      <c r="BG17" s="491"/>
      <c r="BH17" s="23"/>
      <c r="BI17" s="23"/>
      <c r="BJ17" s="23"/>
    </row>
    <row r="18" spans="2:62" x14ac:dyDescent="0.3">
      <c r="B18" s="6329" t="s">
        <v>379</v>
      </c>
      <c r="C18" s="4033" t="s">
        <v>374</v>
      </c>
      <c r="D18" s="5586">
        <f>+D19*D3*24</f>
        <v>9990.0928806584361</v>
      </c>
      <c r="E18" s="229">
        <v>9116.2999999999993</v>
      </c>
      <c r="F18" s="5586">
        <f>+F19*F3*24</f>
        <v>8981.4777340534984</v>
      </c>
      <c r="G18" s="229">
        <v>2382.1</v>
      </c>
      <c r="H18" s="697">
        <f>+D18+F18</f>
        <v>18971.570614711934</v>
      </c>
      <c r="I18" s="338">
        <f>+E18+G18</f>
        <v>11498.4</v>
      </c>
      <c r="J18" s="5570">
        <f>+J19*J3*24</f>
        <v>10061.333333333332</v>
      </c>
      <c r="K18" s="229">
        <v>11480.3</v>
      </c>
      <c r="L18" s="698">
        <f>+H18+J18</f>
        <v>29032.903948045267</v>
      </c>
      <c r="M18" s="392">
        <f>E18+G18+K18</f>
        <v>22978.699999999997</v>
      </c>
      <c r="N18" s="886">
        <f>+N19*N3*24</f>
        <v>10313.333333333332</v>
      </c>
      <c r="O18" s="229">
        <v>12224.4</v>
      </c>
      <c r="P18" s="697">
        <f>+L18+N18</f>
        <v>39346.237281378599</v>
      </c>
      <c r="Q18" s="338">
        <f>+M18+O18</f>
        <v>35203.1</v>
      </c>
      <c r="R18" s="886">
        <f>+R19*R3*24</f>
        <v>10247.222222222221</v>
      </c>
      <c r="S18" s="229">
        <v>11328.8</v>
      </c>
      <c r="T18" s="697">
        <f>+P18+R18</f>
        <v>49593.459503600818</v>
      </c>
      <c r="U18" s="338">
        <f>+Q18+S18</f>
        <v>46531.899999999994</v>
      </c>
      <c r="V18" s="886">
        <f>+V19*V3*24</f>
        <v>5625.9259259259252</v>
      </c>
      <c r="W18" s="229">
        <v>10414.6</v>
      </c>
      <c r="X18" s="698">
        <f t="shared" ref="X18:Y18" si="21">+N18+R18+V18</f>
        <v>26186.481481481482</v>
      </c>
      <c r="Y18" s="394">
        <f t="shared" si="21"/>
        <v>33967.799999999996</v>
      </c>
      <c r="Z18" s="700">
        <f>L18+X18</f>
        <v>55219.385429526752</v>
      </c>
      <c r="AA18" s="469">
        <f>M18+Y18</f>
        <v>56946.499999999993</v>
      </c>
      <c r="AB18" s="886">
        <f>+AB19*AB3*24</f>
        <v>10380.740740740741</v>
      </c>
      <c r="AC18" s="229">
        <v>7696.7</v>
      </c>
      <c r="AD18" s="697">
        <f>+Z18+AB18</f>
        <v>65600.126170267496</v>
      </c>
      <c r="AE18" s="338">
        <f>+AA18+AC18</f>
        <v>64643.19999999999</v>
      </c>
      <c r="AF18" s="886">
        <f>+AF19*AF3*24</f>
        <v>10061.333333333332</v>
      </c>
      <c r="AG18" s="229">
        <v>9197.1</v>
      </c>
      <c r="AH18" s="697">
        <f>+AD18+AF18</f>
        <v>75661.459503600825</v>
      </c>
      <c r="AI18" s="338">
        <f>+AE18+AG18</f>
        <v>73840.299999999988</v>
      </c>
      <c r="AJ18" s="886">
        <f>+AJ19*AJ3*24</f>
        <v>10380.740740740741</v>
      </c>
      <c r="AK18" s="229">
        <v>9626.9</v>
      </c>
      <c r="AL18" s="698">
        <f t="shared" ref="AL18" si="22">+AB18+AF18+AJ18</f>
        <v>30822.814814814814</v>
      </c>
      <c r="AM18" s="394">
        <f t="shared" ref="AM18" si="23">+AC18+AG18+AK18</f>
        <v>26520.699999999997</v>
      </c>
      <c r="AN18" s="697">
        <f>+AH18+AJ18</f>
        <v>86042.200244341569</v>
      </c>
      <c r="AO18" s="338">
        <f>+AI18+AK18</f>
        <v>83467.199999999983</v>
      </c>
      <c r="AP18" s="886">
        <f>+AP19*AP3*24</f>
        <v>10403.555555555555</v>
      </c>
      <c r="AQ18" s="229">
        <v>9614.4</v>
      </c>
      <c r="AR18" s="697">
        <f>+AN18+AP18</f>
        <v>96445.755799897132</v>
      </c>
      <c r="AS18" s="338">
        <f>+AO18+AQ18</f>
        <v>93081.599999999977</v>
      </c>
      <c r="AT18" s="886">
        <f>+AT19*AT3*24</f>
        <v>9391.925925925927</v>
      </c>
      <c r="AU18" s="229">
        <v>7762.2</v>
      </c>
      <c r="AV18" s="697">
        <f>+AR18+AT18</f>
        <v>105837.68172582306</v>
      </c>
      <c r="AW18" s="338">
        <f>+AS18+AU18</f>
        <v>100843.79999999997</v>
      </c>
      <c r="AX18" s="886">
        <f>+AX19*AX3*24</f>
        <v>10403.555555555555</v>
      </c>
      <c r="AY18" s="229">
        <v>9734.2999999999993</v>
      </c>
      <c r="AZ18" s="698">
        <f t="shared" ref="AZ18" si="24">+AP18+AT18+AX18</f>
        <v>30199.037037037036</v>
      </c>
      <c r="BA18" s="394">
        <f t="shared" ref="BA18" si="25">+AQ18+AU18+AY18</f>
        <v>27110.899999999998</v>
      </c>
      <c r="BB18" s="700">
        <f>AL18+AZ18</f>
        <v>61021.851851851854</v>
      </c>
      <c r="BC18" s="469">
        <f>AM18+BA18</f>
        <v>53631.599999999991</v>
      </c>
      <c r="BD18" s="697">
        <f>+AV18+AX18</f>
        <v>116241.23728137862</v>
      </c>
      <c r="BE18" s="338">
        <f>+AW18+AY18</f>
        <v>110578.09999999998</v>
      </c>
      <c r="BF18" s="491"/>
      <c r="BG18" s="491"/>
      <c r="BH18" s="23"/>
      <c r="BI18" s="23"/>
      <c r="BJ18" s="23"/>
    </row>
    <row r="19" spans="2:62" ht="15" thickBot="1" x14ac:dyDescent="0.35">
      <c r="B19" s="6330"/>
      <c r="C19" s="5583" t="s">
        <v>373</v>
      </c>
      <c r="D19" s="887">
        <v>13.875129000914495</v>
      </c>
      <c r="E19" s="5585">
        <f>+E18/E$3/24</f>
        <v>12.661527777777778</v>
      </c>
      <c r="F19" s="887">
        <v>12.07187867480309</v>
      </c>
      <c r="G19" s="5585">
        <f>+G18/G$3/24</f>
        <v>3.2017473118279569</v>
      </c>
      <c r="H19" s="627">
        <f>+H18/(H$3*24)</f>
        <v>12.95872309748083</v>
      </c>
      <c r="I19" s="387">
        <f>+I18/I$3/24</f>
        <v>7.8540983606557377</v>
      </c>
      <c r="J19" s="5571">
        <v>13.974074074074073</v>
      </c>
      <c r="K19" s="629">
        <f>+K18/K$3/24</f>
        <v>15.944861111111109</v>
      </c>
      <c r="L19" s="643">
        <f>+L18/(L$3*24)</f>
        <v>13.293454188665415</v>
      </c>
      <c r="M19" s="397">
        <f>+M18/M$3/24</f>
        <v>10.521382783882784</v>
      </c>
      <c r="N19" s="887">
        <v>13.86200716845878</v>
      </c>
      <c r="O19" s="629">
        <f>+O18/O$3/24</f>
        <v>16.430645161290322</v>
      </c>
      <c r="P19" s="627">
        <f>+P18/(P$3*24)</f>
        <v>13.437922568776845</v>
      </c>
      <c r="Q19" s="387">
        <f>+Q18/Q$3/24</f>
        <v>12.022916666666667</v>
      </c>
      <c r="R19" s="887">
        <v>13.773148148148147</v>
      </c>
      <c r="S19" s="629">
        <f>+S18/S$3/24</f>
        <v>15.226881720430107</v>
      </c>
      <c r="T19" s="627">
        <f>+T18/(T$3*24)</f>
        <v>13.505844091394557</v>
      </c>
      <c r="U19" s="387">
        <f>+U18/U$3/24</f>
        <v>12.672086056644879</v>
      </c>
      <c r="V19" s="887">
        <v>7.8137860082304513</v>
      </c>
      <c r="W19" s="629">
        <f>+W18/W$3/24</f>
        <v>14.464722222222223</v>
      </c>
      <c r="X19" s="643">
        <f>+X18/(X$3*24)</f>
        <v>11.859819511540525</v>
      </c>
      <c r="Y19" s="397">
        <f>+Y18/Y$3/24</f>
        <v>15.383967391304346</v>
      </c>
      <c r="Z19" s="885">
        <f>+Z18/(Z$3*24)</f>
        <v>12.572719815466018</v>
      </c>
      <c r="AA19" s="472">
        <f>+AA18/AA$3/24</f>
        <v>12.965960837887065</v>
      </c>
      <c r="AB19" s="887">
        <v>13.952608522500997</v>
      </c>
      <c r="AC19" s="629">
        <f>+AC18/AC$3/24</f>
        <v>10.345026881720431</v>
      </c>
      <c r="AD19" s="627">
        <f>+AD18/(AD$3*24)</f>
        <v>12.772610235643983</v>
      </c>
      <c r="AE19" s="387">
        <f>+AE18/AE$3/24</f>
        <v>12.586292834890964</v>
      </c>
      <c r="AF19" s="887">
        <v>13.974074074074073</v>
      </c>
      <c r="AG19" s="629">
        <f>+AG18/AG$3/24</f>
        <v>12.77375</v>
      </c>
      <c r="AH19" s="627">
        <f>+AH18/(AH$3*24)</f>
        <v>12.920331199385387</v>
      </c>
      <c r="AI19" s="387">
        <f>+AI18/AI$3/24</f>
        <v>12.609340846994535</v>
      </c>
      <c r="AJ19" s="887">
        <v>13.952608522500997</v>
      </c>
      <c r="AK19" s="629">
        <f>+AK18/AK$3/24</f>
        <v>12.939381720430108</v>
      </c>
      <c r="AL19" s="643">
        <f>+AL18/(AL$3*24)</f>
        <v>13.959608158883521</v>
      </c>
      <c r="AM19" s="397">
        <f>+AM18/AM$3/24</f>
        <v>12.011186594202897</v>
      </c>
      <c r="AN19" s="627">
        <f>+AN18/(AN$3*24)</f>
        <v>13.03669700671842</v>
      </c>
      <c r="AO19" s="387">
        <f>+AO18/AO$3/24</f>
        <v>12.646545454545452</v>
      </c>
      <c r="AP19" s="887">
        <v>13.983273596176822</v>
      </c>
      <c r="AQ19" s="629">
        <f>+AQ18/AQ$3/24</f>
        <v>12.92258064516129</v>
      </c>
      <c r="AR19" s="627">
        <f>+AR18/(AR$3*24)</f>
        <v>13.132592020683161</v>
      </c>
      <c r="AS19" s="387">
        <f>+AS18/AS$3/24</f>
        <v>12.674509803921566</v>
      </c>
      <c r="AT19" s="887">
        <v>13.976080246913581</v>
      </c>
      <c r="AU19" s="629">
        <f>+AU18/AU$3/24</f>
        <v>11.550892857142857</v>
      </c>
      <c r="AV19" s="627">
        <f>+AV18/(AV$3*24)</f>
        <v>13.203303608510861</v>
      </c>
      <c r="AW19" s="387">
        <f>+AW18/AW$3/24</f>
        <v>12.580314371257481</v>
      </c>
      <c r="AX19" s="887">
        <v>13.983273596176822</v>
      </c>
      <c r="AY19" s="629">
        <f>+AY18/AY$3/24</f>
        <v>13.083736559139785</v>
      </c>
      <c r="AZ19" s="643">
        <f>+AZ18/(AZ$3*24)</f>
        <v>13.981035665294923</v>
      </c>
      <c r="BA19" s="397">
        <f>+BA18/BA$3/24</f>
        <v>12.551342592592592</v>
      </c>
      <c r="BB19" s="885">
        <f>+BB18/(BB$3*24)</f>
        <v>13.970204178537513</v>
      </c>
      <c r="BC19" s="472">
        <f>+BC18/BC$3/24</f>
        <v>12.278296703296702</v>
      </c>
      <c r="BD19" s="627">
        <f>+BD18/(BD$3*24)</f>
        <v>13.269547634860572</v>
      </c>
      <c r="BE19" s="387">
        <f>+BE18/BE$3/24</f>
        <v>12.623070776255704</v>
      </c>
      <c r="BF19" s="491"/>
      <c r="BG19" s="491"/>
      <c r="BH19" s="23"/>
      <c r="BI19" s="23"/>
      <c r="BJ19" s="23"/>
    </row>
    <row r="20" spans="2:62" ht="16.2" thickBot="1" x14ac:dyDescent="0.35">
      <c r="B20" s="6327" t="s">
        <v>383</v>
      </c>
      <c r="C20" s="119" t="s">
        <v>374</v>
      </c>
      <c r="D20" s="562">
        <f>+D14+D16+D18</f>
        <v>30501.54506401674</v>
      </c>
      <c r="E20" s="630">
        <f>+E14+E16+E18</f>
        <v>37991.800000000003</v>
      </c>
      <c r="F20" s="562">
        <f>+F14+F16+F18</f>
        <v>27704.449370080889</v>
      </c>
      <c r="G20" s="630">
        <f>+G14+G16+G18</f>
        <v>23099.9</v>
      </c>
      <c r="H20" s="562">
        <f t="shared" ref="H20:I21" si="26">+H14+H16+H18</f>
        <v>58205.994434097629</v>
      </c>
      <c r="I20" s="630">
        <f t="shared" si="26"/>
        <v>61091.700000000004</v>
      </c>
      <c r="J20" s="5572">
        <f>+J14+J16+J18</f>
        <v>38443.313060934714</v>
      </c>
      <c r="K20" s="630">
        <f>+K14+K16+K18</f>
        <v>39300.399999999994</v>
      </c>
      <c r="L20" s="1460">
        <f t="shared" ref="L20:Q20" si="27">+L14+L16+L18</f>
        <v>96649.307495032335</v>
      </c>
      <c r="M20" s="1460">
        <f t="shared" si="27"/>
        <v>100392.09999999999</v>
      </c>
      <c r="N20" s="562">
        <f>+N14+N16+N18</f>
        <v>39910.513372167086</v>
      </c>
      <c r="O20" s="630">
        <f>+O14+O16+O18</f>
        <v>42763.700000000004</v>
      </c>
      <c r="P20" s="562">
        <f t="shared" si="27"/>
        <v>136559.82086719945</v>
      </c>
      <c r="Q20" s="562">
        <f t="shared" si="27"/>
        <v>143155.79999999999</v>
      </c>
      <c r="R20" s="562">
        <f>+R14+R16+R18</f>
        <v>39330.490682108619</v>
      </c>
      <c r="S20" s="630">
        <f>+S14+S16+S18</f>
        <v>41038.899999999994</v>
      </c>
      <c r="T20" s="562">
        <f t="shared" ref="T20:U20" si="28">+T14+T16+T18</f>
        <v>175890.31154930807</v>
      </c>
      <c r="U20" s="562">
        <f t="shared" si="28"/>
        <v>184194.69999999998</v>
      </c>
      <c r="V20" s="562">
        <f>+V14+V16+V18</f>
        <v>29457.71535890465</v>
      </c>
      <c r="W20" s="630">
        <f>+W14+W16+W18</f>
        <v>38265.4</v>
      </c>
      <c r="X20" s="1460">
        <f t="shared" ref="X20:Y20" si="29">+X14+X16+X18</f>
        <v>108698.71941318037</v>
      </c>
      <c r="Y20" s="1460">
        <f t="shared" si="29"/>
        <v>122068</v>
      </c>
      <c r="Z20" s="2111">
        <f t="shared" ref="Z20:AE20" si="30">+Z14+Z16+Z18</f>
        <v>205348.02690821269</v>
      </c>
      <c r="AA20" s="2111">
        <f t="shared" si="30"/>
        <v>222460.1</v>
      </c>
      <c r="AB20" s="562">
        <f>+AB14+AB16+AB18</f>
        <v>39486.904219020274</v>
      </c>
      <c r="AC20" s="630">
        <f>+AC14+AC16+AC18</f>
        <v>34346.299999999996</v>
      </c>
      <c r="AD20" s="562">
        <f t="shared" si="30"/>
        <v>244834.93112723299</v>
      </c>
      <c r="AE20" s="562">
        <f t="shared" si="30"/>
        <v>256806.39999999999</v>
      </c>
      <c r="AF20" s="562">
        <f>+AF14+AF16+AF18</f>
        <v>31321.58951897539</v>
      </c>
      <c r="AG20" s="630">
        <f>+AG14+AG16+AG18</f>
        <v>37636.700000000004</v>
      </c>
      <c r="AH20" s="562">
        <f t="shared" ref="AH20:AI21" si="31">+AH14+AH16+AH18</f>
        <v>276156.52064620837</v>
      </c>
      <c r="AI20" s="562">
        <f t="shared" si="31"/>
        <v>294443.09999999998</v>
      </c>
      <c r="AJ20" s="562">
        <f>+AJ14+AJ16+AJ18</f>
        <v>32337.111699331374</v>
      </c>
      <c r="AK20" s="630">
        <f>+AK14+AK16+AK18</f>
        <v>37124</v>
      </c>
      <c r="AL20" s="1460">
        <f t="shared" ref="AL20:AO20" si="32">+AL14+AL16+AL18</f>
        <v>103145.60543732705</v>
      </c>
      <c r="AM20" s="1460">
        <f t="shared" si="32"/>
        <v>109107</v>
      </c>
      <c r="AN20" s="562">
        <f t="shared" si="32"/>
        <v>308493.63234553975</v>
      </c>
      <c r="AO20" s="562">
        <f t="shared" si="32"/>
        <v>331567.09999999998</v>
      </c>
      <c r="AP20" s="562">
        <f>+AP14+AP16+AP18</f>
        <v>31663.576551385377</v>
      </c>
      <c r="AQ20" s="630">
        <f>+AQ14+AQ16+AQ18</f>
        <v>35634.300000000003</v>
      </c>
      <c r="AR20" s="562">
        <f t="shared" ref="AR20:AS20" si="33">+AR14+AR16+AR18</f>
        <v>340157.20889692515</v>
      </c>
      <c r="AS20" s="562">
        <f t="shared" si="33"/>
        <v>367201.4</v>
      </c>
      <c r="AT20" s="562">
        <f>+AT14+AT16+AT18</f>
        <v>28957.94281174543</v>
      </c>
      <c r="AU20" s="630">
        <f>+AU14+AU16+AU18</f>
        <v>30300.499999999996</v>
      </c>
      <c r="AV20" s="562">
        <f t="shared" ref="AV20:AW21" si="34">+AV14+AV16+AV18</f>
        <v>369115.15170867054</v>
      </c>
      <c r="AW20" s="562">
        <f t="shared" si="34"/>
        <v>397501.9</v>
      </c>
      <c r="AX20" s="562">
        <f>+AX14+AX16+AX18</f>
        <v>38558.395645938836</v>
      </c>
      <c r="AY20" s="630">
        <f>+AY14+AY16+AY18</f>
        <v>37147.199999999997</v>
      </c>
      <c r="AZ20" s="1460">
        <f t="shared" ref="AZ20:BE20" si="35">+AZ14+AZ16+AZ18</f>
        <v>99179.915009069649</v>
      </c>
      <c r="BA20" s="1460">
        <f t="shared" si="35"/>
        <v>103082</v>
      </c>
      <c r="BB20" s="2111">
        <f t="shared" si="35"/>
        <v>202325.52044639669</v>
      </c>
      <c r="BC20" s="2111">
        <f t="shared" si="35"/>
        <v>212189</v>
      </c>
      <c r="BD20" s="562">
        <f t="shared" si="35"/>
        <v>407673.54735460947</v>
      </c>
      <c r="BE20" s="562">
        <f t="shared" si="35"/>
        <v>434649.10000000003</v>
      </c>
      <c r="BF20" s="491"/>
      <c r="BG20" s="491"/>
      <c r="BH20" s="23"/>
      <c r="BI20" s="23"/>
      <c r="BJ20" s="23"/>
    </row>
    <row r="21" spans="2:62" ht="16.2" thickBot="1" x14ac:dyDescent="0.35">
      <c r="B21" s="6328"/>
      <c r="C21" s="5587" t="s">
        <v>373</v>
      </c>
      <c r="D21" s="5192">
        <f>+D15+D17+D19</f>
        <v>42.363257033356582</v>
      </c>
      <c r="E21" s="2835">
        <f>+E20/E$3/24</f>
        <v>52.766388888888891</v>
      </c>
      <c r="F21" s="5192">
        <f>+F15+F17+F19</f>
        <v>37.237163131829149</v>
      </c>
      <c r="G21" s="2835">
        <f>+G20/G$3/24</f>
        <v>31.048252688172045</v>
      </c>
      <c r="H21" s="2836">
        <f t="shared" si="26"/>
        <v>39.758192919465593</v>
      </c>
      <c r="I21" s="2837">
        <f>+I20/I$3/24</f>
        <v>41.729303278688526</v>
      </c>
      <c r="J21" s="5573">
        <v>53.393490362409324</v>
      </c>
      <c r="K21" s="2835">
        <f>+K20/K$3/24</f>
        <v>54.583888888888879</v>
      </c>
      <c r="L21" s="889">
        <f>+L15+L17+L19</f>
        <v>44.253345922633855</v>
      </c>
      <c r="M21" s="398">
        <f>+M20/M$3/24</f>
        <v>45.96707875457875</v>
      </c>
      <c r="N21" s="2834">
        <v>53.643163134633191</v>
      </c>
      <c r="O21" s="2835">
        <f>+O20/O$3/24</f>
        <v>57.478091397849475</v>
      </c>
      <c r="P21" s="888">
        <f>+P15+P17+P19</f>
        <v>46.639283083059922</v>
      </c>
      <c r="Q21" s="388">
        <f>+Q20/Q$3/24</f>
        <v>48.892008196721314</v>
      </c>
      <c r="R21" s="2834">
        <v>52.863562744769652</v>
      </c>
      <c r="S21" s="2835">
        <f>+S20/S$3/24</f>
        <v>55.159811827956986</v>
      </c>
      <c r="T21" s="888">
        <f>+T15+T17+T19</f>
        <v>47.900411641968425</v>
      </c>
      <c r="U21" s="388">
        <f>+U20/U$3/24</f>
        <v>50.161955337690621</v>
      </c>
      <c r="V21" s="2834">
        <v>40.91349355403424</v>
      </c>
      <c r="W21" s="2835">
        <f>+W20/W$3/24</f>
        <v>53.146388888888886</v>
      </c>
      <c r="X21" s="889">
        <f>+X15+X17+X19</f>
        <v>49.22949248785342</v>
      </c>
      <c r="Y21" s="398">
        <f>+Y20/Y$3/24</f>
        <v>55.284420289855071</v>
      </c>
      <c r="Z21" s="890">
        <f>+Z15+Z17+Z19</f>
        <v>46.75501523411036</v>
      </c>
      <c r="AA21" s="473">
        <f>+AA20/AA$3/24</f>
        <v>50.651206739526408</v>
      </c>
      <c r="AB21" s="2834">
        <v>53.073795993306831</v>
      </c>
      <c r="AC21" s="2835">
        <f>+AC20/AC$3/24</f>
        <v>46.1643817204301</v>
      </c>
      <c r="AD21" s="888">
        <f t="shared" ref="AD21" si="36">+AD15+AD17+AD19</f>
        <v>47.670352633807049</v>
      </c>
      <c r="AE21" s="388">
        <f>+AE20/AE$3/24</f>
        <v>50.001246105919002</v>
      </c>
      <c r="AF21" s="2834">
        <v>43.502207665243596</v>
      </c>
      <c r="AG21" s="2835">
        <f>+AG20/AG$3/24</f>
        <v>52.273194444444449</v>
      </c>
      <c r="AH21" s="888">
        <f t="shared" si="31"/>
        <v>47.157875793409907</v>
      </c>
      <c r="AI21" s="388">
        <f>+AI20/AI$3/24</f>
        <v>50.280584016393441</v>
      </c>
      <c r="AJ21" s="2834">
        <v>43.463859810929264</v>
      </c>
      <c r="AK21" s="2835">
        <f>+AK20/AK$3/24</f>
        <v>49.897849462365592</v>
      </c>
      <c r="AL21" s="889">
        <f>+AL15+AL17+AL19</f>
        <v>46.714495216180723</v>
      </c>
      <c r="AM21" s="398">
        <f>+AM20/AM$3/24</f>
        <v>49.414402173913039</v>
      </c>
      <c r="AN21" s="888">
        <f t="shared" ref="AN21" si="37">+AN15+AN17+AN19</f>
        <v>46.741459446293902</v>
      </c>
      <c r="AO21" s="388">
        <f>+AO20/AO$3/24</f>
        <v>50.23743939393939</v>
      </c>
      <c r="AP21" s="2834">
        <v>42.558570633582491</v>
      </c>
      <c r="AQ21" s="2835">
        <f>+AQ20/AQ$3/24</f>
        <v>47.895564516129035</v>
      </c>
      <c r="AR21" s="888">
        <f t="shared" ref="AR21" si="38">+AR15+AR17+AR19</f>
        <v>46.317702736509418</v>
      </c>
      <c r="AS21" s="388">
        <f>+AS20/AS$3/24</f>
        <v>50.000190631808287</v>
      </c>
      <c r="AT21" s="2834">
        <v>43.092176803192601</v>
      </c>
      <c r="AU21" s="2835">
        <f>+AU20/AU$3/24</f>
        <v>45.090029761904759</v>
      </c>
      <c r="AV21" s="888">
        <f t="shared" si="34"/>
        <v>46.047299364854112</v>
      </c>
      <c r="AW21" s="388">
        <f>+AW20/AW$3/24</f>
        <v>49.588560379241521</v>
      </c>
      <c r="AX21" s="2834">
        <v>51.825800599380159</v>
      </c>
      <c r="AY21" s="2835">
        <f>+AY20/AY$3/24</f>
        <v>49.929032258064517</v>
      </c>
      <c r="AZ21" s="889">
        <f>+AZ15+AZ17+AZ19</f>
        <v>45.91662731901372</v>
      </c>
      <c r="BA21" s="398">
        <f>+BA20/BA$3/24</f>
        <v>47.723148148148148</v>
      </c>
      <c r="BB21" s="890">
        <f>+BB15+BB17+BB19</f>
        <v>46.319945157142101</v>
      </c>
      <c r="BC21" s="473">
        <f>+BC20/BC$3/24</f>
        <v>48.578067765567766</v>
      </c>
      <c r="BD21" s="888">
        <f t="shared" ref="BD21" si="39">+BD15+BD17+BD19</f>
        <v>46.538076182033045</v>
      </c>
      <c r="BE21" s="388">
        <f>+BE20/BE$3/24</f>
        <v>49.617477168949769</v>
      </c>
      <c r="BF21" s="491"/>
      <c r="BG21" s="491"/>
      <c r="BH21" s="23"/>
      <c r="BI21" s="23"/>
      <c r="BJ21" s="23"/>
    </row>
    <row r="22" spans="2:62" ht="15.6" x14ac:dyDescent="0.3">
      <c r="B22" s="2810" t="s">
        <v>380</v>
      </c>
      <c r="C22" s="200" t="s">
        <v>374</v>
      </c>
      <c r="D22" s="891">
        <f>+D23*D3*24</f>
        <v>66149.249175846518</v>
      </c>
      <c r="E22" s="379">
        <f>+'POWER DISTRIBUTION'!J9/1000</f>
        <v>70648.0046</v>
      </c>
      <c r="F22" s="891">
        <f>+F23*F3*24</f>
        <v>66270.966121205915</v>
      </c>
      <c r="G22" s="379">
        <f>+'POWER DISTRIBUTION'!L9/1000</f>
        <v>51894.943749999882</v>
      </c>
      <c r="H22" s="697">
        <f>+D22+F22</f>
        <v>132420.21529705243</v>
      </c>
      <c r="I22" s="389">
        <f>+E22+G22</f>
        <v>122542.94834999988</v>
      </c>
      <c r="J22" s="5431">
        <f>+J23*J3*24</f>
        <v>74184.006236527115</v>
      </c>
      <c r="K22" s="379">
        <f>+'POWER DISTRIBUTION'!P9/1000</f>
        <v>70337.002999999997</v>
      </c>
      <c r="L22" s="698">
        <f>+H22+J22</f>
        <v>206604.22153357955</v>
      </c>
      <c r="M22" s="399">
        <f>E22+G22+K22</f>
        <v>192879.95134999987</v>
      </c>
      <c r="N22" s="891">
        <f>+N23*N3*24</f>
        <v>75590.793822003354</v>
      </c>
      <c r="O22" s="379">
        <f>+'POWER DISTRIBUTION'!T9/1000</f>
        <v>72496.939008000001</v>
      </c>
      <c r="P22" s="697">
        <f>+L22+N22</f>
        <v>282195.01535558293</v>
      </c>
      <c r="Q22" s="389">
        <f>+M22+O22</f>
        <v>265376.89035799989</v>
      </c>
      <c r="R22" s="891">
        <f>+R23*R3*24</f>
        <v>76170.816512061836</v>
      </c>
      <c r="S22" s="379">
        <f>+'POWER DISTRIBUTION'!X9/1000</f>
        <v>70569.001000000004</v>
      </c>
      <c r="T22" s="697">
        <f>+P22+R22</f>
        <v>358365.8318676448</v>
      </c>
      <c r="U22" s="389">
        <f>+Q22+S22</f>
        <v>335945.89135799988</v>
      </c>
      <c r="V22" s="891">
        <f>+V23*V3*24</f>
        <v>48990.915740339857</v>
      </c>
      <c r="W22" s="379">
        <f>+'POWER DISTRIBUTION'!AB9/1000</f>
        <v>70384.024999999994</v>
      </c>
      <c r="X22" s="698">
        <f t="shared" ref="X22:Y22" si="40">+N22+R22+V22</f>
        <v>200752.52607440506</v>
      </c>
      <c r="Y22" s="399">
        <f t="shared" si="40"/>
        <v>213449.965008</v>
      </c>
      <c r="Z22" s="700">
        <f>L22+X22</f>
        <v>407356.74760798458</v>
      </c>
      <c r="AA22" s="474">
        <f>M22+Y22</f>
        <v>406329.9163579999</v>
      </c>
      <c r="AB22" s="891">
        <f>+AB23*AB3*24</f>
        <v>76728.220008682707</v>
      </c>
      <c r="AC22" s="379">
        <f>+'POWER DISTRIBUTION'!AH9/1000</f>
        <v>64899.012600000002</v>
      </c>
      <c r="AD22" s="697">
        <f>+Z22+AB22</f>
        <v>484084.96761666727</v>
      </c>
      <c r="AE22" s="389">
        <f>+AA22+AC22</f>
        <v>471228.92895799992</v>
      </c>
      <c r="AF22" s="891">
        <f>+AF23*AF3*24</f>
        <v>81647.988132105151</v>
      </c>
      <c r="AG22" s="379">
        <f>+'POWER DISTRIBUTION'!AL9/1000</f>
        <v>69897</v>
      </c>
      <c r="AH22" s="697">
        <f>+AD22+AF22</f>
        <v>565732.95574877248</v>
      </c>
      <c r="AI22" s="389">
        <f>+AE22+AG22</f>
        <v>541125.92895799992</v>
      </c>
      <c r="AJ22" s="891">
        <f>+AJ23*AJ3*24</f>
        <v>84387.321428183874</v>
      </c>
      <c r="AK22" s="379">
        <f>+'POWER DISTRIBUTION'!AP9/1000</f>
        <v>71946</v>
      </c>
      <c r="AL22" s="698">
        <f t="shared" ref="AL22" si="41">+AB22+AF22+AJ22</f>
        <v>242763.52956897172</v>
      </c>
      <c r="AM22" s="399">
        <f t="shared" ref="AM22" si="42">+AC22+AG22+AK22</f>
        <v>206742.01260000002</v>
      </c>
      <c r="AN22" s="697">
        <f>+AH22+AJ22</f>
        <v>650120.27717695641</v>
      </c>
      <c r="AO22" s="389">
        <f>+AI22+AK22</f>
        <v>613071.92895799992</v>
      </c>
      <c r="AP22" s="891">
        <f>+AP23*AP3*24</f>
        <v>85772.115051552304</v>
      </c>
      <c r="AQ22" s="379">
        <f>+'POWER DISTRIBUTION'!AV9/1000</f>
        <v>73959.980409999989</v>
      </c>
      <c r="AR22" s="697">
        <f>+AN22+AP22</f>
        <v>735892.39222850872</v>
      </c>
      <c r="AS22" s="389">
        <f>+AO22+AQ22</f>
        <v>687031.90936799988</v>
      </c>
      <c r="AT22" s="891">
        <f>+AT23*AT3*24</f>
        <v>76675.2152146515</v>
      </c>
      <c r="AU22" s="379">
        <f>+'POWER DISTRIBUTION'!AZ9/1000</f>
        <v>66817.949699999997</v>
      </c>
      <c r="AV22" s="697">
        <f>+AR22+AT22</f>
        <v>812567.60744316026</v>
      </c>
      <c r="AW22" s="389">
        <f>+AS22+AU22</f>
        <v>753849.85906799987</v>
      </c>
      <c r="AX22" s="891">
        <f>+AX23*AX3*24</f>
        <v>79003.014426272726</v>
      </c>
      <c r="AY22" s="379">
        <f>+'POWER DISTRIBUTION'!BD9/1000</f>
        <v>73892.102150000093</v>
      </c>
      <c r="AZ22" s="698">
        <f t="shared" ref="AZ22" si="43">+AP22+AT22+AX22</f>
        <v>241450.3446924765</v>
      </c>
      <c r="BA22" s="399">
        <f t="shared" ref="BA22" si="44">+AQ22+AU22+AY22</f>
        <v>214670.03226000007</v>
      </c>
      <c r="BB22" s="700">
        <f>AL22+AZ22</f>
        <v>484213.87426144822</v>
      </c>
      <c r="BC22" s="474">
        <f>AM22+BA22</f>
        <v>421412.04486000008</v>
      </c>
      <c r="BD22" s="697">
        <f>+AV22+AX22</f>
        <v>891570.62186943297</v>
      </c>
      <c r="BE22" s="389">
        <f>+AW22+AY22</f>
        <v>827741.96121799992</v>
      </c>
      <c r="BF22" s="491"/>
      <c r="BG22" s="491"/>
      <c r="BH22" s="23"/>
      <c r="BI22" s="23"/>
      <c r="BJ22" s="23"/>
    </row>
    <row r="23" spans="2:62" ht="16.2" thickBot="1" x14ac:dyDescent="0.35">
      <c r="B23" s="5588" t="s">
        <v>381</v>
      </c>
      <c r="C23" s="380" t="s">
        <v>373</v>
      </c>
      <c r="D23" s="5589">
        <v>91.873957188675718</v>
      </c>
      <c r="E23" s="333">
        <f>+E22/E$3/24</f>
        <v>98.122228611111112</v>
      </c>
      <c r="F23" s="5589">
        <v>89.073879195169255</v>
      </c>
      <c r="G23" s="333">
        <f>+G22/G$3/24</f>
        <v>69.751268481182635</v>
      </c>
      <c r="H23" s="390">
        <f>+H22/H$3/24</f>
        <v>90.450966732959316</v>
      </c>
      <c r="I23" s="390">
        <f>+I22/I$3/24</f>
        <v>83.704199692622865</v>
      </c>
      <c r="J23" s="5574">
        <v>103.03334199517656</v>
      </c>
      <c r="K23" s="333">
        <f>+K22/K$3/24</f>
        <v>97.690281944444436</v>
      </c>
      <c r="L23" s="400">
        <f>+L22/L$3/24</f>
        <v>94.599002533690268</v>
      </c>
      <c r="M23" s="400">
        <f>+M22/M$3/24</f>
        <v>88.31499603937722</v>
      </c>
      <c r="N23" s="892">
        <v>101.60052933064966</v>
      </c>
      <c r="O23" s="333">
        <f>+O22/O$3/24</f>
        <v>97.442122322580644</v>
      </c>
      <c r="P23" s="390">
        <f>+P22/P$3/24</f>
        <v>96.378079014884875</v>
      </c>
      <c r="Q23" s="390">
        <f>+Q22/Q$3/24</f>
        <v>90.634183865437123</v>
      </c>
      <c r="R23" s="892">
        <v>102.38012972051321</v>
      </c>
      <c r="S23" s="333">
        <f>+S22/S$3/24</f>
        <v>94.850807795698927</v>
      </c>
      <c r="T23" s="390">
        <f>+T22/T$3/24</f>
        <v>97.594180791842277</v>
      </c>
      <c r="U23" s="390">
        <f>+U22/U$3/24</f>
        <v>91.488532504901926</v>
      </c>
      <c r="V23" s="892">
        <v>68.042938528249806</v>
      </c>
      <c r="W23" s="333">
        <f>+W22/W$3/24</f>
        <v>97.755590277777756</v>
      </c>
      <c r="X23" s="400">
        <f>+X22/X$3/24</f>
        <v>90.920528113408082</v>
      </c>
      <c r="Y23" s="400">
        <f>+Y22/Y$3/24</f>
        <v>96.67117980434783</v>
      </c>
      <c r="Z23" s="475">
        <f>+Z22/Z$3/24</f>
        <v>92.749714846991026</v>
      </c>
      <c r="AA23" s="475">
        <f>+AA22/AA$3/24</f>
        <v>92.515919025045505</v>
      </c>
      <c r="AB23" s="892">
        <v>103.12932796865955</v>
      </c>
      <c r="AC23" s="333">
        <f>+AC22/AC$3/24</f>
        <v>87.229855645161294</v>
      </c>
      <c r="AD23" s="390">
        <f>+AD22/AD$3/24</f>
        <v>94.253303663681322</v>
      </c>
      <c r="AE23" s="390">
        <f>+AE22/AE$3/24</f>
        <v>91.750180871884723</v>
      </c>
      <c r="AF23" s="892">
        <v>113.39998351681271</v>
      </c>
      <c r="AG23" s="333">
        <f>+AG22/AG$3/24</f>
        <v>97.079166666666666</v>
      </c>
      <c r="AH23" s="390">
        <f>+AH22/AH$3/24</f>
        <v>96.60740364562372</v>
      </c>
      <c r="AI23" s="390">
        <f>+AI22/AI$3/24</f>
        <v>92.405384043374298</v>
      </c>
      <c r="AJ23" s="892">
        <v>113.42381912390304</v>
      </c>
      <c r="AK23" s="333">
        <f>+AK22/AK$3/24</f>
        <v>96.701612903225808</v>
      </c>
      <c r="AL23" s="400">
        <f>+AL22/AL$3/24</f>
        <v>109.94725071058502</v>
      </c>
      <c r="AM23" s="400">
        <f>+AM22/AM$3/24</f>
        <v>93.633157880434794</v>
      </c>
      <c r="AN23" s="390">
        <f>+AN22/AN$3/24</f>
        <v>98.503072299538857</v>
      </c>
      <c r="AO23" s="390">
        <f>+AO22/AO$3/24</f>
        <v>92.88968620575757</v>
      </c>
      <c r="AP23" s="892">
        <v>115.28510087574236</v>
      </c>
      <c r="AQ23" s="333">
        <f>+AQ22/AQ$3/24</f>
        <v>99.408575819892462</v>
      </c>
      <c r="AR23" s="390">
        <f>+AR22/AR$3/24</f>
        <v>100.20321244941567</v>
      </c>
      <c r="AS23" s="390">
        <f>+AS22/AS$3/24</f>
        <v>93.550096591503248</v>
      </c>
      <c r="AT23" s="892">
        <v>114.10002264085044</v>
      </c>
      <c r="AU23" s="333">
        <f>+AU22/AU$3/24</f>
        <v>99.431472767857144</v>
      </c>
      <c r="AV23" s="390">
        <f>+AV22/AV$3/24</f>
        <v>101.36821450139225</v>
      </c>
      <c r="AW23" s="390">
        <f>+AW22/AW$3/24</f>
        <v>94.043146091317354</v>
      </c>
      <c r="AX23" s="892">
        <v>106.18684734714077</v>
      </c>
      <c r="AY23" s="333">
        <f>+AY22/AY$3/24</f>
        <v>99.317341599462495</v>
      </c>
      <c r="AZ23" s="400">
        <f t="shared" ref="AZ23:BE23" si="45">+AZ22/AZ$3/24</f>
        <v>111.78256698725765</v>
      </c>
      <c r="BA23" s="400">
        <f t="shared" si="45"/>
        <v>99.384274194444473</v>
      </c>
      <c r="BB23" s="475">
        <f t="shared" si="45"/>
        <v>110.85482469355499</v>
      </c>
      <c r="BC23" s="475">
        <f t="shared" si="45"/>
        <v>96.477116497252766</v>
      </c>
      <c r="BD23" s="390">
        <f t="shared" si="45"/>
        <v>101.77746824993527</v>
      </c>
      <c r="BE23" s="390">
        <f t="shared" si="45"/>
        <v>94.491091463242</v>
      </c>
      <c r="BF23" s="491"/>
      <c r="BG23" s="491"/>
      <c r="BH23" s="23"/>
      <c r="BI23" s="23"/>
      <c r="BJ23" s="23"/>
    </row>
    <row r="24" spans="2:62" ht="17.399999999999999" x14ac:dyDescent="0.3">
      <c r="B24" s="2811" t="s">
        <v>436</v>
      </c>
      <c r="C24" s="118" t="s">
        <v>374</v>
      </c>
      <c r="D24" s="563">
        <f t="shared" ref="D24:K24" si="46">+D20+D22</f>
        <v>96650.794239863259</v>
      </c>
      <c r="E24" s="631">
        <f t="shared" si="46"/>
        <v>108639.8046</v>
      </c>
      <c r="F24" s="563">
        <f t="shared" ref="F24:G24" si="47">+F20+F22</f>
        <v>93975.415491286811</v>
      </c>
      <c r="G24" s="631">
        <f t="shared" si="47"/>
        <v>74994.843749999884</v>
      </c>
      <c r="H24" s="563">
        <f t="shared" si="46"/>
        <v>190626.20973115007</v>
      </c>
      <c r="I24" s="631">
        <f t="shared" si="46"/>
        <v>183634.64834999989</v>
      </c>
      <c r="J24" s="893">
        <f t="shared" si="46"/>
        <v>112627.31929746183</v>
      </c>
      <c r="K24" s="631">
        <f t="shared" si="46"/>
        <v>109637.40299999999</v>
      </c>
      <c r="L24" s="1459">
        <f t="shared" ref="L24:O25" si="48">+L20+L22</f>
        <v>303253.5290286119</v>
      </c>
      <c r="M24" s="1459">
        <f t="shared" si="48"/>
        <v>293272.05134999985</v>
      </c>
      <c r="N24" s="563">
        <f t="shared" si="48"/>
        <v>115501.30719417044</v>
      </c>
      <c r="O24" s="631">
        <f t="shared" si="48"/>
        <v>115260.639008</v>
      </c>
      <c r="P24" s="563">
        <f t="shared" ref="P24:S25" si="49">+P20+P22</f>
        <v>418754.83622278238</v>
      </c>
      <c r="Q24" s="563">
        <f t="shared" si="49"/>
        <v>408532.69035799988</v>
      </c>
      <c r="R24" s="563">
        <f t="shared" si="49"/>
        <v>115501.30719417045</v>
      </c>
      <c r="S24" s="631">
        <f t="shared" si="49"/>
        <v>111607.901</v>
      </c>
      <c r="T24" s="563">
        <f t="shared" ref="T24:W24" si="50">+T20+T22</f>
        <v>534256.14341695281</v>
      </c>
      <c r="U24" s="563">
        <f t="shared" si="50"/>
        <v>520140.59135799983</v>
      </c>
      <c r="V24" s="563">
        <f t="shared" si="50"/>
        <v>78448.631099244507</v>
      </c>
      <c r="W24" s="631">
        <f t="shared" si="50"/>
        <v>108649.42499999999</v>
      </c>
      <c r="X24" s="1459">
        <f t="shared" ref="X24:Y24" si="51">+X20+X22</f>
        <v>309451.24548758543</v>
      </c>
      <c r="Y24" s="1459">
        <f t="shared" si="51"/>
        <v>335517.96500800003</v>
      </c>
      <c r="Z24" s="2112">
        <f t="shared" ref="Z24:AC24" si="52">+Z20+Z22</f>
        <v>612704.77451619727</v>
      </c>
      <c r="AA24" s="2112">
        <f t="shared" si="52"/>
        <v>628790.01635799988</v>
      </c>
      <c r="AB24" s="563">
        <f t="shared" si="52"/>
        <v>116215.12422770298</v>
      </c>
      <c r="AC24" s="631">
        <f t="shared" si="52"/>
        <v>99245.312600000005</v>
      </c>
      <c r="AD24" s="563">
        <f t="shared" ref="AD24:AG24" si="53">+AD20+AD22</f>
        <v>728919.89874390024</v>
      </c>
      <c r="AE24" s="563">
        <f t="shared" si="53"/>
        <v>728035.32895799994</v>
      </c>
      <c r="AF24" s="563">
        <f t="shared" si="53"/>
        <v>112969.57765108054</v>
      </c>
      <c r="AG24" s="631">
        <f t="shared" si="53"/>
        <v>107533.70000000001</v>
      </c>
      <c r="AH24" s="563">
        <f t="shared" ref="AH24:AK24" si="54">+AH20+AH22</f>
        <v>841889.47639498091</v>
      </c>
      <c r="AI24" s="563">
        <f t="shared" si="54"/>
        <v>835569.02895799989</v>
      </c>
      <c r="AJ24" s="563">
        <f t="shared" si="54"/>
        <v>116724.43312751525</v>
      </c>
      <c r="AK24" s="631">
        <f t="shared" si="54"/>
        <v>109070</v>
      </c>
      <c r="AL24" s="1459">
        <f t="shared" ref="AL24:AS25" si="55">+AL20+AL22</f>
        <v>345909.13500629878</v>
      </c>
      <c r="AM24" s="1459">
        <f t="shared" si="55"/>
        <v>315849.01260000002</v>
      </c>
      <c r="AN24" s="563">
        <f t="shared" si="55"/>
        <v>958613.90952249616</v>
      </c>
      <c r="AO24" s="563">
        <f t="shared" si="55"/>
        <v>944639.02895799989</v>
      </c>
      <c r="AP24" s="563">
        <f t="shared" si="55"/>
        <v>117435.69160293767</v>
      </c>
      <c r="AQ24" s="631">
        <f t="shared" si="55"/>
        <v>109594.28040999999</v>
      </c>
      <c r="AR24" s="563">
        <f t="shared" si="55"/>
        <v>1076049.6011254338</v>
      </c>
      <c r="AS24" s="563">
        <f t="shared" si="55"/>
        <v>1054233.3093679999</v>
      </c>
      <c r="AT24" s="563">
        <f t="shared" ref="AT24:AU24" si="56">+AT20+AT22</f>
        <v>105633.15802639694</v>
      </c>
      <c r="AU24" s="631">
        <f t="shared" si="56"/>
        <v>97118.449699999997</v>
      </c>
      <c r="AV24" s="563">
        <f t="shared" ref="AV24:AY24" si="57">+AV20+AV22</f>
        <v>1181682.7591518308</v>
      </c>
      <c r="AW24" s="563">
        <f t="shared" si="57"/>
        <v>1151351.7590679999</v>
      </c>
      <c r="AX24" s="563">
        <f t="shared" si="57"/>
        <v>117561.41007221155</v>
      </c>
      <c r="AY24" s="631">
        <f t="shared" si="57"/>
        <v>111039.30215000009</v>
      </c>
      <c r="AZ24" s="1459">
        <f t="shared" ref="AZ24:BE24" si="58">+AZ20+AZ22</f>
        <v>340630.25970154617</v>
      </c>
      <c r="BA24" s="1459">
        <f t="shared" si="58"/>
        <v>317752.03226000007</v>
      </c>
      <c r="BB24" s="2112">
        <f t="shared" si="58"/>
        <v>686539.39470784494</v>
      </c>
      <c r="BC24" s="2112">
        <f t="shared" si="58"/>
        <v>633601.04486000002</v>
      </c>
      <c r="BD24" s="563">
        <f t="shared" si="58"/>
        <v>1299244.1692240424</v>
      </c>
      <c r="BE24" s="563">
        <f t="shared" si="58"/>
        <v>1262391.061218</v>
      </c>
      <c r="BF24" s="491"/>
      <c r="BG24" s="491"/>
      <c r="BH24" s="23"/>
      <c r="BI24" s="23"/>
      <c r="BJ24" s="23"/>
    </row>
    <row r="25" spans="2:62" ht="18" thickBot="1" x14ac:dyDescent="0.35">
      <c r="B25" s="5590" t="s">
        <v>437</v>
      </c>
      <c r="C25" s="18" t="s">
        <v>373</v>
      </c>
      <c r="D25" s="5591">
        <f>+D21+D23</f>
        <v>134.23721422203229</v>
      </c>
      <c r="E25" s="5591">
        <f>+E21+E23</f>
        <v>150.88861750000001</v>
      </c>
      <c r="F25" s="5591">
        <f>+F21+F23</f>
        <v>126.3110423269984</v>
      </c>
      <c r="G25" s="5591">
        <f>+G21+G23</f>
        <v>100.79952116935468</v>
      </c>
      <c r="H25" s="5604">
        <f>+H21+H23</f>
        <v>130.20915965242492</v>
      </c>
      <c r="I25" s="391">
        <f>+I24/I$3/24</f>
        <v>125.4335029713114</v>
      </c>
      <c r="J25" s="5575">
        <f>+J21+J23</f>
        <v>156.42683235758588</v>
      </c>
      <c r="K25" s="664">
        <f>+K21+K23</f>
        <v>152.2741708333333</v>
      </c>
      <c r="L25" s="2113">
        <f t="shared" si="48"/>
        <v>138.85234845632414</v>
      </c>
      <c r="M25" s="401">
        <f>+M24/M$3/24</f>
        <v>134.28207479395596</v>
      </c>
      <c r="N25" s="664">
        <f>+N21+N23</f>
        <v>155.24369246528286</v>
      </c>
      <c r="O25" s="664">
        <f>+O21+O23</f>
        <v>154.92021372043013</v>
      </c>
      <c r="P25" s="626">
        <f t="shared" si="49"/>
        <v>143.01736209794478</v>
      </c>
      <c r="Q25" s="391">
        <f>+Q24/Q$3/24</f>
        <v>139.52619206215843</v>
      </c>
      <c r="R25" s="664">
        <f>+R21+R23</f>
        <v>155.24369246528286</v>
      </c>
      <c r="S25" s="664">
        <f>+S21+S23</f>
        <v>150.01061962365591</v>
      </c>
      <c r="T25" s="626">
        <f t="shared" ref="T25" si="59">+T21+T23</f>
        <v>145.49459243381071</v>
      </c>
      <c r="U25" s="391">
        <f>+U24/U$3/24</f>
        <v>141.65048784259255</v>
      </c>
      <c r="V25" s="664">
        <f>+V21+V23</f>
        <v>108.95643208228404</v>
      </c>
      <c r="W25" s="664">
        <f>+W21+W23</f>
        <v>150.90197916666665</v>
      </c>
      <c r="X25" s="2113">
        <f t="shared" ref="X25" si="60">+X21+X23</f>
        <v>140.1500206012615</v>
      </c>
      <c r="Y25" s="401">
        <f>+Y24/Y$3/24</f>
        <v>151.95560009420291</v>
      </c>
      <c r="Z25" s="2114">
        <f>+Z21+Z23</f>
        <v>139.5047300811014</v>
      </c>
      <c r="AA25" s="476">
        <f>+AA24/AA$3/24</f>
        <v>143.16712576457192</v>
      </c>
      <c r="AB25" s="664">
        <f>+AB21+AB23</f>
        <v>156.20312396196638</v>
      </c>
      <c r="AC25" s="664">
        <f>+AC21+AC23</f>
        <v>133.39423736559138</v>
      </c>
      <c r="AD25" s="626">
        <f>+AD21+AD23</f>
        <v>141.92365629748838</v>
      </c>
      <c r="AE25" s="391">
        <f>+AE24/AE$3/24</f>
        <v>141.75142697780373</v>
      </c>
      <c r="AF25" s="664">
        <f>+AF21+AF23</f>
        <v>156.9021911820563</v>
      </c>
      <c r="AG25" s="664">
        <f>+AG21+AG23</f>
        <v>149.35236111111112</v>
      </c>
      <c r="AH25" s="626">
        <f>+AH21+AH23</f>
        <v>143.76527943903363</v>
      </c>
      <c r="AI25" s="391">
        <f>+AI24/AI$3/24</f>
        <v>142.68596805976776</v>
      </c>
      <c r="AJ25" s="664">
        <f>+AJ21+AJ23</f>
        <v>156.88767893483231</v>
      </c>
      <c r="AK25" s="664">
        <f>+AK21+AK23</f>
        <v>146.59946236559139</v>
      </c>
      <c r="AL25" s="2113">
        <f t="shared" si="55"/>
        <v>156.66174592676575</v>
      </c>
      <c r="AM25" s="401">
        <f>+AM24/AM$3/24</f>
        <v>143.04756005434783</v>
      </c>
      <c r="AN25" s="626">
        <f>+AN21+AN23</f>
        <v>145.24453174583277</v>
      </c>
      <c r="AO25" s="391">
        <f>+AO24/AO$3/24</f>
        <v>143.12712559969694</v>
      </c>
      <c r="AP25" s="664">
        <f>+AP21+AP23</f>
        <v>157.84367150932485</v>
      </c>
      <c r="AQ25" s="664">
        <f>+AQ21+AQ23</f>
        <v>147.3041403360215</v>
      </c>
      <c r="AR25" s="626">
        <f>+AR21+AR23</f>
        <v>146.52091518592511</v>
      </c>
      <c r="AS25" s="391">
        <f>+AS24/AS$3/24</f>
        <v>143.55028722331153</v>
      </c>
      <c r="AT25" s="664">
        <f>+AT21+AT23</f>
        <v>157.19219944404304</v>
      </c>
      <c r="AU25" s="664">
        <f>+AU21+AU23</f>
        <v>144.5215025297619</v>
      </c>
      <c r="AV25" s="626">
        <f>+AV21+AV23</f>
        <v>147.41551386624636</v>
      </c>
      <c r="AW25" s="391">
        <f>+AW24/AW$3/24</f>
        <v>143.63170647055887</v>
      </c>
      <c r="AX25" s="664">
        <f>+AX21+AX23</f>
        <v>158.01264794652093</v>
      </c>
      <c r="AY25" s="664">
        <f>+AY21+AY23</f>
        <v>149.246373857527</v>
      </c>
      <c r="AZ25" s="2405">
        <f t="shared" ref="AZ25" si="61">+AZ21+AZ23</f>
        <v>157.69919430627138</v>
      </c>
      <c r="BA25" s="2406">
        <f>+BA24/BA$3/24</f>
        <v>147.10742234259263</v>
      </c>
      <c r="BB25" s="2407">
        <f>+BB21+BB23</f>
        <v>157.17476985069709</v>
      </c>
      <c r="BC25" s="2408">
        <f>+BC24/BC$3/24</f>
        <v>145.05518426282052</v>
      </c>
      <c r="BD25" s="2409">
        <f>+BD21+BD23</f>
        <v>148.31554443196831</v>
      </c>
      <c r="BE25" s="2404">
        <f>+BE24/BE$3/24</f>
        <v>144.10856863219178</v>
      </c>
      <c r="BF25" s="491"/>
      <c r="BG25" s="491"/>
      <c r="BH25" s="23"/>
      <c r="BI25" s="23"/>
      <c r="BJ25" s="23"/>
    </row>
    <row r="26" spans="2:62" ht="15" thickBot="1" x14ac:dyDescent="0.35">
      <c r="B26" s="2812" t="s">
        <v>384</v>
      </c>
      <c r="C26" s="6"/>
      <c r="D26" s="894"/>
      <c r="E26" s="632"/>
      <c r="F26" s="894"/>
      <c r="G26" s="632"/>
      <c r="H26" s="6"/>
      <c r="I26" s="632"/>
      <c r="J26" s="5576"/>
      <c r="K26" s="632"/>
      <c r="L26" s="6"/>
      <c r="M26" s="6"/>
      <c r="N26" s="894"/>
      <c r="O26" s="632"/>
      <c r="P26" s="6"/>
      <c r="Q26" s="6"/>
      <c r="R26" s="894"/>
      <c r="S26" s="632"/>
      <c r="T26" s="6"/>
      <c r="U26" s="6"/>
      <c r="V26" s="894"/>
      <c r="W26" s="632"/>
      <c r="X26" s="6"/>
      <c r="Y26" s="6"/>
      <c r="Z26" s="2117"/>
      <c r="AA26" s="2117"/>
      <c r="AB26" s="894"/>
      <c r="AC26" s="632"/>
      <c r="AD26" s="6"/>
      <c r="AE26" s="6"/>
      <c r="AF26" s="894"/>
      <c r="AG26" s="632"/>
      <c r="AH26" s="6"/>
      <c r="AI26" s="6"/>
      <c r="AJ26" s="894"/>
      <c r="AK26" s="632"/>
      <c r="AL26" s="6"/>
      <c r="AM26" s="6"/>
      <c r="AN26" s="6"/>
      <c r="AO26" s="6"/>
      <c r="AP26" s="894"/>
      <c r="AQ26" s="632"/>
      <c r="AR26" s="6"/>
      <c r="AS26" s="6"/>
      <c r="AT26" s="894"/>
      <c r="AU26" s="632"/>
      <c r="AV26" s="6"/>
      <c r="AW26" s="6"/>
      <c r="AX26" s="894"/>
      <c r="AY26" s="632"/>
      <c r="AZ26" s="6"/>
      <c r="BA26" s="6"/>
      <c r="BB26" s="2117"/>
      <c r="BC26" s="2117"/>
      <c r="BD26" s="6"/>
      <c r="BE26" s="6"/>
      <c r="BF26" s="491"/>
      <c r="BG26" s="491"/>
      <c r="BH26" s="23"/>
      <c r="BI26" s="23"/>
      <c r="BJ26" s="23"/>
    </row>
    <row r="27" spans="2:62" x14ac:dyDescent="0.3">
      <c r="B27" s="4046" t="s">
        <v>63</v>
      </c>
      <c r="C27" s="5592" t="s">
        <v>66</v>
      </c>
      <c r="D27" s="5593">
        <f>D35*D3*24</f>
        <v>159891.2197259879</v>
      </c>
      <c r="E27" s="4033">
        <v>209516.88000000003</v>
      </c>
      <c r="F27" s="5593">
        <f>F35*F3*24</f>
        <v>145228.29016064663</v>
      </c>
      <c r="G27" s="4033">
        <v>131866.56</v>
      </c>
      <c r="H27" s="5594">
        <f>+D27+F27</f>
        <v>305119.50988663454</v>
      </c>
      <c r="I27" s="4025">
        <f>+E27+G27</f>
        <v>341383.44000000006</v>
      </c>
      <c r="J27" s="5394">
        <f>J35*J3*24</f>
        <v>219678.40370610653</v>
      </c>
      <c r="K27" s="17">
        <v>206451.84000000003</v>
      </c>
      <c r="L27" s="698">
        <f t="shared" ref="L27:L28" si="62">+H27+J27</f>
        <v>524797.91359274113</v>
      </c>
      <c r="M27" s="394">
        <f t="shared" ref="M27:M28" si="63">+I27+K27</f>
        <v>547835.28</v>
      </c>
      <c r="N27" s="143">
        <f>N35*N3*24</f>
        <v>228279.40518446034</v>
      </c>
      <c r="O27" s="17">
        <v>218006.16</v>
      </c>
      <c r="P27" s="57">
        <f>+L27+N27</f>
        <v>753077.31877720146</v>
      </c>
      <c r="Q27" s="202">
        <f>+M27+O27</f>
        <v>765841.44000000006</v>
      </c>
      <c r="R27" s="143">
        <f>R35*R3*24</f>
        <v>225838.32518446038</v>
      </c>
      <c r="S27" s="17">
        <v>209120.88</v>
      </c>
      <c r="T27" s="57">
        <f>+P27+R27</f>
        <v>978915.64396166184</v>
      </c>
      <c r="U27" s="202">
        <f>+Q27+S27</f>
        <v>974962.32000000007</v>
      </c>
      <c r="V27" s="143">
        <f>V35*V3*24</f>
        <v>163918.51348963828</v>
      </c>
      <c r="W27" s="17">
        <v>199066.56000000003</v>
      </c>
      <c r="X27" s="68">
        <f t="shared" ref="X27:Y28" si="64">+N27+R27+V27</f>
        <v>618036.24385855906</v>
      </c>
      <c r="Y27" s="488">
        <f t="shared" si="64"/>
        <v>626193.60000000009</v>
      </c>
      <c r="Z27" s="659">
        <f>L27+X27</f>
        <v>1142834.1574513002</v>
      </c>
      <c r="AA27" s="422">
        <f>M27+Y27</f>
        <v>1174028.8800000001</v>
      </c>
      <c r="AB27" s="143">
        <f>AB35*AB3*24</f>
        <v>225947.07652182781</v>
      </c>
      <c r="AC27" s="17">
        <v>180510.72</v>
      </c>
      <c r="AD27" s="57">
        <f>+Z27+AB27</f>
        <v>1368781.233973128</v>
      </c>
      <c r="AE27" s="202">
        <f>+AA27+AC27</f>
        <v>1354539.6</v>
      </c>
      <c r="AF27" s="143">
        <f>AF35*AF3*24</f>
        <v>185850.21688179977</v>
      </c>
      <c r="AG27" s="17">
        <v>197251.20000000001</v>
      </c>
      <c r="AH27" s="57">
        <f>+AD27+AF27</f>
        <v>1554631.4508549278</v>
      </c>
      <c r="AI27" s="202">
        <f>+AE27+AG27</f>
        <v>1551790.8</v>
      </c>
      <c r="AJ27" s="143">
        <f>AJ35*AJ3*24</f>
        <v>191985.5620533055</v>
      </c>
      <c r="AK27" s="17">
        <v>203551.92</v>
      </c>
      <c r="AL27" s="68">
        <f t="shared" ref="AL27:AL28" si="65">+AB27+AF27+AJ27</f>
        <v>603782.85545693315</v>
      </c>
      <c r="AM27" s="488">
        <f t="shared" ref="AM27:AM28" si="66">+AC27+AG27+AK27</f>
        <v>581313.84000000008</v>
      </c>
      <c r="AN27" s="57">
        <f>+AH27+AJ27</f>
        <v>1746617.0129082333</v>
      </c>
      <c r="AO27" s="202">
        <f>+AI27+AK27</f>
        <v>1755342.72</v>
      </c>
      <c r="AP27" s="143">
        <f>AP35*AP3*24</f>
        <v>188677.89973019162</v>
      </c>
      <c r="AQ27" s="17">
        <v>197320.08</v>
      </c>
      <c r="AR27" s="57">
        <f>+AN27+AP27</f>
        <v>1935294.9126384249</v>
      </c>
      <c r="AS27" s="202">
        <f>+AO27+AQ27</f>
        <v>1952662.8</v>
      </c>
      <c r="AT27" s="143">
        <f>AT35*AT3*24</f>
        <v>172144.98020764263</v>
      </c>
      <c r="AU27" s="17">
        <v>169245.6</v>
      </c>
      <c r="AV27" s="57">
        <f>+AR27+AT27</f>
        <v>2107439.8928460674</v>
      </c>
      <c r="AW27" s="202">
        <f>+AS27+AU27</f>
        <v>2121908.4</v>
      </c>
      <c r="AX27" s="143">
        <f>AX35*AX3*24</f>
        <v>221428.29042932059</v>
      </c>
      <c r="AY27" s="17">
        <v>205252.8</v>
      </c>
      <c r="AZ27" s="68">
        <f t="shared" ref="AZ27:AZ28" si="67">+AP27+AT27+AX27</f>
        <v>582251.17036715476</v>
      </c>
      <c r="BA27" s="488">
        <f t="shared" ref="BA27:BA28" si="68">+AQ27+AU27+AY27</f>
        <v>571818.48</v>
      </c>
      <c r="BB27" s="659">
        <f>AL27+AZ27</f>
        <v>1186034.0258240879</v>
      </c>
      <c r="BC27" s="422">
        <f>AM27+BA27</f>
        <v>1153132.32</v>
      </c>
      <c r="BD27" s="57">
        <f>+AV27+AX27</f>
        <v>2328868.1832753881</v>
      </c>
      <c r="BE27" s="202">
        <f>+AW27+AY27</f>
        <v>2327161.1999999997</v>
      </c>
      <c r="BF27" s="491"/>
      <c r="BG27" s="491"/>
      <c r="BH27" s="23"/>
      <c r="BI27" s="23"/>
      <c r="BJ27" s="23"/>
    </row>
    <row r="28" spans="2:62" ht="15" thickBot="1" x14ac:dyDescent="0.35">
      <c r="B28" s="2813" t="s">
        <v>56</v>
      </c>
      <c r="C28" s="5595" t="s">
        <v>66</v>
      </c>
      <c r="D28" s="1200">
        <f>D36*D3*24</f>
        <v>45360</v>
      </c>
      <c r="E28" s="4033">
        <v>43263.359999999986</v>
      </c>
      <c r="F28" s="1200">
        <f>F36*F3*24</f>
        <v>46872</v>
      </c>
      <c r="G28" s="4033">
        <v>42931.200000000012</v>
      </c>
      <c r="H28" s="5594">
        <f>+D28+F28</f>
        <v>92232</v>
      </c>
      <c r="I28" s="4025">
        <f>+E28+G28</f>
        <v>86194.559999999998</v>
      </c>
      <c r="J28" s="4008">
        <f>J36*J3*24</f>
        <v>45360</v>
      </c>
      <c r="K28" s="17">
        <v>46415.839999999989</v>
      </c>
      <c r="L28" s="698">
        <f t="shared" si="62"/>
        <v>137592</v>
      </c>
      <c r="M28" s="394">
        <f t="shared" si="63"/>
        <v>132610.4</v>
      </c>
      <c r="N28" s="1200">
        <f>N36*N3*24</f>
        <v>46872</v>
      </c>
      <c r="O28" s="17">
        <v>48772.800000000003</v>
      </c>
      <c r="P28" s="57">
        <f>+L28+N28</f>
        <v>184464</v>
      </c>
      <c r="Q28" s="202">
        <f>+M28+O28</f>
        <v>181383.2</v>
      </c>
      <c r="R28" s="1200">
        <f>R36*R3*24</f>
        <v>46872</v>
      </c>
      <c r="S28" s="17">
        <v>50068</v>
      </c>
      <c r="T28" s="57">
        <f>+P28+R28</f>
        <v>231336</v>
      </c>
      <c r="U28" s="202">
        <f>+Q28+S28</f>
        <v>231451.2</v>
      </c>
      <c r="V28" s="1200">
        <f>V36*V3*24</f>
        <v>45360</v>
      </c>
      <c r="W28" s="17">
        <v>45636.799999999988</v>
      </c>
      <c r="X28" s="68">
        <f t="shared" si="64"/>
        <v>139104</v>
      </c>
      <c r="Y28" s="488">
        <f t="shared" si="64"/>
        <v>144477.59999999998</v>
      </c>
      <c r="Z28" s="667">
        <f>L28+X28</f>
        <v>276696</v>
      </c>
      <c r="AA28" s="423">
        <f>M28+Y28</f>
        <v>277088</v>
      </c>
      <c r="AB28" s="1200">
        <f>AB36*AB3*24</f>
        <v>46872</v>
      </c>
      <c r="AC28" s="17">
        <v>46608</v>
      </c>
      <c r="AD28" s="57">
        <f>+Z28+AB28</f>
        <v>323568</v>
      </c>
      <c r="AE28" s="202">
        <f>+AA28+AC28</f>
        <v>323696</v>
      </c>
      <c r="AF28" s="1200">
        <f>AF36*AF3*24</f>
        <v>45360</v>
      </c>
      <c r="AG28" s="17">
        <v>48792</v>
      </c>
      <c r="AH28" s="57">
        <f>+AD28+AF28</f>
        <v>368928</v>
      </c>
      <c r="AI28" s="202">
        <f>+AE28+AG28</f>
        <v>372488</v>
      </c>
      <c r="AJ28" s="1200">
        <f>AJ36*AJ3*24</f>
        <v>46872</v>
      </c>
      <c r="AK28" s="17">
        <v>49228</v>
      </c>
      <c r="AL28" s="68">
        <f t="shared" si="65"/>
        <v>139104</v>
      </c>
      <c r="AM28" s="488">
        <f t="shared" si="66"/>
        <v>144628</v>
      </c>
      <c r="AN28" s="57">
        <f>+AH28+AJ28</f>
        <v>415800</v>
      </c>
      <c r="AO28" s="202">
        <f>+AI28+AK28</f>
        <v>421716</v>
      </c>
      <c r="AP28" s="1200">
        <f>AP36*AP3*24</f>
        <v>46872</v>
      </c>
      <c r="AQ28" s="17">
        <v>47007.199999999997</v>
      </c>
      <c r="AR28" s="57">
        <f>+AN28+AP28</f>
        <v>462672</v>
      </c>
      <c r="AS28" s="202">
        <f>+AO28+AQ28</f>
        <v>468723.20000000001</v>
      </c>
      <c r="AT28" s="1200">
        <f>AT36*AT3*24</f>
        <v>42336</v>
      </c>
      <c r="AU28" s="17">
        <v>42920.800000000003</v>
      </c>
      <c r="AV28" s="57">
        <f>+AR28+AT28</f>
        <v>505008</v>
      </c>
      <c r="AW28" s="202">
        <f>+AS28+AU28</f>
        <v>511644</v>
      </c>
      <c r="AX28" s="1200">
        <f>AX36*AX3*24</f>
        <v>46872</v>
      </c>
      <c r="AY28" s="17">
        <v>44519.44</v>
      </c>
      <c r="AZ28" s="68">
        <f t="shared" si="67"/>
        <v>136080</v>
      </c>
      <c r="BA28" s="488">
        <f t="shared" si="68"/>
        <v>134447.44</v>
      </c>
      <c r="BB28" s="667">
        <f>AL28+AZ28</f>
        <v>275184</v>
      </c>
      <c r="BC28" s="423">
        <f>AM28+BA28</f>
        <v>279075.44</v>
      </c>
      <c r="BD28" s="57">
        <f>+AV28+AX28</f>
        <v>551880</v>
      </c>
      <c r="BE28" s="202">
        <f>+AW28+AY28</f>
        <v>556163.43999999994</v>
      </c>
      <c r="BF28" s="491"/>
      <c r="BG28" s="491"/>
      <c r="BH28" s="23"/>
      <c r="BI28" s="23"/>
      <c r="BJ28" s="23"/>
    </row>
    <row r="29" spans="2:62" ht="15.6" x14ac:dyDescent="0.3">
      <c r="B29" s="6332" t="s">
        <v>2</v>
      </c>
      <c r="C29" s="33" t="s">
        <v>66</v>
      </c>
      <c r="D29" s="895">
        <f t="shared" ref="D29:I29" si="69">SUM(D27:D28)</f>
        <v>205251.2197259879</v>
      </c>
      <c r="E29" s="119">
        <f t="shared" si="69"/>
        <v>252780.24000000002</v>
      </c>
      <c r="F29" s="895">
        <f t="shared" ref="F29:G29" si="70">SUM(F27:F28)</f>
        <v>192100.29016064663</v>
      </c>
      <c r="G29" s="119">
        <f t="shared" si="70"/>
        <v>174797.76</v>
      </c>
      <c r="H29" s="872">
        <f t="shared" si="69"/>
        <v>397351.50988663454</v>
      </c>
      <c r="I29" s="2814">
        <f t="shared" si="69"/>
        <v>427578.00000000006</v>
      </c>
      <c r="J29" s="5577">
        <f t="shared" ref="J29:K29" si="71">SUM(J27:J28)</f>
        <v>265038.40370610653</v>
      </c>
      <c r="K29" s="119">
        <f t="shared" si="71"/>
        <v>252867.68000000002</v>
      </c>
      <c r="L29" s="896">
        <f t="shared" ref="L29:Q29" si="72">SUM(L27:L28)</f>
        <v>662389.91359274113</v>
      </c>
      <c r="M29" s="218">
        <f t="shared" si="72"/>
        <v>680445.68</v>
      </c>
      <c r="N29" s="895">
        <f t="shared" si="72"/>
        <v>275151.40518446034</v>
      </c>
      <c r="O29" s="119">
        <f t="shared" si="72"/>
        <v>266778.96000000002</v>
      </c>
      <c r="P29" s="872">
        <f t="shared" si="72"/>
        <v>937541.31877720146</v>
      </c>
      <c r="Q29" s="204">
        <f t="shared" si="72"/>
        <v>947224.64000000013</v>
      </c>
      <c r="R29" s="895">
        <f t="shared" ref="R29:S29" si="73">SUM(R27:R28)</f>
        <v>272710.32518446038</v>
      </c>
      <c r="S29" s="119">
        <f t="shared" si="73"/>
        <v>259188.88</v>
      </c>
      <c r="T29" s="872">
        <f t="shared" ref="T29:W29" si="74">SUM(T27:T28)</f>
        <v>1210251.643961662</v>
      </c>
      <c r="U29" s="204">
        <f t="shared" si="74"/>
        <v>1206413.52</v>
      </c>
      <c r="V29" s="895">
        <f t="shared" si="74"/>
        <v>209278.51348963828</v>
      </c>
      <c r="W29" s="119">
        <f t="shared" si="74"/>
        <v>244703.36000000002</v>
      </c>
      <c r="X29" s="896">
        <f t="shared" ref="X29:Y29" si="75">SUM(X27:X28)</f>
        <v>757140.24385855906</v>
      </c>
      <c r="Y29" s="218">
        <f t="shared" si="75"/>
        <v>770671.20000000007</v>
      </c>
      <c r="Z29" s="2115">
        <f t="shared" ref="Z29:AE29" si="76">SUM(Z27:Z28)</f>
        <v>1419530.1574513002</v>
      </c>
      <c r="AA29" s="2116">
        <f t="shared" si="76"/>
        <v>1451116.8800000001</v>
      </c>
      <c r="AB29" s="895">
        <f t="shared" si="76"/>
        <v>272819.07652182784</v>
      </c>
      <c r="AC29" s="119">
        <f t="shared" si="76"/>
        <v>227118.72</v>
      </c>
      <c r="AD29" s="872">
        <f t="shared" si="76"/>
        <v>1692349.233973128</v>
      </c>
      <c r="AE29" s="204">
        <f t="shared" si="76"/>
        <v>1678235.6</v>
      </c>
      <c r="AF29" s="895">
        <f t="shared" ref="AF29:AG29" si="77">SUM(AF27:AF28)</f>
        <v>231210.21688179977</v>
      </c>
      <c r="AG29" s="119">
        <f t="shared" si="77"/>
        <v>246043.2</v>
      </c>
      <c r="AH29" s="872">
        <f t="shared" ref="AH29:AK29" si="78">SUM(AH27:AH28)</f>
        <v>1923559.4508549278</v>
      </c>
      <c r="AI29" s="204">
        <f t="shared" si="78"/>
        <v>1924278.8</v>
      </c>
      <c r="AJ29" s="895">
        <f t="shared" si="78"/>
        <v>238857.5620533055</v>
      </c>
      <c r="AK29" s="119">
        <f t="shared" si="78"/>
        <v>252779.92</v>
      </c>
      <c r="AL29" s="896">
        <f t="shared" ref="AL29:AS29" si="79">SUM(AL27:AL28)</f>
        <v>742886.85545693315</v>
      </c>
      <c r="AM29" s="218">
        <f t="shared" si="79"/>
        <v>725941.84000000008</v>
      </c>
      <c r="AN29" s="872">
        <f t="shared" si="79"/>
        <v>2162417.0129082333</v>
      </c>
      <c r="AO29" s="204">
        <f t="shared" si="79"/>
        <v>2177058.7199999997</v>
      </c>
      <c r="AP29" s="895">
        <f t="shared" si="79"/>
        <v>235549.89973019162</v>
      </c>
      <c r="AQ29" s="119">
        <f t="shared" si="79"/>
        <v>244327.27999999997</v>
      </c>
      <c r="AR29" s="872">
        <f t="shared" si="79"/>
        <v>2397966.9126384249</v>
      </c>
      <c r="AS29" s="204">
        <f t="shared" si="79"/>
        <v>2421386</v>
      </c>
      <c r="AT29" s="895">
        <f t="shared" ref="AT29:AU29" si="80">SUM(AT27:AT28)</f>
        <v>214480.98020764263</v>
      </c>
      <c r="AU29" s="119">
        <f t="shared" si="80"/>
        <v>212166.40000000002</v>
      </c>
      <c r="AV29" s="872">
        <f t="shared" ref="AV29:AY29" si="81">SUM(AV27:AV28)</f>
        <v>2612447.8928460674</v>
      </c>
      <c r="AW29" s="204">
        <f t="shared" si="81"/>
        <v>2633552.4</v>
      </c>
      <c r="AX29" s="895">
        <f t="shared" si="81"/>
        <v>268300.29042932059</v>
      </c>
      <c r="AY29" s="119">
        <f t="shared" si="81"/>
        <v>249772.24</v>
      </c>
      <c r="AZ29" s="896">
        <f t="shared" ref="AZ29:BE29" si="82">SUM(AZ27:AZ28)</f>
        <v>718331.17036715476</v>
      </c>
      <c r="BA29" s="218">
        <f t="shared" si="82"/>
        <v>706265.91999999993</v>
      </c>
      <c r="BB29" s="2115">
        <f t="shared" si="82"/>
        <v>1461218.0258240879</v>
      </c>
      <c r="BC29" s="2116">
        <f t="shared" si="82"/>
        <v>1432207.76</v>
      </c>
      <c r="BD29" s="872">
        <f t="shared" si="82"/>
        <v>2880748.1832753881</v>
      </c>
      <c r="BE29" s="204">
        <f t="shared" si="82"/>
        <v>2883324.6399999997</v>
      </c>
      <c r="BF29" s="491"/>
      <c r="BG29" s="491"/>
      <c r="BH29" s="23"/>
      <c r="BI29" s="23"/>
      <c r="BJ29" s="23"/>
    </row>
    <row r="30" spans="2:62" ht="16.2" thickBot="1" x14ac:dyDescent="0.35">
      <c r="B30" s="6333"/>
      <c r="C30" s="32" t="s">
        <v>435</v>
      </c>
      <c r="D30" s="5596">
        <f t="shared" ref="D30:AI30" si="83">+D29/(D3*24)</f>
        <v>285.07113850831655</v>
      </c>
      <c r="E30" s="5597">
        <f t="shared" si="83"/>
        <v>351.08366666666672</v>
      </c>
      <c r="F30" s="5596">
        <f t="shared" ref="F30:G30" si="84">+F29/(F3*24)</f>
        <v>258.1993147320519</v>
      </c>
      <c r="G30" s="5597">
        <f t="shared" si="84"/>
        <v>234.94322580645164</v>
      </c>
      <c r="H30" s="5598">
        <f t="shared" si="83"/>
        <v>271.4149657695591</v>
      </c>
      <c r="I30" s="5599">
        <f t="shared" si="83"/>
        <v>292.06147540983608</v>
      </c>
      <c r="J30" s="5578">
        <f t="shared" si="83"/>
        <v>368.10889403625907</v>
      </c>
      <c r="K30" s="633">
        <f t="shared" si="83"/>
        <v>351.20511111111114</v>
      </c>
      <c r="L30" s="899">
        <f t="shared" si="83"/>
        <v>303.29208497836134</v>
      </c>
      <c r="M30" s="219">
        <f t="shared" si="83"/>
        <v>311.55937728937732</v>
      </c>
      <c r="N30" s="898">
        <f t="shared" si="83"/>
        <v>369.8271575059951</v>
      </c>
      <c r="O30" s="633">
        <f t="shared" si="83"/>
        <v>358.57387096774198</v>
      </c>
      <c r="P30" s="897">
        <f t="shared" si="83"/>
        <v>320.19853783374367</v>
      </c>
      <c r="Q30" s="205">
        <f t="shared" si="83"/>
        <v>323.50568306010933</v>
      </c>
      <c r="R30" s="898">
        <f t="shared" si="83"/>
        <v>366.54613600061879</v>
      </c>
      <c r="S30" s="633">
        <f t="shared" si="83"/>
        <v>348.37215053763441</v>
      </c>
      <c r="T30" s="897">
        <f t="shared" si="83"/>
        <v>329.5892276584047</v>
      </c>
      <c r="U30" s="205">
        <f t="shared" si="83"/>
        <v>328.54398692810457</v>
      </c>
      <c r="V30" s="898">
        <f t="shared" si="83"/>
        <v>290.66460206894203</v>
      </c>
      <c r="W30" s="633">
        <f t="shared" si="83"/>
        <v>339.86577777777779</v>
      </c>
      <c r="X30" s="899">
        <f t="shared" si="83"/>
        <v>342.90771913884015</v>
      </c>
      <c r="Y30" s="219">
        <f t="shared" si="83"/>
        <v>349.03586956521741</v>
      </c>
      <c r="Z30" s="900">
        <f t="shared" si="83"/>
        <v>323.2081414961977</v>
      </c>
      <c r="AA30" s="477">
        <f t="shared" si="83"/>
        <v>330.40001821493627</v>
      </c>
      <c r="AB30" s="898">
        <f t="shared" si="83"/>
        <v>366.69230715299443</v>
      </c>
      <c r="AC30" s="633">
        <f t="shared" si="83"/>
        <v>305.26709677419353</v>
      </c>
      <c r="AD30" s="897">
        <f t="shared" si="83"/>
        <v>329.50724960535985</v>
      </c>
      <c r="AE30" s="205">
        <f t="shared" si="83"/>
        <v>326.7592679127726</v>
      </c>
      <c r="AF30" s="898">
        <f t="shared" si="83"/>
        <v>321.12530122472191</v>
      </c>
      <c r="AG30" s="633">
        <f t="shared" si="83"/>
        <v>341.72666666666669</v>
      </c>
      <c r="AH30" s="897">
        <f t="shared" si="83"/>
        <v>328.47668218151091</v>
      </c>
      <c r="AI30" s="205">
        <f t="shared" si="83"/>
        <v>328.59952185792349</v>
      </c>
      <c r="AJ30" s="898">
        <f t="shared" ref="AJ30:BE30" si="85">+AJ29/(AJ3*24)</f>
        <v>321.04511028670095</v>
      </c>
      <c r="AK30" s="633">
        <f t="shared" si="85"/>
        <v>339.7579569892473</v>
      </c>
      <c r="AL30" s="899">
        <f t="shared" si="85"/>
        <v>336.45238018882844</v>
      </c>
      <c r="AM30" s="219">
        <f t="shared" si="85"/>
        <v>328.77800724637683</v>
      </c>
      <c r="AN30" s="897">
        <f t="shared" si="85"/>
        <v>327.63894134973231</v>
      </c>
      <c r="AO30" s="205">
        <f t="shared" si="85"/>
        <v>329.85738181818181</v>
      </c>
      <c r="AP30" s="898">
        <f t="shared" si="85"/>
        <v>316.59932759434361</v>
      </c>
      <c r="AQ30" s="633">
        <f t="shared" si="85"/>
        <v>328.39688172043009</v>
      </c>
      <c r="AR30" s="897">
        <f t="shared" si="85"/>
        <v>326.52054910653936</v>
      </c>
      <c r="AS30" s="205">
        <f t="shared" si="85"/>
        <v>329.70942265795208</v>
      </c>
      <c r="AT30" s="898">
        <f t="shared" si="85"/>
        <v>319.16812530899199</v>
      </c>
      <c r="AU30" s="633">
        <f t="shared" si="85"/>
        <v>315.72380952380956</v>
      </c>
      <c r="AV30" s="897">
        <f t="shared" si="85"/>
        <v>325.90417824925993</v>
      </c>
      <c r="AW30" s="205">
        <f t="shared" si="85"/>
        <v>328.5369760479042</v>
      </c>
      <c r="AX30" s="898">
        <f t="shared" si="85"/>
        <v>360.61866993188249</v>
      </c>
      <c r="AY30" s="633">
        <f t="shared" si="85"/>
        <v>335.715376344086</v>
      </c>
      <c r="AZ30" s="899">
        <f t="shared" si="85"/>
        <v>332.56072702183093</v>
      </c>
      <c r="BA30" s="219">
        <f t="shared" si="85"/>
        <v>326.97496296296293</v>
      </c>
      <c r="BB30" s="900">
        <f t="shared" si="85"/>
        <v>334.52793631503846</v>
      </c>
      <c r="BC30" s="477">
        <f t="shared" si="85"/>
        <v>327.88639194139193</v>
      </c>
      <c r="BD30" s="897">
        <f t="shared" si="85"/>
        <v>328.85253233737308</v>
      </c>
      <c r="BE30" s="205">
        <f t="shared" si="85"/>
        <v>329.14664840182644</v>
      </c>
      <c r="BF30" s="491"/>
      <c r="BG30" s="491"/>
      <c r="BH30" s="23"/>
      <c r="BI30" s="23"/>
      <c r="BJ30" s="23"/>
    </row>
    <row r="31" spans="2:62" ht="16.2" thickBot="1" x14ac:dyDescent="0.35">
      <c r="B31" s="2815" t="s">
        <v>64</v>
      </c>
      <c r="C31" s="14" t="s">
        <v>66</v>
      </c>
      <c r="D31" s="419">
        <f>+D38*D3*24</f>
        <v>2160</v>
      </c>
      <c r="E31" s="26">
        <v>6927.5664000000106</v>
      </c>
      <c r="F31" s="419">
        <f>+F38*F3*24</f>
        <v>2232</v>
      </c>
      <c r="G31" s="26">
        <v>6875.5200000000186</v>
      </c>
      <c r="H31" s="36">
        <f>+D31+F31</f>
        <v>4392</v>
      </c>
      <c r="I31" s="37">
        <f>+E31+G31</f>
        <v>13803.086400000029</v>
      </c>
      <c r="J31" s="656">
        <f>+J38*J3*24</f>
        <v>2160</v>
      </c>
      <c r="K31" s="26">
        <v>8146.4000000000233</v>
      </c>
      <c r="L31" s="323">
        <f>+H31+J31</f>
        <v>6552</v>
      </c>
      <c r="M31" s="112">
        <f t="shared" ref="M31" si="86">+I31+K31</f>
        <v>21949.486400000053</v>
      </c>
      <c r="N31" s="419">
        <f>+N38*N3*24</f>
        <v>2232</v>
      </c>
      <c r="O31" s="26">
        <v>9116.4000000000233</v>
      </c>
      <c r="P31" s="36">
        <f>+L31+N31</f>
        <v>8784</v>
      </c>
      <c r="Q31" s="203">
        <f>+M31+O31</f>
        <v>31065.886400000076</v>
      </c>
      <c r="R31" s="419">
        <f>+R38*R3*24</f>
        <v>2232</v>
      </c>
      <c r="S31" s="26">
        <v>9166.640000000014</v>
      </c>
      <c r="T31" s="36">
        <f>+P31+R31</f>
        <v>11016</v>
      </c>
      <c r="U31" s="203">
        <f>+Q31+S31</f>
        <v>40232.52640000009</v>
      </c>
      <c r="V31" s="419">
        <f>+V38*V3*24</f>
        <v>2160</v>
      </c>
      <c r="W31" s="26">
        <v>7028.4800000000105</v>
      </c>
      <c r="X31" s="323">
        <f t="shared" ref="X31:Y31" si="87">+N31+R31+V31</f>
        <v>6624</v>
      </c>
      <c r="Y31" s="112">
        <f t="shared" si="87"/>
        <v>25311.520000000048</v>
      </c>
      <c r="Z31" s="427">
        <f>L31+X31</f>
        <v>13176</v>
      </c>
      <c r="AA31" s="465">
        <f>M31+Y31</f>
        <v>47261.0064000001</v>
      </c>
      <c r="AB31" s="419">
        <f>+AB38*AB3*24</f>
        <v>2232</v>
      </c>
      <c r="AC31" s="26">
        <v>6540.320000000007</v>
      </c>
      <c r="AD31" s="36">
        <f>+Z31+AB31</f>
        <v>15408</v>
      </c>
      <c r="AE31" s="203">
        <f>+AA31+AC31</f>
        <v>53801.326400000107</v>
      </c>
      <c r="AF31" s="419">
        <f>+AF38*AF3*24</f>
        <v>2160</v>
      </c>
      <c r="AG31" s="26">
        <v>7404.4800000000105</v>
      </c>
      <c r="AH31" s="36">
        <f>+AD31+AF31</f>
        <v>17568</v>
      </c>
      <c r="AI31" s="203">
        <f>+AE31+AG31</f>
        <v>61205.806400000118</v>
      </c>
      <c r="AJ31" s="419">
        <f>+AJ38*AJ3*24</f>
        <v>2232</v>
      </c>
      <c r="AK31" s="26">
        <v>6087.2799999999988</v>
      </c>
      <c r="AL31" s="323">
        <f t="shared" ref="AL31" si="88">+AB31+AF31+AJ31</f>
        <v>6624</v>
      </c>
      <c r="AM31" s="112">
        <f t="shared" ref="AM31" si="89">+AC31+AG31+AK31</f>
        <v>20032.080000000016</v>
      </c>
      <c r="AN31" s="36">
        <f>+AH31+AJ31</f>
        <v>19800</v>
      </c>
      <c r="AO31" s="203">
        <f>+AI31+AK31</f>
        <v>67293.086400000117</v>
      </c>
      <c r="AP31" s="419">
        <f>+AP38*AP3*24</f>
        <v>2232</v>
      </c>
      <c r="AQ31" s="26">
        <v>5042.0799999999581</v>
      </c>
      <c r="AR31" s="36">
        <f>+AN31+AP31</f>
        <v>22032</v>
      </c>
      <c r="AS31" s="203">
        <f>+AO31+AQ31</f>
        <v>72335.166400000075</v>
      </c>
      <c r="AT31" s="419">
        <f>+AT38*AT3*24</f>
        <v>2016</v>
      </c>
      <c r="AU31" s="26">
        <v>9505.0000000000291</v>
      </c>
      <c r="AV31" s="36">
        <f>+AR31+AT31</f>
        <v>24048</v>
      </c>
      <c r="AW31" s="203">
        <f>+AS31+AU31</f>
        <v>81840.166400000104</v>
      </c>
      <c r="AX31" s="419">
        <f>+AX38*AX3*24</f>
        <v>2232</v>
      </c>
      <c r="AY31" s="26">
        <v>12937.760000000009</v>
      </c>
      <c r="AZ31" s="323">
        <f t="shared" ref="AZ31" si="90">+AP31+AT31+AX31</f>
        <v>6480</v>
      </c>
      <c r="BA31" s="112">
        <f t="shared" ref="BA31" si="91">+AQ31+AU31+AY31</f>
        <v>27484.839999999997</v>
      </c>
      <c r="BB31" s="427">
        <f>AN31+AZ31</f>
        <v>26280</v>
      </c>
      <c r="BC31" s="465">
        <f>AM31+BA31</f>
        <v>47516.920000000013</v>
      </c>
      <c r="BD31" s="36">
        <f>+AV31+AX31</f>
        <v>26280</v>
      </c>
      <c r="BE31" s="203">
        <f>+AW31+AY31</f>
        <v>94777.926400000113</v>
      </c>
      <c r="BF31" s="491"/>
      <c r="BG31" s="491"/>
      <c r="BH31" s="23"/>
      <c r="BI31" s="23"/>
      <c r="BJ31" s="23"/>
    </row>
    <row r="32" spans="2:62" ht="18" thickBot="1" x14ac:dyDescent="0.35">
      <c r="B32" s="5600" t="s">
        <v>65</v>
      </c>
      <c r="C32" s="5601" t="s">
        <v>66</v>
      </c>
      <c r="D32" s="554">
        <f t="shared" ref="D32:K32" si="92">+D29-D31</f>
        <v>203091.2197259879</v>
      </c>
      <c r="E32" s="5602">
        <f t="shared" si="92"/>
        <v>245852.67360000001</v>
      </c>
      <c r="F32" s="554">
        <f t="shared" ref="F32:G32" si="93">+F29-F31</f>
        <v>189868.29016064663</v>
      </c>
      <c r="G32" s="5602">
        <f t="shared" si="93"/>
        <v>167922.24</v>
      </c>
      <c r="H32" s="3806">
        <f t="shared" si="92"/>
        <v>392959.50988663454</v>
      </c>
      <c r="I32" s="5603">
        <f t="shared" si="92"/>
        <v>413774.91360000003</v>
      </c>
      <c r="J32" s="1753">
        <f t="shared" si="92"/>
        <v>262878.40370610653</v>
      </c>
      <c r="K32" s="634">
        <f t="shared" si="92"/>
        <v>244721.28</v>
      </c>
      <c r="L32" s="71">
        <f t="shared" ref="L32:Q32" si="94">+L29-L31</f>
        <v>655837.91359274113</v>
      </c>
      <c r="M32" s="72">
        <f t="shared" si="94"/>
        <v>658496.1936</v>
      </c>
      <c r="N32" s="679">
        <f t="shared" si="94"/>
        <v>272919.40518446034</v>
      </c>
      <c r="O32" s="634">
        <f t="shared" si="94"/>
        <v>257662.56</v>
      </c>
      <c r="P32" s="901">
        <f t="shared" si="94"/>
        <v>928757.31877720146</v>
      </c>
      <c r="Q32" s="47">
        <f t="shared" si="94"/>
        <v>916158.75360000005</v>
      </c>
      <c r="R32" s="679">
        <f t="shared" ref="R32:S32" si="95">+R29-R31</f>
        <v>270478.32518446038</v>
      </c>
      <c r="S32" s="634">
        <f t="shared" si="95"/>
        <v>250022.24</v>
      </c>
      <c r="T32" s="901">
        <f t="shared" ref="T32:W32" si="96">+T29-T31</f>
        <v>1199235.643961662</v>
      </c>
      <c r="U32" s="47">
        <f t="shared" si="96"/>
        <v>1166180.9935999999</v>
      </c>
      <c r="V32" s="679">
        <f t="shared" si="96"/>
        <v>207118.51348963828</v>
      </c>
      <c r="W32" s="634">
        <f t="shared" si="96"/>
        <v>237674.88</v>
      </c>
      <c r="X32" s="71">
        <f t="shared" ref="X32:Y32" si="97">+X29-X31</f>
        <v>750516.24385855906</v>
      </c>
      <c r="Y32" s="72">
        <f t="shared" si="97"/>
        <v>745359.68</v>
      </c>
      <c r="Z32" s="902">
        <f t="shared" ref="Z32:AE32" si="98">+Z29-Z31</f>
        <v>1406354.1574513002</v>
      </c>
      <c r="AA32" s="478">
        <f t="shared" si="98"/>
        <v>1403855.8736</v>
      </c>
      <c r="AB32" s="679">
        <f t="shared" si="98"/>
        <v>270587.07652182784</v>
      </c>
      <c r="AC32" s="634">
        <f t="shared" si="98"/>
        <v>220578.4</v>
      </c>
      <c r="AD32" s="901">
        <f t="shared" si="98"/>
        <v>1676941.233973128</v>
      </c>
      <c r="AE32" s="47">
        <f t="shared" si="98"/>
        <v>1624434.2736</v>
      </c>
      <c r="AF32" s="679">
        <f t="shared" ref="AF32:AG32" si="99">+AF29-AF31</f>
        <v>229050.21688179977</v>
      </c>
      <c r="AG32" s="634">
        <f t="shared" si="99"/>
        <v>238638.72</v>
      </c>
      <c r="AH32" s="901">
        <f t="shared" ref="AH32:AK32" si="100">+AH29-AH31</f>
        <v>1905991.4508549278</v>
      </c>
      <c r="AI32" s="47">
        <f t="shared" si="100"/>
        <v>1863072.9935999999</v>
      </c>
      <c r="AJ32" s="679">
        <f t="shared" si="100"/>
        <v>236625.5620533055</v>
      </c>
      <c r="AK32" s="634">
        <f t="shared" si="100"/>
        <v>246692.64</v>
      </c>
      <c r="AL32" s="71">
        <f t="shared" ref="AL32:AS32" si="101">+AL29-AL31</f>
        <v>736262.85545693315</v>
      </c>
      <c r="AM32" s="72">
        <f t="shared" si="101"/>
        <v>705909.76000000001</v>
      </c>
      <c r="AN32" s="901">
        <f t="shared" si="101"/>
        <v>2142617.0129082333</v>
      </c>
      <c r="AO32" s="47">
        <f t="shared" si="101"/>
        <v>2109765.6335999998</v>
      </c>
      <c r="AP32" s="679">
        <f t="shared" si="101"/>
        <v>233317.89973019162</v>
      </c>
      <c r="AQ32" s="634">
        <f t="shared" si="101"/>
        <v>239285.2</v>
      </c>
      <c r="AR32" s="901">
        <f t="shared" si="101"/>
        <v>2375934.9126384249</v>
      </c>
      <c r="AS32" s="47">
        <f t="shared" si="101"/>
        <v>2349050.8336</v>
      </c>
      <c r="AT32" s="679">
        <f t="shared" ref="AT32:AU32" si="102">+AT29-AT31</f>
        <v>212464.98020764263</v>
      </c>
      <c r="AU32" s="634">
        <f t="shared" si="102"/>
        <v>202661.4</v>
      </c>
      <c r="AV32" s="901">
        <f t="shared" ref="AV32:AY32" si="103">+AV29-AV31</f>
        <v>2588399.8928460674</v>
      </c>
      <c r="AW32" s="47">
        <f t="shared" si="103"/>
        <v>2551712.2335999999</v>
      </c>
      <c r="AX32" s="679">
        <f t="shared" si="103"/>
        <v>266068.29042932059</v>
      </c>
      <c r="AY32" s="634">
        <f t="shared" si="103"/>
        <v>236834.47999999998</v>
      </c>
      <c r="AZ32" s="71">
        <f t="shared" ref="AZ32:BE32" si="104">+AZ29-AZ31</f>
        <v>711851.17036715476</v>
      </c>
      <c r="BA32" s="72">
        <f t="shared" si="104"/>
        <v>678781.08</v>
      </c>
      <c r="BB32" s="902">
        <f t="shared" si="104"/>
        <v>1434938.0258240879</v>
      </c>
      <c r="BC32" s="478">
        <f t="shared" si="104"/>
        <v>1384690.84</v>
      </c>
      <c r="BD32" s="901">
        <f t="shared" si="104"/>
        <v>2854468.1832753881</v>
      </c>
      <c r="BE32" s="47">
        <f t="shared" si="104"/>
        <v>2788546.7135999994</v>
      </c>
      <c r="BF32" s="491"/>
      <c r="BG32" s="491"/>
      <c r="BH32" s="23"/>
      <c r="BI32" s="23"/>
      <c r="BJ32" s="23"/>
    </row>
    <row r="33" spans="1:62" ht="20.399999999999999" x14ac:dyDescent="0.3">
      <c r="A33" s="2807"/>
      <c r="B33" s="903" t="s">
        <v>454</v>
      </c>
      <c r="C33" s="48"/>
      <c r="D33" s="903"/>
      <c r="E33" s="635"/>
      <c r="F33" s="903"/>
      <c r="G33" s="635"/>
      <c r="H33" s="48"/>
      <c r="I33" s="635"/>
      <c r="J33" s="903"/>
      <c r="K33" s="635"/>
      <c r="L33" s="3522"/>
      <c r="M33" s="48"/>
      <c r="N33" s="903"/>
      <c r="O33" s="635"/>
      <c r="P33" s="48"/>
      <c r="Q33" s="48"/>
      <c r="R33" s="903"/>
      <c r="S33" s="635"/>
      <c r="T33" s="48"/>
      <c r="U33" s="48"/>
      <c r="V33" s="903"/>
      <c r="W33" s="635"/>
      <c r="X33" s="48"/>
      <c r="Y33" s="48"/>
      <c r="Z33" s="48"/>
      <c r="AA33" s="48"/>
      <c r="AB33" s="903"/>
      <c r="AC33" s="635"/>
      <c r="AD33" s="48"/>
      <c r="AE33" s="48"/>
      <c r="AF33" s="903"/>
      <c r="AG33" s="635"/>
      <c r="AH33" s="48"/>
      <c r="AI33" s="48"/>
      <c r="AJ33" s="903"/>
      <c r="AK33" s="635"/>
      <c r="AL33" s="48"/>
      <c r="AM33" s="48"/>
      <c r="AN33" s="48"/>
      <c r="AO33" s="48"/>
      <c r="AP33" s="903"/>
      <c r="AQ33" s="635"/>
      <c r="AR33" s="48"/>
      <c r="AS33" s="48"/>
      <c r="AT33" s="903"/>
      <c r="AU33" s="635"/>
      <c r="AV33" s="48"/>
      <c r="AW33" s="48"/>
      <c r="AX33" s="903"/>
      <c r="AY33" s="635"/>
      <c r="AZ33" s="48"/>
      <c r="BA33" s="48"/>
      <c r="BB33" s="48"/>
      <c r="BC33" s="48"/>
      <c r="BD33" s="48"/>
      <c r="BE33" s="48"/>
      <c r="BF33" s="491"/>
      <c r="BG33" s="491"/>
      <c r="BH33" s="23"/>
      <c r="BI33" s="23"/>
      <c r="BJ33" s="23"/>
    </row>
    <row r="34" spans="1:62" ht="15.75" customHeight="1" x14ac:dyDescent="0.3">
      <c r="A34" s="2807"/>
      <c r="B34" s="904" t="s">
        <v>370</v>
      </c>
      <c r="C34" s="42"/>
      <c r="D34" s="904"/>
      <c r="E34" s="636"/>
      <c r="F34" s="904"/>
      <c r="G34" s="636"/>
      <c r="H34" s="42"/>
      <c r="I34" s="636"/>
      <c r="J34" s="904"/>
      <c r="K34" s="636"/>
      <c r="L34" s="42"/>
      <c r="M34" s="42"/>
      <c r="N34" s="904"/>
      <c r="O34" s="636"/>
      <c r="P34" s="42"/>
      <c r="Q34" s="42"/>
      <c r="R34" s="904"/>
      <c r="S34" s="636"/>
      <c r="T34" s="42"/>
      <c r="U34" s="42"/>
      <c r="V34" s="904"/>
      <c r="W34" s="636"/>
      <c r="X34" s="42"/>
      <c r="Y34" s="42"/>
      <c r="Z34" s="42"/>
      <c r="AA34" s="42"/>
      <c r="AB34" s="904"/>
      <c r="AC34" s="636"/>
      <c r="AD34" s="42"/>
      <c r="AE34" s="42"/>
      <c r="AF34" s="904"/>
      <c r="AG34" s="636"/>
      <c r="AH34" s="42"/>
      <c r="AI34" s="42"/>
      <c r="AJ34" s="904"/>
      <c r="AK34" s="636"/>
      <c r="AL34" s="42"/>
      <c r="AM34" s="42"/>
      <c r="AN34" s="42"/>
      <c r="AO34" s="42"/>
      <c r="AP34" s="904"/>
      <c r="AQ34" s="636"/>
      <c r="AR34" s="42"/>
      <c r="AS34" s="42"/>
      <c r="AT34" s="904"/>
      <c r="AU34" s="636"/>
      <c r="AV34" s="42"/>
      <c r="AW34" s="42"/>
      <c r="AX34" s="904"/>
      <c r="AY34" s="636"/>
      <c r="AZ34" s="42"/>
      <c r="BA34" s="42"/>
      <c r="BB34" s="42"/>
      <c r="BC34" s="42"/>
      <c r="BD34" s="42"/>
      <c r="BE34" s="42"/>
      <c r="BF34" s="491"/>
      <c r="BG34" s="491"/>
      <c r="BH34" s="23"/>
      <c r="BI34" s="23"/>
      <c r="BJ34" s="23"/>
    </row>
    <row r="35" spans="1:62" ht="15.6" x14ac:dyDescent="0.3">
      <c r="A35" s="2807"/>
      <c r="B35" s="2816" t="s">
        <v>446</v>
      </c>
      <c r="C35" s="2346" t="s">
        <v>455</v>
      </c>
      <c r="D35" s="143">
        <v>222.07113850831652</v>
      </c>
      <c r="E35" s="17">
        <f>E27/($E$3*24)</f>
        <v>290.99566666666669</v>
      </c>
      <c r="F35" s="143">
        <v>195.19931473205193</v>
      </c>
      <c r="G35" s="17">
        <f>G27/($E$3*24)</f>
        <v>183.148</v>
      </c>
      <c r="H35" s="2817">
        <f>+((D35*D$3)+(F$3*F35))/H$3</f>
        <v>208.41496576955913</v>
      </c>
      <c r="I35" s="101">
        <f>+((E35*E$3)+(G$3*G35))/I$3</f>
        <v>236.18783606557378</v>
      </c>
      <c r="J35" s="143">
        <v>305.10889403625907</v>
      </c>
      <c r="K35" s="17">
        <v>286.73866666666669</v>
      </c>
      <c r="L35" s="322">
        <f>+((D$3*D35)+(F$3*F35)+(J$3*J35))/L$3</f>
        <v>240.29208497836129</v>
      </c>
      <c r="M35" s="322">
        <f>+((E$3*E35)+(G$3*G35)+(K$3*K35))/M$3</f>
        <v>252.85294505494508</v>
      </c>
      <c r="N35" s="143">
        <v>306.8271575059951</v>
      </c>
      <c r="O35" s="17">
        <v>293.0190322580645</v>
      </c>
      <c r="P35" s="240">
        <f>+((L35*L$3)+(N$3*N35))/P$3</f>
        <v>257.19853783374367</v>
      </c>
      <c r="Q35" s="240">
        <f>+((M35*M$3)+(O$3*O35))/Q$3</f>
        <v>263.05908196721316</v>
      </c>
      <c r="R35" s="143">
        <v>303.54613600061879</v>
      </c>
      <c r="S35" s="17">
        <v>281.07645161290321</v>
      </c>
      <c r="T35" s="240">
        <f>+((P35*P$3)+(R$3*R35))/T$3</f>
        <v>266.58922765840464</v>
      </c>
      <c r="U35" s="240">
        <f>+((Q35*Q$3)+(S$3*S35))/U$3</f>
        <v>266.70966013071899</v>
      </c>
      <c r="V35" s="143">
        <v>227.66460206894209</v>
      </c>
      <c r="W35" s="17">
        <v>276.4813333333334</v>
      </c>
      <c r="X35" s="322">
        <f>+((N35*N$3)+(R35*R$3)+(V$3*V35))/X$3</f>
        <v>279.90771913884015</v>
      </c>
      <c r="Y35" s="322">
        <f>+((O35*O$3)+(S35*S$3)+(W$3*W35))/Y$3</f>
        <v>283.60217391304349</v>
      </c>
      <c r="Z35" s="466">
        <f>+((T35*T$3)+(V$3*V35))/Z$3</f>
        <v>260.20814149619764</v>
      </c>
      <c r="AA35" s="466">
        <f>+((M35*M$3)+(Y$3*Y35))/AA$3</f>
        <v>268.3115737704918</v>
      </c>
      <c r="AB35" s="143">
        <v>303.69230715299437</v>
      </c>
      <c r="AC35" s="17">
        <v>242.62193548387097</v>
      </c>
      <c r="AD35" s="240">
        <f>+((Z35*Z$3)+(AB$3*AB35))/AD$3</f>
        <v>266.50724960535973</v>
      </c>
      <c r="AE35" s="240">
        <f>+((AA35*AA$3)+(AC$3*AC35))/AE$3</f>
        <v>264.59017757009349</v>
      </c>
      <c r="AF35" s="143">
        <v>258.12530122472191</v>
      </c>
      <c r="AG35" s="17">
        <v>273.96000000000004</v>
      </c>
      <c r="AH35" s="240">
        <f>+((AD35*AD$3)+(AF$3*AF35))/AH$3</f>
        <v>265.4766821815108</v>
      </c>
      <c r="AI35" s="240">
        <f>+((AE35*AE$3)+(AG$3*AG35))/AI$3</f>
        <v>265.74220491803283</v>
      </c>
      <c r="AJ35" s="143">
        <v>258.04511028670095</v>
      </c>
      <c r="AK35" s="17">
        <v>273.59129032258068</v>
      </c>
      <c r="AL35" s="322">
        <f>+((AB35*AB$3)+(AF35*AF$3)+(AJ$3*AJ35))/AL$3</f>
        <v>273.45238018882839</v>
      </c>
      <c r="AM35" s="322">
        <f>+((AC35*AC$3)+(AG35*AG$3)+(AK$3*AK35))/AM$3</f>
        <v>263.27619565217395</v>
      </c>
      <c r="AN35" s="240">
        <f>+((AH35*AH$3)+(AJ$3*AJ35))/AN$3</f>
        <v>264.63894134973225</v>
      </c>
      <c r="AO35" s="240">
        <f>+((AI35*AI$3)+(AK$3*AK35))/AO$3</f>
        <v>266.62701090909098</v>
      </c>
      <c r="AP35" s="143">
        <v>253.59932759434361</v>
      </c>
      <c r="AQ35" s="17">
        <v>265.21516129032256</v>
      </c>
      <c r="AR35" s="240">
        <f>+((AN35*AN$3)+(AP$3*AP35))/AR$3</f>
        <v>263.52054910653925</v>
      </c>
      <c r="AS35" s="240">
        <f>+((AO35*AO$3)+(AQ$3*AQ35))/AS$3</f>
        <v>266.48398039215692</v>
      </c>
      <c r="AT35" s="143">
        <v>256.16812530899199</v>
      </c>
      <c r="AU35" s="17">
        <v>251.85357142857143</v>
      </c>
      <c r="AV35" s="240">
        <f>+((AR35*AR$3)+(AT$3*AT35))/AV$3</f>
        <v>262.90417824925981</v>
      </c>
      <c r="AW35" s="240">
        <f>+((AS35*AS$3)+(AU$3*AU35))/AW$3</f>
        <v>265.25747904191621</v>
      </c>
      <c r="AX35" s="143">
        <v>297.61866993188249</v>
      </c>
      <c r="AY35" s="17">
        <v>275.87741935483871</v>
      </c>
      <c r="AZ35" s="322">
        <f>+((AP35*AP$3)+(AT35*AT$3)+(AX$3*AX35))/AZ$3</f>
        <v>269.56072702183093</v>
      </c>
      <c r="BA35" s="322">
        <f>+((AQ35*AQ$3)+(AU35*AU$3)+(AY$3*AY35))/BA$3</f>
        <v>264.7307777777778</v>
      </c>
      <c r="BB35" s="466">
        <f>+((AL35*AL$3)+(AZ$3*AZ35))/BB$3</f>
        <v>271.52793631503846</v>
      </c>
      <c r="BC35" s="466">
        <f>+((AM35*AM$3)+(BA$3*BA35))/BC$3</f>
        <v>263.99549450549455</v>
      </c>
      <c r="BD35" s="240">
        <f>+((AV35*AV$3)+(AX$3*AX35))/BD$3</f>
        <v>265.85253233737296</v>
      </c>
      <c r="BE35" s="240">
        <f>+((AW35*AW$3)+(AY$3*AY35))/BE$3</f>
        <v>266.15944657534254</v>
      </c>
      <c r="BF35" s="491"/>
      <c r="BG35" s="491"/>
      <c r="BH35" s="23"/>
      <c r="BI35" s="23"/>
      <c r="BJ35" s="23"/>
    </row>
    <row r="36" spans="1:62" ht="16.2" thickBot="1" x14ac:dyDescent="0.35">
      <c r="A36" s="2807"/>
      <c r="B36" s="2818" t="s">
        <v>56</v>
      </c>
      <c r="C36" s="2819" t="s">
        <v>455</v>
      </c>
      <c r="D36" s="1200">
        <v>63</v>
      </c>
      <c r="E36" s="17">
        <f>E28/($E$3*24)</f>
        <v>60.08799999999998</v>
      </c>
      <c r="F36" s="1200">
        <v>63</v>
      </c>
      <c r="G36" s="17">
        <f>G28/($E$3*24)</f>
        <v>59.626666666666679</v>
      </c>
      <c r="H36" s="2817">
        <f>+((D36*D$3)+(F$3*F36))/H$3</f>
        <v>63</v>
      </c>
      <c r="I36" s="101">
        <f>+((E36*E$3)+(G$3*G36))/I$3</f>
        <v>59.853551912568307</v>
      </c>
      <c r="J36" s="1200">
        <v>63</v>
      </c>
      <c r="K36" s="95">
        <v>64.466444444444434</v>
      </c>
      <c r="L36" s="322">
        <f>+((D$3*D36)+(F$3*F36)+(J$3*J36))/L$3</f>
        <v>63</v>
      </c>
      <c r="M36" s="322">
        <f>+((E$3*E36)+(G$3*G36)+(K$3*K36))/M$3</f>
        <v>61.374285714285712</v>
      </c>
      <c r="N36" s="1200">
        <v>63</v>
      </c>
      <c r="O36" s="95">
        <v>65.554838709677426</v>
      </c>
      <c r="P36" s="240">
        <f>+((L36*L$3)+(N$3*N36))/P$3</f>
        <v>63</v>
      </c>
      <c r="Q36" s="240">
        <f>+((M36*M$3)+(O$3*O36))/Q$3</f>
        <v>62.436557377049184</v>
      </c>
      <c r="R36" s="1200">
        <v>63</v>
      </c>
      <c r="S36" s="95">
        <v>67.295698924731184</v>
      </c>
      <c r="T36" s="240">
        <f>+((P36*P$3)+(R$3*R36))/T$3</f>
        <v>63</v>
      </c>
      <c r="U36" s="240">
        <f>+((Q36*Q$3)+(S$3*S36))/U$3</f>
        <v>63.421089324618734</v>
      </c>
      <c r="V36" s="1200">
        <v>63</v>
      </c>
      <c r="W36" s="95">
        <v>63.384444444444426</v>
      </c>
      <c r="X36" s="322">
        <f>+((N36*N$3)+(R36*R$3)+(V$3*V36))/X$3</f>
        <v>63</v>
      </c>
      <c r="Y36" s="322">
        <f>+((O36*O$3)+(S36*S$3)+(W$3*W36))/Y$3</f>
        <v>65.43369565217391</v>
      </c>
      <c r="Z36" s="466">
        <f>+((T36*T$3)+(V$3*V36))/Z$3</f>
        <v>63</v>
      </c>
      <c r="AA36" s="466">
        <f>+((M36*M$3)+(Y$3*Y36))/AA$3</f>
        <v>63.415081967213112</v>
      </c>
      <c r="AB36" s="1200">
        <v>63</v>
      </c>
      <c r="AC36" s="95">
        <v>62.645161290322584</v>
      </c>
      <c r="AD36" s="240">
        <f>+((Z36*Z$3)+(AB$3*AB36))/AD$3</f>
        <v>63</v>
      </c>
      <c r="AE36" s="240">
        <f>+((AA36*AA$3)+(AC$3*AC36))/AE$3</f>
        <v>63.303551401869157</v>
      </c>
      <c r="AF36" s="1200">
        <v>63</v>
      </c>
      <c r="AG36" s="95">
        <v>67.766666666666666</v>
      </c>
      <c r="AH36" s="240">
        <f>+((AD36*AD$3)+(AF$3*AF36))/AH$3</f>
        <v>63</v>
      </c>
      <c r="AI36" s="240">
        <f>+((AE36*AE$3)+(AG$3*AG36))/AI$3</f>
        <v>63.852295081967206</v>
      </c>
      <c r="AJ36" s="1200">
        <v>63</v>
      </c>
      <c r="AK36" s="95">
        <v>66.166666666666671</v>
      </c>
      <c r="AL36" s="322">
        <f>+((AB36*AB$3)+(AF36*AF$3)+(AJ$3*AJ36))/AL$3</f>
        <v>63</v>
      </c>
      <c r="AM36" s="322">
        <f>+((AC36*AC$3)+(AG36*AG$3)+(AK$3*AK36))/AM$3</f>
        <v>65.501811594202906</v>
      </c>
      <c r="AN36" s="240">
        <f>+((AH36*AH$3)+(AJ$3*AJ36))/AN$3</f>
        <v>63</v>
      </c>
      <c r="AO36" s="240">
        <f>+((AI36*AI$3)+(AK$3*AK36))/AO$3</f>
        <v>64.113187878787883</v>
      </c>
      <c r="AP36" s="1200">
        <v>63</v>
      </c>
      <c r="AQ36" s="95">
        <v>63.181720430107525</v>
      </c>
      <c r="AR36" s="240">
        <f>+((AN36*AN$3)+(AP$3*AP36))/AR$3</f>
        <v>63</v>
      </c>
      <c r="AS36" s="240">
        <f>+((AO36*AO$3)+(AQ$3*AQ36))/AS$3</f>
        <v>64.018823529411776</v>
      </c>
      <c r="AT36" s="1200">
        <v>63</v>
      </c>
      <c r="AU36" s="95">
        <v>63.870238095238101</v>
      </c>
      <c r="AV36" s="240">
        <f>+((AR36*AR$3)+(AT$3*AT36))/AV$3</f>
        <v>63</v>
      </c>
      <c r="AW36" s="240">
        <f>+((AS36*AS$3)+(AU$3*AU36))/AW$3</f>
        <v>64.006367265469081</v>
      </c>
      <c r="AX36" s="1200">
        <v>63</v>
      </c>
      <c r="AY36" s="95">
        <v>59.837956989247317</v>
      </c>
      <c r="AZ36" s="322">
        <f>+((AP36*AP$3)+(AT36*AT$3)+(AX$3*AX36))/AZ$3</f>
        <v>63</v>
      </c>
      <c r="BA36" s="322">
        <f>+((AQ36*AQ$3)+(AU36*AU$3)+(AY$3*AY36))/BA$3</f>
        <v>62.244185185185195</v>
      </c>
      <c r="BB36" s="466">
        <f>+((AL36*AL$3)+(AZ$3*AZ36))/BB$3</f>
        <v>63</v>
      </c>
      <c r="BC36" s="466">
        <f>+((AM36*AM$3)+(BA$3*BA36))/BC$3</f>
        <v>63.890897435897436</v>
      </c>
      <c r="BD36" s="240">
        <f>+((AV36*AV$3)+(AX$3*AX36))/BD$3</f>
        <v>63</v>
      </c>
      <c r="BE36" s="240">
        <f>+((AW36*AW$3)+(AY$3*AY36))/BE$3</f>
        <v>63.652337899543397</v>
      </c>
      <c r="BF36" s="491"/>
      <c r="BG36" s="491"/>
      <c r="BH36" s="23"/>
      <c r="BI36" s="23"/>
      <c r="BJ36" s="23"/>
    </row>
    <row r="37" spans="1:62" ht="18" thickBot="1" x14ac:dyDescent="0.35">
      <c r="A37" s="2807"/>
      <c r="B37" s="2820" t="s">
        <v>452</v>
      </c>
      <c r="C37" s="44" t="s">
        <v>455</v>
      </c>
      <c r="D37" s="554">
        <f t="shared" ref="D37:I37" si="105">SUM(D35:D36)</f>
        <v>285.07113850831649</v>
      </c>
      <c r="E37" s="128">
        <f t="shared" si="105"/>
        <v>351.08366666666666</v>
      </c>
      <c r="F37" s="554">
        <f t="shared" ref="F37:G37" si="106">SUM(F35:F36)</f>
        <v>258.1993147320519</v>
      </c>
      <c r="G37" s="128">
        <f t="shared" si="106"/>
        <v>242.77466666666669</v>
      </c>
      <c r="H37" s="775">
        <f t="shared" si="105"/>
        <v>271.4149657695591</v>
      </c>
      <c r="I37" s="2821">
        <f t="shared" si="105"/>
        <v>296.0413879781421</v>
      </c>
      <c r="J37" s="554">
        <f t="shared" ref="J37:K37" si="107">SUM(J35:J36)</f>
        <v>368.10889403625907</v>
      </c>
      <c r="K37" s="128">
        <f t="shared" si="107"/>
        <v>351.20511111111114</v>
      </c>
      <c r="L37" s="1397">
        <f t="shared" ref="L37:Q37" si="108">SUM(L35:L36)</f>
        <v>303.29208497836129</v>
      </c>
      <c r="M37" s="558">
        <f t="shared" si="108"/>
        <v>314.2272307692308</v>
      </c>
      <c r="N37" s="554">
        <f t="shared" si="108"/>
        <v>369.8271575059951</v>
      </c>
      <c r="O37" s="128">
        <f t="shared" si="108"/>
        <v>358.57387096774193</v>
      </c>
      <c r="P37" s="775">
        <f t="shared" si="108"/>
        <v>320.19853783374367</v>
      </c>
      <c r="Q37" s="557">
        <f t="shared" si="108"/>
        <v>325.49563934426237</v>
      </c>
      <c r="R37" s="554">
        <f t="shared" ref="R37:S37" si="109">SUM(R35:R36)</f>
        <v>366.54613600061879</v>
      </c>
      <c r="S37" s="128">
        <f t="shared" si="109"/>
        <v>348.37215053763441</v>
      </c>
      <c r="T37" s="775">
        <f t="shared" ref="T37:W37" si="110">SUM(T35:T36)</f>
        <v>329.58922765840464</v>
      </c>
      <c r="U37" s="557">
        <f t="shared" si="110"/>
        <v>330.13074945533771</v>
      </c>
      <c r="V37" s="554">
        <f t="shared" si="110"/>
        <v>290.66460206894209</v>
      </c>
      <c r="W37" s="128">
        <f t="shared" si="110"/>
        <v>339.86577777777779</v>
      </c>
      <c r="X37" s="1397">
        <f t="shared" ref="X37:Y37" si="111">SUM(X35:X36)</f>
        <v>342.90771913884015</v>
      </c>
      <c r="Y37" s="558">
        <f t="shared" si="111"/>
        <v>349.03586956521741</v>
      </c>
      <c r="Z37" s="905">
        <f t="shared" ref="Z37:AE37" si="112">SUM(Z35:Z36)</f>
        <v>323.20814149619764</v>
      </c>
      <c r="AA37" s="479">
        <f t="shared" si="112"/>
        <v>331.7266557377049</v>
      </c>
      <c r="AB37" s="554">
        <f t="shared" si="112"/>
        <v>366.69230715299437</v>
      </c>
      <c r="AC37" s="128">
        <f t="shared" si="112"/>
        <v>305.26709677419353</v>
      </c>
      <c r="AD37" s="775">
        <f t="shared" si="112"/>
        <v>329.50724960535973</v>
      </c>
      <c r="AE37" s="557">
        <f t="shared" si="112"/>
        <v>327.89372897196267</v>
      </c>
      <c r="AF37" s="554">
        <f t="shared" ref="AF37:AG37" si="113">SUM(AF35:AF36)</f>
        <v>321.12530122472191</v>
      </c>
      <c r="AG37" s="128">
        <f t="shared" si="113"/>
        <v>341.72666666666669</v>
      </c>
      <c r="AH37" s="775">
        <f t="shared" ref="AH37:AK37" si="114">SUM(AH35:AH36)</f>
        <v>328.4766821815108</v>
      </c>
      <c r="AI37" s="557">
        <f t="shared" si="114"/>
        <v>329.59450000000004</v>
      </c>
      <c r="AJ37" s="554">
        <f t="shared" si="114"/>
        <v>321.04511028670095</v>
      </c>
      <c r="AK37" s="128">
        <f t="shared" si="114"/>
        <v>339.75795698924736</v>
      </c>
      <c r="AL37" s="1397">
        <f t="shared" ref="AL37:AS37" si="115">SUM(AL35:AL36)</f>
        <v>336.45238018882839</v>
      </c>
      <c r="AM37" s="558">
        <f t="shared" si="115"/>
        <v>328.77800724637689</v>
      </c>
      <c r="AN37" s="775">
        <f t="shared" si="115"/>
        <v>327.63894134973225</v>
      </c>
      <c r="AO37" s="557">
        <f t="shared" si="115"/>
        <v>330.74019878787885</v>
      </c>
      <c r="AP37" s="554">
        <f t="shared" si="115"/>
        <v>316.59932759434361</v>
      </c>
      <c r="AQ37" s="128">
        <f t="shared" si="115"/>
        <v>328.39688172043009</v>
      </c>
      <c r="AR37" s="775">
        <f t="shared" si="115"/>
        <v>326.52054910653925</v>
      </c>
      <c r="AS37" s="557">
        <f t="shared" si="115"/>
        <v>330.50280392156867</v>
      </c>
      <c r="AT37" s="554">
        <f t="shared" ref="AT37:AU37" si="116">SUM(AT35:AT36)</f>
        <v>319.16812530899199</v>
      </c>
      <c r="AU37" s="128">
        <f t="shared" si="116"/>
        <v>315.72380952380951</v>
      </c>
      <c r="AV37" s="775">
        <f t="shared" ref="AV37:AY37" si="117">SUM(AV35:AV36)</f>
        <v>325.90417824925981</v>
      </c>
      <c r="AW37" s="557">
        <f t="shared" si="117"/>
        <v>329.26384630738528</v>
      </c>
      <c r="AX37" s="554">
        <f t="shared" si="117"/>
        <v>360.61866993188249</v>
      </c>
      <c r="AY37" s="128">
        <f t="shared" si="117"/>
        <v>335.71537634408605</v>
      </c>
      <c r="AZ37" s="1397">
        <f t="shared" ref="AZ37:BE37" si="118">SUM(AZ35:AZ36)</f>
        <v>332.56072702183093</v>
      </c>
      <c r="BA37" s="558">
        <f t="shared" si="118"/>
        <v>326.97496296296299</v>
      </c>
      <c r="BB37" s="905">
        <f t="shared" si="118"/>
        <v>334.52793631503846</v>
      </c>
      <c r="BC37" s="479">
        <f t="shared" si="118"/>
        <v>327.88639194139199</v>
      </c>
      <c r="BD37" s="775">
        <f t="shared" si="118"/>
        <v>328.85253233737296</v>
      </c>
      <c r="BE37" s="557">
        <f t="shared" si="118"/>
        <v>329.81178447488594</v>
      </c>
      <c r="BF37" s="491"/>
      <c r="BG37" s="491"/>
      <c r="BH37" s="23"/>
      <c r="BI37" s="23"/>
      <c r="BJ37" s="23"/>
    </row>
    <row r="38" spans="1:62" ht="15.6" x14ac:dyDescent="0.3">
      <c r="A38" s="2807"/>
      <c r="B38" s="2822" t="s">
        <v>448</v>
      </c>
      <c r="C38" s="45" t="s">
        <v>455</v>
      </c>
      <c r="D38" s="2554">
        <v>3</v>
      </c>
      <c r="E38" s="508">
        <f>E31/($E$3*24)</f>
        <v>9.6216200000000143</v>
      </c>
      <c r="F38" s="2554">
        <v>3</v>
      </c>
      <c r="G38" s="508">
        <f>G31/($E$3*24)</f>
        <v>9.5493333333333599</v>
      </c>
      <c r="H38" s="50">
        <f>+((D38*D$3)+(F$3*F38))/H$3</f>
        <v>3</v>
      </c>
      <c r="I38" s="101">
        <f>+((E38*E$3)+(G$3*G38))/I$3</f>
        <v>9.5848841530054845</v>
      </c>
      <c r="J38" s="2554">
        <v>3</v>
      </c>
      <c r="K38" s="508">
        <v>11.314444444444478</v>
      </c>
      <c r="L38" s="217">
        <f>+((D$3*D38)+(F$3*F38)+(J$3*J38))/L$3</f>
        <v>3</v>
      </c>
      <c r="M38" s="74">
        <f>+((E$3*E38)+(G$3*G38)+(K$3*K38))/M$3</f>
        <v>10.155068864468888</v>
      </c>
      <c r="N38" s="2554">
        <v>3</v>
      </c>
      <c r="O38" s="508">
        <v>12.253225806451644</v>
      </c>
      <c r="P38" s="50">
        <f>+((L38*L$3)+(N$3*N38))/P$3</f>
        <v>3</v>
      </c>
      <c r="Q38" s="52">
        <f>+((M38*M$3)+(O$3*O38))/Q$3</f>
        <v>10.688207103825162</v>
      </c>
      <c r="R38" s="2554">
        <v>3</v>
      </c>
      <c r="S38" s="508">
        <v>12.320752688172062</v>
      </c>
      <c r="T38" s="50">
        <f>+((P38*P$3)+(R$3*R38))/T$3</f>
        <v>3</v>
      </c>
      <c r="U38" s="52">
        <f>+((Q38*Q$3)+(S$3*S38))/U$3</f>
        <v>11.018984313725516</v>
      </c>
      <c r="V38" s="2554">
        <v>3</v>
      </c>
      <c r="W38" s="508">
        <v>9.7617777777777928</v>
      </c>
      <c r="X38" s="217">
        <f>+((N38*N$3)+(R38*R$3)+(V$3*V38))/X$3</f>
        <v>3</v>
      </c>
      <c r="Y38" s="74">
        <f>+((O38*O$3)+(S38*S$3)+(W$3*W38))/Y$3</f>
        <v>11.463550724637704</v>
      </c>
      <c r="Z38" s="731">
        <f>+((L38*L$3)+(X$3*X38))/Z$3</f>
        <v>3</v>
      </c>
      <c r="AA38" s="466">
        <f>+((M38*M$3)+(Y$3*Y38))/AA$3</f>
        <v>10.812884881602939</v>
      </c>
      <c r="AB38" s="2554">
        <v>3</v>
      </c>
      <c r="AC38" s="508">
        <v>8.7907526881720521</v>
      </c>
      <c r="AD38" s="50">
        <f>+((Z38*Z$3)+(AB$3*AB38))/AD$3</f>
        <v>3</v>
      </c>
      <c r="AE38" s="52">
        <f>+((AA38*AA$3)+(AC$3*AC38))/AE$3</f>
        <v>10.519959190031177</v>
      </c>
      <c r="AF38" s="2554">
        <v>3</v>
      </c>
      <c r="AG38" s="508">
        <v>10.284000000000015</v>
      </c>
      <c r="AH38" s="50">
        <f>+((AD38*AD$3)+(AF$3*AF38))/AH$3</f>
        <v>3</v>
      </c>
      <c r="AI38" s="52">
        <f>+((AE38*AE$3)+(AG$3*AG38))/AI$3</f>
        <v>10.490947814207672</v>
      </c>
      <c r="AJ38" s="2554">
        <v>3</v>
      </c>
      <c r="AK38" s="508">
        <v>8.1818279569892454</v>
      </c>
      <c r="AL38" s="217">
        <f>+((AB38*AB$3)+(AF38*AF$3)+(AJ$3*AJ38))/AL$3</f>
        <v>3</v>
      </c>
      <c r="AM38" s="74">
        <f>+((AC38*AC$3)+(AG38*AG$3)+(AK$3*AK38))/AM$3</f>
        <v>9.0725000000000051</v>
      </c>
      <c r="AN38" s="50">
        <f>+((AH38*AH$3)+(AJ$3*AJ38))/AN$3</f>
        <v>3</v>
      </c>
      <c r="AO38" s="52">
        <f>+((AI38*AI$3)+(AK$3*AK38))/AO$3</f>
        <v>10.23064703030305</v>
      </c>
      <c r="AP38" s="2554">
        <v>3</v>
      </c>
      <c r="AQ38" s="508">
        <v>6.7769892473117714</v>
      </c>
      <c r="AR38" s="50">
        <f>+((AN38*AN$3)+(AP$3*AP38))/AR$3</f>
        <v>3</v>
      </c>
      <c r="AS38" s="52">
        <f>+((AO38*AO$3)+(AQ$3*AQ38))/AS$3</f>
        <v>9.8807666666666787</v>
      </c>
      <c r="AT38" s="2554">
        <v>3</v>
      </c>
      <c r="AU38" s="508">
        <v>14.144345238095282</v>
      </c>
      <c r="AV38" s="50">
        <f>+((AR38*AR$3)+(AT$3*AT38))/AV$3</f>
        <v>3</v>
      </c>
      <c r="AW38" s="52">
        <f>+((AS38*AS$3)+(AU$3*AU38))/AW$3</f>
        <v>10.238192415169674</v>
      </c>
      <c r="AX38" s="2554">
        <v>3</v>
      </c>
      <c r="AY38" s="508">
        <v>17.38946236559141</v>
      </c>
      <c r="AZ38" s="217">
        <f>+((AP38*AP$3)+(AT38*AT$3)+(AX$3*AX38))/AZ$3</f>
        <v>3</v>
      </c>
      <c r="BA38" s="74">
        <f>+((AQ38*AQ$3)+(AU38*AU$3)+(AY$3*AY38))/BA$3</f>
        <v>12.72446296296296</v>
      </c>
      <c r="BB38" s="731">
        <f>+((AL38*AL$3)+(AZ$3*AZ38))/BB$3</f>
        <v>3</v>
      </c>
      <c r="BC38" s="466">
        <f>+((AM38*AM$3)+(BA$3*BA38))/BC$3</f>
        <v>10.878415750915751</v>
      </c>
      <c r="BD38" s="50">
        <f>+((AV38*AV$3)+(AX$3*AX38))/BD$3</f>
        <v>3</v>
      </c>
      <c r="BE38" s="52">
        <f>+((AW38*AW$3)+(AY$3*AY38))/BE$3</f>
        <v>10.845560547945219</v>
      </c>
      <c r="BF38" s="491"/>
      <c r="BG38" s="491"/>
      <c r="BH38" s="23"/>
      <c r="BI38" s="23"/>
      <c r="BJ38" s="23"/>
    </row>
    <row r="39" spans="1:62" ht="17.399999999999999" x14ac:dyDescent="0.3">
      <c r="A39" s="2807"/>
      <c r="B39" s="1247" t="s">
        <v>453</v>
      </c>
      <c r="C39" s="2823" t="s">
        <v>455</v>
      </c>
      <c r="D39" s="678">
        <f t="shared" ref="D39:K39" si="119">+D37-D38</f>
        <v>282.07113850831649</v>
      </c>
      <c r="E39" s="224">
        <f t="shared" si="119"/>
        <v>341.46204666666665</v>
      </c>
      <c r="F39" s="678">
        <f t="shared" ref="F39:G39" si="120">+F37-F38</f>
        <v>255.1993147320519</v>
      </c>
      <c r="G39" s="224">
        <f t="shared" si="120"/>
        <v>233.22533333333334</v>
      </c>
      <c r="H39" s="906">
        <f t="shared" si="119"/>
        <v>268.4149657695591</v>
      </c>
      <c r="I39" s="2310">
        <f t="shared" si="119"/>
        <v>286.45650382513662</v>
      </c>
      <c r="J39" s="678">
        <f t="shared" si="119"/>
        <v>365.10889403625907</v>
      </c>
      <c r="K39" s="224">
        <f t="shared" si="119"/>
        <v>339.89066666666668</v>
      </c>
      <c r="L39" s="75">
        <f t="shared" ref="L39:Q39" si="121">+L37-L38</f>
        <v>300.29208497836129</v>
      </c>
      <c r="M39" s="76">
        <f t="shared" si="121"/>
        <v>304.07216190476191</v>
      </c>
      <c r="N39" s="678">
        <f t="shared" si="121"/>
        <v>366.8271575059951</v>
      </c>
      <c r="O39" s="224">
        <f t="shared" si="121"/>
        <v>346.32064516129026</v>
      </c>
      <c r="P39" s="906">
        <f t="shared" si="121"/>
        <v>317.19853783374367</v>
      </c>
      <c r="Q39" s="53">
        <f t="shared" si="121"/>
        <v>314.80743224043721</v>
      </c>
      <c r="R39" s="678">
        <f t="shared" ref="R39:S39" si="122">+R37-R38</f>
        <v>363.54613600061879</v>
      </c>
      <c r="S39" s="224">
        <f t="shared" si="122"/>
        <v>336.05139784946238</v>
      </c>
      <c r="T39" s="906">
        <f t="shared" ref="T39:W39" si="123">+T37-T38</f>
        <v>326.58922765840464</v>
      </c>
      <c r="U39" s="53">
        <f t="shared" si="123"/>
        <v>319.11176514161218</v>
      </c>
      <c r="V39" s="678">
        <f t="shared" si="123"/>
        <v>287.66460206894209</v>
      </c>
      <c r="W39" s="224">
        <f t="shared" si="123"/>
        <v>330.10399999999998</v>
      </c>
      <c r="X39" s="75">
        <f t="shared" ref="X39:Y39" si="124">+X37-X38</f>
        <v>339.90771913884015</v>
      </c>
      <c r="Y39" s="76">
        <f t="shared" si="124"/>
        <v>337.57231884057973</v>
      </c>
      <c r="Z39" s="907">
        <f t="shared" ref="Z39:AE39" si="125">+Z37-Z38</f>
        <v>320.20814149619764</v>
      </c>
      <c r="AA39" s="480">
        <f t="shared" si="125"/>
        <v>320.91377085610196</v>
      </c>
      <c r="AB39" s="678">
        <f t="shared" si="125"/>
        <v>363.69230715299437</v>
      </c>
      <c r="AC39" s="224">
        <f t="shared" si="125"/>
        <v>296.47634408602147</v>
      </c>
      <c r="AD39" s="906">
        <f t="shared" si="125"/>
        <v>326.50724960535973</v>
      </c>
      <c r="AE39" s="53">
        <f t="shared" si="125"/>
        <v>317.37376978193151</v>
      </c>
      <c r="AF39" s="678">
        <f t="shared" ref="AF39:AG39" si="126">+AF37-AF38</f>
        <v>318.12530122472191</v>
      </c>
      <c r="AG39" s="224">
        <f t="shared" si="126"/>
        <v>331.4426666666667</v>
      </c>
      <c r="AH39" s="906">
        <f t="shared" ref="AH39:AK39" si="127">+AH37-AH38</f>
        <v>325.4766821815108</v>
      </c>
      <c r="AI39" s="53">
        <f t="shared" si="127"/>
        <v>319.10355218579235</v>
      </c>
      <c r="AJ39" s="678">
        <f t="shared" si="127"/>
        <v>318.04511028670095</v>
      </c>
      <c r="AK39" s="224">
        <f t="shared" si="127"/>
        <v>331.57612903225811</v>
      </c>
      <c r="AL39" s="75">
        <f t="shared" ref="AL39:AS39" si="128">+AL37-AL38</f>
        <v>333.45238018882839</v>
      </c>
      <c r="AM39" s="76">
        <f t="shared" si="128"/>
        <v>319.7055072463769</v>
      </c>
      <c r="AN39" s="906">
        <f t="shared" si="128"/>
        <v>324.63894134973225</v>
      </c>
      <c r="AO39" s="53">
        <f t="shared" si="128"/>
        <v>320.50955175757582</v>
      </c>
      <c r="AP39" s="678">
        <f t="shared" si="128"/>
        <v>313.59932759434361</v>
      </c>
      <c r="AQ39" s="4874">
        <f t="shared" si="128"/>
        <v>321.61989247311834</v>
      </c>
      <c r="AR39" s="906">
        <f t="shared" si="128"/>
        <v>323.52054910653925</v>
      </c>
      <c r="AS39" s="53">
        <f t="shared" si="128"/>
        <v>320.62203725490201</v>
      </c>
      <c r="AT39" s="678">
        <f t="shared" ref="AT39:AU39" si="129">+AT37-AT38</f>
        <v>316.16812530899199</v>
      </c>
      <c r="AU39" s="4874">
        <f t="shared" si="129"/>
        <v>301.57946428571421</v>
      </c>
      <c r="AV39" s="906">
        <f t="shared" ref="AV39:AY39" si="130">+AV37-AV38</f>
        <v>322.90417824925981</v>
      </c>
      <c r="AW39" s="53">
        <f t="shared" si="130"/>
        <v>319.02565389221559</v>
      </c>
      <c r="AX39" s="678">
        <f t="shared" si="130"/>
        <v>357.61866993188249</v>
      </c>
      <c r="AY39" s="4874">
        <f t="shared" si="130"/>
        <v>318.32591397849467</v>
      </c>
      <c r="AZ39" s="75">
        <f t="shared" ref="AZ39:BE39" si="131">+AZ37-AZ38</f>
        <v>329.56072702183093</v>
      </c>
      <c r="BA39" s="76">
        <f t="shared" si="131"/>
        <v>314.25050000000005</v>
      </c>
      <c r="BB39" s="907">
        <f t="shared" si="131"/>
        <v>331.52793631503846</v>
      </c>
      <c r="BC39" s="480">
        <f t="shared" si="131"/>
        <v>317.00797619047626</v>
      </c>
      <c r="BD39" s="906">
        <f t="shared" si="131"/>
        <v>325.85253233737296</v>
      </c>
      <c r="BE39" s="53">
        <f t="shared" si="131"/>
        <v>318.9662239269407</v>
      </c>
      <c r="BF39" s="491"/>
      <c r="BG39" s="491"/>
      <c r="BH39" s="23"/>
      <c r="BI39" s="23"/>
      <c r="BJ39" s="23"/>
    </row>
    <row r="40" spans="1:62" ht="17.399999999999999" x14ac:dyDescent="0.3">
      <c r="B40" s="5605" t="s">
        <v>451</v>
      </c>
      <c r="C40" s="43"/>
      <c r="D40" s="908"/>
      <c r="E40" s="638"/>
      <c r="F40" s="908"/>
      <c r="G40" s="638"/>
      <c r="H40" s="565"/>
      <c r="I40" s="638"/>
      <c r="J40" s="908"/>
      <c r="K40" s="638"/>
      <c r="L40" s="565"/>
      <c r="M40" s="565"/>
      <c r="N40" s="908"/>
      <c r="O40" s="638"/>
      <c r="P40" s="565"/>
      <c r="Q40" s="565"/>
      <c r="R40" s="908"/>
      <c r="S40" s="638"/>
      <c r="T40" s="565"/>
      <c r="U40" s="565"/>
      <c r="V40" s="908"/>
      <c r="W40" s="638"/>
      <c r="X40" s="565"/>
      <c r="Y40" s="565"/>
      <c r="Z40" s="565"/>
      <c r="AA40" s="565"/>
      <c r="AB40" s="908"/>
      <c r="AC40" s="638"/>
      <c r="AD40" s="565"/>
      <c r="AE40" s="565"/>
      <c r="AF40" s="908"/>
      <c r="AG40" s="638"/>
      <c r="AH40" s="565"/>
      <c r="AI40" s="565"/>
      <c r="AJ40" s="908"/>
      <c r="AK40" s="638"/>
      <c r="AL40" s="565"/>
      <c r="AM40" s="565"/>
      <c r="AN40" s="565"/>
      <c r="AO40" s="565"/>
      <c r="AP40" s="908"/>
      <c r="AQ40" s="638"/>
      <c r="AR40" s="565"/>
      <c r="AS40" s="565"/>
      <c r="AT40" s="908"/>
      <c r="AU40" s="638"/>
      <c r="AV40" s="565"/>
      <c r="AW40" s="565"/>
      <c r="AX40" s="908"/>
      <c r="AY40" s="638"/>
      <c r="AZ40" s="565"/>
      <c r="BA40" s="565"/>
      <c r="BB40" s="565"/>
      <c r="BC40" s="565"/>
      <c r="BD40" s="565"/>
      <c r="BE40" s="565"/>
      <c r="BF40" s="491"/>
      <c r="BG40" s="491"/>
      <c r="BH40" s="23"/>
      <c r="BI40" s="23"/>
      <c r="BJ40" s="23"/>
    </row>
    <row r="41" spans="1:62" ht="15.6" x14ac:dyDescent="0.3">
      <c r="B41" s="2816" t="s">
        <v>1930</v>
      </c>
      <c r="C41" s="2346" t="s">
        <v>455</v>
      </c>
      <c r="D41" s="710">
        <v>20</v>
      </c>
      <c r="E41" s="77">
        <v>17.417000000000005</v>
      </c>
      <c r="F41" s="710">
        <v>20</v>
      </c>
      <c r="G41" s="77">
        <v>17.133870967741935</v>
      </c>
      <c r="H41" s="2817">
        <f t="shared" ref="H41:I48" si="132">+((D41*D$3)+(F$3*F41))/H$3</f>
        <v>20</v>
      </c>
      <c r="I41" s="101">
        <f t="shared" si="132"/>
        <v>17.273114754098362</v>
      </c>
      <c r="J41" s="710">
        <v>23</v>
      </c>
      <c r="K41" s="77">
        <v>19.844333333333335</v>
      </c>
      <c r="L41" s="322">
        <f t="shared" ref="L41:L48" si="133">+((H41*H$3)+(J$3*J41))/L$3</f>
        <v>20.989010989010989</v>
      </c>
      <c r="M41" s="322">
        <f t="shared" ref="M41:M48" si="134">+((I41*I$3)+(K$3*K41))/M$3</f>
        <v>18.120769230769234</v>
      </c>
      <c r="N41" s="710">
        <v>23</v>
      </c>
      <c r="O41" s="77">
        <v>19.520967741935486</v>
      </c>
      <c r="P41" s="240">
        <f t="shared" ref="P41:P48" si="135">+((L41*L$3)+(N$3*N41))/P$3</f>
        <v>21.5</v>
      </c>
      <c r="Q41" s="240">
        <f t="shared" ref="Q41:Q48" si="136">+((M41*M$3)+(O$3*O41))/Q$3</f>
        <v>18.476557377049183</v>
      </c>
      <c r="R41" s="710">
        <v>23</v>
      </c>
      <c r="S41" s="77">
        <v>14.385806451612904</v>
      </c>
      <c r="T41" s="240">
        <f t="shared" ref="T41:T48" si="137">+((P41*P$3)+(R$3*R41))/T$3</f>
        <v>21.803921568627452</v>
      </c>
      <c r="U41" s="240">
        <f t="shared" ref="U41:U48" si="138">+((Q41*Q$3)+(S$3*S41))/U$3</f>
        <v>17.647712418300657</v>
      </c>
      <c r="V41" s="710">
        <v>23</v>
      </c>
      <c r="W41" s="77">
        <v>14.848666666666665</v>
      </c>
      <c r="X41" s="322">
        <f t="shared" ref="X41:Y43" si="139">+((N41*N$3)+(R41*R$3)+(V$3*V41))/X$3</f>
        <v>23</v>
      </c>
      <c r="Y41" s="322">
        <f t="shared" si="139"/>
        <v>16.267065217391306</v>
      </c>
      <c r="Z41" s="622">
        <f t="shared" ref="Z41:Z48" si="140">+((L41*L$3)+(X$3*X41))/Z$3</f>
        <v>22</v>
      </c>
      <c r="AA41" s="622">
        <f>+((M41*M$3)+(Y$3*Y41))/AA$3</f>
        <v>17.188852459016395</v>
      </c>
      <c r="AB41" s="710">
        <v>23</v>
      </c>
      <c r="AC41" s="77">
        <v>15.74516129032258</v>
      </c>
      <c r="AD41" s="240">
        <f t="shared" ref="AD41:AD48" si="141">+((Z41*Z$3)+(AB$3*AB41))/AD$3</f>
        <v>22.144859813084111</v>
      </c>
      <c r="AE41" s="240">
        <f t="shared" ref="AE41:AE48" si="142">+((AA41*AA$3)+(AC$3*AC41))/AE$3</f>
        <v>16.979719626168226</v>
      </c>
      <c r="AF41" s="710">
        <v>23</v>
      </c>
      <c r="AG41" s="77">
        <v>15.930999999999999</v>
      </c>
      <c r="AH41" s="240">
        <f t="shared" ref="AH41:AH48" si="143">+((AD41*AD$3)+(AF$3*AF41))/AH$3</f>
        <v>22.25</v>
      </c>
      <c r="AI41" s="240">
        <f t="shared" ref="AI41:AI48" si="144">+((AE41*AE$3)+(AG$3*AG41))/AI$3</f>
        <v>16.850778688524592</v>
      </c>
      <c r="AJ41" s="710">
        <v>23</v>
      </c>
      <c r="AK41" s="77">
        <v>15.706774193548387</v>
      </c>
      <c r="AL41" s="322">
        <f t="shared" ref="AL41:AL48" si="145">+((AB41*AB$3)+(AF41*AF$3)+(AJ$3*AJ41))/AL$3</f>
        <v>23</v>
      </c>
      <c r="AM41" s="322">
        <f t="shared" ref="AM41:AM48" si="146">+((AC41*AC$3)+(AG41*AG$3)+(AK$3*AK41))/AM$3</f>
        <v>15.792826086956522</v>
      </c>
      <c r="AN41" s="240">
        <f t="shared" ref="AN41:AO48" si="147">+((AH41*AH$3)+(AJ$3*AJ41))/AN$3</f>
        <v>22.334545454545456</v>
      </c>
      <c r="AO41" s="240">
        <f t="shared" si="147"/>
        <v>16.721818181818183</v>
      </c>
      <c r="AP41" s="710">
        <v>23</v>
      </c>
      <c r="AQ41" s="77">
        <v>15.76483870967742</v>
      </c>
      <c r="AR41" s="240">
        <f t="shared" ref="AR41:AR48" si="148">+((AN41*AN$3)+(AP$3*AP41))/AR$3</f>
        <v>22.401960784313726</v>
      </c>
      <c r="AS41" s="240">
        <f t="shared" ref="AS41:AS48" si="149">+((AO41*AO$3)+(AQ$3*AQ41))/AS$3</f>
        <v>16.624869281045751</v>
      </c>
      <c r="AT41" s="710">
        <v>23</v>
      </c>
      <c r="AU41" s="77">
        <v>17.728928571428572</v>
      </c>
      <c r="AV41" s="240">
        <f t="shared" ref="AV41:AV48" si="150">+((AR41*AR$3)+(AT$3*AT41))/AV$3</f>
        <v>22.452095808383234</v>
      </c>
      <c r="AW41" s="240">
        <f t="shared" ref="AW41:AW48" si="151">+((AS41*AS$3)+(AU$3*AU41))/AW$3</f>
        <v>16.717425149700599</v>
      </c>
      <c r="AX41" s="710">
        <v>23</v>
      </c>
      <c r="AY41" s="77">
        <v>18.416129032258066</v>
      </c>
      <c r="AZ41" s="322">
        <f t="shared" ref="AZ41:AZ48" si="152">+((AP41*AP$3)+(AT41*AT$3)+(AX$3*AX41))/AZ$3</f>
        <v>23</v>
      </c>
      <c r="BA41" s="322">
        <f t="shared" ref="BA41:BA48" si="153">+((AQ41*AQ$3)+(AU41*AU$3)+(AY$3*AY41))/BA$3</f>
        <v>17.289111111111115</v>
      </c>
      <c r="BB41" s="622">
        <f t="shared" ref="BB41:BC48" si="154">+((AL41*AL$3)+(AZ$3*AZ41))/BB$3</f>
        <v>23</v>
      </c>
      <c r="BC41" s="622">
        <f t="shared" si="154"/>
        <v>16.532747252747257</v>
      </c>
      <c r="BD41" s="240">
        <f t="shared" ref="BD41:BD48" si="155">+((AV41*AV$3)+(AX$3*AX41))/BD$3</f>
        <v>22.4986301369863</v>
      </c>
      <c r="BE41" s="240">
        <f t="shared" ref="BE41:BE48" si="156">+((AW41*AW$3)+(AY$3*AY41))/BE$3</f>
        <v>16.861698630136988</v>
      </c>
      <c r="BF41" s="491"/>
      <c r="BG41" s="491"/>
      <c r="BH41" s="23"/>
      <c r="BI41" s="23"/>
      <c r="BJ41" s="23"/>
    </row>
    <row r="42" spans="1:62" ht="15.75" customHeight="1" x14ac:dyDescent="0.3">
      <c r="B42" s="2816" t="s">
        <v>1931</v>
      </c>
      <c r="C42" s="2346" t="s">
        <v>455</v>
      </c>
      <c r="D42" s="710">
        <v>14</v>
      </c>
      <c r="E42" s="77">
        <v>13.756666666666666</v>
      </c>
      <c r="F42" s="710">
        <v>14</v>
      </c>
      <c r="G42" s="77">
        <v>10.736774193548388</v>
      </c>
      <c r="H42" s="2817">
        <f t="shared" si="132"/>
        <v>14</v>
      </c>
      <c r="I42" s="101">
        <f t="shared" si="132"/>
        <v>12.221967213114754</v>
      </c>
      <c r="J42" s="710">
        <v>19</v>
      </c>
      <c r="K42" s="77">
        <v>0</v>
      </c>
      <c r="L42" s="322">
        <f t="shared" si="133"/>
        <v>15.648351648351648</v>
      </c>
      <c r="M42" s="322">
        <f t="shared" si="134"/>
        <v>8.1927472527472531</v>
      </c>
      <c r="N42" s="710">
        <v>19</v>
      </c>
      <c r="O42" s="77">
        <v>0</v>
      </c>
      <c r="P42" s="240">
        <f t="shared" si="135"/>
        <v>16.5</v>
      </c>
      <c r="Q42" s="240">
        <f t="shared" si="136"/>
        <v>6.1109836065573777</v>
      </c>
      <c r="R42" s="710">
        <v>19</v>
      </c>
      <c r="S42" s="77">
        <v>0</v>
      </c>
      <c r="T42" s="240">
        <f t="shared" si="137"/>
        <v>17.006535947712418</v>
      </c>
      <c r="U42" s="240">
        <f t="shared" si="138"/>
        <v>4.8728104575163407</v>
      </c>
      <c r="V42" s="710">
        <v>19</v>
      </c>
      <c r="W42" s="77">
        <v>0</v>
      </c>
      <c r="X42" s="322">
        <f t="shared" si="139"/>
        <v>19</v>
      </c>
      <c r="Y42" s="322">
        <f t="shared" si="139"/>
        <v>0</v>
      </c>
      <c r="Z42" s="622">
        <f t="shared" si="140"/>
        <v>17.333333333333332</v>
      </c>
      <c r="AA42" s="622">
        <f t="shared" ref="AA42:AA48" si="157">+((M42*M$3)+(Y$3*Y42))/AA$3</f>
        <v>4.0739890710382518</v>
      </c>
      <c r="AB42" s="710">
        <v>19</v>
      </c>
      <c r="AC42" s="77">
        <v>0</v>
      </c>
      <c r="AD42" s="240">
        <f t="shared" si="141"/>
        <v>17.574766355140188</v>
      </c>
      <c r="AE42" s="240">
        <f t="shared" si="142"/>
        <v>3.4838317757009349</v>
      </c>
      <c r="AF42" s="710">
        <v>19</v>
      </c>
      <c r="AG42" s="77">
        <v>2.0350000000000001</v>
      </c>
      <c r="AH42" s="240">
        <f t="shared" si="143"/>
        <v>17.75</v>
      </c>
      <c r="AI42" s="240">
        <f t="shared" si="144"/>
        <v>3.3056967213114756</v>
      </c>
      <c r="AJ42" s="710">
        <v>19</v>
      </c>
      <c r="AK42" s="77">
        <v>9.9215053763440864</v>
      </c>
      <c r="AL42" s="322">
        <f t="shared" si="145"/>
        <v>19</v>
      </c>
      <c r="AM42" s="322">
        <f t="shared" si="146"/>
        <v>4.0067028985507251</v>
      </c>
      <c r="AN42" s="240">
        <f t="shared" si="147"/>
        <v>17.890909090909091</v>
      </c>
      <c r="AO42" s="240">
        <f t="shared" si="147"/>
        <v>4.0514787878787883</v>
      </c>
      <c r="AP42" s="710">
        <v>19</v>
      </c>
      <c r="AQ42" s="77">
        <v>7.7421505376344086</v>
      </c>
      <c r="AR42" s="240">
        <f t="shared" si="148"/>
        <v>18.003267973856211</v>
      </c>
      <c r="AS42" s="240">
        <f t="shared" si="149"/>
        <v>4.4253703703703708</v>
      </c>
      <c r="AT42" s="710">
        <v>19</v>
      </c>
      <c r="AU42" s="77">
        <v>7.7541071428571433</v>
      </c>
      <c r="AV42" s="240">
        <f t="shared" si="150"/>
        <v>18.086826347305394</v>
      </c>
      <c r="AW42" s="240">
        <f t="shared" si="151"/>
        <v>4.7044261477045914</v>
      </c>
      <c r="AX42" s="710">
        <v>19</v>
      </c>
      <c r="AY42" s="77">
        <v>9.921397849462366</v>
      </c>
      <c r="AZ42" s="322">
        <f t="shared" si="152"/>
        <v>19</v>
      </c>
      <c r="BA42" s="322">
        <f t="shared" si="153"/>
        <v>8.4964999999999993</v>
      </c>
      <c r="BB42" s="622">
        <f t="shared" si="154"/>
        <v>19</v>
      </c>
      <c r="BC42" s="622">
        <f t="shared" si="154"/>
        <v>6.2269322344322351</v>
      </c>
      <c r="BD42" s="240">
        <f t="shared" si="155"/>
        <v>18.164383561643842</v>
      </c>
      <c r="BE42" s="240">
        <f t="shared" si="156"/>
        <v>5.1475114155251145</v>
      </c>
      <c r="BF42" s="491"/>
      <c r="BG42" s="491"/>
      <c r="BH42" s="23"/>
      <c r="BI42" s="23"/>
      <c r="BJ42" s="23"/>
    </row>
    <row r="43" spans="1:62" ht="15.6" x14ac:dyDescent="0.3">
      <c r="B43" s="2816" t="s">
        <v>1932</v>
      </c>
      <c r="C43" s="2346" t="s">
        <v>455</v>
      </c>
      <c r="D43" s="710">
        <v>9</v>
      </c>
      <c r="E43" s="77">
        <v>10.208666666666668</v>
      </c>
      <c r="F43" s="710">
        <v>9</v>
      </c>
      <c r="G43" s="77">
        <v>4.1245161290322585</v>
      </c>
      <c r="H43" s="2817">
        <f t="shared" si="132"/>
        <v>9</v>
      </c>
      <c r="I43" s="101">
        <f t="shared" si="132"/>
        <v>7.1167213114754109</v>
      </c>
      <c r="J43" s="710">
        <v>8</v>
      </c>
      <c r="K43" s="77">
        <v>5.5400000000000009</v>
      </c>
      <c r="L43" s="322">
        <f t="shared" si="133"/>
        <v>8.6703296703296697</v>
      </c>
      <c r="M43" s="322">
        <f t="shared" si="134"/>
        <v>6.5969230769230771</v>
      </c>
      <c r="N43" s="710">
        <v>8</v>
      </c>
      <c r="O43" s="77">
        <v>6.5196774193548395</v>
      </c>
      <c r="P43" s="240">
        <f t="shared" si="135"/>
        <v>8.5</v>
      </c>
      <c r="Q43" s="240">
        <f t="shared" si="136"/>
        <v>6.5772950819672138</v>
      </c>
      <c r="R43" s="710">
        <v>8</v>
      </c>
      <c r="S43" s="77">
        <v>7.6626881720430111</v>
      </c>
      <c r="T43" s="240">
        <f t="shared" si="137"/>
        <v>8.3986928104575167</v>
      </c>
      <c r="U43" s="240">
        <f t="shared" si="138"/>
        <v>6.7972113289760347</v>
      </c>
      <c r="V43" s="710">
        <v>9</v>
      </c>
      <c r="W43" s="77">
        <v>8.9433333333333316</v>
      </c>
      <c r="X43" s="322">
        <f t="shared" si="139"/>
        <v>8.3260869565217384</v>
      </c>
      <c r="Y43" s="322">
        <f t="shared" si="139"/>
        <v>7.6951449275362327</v>
      </c>
      <c r="Z43" s="622">
        <f t="shared" si="140"/>
        <v>8.4972677595628419</v>
      </c>
      <c r="AA43" s="622">
        <f t="shared" si="157"/>
        <v>7.1490346083788721</v>
      </c>
      <c r="AB43" s="710">
        <v>8</v>
      </c>
      <c r="AC43" s="77">
        <v>9.0180645161290318</v>
      </c>
      <c r="AD43" s="240">
        <f t="shared" si="141"/>
        <v>8.425233644859814</v>
      </c>
      <c r="AE43" s="240">
        <f t="shared" si="142"/>
        <v>7.4197819314641755</v>
      </c>
      <c r="AF43" s="710">
        <v>8</v>
      </c>
      <c r="AG43" s="77">
        <v>11.641</v>
      </c>
      <c r="AH43" s="240">
        <f t="shared" si="143"/>
        <v>8.3729508196721323</v>
      </c>
      <c r="AI43" s="240">
        <f t="shared" si="144"/>
        <v>7.9387841530054652</v>
      </c>
      <c r="AJ43" s="710">
        <v>8</v>
      </c>
      <c r="AK43" s="77">
        <v>12.986451612903226</v>
      </c>
      <c r="AL43" s="322">
        <f t="shared" si="145"/>
        <v>8</v>
      </c>
      <c r="AM43" s="322">
        <f t="shared" si="146"/>
        <v>11.210543478260869</v>
      </c>
      <c r="AN43" s="240">
        <f t="shared" si="147"/>
        <v>8.3309090909090902</v>
      </c>
      <c r="AO43" s="240">
        <f t="shared" si="147"/>
        <v>8.5077939393939399</v>
      </c>
      <c r="AP43" s="710">
        <v>8</v>
      </c>
      <c r="AQ43" s="77">
        <v>14.035806451612903</v>
      </c>
      <c r="AR43" s="240">
        <f t="shared" si="148"/>
        <v>8.2973856209150334</v>
      </c>
      <c r="AS43" s="240">
        <f t="shared" si="149"/>
        <v>9.0678213507625287</v>
      </c>
      <c r="AT43" s="710">
        <v>8</v>
      </c>
      <c r="AU43" s="77">
        <v>14.574285714285715</v>
      </c>
      <c r="AV43" s="240">
        <f t="shared" si="150"/>
        <v>8.2724550898203599</v>
      </c>
      <c r="AW43" s="240">
        <f t="shared" si="151"/>
        <v>9.5294411177644722</v>
      </c>
      <c r="AX43" s="710">
        <v>8</v>
      </c>
      <c r="AY43" s="77">
        <v>7.1574193548387095</v>
      </c>
      <c r="AZ43" s="322">
        <f t="shared" si="152"/>
        <v>8</v>
      </c>
      <c r="BA43" s="322">
        <f t="shared" si="153"/>
        <v>11.834111111111113</v>
      </c>
      <c r="BB43" s="622">
        <f t="shared" si="154"/>
        <v>8</v>
      </c>
      <c r="BC43" s="622">
        <f t="shared" si="154"/>
        <v>11.518901098901098</v>
      </c>
      <c r="BD43" s="240">
        <f t="shared" si="155"/>
        <v>8.24931506849315</v>
      </c>
      <c r="BE43" s="240">
        <f t="shared" si="156"/>
        <v>9.3279817351598187</v>
      </c>
      <c r="BF43" s="491"/>
      <c r="BG43" s="491"/>
      <c r="BH43" s="23"/>
      <c r="BI43" s="23"/>
      <c r="BJ43" s="23"/>
    </row>
    <row r="44" spans="1:62" ht="15.6" x14ac:dyDescent="0.3">
      <c r="B44" s="4372" t="s">
        <v>1933</v>
      </c>
      <c r="C44" s="4373" t="s">
        <v>455</v>
      </c>
      <c r="D44" s="4374">
        <f t="shared" ref="D44:M44" si="158">SUM(D41:D43)</f>
        <v>43</v>
      </c>
      <c r="E44" s="4374">
        <f t="shared" si="158"/>
        <v>41.382333333333335</v>
      </c>
      <c r="F44" s="4374">
        <f t="shared" ref="F44:G44" si="159">SUM(F41:F43)</f>
        <v>43</v>
      </c>
      <c r="G44" s="4374">
        <f t="shared" si="159"/>
        <v>31.995161290322581</v>
      </c>
      <c r="H44" s="4279">
        <f t="shared" si="158"/>
        <v>43</v>
      </c>
      <c r="I44" s="4295">
        <f t="shared" si="158"/>
        <v>36.611803278688527</v>
      </c>
      <c r="J44" s="4374">
        <f t="shared" si="158"/>
        <v>50</v>
      </c>
      <c r="K44" s="4374">
        <f t="shared" si="158"/>
        <v>25.384333333333338</v>
      </c>
      <c r="L44" s="4280">
        <f t="shared" si="158"/>
        <v>45.307692307692307</v>
      </c>
      <c r="M44" s="4280">
        <f t="shared" si="158"/>
        <v>32.910439560439563</v>
      </c>
      <c r="N44" s="4374">
        <f t="shared" ref="N44:O44" si="160">SUM(N41:N43)</f>
        <v>50</v>
      </c>
      <c r="O44" s="4374">
        <f t="shared" si="160"/>
        <v>26.040645161290325</v>
      </c>
      <c r="P44" s="4279">
        <f t="shared" ref="P44:U44" si="161">SUM(P41:P43)</f>
        <v>46.5</v>
      </c>
      <c r="Q44" s="4279">
        <f t="shared" si="161"/>
        <v>31.164836065573773</v>
      </c>
      <c r="R44" s="4374">
        <f t="shared" si="161"/>
        <v>50</v>
      </c>
      <c r="S44" s="4374">
        <f t="shared" si="161"/>
        <v>22.048494623655916</v>
      </c>
      <c r="T44" s="4279">
        <f t="shared" si="161"/>
        <v>47.209150326797385</v>
      </c>
      <c r="U44" s="4279">
        <f t="shared" si="161"/>
        <v>29.317734204793034</v>
      </c>
      <c r="V44" s="4374">
        <f t="shared" ref="V44:W44" si="162">SUM(V41:V43)</f>
        <v>51</v>
      </c>
      <c r="W44" s="4374">
        <f t="shared" si="162"/>
        <v>23.791999999999994</v>
      </c>
      <c r="X44" s="4280">
        <f t="shared" ref="X44:AC44" si="163">SUM(X41:X43)</f>
        <v>50.326086956521735</v>
      </c>
      <c r="Y44" s="4280">
        <f t="shared" si="163"/>
        <v>23.962210144927539</v>
      </c>
      <c r="Z44" s="4371">
        <f t="shared" si="163"/>
        <v>47.830601092896174</v>
      </c>
      <c r="AA44" s="4371">
        <f t="shared" si="163"/>
        <v>28.41187613843352</v>
      </c>
      <c r="AB44" s="4374">
        <f t="shared" si="163"/>
        <v>50</v>
      </c>
      <c r="AC44" s="4374">
        <f t="shared" si="163"/>
        <v>24.763225806451612</v>
      </c>
      <c r="AD44" s="4279">
        <f t="shared" ref="AD44:AG44" si="164">SUM(AD41:AD43)</f>
        <v>48.144859813084111</v>
      </c>
      <c r="AE44" s="4279">
        <f t="shared" si="164"/>
        <v>27.883333333333336</v>
      </c>
      <c r="AF44" s="4374">
        <f t="shared" si="164"/>
        <v>50</v>
      </c>
      <c r="AG44" s="4374">
        <f t="shared" si="164"/>
        <v>29.606999999999999</v>
      </c>
      <c r="AH44" s="4279">
        <f t="shared" ref="AH44:AK44" si="165">SUM(AH41:AH43)</f>
        <v>48.372950819672134</v>
      </c>
      <c r="AI44" s="4279">
        <f t="shared" si="165"/>
        <v>28.095259562841534</v>
      </c>
      <c r="AJ44" s="4374">
        <f t="shared" si="165"/>
        <v>50</v>
      </c>
      <c r="AK44" s="4374">
        <f t="shared" si="165"/>
        <v>38.614731182795701</v>
      </c>
      <c r="AL44" s="4280">
        <f t="shared" ref="AL44:AQ44" si="166">SUM(AL41:AL43)</f>
        <v>50</v>
      </c>
      <c r="AM44" s="4280">
        <f t="shared" si="166"/>
        <v>31.010072463768118</v>
      </c>
      <c r="AN44" s="4279">
        <f t="shared" si="166"/>
        <v>48.556363636363635</v>
      </c>
      <c r="AO44" s="4279">
        <f t="shared" si="166"/>
        <v>29.281090909090913</v>
      </c>
      <c r="AP44" s="4374">
        <f t="shared" si="166"/>
        <v>50</v>
      </c>
      <c r="AQ44" s="4374">
        <f t="shared" si="166"/>
        <v>37.542795698924735</v>
      </c>
      <c r="AR44" s="4279">
        <f t="shared" ref="AR44:AU44" si="167">SUM(AR41:AR43)</f>
        <v>48.702614379084977</v>
      </c>
      <c r="AS44" s="4279">
        <f t="shared" si="167"/>
        <v>30.118061002178649</v>
      </c>
      <c r="AT44" s="4374">
        <f t="shared" si="167"/>
        <v>50</v>
      </c>
      <c r="AU44" s="4374">
        <f t="shared" si="167"/>
        <v>40.057321428571427</v>
      </c>
      <c r="AV44" s="4279">
        <f t="shared" ref="AV44:AY44" si="168">SUM(AV41:AV43)</f>
        <v>48.811377245508986</v>
      </c>
      <c r="AW44" s="4279">
        <f t="shared" si="168"/>
        <v>30.951292415169661</v>
      </c>
      <c r="AX44" s="4374">
        <f t="shared" si="168"/>
        <v>50</v>
      </c>
      <c r="AY44" s="4374">
        <f t="shared" si="168"/>
        <v>35.494946236559144</v>
      </c>
      <c r="AZ44" s="4280">
        <f t="shared" ref="AZ44:BE44" si="169">SUM(AZ41:AZ43)</f>
        <v>50</v>
      </c>
      <c r="BA44" s="4280">
        <f t="shared" si="169"/>
        <v>37.619722222222229</v>
      </c>
      <c r="BB44" s="4371">
        <f t="shared" si="169"/>
        <v>50</v>
      </c>
      <c r="BC44" s="4371">
        <f t="shared" si="169"/>
        <v>34.278580586080587</v>
      </c>
      <c r="BD44" s="4279">
        <f t="shared" si="169"/>
        <v>48.912328767123284</v>
      </c>
      <c r="BE44" s="4279">
        <f t="shared" si="169"/>
        <v>31.337191780821918</v>
      </c>
      <c r="BF44" s="491"/>
      <c r="BG44" s="491"/>
      <c r="BH44" s="23"/>
      <c r="BI44" s="23"/>
      <c r="BJ44" s="23"/>
    </row>
    <row r="45" spans="1:62" ht="15.6" x14ac:dyDescent="0.3">
      <c r="B45" s="2816" t="s">
        <v>2234</v>
      </c>
      <c r="C45" s="2346" t="s">
        <v>455</v>
      </c>
      <c r="D45" s="710">
        <v>9</v>
      </c>
      <c r="E45" s="77">
        <v>3.3333333333333333E-2</v>
      </c>
      <c r="F45" s="710">
        <v>9</v>
      </c>
      <c r="G45" s="77">
        <v>0</v>
      </c>
      <c r="H45" s="2817">
        <f t="shared" si="132"/>
        <v>9</v>
      </c>
      <c r="I45" s="101">
        <f t="shared" si="132"/>
        <v>1.6393442622950821E-2</v>
      </c>
      <c r="J45" s="710">
        <v>9</v>
      </c>
      <c r="K45" s="77">
        <v>3.8310000000000008</v>
      </c>
      <c r="L45" s="322">
        <f t="shared" si="133"/>
        <v>9</v>
      </c>
      <c r="M45" s="322">
        <f t="shared" si="134"/>
        <v>1.2739560439560442</v>
      </c>
      <c r="N45" s="710">
        <v>9</v>
      </c>
      <c r="O45" s="77">
        <v>0.54516129032258065</v>
      </c>
      <c r="P45" s="240">
        <f t="shared" si="135"/>
        <v>9</v>
      </c>
      <c r="Q45" s="240">
        <f t="shared" si="136"/>
        <v>1.0887704918032788</v>
      </c>
      <c r="R45" s="710">
        <v>9</v>
      </c>
      <c r="S45" s="77">
        <v>0.3470967741935484</v>
      </c>
      <c r="T45" s="240">
        <f t="shared" si="137"/>
        <v>9</v>
      </c>
      <c r="U45" s="240">
        <f t="shared" si="138"/>
        <v>0.93849673202614381</v>
      </c>
      <c r="V45" s="710">
        <v>6</v>
      </c>
      <c r="W45" s="77">
        <v>0.60433333333333339</v>
      </c>
      <c r="X45" s="322">
        <f t="shared" ref="X45:Y48" si="170">+((N45*N$3)+(R45*R$3)+(V$3*V45))/X$3</f>
        <v>8.0217391304347831</v>
      </c>
      <c r="Y45" s="322">
        <f t="shared" si="170"/>
        <v>0.49771739130434783</v>
      </c>
      <c r="Z45" s="622">
        <f t="shared" si="140"/>
        <v>8.5081967213114762</v>
      </c>
      <c r="AA45" s="622">
        <f t="shared" si="157"/>
        <v>0.88371584699453565</v>
      </c>
      <c r="AB45" s="710">
        <v>9</v>
      </c>
      <c r="AC45" s="77">
        <v>0.38096774193548388</v>
      </c>
      <c r="AD45" s="240">
        <f t="shared" si="141"/>
        <v>8.5794392523364493</v>
      </c>
      <c r="AE45" s="240">
        <f t="shared" si="142"/>
        <v>0.81088785046728984</v>
      </c>
      <c r="AF45" s="710">
        <v>9</v>
      </c>
      <c r="AG45" s="77">
        <v>0.4433333333333333</v>
      </c>
      <c r="AH45" s="240">
        <f t="shared" si="143"/>
        <v>8.6311475409836067</v>
      </c>
      <c r="AI45" s="240">
        <f t="shared" si="144"/>
        <v>0.76569672131147559</v>
      </c>
      <c r="AJ45" s="710">
        <v>9</v>
      </c>
      <c r="AK45" s="77">
        <v>0.46548387096774191</v>
      </c>
      <c r="AL45" s="322">
        <f t="shared" si="145"/>
        <v>9</v>
      </c>
      <c r="AM45" s="322">
        <f t="shared" si="146"/>
        <v>0.42978260869565216</v>
      </c>
      <c r="AN45" s="240">
        <f t="shared" si="147"/>
        <v>8.672727272727272</v>
      </c>
      <c r="AO45" s="343">
        <f t="shared" si="147"/>
        <v>0.73185454545454565</v>
      </c>
      <c r="AP45" s="710">
        <v>9</v>
      </c>
      <c r="AQ45" s="77">
        <v>0.43548387096774194</v>
      </c>
      <c r="AR45" s="240">
        <f t="shared" si="148"/>
        <v>8.7058823529411757</v>
      </c>
      <c r="AS45" s="240">
        <f t="shared" si="149"/>
        <v>0.70183006535947723</v>
      </c>
      <c r="AT45" s="710">
        <v>9</v>
      </c>
      <c r="AU45" s="77">
        <v>3.2142857142857147E-2</v>
      </c>
      <c r="AV45" s="240">
        <f t="shared" si="150"/>
        <v>8.7305389221556879</v>
      </c>
      <c r="AW45" s="240">
        <f t="shared" si="151"/>
        <v>0.64568862275449113</v>
      </c>
      <c r="AX45" s="710">
        <v>9</v>
      </c>
      <c r="AY45" s="77">
        <v>0.6832258064516129</v>
      </c>
      <c r="AZ45" s="322">
        <f t="shared" si="152"/>
        <v>9</v>
      </c>
      <c r="BA45" s="322">
        <f t="shared" si="153"/>
        <v>0.39533333333333331</v>
      </c>
      <c r="BB45" s="622">
        <f t="shared" si="154"/>
        <v>9</v>
      </c>
      <c r="BC45" s="622">
        <f t="shared" si="154"/>
        <v>0.41274725274725277</v>
      </c>
      <c r="BD45" s="240">
        <f t="shared" si="155"/>
        <v>8.7534246575342465</v>
      </c>
      <c r="BE45" s="240">
        <f t="shared" si="156"/>
        <v>0.6488767123287672</v>
      </c>
      <c r="BF45" s="491"/>
      <c r="BG45" s="491"/>
      <c r="BH45" s="23"/>
      <c r="BI45" s="23"/>
      <c r="BJ45" s="23"/>
    </row>
    <row r="46" spans="1:62" ht="15.6" x14ac:dyDescent="0.3">
      <c r="B46" s="5193" t="s">
        <v>2235</v>
      </c>
      <c r="C46" s="2346" t="s">
        <v>455</v>
      </c>
      <c r="D46" s="5194">
        <v>13.5</v>
      </c>
      <c r="E46" s="5195">
        <v>12.197999999999999</v>
      </c>
      <c r="F46" s="5194">
        <v>13.5</v>
      </c>
      <c r="G46" s="5195">
        <v>9.1241935483870993</v>
      </c>
      <c r="H46" s="2817">
        <f t="shared" ref="H46" si="171">+((D46*D$3)+(F$3*F46))/H$3</f>
        <v>13.5</v>
      </c>
      <c r="I46" s="101">
        <f t="shared" ref="I46" si="172">+((E46*E$3)+(G$3*G46))/I$3</f>
        <v>10.635901639344262</v>
      </c>
      <c r="J46" s="5194"/>
      <c r="K46" s="5195"/>
      <c r="L46" s="5197"/>
      <c r="M46" s="5197"/>
      <c r="N46" s="5194"/>
      <c r="O46" s="5195"/>
      <c r="P46" s="5196"/>
      <c r="Q46" s="5196"/>
      <c r="R46" s="5194"/>
      <c r="S46" s="5195"/>
      <c r="T46" s="5196"/>
      <c r="U46" s="5196"/>
      <c r="V46" s="5194"/>
      <c r="W46" s="5195"/>
      <c r="X46" s="5197"/>
      <c r="Y46" s="5197"/>
      <c r="Z46" s="4371"/>
      <c r="AA46" s="4371"/>
      <c r="AB46" s="5194"/>
      <c r="AC46" s="5195"/>
      <c r="AD46" s="5196"/>
      <c r="AE46" s="5196"/>
      <c r="AF46" s="5194"/>
      <c r="AG46" s="5195"/>
      <c r="AH46" s="5196"/>
      <c r="AI46" s="5196"/>
      <c r="AJ46" s="5194"/>
      <c r="AK46" s="5195"/>
      <c r="AL46" s="5197"/>
      <c r="AM46" s="5197"/>
      <c r="AN46" s="5196"/>
      <c r="AO46" s="5198"/>
      <c r="AP46" s="5194"/>
      <c r="AQ46" s="5195"/>
      <c r="AR46" s="5196"/>
      <c r="AS46" s="5196"/>
      <c r="AT46" s="5194"/>
      <c r="AU46" s="5195"/>
      <c r="AV46" s="5196"/>
      <c r="AW46" s="5196"/>
      <c r="AX46" s="5194"/>
      <c r="AY46" s="5195"/>
      <c r="AZ46" s="5197"/>
      <c r="BA46" s="5197"/>
      <c r="BB46" s="4371"/>
      <c r="BC46" s="4371"/>
      <c r="BD46" s="5196"/>
      <c r="BE46" s="5196"/>
      <c r="BF46" s="491"/>
      <c r="BG46" s="491"/>
      <c r="BH46" s="23"/>
      <c r="BI46" s="23"/>
      <c r="BJ46" s="23"/>
    </row>
    <row r="47" spans="1:62" ht="15.6" x14ac:dyDescent="0.3">
      <c r="B47" s="2816" t="s">
        <v>447</v>
      </c>
      <c r="C47" s="2346" t="s">
        <v>455</v>
      </c>
      <c r="D47" s="710">
        <v>89.15432098765433</v>
      </c>
      <c r="E47" s="77">
        <v>103.29433333333333</v>
      </c>
      <c r="F47" s="710">
        <v>77.567577658303463</v>
      </c>
      <c r="G47" s="77">
        <v>53.416774193548392</v>
      </c>
      <c r="H47" s="2817">
        <f t="shared" si="132"/>
        <v>83.265976017000611</v>
      </c>
      <c r="I47" s="101">
        <f t="shared" si="132"/>
        <v>77.946721311475414</v>
      </c>
      <c r="J47" s="710">
        <v>13.5</v>
      </c>
      <c r="K47" s="77">
        <v>12.927333333333333</v>
      </c>
      <c r="L47" s="322">
        <f t="shared" si="133"/>
        <v>60.266203703703709</v>
      </c>
      <c r="M47" s="322">
        <f t="shared" si="134"/>
        <v>56.511758241758237</v>
      </c>
      <c r="N47" s="710">
        <v>13.5</v>
      </c>
      <c r="O47" s="77">
        <v>12.632580645161289</v>
      </c>
      <c r="P47" s="240">
        <f t="shared" si="135"/>
        <v>48.382988008500305</v>
      </c>
      <c r="Q47" s="240">
        <f t="shared" si="136"/>
        <v>45.362131147540978</v>
      </c>
      <c r="R47" s="710">
        <v>13.5</v>
      </c>
      <c r="S47" s="77">
        <v>13.253870967741934</v>
      </c>
      <c r="T47" s="240">
        <f t="shared" si="137"/>
        <v>41.315193052529658</v>
      </c>
      <c r="U47" s="240">
        <f t="shared" si="138"/>
        <v>38.856535947712416</v>
      </c>
      <c r="V47" s="710">
        <v>10.5</v>
      </c>
      <c r="W47" s="77">
        <v>12.871333333333332</v>
      </c>
      <c r="X47" s="322">
        <f t="shared" si="170"/>
        <v>12.521739130434783</v>
      </c>
      <c r="Y47" s="322">
        <f t="shared" si="170"/>
        <v>12.919782608695652</v>
      </c>
      <c r="Z47" s="622">
        <f t="shared" si="140"/>
        <v>36.263522060311679</v>
      </c>
      <c r="AA47" s="622">
        <f t="shared" si="157"/>
        <v>34.596666666666664</v>
      </c>
      <c r="AB47" s="710">
        <v>13.5</v>
      </c>
      <c r="AC47" s="77">
        <v>12.23</v>
      </c>
      <c r="AD47" s="240">
        <f t="shared" si="141"/>
        <v>32.966002509518866</v>
      </c>
      <c r="AE47" s="240">
        <f t="shared" si="142"/>
        <v>31.356635514018691</v>
      </c>
      <c r="AF47" s="710">
        <v>13.5</v>
      </c>
      <c r="AG47" s="77">
        <v>13.702333333333334</v>
      </c>
      <c r="AH47" s="240">
        <f t="shared" si="143"/>
        <v>30.572641545233761</v>
      </c>
      <c r="AI47" s="240">
        <f t="shared" si="144"/>
        <v>29.186024590163932</v>
      </c>
      <c r="AJ47" s="710">
        <v>13.5</v>
      </c>
      <c r="AK47" s="77">
        <v>13.423225806451612</v>
      </c>
      <c r="AL47" s="322">
        <f t="shared" si="145"/>
        <v>13.5</v>
      </c>
      <c r="AM47" s="322">
        <f t="shared" si="146"/>
        <v>13.112173913043478</v>
      </c>
      <c r="AN47" s="240">
        <f t="shared" si="147"/>
        <v>28.648089225589228</v>
      </c>
      <c r="AO47" s="240">
        <f t="shared" si="147"/>
        <v>27.409127272727272</v>
      </c>
      <c r="AP47" s="710">
        <v>13.5</v>
      </c>
      <c r="AQ47" s="77">
        <v>13.655161290322582</v>
      </c>
      <c r="AR47" s="240">
        <f t="shared" si="148"/>
        <v>27.113478879206003</v>
      </c>
      <c r="AS47" s="240">
        <f t="shared" si="149"/>
        <v>26.015751633986927</v>
      </c>
      <c r="AT47" s="710">
        <v>13.5</v>
      </c>
      <c r="AU47" s="77">
        <v>12.957500000000001</v>
      </c>
      <c r="AV47" s="240">
        <f t="shared" si="150"/>
        <v>25.9722291528055</v>
      </c>
      <c r="AW47" s="240">
        <f t="shared" si="151"/>
        <v>24.921047904191614</v>
      </c>
      <c r="AX47" s="710">
        <v>13.5</v>
      </c>
      <c r="AY47" s="77">
        <v>12.420645161290322</v>
      </c>
      <c r="AZ47" s="322">
        <f t="shared" si="152"/>
        <v>13.5</v>
      </c>
      <c r="BA47" s="322">
        <f t="shared" si="153"/>
        <v>13.01288888888889</v>
      </c>
      <c r="BB47" s="622">
        <f t="shared" si="154"/>
        <v>13.5</v>
      </c>
      <c r="BC47" s="622">
        <f t="shared" si="154"/>
        <v>13.063076923076924</v>
      </c>
      <c r="BD47" s="240">
        <f t="shared" si="155"/>
        <v>24.912943937087771</v>
      </c>
      <c r="BE47" s="240">
        <f t="shared" si="156"/>
        <v>23.859369863013693</v>
      </c>
      <c r="BF47" s="491"/>
      <c r="BG47" s="491"/>
      <c r="BH47" s="23"/>
      <c r="BI47" s="23"/>
      <c r="BJ47" s="23"/>
    </row>
    <row r="48" spans="1:62" ht="16.2" thickBot="1" x14ac:dyDescent="0.35">
      <c r="B48" s="2816" t="s">
        <v>2236</v>
      </c>
      <c r="C48" s="2346" t="s">
        <v>455</v>
      </c>
      <c r="D48" s="710">
        <v>10.5</v>
      </c>
      <c r="E48" s="77">
        <v>5.5650000000000013</v>
      </c>
      <c r="F48" s="710">
        <v>10.5</v>
      </c>
      <c r="G48" s="77">
        <v>7.6635483870967747</v>
      </c>
      <c r="H48" s="2817">
        <f t="shared" si="132"/>
        <v>10.5</v>
      </c>
      <c r="I48" s="101">
        <f t="shared" si="132"/>
        <v>6.6314754098360673</v>
      </c>
      <c r="J48" s="710">
        <v>110</v>
      </c>
      <c r="K48" s="77">
        <v>112.11233333333332</v>
      </c>
      <c r="L48" s="322">
        <f t="shared" si="133"/>
        <v>43.302197802197803</v>
      </c>
      <c r="M48" s="322">
        <f t="shared" si="134"/>
        <v>41.405384615384612</v>
      </c>
      <c r="N48" s="710">
        <v>110</v>
      </c>
      <c r="O48" s="77">
        <v>111.24741935483871</v>
      </c>
      <c r="P48" s="240">
        <f t="shared" si="135"/>
        <v>60.25</v>
      </c>
      <c r="Q48" s="240">
        <f t="shared" si="136"/>
        <v>59.152131147540977</v>
      </c>
      <c r="R48" s="710">
        <v>110</v>
      </c>
      <c r="S48" s="77">
        <v>108.71677419354839</v>
      </c>
      <c r="T48" s="240">
        <f t="shared" si="137"/>
        <v>70.330065359477118</v>
      </c>
      <c r="U48" s="240">
        <f t="shared" si="138"/>
        <v>69.194640522875815</v>
      </c>
      <c r="V48" s="710">
        <v>67</v>
      </c>
      <c r="W48" s="77">
        <v>106.62566666666666</v>
      </c>
      <c r="X48" s="322">
        <f t="shared" si="170"/>
        <v>95.978260869565219</v>
      </c>
      <c r="Y48" s="322">
        <f t="shared" si="170"/>
        <v>108.88760869565218</v>
      </c>
      <c r="Z48" s="622">
        <f t="shared" si="140"/>
        <v>69.784153005464475</v>
      </c>
      <c r="AA48" s="622">
        <f t="shared" si="157"/>
        <v>75.330874316939884</v>
      </c>
      <c r="AB48" s="710">
        <v>110</v>
      </c>
      <c r="AC48" s="77">
        <v>86.475268817204295</v>
      </c>
      <c r="AD48" s="240">
        <f t="shared" si="141"/>
        <v>75.609813084112147</v>
      </c>
      <c r="AE48" s="240">
        <f t="shared" si="142"/>
        <v>76.945249221183801</v>
      </c>
      <c r="AF48" s="710">
        <v>110</v>
      </c>
      <c r="AG48" s="77">
        <v>98.193000000000012</v>
      </c>
      <c r="AH48" s="240">
        <f t="shared" si="143"/>
        <v>79.838114754098356</v>
      </c>
      <c r="AI48" s="240">
        <f t="shared" si="144"/>
        <v>79.557677595628419</v>
      </c>
      <c r="AJ48" s="710">
        <v>110</v>
      </c>
      <c r="AK48" s="77">
        <v>98.45</v>
      </c>
      <c r="AL48" s="322">
        <f t="shared" si="145"/>
        <v>110</v>
      </c>
      <c r="AM48" s="322">
        <f t="shared" si="146"/>
        <v>94.331231884057971</v>
      </c>
      <c r="AN48" s="240">
        <f t="shared" si="147"/>
        <v>83.238181818181815</v>
      </c>
      <c r="AO48" s="240">
        <f t="shared" si="147"/>
        <v>81.687357575757574</v>
      </c>
      <c r="AP48" s="710">
        <v>110</v>
      </c>
      <c r="AQ48" s="77">
        <v>98.391935483870981</v>
      </c>
      <c r="AR48" s="240">
        <f t="shared" si="148"/>
        <v>85.949346405228752</v>
      </c>
      <c r="AS48" s="240">
        <f t="shared" si="149"/>
        <v>83.379651416122016</v>
      </c>
      <c r="AT48" s="710">
        <v>110</v>
      </c>
      <c r="AU48" s="77">
        <v>95.142499999999998</v>
      </c>
      <c r="AV48" s="240">
        <f t="shared" si="150"/>
        <v>87.965568862275433</v>
      </c>
      <c r="AW48" s="240">
        <f t="shared" si="151"/>
        <v>84.365758483033943</v>
      </c>
      <c r="AX48" s="710">
        <v>110</v>
      </c>
      <c r="AY48" s="77">
        <v>101.0325806451613</v>
      </c>
      <c r="AZ48" s="322">
        <f t="shared" si="152"/>
        <v>110</v>
      </c>
      <c r="BA48" s="322">
        <f t="shared" si="153"/>
        <v>98.290555555555571</v>
      </c>
      <c r="BB48" s="622">
        <f t="shared" si="154"/>
        <v>110</v>
      </c>
      <c r="BC48" s="622">
        <f t="shared" si="154"/>
        <v>96.28913919413921</v>
      </c>
      <c r="BD48" s="240">
        <f t="shared" si="155"/>
        <v>89.836986301369848</v>
      </c>
      <c r="BE48" s="240">
        <f t="shared" si="156"/>
        <v>85.781296803652978</v>
      </c>
      <c r="BF48" s="491"/>
      <c r="BG48" s="491"/>
      <c r="BH48" s="23"/>
      <c r="BI48" s="23"/>
      <c r="BJ48" s="23"/>
    </row>
    <row r="49" spans="1:68" ht="18" thickBot="1" x14ac:dyDescent="0.35">
      <c r="B49" s="223" t="s">
        <v>1934</v>
      </c>
      <c r="C49" s="44" t="s">
        <v>455</v>
      </c>
      <c r="D49" s="909">
        <f t="shared" ref="D49:AI49" si="173">SUM(D45:D48)</f>
        <v>122.15432098765433</v>
      </c>
      <c r="E49" s="909">
        <f t="shared" si="173"/>
        <v>121.09066666666666</v>
      </c>
      <c r="F49" s="909">
        <f t="shared" ref="F49:G49" si="174">SUM(F45:F48)</f>
        <v>110.56757765830346</v>
      </c>
      <c r="G49" s="909">
        <f t="shared" si="174"/>
        <v>70.204516129032271</v>
      </c>
      <c r="H49" s="775">
        <f t="shared" si="173"/>
        <v>116.26597601700061</v>
      </c>
      <c r="I49" s="2821">
        <f t="shared" si="173"/>
        <v>95.230491803278696</v>
      </c>
      <c r="J49" s="909">
        <f t="shared" si="173"/>
        <v>132.5</v>
      </c>
      <c r="K49" s="909">
        <f t="shared" si="173"/>
        <v>128.87066666666666</v>
      </c>
      <c r="L49" s="1454">
        <f t="shared" si="173"/>
        <v>112.56840150590151</v>
      </c>
      <c r="M49" s="1455">
        <f t="shared" si="173"/>
        <v>99.191098901098883</v>
      </c>
      <c r="N49" s="909">
        <f t="shared" si="173"/>
        <v>132.5</v>
      </c>
      <c r="O49" s="909">
        <f t="shared" si="173"/>
        <v>124.42516129032258</v>
      </c>
      <c r="P49" s="775">
        <f t="shared" si="173"/>
        <v>117.63298800850031</v>
      </c>
      <c r="Q49" s="557">
        <f t="shared" si="173"/>
        <v>105.60303278688524</v>
      </c>
      <c r="R49" s="909">
        <f t="shared" si="173"/>
        <v>132.5</v>
      </c>
      <c r="S49" s="909">
        <f t="shared" si="173"/>
        <v>122.31774193548387</v>
      </c>
      <c r="T49" s="775">
        <f t="shared" si="173"/>
        <v>120.64525841200677</v>
      </c>
      <c r="U49" s="557">
        <f t="shared" si="173"/>
        <v>108.98967320261437</v>
      </c>
      <c r="V49" s="909">
        <f t="shared" si="173"/>
        <v>83.5</v>
      </c>
      <c r="W49" s="909">
        <f t="shared" si="173"/>
        <v>120.10133333333333</v>
      </c>
      <c r="X49" s="1454">
        <f t="shared" si="173"/>
        <v>116.52173913043478</v>
      </c>
      <c r="Y49" s="1455">
        <f t="shared" si="173"/>
        <v>122.30510869565218</v>
      </c>
      <c r="Z49" s="905">
        <f t="shared" si="173"/>
        <v>114.55587178708763</v>
      </c>
      <c r="AA49" s="479">
        <f t="shared" si="173"/>
        <v>110.81125683060108</v>
      </c>
      <c r="AB49" s="909">
        <f t="shared" si="173"/>
        <v>132.5</v>
      </c>
      <c r="AC49" s="909">
        <f t="shared" si="173"/>
        <v>99.086236559139778</v>
      </c>
      <c r="AD49" s="909">
        <f t="shared" si="173"/>
        <v>117.15525484596746</v>
      </c>
      <c r="AE49" s="131">
        <f t="shared" si="173"/>
        <v>109.11277258566977</v>
      </c>
      <c r="AF49" s="909">
        <f t="shared" si="173"/>
        <v>132.5</v>
      </c>
      <c r="AG49" s="909">
        <f t="shared" si="173"/>
        <v>112.33866666666668</v>
      </c>
      <c r="AH49" s="909">
        <f t="shared" si="173"/>
        <v>119.04190384031573</v>
      </c>
      <c r="AI49" s="131">
        <f t="shared" si="173"/>
        <v>109.50939890710383</v>
      </c>
      <c r="AJ49" s="909">
        <f t="shared" ref="AJ49:BE49" si="175">SUM(AJ45:AJ48)</f>
        <v>132.5</v>
      </c>
      <c r="AK49" s="909">
        <f t="shared" si="175"/>
        <v>112.33870967741936</v>
      </c>
      <c r="AL49" s="1454">
        <f t="shared" si="175"/>
        <v>132.5</v>
      </c>
      <c r="AM49" s="1455">
        <f t="shared" si="175"/>
        <v>107.87318840579709</v>
      </c>
      <c r="AN49" s="909">
        <f t="shared" si="175"/>
        <v>120.55899831649832</v>
      </c>
      <c r="AO49" s="131">
        <f t="shared" si="175"/>
        <v>109.82833939393939</v>
      </c>
      <c r="AP49" s="909">
        <f t="shared" si="175"/>
        <v>132.5</v>
      </c>
      <c r="AQ49" s="909">
        <f t="shared" si="175"/>
        <v>112.48258064516131</v>
      </c>
      <c r="AR49" s="909">
        <f t="shared" si="175"/>
        <v>121.76870763737594</v>
      </c>
      <c r="AS49" s="131">
        <f t="shared" si="175"/>
        <v>110.09723311546841</v>
      </c>
      <c r="AT49" s="909">
        <f t="shared" si="175"/>
        <v>132.5</v>
      </c>
      <c r="AU49" s="909">
        <f t="shared" si="175"/>
        <v>108.13214285714285</v>
      </c>
      <c r="AV49" s="909">
        <f t="shared" si="175"/>
        <v>122.66833693723662</v>
      </c>
      <c r="AW49" s="131">
        <f t="shared" si="175"/>
        <v>109.93249500998004</v>
      </c>
      <c r="AX49" s="909">
        <f t="shared" si="175"/>
        <v>132.5</v>
      </c>
      <c r="AY49" s="909">
        <f t="shared" si="175"/>
        <v>114.13645161290324</v>
      </c>
      <c r="AZ49" s="1454">
        <f t="shared" si="175"/>
        <v>132.5</v>
      </c>
      <c r="BA49" s="1455">
        <f t="shared" si="175"/>
        <v>111.69877777777779</v>
      </c>
      <c r="BB49" s="905">
        <f t="shared" si="175"/>
        <v>132.5</v>
      </c>
      <c r="BC49" s="479">
        <f t="shared" si="175"/>
        <v>109.76496336996338</v>
      </c>
      <c r="BD49" s="909">
        <f t="shared" si="175"/>
        <v>123.50335489599186</v>
      </c>
      <c r="BE49" s="131">
        <f t="shared" si="175"/>
        <v>110.28954337899543</v>
      </c>
      <c r="BF49" s="491"/>
      <c r="BG49" s="491"/>
      <c r="BH49" s="23"/>
      <c r="BI49" s="23"/>
      <c r="BJ49" s="23"/>
    </row>
    <row r="50" spans="1:68" ht="17.399999999999999" x14ac:dyDescent="0.3">
      <c r="B50" s="2824" t="s">
        <v>450</v>
      </c>
      <c r="C50" s="51"/>
      <c r="D50" s="910"/>
      <c r="E50" s="639"/>
      <c r="F50" s="910"/>
      <c r="G50" s="639"/>
      <c r="H50" s="564"/>
      <c r="I50" s="639"/>
      <c r="J50" s="910"/>
      <c r="K50" s="639"/>
      <c r="L50" s="564"/>
      <c r="M50" s="564"/>
      <c r="N50" s="910"/>
      <c r="O50" s="639"/>
      <c r="P50" s="564"/>
      <c r="Q50" s="564"/>
      <c r="R50" s="910"/>
      <c r="S50" s="639"/>
      <c r="T50" s="564"/>
      <c r="U50" s="564"/>
      <c r="V50" s="910"/>
      <c r="W50" s="639"/>
      <c r="X50" s="564"/>
      <c r="Y50" s="564"/>
      <c r="Z50" s="564"/>
      <c r="AA50" s="564"/>
      <c r="AB50" s="910"/>
      <c r="AC50" s="639"/>
      <c r="AD50" s="564"/>
      <c r="AE50" s="564"/>
      <c r="AF50" s="910"/>
      <c r="AG50" s="639"/>
      <c r="AH50" s="564"/>
      <c r="AI50" s="564"/>
      <c r="AJ50" s="910"/>
      <c r="AK50" s="639"/>
      <c r="AL50" s="564"/>
      <c r="AM50" s="564"/>
      <c r="AN50" s="564"/>
      <c r="AO50" s="564"/>
      <c r="AP50" s="910"/>
      <c r="AQ50" s="639"/>
      <c r="AR50" s="564"/>
      <c r="AS50" s="564"/>
      <c r="AT50" s="910"/>
      <c r="AU50" s="639"/>
      <c r="AV50" s="564"/>
      <c r="AW50" s="564"/>
      <c r="AX50" s="910"/>
      <c r="AY50" s="639"/>
      <c r="AZ50" s="564"/>
      <c r="BA50" s="564"/>
      <c r="BB50" s="564"/>
      <c r="BC50" s="564"/>
      <c r="BD50" s="564"/>
      <c r="BE50" s="564"/>
      <c r="BF50" s="491"/>
      <c r="BG50" s="491"/>
      <c r="BH50" s="23"/>
      <c r="BI50" s="23"/>
      <c r="BJ50" s="23"/>
    </row>
    <row r="51" spans="1:68" ht="15.75" customHeight="1" x14ac:dyDescent="0.3">
      <c r="B51" s="2816" t="s">
        <v>589</v>
      </c>
      <c r="C51" s="2346" t="s">
        <v>455</v>
      </c>
      <c r="D51" s="710">
        <v>43</v>
      </c>
      <c r="E51" s="710">
        <v>0</v>
      </c>
      <c r="F51" s="710">
        <v>43</v>
      </c>
      <c r="G51" s="710">
        <v>0</v>
      </c>
      <c r="H51" s="2817">
        <f>+((D51*D$3)+(F$3*F51))/H$3</f>
        <v>43</v>
      </c>
      <c r="I51" s="101">
        <f>+((E51*E$3)+(G$3*G51))/I$3</f>
        <v>0</v>
      </c>
      <c r="J51" s="710">
        <v>50</v>
      </c>
      <c r="K51" s="710">
        <v>0</v>
      </c>
      <c r="L51" s="322">
        <f>+((H51*H$3)+(J$3*J51))/L$3</f>
        <v>45.307692307692307</v>
      </c>
      <c r="M51" s="322">
        <f>+((I51*I$3)+(K$3*K51))/M$3</f>
        <v>0</v>
      </c>
      <c r="N51" s="710">
        <v>50</v>
      </c>
      <c r="O51" s="710">
        <v>0</v>
      </c>
      <c r="P51" s="240">
        <f>+((L51*L$3)+(N$3*N51))/P$3</f>
        <v>46.5</v>
      </c>
      <c r="Q51" s="240">
        <f>+((M51*M$3)+(O$3*O51))/Q$3</f>
        <v>0</v>
      </c>
      <c r="R51" s="710">
        <v>50</v>
      </c>
      <c r="S51" s="710">
        <v>0</v>
      </c>
      <c r="T51" s="240">
        <f>+((P51*P$3)+(R$3*R51))/T$3</f>
        <v>47.209150326797385</v>
      </c>
      <c r="U51" s="240">
        <f>+((Q51*Q$3)+(S$3*S51))/U$3</f>
        <v>0</v>
      </c>
      <c r="V51" s="710">
        <v>51</v>
      </c>
      <c r="W51" s="710">
        <v>0</v>
      </c>
      <c r="X51" s="322">
        <f t="shared" ref="X51:Y52" si="176">+((N51*N$3)+(R51*R$3)+(V$3*V51))/X$3</f>
        <v>50.326086956521742</v>
      </c>
      <c r="Y51" s="322">
        <f t="shared" si="176"/>
        <v>0</v>
      </c>
      <c r="Z51" s="622">
        <f>+((L51*L$3)+(X$3*X51))/Z$3</f>
        <v>47.830601092896174</v>
      </c>
      <c r="AA51" s="622">
        <f>+((M51*M$3)+(Y$3*Y51))/AA$3</f>
        <v>0</v>
      </c>
      <c r="AB51" s="710">
        <v>50</v>
      </c>
      <c r="AC51" s="710">
        <v>0</v>
      </c>
      <c r="AD51" s="240">
        <f>+((Z51*Z$3)+(AB$3*AB51))/AD$3</f>
        <v>48.144859813084111</v>
      </c>
      <c r="AE51" s="240">
        <f>+((AA51*AA$3)+(AC$3*AC51))/AE$3</f>
        <v>0</v>
      </c>
      <c r="AF51" s="710">
        <v>50</v>
      </c>
      <c r="AG51" s="710">
        <v>0</v>
      </c>
      <c r="AH51" s="240">
        <f>+((AD51*AD$3)+(AF$3*AF51))/AH$3</f>
        <v>48.372950819672134</v>
      </c>
      <c r="AI51" s="240">
        <f>+((AE51*AE$3)+(AG$3*AG51))/AI$3</f>
        <v>0</v>
      </c>
      <c r="AJ51" s="710">
        <v>50</v>
      </c>
      <c r="AK51" s="710">
        <v>0</v>
      </c>
      <c r="AL51" s="322">
        <f t="shared" ref="AL51:AL52" si="177">+((AB51*AB$3)+(AF51*AF$3)+(AJ$3*AJ51))/AL$3</f>
        <v>50</v>
      </c>
      <c r="AM51" s="322">
        <f t="shared" ref="AM51:AM52" si="178">+((AC51*AC$3)+(AG51*AG$3)+(AK$3*AK51))/AM$3</f>
        <v>0</v>
      </c>
      <c r="AN51" s="240">
        <f>+((AH51*AH$3)+(AJ$3*AJ51))/AN$3</f>
        <v>48.556363636363635</v>
      </c>
      <c r="AO51" s="240">
        <f>+((AI51*AI$3)+(AK$3*AK51))/AO$3</f>
        <v>0</v>
      </c>
      <c r="AP51" s="710">
        <v>50</v>
      </c>
      <c r="AQ51" s="710">
        <v>0</v>
      </c>
      <c r="AR51" s="240">
        <f>+((AN51*AN$3)+(AP$3*AP51))/AR$3</f>
        <v>48.70261437908497</v>
      </c>
      <c r="AS51" s="240">
        <f>+((AO51*AO$3)+(AQ$3*AQ51))/AS$3</f>
        <v>0</v>
      </c>
      <c r="AT51" s="710">
        <v>50</v>
      </c>
      <c r="AU51" s="710">
        <v>5.7142857142857141E-2</v>
      </c>
      <c r="AV51" s="240">
        <f>+((AR51*AR$3)+(AT$3*AT51))/AV$3</f>
        <v>48.811377245508979</v>
      </c>
      <c r="AW51" s="343">
        <f>+((AS51*AS$3)+(AU$3*AU51))/AW$3</f>
        <v>4.7904191616766467E-3</v>
      </c>
      <c r="AX51" s="710">
        <v>50</v>
      </c>
      <c r="AY51" s="710">
        <v>1.0516129032258064</v>
      </c>
      <c r="AZ51" s="322">
        <f t="shared" ref="AZ51:AZ52" si="179">+((AP51*AP$3)+(AT51*AT$3)+(AX$3*AX51))/AZ$3</f>
        <v>50</v>
      </c>
      <c r="BA51" s="322">
        <f t="shared" ref="BA51:BA52" si="180">+((AQ51*AQ$3)+(AU51*AU$3)+(AY$3*AY51))/BA$3</f>
        <v>0.37999999999999995</v>
      </c>
      <c r="BB51" s="622">
        <f>+((AL51*AL$3)+(AZ$3*AZ51))/BB$3</f>
        <v>50</v>
      </c>
      <c r="BC51" s="622">
        <f>+((AM51*AM$3)+(BA$3*BA51))/BC$3</f>
        <v>0.18791208791208788</v>
      </c>
      <c r="BD51" s="240">
        <f>+((AV51*AV$3)+(AX$3*AX51))/BD$3</f>
        <v>48.912328767123284</v>
      </c>
      <c r="BE51" s="240">
        <f>+((AW51*AW$3)+(AY$3*AY51))/BE$3</f>
        <v>9.3698630136986288E-2</v>
      </c>
      <c r="BF51" s="491"/>
      <c r="BG51" s="491"/>
      <c r="BH51" s="23"/>
      <c r="BI51" s="23"/>
      <c r="BJ51" s="23"/>
    </row>
    <row r="52" spans="1:68" ht="16.2" thickBot="1" x14ac:dyDescent="0.35">
      <c r="B52" s="2818" t="s">
        <v>449</v>
      </c>
      <c r="C52" s="2819" t="s">
        <v>455</v>
      </c>
      <c r="D52" s="1229">
        <v>116.91681752066216</v>
      </c>
      <c r="E52" s="2806">
        <v>178.9890466666667</v>
      </c>
      <c r="F52" s="1229">
        <v>101.63173707374844</v>
      </c>
      <c r="G52" s="5546">
        <v>123.5</v>
      </c>
      <c r="H52" s="2825">
        <f>+((D52*D$3)+(F$3*F52))/H$3</f>
        <v>109.14898975255848</v>
      </c>
      <c r="I52" s="102">
        <f>+((E52*E$3)+(G$3*G52))/I$3</f>
        <v>150.78969508196724</v>
      </c>
      <c r="J52" s="1229">
        <v>171.40889403625908</v>
      </c>
      <c r="K52" s="2806">
        <v>176.197</v>
      </c>
      <c r="L52" s="911">
        <f>+((H52*H$3)+(J$3*J52))/L$3</f>
        <v>129.67423292300921</v>
      </c>
      <c r="M52" s="911">
        <f>+((I52*I$3)+(K$3*K52))/M$3</f>
        <v>159.16572967032968</v>
      </c>
      <c r="N52" s="1229">
        <v>173.12715750599511</v>
      </c>
      <c r="O52" s="2806">
        <v>186.72806451612902</v>
      </c>
      <c r="P52" s="559">
        <f>+((L52*L$3)+(N$3*N52))/P$3</f>
        <v>140.71554982524333</v>
      </c>
      <c r="Q52" s="559">
        <f>+((M52*M$3)+(O$3*O52))/Q$3</f>
        <v>166.16927377049183</v>
      </c>
      <c r="R52" s="1229">
        <v>169.8461360006188</v>
      </c>
      <c r="S52" s="2806">
        <v>181.9174193548387</v>
      </c>
      <c r="T52" s="559">
        <f>+((P52*P$3)+(R$3*R52))/T$3</f>
        <v>146.61782545554817</v>
      </c>
      <c r="U52" s="559">
        <f>+((Q52*Q$3)+(S$3*S52))/U$3</f>
        <v>169.36007450980392</v>
      </c>
      <c r="V52" s="1229">
        <v>141.9646020689421</v>
      </c>
      <c r="W52" s="2806">
        <v>177.12199999999999</v>
      </c>
      <c r="X52" s="911">
        <f t="shared" si="176"/>
        <v>161.85989305188366</v>
      </c>
      <c r="Y52" s="911">
        <f t="shared" si="176"/>
        <v>181.97467391304346</v>
      </c>
      <c r="Z52" s="622">
        <f>+((L52*L$3)+(X$3*X52))/Z$3</f>
        <v>145.85500194954719</v>
      </c>
      <c r="AA52" s="622">
        <f>+((M52*M$3)+(Y$3*Y52))/AA$3</f>
        <v>170.63252131147541</v>
      </c>
      <c r="AB52" s="1229">
        <v>169.99230715299439</v>
      </c>
      <c r="AC52" s="2806">
        <v>162.1236559139785</v>
      </c>
      <c r="AD52" s="559">
        <f>+((Z52*Z$3)+(AB$3*AB52))/AD$3</f>
        <v>149.3515274696727</v>
      </c>
      <c r="AE52" s="559">
        <f>+((AA52*AA$3)+(AC$3*AC52))/AE$3</f>
        <v>169.39992866043616</v>
      </c>
      <c r="AF52" s="1229">
        <v>124.42530122472192</v>
      </c>
      <c r="AG52" s="122">
        <v>178.97366666666665</v>
      </c>
      <c r="AH52" s="559">
        <f>+((AD52*AD$3)+(AF$3*AF52))/AH$3</f>
        <v>146.28682752152301</v>
      </c>
      <c r="AI52" s="559">
        <f>+((AE52*AE$3)+(AG$3*AG52))/AI$3</f>
        <v>170.57702759562844</v>
      </c>
      <c r="AJ52" s="1229">
        <v>124.34511028670096</v>
      </c>
      <c r="AK52" s="122">
        <v>170.07870967741934</v>
      </c>
      <c r="AL52" s="911">
        <f t="shared" si="177"/>
        <v>139.7523801888284</v>
      </c>
      <c r="AM52" s="911">
        <f t="shared" si="178"/>
        <v>170.29873188405793</v>
      </c>
      <c r="AN52" s="559">
        <f>+((AH52*AH$3)+(AJ$3*AJ52))/AN$3</f>
        <v>143.81339757868852</v>
      </c>
      <c r="AO52" s="559">
        <f>+((AI52*AI$3)+(AK$3*AK52))/AO$3</f>
        <v>170.5208535757576</v>
      </c>
      <c r="AP52" s="1229">
        <v>119.89932759434362</v>
      </c>
      <c r="AQ52" s="122">
        <v>162.30096774193549</v>
      </c>
      <c r="AR52" s="559">
        <f>+((AN52*AN$3)+(AP$3*AP52))/AR$3</f>
        <v>141.39073035805228</v>
      </c>
      <c r="AS52" s="559">
        <f>+((AO52*AO$3)+(AQ$3*AQ52))/AS$3</f>
        <v>169.68812004357301</v>
      </c>
      <c r="AT52" s="1229">
        <v>122.468125308992</v>
      </c>
      <c r="AU52" s="122">
        <v>146.58428571428573</v>
      </c>
      <c r="AV52" s="559">
        <f>+((AR52*AR$3)+(AT$3*AT52))/AV$3</f>
        <v>139.80440418627475</v>
      </c>
      <c r="AW52" s="559">
        <f>+((AS52*AS$3)+(AU$3*AU52))/AW$3</f>
        <v>167.75127165668664</v>
      </c>
      <c r="AX52" s="1229">
        <v>163.9186699318825</v>
      </c>
      <c r="AY52" s="122">
        <v>162.5</v>
      </c>
      <c r="AZ52" s="911">
        <f t="shared" si="179"/>
        <v>135.86072702183094</v>
      </c>
      <c r="BA52" s="911">
        <f t="shared" si="180"/>
        <v>157.47988888888889</v>
      </c>
      <c r="BB52" s="622">
        <f>+((AL52*AL$3)+(AZ$3*AZ52))/BB$3</f>
        <v>137.82793631503844</v>
      </c>
      <c r="BC52" s="622">
        <f>+((AM52*AM$3)+(BA$3*BA52))/BC$3</f>
        <v>163.9597435897436</v>
      </c>
      <c r="BD52" s="559">
        <f>+((AV52*AV$3)+(AX$3*AX52))/BD$3</f>
        <v>141.85246511261406</v>
      </c>
      <c r="BE52" s="559">
        <f>+((AW52*AW$3)+(AY$3*AY52))/BE$3</f>
        <v>167.30527324200915</v>
      </c>
      <c r="BF52" s="491"/>
      <c r="BG52" s="491"/>
      <c r="BH52" s="23"/>
      <c r="BI52" s="23"/>
      <c r="BJ52" s="23"/>
    </row>
    <row r="53" spans="1:68" ht="18" thickBot="1" x14ac:dyDescent="0.35">
      <c r="A53" s="137"/>
      <c r="B53" s="223" t="s">
        <v>2</v>
      </c>
      <c r="C53" s="193" t="s">
        <v>455</v>
      </c>
      <c r="D53" s="909">
        <f t="shared" ref="D53:I53" si="181">SUM(D51:D52)</f>
        <v>159.91681752066216</v>
      </c>
      <c r="E53" s="131">
        <f t="shared" si="181"/>
        <v>178.9890466666667</v>
      </c>
      <c r="F53" s="909">
        <f t="shared" ref="F53:G53" si="182">SUM(F51:F52)</f>
        <v>144.63173707374844</v>
      </c>
      <c r="G53" s="131">
        <f t="shared" si="182"/>
        <v>123.5</v>
      </c>
      <c r="H53" s="560">
        <f t="shared" si="181"/>
        <v>152.14898975255846</v>
      </c>
      <c r="I53" s="156">
        <f t="shared" si="181"/>
        <v>150.78969508196724</v>
      </c>
      <c r="J53" s="909">
        <f t="shared" ref="J53:K53" si="183">SUM(J51:J52)</f>
        <v>221.40889403625908</v>
      </c>
      <c r="K53" s="131">
        <f t="shared" si="183"/>
        <v>176.197</v>
      </c>
      <c r="L53" s="2058">
        <f t="shared" ref="L53:Q53" si="184">SUM(L51:L52)</f>
        <v>174.98192523070151</v>
      </c>
      <c r="M53" s="2119">
        <f t="shared" si="184"/>
        <v>159.16572967032968</v>
      </c>
      <c r="N53" s="909">
        <f t="shared" si="184"/>
        <v>223.12715750599511</v>
      </c>
      <c r="O53" s="131">
        <f t="shared" si="184"/>
        <v>186.72806451612902</v>
      </c>
      <c r="P53" s="560">
        <f t="shared" si="184"/>
        <v>187.21554982524333</v>
      </c>
      <c r="Q53" s="560">
        <f t="shared" si="184"/>
        <v>166.16927377049183</v>
      </c>
      <c r="R53" s="909">
        <f t="shared" ref="R53:S53" si="185">SUM(R51:R52)</f>
        <v>219.8461360006188</v>
      </c>
      <c r="S53" s="131">
        <f t="shared" si="185"/>
        <v>181.9174193548387</v>
      </c>
      <c r="T53" s="560">
        <f t="shared" ref="T53:W53" si="186">SUM(T51:T52)</f>
        <v>193.82697578234556</v>
      </c>
      <c r="U53" s="560">
        <f t="shared" si="186"/>
        <v>169.36007450980392</v>
      </c>
      <c r="V53" s="909">
        <f t="shared" si="186"/>
        <v>192.9646020689421</v>
      </c>
      <c r="W53" s="131">
        <f t="shared" si="186"/>
        <v>177.12199999999999</v>
      </c>
      <c r="X53" s="2058">
        <f t="shared" ref="X53:Y53" si="187">SUM(X51:X52)</f>
        <v>212.18598000840541</v>
      </c>
      <c r="Y53" s="2119">
        <f t="shared" si="187"/>
        <v>181.97467391304346</v>
      </c>
      <c r="Z53" s="2121">
        <f t="shared" ref="Z53:AE53" si="188">SUM(Z51:Z52)</f>
        <v>193.68560304244335</v>
      </c>
      <c r="AA53" s="479">
        <f t="shared" si="188"/>
        <v>170.63252131147541</v>
      </c>
      <c r="AB53" s="909">
        <f t="shared" si="188"/>
        <v>219.99230715299439</v>
      </c>
      <c r="AC53" s="131">
        <f t="shared" si="188"/>
        <v>162.1236559139785</v>
      </c>
      <c r="AD53" s="560">
        <f t="shared" si="188"/>
        <v>197.49638728275681</v>
      </c>
      <c r="AE53" s="560">
        <f t="shared" si="188"/>
        <v>169.39992866043616</v>
      </c>
      <c r="AF53" s="909">
        <f t="shared" ref="AF53:AG53" si="189">SUM(AF51:AF52)</f>
        <v>174.42530122472192</v>
      </c>
      <c r="AG53" s="131">
        <f t="shared" si="189"/>
        <v>178.97366666666665</v>
      </c>
      <c r="AH53" s="560">
        <f t="shared" ref="AH53:AK53" si="190">SUM(AH51:AH52)</f>
        <v>194.65977834119514</v>
      </c>
      <c r="AI53" s="560">
        <f t="shared" si="190"/>
        <v>170.57702759562844</v>
      </c>
      <c r="AJ53" s="909">
        <f t="shared" si="190"/>
        <v>174.34511028670096</v>
      </c>
      <c r="AK53" s="131">
        <f t="shared" si="190"/>
        <v>170.07870967741934</v>
      </c>
      <c r="AL53" s="2058">
        <f t="shared" ref="AL53:AS53" si="191">SUM(AL51:AL52)</f>
        <v>189.7523801888284</v>
      </c>
      <c r="AM53" s="2119">
        <f t="shared" si="191"/>
        <v>170.29873188405793</v>
      </c>
      <c r="AN53" s="560">
        <f t="shared" si="191"/>
        <v>192.36976121505216</v>
      </c>
      <c r="AO53" s="560">
        <f t="shared" si="191"/>
        <v>170.5208535757576</v>
      </c>
      <c r="AP53" s="909">
        <f t="shared" si="191"/>
        <v>169.89932759434362</v>
      </c>
      <c r="AQ53" s="131">
        <f t="shared" si="191"/>
        <v>162.30096774193549</v>
      </c>
      <c r="AR53" s="560">
        <f t="shared" si="191"/>
        <v>190.09334473713724</v>
      </c>
      <c r="AS53" s="560">
        <f t="shared" si="191"/>
        <v>169.68812004357301</v>
      </c>
      <c r="AT53" s="909">
        <f t="shared" ref="AT53:AU53" si="192">SUM(AT51:AT52)</f>
        <v>172.468125308992</v>
      </c>
      <c r="AU53" s="131">
        <f t="shared" si="192"/>
        <v>146.64142857142858</v>
      </c>
      <c r="AV53" s="560">
        <f t="shared" ref="AV53:AY53" si="193">SUM(AV51:AV52)</f>
        <v>188.61578143178372</v>
      </c>
      <c r="AW53" s="560">
        <f t="shared" si="193"/>
        <v>167.75606207584832</v>
      </c>
      <c r="AX53" s="909">
        <f t="shared" si="193"/>
        <v>213.9186699318825</v>
      </c>
      <c r="AY53" s="131">
        <f t="shared" si="193"/>
        <v>163.55161290322582</v>
      </c>
      <c r="AZ53" s="2058">
        <f t="shared" ref="AZ53:BE53" si="194">SUM(AZ51:AZ52)</f>
        <v>185.86072702183094</v>
      </c>
      <c r="BA53" s="2119">
        <f t="shared" si="194"/>
        <v>157.85988888888889</v>
      </c>
      <c r="BB53" s="2121">
        <f t="shared" si="194"/>
        <v>187.82793631503844</v>
      </c>
      <c r="BC53" s="479">
        <f t="shared" si="194"/>
        <v>164.14765567765568</v>
      </c>
      <c r="BD53" s="560">
        <f t="shared" si="194"/>
        <v>190.76479387973734</v>
      </c>
      <c r="BE53" s="560">
        <f t="shared" si="194"/>
        <v>167.39897187214615</v>
      </c>
      <c r="BF53" s="491"/>
      <c r="BG53" s="491"/>
      <c r="BH53" s="23"/>
      <c r="BI53" s="23"/>
      <c r="BJ53" s="23"/>
    </row>
    <row r="54" spans="1:68" x14ac:dyDescent="0.3">
      <c r="A54" s="137"/>
      <c r="B54" s="2826" t="s">
        <v>69</v>
      </c>
      <c r="C54" s="15" t="s">
        <v>298</v>
      </c>
      <c r="D54" s="331">
        <f>+EMD!D27/(EMD!D$3*24)</f>
        <v>15.257256259009859</v>
      </c>
      <c r="E54" s="331">
        <f>+EMD!E27/(EMD!E$3*24)</f>
        <v>12.855194444444445</v>
      </c>
      <c r="F54" s="331">
        <f>+EMD!F27/(EMD!F$3*24)</f>
        <v>17.47260669451795</v>
      </c>
      <c r="G54" s="331">
        <f>+EMD!G27/(EMD!G$3*24)</f>
        <v>10.665537634408603</v>
      </c>
      <c r="H54" s="92">
        <f>+EMD!H27/(EMD!H$3*24)</f>
        <v>16.38309008689102</v>
      </c>
      <c r="I54" s="92">
        <f>+EMD!I27/(EMD!I$3*24)</f>
        <v>11.742418032786887</v>
      </c>
      <c r="J54" s="331">
        <f>+EMD!J27/(EMD!J$3*24)</f>
        <v>13.60715924968606</v>
      </c>
      <c r="K54" s="331">
        <f>+EMD!K27/(EMD!K$3*24)</f>
        <v>13.459575738063657</v>
      </c>
      <c r="L54" s="1451">
        <f>+EMD!L27/(EMD!L$3*24)</f>
        <v>15.467948052647627</v>
      </c>
      <c r="M54" s="90">
        <f>+EMD!M27/(EMD!M$3*24)</f>
        <v>12.308513979581425</v>
      </c>
      <c r="N54" s="331">
        <f>+EMD!N27/(EMD!N$3*24)</f>
        <v>14.016350297389403</v>
      </c>
      <c r="O54" s="331">
        <f>+EMD!O27/(EMD!O$3*24)</f>
        <v>13.209585987070374</v>
      </c>
      <c r="P54" s="92">
        <f>+EMD!P27/(EMD!P$3*24)</f>
        <v>15.099099442704965</v>
      </c>
      <c r="Q54" s="92">
        <f>+EMD!Q27/(EMD!Q$3*24)</f>
        <v>12.537474899517143</v>
      </c>
      <c r="R54" s="331">
        <f>+EMD!R27/(EMD!R$3*24)</f>
        <v>14.009944971945608</v>
      </c>
      <c r="S54" s="331">
        <f>+EMD!S27/(EMD!S$3*24)</f>
        <v>12.749850001262205</v>
      </c>
      <c r="T54" s="92">
        <f>+EMD!T27/(EMD!T$3*24)</f>
        <v>14.878421085884442</v>
      </c>
      <c r="U54" s="92">
        <f>+EMD!U27/(EMD!U$3*24)</f>
        <v>12.580505148890326</v>
      </c>
      <c r="V54" s="331">
        <f>+EMD!V27/(EMD!V$3*24)</f>
        <v>16.249584213170632</v>
      </c>
      <c r="W54" s="331">
        <f>+EMD!W27/(EMD!W$3*24)</f>
        <v>13.468819444444444</v>
      </c>
      <c r="X54" s="1451">
        <f>+EMD!X27/(EMD!X$3*24)</f>
        <v>14.742420432005481</v>
      </c>
      <c r="Y54" s="90">
        <f>+EMD!Y27/(EMD!Y$3*24)</f>
        <v>13.13920759751786</v>
      </c>
      <c r="Z54" s="2122">
        <f>+EMD!Z27/(EMD!Z$3*24)</f>
        <v>15.103201926423161</v>
      </c>
      <c r="AA54" s="439">
        <f>+EMD!AA27/(EMD!AA$3*24)</f>
        <v>12.726130443243459</v>
      </c>
      <c r="AB54" s="331">
        <f>+EMD!AB27/(EMD!AB$3*24)</f>
        <v>13.662043335337779</v>
      </c>
      <c r="AC54" s="331">
        <f>+EMD!AC27/(EMD!AC$3*24)</f>
        <v>13.02002688172043</v>
      </c>
      <c r="AD54" s="92">
        <f>+EMD!AD27/(EMD!AD$3*24)</f>
        <v>14.894435962293969</v>
      </c>
      <c r="AE54" s="92">
        <f>+EMD!AE27/(EMD!AE$3*24)</f>
        <v>12.768704226387319</v>
      </c>
      <c r="AF54" s="331">
        <f>+EMD!AF27/(EMD!AF$3*24)</f>
        <v>13.6077420441871</v>
      </c>
      <c r="AG54" s="331">
        <f>+EMD!AG27/(EMD!AG$3*24)</f>
        <v>13.801555555555556</v>
      </c>
      <c r="AH54" s="92">
        <f>+EMD!AH27/(EMD!AH$3*24)</f>
        <v>14.736235890395582</v>
      </c>
      <c r="AI54" s="92">
        <f>+EMD!AI27/(EMD!AI$3*24)</f>
        <v>12.895694143908003</v>
      </c>
      <c r="AJ54" s="331">
        <f>+EMD!AJ27/(EMD!AJ$3*24)</f>
        <v>13.64422823067404</v>
      </c>
      <c r="AK54" s="331">
        <f>+EMD!AK27/(EMD!AK$3*24)</f>
        <v>13.933175431337423</v>
      </c>
      <c r="AL54" s="1451">
        <f>+EMD!AL27/(EMD!AL$3*24)</f>
        <v>13.638333476869342</v>
      </c>
      <c r="AM54" s="90">
        <f>+EMD!AM27/(EMD!AM$3*24)</f>
        <v>13.582564547515871</v>
      </c>
      <c r="AN54" s="92">
        <f>+EMD!AN27/(EMD!AN$3*24)</f>
        <v>14.613136845117882</v>
      </c>
      <c r="AO54" s="92">
        <f>+EMD!AO27/(EMD!AO$3*24)</f>
        <v>13.012646579945502</v>
      </c>
      <c r="AP54" s="331">
        <f>+EMD!AP27/(EMD!AP$3*24)</f>
        <v>13.388637586328436</v>
      </c>
      <c r="AQ54" s="331">
        <f>+EMD!AQ27/(EMD!AQ$3*24)</f>
        <v>12.942567204301076</v>
      </c>
      <c r="AR54" s="92">
        <f>+EMD!AR27/(EMD!AR$3*24)</f>
        <v>14.48908626661307</v>
      </c>
      <c r="AS54" s="92">
        <f>+EMD!AS27/(EMD!AS$3*24)</f>
        <v>13.005547035354073</v>
      </c>
      <c r="AT54" s="331">
        <f>+EMD!AT27/(EMD!AT$3*24)</f>
        <v>13.573886205805215</v>
      </c>
      <c r="AU54" s="331">
        <f>+EMD!AU27/(EMD!AU$3*24)</f>
        <v>11.713392857142857</v>
      </c>
      <c r="AV54" s="92">
        <f>+EMD!AV27/(EMD!AV$3*24)</f>
        <v>14.412362908221994</v>
      </c>
      <c r="AW54" s="92">
        <f>+EMD!AW27/(EMD!AW$3*24)</f>
        <v>12.897222732989061</v>
      </c>
      <c r="AX54" s="331">
        <f>+EMD!AX27/(EMD!AX$3*24)</f>
        <v>13.38863758632843</v>
      </c>
      <c r="AY54" s="331">
        <f>+EMD!AY27/(EMD!AY$3*24)</f>
        <v>12.712930107526882</v>
      </c>
      <c r="AZ54" s="351">
        <f>+EMD!AZ27/(EMD!AZ$3*24)</f>
        <v>13.446270490165654</v>
      </c>
      <c r="BA54" s="2120">
        <f>+EMD!BA27/(EMD!BA$3*24)</f>
        <v>12.481060185185186</v>
      </c>
      <c r="BB54" s="2122">
        <f>+EMD!BB27/(EMD!BB$3*24)</f>
        <v>13.543357274653232</v>
      </c>
      <c r="BC54" s="439">
        <f>+EMD!BC27/(EMD!BC$3*24)</f>
        <v>13.037864588121577</v>
      </c>
      <c r="BD54" s="92">
        <f>+EMD!BD27/(EMD!BD$3*24)</f>
        <v>14.325416374033772</v>
      </c>
      <c r="BE54" s="92">
        <f>+EMD!BE27/(EMD!BE$3*24)</f>
        <v>12.881570482607341</v>
      </c>
      <c r="BF54" s="23"/>
      <c r="BG54" s="491"/>
      <c r="BH54" s="23"/>
      <c r="BI54" s="23"/>
      <c r="BJ54" s="23"/>
    </row>
    <row r="55" spans="1:68" x14ac:dyDescent="0.3">
      <c r="A55" s="137"/>
      <c r="B55" s="9" t="s">
        <v>1745</v>
      </c>
      <c r="C55" s="15" t="s">
        <v>298</v>
      </c>
      <c r="D55" s="331">
        <f>EMD!D61/(EMD!D$3*24)</f>
        <v>130.69820430130304</v>
      </c>
      <c r="E55" s="331">
        <f>EMD!E61/(EMD!E$3*24)</f>
        <v>183.86388888888888</v>
      </c>
      <c r="F55" s="331">
        <f>EMD!F61/(EMD!F$3*24)</f>
        <v>106.30446529451021</v>
      </c>
      <c r="G55" s="331">
        <f>EMD!G61/(EMD!G$3*24)</f>
        <v>95.548911290322579</v>
      </c>
      <c r="H55" s="92">
        <f>EMD!H61/(EMD!H$3*24)</f>
        <v>118.30138611752308</v>
      </c>
      <c r="I55" s="92">
        <f>EMD!I61/(EMD!I$3*24)</f>
        <v>138.9825068306011</v>
      </c>
      <c r="J55" s="331">
        <f>EMD!J61/(EMD!J$3*24)</f>
        <v>174.42701023795351</v>
      </c>
      <c r="K55" s="331">
        <f>EMD!K61/(EMD!K$3*24)</f>
        <v>185.34583333333322</v>
      </c>
      <c r="L55" s="351">
        <f>EMD!L61/(EMD!L$3*24)</f>
        <v>136.80433912425841</v>
      </c>
      <c r="M55" s="2120">
        <f>EMD!M61/(EMD!M$3*24)</f>
        <v>154.26711996336991</v>
      </c>
      <c r="N55" s="331">
        <f>EMD!N61/(EMD!N$3*24)</f>
        <v>175.63226539998277</v>
      </c>
      <c r="O55" s="331">
        <f>EMD!O61/(EMD!O$3*24)</f>
        <v>189.48521505376345</v>
      </c>
      <c r="P55" s="92">
        <f>EMD!P61/(EMD!P$3*24)</f>
        <v>146.67045153858183</v>
      </c>
      <c r="Q55" s="92">
        <f>EMD!Q61/(EMD!Q$3*24)</f>
        <v>163.21598019125679</v>
      </c>
      <c r="R55" s="331">
        <f>EMD!R61/(EMD!R$3*24)</f>
        <v>172.30081378707962</v>
      </c>
      <c r="S55" s="331">
        <f>EMD!S61/(EMD!S$3*24)</f>
        <v>183.62096774193549</v>
      </c>
      <c r="T55" s="92">
        <f>EMD!T61/(EMD!T$3*24)</f>
        <v>151.86353147128398</v>
      </c>
      <c r="U55" s="92">
        <f>EMD!U61/(EMD!U$3*24)</f>
        <v>167.35032407407405</v>
      </c>
      <c r="V55" s="331">
        <f>EMD!V61/(EMD!V$3*24)</f>
        <v>94.401878197540327</v>
      </c>
      <c r="W55" s="331">
        <f>EMD!W61/(EMD!W$3*24)</f>
        <v>187.52361111111111</v>
      </c>
      <c r="X55" s="351">
        <f>EMD!X61/(EMD!X$3*24)</f>
        <v>148.02154131222983</v>
      </c>
      <c r="Y55" s="2120">
        <f>EMD!Y61/(EMD!Y$3*24)</f>
        <v>186.86956521739131</v>
      </c>
      <c r="Z55" s="2122">
        <f>EMD!Z61/(EMD!Z$3*24)</f>
        <v>142.44358831165388</v>
      </c>
      <c r="AA55" s="439">
        <f>EMD!AA61/(EMD!AA$3*24)</f>
        <v>170.6574203096539</v>
      </c>
      <c r="AB55" s="331">
        <f>EMD!AB61/(EMD!AB$3*24)</f>
        <v>173.68159878771439</v>
      </c>
      <c r="AC55" s="331">
        <f>EMD!AC61/(EMD!AC$3*24)</f>
        <v>155.1236559139785</v>
      </c>
      <c r="AD55" s="92">
        <f>EMD!AD61/(EMD!AD$3*24)</f>
        <v>146.96872067033553</v>
      </c>
      <c r="AE55" s="92">
        <f>EMD!AE61/(EMD!AE$3*24)</f>
        <v>168.40720210280372</v>
      </c>
      <c r="AF55" s="331">
        <f>EMD!AF61/(EMD!AF$3*24)</f>
        <v>171.23096348608073</v>
      </c>
      <c r="AG55" s="331">
        <f>EMD!AG61/(EMD!AG$3*24)</f>
        <v>185.33083333333335</v>
      </c>
      <c r="AH55" s="92">
        <f>EMD!AH61/(EMD!AH$3*24)</f>
        <v>149.95178331161569</v>
      </c>
      <c r="AI55" s="92">
        <f>EMD!AI61/(EMD!AI$3*24)</f>
        <v>170.4879764344262</v>
      </c>
      <c r="AJ55" s="331">
        <f>EMD!AJ61/(EMD!AJ$3*24)</f>
        <v>170.8411590694063</v>
      </c>
      <c r="AK55" s="331">
        <f>EMD!AK61/(EMD!AK$3*24)</f>
        <v>188.39032258064515</v>
      </c>
      <c r="AL55" s="351">
        <f>EMD!AL61/(EMD!AL$3*24)</f>
        <v>171.92537389296916</v>
      </c>
      <c r="AM55" s="2120">
        <f>EMD!AM61/(EMD!AM$3*24)</f>
        <v>176.18324275362318</v>
      </c>
      <c r="AN55" s="92">
        <f>EMD!AN61/(EMD!AN$3*24)</f>
        <v>152.30658566976663</v>
      </c>
      <c r="AO55" s="92">
        <f>EMD!AO61/(EMD!AO$3*24)</f>
        <v>172.50605909090905</v>
      </c>
      <c r="AP55" s="331">
        <f>EMD!AP61/(EMD!AP$3*24)</f>
        <v>167.76853008253218</v>
      </c>
      <c r="AQ55" s="331">
        <f>EMD!AQ61/(EMD!AQ$3*24)</f>
        <v>187.16935483870967</v>
      </c>
      <c r="AR55" s="92">
        <f>EMD!AR61/(EMD!AR$3*24)</f>
        <v>153.87299180308602</v>
      </c>
      <c r="AS55" s="92">
        <f>EMD!AS61/(EMD!AS$3*24)</f>
        <v>173.99155637254898</v>
      </c>
      <c r="AT55" s="331">
        <f>EMD!AT61/(EMD!AT$3*24)</f>
        <v>169.77390732927094</v>
      </c>
      <c r="AU55" s="331">
        <f>EMD!AU61/(EMD!AU$3*24)</f>
        <v>188.6264880952381</v>
      </c>
      <c r="AV55" s="92">
        <f>EMD!AV61/(EMD!AV$3*24)</f>
        <v>155.2060026855207</v>
      </c>
      <c r="AW55" s="92">
        <f>EMD!AW61/(EMD!AW$3*24)</f>
        <v>175.21843687624747</v>
      </c>
      <c r="AX55" s="331">
        <f>EMD!AX61/(EMD!AX$3*24)</f>
        <v>170.24315953710484</v>
      </c>
      <c r="AY55" s="331">
        <f>EMD!AY61/(EMD!AY$3*24)</f>
        <v>184.47849462365591</v>
      </c>
      <c r="AZ55" s="351">
        <f>EMD!AZ61/(EMD!AZ$3*24)</f>
        <v>169.24479759364814</v>
      </c>
      <c r="BA55" s="2120">
        <f>EMD!BA61/(EMD!BA$3*24)</f>
        <v>186.69583333333333</v>
      </c>
      <c r="BB55" s="2122">
        <f>EMD!BB61/(EMD!BB$3*24)</f>
        <v>170.59981418451372</v>
      </c>
      <c r="BC55" s="439">
        <f>EMD!BC61/(EMD!BC$3*24)</f>
        <v>181.38177655677654</v>
      </c>
      <c r="BD55" s="92">
        <f>EMD!BD61/(EMD!BD$3*24)</f>
        <v>156.48313107565525</v>
      </c>
      <c r="BE55" s="92">
        <f>EMD!BE61/(EMD!BE$3*24)</f>
        <v>176.00490753424654</v>
      </c>
      <c r="BF55" s="23"/>
      <c r="BG55" s="491"/>
      <c r="BH55" s="23"/>
      <c r="BI55" s="23"/>
      <c r="BJ55" s="23"/>
      <c r="BP55">
        <v>11</v>
      </c>
    </row>
    <row r="56" spans="1:68" x14ac:dyDescent="0.3">
      <c r="A56" s="137"/>
      <c r="B56" s="9" t="s">
        <v>439</v>
      </c>
      <c r="C56" s="15" t="s">
        <v>298</v>
      </c>
      <c r="D56" s="331">
        <f>EMD!D83/(EMD!D$3*24)</f>
        <v>0</v>
      </c>
      <c r="E56" s="331">
        <f>EMD!E83/(EMD!E$3*24)</f>
        <v>6.509722222222222</v>
      </c>
      <c r="F56" s="331">
        <f>EMD!F83/(EMD!F$3*24)</f>
        <v>0</v>
      </c>
      <c r="G56" s="331">
        <f>EMD!G83/(EMD!G$3*24)</f>
        <v>2.809811827956989</v>
      </c>
      <c r="H56" s="92">
        <f>EMD!H83/(EMD!H$3*24)</f>
        <v>0</v>
      </c>
      <c r="I56" s="92">
        <f>EMD!I83/(EMD!I$3*24)</f>
        <v>4.6294398907103824</v>
      </c>
      <c r="J56" s="331">
        <f>EMD!J83/(EMD!J$3*24)</f>
        <v>16.75920679886686</v>
      </c>
      <c r="K56" s="331">
        <f>EMD!K83/(EMD!K$3*24)</f>
        <v>9.3086263888888876</v>
      </c>
      <c r="L56" s="351">
        <f>EMD!L83/(EMD!L$3*24)</f>
        <v>5.5250132303956674</v>
      </c>
      <c r="M56" s="2120">
        <f>EMD!M83/(EMD!M$3*24)</f>
        <v>6.1720288461538457</v>
      </c>
      <c r="N56" s="331">
        <f>EMD!N83/(EMD!N$3*24)</f>
        <v>16.350269578726124</v>
      </c>
      <c r="O56" s="331">
        <f>EMD!O83/(EMD!O$3*24)</f>
        <v>7.1327741935483866</v>
      </c>
      <c r="P56" s="92">
        <f>EMD!P83/(EMD!P$3*24)</f>
        <v>8.2756931221845544</v>
      </c>
      <c r="Q56" s="92">
        <f>EMD!Q83/(EMD!Q$3*24)</f>
        <v>6.416152663934426</v>
      </c>
      <c r="R56" s="331">
        <f>EMD!R83/(EMD!R$3*24)</f>
        <v>16.350269578726124</v>
      </c>
      <c r="S56" s="331">
        <f>EMD!S83/(EMD!S$3*24)</f>
        <v>2.7147522225794392</v>
      </c>
      <c r="T56" s="92">
        <f>EMD!T83/(EMD!T$3*24)</f>
        <v>9.9117184173008184</v>
      </c>
      <c r="U56" s="92">
        <f>EMD!U83/(EMD!U$3*24)</f>
        <v>5.6661957117644617</v>
      </c>
      <c r="V56" s="331">
        <f>EMD!V83/(EMD!V$3*24)</f>
        <v>10.49338999055713</v>
      </c>
      <c r="W56" s="331">
        <f>EMD!W83/(EMD!W$3*24)</f>
        <v>0.81486111111111115</v>
      </c>
      <c r="X56" s="351">
        <f>EMD!X83/(EMD!X$3*24)</f>
        <v>14.4404175391058</v>
      </c>
      <c r="Y56" s="2120">
        <f>EMD!Y83/(EMD!Y$3*24)</f>
        <v>3.5839038286227818</v>
      </c>
      <c r="Z56" s="2122">
        <f>EMD!Z83/(EMD!Z$3*24)</f>
        <v>10.007074412916609</v>
      </c>
      <c r="AA56" s="439">
        <f>EMD!AA83/(EMD!AA$3*24)</f>
        <v>4.8708949575589946</v>
      </c>
      <c r="AB56" s="331">
        <f>EMD!AB83/(EMD!AB$3*24)</f>
        <v>16.731030491333875</v>
      </c>
      <c r="AC56" s="331">
        <f>EMD!AC83/(EMD!AC$3*24)</f>
        <v>3.9899193548387095</v>
      </c>
      <c r="AD56" s="92">
        <f>EMD!AD83/(EMD!AD$3*24)</f>
        <v>10.981105433621915</v>
      </c>
      <c r="AE56" s="92">
        <f>EMD!AE83/(EMD!AE$3*24)</f>
        <v>4.7432769964172712</v>
      </c>
      <c r="AF56" s="331">
        <f>EMD!AF83/(EMD!AF$3*24)</f>
        <v>0</v>
      </c>
      <c r="AG56" s="331">
        <f>EMD!AG83/(EMD!AG$3*24)</f>
        <v>4.189166666666666</v>
      </c>
      <c r="AH56" s="92">
        <f>EMD!AH83/(EMD!AH$3*24)</f>
        <v>9.6309695196520071</v>
      </c>
      <c r="AI56" s="92">
        <f>EMD!AI83/(EMD!AI$3*24)</f>
        <v>4.6751486771856392</v>
      </c>
      <c r="AJ56" s="331">
        <f>EMD!AJ83/(EMD!AJ$3*24)</f>
        <v>0</v>
      </c>
      <c r="AK56" s="331">
        <f>EMD!AK83/(EMD!AK$3*24)</f>
        <v>1.3539354838709681</v>
      </c>
      <c r="AL56" s="351">
        <f>EMD!AL83/(EMD!AL$3*24)</f>
        <v>5.637629839471197</v>
      </c>
      <c r="AM56" s="2120">
        <f>EMD!AM83/(EMD!AM$3*24)</f>
        <v>3.1666793478260873</v>
      </c>
      <c r="AN56" s="92">
        <f>EMD!AN83/(EMD!AN$3*24)</f>
        <v>8.5452965919821438</v>
      </c>
      <c r="AO56" s="92">
        <f>EMD!AO83/(EMD!AO$3*24)</f>
        <v>4.3007573717574399</v>
      </c>
      <c r="AP56" s="331">
        <f>EMD!AP83/(EMD!AP$3*24)</f>
        <v>0</v>
      </c>
      <c r="AQ56" s="331">
        <f>EMD!AQ83/(EMD!AQ$3*24)</f>
        <v>0.92567204301075279</v>
      </c>
      <c r="AR56" s="92">
        <f>EMD!AR83/(EMD!AR$3*24)</f>
        <v>7.6795966104414699</v>
      </c>
      <c r="AS56" s="92">
        <f>EMD!AS83/(EMD!AS$3*24)</f>
        <v>3.9588369626360436</v>
      </c>
      <c r="AT56" s="331">
        <f>EMD!AT83/(EMD!AT$3*24)</f>
        <v>0</v>
      </c>
      <c r="AU56" s="331">
        <f>EMD!AU83/(EMD!AU$3*24)</f>
        <v>1.4376488095238096</v>
      </c>
      <c r="AV56" s="92">
        <f>EMD!AV83/(EMD!AV$3*24)</f>
        <v>7.0357980922008672</v>
      </c>
      <c r="AW56" s="92">
        <f>EMD!AW83/(EMD!AW$3*24)</f>
        <v>3.7474798719559761</v>
      </c>
      <c r="AX56" s="331">
        <f>EMD!AX83/(EMD!AX$3*24)</f>
        <v>17.035639221420087</v>
      </c>
      <c r="AY56" s="331">
        <f>EMD!AY83/(EMD!AY$3*24)</f>
        <v>2.784274193548387</v>
      </c>
      <c r="AZ56" s="351">
        <f>EMD!AZ83/(EMD!AZ$3*24)</f>
        <v>5.8678312873780296</v>
      </c>
      <c r="BA56" s="2120">
        <f>EMD!BA83/(EMD!BA$3*24)</f>
        <v>1.725138888888889</v>
      </c>
      <c r="BB56" s="2122">
        <f>EMD!BB83/(EMD!BB$3*24)</f>
        <v>5.7514657203042461</v>
      </c>
      <c r="BC56" s="439">
        <f>EMD!BC83/(EMD!BC$3*24)</f>
        <v>2.4538296703296707</v>
      </c>
      <c r="BD56" s="92">
        <f>EMD!BD83/(EMD!BD$3*24)</f>
        <v>7.8850996675592118</v>
      </c>
      <c r="BE56" s="92">
        <f>EMD!BE83/(EMD!BE$3*24)</f>
        <v>3.6656733622830027</v>
      </c>
      <c r="BF56" s="23"/>
      <c r="BG56" s="491"/>
      <c r="BH56" s="23"/>
      <c r="BI56" s="23"/>
      <c r="BJ56" s="23"/>
    </row>
    <row r="57" spans="1:68" x14ac:dyDescent="0.3">
      <c r="A57" s="137"/>
      <c r="B57" s="9" t="s">
        <v>105</v>
      </c>
      <c r="C57" s="12" t="s">
        <v>438</v>
      </c>
      <c r="D57" s="676">
        <f>EMD!D96/(EMD!D$3*24)</f>
        <v>0</v>
      </c>
      <c r="E57" s="676">
        <f>EMD!E96/(EMD!E$3*24)</f>
        <v>0.39654166666666668</v>
      </c>
      <c r="F57" s="676">
        <f>EMD!F96/(EMD!F$3*24)</f>
        <v>0</v>
      </c>
      <c r="G57" s="676">
        <f>EMD!G96/(EMD!G$3*24)</f>
        <v>2.5491129032258062</v>
      </c>
      <c r="H57" s="689">
        <f>EMD!H96/(EMD!H$3*24)</f>
        <v>0</v>
      </c>
      <c r="I57" s="2827">
        <f>EMD!I96/(EMD!I$3*24)</f>
        <v>1.49047131147541</v>
      </c>
      <c r="J57" s="676">
        <f>EMD!J96/(EMD!J$3*24)</f>
        <v>0.63203809401793165</v>
      </c>
      <c r="K57" s="676">
        <f>EMD!K96/(EMD!K$3*24)</f>
        <v>0.18054556962336044</v>
      </c>
      <c r="L57" s="351">
        <f>EMD!L96/(EMD!L$3*24)</f>
        <v>0.20836420681909837</v>
      </c>
      <c r="M57" s="2120">
        <f>EMD!M96/(EMD!M$3*24)</f>
        <v>1.0586276603153937</v>
      </c>
      <c r="N57" s="676">
        <f>EMD!N96/(EMD!N$3*24)</f>
        <v>0.56053191340348529</v>
      </c>
      <c r="O57" s="676">
        <f>EMD!O96/(EMD!O$3*24)</f>
        <v>2.7382760462842957E-2</v>
      </c>
      <c r="P57" s="689">
        <f>EMD!P96/(EMD!P$3*24)</f>
        <v>0.29784944373808192</v>
      </c>
      <c r="Q57" s="689">
        <f>EMD!Q96/(EMD!Q$3*24)</f>
        <v>0.7965900218282701</v>
      </c>
      <c r="R57" s="676">
        <f>EMD!R96/(EMD!R$3*24)</f>
        <v>0.56053191340348529</v>
      </c>
      <c r="S57" s="676">
        <f>EMD!S96/(EMD!S$3*24)</f>
        <v>0.44465578125963956</v>
      </c>
      <c r="T57" s="689">
        <f>EMD!T96/(EMD!T$3*24)</f>
        <v>0.35107268922584345</v>
      </c>
      <c r="U57" s="689">
        <f>EMD!U96/(EMD!U$3*24)</f>
        <v>0.7252830841967175</v>
      </c>
      <c r="V57" s="676">
        <f>EMD!V96/(EMD!V$3*24)</f>
        <v>2.7665566724346125</v>
      </c>
      <c r="W57" s="676">
        <f>EMD!W96/(EMD!W$3*24)</f>
        <v>0.25999166666666668</v>
      </c>
      <c r="X57" s="351">
        <f>EMD!X96/(EMD!X$3*24)</f>
        <v>1.2798878130875484</v>
      </c>
      <c r="Y57" s="2120">
        <f>EMD!Y96/(EMD!Y$3*24)</f>
        <v>0.2438363564499669</v>
      </c>
      <c r="Z57" s="2123">
        <f>EMD!Z96/(EMD!Z$3*24)</f>
        <v>0.74705367007973988</v>
      </c>
      <c r="AA57" s="690">
        <f>EMD!AA96/(EMD!AA$3*24)</f>
        <v>0.64900580263441421</v>
      </c>
      <c r="AB57" s="676">
        <f>EMD!AB96/(EMD!AB$3*24)</f>
        <v>0.51387779499587349</v>
      </c>
      <c r="AC57" s="676">
        <f>EMD!AC96/(EMD!AC$3*24)</f>
        <v>1.3094489247311829</v>
      </c>
      <c r="AD57" s="689">
        <f>EMD!AD96/(EMD!AD$3*24)</f>
        <v>0.71327585639936675</v>
      </c>
      <c r="AE57" s="689">
        <f>EMD!AE96/(EMD!AE$3*24)</f>
        <v>0.74467746985403949</v>
      </c>
      <c r="AF57" s="676">
        <f>EMD!AF96/(EMD!AF$3*24)</f>
        <v>0.10177324844790192</v>
      </c>
      <c r="AG57" s="676">
        <f>EMD!AG96/(EMD!AG$3*24)</f>
        <v>0.33855277777777781</v>
      </c>
      <c r="AH57" s="689">
        <f>EMD!AH96/(EMD!AH$3*24)</f>
        <v>0.6380911095200883</v>
      </c>
      <c r="AI57" s="689">
        <f>EMD!AI96/(EMD!AI$3*24)</f>
        <v>0.69474410607417125</v>
      </c>
      <c r="AJ57" s="676">
        <f>EMD!AJ96/(EMD!AJ$3*24)</f>
        <v>0.11726313456904514</v>
      </c>
      <c r="AK57" s="676">
        <f>EMD!AK96/(EMD!AK$3*24)</f>
        <v>0.34876202959643682</v>
      </c>
      <c r="AL57" s="351">
        <f>EMD!AL96/(EMD!AL$3*24)</f>
        <v>0.24585398119510363</v>
      </c>
      <c r="AM57" s="2120">
        <f>EMD!AM96/(EMD!AM$3*24)</f>
        <v>0.66914264040749505</v>
      </c>
      <c r="AN57" s="92">
        <f>EMD!AN96/(EMD!AN$3*24)</f>
        <v>0.57937959234378889</v>
      </c>
      <c r="AO57" s="92">
        <f>EMD!AO96/(EMD!AO$3*24)</f>
        <v>0.65574249018031749</v>
      </c>
      <c r="AP57" s="676">
        <f>EMD!AP96/(EMD!AP$3*24)</f>
        <v>0.11726313456904514</v>
      </c>
      <c r="AQ57" s="676">
        <f>EMD!AQ96/(EMD!AQ$3*24)</f>
        <v>0.43515994623655918</v>
      </c>
      <c r="AR57" s="689">
        <f>EMD!AR96/(EMD!AR$3*24)</f>
        <v>0.53256387276530182</v>
      </c>
      <c r="AS57" s="689">
        <f>EMD!AS96/(EMD!AS$3*24)</f>
        <v>0.63339589259124396</v>
      </c>
      <c r="AT57" s="676">
        <f>EMD!AT96/(EMD!AT$3*24)</f>
        <v>8.1765478874760156E-2</v>
      </c>
      <c r="AU57" s="676">
        <f>EMD!AU96/(EMD!AU$3*24)</f>
        <v>0.17035863095238094</v>
      </c>
      <c r="AV57" s="689">
        <f>EMD!AV96/(EMD!AV$3*24)</f>
        <v>0.49477239064274142</v>
      </c>
      <c r="AW57" s="689">
        <f>EMD!AW96/(EMD!AW$3*24)</f>
        <v>0.5945783976035548</v>
      </c>
      <c r="AX57" s="676">
        <f>EMD!AX96/(EMD!AX$3*24)</f>
        <v>0.3739394862884699</v>
      </c>
      <c r="AY57" s="676">
        <f>EMD!AY96/(EMD!AY$3*24)</f>
        <v>0.51630645161290323</v>
      </c>
      <c r="AZ57" s="351">
        <f>EMD!AZ96/(EMD!AZ$3*24)</f>
        <v>0.19463016283418055</v>
      </c>
      <c r="BA57" s="2120">
        <f>EMD!BA96/(EMD!BA$3*24)</f>
        <v>0.38072777777777783</v>
      </c>
      <c r="BB57" s="2122">
        <f>EMD!BB96/(EMD!BB$3*24)</f>
        <v>0.22052352156607574</v>
      </c>
      <c r="BC57" s="439">
        <f>EMD!BC96/(EMD!BC$3*24)</f>
        <v>0.5265199061400524</v>
      </c>
      <c r="BD57" s="92">
        <f>EMD!BD96/(EMD!BD$3*24)</f>
        <v>0.48450986999895396</v>
      </c>
      <c r="BE57" s="92">
        <f>EMD!BE96/(EMD!BE$3*24)</f>
        <v>0.58793064328654054</v>
      </c>
      <c r="BF57" s="23"/>
      <c r="BG57" s="491"/>
      <c r="BH57" s="23"/>
      <c r="BI57" s="23"/>
      <c r="BJ57" s="23"/>
    </row>
    <row r="58" spans="1:68" x14ac:dyDescent="0.3">
      <c r="A58" s="137"/>
      <c r="B58" s="2631" t="s">
        <v>389</v>
      </c>
      <c r="C58" s="17" t="s">
        <v>387</v>
      </c>
      <c r="D58" s="143">
        <v>8500</v>
      </c>
      <c r="E58" s="168">
        <f>EMD!E94</f>
        <v>8034.3</v>
      </c>
      <c r="F58" s="143">
        <v>8500</v>
      </c>
      <c r="G58" s="168">
        <f>EMD!G94</f>
        <v>8034.9</v>
      </c>
      <c r="H58" s="2349">
        <v>8500</v>
      </c>
      <c r="I58" s="35">
        <f>+((E58*(E57*E3*24))+(G58*(G57*24*G3)))/(I57*24*I3)</f>
        <v>8034.8214930913564</v>
      </c>
      <c r="J58" s="143">
        <v>8000</v>
      </c>
      <c r="K58" s="168">
        <v>8037.7</v>
      </c>
      <c r="L58" s="68">
        <f>+((H58*(H57*H3*24))+(J58*(J57*24*J3)))/(L57*24*L3)</f>
        <v>7999.9999999999991</v>
      </c>
      <c r="M58" s="65">
        <f>+((E58*(E57*E3*24))+(G58*(G57*G3*24))+(K58*(K57*24*K3)))/(M57*24*M3)</f>
        <v>8034.9833349051814</v>
      </c>
      <c r="N58" s="143">
        <v>8000</v>
      </c>
      <c r="O58" s="168">
        <v>8032.4</v>
      </c>
      <c r="P58" s="718">
        <f>+((L58*(L57*L3*24))+(N58*(N57*24*N3)))/(P57*24*P3)</f>
        <v>7999.9999999999991</v>
      </c>
      <c r="Q58" s="718">
        <f>+((M58*(M57*M3*24))+(O58*(O57*24*O3)))/(Q57*24*Q3)</f>
        <v>8034.9607704454011</v>
      </c>
      <c r="R58" s="143">
        <v>8000</v>
      </c>
      <c r="S58" s="168">
        <v>8031.9</v>
      </c>
      <c r="T58" s="718">
        <f>+((P58*(P57*P3*24))+(R58*(R57*24*R3)))/(T57*24*T3)</f>
        <v>7999.9999999999973</v>
      </c>
      <c r="U58" s="718">
        <f>+((Q58*(Q57*Q3*24))+(S58*(S57*24*S3)))/(U57*24*U3)</f>
        <v>8034.5805658016798</v>
      </c>
      <c r="V58" s="143">
        <v>8000</v>
      </c>
      <c r="W58" s="168">
        <v>8032</v>
      </c>
      <c r="X58" s="68">
        <f>+((N58*(N57*N3*24))+(R58*(R57*R3*24))+(V58*(V57*24*V3)))/(X57*24*X3)</f>
        <v>8000.0000000000009</v>
      </c>
      <c r="Y58" s="65">
        <f>+((O58*(O57*O3*24))+(S58*(S57*S3*24))+(W58*(W57*24*W3)))/(Y57*24*Y3)</f>
        <v>8031.9536892413498</v>
      </c>
      <c r="Z58" s="723">
        <v>8000</v>
      </c>
      <c r="AA58" s="464">
        <f>+((M58*(M57*M3*24))+(Y58*(Y57*24*Y3)))/(AA57*24*AA3)</f>
        <v>8034.4110945836392</v>
      </c>
      <c r="AB58" s="143">
        <v>8000</v>
      </c>
      <c r="AC58" s="168">
        <v>8032.3</v>
      </c>
      <c r="AD58" s="718">
        <f>+((Z58*(Z57*Z3*24))+(AB58*(AB57*24*AB3)))/(AD57*24*AD3)</f>
        <v>7999.9999999999991</v>
      </c>
      <c r="AE58" s="718">
        <f>+((AA58*(AA57*AA3*24))+(AC58*(AC57*24*AC3)))/(AE57*24*AE3)</f>
        <v>8033.8733501038469</v>
      </c>
      <c r="AF58" s="143">
        <v>8000</v>
      </c>
      <c r="AG58" s="168">
        <v>8031.8</v>
      </c>
      <c r="AH58" s="718">
        <f>+((AD58*(AD57*AD3*24))+(AF58*(AF57*24*AF3)))/(AH57*24*AH3)</f>
        <v>7999.9999999999991</v>
      </c>
      <c r="AI58" s="718">
        <f>+((AE58*(AE57*AE3*24))+(AG58*(AG57*24*AG3)))/(AI57*24*AI3)</f>
        <v>8033.7491260831894</v>
      </c>
      <c r="AJ58" s="143">
        <v>8000</v>
      </c>
      <c r="AK58" s="168">
        <v>8032.4</v>
      </c>
      <c r="AL58" s="68">
        <f>+((AB58*(AB57*AB3*24))+(AF58*(AF57*AF3*24))+(AJ58*(AJ57*24*AJ3)))/(AL57*24*AL3)</f>
        <v>8000</v>
      </c>
      <c r="AM58" s="65">
        <f>+((AC58*(AC57*AC3*24))+(AG58*(AG57*AG3*24))+(AK58*(AK57*24*AK3)))/(AM57*24*AM3)</f>
        <v>8032.2350705577555</v>
      </c>
      <c r="AN58" s="718">
        <f>+((AH58*(AH57*AH3*24))+(AJ58*(AJ57*24*AJ3)))/(AN57*24*AN3)</f>
        <v>8000</v>
      </c>
      <c r="AO58" s="718">
        <f>+((AI58*(AI57*AI3*24))+(AK58*(AK57*24*AK3)))/(AO57*24*AO3)</f>
        <v>8033.6682393288038</v>
      </c>
      <c r="AP58" s="143">
        <v>8000</v>
      </c>
      <c r="AQ58" s="168">
        <v>8029.6</v>
      </c>
      <c r="AR58" s="718">
        <f>+((AN58*(AN57*AN3*24))+(AP58*(AP57*24*AP3)))/(AR57*24*AR3)</f>
        <v>8000</v>
      </c>
      <c r="AS58" s="718">
        <f>+((AO58*(AO57*AO3*24))+(AQ58*(AQ57*24*AQ3)))/(AS57*24*AS3)</f>
        <v>8033.3850868076006</v>
      </c>
      <c r="AT58" s="143">
        <v>8000</v>
      </c>
      <c r="AU58" s="168">
        <v>8030</v>
      </c>
      <c r="AV58" s="718">
        <f>+((AR58*(AR57*AR3*24))+(AT58*(AT57*24*AT3)))/(AV57*24*AV3)</f>
        <v>8000.0000000000009</v>
      </c>
      <c r="AW58" s="718">
        <f>+((AS58*(AS57*AS3*24))+(AU58*(AU57*24*AU3)))/(AW57*24*AW3)</f>
        <v>8033.3037782250931</v>
      </c>
      <c r="AX58" s="143">
        <v>8000</v>
      </c>
      <c r="AY58" s="168"/>
      <c r="AZ58" s="68">
        <f>+((AP58*(AP57*AP3*24))+(AT58*(AT57*AT3*24))+(AX58*(AX57*24*AX3)))/(AZ57*24*AZ3)</f>
        <v>8000.0000000000009</v>
      </c>
      <c r="BA58" s="65">
        <f>+((AQ58*(AQ57*AQ3*24))+(AU58*(AU57*AU3*24))+(AY58*(AY57*24*AY3)))/(BA57*24*BA3)</f>
        <v>4279.0096165725472</v>
      </c>
      <c r="BB58" s="723">
        <v>8000</v>
      </c>
      <c r="BC58" s="464">
        <f>+((AM58*(AM57*AM3*24))+(BA58*(BA57*24*BA3)))/(BC57*24*BC3)</f>
        <v>6690.163912480265</v>
      </c>
      <c r="BD58" s="718">
        <f>+((AV58*(AV57*AV3*24))+(AX58*(AX57*24*AX3)))/(BD57*24*BD3)</f>
        <v>8000.0000000000018</v>
      </c>
      <c r="BE58" s="718">
        <f>+((AW58*(AW57*AW3*24))+(AY58*(AY57*24*AY3)))/(BE57*24*BE3)</f>
        <v>7434.1414842360255</v>
      </c>
      <c r="BF58" s="491"/>
      <c r="BG58" s="491"/>
      <c r="BH58" s="23"/>
      <c r="BI58" s="23"/>
      <c r="BJ58" s="23"/>
    </row>
    <row r="59" spans="1:68" x14ac:dyDescent="0.3">
      <c r="A59" s="137"/>
      <c r="B59" s="9" t="s">
        <v>385</v>
      </c>
      <c r="C59" s="12" t="s">
        <v>386</v>
      </c>
      <c r="D59" s="374">
        <v>28.799999999999997</v>
      </c>
      <c r="E59" s="1911">
        <v>10.95</v>
      </c>
      <c r="F59" s="374">
        <v>37.200000000000003</v>
      </c>
      <c r="G59" s="1911">
        <v>39.71</v>
      </c>
      <c r="H59" s="2659">
        <f>+D59+F59</f>
        <v>66</v>
      </c>
      <c r="I59" s="2592">
        <f>+E59+G59</f>
        <v>50.66</v>
      </c>
      <c r="J59" s="1239">
        <v>7.1999999999999993</v>
      </c>
      <c r="K59" s="1911">
        <v>19.22</v>
      </c>
      <c r="L59" s="351">
        <f>+H59+J59</f>
        <v>73.2</v>
      </c>
      <c r="M59" s="2120">
        <f>+I59+K59</f>
        <v>69.88</v>
      </c>
      <c r="N59" s="1239">
        <v>7.4399999999999995</v>
      </c>
      <c r="O59" s="1911">
        <v>15.46</v>
      </c>
      <c r="P59" s="343">
        <f>+L59+N59</f>
        <v>80.64</v>
      </c>
      <c r="Q59" s="343">
        <f>+M59+O59</f>
        <v>85.34</v>
      </c>
      <c r="R59" s="1239">
        <v>29.759999999999998</v>
      </c>
      <c r="S59" s="1911">
        <v>39.08</v>
      </c>
      <c r="T59" s="343">
        <f>+P59+R59</f>
        <v>110.4</v>
      </c>
      <c r="U59" s="343">
        <f>+Q59+S59</f>
        <v>124.42</v>
      </c>
      <c r="V59" s="1239">
        <v>50.400000000000006</v>
      </c>
      <c r="W59" s="1911">
        <v>25.47</v>
      </c>
      <c r="X59" s="351">
        <f t="shared" ref="X59:Y59" si="195">+N59+R59+V59</f>
        <v>87.6</v>
      </c>
      <c r="Y59" s="2120">
        <f t="shared" si="195"/>
        <v>80.009999999999991</v>
      </c>
      <c r="Z59" s="2124">
        <f>+L59+X59</f>
        <v>160.80000000000001</v>
      </c>
      <c r="AA59" s="596">
        <f>+M59+Y59</f>
        <v>149.88999999999999</v>
      </c>
      <c r="AB59" s="1239">
        <v>29.759999999999998</v>
      </c>
      <c r="AC59" s="1911">
        <v>29.25</v>
      </c>
      <c r="AD59" s="343">
        <f>+Z59+AB59</f>
        <v>190.56</v>
      </c>
      <c r="AE59" s="343">
        <f>+AA59+AC59</f>
        <v>179.14</v>
      </c>
      <c r="AF59" s="1239">
        <v>7.1999999999999993</v>
      </c>
      <c r="AG59" s="1911">
        <v>4.92</v>
      </c>
      <c r="AH59" s="343">
        <f>+AD59+AF59</f>
        <v>197.76</v>
      </c>
      <c r="AI59" s="343">
        <f>+AE59+AG59</f>
        <v>184.05999999999997</v>
      </c>
      <c r="AJ59" s="1239">
        <v>7.4399999999999995</v>
      </c>
      <c r="AK59" s="1911">
        <v>12.49</v>
      </c>
      <c r="AL59" s="351">
        <f t="shared" ref="AL59" si="196">+AB59+AF59+AJ59</f>
        <v>44.399999999999991</v>
      </c>
      <c r="AM59" s="2120">
        <f t="shared" ref="AM59" si="197">+AC59+AG59+AK59</f>
        <v>46.660000000000004</v>
      </c>
      <c r="AN59" s="343">
        <f>+AH59+AJ59</f>
        <v>205.2</v>
      </c>
      <c r="AO59" s="343">
        <f>+AI59+AK59</f>
        <v>196.54999999999998</v>
      </c>
      <c r="AP59" s="1239">
        <v>22.32</v>
      </c>
      <c r="AQ59" s="1911">
        <v>21.9</v>
      </c>
      <c r="AR59" s="343">
        <f>+AN59+AP59</f>
        <v>227.51999999999998</v>
      </c>
      <c r="AS59" s="343">
        <f>+AO59+AQ59</f>
        <v>218.45</v>
      </c>
      <c r="AT59" s="1239">
        <v>6.72</v>
      </c>
      <c r="AU59" s="1911">
        <v>30.6</v>
      </c>
      <c r="AV59" s="343">
        <f>+AR59+AT59</f>
        <v>234.23999999999998</v>
      </c>
      <c r="AW59" s="343">
        <f>+AS59+AU59</f>
        <v>249.04999999999998</v>
      </c>
      <c r="AX59" s="1239">
        <v>14.879999999999999</v>
      </c>
      <c r="AY59" s="1911"/>
      <c r="AZ59" s="351">
        <f t="shared" ref="AZ59" si="198">+AP59+AT59+AX59</f>
        <v>43.92</v>
      </c>
      <c r="BA59" s="2120">
        <f t="shared" ref="BA59" si="199">+AQ59+AU59+AY59</f>
        <v>52.5</v>
      </c>
      <c r="BB59" s="2124">
        <f>+AL59+AZ59</f>
        <v>88.32</v>
      </c>
      <c r="BC59" s="596">
        <f>+AM59+BA59</f>
        <v>99.16</v>
      </c>
      <c r="BD59" s="343">
        <f>+AV59+AX59</f>
        <v>249.11999999999998</v>
      </c>
      <c r="BE59" s="343">
        <f>+AW59+AY59</f>
        <v>249.04999999999998</v>
      </c>
      <c r="BF59" s="491"/>
      <c r="BG59" s="491"/>
      <c r="BH59" s="23"/>
      <c r="BI59" s="23"/>
      <c r="BJ59" s="23"/>
    </row>
    <row r="60" spans="1:68" x14ac:dyDescent="0.3">
      <c r="A60" s="137"/>
      <c r="B60" s="2631" t="s">
        <v>390</v>
      </c>
      <c r="C60" s="17" t="s">
        <v>391</v>
      </c>
      <c r="D60" s="143">
        <v>9100</v>
      </c>
      <c r="E60" s="168">
        <v>9135</v>
      </c>
      <c r="F60" s="143">
        <v>9100</v>
      </c>
      <c r="G60" s="168">
        <v>9135</v>
      </c>
      <c r="H60" s="2349">
        <f>+AVERAGE(D60,F60)</f>
        <v>9100</v>
      </c>
      <c r="I60" s="35">
        <f>+AVERAGE(E60,G60)</f>
        <v>9135</v>
      </c>
      <c r="J60" s="143">
        <v>9135</v>
      </c>
      <c r="K60" s="168">
        <v>9135</v>
      </c>
      <c r="L60" s="68">
        <f>+AVERAGE(H60,J60)</f>
        <v>9117.5</v>
      </c>
      <c r="M60" s="65">
        <f>+AVERAGE(I60,K60)</f>
        <v>9135</v>
      </c>
      <c r="N60" s="143">
        <v>9135</v>
      </c>
      <c r="O60" s="168">
        <v>9135</v>
      </c>
      <c r="P60" s="718">
        <f>+AVERAGE(L60,N60)</f>
        <v>9126.25</v>
      </c>
      <c r="Q60" s="718">
        <f>+AVERAGE(M60,O60)</f>
        <v>9135</v>
      </c>
      <c r="R60" s="143">
        <v>9135</v>
      </c>
      <c r="S60" s="168">
        <v>9135</v>
      </c>
      <c r="T60" s="718">
        <f>+AVERAGE(P60,R60)</f>
        <v>9130.625</v>
      </c>
      <c r="U60" s="718">
        <f>+AVERAGE(Q60,S60)</f>
        <v>9135</v>
      </c>
      <c r="V60" s="143">
        <v>9135</v>
      </c>
      <c r="W60" s="168">
        <v>9135</v>
      </c>
      <c r="X60" s="68">
        <f>+AVERAGE(T60,V60)</f>
        <v>9132.8125</v>
      </c>
      <c r="Y60" s="65">
        <f>+AVERAGE(U60,W60)</f>
        <v>9135</v>
      </c>
      <c r="Z60" s="723">
        <v>9135</v>
      </c>
      <c r="AA60" s="464">
        <f>+AVERAGE(M60,Y60)</f>
        <v>9135</v>
      </c>
      <c r="AB60" s="143">
        <v>9135</v>
      </c>
      <c r="AC60" s="168">
        <v>9135</v>
      </c>
      <c r="AD60" s="718">
        <f>+AVERAGE(Z60,AB60)</f>
        <v>9135</v>
      </c>
      <c r="AE60" s="718">
        <f>+AVERAGE(AA60,AC60)</f>
        <v>9135</v>
      </c>
      <c r="AF60" s="143">
        <v>9135</v>
      </c>
      <c r="AG60" s="168">
        <v>9135</v>
      </c>
      <c r="AH60" s="718">
        <f>+AVERAGE(AD60,AF60)</f>
        <v>9135</v>
      </c>
      <c r="AI60" s="718">
        <f>+AVERAGE(AE60,AG60)</f>
        <v>9135</v>
      </c>
      <c r="AJ60" s="143">
        <v>9135</v>
      </c>
      <c r="AK60" s="168">
        <v>9135</v>
      </c>
      <c r="AL60" s="68">
        <f>+AVERAGE(AH60,AJ60)</f>
        <v>9135</v>
      </c>
      <c r="AM60" s="65">
        <f>+AVERAGE(AI60,AK60)</f>
        <v>9135</v>
      </c>
      <c r="AN60" s="718">
        <f>+AVERAGE(AH60,AJ60)</f>
        <v>9135</v>
      </c>
      <c r="AO60" s="718">
        <f>+AVERAGE(AI60,AK60)</f>
        <v>9135</v>
      </c>
      <c r="AP60" s="143">
        <v>9135</v>
      </c>
      <c r="AQ60" s="168">
        <v>9135</v>
      </c>
      <c r="AR60" s="718">
        <f>+AVERAGE(AN60,AP60)</f>
        <v>9135</v>
      </c>
      <c r="AS60" s="718">
        <f>+AVERAGE(AO60,AQ60)</f>
        <v>9135</v>
      </c>
      <c r="AT60" s="143">
        <v>9135</v>
      </c>
      <c r="AU60" s="168">
        <v>9135</v>
      </c>
      <c r="AV60" s="718">
        <f>+AVERAGE(AR60,AT60)</f>
        <v>9135</v>
      </c>
      <c r="AW60" s="718">
        <f>+AVERAGE(AS60,AU60)</f>
        <v>9135</v>
      </c>
      <c r="AX60" s="143">
        <v>9135</v>
      </c>
      <c r="AY60" s="168"/>
      <c r="AZ60" s="68">
        <f>+AVERAGE(AV60,AX60)</f>
        <v>9135</v>
      </c>
      <c r="BA60" s="65">
        <f>+AVERAGE(AW60,AY60)</f>
        <v>9135</v>
      </c>
      <c r="BB60" s="723">
        <v>9135</v>
      </c>
      <c r="BC60" s="464">
        <f>+AVERAGE(AM60,BA60)</f>
        <v>9135</v>
      </c>
      <c r="BD60" s="718">
        <f>+AVERAGE(AV60,AX60)</f>
        <v>9135</v>
      </c>
      <c r="BE60" s="718">
        <f>+AVERAGE(AW60,AY60)</f>
        <v>9135</v>
      </c>
      <c r="BF60" s="491"/>
      <c r="BG60" s="491"/>
      <c r="BH60" s="23"/>
      <c r="BI60" s="23"/>
      <c r="BJ60" s="23"/>
    </row>
    <row r="61" spans="1:68" ht="15.75" customHeight="1" thickBot="1" x14ac:dyDescent="0.35">
      <c r="B61" s="2828" t="s">
        <v>388</v>
      </c>
      <c r="C61" s="17" t="s">
        <v>478</v>
      </c>
      <c r="D61" s="912">
        <v>0.81</v>
      </c>
      <c r="E61" s="366">
        <v>0.81200000000000006</v>
      </c>
      <c r="F61" s="912">
        <v>0.85976963071761259</v>
      </c>
      <c r="G61" s="366">
        <v>0.89149999999999996</v>
      </c>
      <c r="H61" s="2829">
        <f>+((D61*D29)+(F29*F61))/H29</f>
        <v>0.83406121598674521</v>
      </c>
      <c r="I61" s="2591">
        <f>+((E61*E29)+(G29*G61))/I29-0.002</f>
        <v>0.84250032022227517</v>
      </c>
      <c r="J61" s="912">
        <v>0.8105300386187142</v>
      </c>
      <c r="K61" s="366">
        <v>0.86</v>
      </c>
      <c r="L61" s="363">
        <f>+((H61*H29)+(J29*J61))/L29</f>
        <v>0.8246458164479431</v>
      </c>
      <c r="M61" s="1450">
        <f>+((I61*I29)+(K29*K61))/M29</f>
        <v>0.84900356295891244</v>
      </c>
      <c r="N61" s="912">
        <v>0.8107332763866002</v>
      </c>
      <c r="O61" s="366">
        <v>0.83</v>
      </c>
      <c r="P61" s="349">
        <f>+((L61*L29)+(N29*N61))/P29</f>
        <v>0.82056273779221378</v>
      </c>
      <c r="Q61" s="349">
        <f>+((M61*M29)+(O29*O61))/Q29</f>
        <v>0.84365134707644418</v>
      </c>
      <c r="R61" s="912">
        <v>0.81065204786321643</v>
      </c>
      <c r="S61" s="366">
        <v>0.82499999999999996</v>
      </c>
      <c r="T61" s="349">
        <f>+((P61*P29)+(R29*R61))/T29</f>
        <v>0.81832952663581982</v>
      </c>
      <c r="U61" s="349">
        <f>+((Q61*Q29)+(S29*S61))/U29</f>
        <v>0.83964424529990345</v>
      </c>
      <c r="V61" s="912">
        <v>0.85209170545439683</v>
      </c>
      <c r="W61" s="366">
        <v>0.84399999999999997</v>
      </c>
      <c r="X61" s="363">
        <f>+((N61*N29)+(R61*R29)+(V29*V61))/X29</f>
        <v>0.82213575930647742</v>
      </c>
      <c r="Y61" s="1450">
        <f>+((O61*O29)+(S61*S29)+(W29*W61))/Y29</f>
        <v>0.83276369824122132</v>
      </c>
      <c r="Z61" s="2125">
        <f>+((L61*L29)+(X61*X29))/Z29</f>
        <v>0.82330701764454162</v>
      </c>
      <c r="AA61" s="2125">
        <f>+((M61*M29)+(Y61*Y29))/AA29</f>
        <v>0.84037876077907658</v>
      </c>
      <c r="AB61" s="912">
        <v>0.81016819161264075</v>
      </c>
      <c r="AC61" s="366">
        <v>0.89100000000000001</v>
      </c>
      <c r="AD61" s="349">
        <f>+((Z61*Z29)+(AB29*AB61))/AD29</f>
        <v>0.82118894277403232</v>
      </c>
      <c r="AE61" s="349">
        <f>+((AA61*AA29)+(AC29*AC61))/AE29</f>
        <v>0.847229426476235</v>
      </c>
      <c r="AF61" s="912">
        <v>0.80979401416769259</v>
      </c>
      <c r="AG61" s="366">
        <v>0.875</v>
      </c>
      <c r="AH61" s="349">
        <f>+((AD61*AD29)+(AF29*AF61))/AH29</f>
        <v>0.81981928200620247</v>
      </c>
      <c r="AI61" s="349">
        <f>+((AE61*AE29)+(AG29*AG61))/AI29</f>
        <v>0.8507802429045106</v>
      </c>
      <c r="AJ61" s="912">
        <v>0.80979446222515539</v>
      </c>
      <c r="AK61" s="366">
        <v>0.87050000000000005</v>
      </c>
      <c r="AL61" s="363">
        <f>+((AB61*AB29)+(AF61*AF29)+(AJ29*AJ61))/AL29</f>
        <v>0.80993157181344799</v>
      </c>
      <c r="AM61" s="1450">
        <f>+((AC61*AC29)+(AG61*AG29)+(AK29*AK61))/AM29</f>
        <v>0.87843882903897641</v>
      </c>
      <c r="AN61" s="349">
        <f>+((AH61*AH29)+(AJ29*AJ61))/AN29</f>
        <v>0.81871195441923328</v>
      </c>
      <c r="AO61" s="349">
        <f>+((AI61*AI29)+(AK29*AK61))/AO29-0.001</f>
        <v>0.85206991868368187</v>
      </c>
      <c r="AP61" s="912">
        <v>0.80979446222515539</v>
      </c>
      <c r="AQ61" s="366">
        <v>0.874</v>
      </c>
      <c r="AR61" s="349">
        <f>+((AN61*AN29)+(AP29*AP61))/AR29</f>
        <v>0.81783599804923957</v>
      </c>
      <c r="AS61" s="349">
        <f>+((AO61*AO29)+(AQ29*AQ61))/AS29</f>
        <v>0.85428274931795278</v>
      </c>
      <c r="AT61" s="912">
        <v>0.80979446222515539</v>
      </c>
      <c r="AU61" s="366">
        <v>0.876</v>
      </c>
      <c r="AV61" s="349">
        <f>+((AR61*AR29)+(AT29*AT61))/AV29</f>
        <v>0.81717579101098725</v>
      </c>
      <c r="AW61" s="349">
        <f>+((AS61*AS29)+(AU29*AU61))/AW29</f>
        <v>0.85603235220988971</v>
      </c>
      <c r="AX61" s="912">
        <v>0.80982005757063757</v>
      </c>
      <c r="AY61" s="366"/>
      <c r="AZ61" s="363">
        <f>+((AP61*AP29)+(AT61*AT29)+(AX29*AX61))/AZ29</f>
        <v>0.80980402221490644</v>
      </c>
      <c r="BA61" s="1450">
        <f>+((AQ61*AQ29)+(AU61*AU29)+(AY29*AY61))/BA29</f>
        <v>0.56550910614517547</v>
      </c>
      <c r="BB61" s="2125">
        <f>+((AL61*AL29)+(AZ61*AZ29))/BB29</f>
        <v>0.80986886874602004</v>
      </c>
      <c r="BC61" s="2125">
        <f>+((AM61*AM29)+(BA61*BA29))/BC29</f>
        <v>0.72412350914786272</v>
      </c>
      <c r="BD61" s="349">
        <f>+((AV61*AV29)+(AX29*AX61))/BD29</f>
        <v>0.81649071015948338</v>
      </c>
      <c r="BE61" s="349">
        <f>+((AW61*AW29)+(AY29*AY61))/BE29</f>
        <v>0.78187728997453465</v>
      </c>
      <c r="BF61" s="491"/>
      <c r="BG61" s="491"/>
      <c r="BH61" s="23"/>
      <c r="BI61" s="23"/>
      <c r="BJ61" s="23"/>
    </row>
    <row r="62" spans="1:68" ht="15" thickBot="1" x14ac:dyDescent="0.35">
      <c r="A62" s="137"/>
      <c r="B62" s="2948" t="s">
        <v>62</v>
      </c>
      <c r="C62" s="2949"/>
      <c r="D62" s="2948"/>
      <c r="E62" s="2950"/>
      <c r="F62" s="2948"/>
      <c r="G62" s="2950"/>
      <c r="H62" s="2949"/>
      <c r="I62" s="2950"/>
      <c r="J62" s="2948"/>
      <c r="K62" s="2950"/>
      <c r="L62" s="2118"/>
      <c r="M62" s="2118"/>
      <c r="N62" s="2948"/>
      <c r="O62" s="2950"/>
      <c r="P62" s="381"/>
      <c r="Q62" s="381"/>
      <c r="R62" s="2948"/>
      <c r="S62" s="2950"/>
      <c r="T62" s="381"/>
      <c r="U62" s="381"/>
      <c r="V62" s="2948"/>
      <c r="W62" s="2950"/>
      <c r="X62" s="2118"/>
      <c r="Y62" s="2118"/>
      <c r="Z62" s="381"/>
      <c r="AA62" s="381"/>
      <c r="AB62" s="2948"/>
      <c r="AC62" s="2950"/>
      <c r="AD62" s="381"/>
      <c r="AE62" s="381"/>
      <c r="AF62" s="2948"/>
      <c r="AG62" s="2950"/>
      <c r="AH62" s="381"/>
      <c r="AI62" s="381"/>
      <c r="AJ62" s="2948"/>
      <c r="AK62" s="2950"/>
      <c r="AL62" s="2118"/>
      <c r="AM62" s="2118"/>
      <c r="AN62" s="381"/>
      <c r="AO62" s="381"/>
      <c r="AP62" s="2948"/>
      <c r="AQ62" s="2950"/>
      <c r="AR62" s="381"/>
      <c r="AS62" s="381"/>
      <c r="AT62" s="2948"/>
      <c r="AU62" s="2950"/>
      <c r="AV62" s="381"/>
      <c r="AW62" s="381"/>
      <c r="AX62" s="2948"/>
      <c r="AY62" s="2950"/>
      <c r="AZ62" s="2118"/>
      <c r="BA62" s="2118"/>
      <c r="BB62" s="381"/>
      <c r="BC62" s="381"/>
      <c r="BD62" s="381"/>
      <c r="BE62" s="381"/>
      <c r="BF62" s="491"/>
      <c r="BG62" s="491"/>
      <c r="BH62" s="23"/>
      <c r="BI62" s="23"/>
      <c r="BJ62" s="23"/>
    </row>
    <row r="63" spans="1:68" x14ac:dyDescent="0.3">
      <c r="B63" s="5612" t="s">
        <v>393</v>
      </c>
      <c r="C63" s="5609" t="s">
        <v>351</v>
      </c>
      <c r="D63" s="5606"/>
      <c r="E63" s="5609">
        <v>51.400000000000006</v>
      </c>
      <c r="F63" s="5606"/>
      <c r="G63" s="5609">
        <v>40.999999999999986</v>
      </c>
      <c r="H63" s="6322"/>
      <c r="I63" s="2805">
        <f>+E63+G63</f>
        <v>92.399999999999991</v>
      </c>
      <c r="J63" s="2951"/>
      <c r="K63" s="132">
        <v>29.099999999999987</v>
      </c>
      <c r="L63" s="6318"/>
      <c r="M63" s="216">
        <f>E63+G63+K63</f>
        <v>121.49999999999997</v>
      </c>
      <c r="N63" s="2951"/>
      <c r="O63" s="132">
        <v>22.5</v>
      </c>
      <c r="P63" s="6307"/>
      <c r="Q63" s="201">
        <f>+M63+O63</f>
        <v>143.99999999999997</v>
      </c>
      <c r="R63" s="2951"/>
      <c r="S63" s="132">
        <v>21.3</v>
      </c>
      <c r="T63" s="6307"/>
      <c r="U63" s="201">
        <f>+Q63+S63</f>
        <v>165.29999999999998</v>
      </c>
      <c r="V63" s="2951"/>
      <c r="W63" s="132">
        <v>24.999999999999986</v>
      </c>
      <c r="X63" s="6318"/>
      <c r="Y63" s="220">
        <f t="shared" ref="Y63:Y82" si="200">+O63+S63+W63</f>
        <v>68.799999999999983</v>
      </c>
      <c r="Z63" s="6338"/>
      <c r="AA63" s="464">
        <f>M63+Y63</f>
        <v>190.29999999999995</v>
      </c>
      <c r="AB63" s="2951"/>
      <c r="AC63" s="83">
        <v>25.9</v>
      </c>
      <c r="AD63" s="6307"/>
      <c r="AE63" s="202">
        <f>+AA63+AC63</f>
        <v>216.19999999999996</v>
      </c>
      <c r="AF63" s="2951"/>
      <c r="AG63" s="132">
        <v>34.299999999999997</v>
      </c>
      <c r="AH63" s="6307"/>
      <c r="AI63" s="202">
        <f>+AE63+AG63</f>
        <v>250.49999999999994</v>
      </c>
      <c r="AJ63" s="2951"/>
      <c r="AK63" s="132">
        <v>41.900000000000006</v>
      </c>
      <c r="AL63" s="6318"/>
      <c r="AM63" s="220">
        <f t="shared" ref="AM63:AM82" si="201">+AC63+AG63+AK63</f>
        <v>102.1</v>
      </c>
      <c r="AN63" s="6307"/>
      <c r="AO63" s="201">
        <f t="shared" ref="AO63:AO82" si="202">+AI63+AK63</f>
        <v>292.39999999999998</v>
      </c>
      <c r="AP63" s="2951"/>
      <c r="AQ63" s="132">
        <v>46.7</v>
      </c>
      <c r="AR63" s="6307"/>
      <c r="AS63" s="202">
        <f>+AO63+AQ63</f>
        <v>339.09999999999997</v>
      </c>
      <c r="AT63" s="2951"/>
      <c r="AU63" s="132">
        <v>65.3</v>
      </c>
      <c r="AV63" s="6307"/>
      <c r="AW63" s="202">
        <f>+AS63+AU63</f>
        <v>404.4</v>
      </c>
      <c r="AX63" s="2951"/>
      <c r="AY63" s="132">
        <v>70</v>
      </c>
      <c r="AZ63" s="6318"/>
      <c r="BA63" s="220">
        <f t="shared" ref="BA63:BA82" si="203">+AQ63+AU63+AY63</f>
        <v>182</v>
      </c>
      <c r="BB63" s="6338"/>
      <c r="BC63" s="464">
        <f>AM63+BA63</f>
        <v>284.10000000000002</v>
      </c>
      <c r="BD63" s="6307"/>
      <c r="BE63" s="202">
        <f>+AW63+AY63</f>
        <v>474.4</v>
      </c>
      <c r="BF63" s="491"/>
      <c r="BG63" s="491"/>
      <c r="BH63" s="23"/>
      <c r="BI63" s="23"/>
      <c r="BJ63" s="23"/>
    </row>
    <row r="64" spans="1:68" x14ac:dyDescent="0.3">
      <c r="B64" s="5613" t="s">
        <v>1114</v>
      </c>
      <c r="C64" s="1212" t="s">
        <v>1123</v>
      </c>
      <c r="D64" s="5607"/>
      <c r="E64" s="1211">
        <v>20.64</v>
      </c>
      <c r="F64" s="5607"/>
      <c r="G64" s="1211">
        <v>17.759999999999998</v>
      </c>
      <c r="H64" s="6308"/>
      <c r="I64" s="2830">
        <f t="shared" ref="I64:I82" si="204">+E64+G64</f>
        <v>38.4</v>
      </c>
      <c r="J64" s="914"/>
      <c r="K64" s="17">
        <v>13.44</v>
      </c>
      <c r="L64" s="6319"/>
      <c r="M64" s="216">
        <f t="shared" ref="M64:M82" si="205">E64+G64+K64</f>
        <v>51.839999999999996</v>
      </c>
      <c r="N64" s="914"/>
      <c r="O64" s="17">
        <v>8.2560000000000002</v>
      </c>
      <c r="P64" s="6308"/>
      <c r="Q64" s="201">
        <f t="shared" ref="Q64:Q82" si="206">+M64+O64</f>
        <v>60.095999999999997</v>
      </c>
      <c r="R64" s="914"/>
      <c r="S64" s="17">
        <v>7.2</v>
      </c>
      <c r="T64" s="6308"/>
      <c r="U64" s="201">
        <f t="shared" ref="U64:U82" si="207">+Q64+S64</f>
        <v>67.295999999999992</v>
      </c>
      <c r="V64" s="914"/>
      <c r="W64" s="17">
        <v>8.64</v>
      </c>
      <c r="X64" s="6319"/>
      <c r="Y64" s="220">
        <f t="shared" si="200"/>
        <v>24.096</v>
      </c>
      <c r="Z64" s="6339"/>
      <c r="AA64" s="464">
        <f t="shared" ref="AA64:AA82" si="208">M64+Y64</f>
        <v>75.935999999999993</v>
      </c>
      <c r="AB64" s="914"/>
      <c r="AC64" s="17">
        <v>9.84</v>
      </c>
      <c r="AD64" s="6308"/>
      <c r="AE64" s="202">
        <f t="shared" ref="AE64:AE82" si="209">+AA64+AC64</f>
        <v>85.775999999999996</v>
      </c>
      <c r="AF64" s="914"/>
      <c r="AG64" s="17">
        <v>12.959999999999999</v>
      </c>
      <c r="AH64" s="6308"/>
      <c r="AI64" s="202">
        <f t="shared" ref="AI64:AI82" si="210">+AE64+AG64</f>
        <v>98.73599999999999</v>
      </c>
      <c r="AJ64" s="914"/>
      <c r="AK64" s="17">
        <v>15.84</v>
      </c>
      <c r="AL64" s="6319"/>
      <c r="AM64" s="220">
        <f t="shared" si="201"/>
        <v>38.64</v>
      </c>
      <c r="AN64" s="6308"/>
      <c r="AO64" s="201">
        <f t="shared" si="202"/>
        <v>114.57599999999999</v>
      </c>
      <c r="AP64" s="914"/>
      <c r="AQ64" s="17">
        <v>18.768000000000001</v>
      </c>
      <c r="AR64" s="6308"/>
      <c r="AS64" s="202">
        <f t="shared" ref="AS64:AS82" si="211">+AO64+AQ64</f>
        <v>133.34399999999999</v>
      </c>
      <c r="AT64" s="914"/>
      <c r="AU64" s="17">
        <v>26.927999999999997</v>
      </c>
      <c r="AV64" s="6308"/>
      <c r="AW64" s="202">
        <f t="shared" ref="AW64:AW82" si="212">+AS64+AU64</f>
        <v>160.27199999999999</v>
      </c>
      <c r="AX64" s="914"/>
      <c r="AY64" s="17">
        <v>32.159999999999997</v>
      </c>
      <c r="AZ64" s="6319"/>
      <c r="BA64" s="220">
        <f t="shared" si="203"/>
        <v>77.855999999999995</v>
      </c>
      <c r="BB64" s="6339"/>
      <c r="BC64" s="464">
        <f t="shared" ref="BC64:BC82" si="213">AM64+BA64</f>
        <v>116.496</v>
      </c>
      <c r="BD64" s="6308"/>
      <c r="BE64" s="202">
        <f t="shared" ref="BE64:BE82" si="214">+AW64+AY64</f>
        <v>192.43199999999999</v>
      </c>
      <c r="BF64" s="491"/>
      <c r="BG64" s="491"/>
      <c r="BH64" s="23"/>
      <c r="BI64" s="23"/>
      <c r="BJ64" s="23"/>
    </row>
    <row r="65" spans="1:62" x14ac:dyDescent="0.3">
      <c r="B65" s="5613" t="s">
        <v>1115</v>
      </c>
      <c r="C65" s="1212" t="s">
        <v>1207</v>
      </c>
      <c r="D65" s="5607"/>
      <c r="E65" s="1211">
        <v>450</v>
      </c>
      <c r="F65" s="5607"/>
      <c r="G65" s="1211">
        <v>455</v>
      </c>
      <c r="H65" s="6308"/>
      <c r="I65" s="2830">
        <f t="shared" si="204"/>
        <v>905</v>
      </c>
      <c r="J65" s="914"/>
      <c r="K65" s="17">
        <v>455</v>
      </c>
      <c r="L65" s="6319"/>
      <c r="M65" s="216">
        <f t="shared" si="205"/>
        <v>1360</v>
      </c>
      <c r="N65" s="914"/>
      <c r="O65" s="17">
        <v>465</v>
      </c>
      <c r="P65" s="6308"/>
      <c r="Q65" s="201">
        <f t="shared" si="206"/>
        <v>1825</v>
      </c>
      <c r="R65" s="914"/>
      <c r="S65" s="17">
        <v>475</v>
      </c>
      <c r="T65" s="6308"/>
      <c r="U65" s="201">
        <f t="shared" si="207"/>
        <v>2300</v>
      </c>
      <c r="V65" s="914"/>
      <c r="W65" s="17">
        <v>450</v>
      </c>
      <c r="X65" s="6319"/>
      <c r="Y65" s="220">
        <f t="shared" si="200"/>
        <v>1390</v>
      </c>
      <c r="Z65" s="6339"/>
      <c r="AA65" s="464">
        <f t="shared" si="208"/>
        <v>2750</v>
      </c>
      <c r="AB65" s="914"/>
      <c r="AC65" s="17">
        <v>420</v>
      </c>
      <c r="AD65" s="6308"/>
      <c r="AE65" s="202">
        <f t="shared" si="209"/>
        <v>3170</v>
      </c>
      <c r="AF65" s="914"/>
      <c r="AG65" s="17">
        <v>450</v>
      </c>
      <c r="AH65" s="6308"/>
      <c r="AI65" s="202">
        <f t="shared" si="210"/>
        <v>3620</v>
      </c>
      <c r="AJ65" s="914"/>
      <c r="AK65" s="17">
        <v>460</v>
      </c>
      <c r="AL65" s="6319"/>
      <c r="AM65" s="220">
        <f t="shared" si="201"/>
        <v>1330</v>
      </c>
      <c r="AN65" s="6308"/>
      <c r="AO65" s="201">
        <f t="shared" si="202"/>
        <v>4080</v>
      </c>
      <c r="AP65" s="914"/>
      <c r="AQ65" s="17">
        <v>470</v>
      </c>
      <c r="AR65" s="6308"/>
      <c r="AS65" s="202">
        <f t="shared" si="211"/>
        <v>4550</v>
      </c>
      <c r="AT65" s="914"/>
      <c r="AU65" s="17">
        <v>420</v>
      </c>
      <c r="AV65" s="6308"/>
      <c r="AW65" s="202">
        <f t="shared" si="212"/>
        <v>4970</v>
      </c>
      <c r="AX65" s="914"/>
      <c r="AY65" s="17">
        <v>465</v>
      </c>
      <c r="AZ65" s="6319"/>
      <c r="BA65" s="220">
        <f t="shared" si="203"/>
        <v>1355</v>
      </c>
      <c r="BB65" s="6339"/>
      <c r="BC65" s="464">
        <f t="shared" si="213"/>
        <v>2685</v>
      </c>
      <c r="BD65" s="6308"/>
      <c r="BE65" s="202">
        <f t="shared" si="214"/>
        <v>5435</v>
      </c>
      <c r="BF65" s="491"/>
      <c r="BG65" s="491"/>
      <c r="BH65" s="23"/>
      <c r="BI65" s="23"/>
      <c r="BJ65" s="23"/>
    </row>
    <row r="66" spans="1:62" x14ac:dyDescent="0.3">
      <c r="B66" s="5613" t="s">
        <v>1116</v>
      </c>
      <c r="C66" s="1212" t="s">
        <v>1124</v>
      </c>
      <c r="D66" s="5607"/>
      <c r="E66" s="1211">
        <v>749</v>
      </c>
      <c r="F66" s="5607"/>
      <c r="G66" s="1211">
        <v>670</v>
      </c>
      <c r="H66" s="6308"/>
      <c r="I66" s="2830">
        <f t="shared" si="204"/>
        <v>1419</v>
      </c>
      <c r="J66" s="914"/>
      <c r="K66" s="17">
        <v>857</v>
      </c>
      <c r="L66" s="6319"/>
      <c r="M66" s="216">
        <f t="shared" si="205"/>
        <v>2276</v>
      </c>
      <c r="N66" s="914"/>
      <c r="O66" s="17">
        <v>872</v>
      </c>
      <c r="P66" s="6308"/>
      <c r="Q66" s="201">
        <f t="shared" si="206"/>
        <v>3148</v>
      </c>
      <c r="R66" s="914"/>
      <c r="S66" s="17">
        <v>773</v>
      </c>
      <c r="T66" s="6308"/>
      <c r="U66" s="201">
        <f t="shared" si="207"/>
        <v>3921</v>
      </c>
      <c r="V66" s="914"/>
      <c r="W66" s="17">
        <v>756</v>
      </c>
      <c r="X66" s="6319"/>
      <c r="Y66" s="220">
        <f t="shared" si="200"/>
        <v>2401</v>
      </c>
      <c r="Z66" s="6339"/>
      <c r="AA66" s="464">
        <f t="shared" si="208"/>
        <v>4677</v>
      </c>
      <c r="AB66" s="914"/>
      <c r="AC66" s="17">
        <v>658</v>
      </c>
      <c r="AD66" s="6308"/>
      <c r="AE66" s="202">
        <f t="shared" si="209"/>
        <v>5335</v>
      </c>
      <c r="AF66" s="914"/>
      <c r="AG66" s="17">
        <v>623</v>
      </c>
      <c r="AH66" s="6308"/>
      <c r="AI66" s="202">
        <f t="shared" si="210"/>
        <v>5958</v>
      </c>
      <c r="AJ66" s="914"/>
      <c r="AK66" s="17">
        <v>748</v>
      </c>
      <c r="AL66" s="6319"/>
      <c r="AM66" s="220">
        <f t="shared" si="201"/>
        <v>2029</v>
      </c>
      <c r="AN66" s="6308"/>
      <c r="AO66" s="201">
        <f t="shared" si="202"/>
        <v>6706</v>
      </c>
      <c r="AP66" s="914"/>
      <c r="AQ66" s="17">
        <v>727</v>
      </c>
      <c r="AR66" s="6308"/>
      <c r="AS66" s="202">
        <f t="shared" si="211"/>
        <v>7433</v>
      </c>
      <c r="AT66" s="914"/>
      <c r="AU66" s="17">
        <v>715</v>
      </c>
      <c r="AV66" s="6308"/>
      <c r="AW66" s="202">
        <f t="shared" si="212"/>
        <v>8148</v>
      </c>
      <c r="AX66" s="914"/>
      <c r="AY66" s="17">
        <v>765</v>
      </c>
      <c r="AZ66" s="6319"/>
      <c r="BA66" s="220">
        <f t="shared" si="203"/>
        <v>2207</v>
      </c>
      <c r="BB66" s="6339"/>
      <c r="BC66" s="464">
        <f t="shared" si="213"/>
        <v>4236</v>
      </c>
      <c r="BD66" s="6308"/>
      <c r="BE66" s="202">
        <f t="shared" si="214"/>
        <v>8913</v>
      </c>
      <c r="BF66" s="491"/>
      <c r="BG66" s="491"/>
      <c r="BH66" s="23"/>
      <c r="BI66" s="23"/>
      <c r="BJ66" s="23"/>
    </row>
    <row r="67" spans="1:62" x14ac:dyDescent="0.3">
      <c r="B67" s="5613" t="s">
        <v>1117</v>
      </c>
      <c r="C67" s="1212" t="s">
        <v>392</v>
      </c>
      <c r="D67" s="5607"/>
      <c r="E67" s="1211">
        <v>113</v>
      </c>
      <c r="F67" s="5607"/>
      <c r="G67" s="1211">
        <v>93</v>
      </c>
      <c r="H67" s="6308"/>
      <c r="I67" s="2830">
        <f t="shared" si="204"/>
        <v>206</v>
      </c>
      <c r="J67" s="914"/>
      <c r="K67" s="17">
        <v>144</v>
      </c>
      <c r="L67" s="6319"/>
      <c r="M67" s="216">
        <f t="shared" si="205"/>
        <v>350</v>
      </c>
      <c r="N67" s="914"/>
      <c r="O67" s="17">
        <v>227</v>
      </c>
      <c r="P67" s="6308"/>
      <c r="Q67" s="201">
        <f t="shared" si="206"/>
        <v>577</v>
      </c>
      <c r="R67" s="914"/>
      <c r="S67" s="17">
        <v>183.5</v>
      </c>
      <c r="T67" s="6308"/>
      <c r="U67" s="201">
        <f t="shared" si="207"/>
        <v>760.5</v>
      </c>
      <c r="V67" s="914"/>
      <c r="W67" s="17">
        <v>240</v>
      </c>
      <c r="X67" s="6319"/>
      <c r="Y67" s="220">
        <f t="shared" si="200"/>
        <v>650.5</v>
      </c>
      <c r="Z67" s="6339"/>
      <c r="AA67" s="464">
        <f t="shared" si="208"/>
        <v>1000.5</v>
      </c>
      <c r="AB67" s="914"/>
      <c r="AC67" s="17">
        <v>145</v>
      </c>
      <c r="AD67" s="6308"/>
      <c r="AE67" s="202">
        <f t="shared" si="209"/>
        <v>1145.5</v>
      </c>
      <c r="AF67" s="914"/>
      <c r="AG67" s="17">
        <v>233</v>
      </c>
      <c r="AH67" s="6308"/>
      <c r="AI67" s="202">
        <f t="shared" si="210"/>
        <v>1378.5</v>
      </c>
      <c r="AJ67" s="914"/>
      <c r="AK67" s="17">
        <v>260</v>
      </c>
      <c r="AL67" s="6319"/>
      <c r="AM67" s="220">
        <f t="shared" si="201"/>
        <v>638</v>
      </c>
      <c r="AN67" s="6308"/>
      <c r="AO67" s="201">
        <f t="shared" si="202"/>
        <v>1638.5</v>
      </c>
      <c r="AP67" s="914"/>
      <c r="AQ67" s="17">
        <v>193</v>
      </c>
      <c r="AR67" s="6308"/>
      <c r="AS67" s="202">
        <f t="shared" si="211"/>
        <v>1831.5</v>
      </c>
      <c r="AT67" s="914"/>
      <c r="AU67" s="17">
        <v>155</v>
      </c>
      <c r="AV67" s="6308"/>
      <c r="AW67" s="202">
        <f t="shared" si="212"/>
        <v>1986.5</v>
      </c>
      <c r="AX67" s="914"/>
      <c r="AY67" s="17">
        <v>152</v>
      </c>
      <c r="AZ67" s="6319"/>
      <c r="BA67" s="220">
        <f t="shared" si="203"/>
        <v>500</v>
      </c>
      <c r="BB67" s="6339"/>
      <c r="BC67" s="464">
        <f t="shared" si="213"/>
        <v>1138</v>
      </c>
      <c r="BD67" s="6308"/>
      <c r="BE67" s="202">
        <f t="shared" si="214"/>
        <v>2138.5</v>
      </c>
      <c r="BF67" s="491"/>
      <c r="BG67" s="491"/>
      <c r="BH67" s="23"/>
      <c r="BI67" s="23"/>
      <c r="BJ67" s="23"/>
    </row>
    <row r="68" spans="1:62" x14ac:dyDescent="0.3">
      <c r="B68" s="5613" t="s">
        <v>1118</v>
      </c>
      <c r="C68" s="1212" t="s">
        <v>392</v>
      </c>
      <c r="D68" s="5607"/>
      <c r="E68" s="1211">
        <v>225</v>
      </c>
      <c r="F68" s="5607"/>
      <c r="G68" s="1211">
        <v>247</v>
      </c>
      <c r="H68" s="6308"/>
      <c r="I68" s="2830">
        <f t="shared" si="204"/>
        <v>472</v>
      </c>
      <c r="J68" s="914"/>
      <c r="K68" s="17">
        <v>247</v>
      </c>
      <c r="L68" s="6319"/>
      <c r="M68" s="216">
        <f t="shared" si="205"/>
        <v>719</v>
      </c>
      <c r="N68" s="914"/>
      <c r="O68" s="17">
        <v>257</v>
      </c>
      <c r="P68" s="6308"/>
      <c r="Q68" s="201">
        <f t="shared" si="206"/>
        <v>976</v>
      </c>
      <c r="R68" s="914"/>
      <c r="S68" s="17">
        <v>234</v>
      </c>
      <c r="T68" s="6308"/>
      <c r="U68" s="201">
        <f t="shared" si="207"/>
        <v>1210</v>
      </c>
      <c r="V68" s="914"/>
      <c r="W68" s="17">
        <v>234</v>
      </c>
      <c r="X68" s="6319"/>
      <c r="Y68" s="220">
        <f t="shared" si="200"/>
        <v>725</v>
      </c>
      <c r="Z68" s="6339"/>
      <c r="AA68" s="464">
        <f t="shared" si="208"/>
        <v>1444</v>
      </c>
      <c r="AB68" s="914"/>
      <c r="AC68" s="17">
        <v>177</v>
      </c>
      <c r="AD68" s="6308"/>
      <c r="AE68" s="202">
        <f t="shared" si="209"/>
        <v>1621</v>
      </c>
      <c r="AF68" s="914"/>
      <c r="AG68" s="17">
        <v>144</v>
      </c>
      <c r="AH68" s="6308"/>
      <c r="AI68" s="202">
        <f t="shared" si="210"/>
        <v>1765</v>
      </c>
      <c r="AJ68" s="914"/>
      <c r="AK68" s="17">
        <v>246</v>
      </c>
      <c r="AL68" s="6319"/>
      <c r="AM68" s="220">
        <f t="shared" si="201"/>
        <v>567</v>
      </c>
      <c r="AN68" s="6308"/>
      <c r="AO68" s="201">
        <f t="shared" si="202"/>
        <v>2011</v>
      </c>
      <c r="AP68" s="914"/>
      <c r="AQ68" s="17">
        <v>248</v>
      </c>
      <c r="AR68" s="6308"/>
      <c r="AS68" s="202">
        <f t="shared" si="211"/>
        <v>2259</v>
      </c>
      <c r="AT68" s="914"/>
      <c r="AU68" s="17">
        <v>215</v>
      </c>
      <c r="AV68" s="6308"/>
      <c r="AW68" s="202">
        <f t="shared" si="212"/>
        <v>2474</v>
      </c>
      <c r="AX68" s="914"/>
      <c r="AY68" s="17">
        <v>184</v>
      </c>
      <c r="AZ68" s="6319"/>
      <c r="BA68" s="220">
        <f t="shared" si="203"/>
        <v>647</v>
      </c>
      <c r="BB68" s="6339"/>
      <c r="BC68" s="464">
        <f t="shared" si="213"/>
        <v>1214</v>
      </c>
      <c r="BD68" s="6308"/>
      <c r="BE68" s="202">
        <f t="shared" si="214"/>
        <v>2658</v>
      </c>
      <c r="BF68" s="491"/>
      <c r="BG68" s="491"/>
      <c r="BH68" s="23"/>
      <c r="BI68" s="23"/>
      <c r="BJ68" s="23"/>
    </row>
    <row r="69" spans="1:62" x14ac:dyDescent="0.3">
      <c r="A69" s="137"/>
      <c r="B69" s="5614" t="s">
        <v>1767</v>
      </c>
      <c r="C69" s="1212" t="s">
        <v>392</v>
      </c>
      <c r="D69" s="5607"/>
      <c r="E69" s="1762">
        <v>0</v>
      </c>
      <c r="F69" s="5607"/>
      <c r="G69" s="1762">
        <v>0</v>
      </c>
      <c r="H69" s="6308"/>
      <c r="I69" s="2830">
        <f t="shared" si="204"/>
        <v>0</v>
      </c>
      <c r="J69" s="914"/>
      <c r="K69" s="168">
        <v>0</v>
      </c>
      <c r="L69" s="6319"/>
      <c r="M69" s="216">
        <f t="shared" si="205"/>
        <v>0</v>
      </c>
      <c r="N69" s="914"/>
      <c r="O69" s="168">
        <v>0</v>
      </c>
      <c r="P69" s="6308"/>
      <c r="Q69" s="201">
        <f t="shared" si="206"/>
        <v>0</v>
      </c>
      <c r="R69" s="914"/>
      <c r="S69" s="168">
        <v>2</v>
      </c>
      <c r="T69" s="6308"/>
      <c r="U69" s="201">
        <f t="shared" si="207"/>
        <v>2</v>
      </c>
      <c r="V69" s="914"/>
      <c r="W69" s="168"/>
      <c r="X69" s="6319"/>
      <c r="Y69" s="220">
        <f t="shared" si="200"/>
        <v>2</v>
      </c>
      <c r="Z69" s="6339"/>
      <c r="AA69" s="464">
        <f t="shared" si="208"/>
        <v>2</v>
      </c>
      <c r="AB69" s="914"/>
      <c r="AC69" s="168"/>
      <c r="AD69" s="6308"/>
      <c r="AE69" s="202">
        <f t="shared" si="209"/>
        <v>2</v>
      </c>
      <c r="AF69" s="914"/>
      <c r="AG69" s="168"/>
      <c r="AH69" s="6308"/>
      <c r="AI69" s="202">
        <f t="shared" si="210"/>
        <v>2</v>
      </c>
      <c r="AJ69" s="914"/>
      <c r="AK69" s="168"/>
      <c r="AL69" s="6319"/>
      <c r="AM69" s="220">
        <f t="shared" si="201"/>
        <v>0</v>
      </c>
      <c r="AN69" s="6308"/>
      <c r="AO69" s="201">
        <f t="shared" si="202"/>
        <v>2</v>
      </c>
      <c r="AP69" s="914"/>
      <c r="AQ69" s="168">
        <v>0</v>
      </c>
      <c r="AR69" s="6308"/>
      <c r="AS69" s="202">
        <f t="shared" si="211"/>
        <v>2</v>
      </c>
      <c r="AT69" s="914"/>
      <c r="AU69" s="168"/>
      <c r="AV69" s="6308"/>
      <c r="AW69" s="202">
        <f t="shared" si="212"/>
        <v>2</v>
      </c>
      <c r="AX69" s="914"/>
      <c r="AY69" s="168"/>
      <c r="AZ69" s="6319"/>
      <c r="BA69" s="220">
        <f t="shared" si="203"/>
        <v>0</v>
      </c>
      <c r="BB69" s="6339"/>
      <c r="BC69" s="464">
        <f t="shared" si="213"/>
        <v>0</v>
      </c>
      <c r="BD69" s="6308"/>
      <c r="BE69" s="202">
        <f t="shared" si="214"/>
        <v>2</v>
      </c>
      <c r="BF69" s="491"/>
      <c r="BG69" s="491"/>
      <c r="BH69" s="23"/>
      <c r="BI69" s="23"/>
      <c r="BJ69" s="23"/>
    </row>
    <row r="70" spans="1:62" x14ac:dyDescent="0.3">
      <c r="A70" s="137"/>
      <c r="B70" s="5614" t="s">
        <v>1119</v>
      </c>
      <c r="C70" s="1212" t="s">
        <v>392</v>
      </c>
      <c r="D70" s="5607"/>
      <c r="E70" s="1762">
        <v>5950</v>
      </c>
      <c r="F70" s="5607"/>
      <c r="G70" s="1762">
        <v>5580</v>
      </c>
      <c r="H70" s="6308"/>
      <c r="I70" s="2830">
        <f t="shared" si="204"/>
        <v>11530</v>
      </c>
      <c r="J70" s="914"/>
      <c r="K70" s="168">
        <v>5370</v>
      </c>
      <c r="L70" s="6319"/>
      <c r="M70" s="216">
        <f t="shared" si="205"/>
        <v>16900</v>
      </c>
      <c r="N70" s="914"/>
      <c r="O70" s="168">
        <v>5250</v>
      </c>
      <c r="P70" s="6308"/>
      <c r="Q70" s="201">
        <f t="shared" si="206"/>
        <v>22150</v>
      </c>
      <c r="R70" s="914"/>
      <c r="S70" s="168">
        <v>4390</v>
      </c>
      <c r="T70" s="6308"/>
      <c r="U70" s="201">
        <f t="shared" si="207"/>
        <v>26540</v>
      </c>
      <c r="V70" s="914"/>
      <c r="W70" s="168">
        <v>4790</v>
      </c>
      <c r="X70" s="6319"/>
      <c r="Y70" s="220">
        <f t="shared" si="200"/>
        <v>14430</v>
      </c>
      <c r="Z70" s="6339"/>
      <c r="AA70" s="464">
        <f t="shared" si="208"/>
        <v>31330</v>
      </c>
      <c r="AB70" s="914"/>
      <c r="AC70" s="168">
        <v>3940</v>
      </c>
      <c r="AD70" s="6308"/>
      <c r="AE70" s="202">
        <f t="shared" si="209"/>
        <v>35270</v>
      </c>
      <c r="AF70" s="914"/>
      <c r="AG70" s="168">
        <v>3180</v>
      </c>
      <c r="AH70" s="6308"/>
      <c r="AI70" s="202">
        <f t="shared" si="210"/>
        <v>38450</v>
      </c>
      <c r="AJ70" s="914"/>
      <c r="AK70" s="168">
        <v>5565</v>
      </c>
      <c r="AL70" s="6319"/>
      <c r="AM70" s="220">
        <f t="shared" si="201"/>
        <v>12685</v>
      </c>
      <c r="AN70" s="6308"/>
      <c r="AO70" s="201">
        <f t="shared" si="202"/>
        <v>44015</v>
      </c>
      <c r="AP70" s="914"/>
      <c r="AQ70" s="168">
        <v>6185</v>
      </c>
      <c r="AR70" s="6308"/>
      <c r="AS70" s="202">
        <f t="shared" si="211"/>
        <v>50200</v>
      </c>
      <c r="AT70" s="914"/>
      <c r="AU70" s="168">
        <v>6030</v>
      </c>
      <c r="AV70" s="6308"/>
      <c r="AW70" s="202">
        <f t="shared" si="212"/>
        <v>56230</v>
      </c>
      <c r="AX70" s="914"/>
      <c r="AY70" s="168">
        <v>4540</v>
      </c>
      <c r="AZ70" s="6319"/>
      <c r="BA70" s="220">
        <f t="shared" si="203"/>
        <v>16755</v>
      </c>
      <c r="BB70" s="6339"/>
      <c r="BC70" s="464">
        <f t="shared" si="213"/>
        <v>29440</v>
      </c>
      <c r="BD70" s="6308"/>
      <c r="BE70" s="202">
        <f t="shared" si="214"/>
        <v>60770</v>
      </c>
      <c r="BF70" s="491"/>
      <c r="BG70" s="491"/>
      <c r="BH70" s="23"/>
      <c r="BI70" s="23"/>
      <c r="BJ70" s="23"/>
    </row>
    <row r="71" spans="1:62" x14ac:dyDescent="0.3">
      <c r="A71" s="137"/>
      <c r="B71" s="5614" t="s">
        <v>1120</v>
      </c>
      <c r="C71" s="1212" t="s">
        <v>392</v>
      </c>
      <c r="D71" s="5607"/>
      <c r="E71" s="1762">
        <v>10</v>
      </c>
      <c r="F71" s="5607"/>
      <c r="G71" s="1762">
        <v>0</v>
      </c>
      <c r="H71" s="6308"/>
      <c r="I71" s="2830">
        <f t="shared" si="204"/>
        <v>10</v>
      </c>
      <c r="J71" s="914"/>
      <c r="K71" s="168">
        <v>2</v>
      </c>
      <c r="L71" s="6319"/>
      <c r="M71" s="216">
        <f t="shared" si="205"/>
        <v>12</v>
      </c>
      <c r="N71" s="914"/>
      <c r="O71" s="168">
        <v>2</v>
      </c>
      <c r="P71" s="6308"/>
      <c r="Q71" s="201">
        <f t="shared" si="206"/>
        <v>14</v>
      </c>
      <c r="R71" s="914"/>
      <c r="S71" s="168"/>
      <c r="T71" s="6308"/>
      <c r="U71" s="201">
        <f t="shared" si="207"/>
        <v>14</v>
      </c>
      <c r="V71" s="914"/>
      <c r="W71" s="168"/>
      <c r="X71" s="6319"/>
      <c r="Y71" s="220">
        <f t="shared" si="200"/>
        <v>2</v>
      </c>
      <c r="Z71" s="6339"/>
      <c r="AA71" s="464">
        <f t="shared" si="208"/>
        <v>14</v>
      </c>
      <c r="AB71" s="914"/>
      <c r="AC71" s="168"/>
      <c r="AD71" s="6308"/>
      <c r="AE71" s="202">
        <f t="shared" si="209"/>
        <v>14</v>
      </c>
      <c r="AF71" s="914"/>
      <c r="AG71" s="168">
        <v>5</v>
      </c>
      <c r="AH71" s="6308"/>
      <c r="AI71" s="202">
        <f t="shared" si="210"/>
        <v>19</v>
      </c>
      <c r="AJ71" s="914"/>
      <c r="AK71" s="168"/>
      <c r="AL71" s="6319"/>
      <c r="AM71" s="220">
        <f t="shared" si="201"/>
        <v>5</v>
      </c>
      <c r="AN71" s="6308"/>
      <c r="AO71" s="201">
        <f t="shared" si="202"/>
        <v>19</v>
      </c>
      <c r="AP71" s="914"/>
      <c r="AQ71" s="168">
        <v>0</v>
      </c>
      <c r="AR71" s="6308"/>
      <c r="AS71" s="202">
        <f t="shared" si="211"/>
        <v>19</v>
      </c>
      <c r="AT71" s="914"/>
      <c r="AU71" s="168"/>
      <c r="AV71" s="6308"/>
      <c r="AW71" s="202">
        <f t="shared" si="212"/>
        <v>19</v>
      </c>
      <c r="AX71" s="914"/>
      <c r="AY71" s="168"/>
      <c r="AZ71" s="6319"/>
      <c r="BA71" s="220">
        <f t="shared" si="203"/>
        <v>0</v>
      </c>
      <c r="BB71" s="6339"/>
      <c r="BC71" s="464">
        <f t="shared" si="213"/>
        <v>5</v>
      </c>
      <c r="BD71" s="6308"/>
      <c r="BE71" s="202">
        <f t="shared" si="214"/>
        <v>19</v>
      </c>
      <c r="BF71" s="491"/>
      <c r="BG71" s="491"/>
      <c r="BH71" s="23"/>
      <c r="BI71" s="23"/>
      <c r="BJ71" s="23"/>
    </row>
    <row r="72" spans="1:62" x14ac:dyDescent="0.3">
      <c r="A72" s="137"/>
      <c r="B72" s="5614" t="s">
        <v>1121</v>
      </c>
      <c r="C72" s="1212" t="s">
        <v>392</v>
      </c>
      <c r="D72" s="5607"/>
      <c r="E72" s="1762">
        <v>417</v>
      </c>
      <c r="F72" s="5607"/>
      <c r="G72" s="1762">
        <v>497</v>
      </c>
      <c r="H72" s="6308"/>
      <c r="I72" s="2830">
        <f t="shared" si="204"/>
        <v>914</v>
      </c>
      <c r="J72" s="914"/>
      <c r="K72" s="168">
        <v>697</v>
      </c>
      <c r="L72" s="6319"/>
      <c r="M72" s="216">
        <f t="shared" si="205"/>
        <v>1611</v>
      </c>
      <c r="N72" s="914"/>
      <c r="O72" s="168">
        <v>493</v>
      </c>
      <c r="P72" s="6308"/>
      <c r="Q72" s="201">
        <f t="shared" si="206"/>
        <v>2104</v>
      </c>
      <c r="R72" s="914"/>
      <c r="S72" s="168">
        <v>612</v>
      </c>
      <c r="T72" s="6308"/>
      <c r="U72" s="201">
        <f t="shared" si="207"/>
        <v>2716</v>
      </c>
      <c r="V72" s="914"/>
      <c r="W72" s="168">
        <v>577</v>
      </c>
      <c r="X72" s="6319"/>
      <c r="Y72" s="220">
        <f t="shared" si="200"/>
        <v>1682</v>
      </c>
      <c r="Z72" s="6339"/>
      <c r="AA72" s="464">
        <f t="shared" si="208"/>
        <v>3293</v>
      </c>
      <c r="AB72" s="914"/>
      <c r="AC72" s="168">
        <v>527</v>
      </c>
      <c r="AD72" s="6308"/>
      <c r="AE72" s="202">
        <f t="shared" si="209"/>
        <v>3820</v>
      </c>
      <c r="AF72" s="914"/>
      <c r="AG72" s="168">
        <v>175</v>
      </c>
      <c r="AH72" s="6308"/>
      <c r="AI72" s="202">
        <f t="shared" si="210"/>
        <v>3995</v>
      </c>
      <c r="AJ72" s="914"/>
      <c r="AK72" s="168">
        <v>250</v>
      </c>
      <c r="AL72" s="6319"/>
      <c r="AM72" s="220">
        <f t="shared" si="201"/>
        <v>952</v>
      </c>
      <c r="AN72" s="6308"/>
      <c r="AO72" s="201">
        <f t="shared" si="202"/>
        <v>4245</v>
      </c>
      <c r="AP72" s="914"/>
      <c r="AQ72" s="168">
        <v>460</v>
      </c>
      <c r="AR72" s="6308"/>
      <c r="AS72" s="202">
        <f t="shared" si="211"/>
        <v>4705</v>
      </c>
      <c r="AT72" s="914"/>
      <c r="AU72" s="168">
        <v>455</v>
      </c>
      <c r="AV72" s="6308"/>
      <c r="AW72" s="202">
        <f t="shared" si="212"/>
        <v>5160</v>
      </c>
      <c r="AX72" s="914"/>
      <c r="AY72" s="168">
        <v>320</v>
      </c>
      <c r="AZ72" s="6319"/>
      <c r="BA72" s="220">
        <f t="shared" si="203"/>
        <v>1235</v>
      </c>
      <c r="BB72" s="6339"/>
      <c r="BC72" s="464">
        <f t="shared" si="213"/>
        <v>2187</v>
      </c>
      <c r="BD72" s="6308"/>
      <c r="BE72" s="202">
        <f t="shared" si="214"/>
        <v>5480</v>
      </c>
      <c r="BF72" s="491"/>
      <c r="BG72" s="491"/>
      <c r="BH72" s="23"/>
      <c r="BI72" s="23"/>
      <c r="BJ72" s="23"/>
    </row>
    <row r="73" spans="1:62" x14ac:dyDescent="0.3">
      <c r="A73" s="137"/>
      <c r="B73" s="5614" t="s">
        <v>1122</v>
      </c>
      <c r="C73" s="1212" t="s">
        <v>392</v>
      </c>
      <c r="D73" s="5607"/>
      <c r="E73" s="1762">
        <v>83</v>
      </c>
      <c r="F73" s="5607"/>
      <c r="G73" s="1762">
        <v>85</v>
      </c>
      <c r="H73" s="6308"/>
      <c r="I73" s="2830">
        <f t="shared" si="204"/>
        <v>168</v>
      </c>
      <c r="J73" s="914"/>
      <c r="K73" s="168">
        <v>99</v>
      </c>
      <c r="L73" s="6319"/>
      <c r="M73" s="216">
        <f t="shared" si="205"/>
        <v>267</v>
      </c>
      <c r="N73" s="914"/>
      <c r="O73" s="168">
        <v>91</v>
      </c>
      <c r="P73" s="6308"/>
      <c r="Q73" s="201">
        <f t="shared" si="206"/>
        <v>358</v>
      </c>
      <c r="R73" s="914"/>
      <c r="S73" s="168">
        <v>85</v>
      </c>
      <c r="T73" s="6308"/>
      <c r="U73" s="201">
        <f t="shared" si="207"/>
        <v>443</v>
      </c>
      <c r="V73" s="914"/>
      <c r="W73" s="168">
        <v>83</v>
      </c>
      <c r="X73" s="6319"/>
      <c r="Y73" s="220">
        <f t="shared" si="200"/>
        <v>259</v>
      </c>
      <c r="Z73" s="6339"/>
      <c r="AA73" s="464">
        <f t="shared" si="208"/>
        <v>526</v>
      </c>
      <c r="AB73" s="914"/>
      <c r="AC73" s="168">
        <v>66</v>
      </c>
      <c r="AD73" s="6308"/>
      <c r="AE73" s="202">
        <f t="shared" si="209"/>
        <v>592</v>
      </c>
      <c r="AF73" s="914"/>
      <c r="AG73" s="168">
        <v>61</v>
      </c>
      <c r="AH73" s="6308"/>
      <c r="AI73" s="202">
        <f t="shared" si="210"/>
        <v>653</v>
      </c>
      <c r="AJ73" s="914"/>
      <c r="AK73" s="168">
        <v>85</v>
      </c>
      <c r="AL73" s="6319"/>
      <c r="AM73" s="220">
        <f t="shared" si="201"/>
        <v>212</v>
      </c>
      <c r="AN73" s="6308"/>
      <c r="AO73" s="201">
        <f t="shared" si="202"/>
        <v>738</v>
      </c>
      <c r="AP73" s="914"/>
      <c r="AQ73" s="168">
        <v>97</v>
      </c>
      <c r="AR73" s="6308"/>
      <c r="AS73" s="202">
        <f t="shared" si="211"/>
        <v>835</v>
      </c>
      <c r="AT73" s="914"/>
      <c r="AU73" s="168">
        <v>83</v>
      </c>
      <c r="AV73" s="6308"/>
      <c r="AW73" s="202">
        <f t="shared" si="212"/>
        <v>918</v>
      </c>
      <c r="AX73" s="914"/>
      <c r="AY73" s="168">
        <v>67</v>
      </c>
      <c r="AZ73" s="6319"/>
      <c r="BA73" s="220">
        <f t="shared" si="203"/>
        <v>247</v>
      </c>
      <c r="BB73" s="6339"/>
      <c r="BC73" s="464">
        <f t="shared" si="213"/>
        <v>459</v>
      </c>
      <c r="BD73" s="6308"/>
      <c r="BE73" s="202">
        <f t="shared" si="214"/>
        <v>985</v>
      </c>
      <c r="BF73" s="491"/>
      <c r="BG73" s="491"/>
      <c r="BH73" s="23"/>
      <c r="BI73" s="23"/>
      <c r="BJ73" s="23"/>
    </row>
    <row r="74" spans="1:62" ht="15" customHeight="1" x14ac:dyDescent="0.3">
      <c r="A74" s="137"/>
      <c r="B74" s="5614" t="s">
        <v>1323</v>
      </c>
      <c r="C74" s="1212" t="s">
        <v>392</v>
      </c>
      <c r="D74" s="5607"/>
      <c r="E74" s="1762">
        <v>230.16</v>
      </c>
      <c r="F74" s="5607"/>
      <c r="G74" s="1762">
        <v>215.88</v>
      </c>
      <c r="H74" s="6308"/>
      <c r="I74" s="2830">
        <f t="shared" si="204"/>
        <v>446.03999999999996</v>
      </c>
      <c r="J74" s="914"/>
      <c r="K74" s="168">
        <v>237</v>
      </c>
      <c r="L74" s="6319"/>
      <c r="M74" s="216">
        <f t="shared" si="205"/>
        <v>683.04</v>
      </c>
      <c r="N74" s="914"/>
      <c r="O74" s="168">
        <v>172.55</v>
      </c>
      <c r="P74" s="6308"/>
      <c r="Q74" s="201">
        <f t="shared" si="206"/>
        <v>855.58999999999992</v>
      </c>
      <c r="R74" s="914"/>
      <c r="S74" s="168">
        <v>57.12</v>
      </c>
      <c r="T74" s="6308"/>
      <c r="U74" s="201">
        <f t="shared" si="207"/>
        <v>912.70999999999992</v>
      </c>
      <c r="V74" s="914"/>
      <c r="W74" s="168">
        <v>244.8</v>
      </c>
      <c r="X74" s="6319"/>
      <c r="Y74" s="220">
        <f t="shared" si="200"/>
        <v>474.47</v>
      </c>
      <c r="Z74" s="6339"/>
      <c r="AA74" s="464">
        <f t="shared" si="208"/>
        <v>1157.51</v>
      </c>
      <c r="AB74" s="914"/>
      <c r="AC74" s="168">
        <v>199.04</v>
      </c>
      <c r="AD74" s="6308"/>
      <c r="AE74" s="202">
        <f t="shared" si="209"/>
        <v>1356.55</v>
      </c>
      <c r="AF74" s="914"/>
      <c r="AG74" s="168">
        <v>219.27</v>
      </c>
      <c r="AH74" s="6308"/>
      <c r="AI74" s="202">
        <f t="shared" si="210"/>
        <v>1575.82</v>
      </c>
      <c r="AJ74" s="914"/>
      <c r="AK74" s="168">
        <v>244.02999999999997</v>
      </c>
      <c r="AL74" s="6319"/>
      <c r="AM74" s="216">
        <f t="shared" si="201"/>
        <v>662.33999999999992</v>
      </c>
      <c r="AN74" s="6308"/>
      <c r="AO74" s="201">
        <f t="shared" si="202"/>
        <v>1819.85</v>
      </c>
      <c r="AP74" s="914"/>
      <c r="AQ74" s="168">
        <v>252.39</v>
      </c>
      <c r="AR74" s="6308"/>
      <c r="AS74" s="202">
        <f t="shared" si="211"/>
        <v>2072.2399999999998</v>
      </c>
      <c r="AT74" s="914"/>
      <c r="AU74" s="168">
        <v>219.93</v>
      </c>
      <c r="AV74" s="6308"/>
      <c r="AW74" s="202">
        <f t="shared" si="212"/>
        <v>2292.1699999999996</v>
      </c>
      <c r="AX74" s="914"/>
      <c r="AY74" s="168">
        <v>237.41</v>
      </c>
      <c r="AZ74" s="6319"/>
      <c r="BA74" s="220">
        <f t="shared" si="203"/>
        <v>709.73</v>
      </c>
      <c r="BB74" s="6339"/>
      <c r="BC74" s="464">
        <f t="shared" si="213"/>
        <v>1372.07</v>
      </c>
      <c r="BD74" s="6308"/>
      <c r="BE74" s="202">
        <f t="shared" si="214"/>
        <v>2529.5799999999995</v>
      </c>
      <c r="BF74" s="491"/>
      <c r="BG74" s="491"/>
      <c r="BH74" s="23"/>
      <c r="BI74" s="23"/>
      <c r="BJ74" s="23"/>
    </row>
    <row r="75" spans="1:62" ht="15" customHeight="1" x14ac:dyDescent="0.3">
      <c r="A75" s="137"/>
      <c r="B75" s="5614" t="s">
        <v>1324</v>
      </c>
      <c r="C75" s="1212" t="s">
        <v>392</v>
      </c>
      <c r="D75" s="5607"/>
      <c r="E75" s="1762"/>
      <c r="F75" s="5607"/>
      <c r="G75" s="1762">
        <v>0</v>
      </c>
      <c r="H75" s="6308"/>
      <c r="I75" s="2830">
        <f t="shared" si="204"/>
        <v>0</v>
      </c>
      <c r="J75" s="914"/>
      <c r="K75" s="168">
        <v>169.88</v>
      </c>
      <c r="L75" s="6319"/>
      <c r="M75" s="216">
        <f t="shared" si="205"/>
        <v>169.88</v>
      </c>
      <c r="N75" s="914"/>
      <c r="O75" s="168">
        <v>123.02</v>
      </c>
      <c r="P75" s="6308"/>
      <c r="Q75" s="201">
        <f t="shared" si="206"/>
        <v>292.89999999999998</v>
      </c>
      <c r="R75" s="914"/>
      <c r="S75" s="168"/>
      <c r="T75" s="6308"/>
      <c r="U75" s="201">
        <f t="shared" si="207"/>
        <v>292.89999999999998</v>
      </c>
      <c r="V75" s="914"/>
      <c r="W75" s="168"/>
      <c r="X75" s="6319"/>
      <c r="Y75" s="220">
        <f t="shared" si="200"/>
        <v>123.02</v>
      </c>
      <c r="Z75" s="6339"/>
      <c r="AA75" s="464">
        <f t="shared" si="208"/>
        <v>292.89999999999998</v>
      </c>
      <c r="AB75" s="914"/>
      <c r="AC75" s="168"/>
      <c r="AD75" s="6308"/>
      <c r="AE75" s="202">
        <f t="shared" si="209"/>
        <v>292.89999999999998</v>
      </c>
      <c r="AF75" s="914"/>
      <c r="AG75" s="168"/>
      <c r="AH75" s="6308"/>
      <c r="AI75" s="202">
        <f t="shared" si="210"/>
        <v>292.89999999999998</v>
      </c>
      <c r="AJ75" s="914"/>
      <c r="AK75" s="168"/>
      <c r="AL75" s="6319"/>
      <c r="AM75" s="220">
        <f t="shared" si="201"/>
        <v>0</v>
      </c>
      <c r="AN75" s="6308"/>
      <c r="AO75" s="201">
        <f t="shared" si="202"/>
        <v>292.89999999999998</v>
      </c>
      <c r="AP75" s="914"/>
      <c r="AQ75" s="168"/>
      <c r="AR75" s="6308"/>
      <c r="AS75" s="202">
        <f t="shared" si="211"/>
        <v>292.89999999999998</v>
      </c>
      <c r="AT75" s="914"/>
      <c r="AU75" s="168"/>
      <c r="AV75" s="6308"/>
      <c r="AW75" s="202">
        <f t="shared" si="212"/>
        <v>292.89999999999998</v>
      </c>
      <c r="AX75" s="914"/>
      <c r="AY75" s="168"/>
      <c r="AZ75" s="6319"/>
      <c r="BA75" s="220">
        <f t="shared" si="203"/>
        <v>0</v>
      </c>
      <c r="BB75" s="6339"/>
      <c r="BC75" s="464">
        <f t="shared" si="213"/>
        <v>0</v>
      </c>
      <c r="BD75" s="6308"/>
      <c r="BE75" s="202">
        <f t="shared" si="214"/>
        <v>292.89999999999998</v>
      </c>
      <c r="BF75" s="491"/>
      <c r="BG75" s="491"/>
      <c r="BH75" s="23"/>
      <c r="BI75" s="23"/>
      <c r="BJ75" s="23"/>
    </row>
    <row r="76" spans="1:62" ht="15" customHeight="1" x14ac:dyDescent="0.3">
      <c r="A76" s="137"/>
      <c r="B76" s="5614" t="s">
        <v>1325</v>
      </c>
      <c r="C76" s="1212" t="s">
        <v>392</v>
      </c>
      <c r="D76" s="5607"/>
      <c r="E76" s="1762">
        <v>46.67</v>
      </c>
      <c r="F76" s="5607"/>
      <c r="G76" s="1762">
        <v>35</v>
      </c>
      <c r="H76" s="6308"/>
      <c r="I76" s="2830">
        <f t="shared" si="204"/>
        <v>81.67</v>
      </c>
      <c r="J76" s="914"/>
      <c r="K76" s="168">
        <v>81.67</v>
      </c>
      <c r="L76" s="6319"/>
      <c r="M76" s="216">
        <f t="shared" si="205"/>
        <v>163.34</v>
      </c>
      <c r="N76" s="914"/>
      <c r="O76" s="168">
        <v>40.840000000000003</v>
      </c>
      <c r="P76" s="6308"/>
      <c r="Q76" s="201">
        <f t="shared" si="206"/>
        <v>204.18</v>
      </c>
      <c r="R76" s="914"/>
      <c r="S76" s="168"/>
      <c r="T76" s="6308"/>
      <c r="U76" s="201">
        <f t="shared" si="207"/>
        <v>204.18</v>
      </c>
      <c r="V76" s="914"/>
      <c r="W76" s="168">
        <v>122.49</v>
      </c>
      <c r="X76" s="6319"/>
      <c r="Y76" s="220">
        <f t="shared" si="200"/>
        <v>163.32999999999998</v>
      </c>
      <c r="Z76" s="6339"/>
      <c r="AA76" s="464">
        <f t="shared" si="208"/>
        <v>326.66999999999996</v>
      </c>
      <c r="AB76" s="914"/>
      <c r="AC76" s="168">
        <v>46.67</v>
      </c>
      <c r="AD76" s="6308"/>
      <c r="AE76" s="202">
        <f t="shared" si="209"/>
        <v>373.34</v>
      </c>
      <c r="AF76" s="914"/>
      <c r="AG76" s="168">
        <v>40.840000000000003</v>
      </c>
      <c r="AH76" s="6308"/>
      <c r="AI76" s="202">
        <f t="shared" si="210"/>
        <v>414.17999999999995</v>
      </c>
      <c r="AJ76" s="914"/>
      <c r="AK76" s="168">
        <v>81.66</v>
      </c>
      <c r="AL76" s="6319"/>
      <c r="AM76" s="220">
        <f t="shared" si="201"/>
        <v>169.17000000000002</v>
      </c>
      <c r="AN76" s="6308"/>
      <c r="AO76" s="201">
        <f t="shared" si="202"/>
        <v>495.83999999999992</v>
      </c>
      <c r="AP76" s="914"/>
      <c r="AQ76" s="168">
        <v>81.67</v>
      </c>
      <c r="AR76" s="6308"/>
      <c r="AS76" s="202">
        <f t="shared" si="211"/>
        <v>577.50999999999988</v>
      </c>
      <c r="AT76" s="914"/>
      <c r="AU76" s="168">
        <v>81.67</v>
      </c>
      <c r="AV76" s="6308"/>
      <c r="AW76" s="202">
        <f t="shared" si="212"/>
        <v>659.17999999999984</v>
      </c>
      <c r="AX76" s="914"/>
      <c r="AY76" s="168">
        <v>116.66</v>
      </c>
      <c r="AZ76" s="6319"/>
      <c r="BA76" s="220">
        <f t="shared" si="203"/>
        <v>280</v>
      </c>
      <c r="BB76" s="6339"/>
      <c r="BC76" s="464">
        <f t="shared" si="213"/>
        <v>449.17</v>
      </c>
      <c r="BD76" s="6308"/>
      <c r="BE76" s="202">
        <f t="shared" si="214"/>
        <v>775.8399999999998</v>
      </c>
      <c r="BF76" s="491"/>
      <c r="BG76" s="491"/>
      <c r="BH76" s="23"/>
      <c r="BI76" s="23"/>
      <c r="BJ76" s="23"/>
    </row>
    <row r="77" spans="1:62" ht="15" customHeight="1" x14ac:dyDescent="0.3">
      <c r="B77" s="5613" t="s">
        <v>1087</v>
      </c>
      <c r="C77" s="1212" t="s">
        <v>392</v>
      </c>
      <c r="D77" s="5607"/>
      <c r="E77" s="1762">
        <v>2130</v>
      </c>
      <c r="F77" s="5607"/>
      <c r="G77" s="1762">
        <v>2112</v>
      </c>
      <c r="H77" s="6308"/>
      <c r="I77" s="2830">
        <f t="shared" si="204"/>
        <v>4242</v>
      </c>
      <c r="J77" s="914"/>
      <c r="K77" s="168">
        <v>2204</v>
      </c>
      <c r="L77" s="6319"/>
      <c r="M77" s="216">
        <f t="shared" si="205"/>
        <v>6446</v>
      </c>
      <c r="N77" s="914"/>
      <c r="O77" s="168">
        <v>1597</v>
      </c>
      <c r="P77" s="6308"/>
      <c r="Q77" s="201">
        <f t="shared" si="206"/>
        <v>8043</v>
      </c>
      <c r="R77" s="914"/>
      <c r="S77" s="168">
        <v>532</v>
      </c>
      <c r="T77" s="6308"/>
      <c r="U77" s="201">
        <f t="shared" si="207"/>
        <v>8575</v>
      </c>
      <c r="V77" s="914"/>
      <c r="W77" s="168">
        <v>2280</v>
      </c>
      <c r="X77" s="6319"/>
      <c r="Y77" s="220">
        <f t="shared" si="200"/>
        <v>4409</v>
      </c>
      <c r="Z77" s="6339"/>
      <c r="AA77" s="464">
        <f t="shared" si="208"/>
        <v>10855</v>
      </c>
      <c r="AB77" s="914"/>
      <c r="AC77" s="168">
        <v>1826</v>
      </c>
      <c r="AD77" s="6308"/>
      <c r="AE77" s="202">
        <f t="shared" si="209"/>
        <v>12681</v>
      </c>
      <c r="AF77" s="914"/>
      <c r="AG77" s="168">
        <v>2051</v>
      </c>
      <c r="AH77" s="6308"/>
      <c r="AI77" s="202">
        <f t="shared" si="210"/>
        <v>14732</v>
      </c>
      <c r="AJ77" s="914"/>
      <c r="AK77" s="168">
        <v>2279</v>
      </c>
      <c r="AL77" s="6319"/>
      <c r="AM77" s="220">
        <f t="shared" si="201"/>
        <v>6156</v>
      </c>
      <c r="AN77" s="6308"/>
      <c r="AO77" s="201">
        <f t="shared" si="202"/>
        <v>17011</v>
      </c>
      <c r="AP77" s="914"/>
      <c r="AQ77" s="168">
        <v>2355</v>
      </c>
      <c r="AR77" s="6308"/>
      <c r="AS77" s="202">
        <f t="shared" si="211"/>
        <v>19366</v>
      </c>
      <c r="AT77" s="914"/>
      <c r="AU77" s="168">
        <v>2051</v>
      </c>
      <c r="AV77" s="6308"/>
      <c r="AW77" s="202">
        <f t="shared" si="212"/>
        <v>21417</v>
      </c>
      <c r="AX77" s="914"/>
      <c r="AY77" s="168">
        <v>2155</v>
      </c>
      <c r="AZ77" s="6319"/>
      <c r="BA77" s="220">
        <f t="shared" si="203"/>
        <v>6561</v>
      </c>
      <c r="BB77" s="6339"/>
      <c r="BC77" s="464">
        <f t="shared" si="213"/>
        <v>12717</v>
      </c>
      <c r="BD77" s="6308"/>
      <c r="BE77" s="202">
        <f t="shared" si="214"/>
        <v>23572</v>
      </c>
      <c r="BF77" s="491"/>
      <c r="BG77" s="491"/>
      <c r="BH77" s="23"/>
      <c r="BI77" s="23"/>
      <c r="BJ77" s="23"/>
    </row>
    <row r="78" spans="1:62" ht="15" customHeight="1" x14ac:dyDescent="0.3">
      <c r="B78" s="5613" t="s">
        <v>1361</v>
      </c>
      <c r="C78" s="1212" t="s">
        <v>392</v>
      </c>
      <c r="D78" s="5607"/>
      <c r="E78" s="1762"/>
      <c r="F78" s="5607"/>
      <c r="G78" s="1762">
        <v>35</v>
      </c>
      <c r="H78" s="6308"/>
      <c r="I78" s="2830">
        <f t="shared" si="204"/>
        <v>35</v>
      </c>
      <c r="J78" s="914"/>
      <c r="K78" s="168">
        <v>46.67</v>
      </c>
      <c r="L78" s="6319"/>
      <c r="M78" s="216">
        <f t="shared" si="205"/>
        <v>81.67</v>
      </c>
      <c r="N78" s="914"/>
      <c r="O78" s="168">
        <v>46.68</v>
      </c>
      <c r="P78" s="6308"/>
      <c r="Q78" s="201">
        <f t="shared" si="206"/>
        <v>128.35</v>
      </c>
      <c r="R78" s="914"/>
      <c r="S78" s="168"/>
      <c r="T78" s="6308"/>
      <c r="U78" s="201">
        <f t="shared" si="207"/>
        <v>128.35</v>
      </c>
      <c r="V78" s="914"/>
      <c r="W78" s="168"/>
      <c r="X78" s="6319"/>
      <c r="Y78" s="220">
        <f t="shared" si="200"/>
        <v>46.68</v>
      </c>
      <c r="Z78" s="6339"/>
      <c r="AA78" s="464">
        <f t="shared" si="208"/>
        <v>128.35</v>
      </c>
      <c r="AB78" s="914"/>
      <c r="AC78" s="168">
        <v>46.66</v>
      </c>
      <c r="AD78" s="6308"/>
      <c r="AE78" s="202">
        <f t="shared" si="209"/>
        <v>175.01</v>
      </c>
      <c r="AF78" s="914"/>
      <c r="AG78" s="168">
        <v>46.68</v>
      </c>
      <c r="AH78" s="6308"/>
      <c r="AI78" s="202">
        <f t="shared" si="210"/>
        <v>221.69</v>
      </c>
      <c r="AJ78" s="914"/>
      <c r="AK78" s="168">
        <v>46.66</v>
      </c>
      <c r="AL78" s="6319"/>
      <c r="AM78" s="220">
        <f t="shared" si="201"/>
        <v>140</v>
      </c>
      <c r="AN78" s="6308"/>
      <c r="AO78" s="201">
        <f t="shared" si="202"/>
        <v>268.35000000000002</v>
      </c>
      <c r="AP78" s="914"/>
      <c r="AQ78" s="168">
        <v>46.66</v>
      </c>
      <c r="AR78" s="6308"/>
      <c r="AS78" s="202">
        <f t="shared" si="211"/>
        <v>315.01</v>
      </c>
      <c r="AT78" s="914"/>
      <c r="AU78" s="168">
        <v>46.68</v>
      </c>
      <c r="AV78" s="6308"/>
      <c r="AW78" s="202">
        <f t="shared" si="212"/>
        <v>361.69</v>
      </c>
      <c r="AX78" s="914"/>
      <c r="AY78" s="168"/>
      <c r="AZ78" s="6319"/>
      <c r="BA78" s="220">
        <f t="shared" si="203"/>
        <v>93.34</v>
      </c>
      <c r="BB78" s="6339"/>
      <c r="BC78" s="464">
        <f t="shared" si="213"/>
        <v>233.34</v>
      </c>
      <c r="BD78" s="6308"/>
      <c r="BE78" s="202">
        <f t="shared" si="214"/>
        <v>361.69</v>
      </c>
      <c r="BF78" s="491"/>
      <c r="BG78" s="491"/>
      <c r="BH78" s="23"/>
      <c r="BI78" s="23"/>
      <c r="BJ78" s="23"/>
    </row>
    <row r="79" spans="1:62" ht="15" customHeight="1" x14ac:dyDescent="0.3">
      <c r="B79" s="5613" t="s">
        <v>1404</v>
      </c>
      <c r="C79" s="1212" t="s">
        <v>392</v>
      </c>
      <c r="D79" s="5607"/>
      <c r="E79" s="1211">
        <v>11.66</v>
      </c>
      <c r="F79" s="5607"/>
      <c r="G79" s="1211">
        <v>0</v>
      </c>
      <c r="H79" s="6308"/>
      <c r="I79" s="2830">
        <f t="shared" si="204"/>
        <v>11.66</v>
      </c>
      <c r="J79" s="914"/>
      <c r="K79" s="17">
        <v>46.67</v>
      </c>
      <c r="L79" s="6319"/>
      <c r="M79" s="216">
        <f t="shared" si="205"/>
        <v>58.33</v>
      </c>
      <c r="N79" s="914"/>
      <c r="O79" s="17">
        <v>0</v>
      </c>
      <c r="P79" s="6308"/>
      <c r="Q79" s="201">
        <f t="shared" si="206"/>
        <v>58.33</v>
      </c>
      <c r="R79" s="914"/>
      <c r="S79" s="17"/>
      <c r="T79" s="6308"/>
      <c r="U79" s="201">
        <f t="shared" si="207"/>
        <v>58.33</v>
      </c>
      <c r="V79" s="914"/>
      <c r="W79" s="17"/>
      <c r="X79" s="6319"/>
      <c r="Y79" s="220">
        <f t="shared" si="200"/>
        <v>0</v>
      </c>
      <c r="Z79" s="6339"/>
      <c r="AA79" s="464">
        <f t="shared" si="208"/>
        <v>58.33</v>
      </c>
      <c r="AB79" s="914"/>
      <c r="AC79" s="17"/>
      <c r="AD79" s="6308"/>
      <c r="AE79" s="202">
        <f t="shared" si="209"/>
        <v>58.33</v>
      </c>
      <c r="AF79" s="914"/>
      <c r="AG79" s="17"/>
      <c r="AH79" s="6308"/>
      <c r="AI79" s="202">
        <f t="shared" si="210"/>
        <v>58.33</v>
      </c>
      <c r="AJ79" s="914"/>
      <c r="AK79" s="17"/>
      <c r="AL79" s="6319"/>
      <c r="AM79" s="216">
        <f t="shared" si="201"/>
        <v>0</v>
      </c>
      <c r="AN79" s="6308"/>
      <c r="AO79" s="201">
        <f t="shared" si="202"/>
        <v>58.33</v>
      </c>
      <c r="AP79" s="914"/>
      <c r="AQ79" s="17"/>
      <c r="AR79" s="6308"/>
      <c r="AS79" s="202">
        <f t="shared" si="211"/>
        <v>58.33</v>
      </c>
      <c r="AT79" s="914"/>
      <c r="AU79" s="17"/>
      <c r="AV79" s="6308"/>
      <c r="AW79" s="202">
        <f t="shared" si="212"/>
        <v>58.33</v>
      </c>
      <c r="AX79" s="914"/>
      <c r="AY79" s="17">
        <v>46.66</v>
      </c>
      <c r="AZ79" s="6319"/>
      <c r="BA79" s="220">
        <f t="shared" si="203"/>
        <v>46.66</v>
      </c>
      <c r="BB79" s="6339"/>
      <c r="BC79" s="464">
        <f t="shared" si="213"/>
        <v>46.66</v>
      </c>
      <c r="BD79" s="6308"/>
      <c r="BE79" s="202">
        <f t="shared" si="214"/>
        <v>104.99</v>
      </c>
      <c r="BF79" s="491"/>
      <c r="BG79" s="491"/>
      <c r="BH79" s="23"/>
      <c r="BI79" s="23"/>
      <c r="BJ79" s="23"/>
    </row>
    <row r="80" spans="1:62" ht="15" customHeight="1" x14ac:dyDescent="0.3">
      <c r="B80" s="5615" t="s">
        <v>2015</v>
      </c>
      <c r="C80" s="1212" t="s">
        <v>392</v>
      </c>
      <c r="D80" s="5607"/>
      <c r="E80" s="5610">
        <v>164.05</v>
      </c>
      <c r="F80" s="5607"/>
      <c r="G80" s="5610">
        <v>156.43</v>
      </c>
      <c r="H80" s="6308"/>
      <c r="I80" s="2830">
        <f t="shared" si="204"/>
        <v>320.48</v>
      </c>
      <c r="J80" s="914"/>
      <c r="K80" s="4463"/>
      <c r="L80" s="6319"/>
      <c r="M80" s="216">
        <f t="shared" si="205"/>
        <v>320.48</v>
      </c>
      <c r="N80" s="914"/>
      <c r="O80" s="4463"/>
      <c r="P80" s="6308"/>
      <c r="Q80" s="4516"/>
      <c r="R80" s="914"/>
      <c r="S80" s="4463">
        <v>40.81</v>
      </c>
      <c r="T80" s="6308"/>
      <c r="U80" s="201">
        <f t="shared" si="207"/>
        <v>40.81</v>
      </c>
      <c r="V80" s="914"/>
      <c r="W80" s="4463">
        <v>174.8</v>
      </c>
      <c r="X80" s="6319"/>
      <c r="Y80" s="220">
        <f t="shared" si="200"/>
        <v>215.61</v>
      </c>
      <c r="Z80" s="6339"/>
      <c r="AA80" s="464">
        <f t="shared" si="208"/>
        <v>536.09</v>
      </c>
      <c r="AB80" s="914"/>
      <c r="AC80" s="4463">
        <v>141.52999999999997</v>
      </c>
      <c r="AD80" s="6308"/>
      <c r="AE80" s="202">
        <f t="shared" si="209"/>
        <v>677.62</v>
      </c>
      <c r="AF80" s="914"/>
      <c r="AG80" s="4463">
        <v>156.13</v>
      </c>
      <c r="AH80" s="6308"/>
      <c r="AI80" s="202">
        <f t="shared" si="210"/>
        <v>833.75</v>
      </c>
      <c r="AJ80" s="914"/>
      <c r="AK80" s="4463">
        <v>174.52</v>
      </c>
      <c r="AL80" s="6319"/>
      <c r="AM80" s="216">
        <f t="shared" si="201"/>
        <v>472.17999999999995</v>
      </c>
      <c r="AN80" s="6308"/>
      <c r="AO80" s="201">
        <f t="shared" si="202"/>
        <v>1008.27</v>
      </c>
      <c r="AP80" s="914"/>
      <c r="AQ80" s="4463">
        <v>180.46</v>
      </c>
      <c r="AR80" s="6308"/>
      <c r="AS80" s="202">
        <f t="shared" si="211"/>
        <v>1188.73</v>
      </c>
      <c r="AT80" s="914"/>
      <c r="AU80" s="4463">
        <v>157.66999999999999</v>
      </c>
      <c r="AV80" s="6308"/>
      <c r="AW80" s="202">
        <f t="shared" si="212"/>
        <v>1346.4</v>
      </c>
      <c r="AX80" s="914"/>
      <c r="AY80" s="4463">
        <v>169.45000000000002</v>
      </c>
      <c r="AZ80" s="6319"/>
      <c r="BA80" s="4517"/>
      <c r="BB80" s="6339"/>
      <c r="BC80" s="4518"/>
      <c r="BD80" s="6308"/>
      <c r="BE80" s="4519"/>
      <c r="BF80" s="491"/>
      <c r="BG80" s="491"/>
      <c r="BH80" s="23"/>
      <c r="BI80" s="23"/>
      <c r="BJ80" s="23"/>
    </row>
    <row r="81" spans="2:62" ht="15" customHeight="1" x14ac:dyDescent="0.3">
      <c r="B81" s="5615" t="s">
        <v>2039</v>
      </c>
      <c r="C81" s="1212" t="s">
        <v>392</v>
      </c>
      <c r="D81" s="5607"/>
      <c r="E81" s="5610">
        <v>46.68</v>
      </c>
      <c r="F81" s="5607"/>
      <c r="G81" s="5610">
        <v>0</v>
      </c>
      <c r="H81" s="6308"/>
      <c r="I81" s="2830">
        <f t="shared" si="204"/>
        <v>46.68</v>
      </c>
      <c r="J81" s="914"/>
      <c r="K81" s="4463"/>
      <c r="L81" s="6319"/>
      <c r="M81" s="216">
        <f t="shared" si="205"/>
        <v>46.68</v>
      </c>
      <c r="N81" s="914"/>
      <c r="O81" s="4463"/>
      <c r="P81" s="6308"/>
      <c r="Q81" s="4516"/>
      <c r="R81" s="914"/>
      <c r="S81" s="4463"/>
      <c r="T81" s="6308"/>
      <c r="U81" s="4516"/>
      <c r="V81" s="914"/>
      <c r="W81" s="4463">
        <v>93.32</v>
      </c>
      <c r="X81" s="6319"/>
      <c r="Y81" s="220">
        <f t="shared" si="200"/>
        <v>93.32</v>
      </c>
      <c r="Z81" s="6339"/>
      <c r="AA81" s="464">
        <f t="shared" si="208"/>
        <v>140</v>
      </c>
      <c r="AB81" s="914"/>
      <c r="AC81" s="4463">
        <v>11.88</v>
      </c>
      <c r="AD81" s="6308"/>
      <c r="AE81" s="202">
        <f t="shared" si="209"/>
        <v>151.88</v>
      </c>
      <c r="AF81" s="914"/>
      <c r="AG81" s="4463"/>
      <c r="AH81" s="6308"/>
      <c r="AI81" s="202">
        <f t="shared" si="210"/>
        <v>151.88</v>
      </c>
      <c r="AJ81" s="914"/>
      <c r="AK81" s="4463">
        <v>46.66</v>
      </c>
      <c r="AL81" s="6319"/>
      <c r="AM81" s="216">
        <f t="shared" si="201"/>
        <v>58.54</v>
      </c>
      <c r="AN81" s="6308"/>
      <c r="AO81" s="201">
        <f t="shared" si="202"/>
        <v>198.54</v>
      </c>
      <c r="AP81" s="914"/>
      <c r="AQ81" s="4463">
        <v>46.68</v>
      </c>
      <c r="AR81" s="6308"/>
      <c r="AS81" s="202">
        <f t="shared" si="211"/>
        <v>245.22</v>
      </c>
      <c r="AT81" s="914"/>
      <c r="AU81" s="4463">
        <v>46.66</v>
      </c>
      <c r="AV81" s="6308"/>
      <c r="AW81" s="202">
        <f t="shared" si="212"/>
        <v>291.88</v>
      </c>
      <c r="AX81" s="914"/>
      <c r="AY81" s="4463">
        <v>81.66</v>
      </c>
      <c r="AZ81" s="6319"/>
      <c r="BA81" s="4517"/>
      <c r="BB81" s="6339"/>
      <c r="BC81" s="4518"/>
      <c r="BD81" s="6308"/>
      <c r="BE81" s="4519"/>
      <c r="BF81" s="491"/>
      <c r="BG81" s="491"/>
      <c r="BH81" s="23"/>
      <c r="BI81" s="23"/>
      <c r="BJ81" s="23"/>
    </row>
    <row r="82" spans="2:62" ht="15.75" customHeight="1" thickBot="1" x14ac:dyDescent="0.35">
      <c r="B82" s="5616" t="s">
        <v>1927</v>
      </c>
      <c r="C82" s="5617" t="s">
        <v>392</v>
      </c>
      <c r="D82" s="5608"/>
      <c r="E82" s="5611">
        <v>1430</v>
      </c>
      <c r="F82" s="5608"/>
      <c r="G82" s="5611">
        <v>1412</v>
      </c>
      <c r="H82" s="6323"/>
      <c r="I82" s="2833">
        <f t="shared" si="204"/>
        <v>2842</v>
      </c>
      <c r="J82" s="2832"/>
      <c r="K82" s="34">
        <v>1479</v>
      </c>
      <c r="L82" s="6319"/>
      <c r="M82" s="216">
        <f t="shared" si="205"/>
        <v>4321</v>
      </c>
      <c r="N82" s="2832"/>
      <c r="O82" s="34">
        <v>1072</v>
      </c>
      <c r="P82" s="6308"/>
      <c r="Q82" s="201">
        <f t="shared" si="206"/>
        <v>5393</v>
      </c>
      <c r="R82" s="2832"/>
      <c r="S82" s="34">
        <v>357</v>
      </c>
      <c r="T82" s="6308"/>
      <c r="U82" s="201">
        <f t="shared" si="207"/>
        <v>5750</v>
      </c>
      <c r="V82" s="2832"/>
      <c r="W82" s="34">
        <v>1530</v>
      </c>
      <c r="X82" s="6319"/>
      <c r="Y82" s="220">
        <f t="shared" si="200"/>
        <v>2959</v>
      </c>
      <c r="Z82" s="6339"/>
      <c r="AA82" s="464">
        <f t="shared" si="208"/>
        <v>7280</v>
      </c>
      <c r="AB82" s="2832"/>
      <c r="AC82" s="34">
        <v>1228</v>
      </c>
      <c r="AD82" s="6308"/>
      <c r="AE82" s="202">
        <f t="shared" si="209"/>
        <v>8508</v>
      </c>
      <c r="AF82" s="2832"/>
      <c r="AG82" s="34">
        <v>1376</v>
      </c>
      <c r="AH82" s="6308"/>
      <c r="AI82" s="202">
        <f t="shared" si="210"/>
        <v>9884</v>
      </c>
      <c r="AJ82" s="2832"/>
      <c r="AK82" s="34">
        <v>1529</v>
      </c>
      <c r="AL82" s="6319"/>
      <c r="AM82" s="220">
        <f t="shared" si="201"/>
        <v>4133</v>
      </c>
      <c r="AN82" s="6308"/>
      <c r="AO82" s="201">
        <f t="shared" si="202"/>
        <v>11413</v>
      </c>
      <c r="AP82" s="2832"/>
      <c r="AQ82" s="34">
        <v>1580</v>
      </c>
      <c r="AR82" s="6308"/>
      <c r="AS82" s="202">
        <f t="shared" si="211"/>
        <v>12993</v>
      </c>
      <c r="AT82" s="2832"/>
      <c r="AU82" s="34">
        <v>1376</v>
      </c>
      <c r="AV82" s="6308"/>
      <c r="AW82" s="202">
        <f t="shared" si="212"/>
        <v>14369</v>
      </c>
      <c r="AX82" s="2832"/>
      <c r="AY82" s="34">
        <v>1480</v>
      </c>
      <c r="AZ82" s="6319"/>
      <c r="BA82" s="220">
        <f t="shared" si="203"/>
        <v>4436</v>
      </c>
      <c r="BB82" s="6339"/>
      <c r="BC82" s="464">
        <f t="shared" si="213"/>
        <v>8569</v>
      </c>
      <c r="BD82" s="6308"/>
      <c r="BE82" s="202">
        <f t="shared" si="214"/>
        <v>15849</v>
      </c>
      <c r="BF82" s="491"/>
      <c r="BG82" s="491"/>
      <c r="BH82" s="23"/>
      <c r="BI82" s="23"/>
      <c r="BJ82" s="23"/>
    </row>
    <row r="85" spans="2:62" hidden="1" x14ac:dyDescent="0.3">
      <c r="D85" s="23">
        <f t="shared" ref="D85:AG85" si="215">D53+D49+D44-D39</f>
        <v>43</v>
      </c>
      <c r="E85" s="23">
        <f t="shared" si="215"/>
        <v>0</v>
      </c>
      <c r="F85" s="23">
        <f t="shared" si="215"/>
        <v>43</v>
      </c>
      <c r="G85" s="23">
        <f t="shared" si="215"/>
        <v>-7.5256559139784827</v>
      </c>
      <c r="H85" s="23">
        <f t="shared" si="215"/>
        <v>43</v>
      </c>
      <c r="I85" s="23">
        <f t="shared" si="215"/>
        <v>-3.8245136612021611</v>
      </c>
      <c r="J85" s="23">
        <f t="shared" si="215"/>
        <v>38.800000000000011</v>
      </c>
      <c r="K85" s="23">
        <f t="shared" si="215"/>
        <v>-9.4386666666666201</v>
      </c>
      <c r="L85" s="23">
        <f t="shared" si="215"/>
        <v>32.565934065934016</v>
      </c>
      <c r="M85" s="23">
        <f t="shared" si="215"/>
        <v>-12.80489377289382</v>
      </c>
      <c r="N85" s="23">
        <f t="shared" si="215"/>
        <v>38.800000000000011</v>
      </c>
      <c r="O85" s="23">
        <f t="shared" si="215"/>
        <v>-9.1267741935483286</v>
      </c>
      <c r="P85" s="23">
        <f t="shared" si="215"/>
        <v>34.149999999999977</v>
      </c>
      <c r="Q85" s="23">
        <f t="shared" si="215"/>
        <v>-11.870289617486378</v>
      </c>
      <c r="R85" s="23">
        <f t="shared" si="215"/>
        <v>38.800000000000011</v>
      </c>
      <c r="S85" s="23">
        <f t="shared" si="215"/>
        <v>-9.7677419354838548</v>
      </c>
      <c r="T85" s="23">
        <f t="shared" si="215"/>
        <v>35.092156862745071</v>
      </c>
      <c r="U85" s="23">
        <f t="shared" si="215"/>
        <v>-11.444283224400806</v>
      </c>
      <c r="V85" s="23">
        <f t="shared" si="215"/>
        <v>39.800000000000011</v>
      </c>
      <c r="W85" s="23">
        <f t="shared" si="215"/>
        <v>-9.0886666666667111</v>
      </c>
      <c r="X85" s="23">
        <f t="shared" si="215"/>
        <v>39.12608695652176</v>
      </c>
      <c r="Y85" s="23">
        <f t="shared" si="215"/>
        <v>-9.3303260869565179</v>
      </c>
      <c r="Z85" s="23">
        <f t="shared" si="215"/>
        <v>35.863934426229491</v>
      </c>
      <c r="AA85" s="23">
        <f t="shared" si="215"/>
        <v>-11.058116575591953</v>
      </c>
      <c r="AB85" s="23">
        <f t="shared" si="215"/>
        <v>38.800000000000011</v>
      </c>
      <c r="AC85" s="23">
        <f t="shared" si="215"/>
        <v>-10.50322580645161</v>
      </c>
      <c r="AD85" s="23">
        <f t="shared" si="215"/>
        <v>36.289252336448669</v>
      </c>
      <c r="AE85" s="23">
        <f t="shared" si="215"/>
        <v>-10.977735202492227</v>
      </c>
      <c r="AF85" s="23">
        <f t="shared" si="215"/>
        <v>38.800000000000011</v>
      </c>
      <c r="AG85" s="23">
        <f t="shared" si="215"/>
        <v>-10.523333333333426</v>
      </c>
      <c r="AI85" s="23">
        <f t="shared" ref="AI85:BE85" si="216">AI53+AI49+AI44-AI39</f>
        <v>-10.921866120218567</v>
      </c>
      <c r="AJ85" s="23">
        <f t="shared" si="216"/>
        <v>38.800000000000011</v>
      </c>
      <c r="AK85" s="23">
        <f t="shared" si="216"/>
        <v>-10.54397849462373</v>
      </c>
      <c r="AL85" s="23">
        <f t="shared" si="216"/>
        <v>38.800000000000011</v>
      </c>
      <c r="AM85" s="23">
        <f t="shared" si="216"/>
        <v>-10.523514492753748</v>
      </c>
      <c r="AN85" s="23">
        <f t="shared" si="216"/>
        <v>36.84618181818189</v>
      </c>
      <c r="AO85" s="23">
        <f t="shared" si="216"/>
        <v>-10.879267878787914</v>
      </c>
      <c r="AP85" s="23">
        <f t="shared" si="216"/>
        <v>38.800000000000011</v>
      </c>
      <c r="AQ85" s="23">
        <f t="shared" si="216"/>
        <v>-9.2935483870967914</v>
      </c>
      <c r="AR85" s="23">
        <f t="shared" si="216"/>
        <v>37.044117647058897</v>
      </c>
      <c r="AS85" s="23">
        <f t="shared" si="216"/>
        <v>-10.71862309368197</v>
      </c>
      <c r="AT85" s="23">
        <f t="shared" si="216"/>
        <v>38.800000000000011</v>
      </c>
      <c r="AU85" s="23">
        <f t="shared" si="216"/>
        <v>-6.7485714285713811</v>
      </c>
      <c r="AV85" s="23">
        <f t="shared" si="216"/>
        <v>37.191317365269526</v>
      </c>
      <c r="AW85" s="23">
        <f t="shared" si="216"/>
        <v>-10.385804391217562</v>
      </c>
      <c r="AX85" s="23">
        <f t="shared" si="216"/>
        <v>38.800000000000011</v>
      </c>
      <c r="AY85" s="23">
        <f t="shared" si="216"/>
        <v>-5.1429032258064353</v>
      </c>
      <c r="AZ85" s="23">
        <f t="shared" si="216"/>
        <v>38.800000000000011</v>
      </c>
      <c r="BA85" s="23">
        <f t="shared" si="216"/>
        <v>-7.0721111111111554</v>
      </c>
      <c r="BB85" s="23">
        <f t="shared" si="216"/>
        <v>38.799999999999955</v>
      </c>
      <c r="BC85" s="23">
        <f t="shared" si="216"/>
        <v>-8.816776556776631</v>
      </c>
      <c r="BD85" s="23">
        <f t="shared" si="216"/>
        <v>37.327945205479523</v>
      </c>
      <c r="BE85" s="23">
        <f t="shared" si="216"/>
        <v>-9.940516894977236</v>
      </c>
      <c r="BF85" s="23"/>
    </row>
  </sheetData>
  <mergeCells count="79">
    <mergeCell ref="AZ63:AZ82"/>
    <mergeCell ref="BB4:BC4"/>
    <mergeCell ref="BB8:BB13"/>
    <mergeCell ref="BB63:BB82"/>
    <mergeCell ref="H8:H13"/>
    <mergeCell ref="AX4:AY4"/>
    <mergeCell ref="J4:K4"/>
    <mergeCell ref="N4:O4"/>
    <mergeCell ref="AD63:AD82"/>
    <mergeCell ref="AB4:AC4"/>
    <mergeCell ref="AD4:AE4"/>
    <mergeCell ref="AB8:AB13"/>
    <mergeCell ref="AD8:AD13"/>
    <mergeCell ref="Z63:Z82"/>
    <mergeCell ref="X4:Y4"/>
    <mergeCell ref="X8:X13"/>
    <mergeCell ref="BD4:BE4"/>
    <mergeCell ref="AX8:AX13"/>
    <mergeCell ref="BD8:BD13"/>
    <mergeCell ref="AR63:AR82"/>
    <mergeCell ref="AP4:AQ4"/>
    <mergeCell ref="AR4:AS4"/>
    <mergeCell ref="AP8:AP13"/>
    <mergeCell ref="AR8:AR13"/>
    <mergeCell ref="AV63:AV82"/>
    <mergeCell ref="AT4:AU4"/>
    <mergeCell ref="AV4:AW4"/>
    <mergeCell ref="AT8:AT13"/>
    <mergeCell ref="AV8:AV13"/>
    <mergeCell ref="BD63:BD82"/>
    <mergeCell ref="AZ4:BA4"/>
    <mergeCell ref="AZ8:AZ13"/>
    <mergeCell ref="B29:B30"/>
    <mergeCell ref="B8:B9"/>
    <mergeCell ref="B10:B11"/>
    <mergeCell ref="B12:B13"/>
    <mergeCell ref="B16:B17"/>
    <mergeCell ref="B14:B15"/>
    <mergeCell ref="P4:Q4"/>
    <mergeCell ref="B20:B21"/>
    <mergeCell ref="B18:B19"/>
    <mergeCell ref="F8:F13"/>
    <mergeCell ref="D8:D13"/>
    <mergeCell ref="B4:B5"/>
    <mergeCell ref="L4:M4"/>
    <mergeCell ref="T63:T82"/>
    <mergeCell ref="H63:H82"/>
    <mergeCell ref="C4:C5"/>
    <mergeCell ref="D4:E4"/>
    <mergeCell ref="F4:G4"/>
    <mergeCell ref="L63:L82"/>
    <mergeCell ref="P63:P82"/>
    <mergeCell ref="T4:U4"/>
    <mergeCell ref="P8:P13"/>
    <mergeCell ref="R8:R13"/>
    <mergeCell ref="T8:T13"/>
    <mergeCell ref="N8:N13"/>
    <mergeCell ref="J8:J13"/>
    <mergeCell ref="L8:L13"/>
    <mergeCell ref="H4:I4"/>
    <mergeCell ref="R4:S4"/>
    <mergeCell ref="V8:V13"/>
    <mergeCell ref="Z8:Z13"/>
    <mergeCell ref="AH63:AH82"/>
    <mergeCell ref="AF4:AG4"/>
    <mergeCell ref="AH4:AI4"/>
    <mergeCell ref="AF8:AF13"/>
    <mergeCell ref="AH8:AH13"/>
    <mergeCell ref="X63:X82"/>
    <mergeCell ref="V4:W4"/>
    <mergeCell ref="Z4:AA4"/>
    <mergeCell ref="AN63:AN82"/>
    <mergeCell ref="AJ4:AK4"/>
    <mergeCell ref="AN4:AO4"/>
    <mergeCell ref="AJ8:AJ13"/>
    <mergeCell ref="AN8:AN13"/>
    <mergeCell ref="AL4:AM4"/>
    <mergeCell ref="AL8:AL13"/>
    <mergeCell ref="AL63:AL82"/>
  </mergeCells>
  <pageMargins left="1.2" right="0.7" top="0.25" bottom="0.25" header="0.3" footer="0.3"/>
  <pageSetup scale="30"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2">
    <tabColor rgb="FF00FF00"/>
    <pageSetUpPr fitToPage="1"/>
  </sheetPr>
  <dimension ref="A1:CO43"/>
  <sheetViews>
    <sheetView zoomScaleNormal="100" workbookViewId="0">
      <pane xSplit="3" topLeftCell="D1" activePane="topRight" state="frozen"/>
      <selection activeCell="S123" sqref="S123"/>
      <selection pane="topRight" activeCell="BH33" sqref="BH33:BH35"/>
    </sheetView>
  </sheetViews>
  <sheetFormatPr defaultColWidth="8.88671875" defaultRowHeight="14.4" x14ac:dyDescent="0.3"/>
  <cols>
    <col min="2" max="2" width="51.88671875" bestFit="1" customWidth="1"/>
    <col min="3" max="3" width="10.33203125" customWidth="1"/>
    <col min="4" max="4" width="11.109375" style="82" customWidth="1"/>
    <col min="5" max="5" width="11.33203125" style="88" customWidth="1"/>
    <col min="6" max="6" width="7.88671875" style="82" bestFit="1" customWidth="1"/>
    <col min="7" max="7" width="7.88671875" style="88" bestFit="1" customWidth="1"/>
    <col min="8" max="8" width="9.88671875" style="82" customWidth="1"/>
    <col min="9" max="9" width="10.109375" style="88" customWidth="1"/>
    <col min="10" max="10" width="10.6640625" style="82" hidden="1" customWidth="1"/>
    <col min="11" max="11" width="10.6640625" style="88" hidden="1" customWidth="1"/>
    <col min="12" max="12" width="10.6640625" style="82" hidden="1" customWidth="1"/>
    <col min="13" max="13" width="10.6640625" style="88" hidden="1" customWidth="1"/>
    <col min="14" max="14" width="7.88671875" style="82" hidden="1" customWidth="1"/>
    <col min="15" max="15" width="7.88671875" style="88" hidden="1" customWidth="1"/>
    <col min="16" max="16" width="7.88671875" style="82" hidden="1" customWidth="1"/>
    <col min="17" max="17" width="10.109375" style="88" hidden="1" customWidth="1"/>
    <col min="18" max="18" width="7.88671875" hidden="1" customWidth="1"/>
    <col min="19" max="19" width="8.44140625" hidden="1" customWidth="1"/>
    <col min="20" max="21" width="10.6640625" hidden="1" customWidth="1"/>
    <col min="22" max="22" width="7.88671875" hidden="1" customWidth="1"/>
    <col min="23" max="23" width="8.44140625" hidden="1" customWidth="1"/>
    <col min="24" max="24" width="8.88671875" hidden="1" customWidth="1"/>
    <col min="25" max="25" width="10.109375" hidden="1" customWidth="1"/>
    <col min="26" max="26" width="9" hidden="1" customWidth="1"/>
    <col min="27" max="27" width="10.109375" hidden="1" customWidth="1"/>
    <col min="28" max="28" width="7.88671875" hidden="1" customWidth="1"/>
    <col min="29" max="29" width="11.33203125" hidden="1" customWidth="1"/>
    <col min="30" max="30" width="9" hidden="1" customWidth="1"/>
    <col min="31" max="31" width="10.109375" hidden="1" customWidth="1"/>
    <col min="32" max="32" width="8.88671875" hidden="1" customWidth="1"/>
    <col min="33" max="33" width="11.33203125" hidden="1" customWidth="1"/>
    <col min="34" max="34" width="8.88671875" hidden="1" customWidth="1"/>
    <col min="35" max="35" width="10.109375" hidden="1" customWidth="1"/>
    <col min="36" max="36" width="8.88671875" hidden="1" customWidth="1"/>
    <col min="37" max="37" width="11.33203125" hidden="1" customWidth="1"/>
    <col min="38" max="38" width="8.88671875" hidden="1" customWidth="1"/>
    <col min="39" max="39" width="13.109375" hidden="1" customWidth="1"/>
    <col min="40" max="40" width="8.88671875" hidden="1" customWidth="1"/>
    <col min="41" max="41" width="10.109375" hidden="1" customWidth="1"/>
    <col min="42" max="42" width="8.88671875" hidden="1" customWidth="1"/>
    <col min="43" max="43" width="11.33203125" hidden="1" customWidth="1"/>
    <col min="44" max="44" width="8.88671875" hidden="1" customWidth="1"/>
    <col min="45" max="45" width="11.33203125" hidden="1" customWidth="1"/>
    <col min="46" max="46" width="8.88671875" hidden="1" customWidth="1"/>
    <col min="47" max="47" width="11.33203125" hidden="1" customWidth="1"/>
    <col min="48" max="48" width="8.88671875" hidden="1" customWidth="1"/>
    <col min="49" max="49" width="11.33203125" hidden="1" customWidth="1"/>
    <col min="50" max="50" width="8.88671875" hidden="1" customWidth="1"/>
    <col min="51" max="51" width="13.109375" hidden="1" customWidth="1"/>
    <col min="52" max="52" width="8.88671875" hidden="1" customWidth="1"/>
    <col min="53" max="53" width="13.109375" hidden="1" customWidth="1"/>
    <col min="54" max="54" width="8.88671875" hidden="1" customWidth="1"/>
    <col min="55" max="55" width="13.109375" hidden="1" customWidth="1"/>
    <col min="56" max="56" width="8.88671875" hidden="1" customWidth="1"/>
    <col min="57" max="57" width="14.33203125" hidden="1" customWidth="1"/>
    <col min="58" max="59" width="8.88671875" customWidth="1"/>
  </cols>
  <sheetData>
    <row r="1" spans="2:93" ht="15.6" x14ac:dyDescent="0.3">
      <c r="B1" s="740" t="s">
        <v>368</v>
      </c>
      <c r="D1"/>
      <c r="E1"/>
      <c r="F1"/>
      <c r="G1"/>
      <c r="H1"/>
      <c r="I1"/>
      <c r="J1"/>
      <c r="K1"/>
      <c r="L1"/>
      <c r="M1"/>
      <c r="N1"/>
      <c r="O1"/>
      <c r="P1"/>
      <c r="Q1"/>
    </row>
    <row r="2" spans="2:93" s="88" customFormat="1" ht="16.2" thickBot="1" x14ac:dyDescent="0.35">
      <c r="B2" s="1047"/>
      <c r="C2"/>
      <c r="D2"/>
      <c r="E2"/>
      <c r="F2"/>
      <c r="G2"/>
      <c r="H2"/>
      <c r="I2"/>
      <c r="J2"/>
      <c r="K2"/>
      <c r="L2"/>
      <c r="M2"/>
      <c r="N2"/>
      <c r="O2"/>
      <c r="P2"/>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row>
    <row r="3" spans="2:93" s="772" customFormat="1" ht="15.6" x14ac:dyDescent="0.3">
      <c r="B3" s="6347" t="s">
        <v>170</v>
      </c>
      <c r="C3" s="6349" t="s">
        <v>171</v>
      </c>
      <c r="D3" s="6228" t="s">
        <v>2211</v>
      </c>
      <c r="E3" s="6235"/>
      <c r="F3" s="6235" t="s">
        <v>2260</v>
      </c>
      <c r="G3" s="6235"/>
      <c r="H3" s="6341" t="s">
        <v>14</v>
      </c>
      <c r="I3" s="6341"/>
      <c r="J3" s="6235" t="s">
        <v>1963</v>
      </c>
      <c r="K3" s="6235"/>
      <c r="L3" s="6230" t="s">
        <v>604</v>
      </c>
      <c r="M3" s="6230"/>
      <c r="N3" s="6235" t="s">
        <v>1985</v>
      </c>
      <c r="O3" s="6235"/>
      <c r="P3" s="6344" t="s">
        <v>17</v>
      </c>
      <c r="Q3" s="6344"/>
      <c r="R3" s="6235" t="s">
        <v>1988</v>
      </c>
      <c r="S3" s="6235"/>
      <c r="T3" s="6344" t="s">
        <v>18</v>
      </c>
      <c r="U3" s="6344"/>
      <c r="V3" s="6235" t="s">
        <v>2019</v>
      </c>
      <c r="W3" s="6235"/>
      <c r="X3" s="6230" t="s">
        <v>625</v>
      </c>
      <c r="Y3" s="6230"/>
      <c r="Z3" s="6231" t="s">
        <v>623</v>
      </c>
      <c r="AA3" s="6231"/>
      <c r="AB3" s="6235" t="s">
        <v>2043</v>
      </c>
      <c r="AC3" s="6235"/>
      <c r="AD3" s="6344" t="s">
        <v>24</v>
      </c>
      <c r="AE3" s="6344"/>
      <c r="AF3" s="6235" t="s">
        <v>2064</v>
      </c>
      <c r="AG3" s="6235"/>
      <c r="AH3" s="6341" t="s">
        <v>27</v>
      </c>
      <c r="AI3" s="6233"/>
      <c r="AJ3" s="6351" t="s">
        <v>2088</v>
      </c>
      <c r="AK3" s="6352"/>
      <c r="AL3" s="6354" t="s">
        <v>627</v>
      </c>
      <c r="AM3" s="6354"/>
      <c r="AN3" s="6353" t="s">
        <v>1565</v>
      </c>
      <c r="AO3" s="6353"/>
      <c r="AP3" s="6352" t="s">
        <v>2099</v>
      </c>
      <c r="AQ3" s="6352"/>
      <c r="AR3" s="6353" t="s">
        <v>28</v>
      </c>
      <c r="AS3" s="6353"/>
      <c r="AT3" s="6352" t="s">
        <v>2136</v>
      </c>
      <c r="AU3" s="6352"/>
      <c r="AV3" s="6356" t="s">
        <v>30</v>
      </c>
      <c r="AW3" s="6356"/>
      <c r="AX3" s="6352" t="s">
        <v>2154</v>
      </c>
      <c r="AY3" s="6352"/>
      <c r="AZ3" s="6354" t="s">
        <v>628</v>
      </c>
      <c r="BA3" s="6354"/>
      <c r="BB3" s="6357" t="s">
        <v>634</v>
      </c>
      <c r="BC3" s="6357"/>
      <c r="BD3" s="6356" t="s">
        <v>1961</v>
      </c>
      <c r="BE3" s="6356"/>
      <c r="BF3"/>
      <c r="BG3"/>
      <c r="BH3"/>
      <c r="BI3"/>
      <c r="BJ3"/>
      <c r="BK3"/>
      <c r="BL3"/>
      <c r="BM3"/>
      <c r="BN3"/>
      <c r="BO3"/>
      <c r="BP3"/>
      <c r="BQ3"/>
      <c r="BR3"/>
      <c r="BS3"/>
      <c r="BT3"/>
      <c r="BU3"/>
      <c r="BV3"/>
      <c r="BW3"/>
      <c r="BX3"/>
      <c r="BY3"/>
      <c r="BZ3"/>
      <c r="CA3"/>
      <c r="CB3"/>
      <c r="CC3"/>
      <c r="CD3"/>
    </row>
    <row r="4" spans="2:93" s="88" customFormat="1" ht="16.2" thickBot="1" x14ac:dyDescent="0.35">
      <c r="B4" s="6348"/>
      <c r="C4" s="6350"/>
      <c r="D4" s="3718" t="s">
        <v>172</v>
      </c>
      <c r="E4" s="3719" t="s">
        <v>173</v>
      </c>
      <c r="F4" s="3719" t="s">
        <v>172</v>
      </c>
      <c r="G4" s="3719" t="s">
        <v>173</v>
      </c>
      <c r="H4" s="3720" t="s">
        <v>172</v>
      </c>
      <c r="I4" s="3720" t="s">
        <v>173</v>
      </c>
      <c r="J4" s="3719" t="s">
        <v>172</v>
      </c>
      <c r="K4" s="3719" t="s">
        <v>173</v>
      </c>
      <c r="L4" s="3721" t="s">
        <v>172</v>
      </c>
      <c r="M4" s="3721" t="s">
        <v>173</v>
      </c>
      <c r="N4" s="3719" t="s">
        <v>172</v>
      </c>
      <c r="O4" s="3719" t="s">
        <v>173</v>
      </c>
      <c r="P4" s="3722" t="s">
        <v>172</v>
      </c>
      <c r="Q4" s="3722" t="s">
        <v>173</v>
      </c>
      <c r="R4" s="3719" t="s">
        <v>172</v>
      </c>
      <c r="S4" s="3719" t="s">
        <v>173</v>
      </c>
      <c r="T4" s="3722" t="s">
        <v>172</v>
      </c>
      <c r="U4" s="3722" t="s">
        <v>173</v>
      </c>
      <c r="V4" s="3719" t="s">
        <v>172</v>
      </c>
      <c r="W4" s="3719" t="s">
        <v>173</v>
      </c>
      <c r="X4" s="3721" t="s">
        <v>172</v>
      </c>
      <c r="Y4" s="3721" t="s">
        <v>173</v>
      </c>
      <c r="Z4" s="3723" t="s">
        <v>172</v>
      </c>
      <c r="AA4" s="3723" t="s">
        <v>173</v>
      </c>
      <c r="AB4" s="3719" t="s">
        <v>172</v>
      </c>
      <c r="AC4" s="3719" t="s">
        <v>173</v>
      </c>
      <c r="AD4" s="3722" t="s">
        <v>172</v>
      </c>
      <c r="AE4" s="3722" t="s">
        <v>173</v>
      </c>
      <c r="AF4" s="3719" t="s">
        <v>172</v>
      </c>
      <c r="AG4" s="3719" t="s">
        <v>173</v>
      </c>
      <c r="AH4" s="3720" t="s">
        <v>172</v>
      </c>
      <c r="AI4" s="1073" t="s">
        <v>173</v>
      </c>
      <c r="AJ4" s="3717" t="s">
        <v>172</v>
      </c>
      <c r="AK4" s="2430" t="s">
        <v>173</v>
      </c>
      <c r="AL4" s="2431" t="s">
        <v>172</v>
      </c>
      <c r="AM4" s="2431" t="s">
        <v>173</v>
      </c>
      <c r="AN4" s="2432" t="s">
        <v>172</v>
      </c>
      <c r="AO4" s="2432" t="s">
        <v>173</v>
      </c>
      <c r="AP4" s="2430" t="s">
        <v>172</v>
      </c>
      <c r="AQ4" s="2430" t="s">
        <v>173</v>
      </c>
      <c r="AR4" s="2432" t="s">
        <v>172</v>
      </c>
      <c r="AS4" s="2432" t="s">
        <v>173</v>
      </c>
      <c r="AT4" s="2430" t="s">
        <v>172</v>
      </c>
      <c r="AU4" s="2430" t="s">
        <v>173</v>
      </c>
      <c r="AV4" s="4118" t="s">
        <v>172</v>
      </c>
      <c r="AW4" s="4118" t="s">
        <v>173</v>
      </c>
      <c r="AX4" s="2430" t="s">
        <v>172</v>
      </c>
      <c r="AY4" s="2430" t="s">
        <v>173</v>
      </c>
      <c r="AZ4" s="2431" t="s">
        <v>172</v>
      </c>
      <c r="BA4" s="2431" t="s">
        <v>173</v>
      </c>
      <c r="BB4" s="2433" t="s">
        <v>172</v>
      </c>
      <c r="BC4" s="2433" t="s">
        <v>173</v>
      </c>
      <c r="BD4" s="4118" t="s">
        <v>172</v>
      </c>
      <c r="BE4" s="4118" t="s">
        <v>173</v>
      </c>
      <c r="BF4"/>
      <c r="BG4"/>
      <c r="BH4"/>
      <c r="BI4"/>
      <c r="BJ4"/>
      <c r="BK4"/>
      <c r="BL4"/>
      <c r="BM4"/>
      <c r="BN4"/>
      <c r="BO4"/>
      <c r="BP4"/>
      <c r="BQ4"/>
      <c r="BR4"/>
      <c r="BS4"/>
      <c r="BT4"/>
      <c r="BU4"/>
      <c r="BV4"/>
      <c r="BW4"/>
      <c r="BX4"/>
      <c r="BY4"/>
      <c r="BZ4"/>
      <c r="CA4"/>
      <c r="CB4"/>
      <c r="CC4"/>
      <c r="CD4"/>
    </row>
    <row r="5" spans="2:93" ht="15.6" x14ac:dyDescent="0.3">
      <c r="B5" s="1555" t="s">
        <v>401</v>
      </c>
      <c r="C5" s="3713" t="s">
        <v>1111</v>
      </c>
      <c r="D5" s="5080">
        <f>+'Maj Techno Summ'!E27</f>
        <v>2.8000000000000003</v>
      </c>
      <c r="E5" s="5081">
        <f>+'Maj Techno Summ'!F27</f>
        <v>2.82</v>
      </c>
      <c r="F5" s="5080">
        <f>+'Maj Techno Summ'!G27</f>
        <v>2.8000000000000003</v>
      </c>
      <c r="G5" s="5081">
        <f>+'Maj Techno Summ'!H27</f>
        <v>2.82</v>
      </c>
      <c r="H5" s="3724">
        <f>+'Maj Techno Summ'!I27</f>
        <v>2.8000000000000003</v>
      </c>
      <c r="I5" s="3724">
        <f>+'Maj Techno Summ'!J27</f>
        <v>2.8199999999999994</v>
      </c>
      <c r="J5" s="5080">
        <f>+'Maj Techno Summ'!K27</f>
        <v>2.8000000000000003</v>
      </c>
      <c r="K5" s="5081">
        <f>+'Maj Techno Summ'!L27</f>
        <v>2.96</v>
      </c>
      <c r="L5" s="3725">
        <f>+'Maj Techno Summ'!M27</f>
        <v>2.8000000000000003</v>
      </c>
      <c r="M5" s="3725">
        <f>+'Maj Techno Summ'!N27</f>
        <v>2.8803630986115043</v>
      </c>
      <c r="N5" s="5080">
        <f>+'Maj Techno Summ'!O27</f>
        <v>2.8000000000000003</v>
      </c>
      <c r="O5" s="5081">
        <f>+'Maj Techno Summ'!P27</f>
        <v>2.9</v>
      </c>
      <c r="P5" s="3724">
        <f>+'Maj Techno Summ'!Q27</f>
        <v>2.8000000000000003</v>
      </c>
      <c r="Q5" s="3724">
        <f>+'Maj Techno Summ'!R27</f>
        <v>2.8864502591952599</v>
      </c>
      <c r="R5" s="5080">
        <f>+'Maj Techno Summ'!S27</f>
        <v>2.8000000000000003</v>
      </c>
      <c r="S5" s="5081">
        <f>+'Maj Techno Summ'!T27</f>
        <v>2.9</v>
      </c>
      <c r="T5" s="3724">
        <f>+'Maj Techno Summ'!U27</f>
        <v>2.8000000000000003</v>
      </c>
      <c r="U5" s="3724">
        <f>+'Maj Techno Summ'!V27</f>
        <v>2.8894994526121192</v>
      </c>
      <c r="V5" s="5080">
        <f>+'Maj Techno Summ'!W27</f>
        <v>2.8000000000000003</v>
      </c>
      <c r="W5" s="5081">
        <f>+'Maj Techno Summ'!X27</f>
        <v>2.9049999999999998</v>
      </c>
      <c r="X5" s="3725">
        <f>+'Maj Techno Summ'!Y27</f>
        <v>2.8000000000000003</v>
      </c>
      <c r="Y5" s="3725">
        <f>+'Maj Techno Summ'!Z27</f>
        <v>2.9015794263163683</v>
      </c>
      <c r="Z5" s="3726">
        <f>+'Maj Techno Summ'!AA27</f>
        <v>2.8000000000000003</v>
      </c>
      <c r="AA5" s="3726">
        <f>+'Maj Techno Summ'!AB27</f>
        <v>2.8922405908770932</v>
      </c>
      <c r="AB5" s="5080">
        <f>+'Maj Techno Summ'!AC27</f>
        <v>2.8000000000000003</v>
      </c>
      <c r="AC5" s="5081">
        <f>+'Maj Techno Summ'!AD27</f>
        <v>2.94</v>
      </c>
      <c r="AD5" s="3724">
        <f>+'Maj Techno Summ'!AE27</f>
        <v>2.8000000000000003</v>
      </c>
      <c r="AE5" s="3724">
        <f>+'Maj Techno Summ'!AF27</f>
        <v>2.8980946933320202</v>
      </c>
      <c r="AF5" s="5080">
        <f>+'Maj Techno Summ'!AG27</f>
        <v>2.8000000000000003</v>
      </c>
      <c r="AG5" s="5081">
        <f>+'Maj Techno Summ'!AH27</f>
        <v>2.86</v>
      </c>
      <c r="AH5" s="3724">
        <f>+'Maj Techno Summ'!AI27</f>
        <v>2.8000000000000003</v>
      </c>
      <c r="AI5" s="3727">
        <f>+'Maj Techno Summ'!AJ27</f>
        <v>2.8929259421072979</v>
      </c>
      <c r="AJ5" s="5080">
        <f>+'Maj Techno Summ'!AK27</f>
        <v>2.8000000000000003</v>
      </c>
      <c r="AK5" s="5081">
        <f>+'Maj Techno Summ'!AL27</f>
        <v>2.87</v>
      </c>
      <c r="AL5" s="2414">
        <f>+'Maj Techno Summ'!AM27</f>
        <v>2.8000000000000003</v>
      </c>
      <c r="AM5" s="2414">
        <f>+'Maj Techno Summ'!AN27</f>
        <v>2.8859377390882455</v>
      </c>
      <c r="AN5" s="2413">
        <f>+'Maj Techno Summ'!AO27</f>
        <v>2.8000000000000003</v>
      </c>
      <c r="AO5" s="2413">
        <f>+'Maj Techno Summ'!AP27</f>
        <v>2.8901359693099993</v>
      </c>
      <c r="AP5" s="5080">
        <f>+'Maj Techno Summ'!AQ27</f>
        <v>2.85</v>
      </c>
      <c r="AQ5" s="5081">
        <f>+'Maj Techno Summ'!AR27</f>
        <v>2.88</v>
      </c>
      <c r="AR5" s="2413">
        <f>+'Maj Techno Summ'!AS27</f>
        <v>2.8000000000000003</v>
      </c>
      <c r="AS5" s="2413">
        <f>+'Maj Techno Summ'!AT27</f>
        <v>2.8890628032309973</v>
      </c>
      <c r="AT5" s="5080">
        <f>+'Maj Techno Summ'!AU27</f>
        <v>2.85</v>
      </c>
      <c r="AU5" s="5081">
        <f>+'Maj Techno Summ'!AV27</f>
        <v>2.86</v>
      </c>
      <c r="AV5" s="2413">
        <f>+'Maj Techno Summ'!AW27</f>
        <v>2.8000000000000003</v>
      </c>
      <c r="AW5" s="2413">
        <f>+'Maj Techno Summ'!AX27</f>
        <v>2.8867638255044459</v>
      </c>
      <c r="AX5" s="5080">
        <f>+'Maj Techno Summ'!AY27</f>
        <v>2.85</v>
      </c>
      <c r="AY5" s="5081">
        <f>+'Maj Techno Summ'!AZ27</f>
        <v>2.87</v>
      </c>
      <c r="AZ5" s="2414">
        <f>+'Maj Techno Summ'!BA27</f>
        <v>2.8000000000000003</v>
      </c>
      <c r="BA5" s="2414">
        <f>+'Maj Techno Summ'!BB27</f>
        <v>2.8706576616643975</v>
      </c>
      <c r="BB5" s="2415">
        <f>+'Maj Techno Summ'!BC27</f>
        <v>2.8000000000000003</v>
      </c>
      <c r="BC5" s="2415">
        <f>+'Maj Techno Summ'!BD27</f>
        <v>2.8782315390123565</v>
      </c>
      <c r="BD5" s="2413">
        <f>+'Maj Techno Summ'!BE27</f>
        <v>2.8000000000000003</v>
      </c>
      <c r="BE5" s="2413">
        <f>+'Maj Techno Summ'!BF27</f>
        <v>2.8851964291112657</v>
      </c>
    </row>
    <row r="6" spans="2:93" ht="15.6" x14ac:dyDescent="0.3">
      <c r="B6" s="1556" t="s">
        <v>365</v>
      </c>
      <c r="C6" s="3714" t="s">
        <v>1112</v>
      </c>
      <c r="D6" s="5082">
        <f>+'Maj Techno Summ'!E28</f>
        <v>2.5099999999999998</v>
      </c>
      <c r="E6" s="5081">
        <f>+'Maj Techno Summ'!F28</f>
        <v>2.68</v>
      </c>
      <c r="F6" s="5082">
        <f>+'Maj Techno Summ'!G28</f>
        <v>2.5099999999999998</v>
      </c>
      <c r="G6" s="5081">
        <f>+'Maj Techno Summ'!H28</f>
        <v>3.08</v>
      </c>
      <c r="H6" s="3724">
        <f>+'Maj Techno Summ'!I28</f>
        <v>2.5099999999999998</v>
      </c>
      <c r="I6" s="3724">
        <f>+'Maj Techno Summ'!J28</f>
        <v>2.8019987110312687</v>
      </c>
      <c r="J6" s="5082">
        <f>+'Maj Techno Summ'!K28</f>
        <v>2.5099999999999998</v>
      </c>
      <c r="K6" s="5083">
        <f>+'Maj Techno Summ'!L28</f>
        <v>2.34</v>
      </c>
      <c r="L6" s="3725">
        <f>+'Maj Techno Summ'!M28</f>
        <v>2.5099999999999998</v>
      </c>
      <c r="M6" s="3725">
        <f>+'Maj Techno Summ'!N28</f>
        <v>2.6028010413714933</v>
      </c>
      <c r="N6" s="5082">
        <f>+'Maj Techno Summ'!O28</f>
        <v>2.5099999999999998</v>
      </c>
      <c r="O6" s="5083">
        <f>+'Maj Techno Summ'!P28</f>
        <v>2.35</v>
      </c>
      <c r="P6" s="3724">
        <f>+'Maj Techno Summ'!Q28</f>
        <v>2.5099999999999998</v>
      </c>
      <c r="Q6" s="3724">
        <f>+'Maj Techno Summ'!R28</f>
        <v>2.5244363083555945</v>
      </c>
      <c r="R6" s="5082">
        <f>+'Maj Techno Summ'!S28</f>
        <v>2.5099999999999998</v>
      </c>
      <c r="S6" s="5083">
        <f>+'Maj Techno Summ'!T28</f>
        <v>2.4</v>
      </c>
      <c r="T6" s="3724">
        <f>+'Maj Techno Summ'!U28</f>
        <v>2.5099999999999998</v>
      </c>
      <c r="U6" s="3724">
        <f>+'Maj Techno Summ'!V28</f>
        <v>2.496433531201109</v>
      </c>
      <c r="V6" s="5082">
        <f>+'Maj Techno Summ'!W28</f>
        <v>2.5099999999999998</v>
      </c>
      <c r="W6" s="5083">
        <f>+'Maj Techno Summ'!X28</f>
        <v>2.4500000000000002</v>
      </c>
      <c r="X6" s="3725">
        <f>+'Maj Techno Summ'!Y28</f>
        <v>2.5099999999999998</v>
      </c>
      <c r="Y6" s="3725">
        <f>+'Maj Techno Summ'!Z28</f>
        <v>2.3981330008034742</v>
      </c>
      <c r="Z6" s="3726">
        <f>+'Maj Techno Summ'!AA28</f>
        <v>2.5099999999999998</v>
      </c>
      <c r="AA6" s="3726">
        <f>+'Maj Techno Summ'!AB28</f>
        <v>2.4982221612431208</v>
      </c>
      <c r="AB6" s="5082">
        <f>+'Maj Techno Summ'!AC28</f>
        <v>2.5099999999999998</v>
      </c>
      <c r="AC6" s="5081">
        <f>+'Maj Techno Summ'!AD28</f>
        <v>2.78</v>
      </c>
      <c r="AD6" s="3724">
        <f>+'Maj Techno Summ'!AE28</f>
        <v>2.5099999999999998</v>
      </c>
      <c r="AE6" s="3724">
        <f>+'Maj Techno Summ'!AF28</f>
        <v>2.5327610378310932</v>
      </c>
      <c r="AF6" s="5082">
        <f>+'Maj Techno Summ'!AG28</f>
        <v>2.5099999999999998</v>
      </c>
      <c r="AG6" s="5081">
        <f>+'Maj Techno Summ'!AH28</f>
        <v>2.41</v>
      </c>
      <c r="AH6" s="3724">
        <f>+'Maj Techno Summ'!AI28</f>
        <v>2.5099999999999998</v>
      </c>
      <c r="AI6" s="3727">
        <f>+'Maj Techno Summ'!AJ28</f>
        <v>2.5061046164469567</v>
      </c>
      <c r="AJ6" s="5082">
        <f>+'Maj Techno Summ'!AK28</f>
        <v>2.5099999999999998</v>
      </c>
      <c r="AK6" s="5081">
        <f>+'Maj Techno Summ'!AL28</f>
        <v>2.4</v>
      </c>
      <c r="AL6" s="2414">
        <f>+'Maj Techno Summ'!AM28</f>
        <v>2.5099999999999998</v>
      </c>
      <c r="AM6" s="2417">
        <f>+'Maj Techno Summ'!AN28</f>
        <v>2.5094618298531417</v>
      </c>
      <c r="AN6" s="2413">
        <f>+'Maj Techno Summ'!AO28</f>
        <v>2.5099999999999998</v>
      </c>
      <c r="AO6" s="2413">
        <f>+'Maj Techno Summ'!AP28</f>
        <v>2.4931922138870384</v>
      </c>
      <c r="AP6" s="5082">
        <f>+'Maj Techno Summ'!AQ28</f>
        <v>2.5099999999999998</v>
      </c>
      <c r="AQ6" s="5081">
        <f>+'Maj Techno Summ'!AR28</f>
        <v>2.4</v>
      </c>
      <c r="AR6" s="2413">
        <f>+'Maj Techno Summ'!AS28</f>
        <v>2.5099999999999998</v>
      </c>
      <c r="AS6" s="2413">
        <f>+'Maj Techno Summ'!AT28</f>
        <v>2.4833253013390677</v>
      </c>
      <c r="AT6" s="5082">
        <f>+'Maj Techno Summ'!AU28</f>
        <v>2.5099999999999998</v>
      </c>
      <c r="AU6" s="5081">
        <f>+'Maj Techno Summ'!AV28</f>
        <v>2.48</v>
      </c>
      <c r="AV6" s="2413">
        <f>+'Maj Techno Summ'!AW28</f>
        <v>2.5099999999999998</v>
      </c>
      <c r="AW6" s="2418">
        <f>+'Maj Techno Summ'!AX28</f>
        <v>2.483062257418224</v>
      </c>
      <c r="AX6" s="5082">
        <f>+'Maj Techno Summ'!AY28</f>
        <v>2.5099999999999998</v>
      </c>
      <c r="AY6" s="5081">
        <f>+'Maj Techno Summ'!AZ28</f>
        <v>2.37</v>
      </c>
      <c r="AZ6" s="2417">
        <f>+'Maj Techno Summ'!BA28</f>
        <v>2.5099999999999998</v>
      </c>
      <c r="BA6" s="2417">
        <f>+'Maj Techno Summ'!BB28</f>
        <v>2.4115605155409652</v>
      </c>
      <c r="BB6" s="2419">
        <f>+'Maj Techno Summ'!BC28</f>
        <v>2.5099999999999998</v>
      </c>
      <c r="BC6" s="2419">
        <f>+'Maj Techno Summ'!BD28</f>
        <v>2.4600872687920416</v>
      </c>
      <c r="BD6" s="2418">
        <f>+'Maj Techno Summ'!BE28</f>
        <v>2.5099999999999998</v>
      </c>
      <c r="BE6" s="2418">
        <f>+'Maj Techno Summ'!BF28</f>
        <v>2.4724910799483122</v>
      </c>
    </row>
    <row r="7" spans="2:93" ht="15.6" x14ac:dyDescent="0.3">
      <c r="B7" s="1556" t="s">
        <v>402</v>
      </c>
      <c r="C7" s="3714" t="s">
        <v>506</v>
      </c>
      <c r="D7" s="5080">
        <f>+'Maj Techno Summ'!E29</f>
        <v>0.5</v>
      </c>
      <c r="E7" s="5081">
        <f>+'Maj Techno Summ'!F29</f>
        <v>0.52</v>
      </c>
      <c r="F7" s="5080">
        <f>+'Maj Techno Summ'!G29</f>
        <v>0.5</v>
      </c>
      <c r="G7" s="5081">
        <f>+'Maj Techno Summ'!H29</f>
        <v>0.56000000000000005</v>
      </c>
      <c r="H7" s="3724">
        <f>+'Maj Techno Summ'!I29</f>
        <v>0.5</v>
      </c>
      <c r="I7" s="3724">
        <f>+'Maj Techno Summ'!J29</f>
        <v>0.53219987110312683</v>
      </c>
      <c r="J7" s="5080">
        <f>+'Maj Techno Summ'!K29</f>
        <v>0.5</v>
      </c>
      <c r="K7" s="5081">
        <f>+'Maj Techno Summ'!L29</f>
        <v>0.5</v>
      </c>
      <c r="L7" s="3725">
        <f>+'Maj Techno Summ'!M29</f>
        <v>0.5</v>
      </c>
      <c r="M7" s="3725">
        <f>+'Maj Techno Summ'!N29</f>
        <v>0.51831641399829975</v>
      </c>
      <c r="N7" s="5080">
        <f>+'Maj Techno Summ'!O29</f>
        <v>0.5</v>
      </c>
      <c r="O7" s="5081">
        <f>+'Maj Techno Summ'!P29</f>
        <v>0.5</v>
      </c>
      <c r="P7" s="3724">
        <f>+'Maj Techno Summ'!Q29</f>
        <v>0.5</v>
      </c>
      <c r="Q7" s="3724">
        <f>+'Maj Techno Summ'!R29</f>
        <v>0.51263858575440358</v>
      </c>
      <c r="R7" s="5080">
        <f>+'Maj Techno Summ'!S29</f>
        <v>0.5</v>
      </c>
      <c r="S7" s="5081">
        <f>+'Maj Techno Summ'!T29</f>
        <v>0.5</v>
      </c>
      <c r="T7" s="3724">
        <f>+'Maj Techno Summ'!U29</f>
        <v>0.5</v>
      </c>
      <c r="U7" s="3724">
        <f>+'Maj Techno Summ'!V29</f>
        <v>0.50979443596319429</v>
      </c>
      <c r="V7" s="5080">
        <f>+'Maj Techno Summ'!W29</f>
        <v>0.5</v>
      </c>
      <c r="W7" s="5081">
        <f>+'Maj Techno Summ'!X29</f>
        <v>0.5</v>
      </c>
      <c r="X7" s="3725">
        <f>+'Maj Techno Summ'!Y29</f>
        <v>0.5</v>
      </c>
      <c r="Y7" s="3725">
        <f>+'Maj Techno Summ'!Z29</f>
        <v>0.5</v>
      </c>
      <c r="Z7" s="3726">
        <f>+'Maj Techno Summ'!AA29</f>
        <v>0.5</v>
      </c>
      <c r="AA7" s="3726">
        <f>+'Maj Techno Summ'!AB29</f>
        <v>0.50806237434429058</v>
      </c>
      <c r="AB7" s="5080">
        <f>+'Maj Techno Summ'!AC29</f>
        <v>0.5</v>
      </c>
      <c r="AC7" s="5081">
        <f>+'Maj Techno Summ'!AD29</f>
        <v>0.5</v>
      </c>
      <c r="AD7" s="3724">
        <f>+'Maj Techno Summ'!AE29</f>
        <v>0.5</v>
      </c>
      <c r="AE7" s="3724">
        <f>+'Maj Techno Summ'!AF29</f>
        <v>0.50707413001069779</v>
      </c>
      <c r="AF7" s="5080">
        <f>+'Maj Techno Summ'!AG29</f>
        <v>0.5</v>
      </c>
      <c r="AG7" s="5081">
        <f>+'Maj Techno Summ'!AH29</f>
        <v>0.46</v>
      </c>
      <c r="AH7" s="3724">
        <f>+'Maj Techno Summ'!AI29</f>
        <v>0.5</v>
      </c>
      <c r="AI7" s="3727">
        <f>+'Maj Techno Summ'!AJ29</f>
        <v>0.50068703391243374</v>
      </c>
      <c r="AJ7" s="5080">
        <f>+'Maj Techno Summ'!AK29</f>
        <v>0.5</v>
      </c>
      <c r="AK7" s="5081">
        <f>+'Maj Techno Summ'!AL29</f>
        <v>0.49</v>
      </c>
      <c r="AL7" s="2414">
        <f>+'Maj Techno Summ'!AM29</f>
        <v>0.5</v>
      </c>
      <c r="AM7" s="2414">
        <f>+'Maj Techno Summ'!AN29</f>
        <v>0.48208007551300947</v>
      </c>
      <c r="AN7" s="2413">
        <f>+'Maj Techno Summ'!AO29</f>
        <v>0.5</v>
      </c>
      <c r="AO7" s="2413">
        <f>+'Maj Techno Summ'!AP29</f>
        <v>0.49938647519340917</v>
      </c>
      <c r="AP7" s="5080">
        <f>+'Maj Techno Summ'!AQ29</f>
        <v>0.5</v>
      </c>
      <c r="AQ7" s="5081">
        <f>+'Maj Techno Summ'!AR29</f>
        <v>0.5</v>
      </c>
      <c r="AR7" s="2413">
        <f>+'Maj Techno Summ'!AS29</f>
        <v>0.5</v>
      </c>
      <c r="AS7" s="2413">
        <f>+'Maj Techno Summ'!AT29</f>
        <v>0.49945143336276848</v>
      </c>
      <c r="AT7" s="5080">
        <f>+'Maj Techno Summ'!AU29</f>
        <v>0.5</v>
      </c>
      <c r="AU7" s="5081">
        <f>+'Maj Techno Summ'!AV29</f>
        <v>0.52</v>
      </c>
      <c r="AV7" s="2413">
        <f>+'Maj Techno Summ'!AW29</f>
        <v>0.5</v>
      </c>
      <c r="AW7" s="2413">
        <f>+'Maj Techno Summ'!AX29</f>
        <v>0.50107690275180405</v>
      </c>
      <c r="AX7" s="5080">
        <f>+'Maj Techno Summ'!AY29</f>
        <v>0.5</v>
      </c>
      <c r="AY7" s="5081">
        <f>+'Maj Techno Summ'!AZ29</f>
        <v>0.5</v>
      </c>
      <c r="AZ7" s="2414">
        <f>+'Maj Techno Summ'!BA29</f>
        <v>0.5</v>
      </c>
      <c r="BA7" s="2414">
        <f>+'Maj Techno Summ'!BB29</f>
        <v>0.50565536150682489</v>
      </c>
      <c r="BB7" s="2415">
        <f>+'Maj Techno Summ'!BC29</f>
        <v>0.5</v>
      </c>
      <c r="BC7" s="2415">
        <f>+'Maj Techno Summ'!BD29</f>
        <v>0.49396979738255292</v>
      </c>
      <c r="BD7" s="2413">
        <f>+'Maj Techno Summ'!BE29</f>
        <v>0.5</v>
      </c>
      <c r="BE7" s="2413">
        <f>+'Maj Techno Summ'!BF29</f>
        <v>0.50097621371226853</v>
      </c>
    </row>
    <row r="8" spans="2:93" ht="18.75" customHeight="1" x14ac:dyDescent="0.3">
      <c r="B8" s="1556" t="s">
        <v>573</v>
      </c>
      <c r="C8" s="3714" t="s">
        <v>351</v>
      </c>
      <c r="D8" s="1461">
        <f>+'B-FCE'!E18</f>
        <v>74256</v>
      </c>
      <c r="E8" s="3709">
        <f>+'B-FCE'!F18</f>
        <v>77508.948299999975</v>
      </c>
      <c r="F8" s="1461">
        <f>+'B-FCE'!G18</f>
        <v>66759</v>
      </c>
      <c r="G8" s="3709">
        <f>+'B-FCE'!H18</f>
        <v>39162.809200000003</v>
      </c>
      <c r="H8" s="5078">
        <f>+'B-FCE'!I18</f>
        <v>141015</v>
      </c>
      <c r="I8" s="5078">
        <f>+'B-FCE'!J18</f>
        <v>116671.75749999998</v>
      </c>
      <c r="J8" s="1461">
        <f>+'B-FCE'!K18</f>
        <v>94248</v>
      </c>
      <c r="K8" s="3709">
        <f>+'B-FCE'!L18</f>
        <v>82876.476500000019</v>
      </c>
      <c r="L8" s="3712">
        <f>+'B-FCE'!M18</f>
        <v>235263</v>
      </c>
      <c r="M8" s="3712">
        <f>+'B-FCE'!N18</f>
        <v>199548.234</v>
      </c>
      <c r="N8" s="1461">
        <f>+'B-FCE'!O18</f>
        <v>95370</v>
      </c>
      <c r="O8" s="3709">
        <f>+'B-FCE'!P18</f>
        <v>93382.704500000007</v>
      </c>
      <c r="P8" s="5078">
        <f>+'B-FCE'!Q18</f>
        <v>330633</v>
      </c>
      <c r="Q8" s="5078">
        <f>+'B-FCE'!R18</f>
        <v>292930.93849999999</v>
      </c>
      <c r="R8" s="1461">
        <f>+'B-FCE'!S18</f>
        <v>95370</v>
      </c>
      <c r="S8" s="3709">
        <f>+'B-FCE'!T18</f>
        <v>91267.827300000004</v>
      </c>
      <c r="T8" s="5078">
        <f>+'B-FCE'!U18</f>
        <v>426003</v>
      </c>
      <c r="U8" s="5078">
        <f>+'B-FCE'!V18</f>
        <v>384198.76579999999</v>
      </c>
      <c r="V8" s="1461">
        <f>+'B-FCE'!W18</f>
        <v>52360</v>
      </c>
      <c r="W8" s="3709">
        <f>+'B-FCE'!X18</f>
        <v>85644.341079999984</v>
      </c>
      <c r="X8" s="3712">
        <f>+'B-FCE'!Y18</f>
        <v>243100</v>
      </c>
      <c r="Y8" s="3712">
        <f>+'B-FCE'!Z18</f>
        <v>270294.87287999998</v>
      </c>
      <c r="Z8" s="5079">
        <f>+'B-FCE'!AA18</f>
        <v>478363</v>
      </c>
      <c r="AA8" s="5079">
        <f>+'B-FCE'!AB18</f>
        <v>469843.10687999998</v>
      </c>
      <c r="AB8" s="1461">
        <f>+'B-FCE'!AC18</f>
        <v>97240</v>
      </c>
      <c r="AC8" s="3709">
        <f>+'B-FCE'!AD18</f>
        <v>78915.736300000004</v>
      </c>
      <c r="AD8" s="5078">
        <f>+'B-FCE'!AE18</f>
        <v>575603</v>
      </c>
      <c r="AE8" s="5078">
        <f>+'B-FCE'!AF18</f>
        <v>548758.84317999997</v>
      </c>
      <c r="AF8" s="1461">
        <f>+'B-FCE'!AG18</f>
        <v>94248</v>
      </c>
      <c r="AG8" s="3709">
        <f>+'B-FCE'!AH18</f>
        <v>94911.346619999982</v>
      </c>
      <c r="AH8" s="5078">
        <f>+'B-FCE'!AI18</f>
        <v>669851</v>
      </c>
      <c r="AI8" s="1074">
        <f>+'B-FCE'!AJ18</f>
        <v>643670.18979999993</v>
      </c>
      <c r="AJ8" s="1461">
        <f>+'B-FCE'!AK18</f>
        <v>97240</v>
      </c>
      <c r="AK8" s="3709">
        <f>+'B-FCE'!AL18</f>
        <v>97411.773899999986</v>
      </c>
      <c r="AL8" s="2351">
        <f>+'B-FCE'!AM18</f>
        <v>288728</v>
      </c>
      <c r="AM8" s="2351">
        <f>+'B-FCE'!AN18</f>
        <v>271238.85681999999</v>
      </c>
      <c r="AN8" s="2550">
        <f>+'B-FCE'!AO18</f>
        <v>767091</v>
      </c>
      <c r="AO8" s="2550">
        <f>+'B-FCE'!AP18</f>
        <v>741081.96369999996</v>
      </c>
      <c r="AP8" s="1461">
        <f>+'B-FCE'!AQ18</f>
        <v>98736</v>
      </c>
      <c r="AQ8" s="3709">
        <f>+'B-FCE'!AR18</f>
        <v>94120.661200000002</v>
      </c>
      <c r="AR8" s="2550">
        <f>+'B-FCE'!AS18</f>
        <v>865827</v>
      </c>
      <c r="AS8" s="2550">
        <f>+'B-FCE'!AT18</f>
        <v>835202.62489999994</v>
      </c>
      <c r="AT8" s="1461">
        <f>+'B-FCE'!AU18</f>
        <v>88264</v>
      </c>
      <c r="AU8" s="3709">
        <f>+'B-FCE'!AV18</f>
        <v>71994.837500000009</v>
      </c>
      <c r="AV8" s="2550">
        <f>+'B-FCE'!AW18</f>
        <v>954091</v>
      </c>
      <c r="AW8" s="2550">
        <f>+'B-FCE'!AX18</f>
        <v>907197.46239999996</v>
      </c>
      <c r="AX8" s="1461">
        <f>+'B-FCE'!AY18</f>
        <v>98736</v>
      </c>
      <c r="AY8" s="3709">
        <f>+'B-FCE'!AZ18</f>
        <v>86992.666500000036</v>
      </c>
      <c r="AZ8" s="2351">
        <f>+'B-FCE'!BA18</f>
        <v>285736</v>
      </c>
      <c r="BA8" s="2351">
        <f>+'B-FCE'!BB18</f>
        <v>253108.16520000005</v>
      </c>
      <c r="BB8" s="2352">
        <f>+'B-FCE'!BC18</f>
        <v>574464</v>
      </c>
      <c r="BC8" s="2352">
        <f>+'B-FCE'!BD18</f>
        <v>524347.02202000003</v>
      </c>
      <c r="BD8" s="2550">
        <f>+'B-FCE'!BE18</f>
        <v>1052827</v>
      </c>
      <c r="BE8" s="2550">
        <f>+'B-FCE'!BF18</f>
        <v>994190.12890000001</v>
      </c>
    </row>
    <row r="9" spans="2:93" ht="15.6" x14ac:dyDescent="0.3">
      <c r="B9" s="1557" t="s">
        <v>576</v>
      </c>
      <c r="C9" s="3714" t="s">
        <v>351</v>
      </c>
      <c r="D9" s="1461">
        <f>+'Maj Production Summ'!E28</f>
        <v>72770.880000000005</v>
      </c>
      <c r="E9" s="3709">
        <f>+'Maj Production Summ'!F28</f>
        <v>73016.796365999995</v>
      </c>
      <c r="F9" s="1461">
        <f>+'Maj Production Summ'!G28</f>
        <v>63421.05</v>
      </c>
      <c r="G9" s="3709">
        <f>+'Maj Production Summ'!H28</f>
        <v>34000.934215000001</v>
      </c>
      <c r="H9" s="5078">
        <f>+'Maj Production Summ'!I28</f>
        <v>136191.93</v>
      </c>
      <c r="I9" s="5078">
        <f>+'Maj Production Summ'!J28</f>
        <v>107017.730581</v>
      </c>
      <c r="J9" s="1461">
        <f>+'Maj Production Summ'!K28</f>
        <v>92363.04</v>
      </c>
      <c r="K9" s="3709">
        <f>+'Maj Production Summ'!L28</f>
        <v>72846.055192</v>
      </c>
      <c r="L9" s="3712">
        <f>+'Maj Production Summ'!M28</f>
        <v>228554.96999999997</v>
      </c>
      <c r="M9" s="3712">
        <f>+'Maj Production Summ'!N28</f>
        <v>179863.78577299998</v>
      </c>
      <c r="N9" s="1461">
        <f>+'Maj Production Summ'!O28</f>
        <v>93462.6</v>
      </c>
      <c r="O9" s="3709">
        <f>+'Maj Production Summ'!P28</f>
        <v>75682.969600000011</v>
      </c>
      <c r="P9" s="5078">
        <f>+'Maj Production Summ'!Q28</f>
        <v>322017.56999999995</v>
      </c>
      <c r="Q9" s="5078">
        <f>+'Maj Production Summ'!R28</f>
        <v>255546.75537299999</v>
      </c>
      <c r="R9" s="1461">
        <f>+'Maj Production Summ'!S28</f>
        <v>93462.6</v>
      </c>
      <c r="S9" s="3709">
        <f>+'Maj Production Summ'!T28</f>
        <v>80832.023354799981</v>
      </c>
      <c r="T9" s="5078">
        <f>+'Maj Production Summ'!U28</f>
        <v>415480.16999999993</v>
      </c>
      <c r="U9" s="5078">
        <f>+'Maj Production Summ'!V28</f>
        <v>336378.7787278</v>
      </c>
      <c r="V9" s="1461">
        <f>+'Maj Production Summ'!W28</f>
        <v>51312.800000000003</v>
      </c>
      <c r="W9" s="3709">
        <f>+'Maj Production Summ'!X28</f>
        <v>79584.048650599972</v>
      </c>
      <c r="X9" s="3712">
        <f>+'Maj Production Summ'!Y28</f>
        <v>238238</v>
      </c>
      <c r="Y9" s="3712">
        <f>+'Maj Production Summ'!Z28</f>
        <v>236099.04160539998</v>
      </c>
      <c r="Z9" s="5079">
        <f>+'Maj Production Summ'!AA28</f>
        <v>466792.97</v>
      </c>
      <c r="AA9" s="5079">
        <f>+'Maj Production Summ'!AB28</f>
        <v>415962.82737839996</v>
      </c>
      <c r="AB9" s="1461">
        <f>+'Maj Production Summ'!AC28</f>
        <v>95295.2</v>
      </c>
      <c r="AC9" s="3709">
        <f>+'Maj Production Summ'!AD28</f>
        <v>63840.921898000001</v>
      </c>
      <c r="AD9" s="5078">
        <f>+'Maj Production Summ'!AE28</f>
        <v>562088.16999999993</v>
      </c>
      <c r="AE9" s="5078">
        <f>+'Maj Production Summ'!AF28</f>
        <v>479803.74927639996</v>
      </c>
      <c r="AF9" s="1461">
        <f>+'Maj Production Summ'!AG28</f>
        <v>92363.04</v>
      </c>
      <c r="AG9" s="3709">
        <f>+'Maj Production Summ'!AH28</f>
        <v>88321.763468000005</v>
      </c>
      <c r="AH9" s="5078">
        <f>+'Maj Production Summ'!AI28</f>
        <v>654451.21</v>
      </c>
      <c r="AI9" s="1074">
        <f>+'Maj Production Summ'!AJ28</f>
        <v>568125.51274439995</v>
      </c>
      <c r="AJ9" s="1461">
        <f>+'Maj Production Summ'!AK28</f>
        <v>95295.2</v>
      </c>
      <c r="AK9" s="3709">
        <f>+'Maj Production Summ'!AL28</f>
        <v>84104.854628999979</v>
      </c>
      <c r="AL9" s="2351">
        <f>+'Maj Production Summ'!AM28</f>
        <v>282953.44</v>
      </c>
      <c r="AM9" s="2351">
        <f>+'Maj Production Summ'!AN28</f>
        <v>236267.53999499997</v>
      </c>
      <c r="AN9" s="2550">
        <f>+'Maj Production Summ'!AO28</f>
        <v>749746.40999999992</v>
      </c>
      <c r="AO9" s="2550">
        <f>+'Maj Production Summ'!AP28</f>
        <v>652230.3673733999</v>
      </c>
      <c r="AP9" s="1461">
        <f>+'Maj Production Summ'!AQ28</f>
        <v>96761.279999999999</v>
      </c>
      <c r="AQ9" s="3709">
        <f>+'Maj Production Summ'!AR28</f>
        <v>81040.671480000005</v>
      </c>
      <c r="AR9" s="2550">
        <f>+'Maj Production Summ'!AS28</f>
        <v>846507.69</v>
      </c>
      <c r="AS9" s="2550">
        <f>+'Maj Production Summ'!AT28</f>
        <v>733271.03885339992</v>
      </c>
      <c r="AT9" s="1461">
        <f>+'Maj Production Summ'!AU28</f>
        <v>86498.72</v>
      </c>
      <c r="AU9" s="3709">
        <f>+'Maj Production Summ'!AV28</f>
        <v>67236.848248000024</v>
      </c>
      <c r="AV9" s="2550">
        <f>+'Maj Production Summ'!AW28</f>
        <v>933006.40999999992</v>
      </c>
      <c r="AW9" s="2550">
        <f>+'Maj Production Summ'!AX28</f>
        <v>800507.88710139995</v>
      </c>
      <c r="AX9" s="1461">
        <f>+'Maj Production Summ'!AY28</f>
        <v>96761.279999999999</v>
      </c>
      <c r="AY9" s="3709">
        <f>+'Maj Production Summ'!AZ28</f>
        <v>71373.051535000021</v>
      </c>
      <c r="AZ9" s="2351">
        <f>+'Maj Production Summ'!BA28</f>
        <v>280021.28000000003</v>
      </c>
      <c r="BA9" s="2351">
        <f>+'Maj Production Summ'!BB28</f>
        <v>219650.57126300008</v>
      </c>
      <c r="BB9" s="2352">
        <f>+'Maj Production Summ'!BC28</f>
        <v>562974.71999999997</v>
      </c>
      <c r="BC9" s="2352">
        <f>+'Maj Production Summ'!BD28</f>
        <v>455918.11125800002</v>
      </c>
      <c r="BD9" s="2550">
        <f>+'Maj Production Summ'!BE28</f>
        <v>1029767.69</v>
      </c>
      <c r="BE9" s="2550">
        <f>+'Maj Production Summ'!BF28</f>
        <v>871880.93863639992</v>
      </c>
    </row>
    <row r="10" spans="2:93" ht="15.6" x14ac:dyDescent="0.3">
      <c r="B10" s="1557" t="s">
        <v>578</v>
      </c>
      <c r="C10" s="3714" t="s">
        <v>351</v>
      </c>
      <c r="D10" s="1461">
        <v>0</v>
      </c>
      <c r="E10" s="3709">
        <f>+'Direct sales IPT details'!E111</f>
        <v>10746.62</v>
      </c>
      <c r="F10" s="1461">
        <v>0</v>
      </c>
      <c r="G10" s="3709">
        <f>+'Direct sales IPT details'!G111</f>
        <v>12385.93</v>
      </c>
      <c r="H10" s="5078">
        <f t="shared" ref="H10" si="0">+D10+F10</f>
        <v>0</v>
      </c>
      <c r="I10" s="5078">
        <f t="shared" ref="I10" si="1">+E10+G10</f>
        <v>23132.550000000003</v>
      </c>
      <c r="J10" s="1461">
        <v>0</v>
      </c>
      <c r="K10" s="3709">
        <f>+'Direct sales IPT details'!K111</f>
        <v>10995.34</v>
      </c>
      <c r="L10" s="3712">
        <f t="shared" ref="L10:M13" si="2">+D10+F10+J10</f>
        <v>0</v>
      </c>
      <c r="M10" s="3712">
        <f t="shared" si="2"/>
        <v>34127.89</v>
      </c>
      <c r="N10" s="1461">
        <v>0</v>
      </c>
      <c r="O10" s="3709">
        <f>+'Direct sales IPT details'!O111</f>
        <v>7669.560000000004</v>
      </c>
      <c r="P10" s="5078">
        <f t="shared" ref="P10:P13" si="3">+L10+N10</f>
        <v>0</v>
      </c>
      <c r="Q10" s="5078">
        <f t="shared" ref="Q10:Q13" si="4">+M10+O10</f>
        <v>41797.450000000004</v>
      </c>
      <c r="R10" s="1461">
        <v>0</v>
      </c>
      <c r="S10" s="3709">
        <f>+'Direct sales IPT details'!S111</f>
        <v>9528.32</v>
      </c>
      <c r="T10" s="5078">
        <f t="shared" ref="T10:T13" si="5">+P10+R10</f>
        <v>0</v>
      </c>
      <c r="U10" s="5078">
        <f t="shared" ref="U10:U13" si="6">+Q10+S10</f>
        <v>51325.770000000004</v>
      </c>
      <c r="V10" s="1461">
        <v>0</v>
      </c>
      <c r="W10" s="3709">
        <f>+'Direct sales IPT details'!W111</f>
        <v>1893.0800000000002</v>
      </c>
      <c r="X10" s="3712">
        <f t="shared" ref="X10" si="7">+P10+R10+V10</f>
        <v>0</v>
      </c>
      <c r="Y10" s="3712">
        <f>+O10+S10+W10</f>
        <v>19090.960000000006</v>
      </c>
      <c r="Z10" s="5079">
        <f>+X10+L10</f>
        <v>0</v>
      </c>
      <c r="AA10" s="5079">
        <f>+Y10+M10</f>
        <v>53218.850000000006</v>
      </c>
      <c r="AB10" s="1461">
        <v>0</v>
      </c>
      <c r="AC10" s="3709">
        <f>+'Direct sales IPT details'!AC111</f>
        <v>0</v>
      </c>
      <c r="AD10" s="5078">
        <f t="shared" ref="AD10:AD13" si="8">+Z10+AB10</f>
        <v>0</v>
      </c>
      <c r="AE10" s="5078">
        <f t="shared" ref="AE10:AE13" si="9">+AA10+AC10</f>
        <v>53218.850000000006</v>
      </c>
      <c r="AF10" s="1461">
        <v>0</v>
      </c>
      <c r="AG10" s="3709">
        <f>+'Direct sales IPT details'!AG111</f>
        <v>9014.26</v>
      </c>
      <c r="AH10" s="5078">
        <f t="shared" ref="AH10:AH13" si="10">+AD10+AF10</f>
        <v>0</v>
      </c>
      <c r="AI10" s="1074">
        <f t="shared" ref="AI10:AI13" si="11">+AE10+AG10</f>
        <v>62233.110000000008</v>
      </c>
      <c r="AJ10" s="1461">
        <v>0</v>
      </c>
      <c r="AK10" s="3709">
        <f>+'Direct sales IPT details'!AK111</f>
        <v>6343.67</v>
      </c>
      <c r="AL10" s="2351">
        <f t="shared" ref="AL10" si="12">+AD10+AF10+AJ10</f>
        <v>0</v>
      </c>
      <c r="AM10" s="2351">
        <f>+AC10+AG10+AK10</f>
        <v>15357.93</v>
      </c>
      <c r="AN10" s="2550">
        <f t="shared" ref="AN10:AN13" si="13">+AH10+AJ10</f>
        <v>0</v>
      </c>
      <c r="AO10" s="2550">
        <f t="shared" ref="AO10:AO13" si="14">+AI10+AK10</f>
        <v>68576.780000000013</v>
      </c>
      <c r="AP10" s="1461">
        <v>0</v>
      </c>
      <c r="AQ10" s="3709">
        <f>+'Direct sales IPT details'!AQ111</f>
        <v>3157.06</v>
      </c>
      <c r="AR10" s="2550">
        <f t="shared" ref="AR10:AR13" si="15">+AN10+AP10</f>
        <v>0</v>
      </c>
      <c r="AS10" s="2550">
        <f t="shared" ref="AS10:AS13" si="16">+AO10+AQ10</f>
        <v>71733.840000000011</v>
      </c>
      <c r="AT10" s="1461">
        <v>0</v>
      </c>
      <c r="AU10" s="3709">
        <f>+'Direct sales IPT details'!AU111</f>
        <v>13556.819999999998</v>
      </c>
      <c r="AV10" s="2550">
        <f t="shared" ref="AV10:AV13" si="17">+AR10+AT10</f>
        <v>0</v>
      </c>
      <c r="AW10" s="2550">
        <f t="shared" ref="AW10:AW13" si="18">+AS10+AU10</f>
        <v>85290.66</v>
      </c>
      <c r="AX10" s="1461">
        <v>0</v>
      </c>
      <c r="AY10" s="3709">
        <f>+'Direct sales IPT details'!AY111</f>
        <v>7994.9599999999982</v>
      </c>
      <c r="AZ10" s="2351">
        <f>+'Direct sales IPT details'!AZ111</f>
        <v>0</v>
      </c>
      <c r="BA10" s="2351">
        <f>+'Direct sales IPT details'!BA111</f>
        <v>24708.839999999997</v>
      </c>
      <c r="BB10" s="2352">
        <f>+'Direct sales IPT details'!BB111</f>
        <v>0</v>
      </c>
      <c r="BC10" s="2352">
        <f>+'Direct sales IPT details'!BC111</f>
        <v>40066.769999999997</v>
      </c>
      <c r="BD10" s="2550">
        <f>+'Direct sales IPT details'!BD111</f>
        <v>0</v>
      </c>
      <c r="BE10" s="2550">
        <f>+'Direct sales IPT details'!BE111</f>
        <v>93285.62</v>
      </c>
    </row>
    <row r="11" spans="2:93" ht="15.6" x14ac:dyDescent="0.3">
      <c r="B11" s="4847" t="s">
        <v>2113</v>
      </c>
      <c r="C11" s="4848"/>
      <c r="D11" s="1461">
        <v>0</v>
      </c>
      <c r="E11" s="3709">
        <f>+'Direct sales IPT details'!E112</f>
        <v>0</v>
      </c>
      <c r="F11" s="1461">
        <v>0</v>
      </c>
      <c r="G11" s="3709">
        <f>+'Direct sales IPT details'!G112</f>
        <v>0</v>
      </c>
      <c r="H11" s="4846"/>
      <c r="I11" s="4846"/>
      <c r="J11" s="5084"/>
      <c r="K11" s="4849"/>
      <c r="L11" s="4850"/>
      <c r="M11" s="4850"/>
      <c r="N11" s="5084"/>
      <c r="O11" s="4849"/>
      <c r="P11" s="4846"/>
      <c r="Q11" s="4846"/>
      <c r="R11" s="5084"/>
      <c r="S11" s="4849"/>
      <c r="T11" s="4846"/>
      <c r="U11" s="4846"/>
      <c r="V11" s="5084"/>
      <c r="W11" s="4849"/>
      <c r="X11" s="4850"/>
      <c r="Y11" s="4850"/>
      <c r="Z11" s="4851"/>
      <c r="AA11" s="4851"/>
      <c r="AB11" s="5084"/>
      <c r="AC11" s="4849"/>
      <c r="AD11" s="4846"/>
      <c r="AE11" s="4846"/>
      <c r="AF11" s="5084"/>
      <c r="AG11" s="4849"/>
      <c r="AH11" s="4846"/>
      <c r="AI11" s="4852"/>
      <c r="AJ11" s="5084"/>
      <c r="AK11" s="4849"/>
      <c r="AL11" s="2351">
        <f t="shared" ref="AL11" si="19">+AD11+AF11+AJ11</f>
        <v>0</v>
      </c>
      <c r="AM11" s="2351">
        <f>+AC11+AG11+AK11</f>
        <v>0</v>
      </c>
      <c r="AN11" s="2550">
        <f t="shared" ref="AN11" si="20">+AH11+AJ11</f>
        <v>0</v>
      </c>
      <c r="AO11" s="2550">
        <f t="shared" ref="AO11" si="21">+AI11+AK11</f>
        <v>0</v>
      </c>
      <c r="AP11" s="1461">
        <v>0</v>
      </c>
      <c r="AQ11" s="3709">
        <f>+'Direct sales IPT details'!AQ112</f>
        <v>36.299999999999997</v>
      </c>
      <c r="AR11" s="2550">
        <f t="shared" ref="AR11" si="22">+AN11+AP11</f>
        <v>0</v>
      </c>
      <c r="AS11" s="2550">
        <f t="shared" ref="AS11" si="23">+AO11+AQ11</f>
        <v>36.299999999999997</v>
      </c>
      <c r="AT11" s="1461">
        <v>0</v>
      </c>
      <c r="AU11" s="3709">
        <f>+'Direct sales IPT details'!AU112</f>
        <v>0</v>
      </c>
      <c r="AV11" s="2550">
        <f t="shared" ref="AV11" si="24">+AR11+AT11</f>
        <v>0</v>
      </c>
      <c r="AW11" s="2550">
        <f t="shared" ref="AW11" si="25">+AS11+AU11</f>
        <v>36.299999999999997</v>
      </c>
      <c r="AX11" s="1461">
        <v>0</v>
      </c>
      <c r="AY11" s="3709">
        <f>+'Direct sales IPT details'!AY112</f>
        <v>0</v>
      </c>
      <c r="AZ11" s="2351">
        <f>+'Direct sales IPT details'!AZ112</f>
        <v>0</v>
      </c>
      <c r="BA11" s="2351">
        <f>+'Direct sales IPT details'!BA112</f>
        <v>36.299999999999997</v>
      </c>
      <c r="BB11" s="2352">
        <f>+'Direct sales IPT details'!BB112</f>
        <v>0</v>
      </c>
      <c r="BC11" s="2352">
        <f>+'Direct sales IPT details'!BC112</f>
        <v>36.299999999999997</v>
      </c>
      <c r="BD11" s="2550">
        <f>+'Direct sales IPT details'!BD112</f>
        <v>0</v>
      </c>
      <c r="BE11" s="2550">
        <f>+'Direct sales IPT details'!BE112</f>
        <v>36.299999999999997</v>
      </c>
    </row>
    <row r="12" spans="2:93" ht="15.6" x14ac:dyDescent="0.3">
      <c r="B12" s="1557" t="s">
        <v>1152</v>
      </c>
      <c r="C12" s="3714" t="s">
        <v>351</v>
      </c>
      <c r="D12" s="1461">
        <f>+'Maj Production Summ'!E28</f>
        <v>72770.880000000005</v>
      </c>
      <c r="E12" s="3709">
        <f>+'Direct sales IPT details'!E113</f>
        <v>69244.98</v>
      </c>
      <c r="F12" s="1461">
        <f>+'Maj Production Summ'!G28</f>
        <v>63421.05</v>
      </c>
      <c r="G12" s="3709">
        <f>+'Direct sales IPT details'!G113</f>
        <v>34890.6</v>
      </c>
      <c r="H12" s="5078">
        <f t="shared" ref="H12:I13" si="26">+D12+F12</f>
        <v>136191.93</v>
      </c>
      <c r="I12" s="5078">
        <f t="shared" si="26"/>
        <v>104135.57999999999</v>
      </c>
      <c r="J12" s="1461">
        <f>+'Maj Production Summ'!K28</f>
        <v>92363.04</v>
      </c>
      <c r="K12" s="3709">
        <f>+'Direct sales IPT details'!K113</f>
        <v>77025.87</v>
      </c>
      <c r="L12" s="3712">
        <f t="shared" si="2"/>
        <v>228554.96999999997</v>
      </c>
      <c r="M12" s="3712">
        <f t="shared" si="2"/>
        <v>181161.44999999998</v>
      </c>
      <c r="N12" s="1461">
        <f>+'Maj Production Summ'!O28</f>
        <v>93462.6</v>
      </c>
      <c r="O12" s="3709">
        <f>+'Direct sales IPT details'!O113</f>
        <v>101956.98999999999</v>
      </c>
      <c r="P12" s="5078">
        <f t="shared" si="3"/>
        <v>322017.56999999995</v>
      </c>
      <c r="Q12" s="5078">
        <f t="shared" si="4"/>
        <v>283118.43999999994</v>
      </c>
      <c r="R12" s="1461">
        <f>+'Maj Production Summ'!S28</f>
        <v>93462.6</v>
      </c>
      <c r="S12" s="3709">
        <f>+'Direct sales IPT details'!S113</f>
        <v>82745.340000000011</v>
      </c>
      <c r="T12" s="5078">
        <f t="shared" si="5"/>
        <v>415480.16999999993</v>
      </c>
      <c r="U12" s="5078">
        <f t="shared" si="6"/>
        <v>365863.77999999997</v>
      </c>
      <c r="V12" s="1461">
        <f>+'Maj Production Summ'!W28</f>
        <v>51312.800000000003</v>
      </c>
      <c r="W12" s="3709">
        <f>+'Direct sales IPT details'!W113</f>
        <v>87643.580000000016</v>
      </c>
      <c r="X12" s="3712">
        <f>N12+R12+V12</f>
        <v>238238</v>
      </c>
      <c r="Y12" s="3712">
        <f>+O12+S12+W12</f>
        <v>272345.91000000003</v>
      </c>
      <c r="Z12" s="5079">
        <f>+X12+L12</f>
        <v>466792.97</v>
      </c>
      <c r="AA12" s="5079">
        <f>+Y12+M12</f>
        <v>453507.36</v>
      </c>
      <c r="AB12" s="1461">
        <f>+'Maj Production Summ'!AC28</f>
        <v>95295.2</v>
      </c>
      <c r="AC12" s="3709">
        <f>+'Direct sales IPT details'!AC113</f>
        <v>66279.149999999994</v>
      </c>
      <c r="AD12" s="5078">
        <f t="shared" si="8"/>
        <v>562088.16999999993</v>
      </c>
      <c r="AE12" s="5078">
        <f t="shared" si="9"/>
        <v>519786.51</v>
      </c>
      <c r="AF12" s="1461">
        <f>+'Maj Production Summ'!AG28</f>
        <v>92363.04</v>
      </c>
      <c r="AG12" s="3709">
        <f>+'Direct sales IPT details'!AG113</f>
        <v>97341.3</v>
      </c>
      <c r="AH12" s="5078">
        <f t="shared" si="10"/>
        <v>654451.21</v>
      </c>
      <c r="AI12" s="1074">
        <f t="shared" si="11"/>
        <v>617127.81000000006</v>
      </c>
      <c r="AJ12" s="1461">
        <f>+'Maj Production Summ'!AK28</f>
        <v>95295.2</v>
      </c>
      <c r="AK12" s="3709">
        <f>+'Direct sales IPT details'!AK113</f>
        <v>106037.09</v>
      </c>
      <c r="AL12" s="2351">
        <f>AB12+AF12+AJ12</f>
        <v>282953.44</v>
      </c>
      <c r="AM12" s="2351">
        <f>+AC12+AG12+AK12</f>
        <v>269657.54000000004</v>
      </c>
      <c r="AN12" s="2550">
        <f t="shared" si="13"/>
        <v>749746.40999999992</v>
      </c>
      <c r="AO12" s="2550">
        <f t="shared" si="14"/>
        <v>723164.9</v>
      </c>
      <c r="AP12" s="1461">
        <f>+'Maj Production Summ'!AQ28</f>
        <v>96761.279999999999</v>
      </c>
      <c r="AQ12" s="3709">
        <f>+'Direct sales IPT details'!AQ113</f>
        <v>88820.24</v>
      </c>
      <c r="AR12" s="2550">
        <f t="shared" si="15"/>
        <v>846507.69</v>
      </c>
      <c r="AS12" s="2550">
        <f t="shared" si="16"/>
        <v>811985.14</v>
      </c>
      <c r="AT12" s="1461">
        <f>+'Maj Production Summ'!AU28</f>
        <v>86498.72</v>
      </c>
      <c r="AU12" s="3709">
        <f>+'Direct sales IPT details'!AU113</f>
        <v>77713.41</v>
      </c>
      <c r="AV12" s="2550">
        <f t="shared" si="17"/>
        <v>933006.40999999992</v>
      </c>
      <c r="AW12" s="2550">
        <f t="shared" si="18"/>
        <v>889698.55</v>
      </c>
      <c r="AX12" s="1461">
        <f>+'Maj Production Summ'!AY28</f>
        <v>96761.279999999999</v>
      </c>
      <c r="AY12" s="3709">
        <f>+'Direct sales IPT details'!AY113</f>
        <v>82951.210000000006</v>
      </c>
      <c r="AZ12" s="2351">
        <f>AP12+AT12+AX12</f>
        <v>280021.28000000003</v>
      </c>
      <c r="BA12" s="2351">
        <f>+AQ12+AU12+AY12</f>
        <v>249484.86000000004</v>
      </c>
      <c r="BB12" s="2352">
        <f>+AZ12+AL12</f>
        <v>562974.71999999997</v>
      </c>
      <c r="BC12" s="2352">
        <f>+BA12+AM12</f>
        <v>519142.40000000008</v>
      </c>
      <c r="BD12" s="2550">
        <f t="shared" ref="BD12:BD13" si="27">+AV12+AX12</f>
        <v>1029767.69</v>
      </c>
      <c r="BE12" s="2550">
        <f t="shared" ref="BE12:BE13" si="28">+AW12+AY12</f>
        <v>972649.76</v>
      </c>
    </row>
    <row r="13" spans="2:93" ht="15.6" x14ac:dyDescent="0.3">
      <c r="B13" s="1557" t="s">
        <v>577</v>
      </c>
      <c r="C13" s="3714" t="s">
        <v>351</v>
      </c>
      <c r="D13" s="1461">
        <f>SUM(D10:D12)</f>
        <v>72770.880000000005</v>
      </c>
      <c r="E13" s="3709">
        <f>SUM(E10:E12)</f>
        <v>79991.599999999991</v>
      </c>
      <c r="F13" s="1461">
        <f>SUM(F10:F12)</f>
        <v>63421.05</v>
      </c>
      <c r="G13" s="3709">
        <f>SUM(G10:G12)</f>
        <v>47276.53</v>
      </c>
      <c r="H13" s="5078">
        <f t="shared" si="26"/>
        <v>136191.93</v>
      </c>
      <c r="I13" s="5078">
        <f t="shared" si="26"/>
        <v>127268.12999999999</v>
      </c>
      <c r="J13" s="1461">
        <f>SUM(J10:J12)</f>
        <v>92363.04</v>
      </c>
      <c r="K13" s="3709">
        <f>SUM(K10:K12)</f>
        <v>88021.209999999992</v>
      </c>
      <c r="L13" s="3712">
        <f t="shared" si="2"/>
        <v>228554.96999999997</v>
      </c>
      <c r="M13" s="3712">
        <f t="shared" si="2"/>
        <v>215289.33999999997</v>
      </c>
      <c r="N13" s="1461">
        <f>SUM(N10:N12)</f>
        <v>93462.6</v>
      </c>
      <c r="O13" s="3709">
        <f>SUM(O10:O12)</f>
        <v>109626.54999999999</v>
      </c>
      <c r="P13" s="5078">
        <f t="shared" si="3"/>
        <v>322017.56999999995</v>
      </c>
      <c r="Q13" s="5078">
        <f t="shared" si="4"/>
        <v>324915.88999999996</v>
      </c>
      <c r="R13" s="1461">
        <f>SUM(R10:R12)</f>
        <v>93462.6</v>
      </c>
      <c r="S13" s="3709">
        <f>SUM(S10:S12)</f>
        <v>92273.66</v>
      </c>
      <c r="T13" s="5078">
        <f t="shared" si="5"/>
        <v>415480.16999999993</v>
      </c>
      <c r="U13" s="5078">
        <f t="shared" si="6"/>
        <v>417189.54999999993</v>
      </c>
      <c r="V13" s="1461">
        <f>SUM(V10:V12)</f>
        <v>51312.800000000003</v>
      </c>
      <c r="W13" s="3709">
        <f>SUM(W10:W12)</f>
        <v>89536.660000000018</v>
      </c>
      <c r="X13" s="3712">
        <f>SUM(X10:X12)</f>
        <v>238238</v>
      </c>
      <c r="Y13" s="3712">
        <f>+O13+S13+W13</f>
        <v>291436.87</v>
      </c>
      <c r="Z13" s="5079">
        <f t="shared" ref="Z13:AA13" si="29">SUM(Z10:Z12)</f>
        <v>466792.97</v>
      </c>
      <c r="AA13" s="5079">
        <f t="shared" si="29"/>
        <v>506726.20999999996</v>
      </c>
      <c r="AB13" s="1461">
        <f>SUM(AB10:AB12)</f>
        <v>95295.2</v>
      </c>
      <c r="AC13" s="3709">
        <f>SUM(AC10:AC12)</f>
        <v>66279.149999999994</v>
      </c>
      <c r="AD13" s="5078">
        <f t="shared" si="8"/>
        <v>562088.16999999993</v>
      </c>
      <c r="AE13" s="5078">
        <f t="shared" si="9"/>
        <v>573005.36</v>
      </c>
      <c r="AF13" s="1461">
        <f>SUM(AF10:AF12)</f>
        <v>92363.04</v>
      </c>
      <c r="AG13" s="3709">
        <f>SUM(AG10:AG12)</f>
        <v>106355.56</v>
      </c>
      <c r="AH13" s="5078">
        <f t="shared" si="10"/>
        <v>654451.21</v>
      </c>
      <c r="AI13" s="1074">
        <f t="shared" si="11"/>
        <v>679360.91999999993</v>
      </c>
      <c r="AJ13" s="1461">
        <f>SUM(AJ10:AJ12)</f>
        <v>95295.2</v>
      </c>
      <c r="AK13" s="3709">
        <f>SUM(AK10:AK12)</f>
        <v>112380.76</v>
      </c>
      <c r="AL13" s="2351">
        <f>SUM(AL10:AL12)</f>
        <v>282953.44</v>
      </c>
      <c r="AM13" s="2351">
        <f>+AC13+AG13+AK13</f>
        <v>285015.46999999997</v>
      </c>
      <c r="AN13" s="2550">
        <f t="shared" si="13"/>
        <v>749746.40999999992</v>
      </c>
      <c r="AO13" s="2550">
        <f t="shared" si="14"/>
        <v>791741.67999999993</v>
      </c>
      <c r="AP13" s="1461">
        <f>SUM(AP10:AP12)</f>
        <v>96761.279999999999</v>
      </c>
      <c r="AQ13" s="3709">
        <f>SUM(AQ10:AQ12)</f>
        <v>92013.6</v>
      </c>
      <c r="AR13" s="2550">
        <f t="shared" si="15"/>
        <v>846507.69</v>
      </c>
      <c r="AS13" s="2550">
        <f t="shared" si="16"/>
        <v>883755.27999999991</v>
      </c>
      <c r="AT13" s="1461">
        <f>SUM(AT10:AT12)</f>
        <v>86498.72</v>
      </c>
      <c r="AU13" s="3709">
        <f>SUM(AU10:AU12)</f>
        <v>91270.23</v>
      </c>
      <c r="AV13" s="2550">
        <f t="shared" si="17"/>
        <v>933006.40999999992</v>
      </c>
      <c r="AW13" s="2550">
        <f t="shared" si="18"/>
        <v>975025.50999999989</v>
      </c>
      <c r="AX13" s="1461">
        <f>SUM(AX10:AX12)</f>
        <v>96761.279999999999</v>
      </c>
      <c r="AY13" s="3709">
        <f>SUM(AY10:AY12)</f>
        <v>90946.17</v>
      </c>
      <c r="AZ13" s="2351">
        <f>SUM(AZ10:AZ12)</f>
        <v>280021.28000000003</v>
      </c>
      <c r="BA13" s="2351">
        <f>+AQ13+AU13+AY13</f>
        <v>274230</v>
      </c>
      <c r="BB13" s="2352">
        <f t="shared" ref="BB13:BC13" si="30">SUM(BB10:BB12)</f>
        <v>562974.71999999997</v>
      </c>
      <c r="BC13" s="2352">
        <f t="shared" si="30"/>
        <v>559245.47000000009</v>
      </c>
      <c r="BD13" s="2550">
        <f t="shared" si="27"/>
        <v>1029767.69</v>
      </c>
      <c r="BE13" s="2550">
        <f t="shared" si="28"/>
        <v>1065971.68</v>
      </c>
    </row>
    <row r="14" spans="2:93" s="137" customFormat="1" ht="15.6" x14ac:dyDescent="0.3">
      <c r="B14" s="2411" t="s">
        <v>574</v>
      </c>
      <c r="C14" s="3715" t="s">
        <v>49</v>
      </c>
      <c r="D14" s="5088">
        <v>1</v>
      </c>
      <c r="E14" s="5089">
        <f>+E13/E8</f>
        <v>1.0320305171783632</v>
      </c>
      <c r="F14" s="5088">
        <v>1</v>
      </c>
      <c r="G14" s="5089">
        <f>+G13/G8</f>
        <v>1.2071792337103333</v>
      </c>
      <c r="H14" s="5472">
        <v>1</v>
      </c>
      <c r="I14" s="5472">
        <f>+I13/I8</f>
        <v>1.0908220869133647</v>
      </c>
      <c r="J14" s="5088">
        <v>1</v>
      </c>
      <c r="K14" s="5089">
        <f>+K13/K8</f>
        <v>1.0620771263121926</v>
      </c>
      <c r="L14" s="5089">
        <v>1</v>
      </c>
      <c r="M14" s="5089">
        <f t="shared" ref="M14:AA14" si="31">+M13/M8</f>
        <v>1.0788837149017314</v>
      </c>
      <c r="N14" s="5088">
        <v>1</v>
      </c>
      <c r="O14" s="5089">
        <f>+O13/O8</f>
        <v>1.1739491867040537</v>
      </c>
      <c r="P14" s="5089">
        <v>1</v>
      </c>
      <c r="Q14" s="5089">
        <f>+Q13/Q8</f>
        <v>1.1091893934583492</v>
      </c>
      <c r="R14" s="5088">
        <v>1</v>
      </c>
      <c r="S14" s="5089">
        <f>+S13/S8</f>
        <v>1.0110206710267551</v>
      </c>
      <c r="T14" s="5089">
        <v>1</v>
      </c>
      <c r="U14" s="5089">
        <f t="shared" ref="U14" si="32">+U13/U8</f>
        <v>1.0858690530442092</v>
      </c>
      <c r="V14" s="5088">
        <v>1</v>
      </c>
      <c r="W14" s="5089">
        <f>+W13/W8</f>
        <v>1.0454474734806383</v>
      </c>
      <c r="X14" s="5089">
        <v>1</v>
      </c>
      <c r="Y14" s="5089">
        <f t="shared" ref="Y14" si="33">+Y13/Y8</f>
        <v>1.0782182691618654</v>
      </c>
      <c r="Z14" s="5089">
        <v>1</v>
      </c>
      <c r="AA14" s="5089">
        <f t="shared" si="31"/>
        <v>1.0785008922764086</v>
      </c>
      <c r="AB14" s="5088">
        <v>1</v>
      </c>
      <c r="AC14" s="5089">
        <f>+AC13/AC8</f>
        <v>0.83987241464792606</v>
      </c>
      <c r="AD14" s="5089">
        <v>1</v>
      </c>
      <c r="AE14" s="5089">
        <f t="shared" ref="AE14" si="34">+AE13/AE8</f>
        <v>1.0441842844472338</v>
      </c>
      <c r="AF14" s="5088">
        <v>1</v>
      </c>
      <c r="AG14" s="5089">
        <f>+AG13/AG8</f>
        <v>1.1205779265341123</v>
      </c>
      <c r="AH14" s="5089">
        <v>1</v>
      </c>
      <c r="AI14" s="5091">
        <f t="shared" ref="AI14" si="35">+AI13/AI8</f>
        <v>1.0554487853648928</v>
      </c>
      <c r="AJ14" s="5088">
        <v>1</v>
      </c>
      <c r="AK14" s="5089">
        <f>+AK13/AK8</f>
        <v>1.1536671133344387</v>
      </c>
      <c r="AL14" s="5092">
        <v>1</v>
      </c>
      <c r="AM14" s="5092">
        <f t="shared" ref="AM14" si="36">+AM13/AM8</f>
        <v>1.0507914439012049</v>
      </c>
      <c r="AN14" s="5092">
        <v>1</v>
      </c>
      <c r="AO14" s="5092">
        <f t="shared" ref="AO14" si="37">+AO13/AO8</f>
        <v>1.0683591273049895</v>
      </c>
      <c r="AP14" s="5088">
        <v>1</v>
      </c>
      <c r="AQ14" s="5089">
        <f>+AQ13/AQ8</f>
        <v>0.97761319169313277</v>
      </c>
      <c r="AR14" s="5092">
        <v>1</v>
      </c>
      <c r="AS14" s="5092">
        <f t="shared" ref="AS14" si="38">+AS13/AS8</f>
        <v>1.0581327855690268</v>
      </c>
      <c r="AT14" s="5088">
        <v>1</v>
      </c>
      <c r="AU14" s="5089">
        <f>+AU13/AU8</f>
        <v>1.2677329815488505</v>
      </c>
      <c r="AV14" s="5092">
        <v>1</v>
      </c>
      <c r="AW14" s="5092">
        <f t="shared" ref="AW14" si="39">+AW13/AW8</f>
        <v>1.0747665755375464</v>
      </c>
      <c r="AX14" s="5088">
        <v>1</v>
      </c>
      <c r="AY14" s="5089">
        <f>+AY13/AY8</f>
        <v>1.045446399783595</v>
      </c>
      <c r="AZ14" s="5092">
        <v>1</v>
      </c>
      <c r="BA14" s="5092">
        <f t="shared" ref="BA14" si="40">+BA13/BA8</f>
        <v>1.083449835698939</v>
      </c>
      <c r="BB14" s="5092">
        <v>1</v>
      </c>
      <c r="BC14" s="5092">
        <f t="shared" ref="BC14" si="41">+BC13/BC8</f>
        <v>1.0665560144607229</v>
      </c>
      <c r="BD14" s="5092">
        <v>1</v>
      </c>
      <c r="BE14" s="5092">
        <f t="shared" ref="BE14" si="42">+BE13/BE8</f>
        <v>1.0722010297762874</v>
      </c>
    </row>
    <row r="15" spans="2:93" s="137" customFormat="1" ht="15.6" x14ac:dyDescent="0.3">
      <c r="B15" s="2411" t="s">
        <v>432</v>
      </c>
      <c r="C15" s="3715" t="s">
        <v>351</v>
      </c>
      <c r="D15" s="1461">
        <f>+(D18*D19)/1000</f>
        <v>24405.084745762713</v>
      </c>
      <c r="E15" s="3709">
        <f>+SMS!F92</f>
        <v>35958.271479999996</v>
      </c>
      <c r="F15" s="1461">
        <f>+(F18*F19)/1000</f>
        <v>21533.898305084742</v>
      </c>
      <c r="G15" s="3709">
        <f>+SMS!H92</f>
        <v>17186.789550000001</v>
      </c>
      <c r="H15" s="5078">
        <f>+D15+F15</f>
        <v>45938.983050847455</v>
      </c>
      <c r="I15" s="5078">
        <f>+E15+G15</f>
        <v>53145.061029999997</v>
      </c>
      <c r="J15" s="1461">
        <f>+(J18*J19)/1000</f>
        <v>29875.920679886651</v>
      </c>
      <c r="K15" s="3709">
        <f>+SMS!L92</f>
        <v>30254.303680000001</v>
      </c>
      <c r="L15" s="3712">
        <f>+D15+F15+J15</f>
        <v>75814.903730734106</v>
      </c>
      <c r="M15" s="3712">
        <f>+E15+G15+K15</f>
        <v>83399.364709999994</v>
      </c>
      <c r="N15" s="1461">
        <f>+(N18*N19)/1000</f>
        <v>30232.861189801704</v>
      </c>
      <c r="O15" s="3709">
        <f>+SMS!P92</f>
        <v>31564.151819999999</v>
      </c>
      <c r="P15" s="5078">
        <f>+L15+N15</f>
        <v>106047.76492053582</v>
      </c>
      <c r="Q15" s="5078">
        <f>+M15+O15</f>
        <v>114963.51652999999</v>
      </c>
      <c r="R15" s="1461">
        <f>+(R18*R19)/1000</f>
        <v>30232.861189801704</v>
      </c>
      <c r="S15" s="3709">
        <f>+SMS!T92</f>
        <v>29126.430780000002</v>
      </c>
      <c r="T15" s="5078">
        <f t="shared" ref="T15:T16" si="43">+P15+R15</f>
        <v>136280.62611033753</v>
      </c>
      <c r="U15" s="5078">
        <f t="shared" ref="U15:U16" si="44">+Q15+S15</f>
        <v>144089.94730999999</v>
      </c>
      <c r="V15" s="1461">
        <f>+(V18*V19)/1000</f>
        <v>15866.005665722438</v>
      </c>
      <c r="W15" s="3709">
        <f>+SMS!X92</f>
        <v>28595.071339999999</v>
      </c>
      <c r="X15" s="3712">
        <f>N15+R15+V15</f>
        <v>76331.728045325843</v>
      </c>
      <c r="Y15" s="3712">
        <f>+O15+S15+W15</f>
        <v>89285.653940000004</v>
      </c>
      <c r="Z15" s="5079">
        <f>+X15+L15</f>
        <v>152146.63177605995</v>
      </c>
      <c r="AA15" s="5079">
        <f>+Y15+M15</f>
        <v>172685.01864999998</v>
      </c>
      <c r="AB15" s="1461">
        <f>+(AB18*AB19)/1000</f>
        <v>30827.762039660036</v>
      </c>
      <c r="AC15" s="3709">
        <f>+SMS!AD92</f>
        <v>22986.981849999996</v>
      </c>
      <c r="AD15" s="3709">
        <f t="shared" ref="AD15:AD16" si="45">+Z15+AB15</f>
        <v>182974.39381571999</v>
      </c>
      <c r="AE15" s="3709">
        <f t="shared" ref="AE15:AE16" si="46">+AA15+AC15</f>
        <v>195672.00049999997</v>
      </c>
      <c r="AF15" s="1461">
        <f>+(AF18*AF19)/1000</f>
        <v>29875.920679886651</v>
      </c>
      <c r="AG15" s="3709">
        <f>+SMS!AH92</f>
        <v>26984.9643</v>
      </c>
      <c r="AH15" s="5078">
        <f t="shared" ref="AH15:AH16" si="47">+AD15+AF15</f>
        <v>212850.31449560664</v>
      </c>
      <c r="AI15" s="1074">
        <f t="shared" ref="AI15:AI16" si="48">+AE15+AG15</f>
        <v>222656.96479999996</v>
      </c>
      <c r="AJ15" s="1461">
        <f>+(AJ18*AJ19)/1000</f>
        <v>30827.762039660036</v>
      </c>
      <c r="AK15" s="3709">
        <f>+SMS!AL92</f>
        <v>29237.462070000001</v>
      </c>
      <c r="AL15" s="2351">
        <f>AB15+AF15+AJ15</f>
        <v>91531.44475920673</v>
      </c>
      <c r="AM15" s="2351">
        <f>+AC15+AG15+AK15</f>
        <v>79209.408219999998</v>
      </c>
      <c r="AN15" s="2550">
        <f t="shared" ref="AN15:AN16" si="49">+AH15+AJ15</f>
        <v>243678.07653526668</v>
      </c>
      <c r="AO15" s="2550">
        <f t="shared" ref="AO15:AO16" si="50">+AI15+AK15</f>
        <v>251894.42686999997</v>
      </c>
      <c r="AP15" s="1461">
        <f>+(AP18*AP19)/1000</f>
        <v>31303.682719546741</v>
      </c>
      <c r="AQ15" s="3709">
        <f>+SMS!AR92</f>
        <v>38588</v>
      </c>
      <c r="AR15" s="2420">
        <f t="shared" ref="AR15:AR16" si="51">+AN15+AP15</f>
        <v>274981.75925481343</v>
      </c>
      <c r="AS15" s="2420">
        <f t="shared" ref="AS15:AS16" si="52">+AO15+AQ15</f>
        <v>290482.42686999997</v>
      </c>
      <c r="AT15" s="1461">
        <f>+(AT18*AT19)/1000</f>
        <v>27972.237960339942</v>
      </c>
      <c r="AU15" s="3709">
        <f>+SMS!AV92</f>
        <v>34268.306349999999</v>
      </c>
      <c r="AV15" s="2550">
        <f t="shared" ref="AV15:AV16" si="53">+AR15+AT15</f>
        <v>302953.99721515336</v>
      </c>
      <c r="AW15" s="2550">
        <f t="shared" ref="AW15:AW16" si="54">+AS15+AU15</f>
        <v>324750.73321999994</v>
      </c>
      <c r="AX15" s="1461">
        <f>+(AX18*AX19)/1000</f>
        <v>31303.682719546741</v>
      </c>
      <c r="AY15" s="3709">
        <f>+SMS!AZ92</f>
        <v>36592.682540000002</v>
      </c>
      <c r="AZ15" s="2351">
        <f>AP15+AT15+AX15</f>
        <v>90579.603399433428</v>
      </c>
      <c r="BA15" s="2351">
        <f>+AQ15+AU15+AY15</f>
        <v>109448.98889000001</v>
      </c>
      <c r="BB15" s="2352">
        <f>+AZ15+AL15</f>
        <v>182111.04815864016</v>
      </c>
      <c r="BC15" s="2352">
        <f>+BA15+AM15</f>
        <v>188658.39711000002</v>
      </c>
      <c r="BD15" s="2550">
        <f t="shared" ref="BD15:BD16" si="55">+AV15+AX15</f>
        <v>334257.67993470008</v>
      </c>
      <c r="BE15" s="2550">
        <f t="shared" ref="BE15:BE16" si="56">+AW15+AY15</f>
        <v>361343.41575999995</v>
      </c>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row>
    <row r="16" spans="2:93" s="137" customFormat="1" ht="15.6" x14ac:dyDescent="0.3">
      <c r="B16" s="2411" t="s">
        <v>403</v>
      </c>
      <c r="C16" s="3715" t="s">
        <v>351</v>
      </c>
      <c r="D16" s="1461">
        <f>+(D15*D17)</f>
        <v>24405.084745762713</v>
      </c>
      <c r="E16" s="3709">
        <f>+E36</f>
        <v>110323.17</v>
      </c>
      <c r="F16" s="1461">
        <f>+(F15*F17)</f>
        <v>21533.898305084742</v>
      </c>
      <c r="G16" s="3709">
        <f>+G36</f>
        <v>160431.80000000002</v>
      </c>
      <c r="H16" s="5078">
        <f>+D16+F16</f>
        <v>45938.983050847455</v>
      </c>
      <c r="I16" s="5078">
        <f>+E16+G16</f>
        <v>270754.97000000003</v>
      </c>
      <c r="J16" s="1461">
        <f>+(J15*J17)</f>
        <v>29875.920679886651</v>
      </c>
      <c r="K16" s="3709">
        <f>+K36</f>
        <v>97401.08</v>
      </c>
      <c r="L16" s="3709">
        <f>+D16+F16+J16</f>
        <v>75814.903730734106</v>
      </c>
      <c r="M16" s="3709">
        <f>+E16+G16+K16</f>
        <v>368156.05000000005</v>
      </c>
      <c r="N16" s="1461">
        <f>+(N15*N17)</f>
        <v>30232.861189801704</v>
      </c>
      <c r="O16" s="3709">
        <f>+O36</f>
        <v>85433.74</v>
      </c>
      <c r="P16" s="3709">
        <f>+L16+N16</f>
        <v>106047.76492053582</v>
      </c>
      <c r="Q16" s="3709">
        <f>+M16+O16</f>
        <v>453589.79000000004</v>
      </c>
      <c r="R16" s="1461">
        <f>+(R15*R17)</f>
        <v>30232.861189801704</v>
      </c>
      <c r="S16" s="3709">
        <f>+S36</f>
        <v>92218.72</v>
      </c>
      <c r="T16" s="3709">
        <f t="shared" si="43"/>
        <v>136280.62611033753</v>
      </c>
      <c r="U16" s="3709">
        <f t="shared" si="44"/>
        <v>545808.51</v>
      </c>
      <c r="V16" s="1461">
        <f>+(V15*V17)</f>
        <v>15866.005665722438</v>
      </c>
      <c r="W16" s="3709">
        <f>+W36</f>
        <v>79249.510000000009</v>
      </c>
      <c r="X16" s="3709">
        <f>N16+R16+V16</f>
        <v>76331.728045325843</v>
      </c>
      <c r="Y16" s="3709">
        <f>+O16+S16+W16</f>
        <v>256901.97000000003</v>
      </c>
      <c r="Z16" s="3709">
        <f>+X16+L16</f>
        <v>152146.63177605995</v>
      </c>
      <c r="AA16" s="3709">
        <f>+Y16+M16</f>
        <v>625058.02</v>
      </c>
      <c r="AB16" s="1461">
        <f>+(AB15*AB17)</f>
        <v>30827.762039660036</v>
      </c>
      <c r="AC16" s="3709">
        <f>+AC36</f>
        <v>116100.21</v>
      </c>
      <c r="AD16" s="3709">
        <f t="shared" si="45"/>
        <v>182974.39381571999</v>
      </c>
      <c r="AE16" s="3709">
        <f t="shared" si="46"/>
        <v>741158.23</v>
      </c>
      <c r="AF16" s="1461">
        <f>+(AF15*AF17)</f>
        <v>29875.920679886651</v>
      </c>
      <c r="AG16" s="3709">
        <f>+AG36</f>
        <v>132343.91</v>
      </c>
      <c r="AH16" s="3709">
        <f t="shared" si="47"/>
        <v>212850.31449560664</v>
      </c>
      <c r="AI16" s="1042">
        <f t="shared" si="48"/>
        <v>873502.14</v>
      </c>
      <c r="AJ16" s="1461">
        <f>+(AJ15*AJ17)</f>
        <v>30827.762039660036</v>
      </c>
      <c r="AK16" s="3709">
        <f>+AK36</f>
        <v>144020.79999999999</v>
      </c>
      <c r="AL16" s="2420">
        <f>AB16+AF16+AJ16</f>
        <v>91531.44475920673</v>
      </c>
      <c r="AM16" s="2420">
        <f>+AC16+AG16+AK16</f>
        <v>392464.92</v>
      </c>
      <c r="AN16" s="2420">
        <f t="shared" si="49"/>
        <v>243678.07653526668</v>
      </c>
      <c r="AO16" s="2420">
        <f t="shared" si="50"/>
        <v>1017522.94</v>
      </c>
      <c r="AP16" s="1461">
        <f>+(AP15*AP17)</f>
        <v>31303.682719546741</v>
      </c>
      <c r="AQ16" s="3709">
        <f>+AQ36</f>
        <v>221301.16</v>
      </c>
      <c r="AR16" s="2420">
        <f t="shared" si="51"/>
        <v>274981.75925481343</v>
      </c>
      <c r="AS16" s="2420">
        <f t="shared" si="52"/>
        <v>1238824.0999999999</v>
      </c>
      <c r="AT16" s="1461">
        <f>+(AT15*AT17)</f>
        <v>27972.237960339942</v>
      </c>
      <c r="AU16" s="3709">
        <f>+AU36</f>
        <v>222991.46</v>
      </c>
      <c r="AV16" s="2420">
        <f t="shared" si="53"/>
        <v>302953.99721515336</v>
      </c>
      <c r="AW16" s="2420">
        <f t="shared" si="54"/>
        <v>1461815.5599999998</v>
      </c>
      <c r="AX16" s="1461">
        <f>+(AX15*AX17)</f>
        <v>31303.682719546741</v>
      </c>
      <c r="AY16" s="3709">
        <f>+AY36</f>
        <v>209473.93</v>
      </c>
      <c r="AZ16" s="2420">
        <f>AP16+AT16+AX16</f>
        <v>90579.603399433428</v>
      </c>
      <c r="BA16" s="2420">
        <f>+AQ16+AU16+AY16</f>
        <v>653766.55000000005</v>
      </c>
      <c r="BB16" s="2420">
        <f>+AZ16+AL16</f>
        <v>182111.04815864016</v>
      </c>
      <c r="BC16" s="2420">
        <f>+BA16+AM16</f>
        <v>1046231.47</v>
      </c>
      <c r="BD16" s="2420">
        <f t="shared" si="55"/>
        <v>334257.67993470008</v>
      </c>
      <c r="BE16" s="2420">
        <f t="shared" si="56"/>
        <v>1671289.4899999998</v>
      </c>
    </row>
    <row r="17" spans="1:93" s="137" customFormat="1" ht="15.6" x14ac:dyDescent="0.3">
      <c r="B17" s="2411" t="s">
        <v>575</v>
      </c>
      <c r="C17" s="3715" t="s">
        <v>49</v>
      </c>
      <c r="D17" s="5088">
        <v>1</v>
      </c>
      <c r="E17" s="5089">
        <f>+E16/E15</f>
        <v>3.0680888001349507</v>
      </c>
      <c r="F17" s="5088">
        <v>1</v>
      </c>
      <c r="G17" s="5089">
        <f>+G16/G15</f>
        <v>9.334599666404829</v>
      </c>
      <c r="H17" s="5473">
        <f>+H16/H15</f>
        <v>1</v>
      </c>
      <c r="I17" s="5473">
        <f>+I16/I15</f>
        <v>5.0946403062207573</v>
      </c>
      <c r="J17" s="5088">
        <v>1</v>
      </c>
      <c r="K17" s="5089">
        <f>+K16/K15</f>
        <v>3.2194123860926354</v>
      </c>
      <c r="L17" s="5089">
        <v>1</v>
      </c>
      <c r="M17" s="5089">
        <f>+M16/M15</f>
        <v>4.4143747530951671</v>
      </c>
      <c r="N17" s="5088">
        <v>1</v>
      </c>
      <c r="O17" s="5089">
        <f>+O16/O15</f>
        <v>2.7066699110814252</v>
      </c>
      <c r="P17" s="5090">
        <f>+P16/P15</f>
        <v>1</v>
      </c>
      <c r="Q17" s="5090">
        <f>+Q16/Q15</f>
        <v>3.945510747156336</v>
      </c>
      <c r="R17" s="5088">
        <v>1</v>
      </c>
      <c r="S17" s="5089">
        <f>+S16/S15</f>
        <v>3.1661524440311113</v>
      </c>
      <c r="T17" s="5089">
        <v>1</v>
      </c>
      <c r="U17" s="5089">
        <f>+U16/U15</f>
        <v>3.7879707792919732</v>
      </c>
      <c r="V17" s="5088">
        <v>1</v>
      </c>
      <c r="W17" s="5089">
        <f>+W16/W15</f>
        <v>2.7714394924114925</v>
      </c>
      <c r="X17" s="5089">
        <v>1</v>
      </c>
      <c r="Y17" s="5089">
        <f>+Y16/Y15</f>
        <v>2.8773040086892152</v>
      </c>
      <c r="Z17" s="5089">
        <f>+Z16/Z15</f>
        <v>1</v>
      </c>
      <c r="AA17" s="5089">
        <f>+AA16/AA15</f>
        <v>3.6196424269257248</v>
      </c>
      <c r="AB17" s="5088">
        <v>1</v>
      </c>
      <c r="AC17" s="5089">
        <f>+AC16/AC15</f>
        <v>5.0506939431024094</v>
      </c>
      <c r="AD17" s="5089">
        <v>1</v>
      </c>
      <c r="AE17" s="5089">
        <f>+AE16/AE15</f>
        <v>3.787758228597454</v>
      </c>
      <c r="AF17" s="5088">
        <v>1</v>
      </c>
      <c r="AG17" s="5089">
        <f>+AG16/AG15</f>
        <v>4.9043574239599792</v>
      </c>
      <c r="AH17" s="5089">
        <v>1</v>
      </c>
      <c r="AI17" s="5091">
        <f>+AI16/AI15</f>
        <v>3.923084736130384</v>
      </c>
      <c r="AJ17" s="5088">
        <v>1</v>
      </c>
      <c r="AK17" s="5089">
        <f>+AK16/AK15</f>
        <v>4.9258995071181975</v>
      </c>
      <c r="AL17" s="5092">
        <v>1</v>
      </c>
      <c r="AM17" s="5092">
        <f>+AM16/AM15</f>
        <v>4.9547765703532232</v>
      </c>
      <c r="AN17" s="5092">
        <v>1</v>
      </c>
      <c r="AO17" s="5092">
        <f>+AO16/AO15</f>
        <v>4.0394817489357662</v>
      </c>
      <c r="AP17" s="5088">
        <v>1</v>
      </c>
      <c r="AQ17" s="5089">
        <f>+AQ16/AQ15</f>
        <v>5.7349735669119939</v>
      </c>
      <c r="AR17" s="5092">
        <v>1</v>
      </c>
      <c r="AS17" s="5092">
        <f>+AS16/AS15</f>
        <v>4.2647127172151196</v>
      </c>
      <c r="AT17" s="5088">
        <v>1</v>
      </c>
      <c r="AU17" s="5089">
        <f>+AU16/AU15</f>
        <v>6.5072215043974593</v>
      </c>
      <c r="AV17" s="5092">
        <v>1</v>
      </c>
      <c r="AW17" s="5092">
        <f>+AW16/AW15</f>
        <v>4.5013464496466709</v>
      </c>
      <c r="AX17" s="5088">
        <v>1</v>
      </c>
      <c r="AY17" s="5089">
        <f>+AY16/AY15</f>
        <v>5.7244759186763901</v>
      </c>
      <c r="AZ17" s="5092">
        <v>1</v>
      </c>
      <c r="BA17" s="5092">
        <f>+BA16/BA15</f>
        <v>5.9732534455577095</v>
      </c>
      <c r="BB17" s="5092">
        <f>+BB16/BB15</f>
        <v>1</v>
      </c>
      <c r="BC17" s="5092">
        <f>+BC16/BC15</f>
        <v>5.5456395582009508</v>
      </c>
      <c r="BD17" s="5092">
        <v>1</v>
      </c>
      <c r="BE17" s="5092">
        <f>+BE16/BE15</f>
        <v>4.625210857889412</v>
      </c>
    </row>
    <row r="18" spans="1:93" s="137" customFormat="1" ht="15.6" x14ac:dyDescent="0.3">
      <c r="B18" s="2411" t="s">
        <v>767</v>
      </c>
      <c r="C18" s="3715" t="s">
        <v>351</v>
      </c>
      <c r="D18" s="1461">
        <f>+'Maj Production Summ'!E18</f>
        <v>193691.14877589454</v>
      </c>
      <c r="E18" s="3709">
        <f>+'Maj Production Summ'!F18</f>
        <v>223226</v>
      </c>
      <c r="F18" s="1461">
        <f>+'Maj Production Summ'!G18</f>
        <v>170903.95480225986</v>
      </c>
      <c r="G18" s="3709">
        <f>+'Maj Production Summ'!H18</f>
        <v>97961</v>
      </c>
      <c r="H18" s="5078">
        <f>+'Maj Production Summ'!I18</f>
        <v>364595.10357815441</v>
      </c>
      <c r="I18" s="5078">
        <f>+'Maj Production Summ'!J18</f>
        <v>321187</v>
      </c>
      <c r="J18" s="1461">
        <f>+'Maj Production Summ'!K18</f>
        <v>237110.48158640199</v>
      </c>
      <c r="K18" s="3709">
        <f>+'Maj Production Summ'!L18</f>
        <v>243453</v>
      </c>
      <c r="L18" s="3712">
        <f>+'Maj Production Summ'!M18</f>
        <v>601705.5851645564</v>
      </c>
      <c r="M18" s="3712">
        <f>+'Maj Production Summ'!N18</f>
        <v>564640</v>
      </c>
      <c r="N18" s="1461">
        <f>+'Maj Production Summ'!O18</f>
        <v>239943.34277620399</v>
      </c>
      <c r="O18" s="3709">
        <f>+'Maj Production Summ'!P18</f>
        <v>253662</v>
      </c>
      <c r="P18" s="5078">
        <f>+'Maj Production Summ'!Q18</f>
        <v>841648.92794076039</v>
      </c>
      <c r="Q18" s="5078">
        <f>+'Maj Production Summ'!R18</f>
        <v>818302</v>
      </c>
      <c r="R18" s="1461">
        <f>+'Maj Production Summ'!S18</f>
        <v>239943.34277620399</v>
      </c>
      <c r="S18" s="3709">
        <f>+'Maj Production Summ'!T18</f>
        <v>237622</v>
      </c>
      <c r="T18" s="5078">
        <f>+'Maj Production Summ'!U18</f>
        <v>1081592.2707169643</v>
      </c>
      <c r="U18" s="5078">
        <f>+'Maj Production Summ'!V18</f>
        <v>1055924</v>
      </c>
      <c r="V18" s="1461">
        <f>+'Maj Production Summ'!W18</f>
        <v>125920.679886686</v>
      </c>
      <c r="W18" s="3709">
        <f>+'Maj Production Summ'!X18</f>
        <v>226847</v>
      </c>
      <c r="X18" s="3712">
        <f>+'Maj Production Summ'!Y18</f>
        <v>605807.36543909402</v>
      </c>
      <c r="Y18" s="3712">
        <f>+'Maj Production Summ'!Z18</f>
        <v>718131</v>
      </c>
      <c r="Z18" s="5079">
        <f>+'Maj Production Summ'!AA18</f>
        <v>1207512.9506036504</v>
      </c>
      <c r="AA18" s="5079">
        <f>+'Maj Production Summ'!AB18</f>
        <v>1282771</v>
      </c>
      <c r="AB18" s="1461">
        <f>+'Maj Production Summ'!AC18</f>
        <v>244664.77809253999</v>
      </c>
      <c r="AC18" s="3709">
        <f>+'Maj Production Summ'!AD18</f>
        <v>179201</v>
      </c>
      <c r="AD18" s="3709">
        <f>+'Maj Production Summ'!AE18</f>
        <v>1452177.7286961903</v>
      </c>
      <c r="AE18" s="3709">
        <f>+'Maj Production Summ'!AF18</f>
        <v>1461972</v>
      </c>
      <c r="AF18" s="1461">
        <f>+'Maj Production Summ'!AG18</f>
        <v>237110.48158640199</v>
      </c>
      <c r="AG18" s="3709">
        <f>+'Maj Production Summ'!AH18</f>
        <v>229502</v>
      </c>
      <c r="AH18" s="5078">
        <f>+'Maj Production Summ'!AI18</f>
        <v>1689288.2102825923</v>
      </c>
      <c r="AI18" s="1074">
        <f>+'Maj Production Summ'!AJ18</f>
        <v>1691474</v>
      </c>
      <c r="AJ18" s="1461">
        <f>+'Maj Production Summ'!AK18</f>
        <v>244664.77809253999</v>
      </c>
      <c r="AK18" s="3709">
        <f>+'Maj Production Summ'!AL18</f>
        <v>234365</v>
      </c>
      <c r="AL18" s="2351">
        <f>+'Maj Production Summ'!AM18</f>
        <v>726440.03777148202</v>
      </c>
      <c r="AM18" s="2351">
        <f>+'Maj Production Summ'!AN18</f>
        <v>643068</v>
      </c>
      <c r="AN18" s="2550">
        <f>+'Maj Production Summ'!AO18</f>
        <v>1933952.9883751324</v>
      </c>
      <c r="AO18" s="2550">
        <f>+'Maj Production Summ'!AP18</f>
        <v>1925839</v>
      </c>
      <c r="AP18" s="1461">
        <f>+'Maj Production Summ'!AQ18</f>
        <v>248441.92634560907</v>
      </c>
      <c r="AQ18" s="3709">
        <f>+'Maj Production Summ'!AR18</f>
        <v>228047</v>
      </c>
      <c r="AR18" s="2420">
        <f>+'Maj Production Summ'!AS18</f>
        <v>2182394.9147207416</v>
      </c>
      <c r="AS18" s="2420">
        <f>+'Maj Production Summ'!AT18</f>
        <v>2153886</v>
      </c>
      <c r="AT18" s="1461">
        <f>+'Maj Production Summ'!AU18</f>
        <v>222001.88857412653</v>
      </c>
      <c r="AU18" s="3709">
        <f>+'Maj Production Summ'!AV18</f>
        <v>185016</v>
      </c>
      <c r="AV18" s="2550">
        <f>+'Maj Production Summ'!AW18</f>
        <v>2404396.8032948682</v>
      </c>
      <c r="AW18" s="2550">
        <f>+'Maj Production Summ'!AX18</f>
        <v>2338902</v>
      </c>
      <c r="AX18" s="1461">
        <f>+'Maj Production Summ'!AY18</f>
        <v>248441.92634560907</v>
      </c>
      <c r="AY18" s="3709">
        <f>+'Maj Production Summ'!AZ18</f>
        <v>241240</v>
      </c>
      <c r="AZ18" s="2351">
        <f>+'Maj Production Summ'!BA18</f>
        <v>718885.74126534467</v>
      </c>
      <c r="BA18" s="2351">
        <f>+'Maj Production Summ'!BB18</f>
        <v>654303</v>
      </c>
      <c r="BB18" s="2352">
        <f>+'Maj Production Summ'!BC18</f>
        <v>1445325.7790368267</v>
      </c>
      <c r="BC18" s="2352">
        <f>+'Maj Production Summ'!BD18</f>
        <v>1297371</v>
      </c>
      <c r="BD18" s="2550">
        <f>+'Maj Production Summ'!BE18</f>
        <v>2652838.7296404773</v>
      </c>
      <c r="BE18" s="2550">
        <f>+'Maj Production Summ'!BF18</f>
        <v>2580142</v>
      </c>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row>
    <row r="19" spans="1:93" ht="15.6" x14ac:dyDescent="0.3">
      <c r="A19" s="137"/>
      <c r="B19" s="2533" t="s">
        <v>1379</v>
      </c>
      <c r="C19" s="3716" t="s">
        <v>1378</v>
      </c>
      <c r="D19" s="5085">
        <f>+SMS!E94</f>
        <v>126</v>
      </c>
      <c r="E19" s="3729">
        <f>+SMS!F94</f>
        <v>161.08460251046023</v>
      </c>
      <c r="F19" s="5085">
        <f>+SMS!G94</f>
        <v>126</v>
      </c>
      <c r="G19" s="3729">
        <f>+SMS!H94</f>
        <v>175.44522360939561</v>
      </c>
      <c r="H19" s="3730">
        <f>+SMS!I94</f>
        <v>126</v>
      </c>
      <c r="I19" s="3730">
        <f>+SMS!J94</f>
        <v>165.46454566965659</v>
      </c>
      <c r="J19" s="5085">
        <f>+SMS!K94</f>
        <v>126</v>
      </c>
      <c r="K19" s="3729">
        <f>+SMS!L94</f>
        <v>124.27164043983849</v>
      </c>
      <c r="L19" s="3731">
        <f>+SMS!M94</f>
        <v>126</v>
      </c>
      <c r="M19" s="3731">
        <f>+SMS!N94</f>
        <v>147.70360709478607</v>
      </c>
      <c r="N19" s="5085">
        <f>+SMS!O94</f>
        <v>126</v>
      </c>
      <c r="O19" s="3729">
        <f>+SMS!P94</f>
        <v>124.43389951983349</v>
      </c>
      <c r="P19" s="3730">
        <f>+SMS!Q94</f>
        <v>126</v>
      </c>
      <c r="Q19" s="3730">
        <f>+SMS!R94</f>
        <v>140.49032817957183</v>
      </c>
      <c r="R19" s="5085">
        <f>+SMS!S94</f>
        <v>126</v>
      </c>
      <c r="S19" s="3729">
        <f>+SMS!T94</f>
        <v>122.5746386277365</v>
      </c>
      <c r="T19" s="3730">
        <f>+SMS!U94</f>
        <v>126.00000000000003</v>
      </c>
      <c r="U19" s="3730">
        <f>+SMS!V94</f>
        <v>136.4586346271133</v>
      </c>
      <c r="V19" s="5085">
        <f>+SMS!W94</f>
        <v>126</v>
      </c>
      <c r="W19" s="3729">
        <f>+SMS!X94</f>
        <v>126.05443907126829</v>
      </c>
      <c r="X19" s="3731">
        <f>+SMS!Y94</f>
        <v>126</v>
      </c>
      <c r="Y19" s="3731">
        <f>+SMS!Z94</f>
        <v>124.33059419520951</v>
      </c>
      <c r="Z19" s="3732">
        <f>+SMS!AA94</f>
        <v>126</v>
      </c>
      <c r="AA19" s="3732">
        <f>+SMS!AB94</f>
        <v>134.61874227746026</v>
      </c>
      <c r="AB19" s="5085">
        <f>+SMS!AC94</f>
        <v>126</v>
      </c>
      <c r="AC19" s="3729">
        <f>+SMS!AD94</f>
        <v>128.27485253988536</v>
      </c>
      <c r="AD19" s="3729">
        <f>+SMS!AE94</f>
        <v>126</v>
      </c>
      <c r="AE19" s="3729">
        <f>+SMS!AF94</f>
        <v>133.84114093840373</v>
      </c>
      <c r="AF19" s="5085">
        <f>+SMS!AG94</f>
        <v>126</v>
      </c>
      <c r="AG19" s="3729">
        <f>+SMS!AH94</f>
        <v>117.58051912401635</v>
      </c>
      <c r="AH19" s="3730">
        <f>+SMS!AI94</f>
        <v>126</v>
      </c>
      <c r="AI19" s="4686">
        <f>+SMS!AJ94</f>
        <v>131.63487277959931</v>
      </c>
      <c r="AJ19" s="5085">
        <f>+SMS!AK94</f>
        <v>126</v>
      </c>
      <c r="AK19" s="3729">
        <f>+SMS!AL94</f>
        <v>124.75182757664327</v>
      </c>
      <c r="AL19" s="2422">
        <f>+SMS!AM94</f>
        <v>126</v>
      </c>
      <c r="AM19" s="2422">
        <f>+SMS!AN94</f>
        <v>123.17423386018274</v>
      </c>
      <c r="AN19" s="2421">
        <f>+SMS!AO94</f>
        <v>126</v>
      </c>
      <c r="AO19" s="2421">
        <f>+SMS!AP94</f>
        <v>130.7972405117977</v>
      </c>
      <c r="AP19" s="5085">
        <f>+SMS!AQ94</f>
        <v>126</v>
      </c>
      <c r="AQ19" s="3729">
        <f>+SMS!AR94</f>
        <v>169.21073287524064</v>
      </c>
      <c r="AR19" s="4176">
        <f>+SMS!AS94</f>
        <v>126</v>
      </c>
      <c r="AS19" s="4176">
        <f>+SMS!AT94</f>
        <v>134.86434605638365</v>
      </c>
      <c r="AT19" s="5085">
        <f>+SMS!AU94</f>
        <v>126</v>
      </c>
      <c r="AU19" s="3729">
        <f>+SMS!AV94</f>
        <v>185.21806951831192</v>
      </c>
      <c r="AV19" s="2421">
        <f>+SMS!AW94</f>
        <v>125.99999999999997</v>
      </c>
      <c r="AW19" s="2421">
        <f>+SMS!AX94</f>
        <v>138.84751615074077</v>
      </c>
      <c r="AX19" s="5085">
        <f>+SMS!AY94</f>
        <v>126</v>
      </c>
      <c r="AY19" s="3729">
        <f>+SMS!AZ94</f>
        <v>151.68580061349692</v>
      </c>
      <c r="AZ19" s="2422">
        <f>+SMS!BA94</f>
        <v>126</v>
      </c>
      <c r="BA19" s="2422">
        <f>+SMS!BB94</f>
        <v>167.27569473164576</v>
      </c>
      <c r="BB19" s="2423">
        <f>+SMS!BC94</f>
        <v>126</v>
      </c>
      <c r="BC19" s="2423">
        <f>+SMS!BD94</f>
        <v>145.4159196636891</v>
      </c>
      <c r="BD19" s="2421">
        <f>+SMS!BA94</f>
        <v>126</v>
      </c>
      <c r="BE19" s="2421">
        <f>+SMS!BF94</f>
        <v>140.04787944229423</v>
      </c>
    </row>
    <row r="20" spans="1:93" ht="15.6" x14ac:dyDescent="0.3">
      <c r="A20" s="137"/>
      <c r="B20" s="2534"/>
      <c r="C20" s="3716"/>
      <c r="D20" s="5085"/>
      <c r="E20" s="3729"/>
      <c r="F20" s="5085"/>
      <c r="G20" s="3729"/>
      <c r="H20" s="3730"/>
      <c r="I20" s="3730"/>
      <c r="J20" s="5085"/>
      <c r="K20" s="3729"/>
      <c r="L20" s="3731"/>
      <c r="M20" s="3731"/>
      <c r="N20" s="5085"/>
      <c r="O20" s="3729"/>
      <c r="P20" s="3730"/>
      <c r="Q20" s="3730"/>
      <c r="R20" s="5085"/>
      <c r="S20" s="3729"/>
      <c r="T20" s="3730"/>
      <c r="U20" s="3730"/>
      <c r="V20" s="5085"/>
      <c r="W20" s="3729"/>
      <c r="X20" s="3731"/>
      <c r="Y20" s="3731"/>
      <c r="Z20" s="3732"/>
      <c r="AA20" s="3732"/>
      <c r="AB20" s="5085"/>
      <c r="AC20" s="3729"/>
      <c r="AD20" s="3729"/>
      <c r="AE20" s="3729"/>
      <c r="AF20" s="5085"/>
      <c r="AG20" s="3729"/>
      <c r="AH20" s="3730"/>
      <c r="AI20" s="4686"/>
      <c r="AJ20" s="5085"/>
      <c r="AK20" s="3729"/>
      <c r="AL20" s="2422"/>
      <c r="AM20" s="2422"/>
      <c r="AN20" s="2421"/>
      <c r="AO20" s="2421"/>
      <c r="AP20" s="5085"/>
      <c r="AQ20" s="3729"/>
      <c r="AR20" s="4176"/>
      <c r="AS20" s="4176"/>
      <c r="AT20" s="5085"/>
      <c r="AU20" s="3729"/>
      <c r="AV20" s="2421"/>
      <c r="AW20" s="2421"/>
      <c r="AX20" s="5085"/>
      <c r="AY20" s="3729"/>
      <c r="AZ20" s="2422"/>
      <c r="BA20" s="2422"/>
      <c r="BB20" s="2423"/>
      <c r="BC20" s="2423"/>
      <c r="BD20" s="2421"/>
      <c r="BE20" s="2421"/>
    </row>
    <row r="21" spans="1:93" s="137" customFormat="1" ht="15" customHeight="1" x14ac:dyDescent="0.3">
      <c r="B21" s="5107" t="s">
        <v>1380</v>
      </c>
      <c r="C21" s="5108" t="s">
        <v>351</v>
      </c>
      <c r="D21" s="5109"/>
      <c r="E21" s="5110">
        <f>+'Direct sales IPT details'!E105</f>
        <v>0</v>
      </c>
      <c r="F21" s="5109"/>
      <c r="G21" s="5110">
        <f>+'Direct sales IPT details'!G105</f>
        <v>0</v>
      </c>
      <c r="H21" s="5062"/>
      <c r="I21" s="5062">
        <f>+G21+E21</f>
        <v>0</v>
      </c>
      <c r="J21" s="5109"/>
      <c r="K21" s="5110">
        <f>+'Direct sales IPT details'!K105</f>
        <v>0</v>
      </c>
      <c r="L21" s="5111"/>
      <c r="M21" s="4954">
        <f>+E21+G21+K21</f>
        <v>0</v>
      </c>
      <c r="N21" s="5109"/>
      <c r="O21" s="5110">
        <f>+'Direct sales IPT details'!O105</f>
        <v>3071.800000000002</v>
      </c>
      <c r="P21" s="5062"/>
      <c r="Q21" s="5062">
        <f>+O21+M21</f>
        <v>3071.800000000002</v>
      </c>
      <c r="R21" s="5109"/>
      <c r="S21" s="5110">
        <f>+'Direct sales IPT details'!S105</f>
        <v>4523.51</v>
      </c>
      <c r="T21" s="5112"/>
      <c r="U21" s="5062">
        <f>+S21+Q21</f>
        <v>7595.3100000000022</v>
      </c>
      <c r="V21" s="5109"/>
      <c r="W21" s="5110">
        <f>+'Direct sales IPT details'!W105</f>
        <v>8437.6100000000024</v>
      </c>
      <c r="X21" s="5111"/>
      <c r="Y21" s="4954">
        <f>+O21+S21+W21</f>
        <v>16032.920000000006</v>
      </c>
      <c r="Z21" s="5113"/>
      <c r="AA21" s="4955">
        <f>+Y21+M21</f>
        <v>16032.920000000006</v>
      </c>
      <c r="AB21" s="5109"/>
      <c r="AC21" s="5110">
        <f>+'Direct sales IPT details'!AC105</f>
        <v>15050.02</v>
      </c>
      <c r="AD21" s="5112"/>
      <c r="AE21" s="5062">
        <f>+AC21+AA21</f>
        <v>31082.940000000006</v>
      </c>
      <c r="AF21" s="5109"/>
      <c r="AG21" s="5110">
        <f>+'Direct sales IPT details'!AG105</f>
        <v>11706.12</v>
      </c>
      <c r="AH21" s="5112"/>
      <c r="AI21" s="5062">
        <f>+AG21+AE21</f>
        <v>42789.060000000005</v>
      </c>
      <c r="AJ21" s="5109"/>
      <c r="AK21" s="5110">
        <f>+'Direct sales IPT details'!AK105</f>
        <v>6843.46</v>
      </c>
      <c r="AL21" s="5111"/>
      <c r="AM21" s="4954">
        <f>+AC21+AG21+AK21</f>
        <v>33599.599999999999</v>
      </c>
      <c r="AN21" s="5112"/>
      <c r="AO21" s="5062">
        <f>+AK21+AI21</f>
        <v>49632.520000000004</v>
      </c>
      <c r="AP21" s="5109"/>
      <c r="AQ21" s="5110">
        <f>+'Direct sales IPT details'!AQ105</f>
        <v>6263.2699999999968</v>
      </c>
      <c r="AR21" s="5114"/>
      <c r="AS21" s="5059">
        <f>+AQ21+AO21</f>
        <v>55895.79</v>
      </c>
      <c r="AT21" s="5109"/>
      <c r="AU21" s="5110">
        <f>+'Direct sales IPT details'!AU105</f>
        <v>0</v>
      </c>
      <c r="AV21" s="5112"/>
      <c r="AW21" s="5062">
        <f>+AU21+AS21</f>
        <v>55895.79</v>
      </c>
      <c r="AX21" s="5109"/>
      <c r="AY21" s="5110">
        <f>+'Direct sales IPT details'!AY105</f>
        <v>0</v>
      </c>
      <c r="AZ21" s="5111"/>
      <c r="BA21" s="4954">
        <f>+AQ21+AU21+AY21</f>
        <v>6263.2699999999968</v>
      </c>
      <c r="BB21" s="5113"/>
      <c r="BC21" s="4955">
        <f t="shared" ref="BC21:BC35" si="57">+BA21+AM21</f>
        <v>39862.869999999995</v>
      </c>
      <c r="BD21" s="5112"/>
      <c r="BE21" s="5062">
        <f>+AY21+AW21</f>
        <v>55895.79</v>
      </c>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row>
    <row r="22" spans="1:93" ht="15.6" x14ac:dyDescent="0.3">
      <c r="A22" s="137"/>
      <c r="B22" s="5107" t="s">
        <v>907</v>
      </c>
      <c r="C22" s="5108" t="s">
        <v>351</v>
      </c>
      <c r="D22" s="6342"/>
      <c r="E22" s="5059">
        <f>+'Direct sales IPT details'!E107</f>
        <v>3762.94</v>
      </c>
      <c r="F22" s="6342"/>
      <c r="G22" s="5059">
        <f>+'Direct sales IPT details'!G107</f>
        <v>9491.9599999999991</v>
      </c>
      <c r="H22" s="6343">
        <f t="shared" ref="H22" si="58">+F22+D22</f>
        <v>0</v>
      </c>
      <c r="I22" s="5062">
        <f t="shared" ref="I22:I35" si="59">+G22+E22</f>
        <v>13254.9</v>
      </c>
      <c r="J22" s="6342">
        <v>17399.384471259</v>
      </c>
      <c r="K22" s="5059">
        <f>+'Direct sales IPT details'!K107</f>
        <v>3441.08</v>
      </c>
      <c r="L22" s="6345">
        <f>+D22+F22+J22</f>
        <v>17399.384471259</v>
      </c>
      <c r="M22" s="4954">
        <f t="shared" ref="M22:M35" si="60">+E22+G22+K22</f>
        <v>16695.98</v>
      </c>
      <c r="N22" s="6342">
        <v>17730.0480062395</v>
      </c>
      <c r="O22" s="5059">
        <f>+'Direct sales IPT details'!O107</f>
        <v>7462.4800000000014</v>
      </c>
      <c r="P22" s="6343">
        <f t="shared" ref="P22" si="61">+N22+L22</f>
        <v>35129.4324774985</v>
      </c>
      <c r="Q22" s="5062">
        <f t="shared" ref="Q22:Q25" si="62">+O22+M22</f>
        <v>24158.46</v>
      </c>
      <c r="R22" s="6342"/>
      <c r="S22" s="5059">
        <f>+'Direct sales IPT details'!S107</f>
        <v>36.89</v>
      </c>
      <c r="T22" s="6343">
        <f>+R22+P22</f>
        <v>35129.4324774985</v>
      </c>
      <c r="U22" s="5062">
        <f t="shared" ref="U22:U35" si="63">+S22+Q22</f>
        <v>24195.35</v>
      </c>
      <c r="V22" s="6342"/>
      <c r="W22" s="5059">
        <f>+'Direct sales IPT details'!W107</f>
        <v>7271.5400000000009</v>
      </c>
      <c r="X22" s="6345">
        <f>N22+R22+V22</f>
        <v>17730.0480062395</v>
      </c>
      <c r="Y22" s="4954">
        <f t="shared" ref="Y22:Y35" si="64">+O22+S22+W22</f>
        <v>14770.910000000003</v>
      </c>
      <c r="Z22" s="6346">
        <f>+X22+L22</f>
        <v>35129.4324774985</v>
      </c>
      <c r="AA22" s="4955">
        <f t="shared" ref="AA22:AA35" si="65">+Y22+M22</f>
        <v>31466.890000000003</v>
      </c>
      <c r="AB22" s="6342"/>
      <c r="AC22" s="5059">
        <f>+'Direct sales IPT details'!AC107</f>
        <v>227.29</v>
      </c>
      <c r="AD22" s="6343">
        <f>+AB22+Z22</f>
        <v>35129.4324774985</v>
      </c>
      <c r="AE22" s="5062">
        <f t="shared" ref="AE22:AE35" si="66">+AC22+AA22</f>
        <v>31694.180000000004</v>
      </c>
      <c r="AF22" s="6342"/>
      <c r="AG22" s="5059">
        <f>+'Direct sales IPT details'!AG107</f>
        <v>7499.21</v>
      </c>
      <c r="AH22" s="6343">
        <f>+AF22+AD22</f>
        <v>35129.4324774985</v>
      </c>
      <c r="AI22" s="5062">
        <f t="shared" ref="AI22:AI25" si="67">+AG22+AE22</f>
        <v>39193.390000000007</v>
      </c>
      <c r="AJ22" s="6342"/>
      <c r="AK22" s="5059">
        <f>+'Direct sales IPT details'!AK107</f>
        <v>7498.31</v>
      </c>
      <c r="AL22" s="6355">
        <f>AB22+AF22+AJ22</f>
        <v>0</v>
      </c>
      <c r="AM22" s="4954">
        <f t="shared" ref="AM22:AM35" si="68">+AC22+AG22+AK22</f>
        <v>15224.810000000001</v>
      </c>
      <c r="AN22" s="6343">
        <f>+AJ22+AH22</f>
        <v>35129.4324774985</v>
      </c>
      <c r="AO22" s="5062">
        <f t="shared" ref="AO22:AO35" si="69">+AK22+AI22</f>
        <v>46691.700000000004</v>
      </c>
      <c r="AP22" s="6342"/>
      <c r="AQ22" s="5059">
        <f>+'Direct sales IPT details'!AQ107</f>
        <v>5623.5899999999983</v>
      </c>
      <c r="AR22" s="6343">
        <f>+AP22+AN22</f>
        <v>35129.4324774985</v>
      </c>
      <c r="AS22" s="5062">
        <f t="shared" ref="AS22:AS35" si="70">+AQ22+AO22</f>
        <v>52315.29</v>
      </c>
      <c r="AT22" s="6342"/>
      <c r="AU22" s="5059">
        <f>+'Direct sales IPT details'!AU107</f>
        <v>5113.6299999999992</v>
      </c>
      <c r="AV22" s="6343">
        <f>+AT22+AR22</f>
        <v>35129.4324774985</v>
      </c>
      <c r="AW22" s="5062">
        <f t="shared" ref="AW22:AW25" si="71">+AU22+AS22</f>
        <v>57428.92</v>
      </c>
      <c r="AX22" s="6342"/>
      <c r="AY22" s="5059">
        <f>+'Direct sales IPT details'!AY107</f>
        <v>1762.6700000000003</v>
      </c>
      <c r="AZ22" s="6355">
        <f>AP22+AT22+AX22</f>
        <v>0</v>
      </c>
      <c r="BA22" s="4954">
        <f t="shared" ref="BA22:BA35" si="72">+AQ22+AU22+AY22</f>
        <v>12499.889999999998</v>
      </c>
      <c r="BB22" s="6346">
        <f>+AZ22+AN22</f>
        <v>35129.4324774985</v>
      </c>
      <c r="BC22" s="4955">
        <f t="shared" si="57"/>
        <v>27724.699999999997</v>
      </c>
      <c r="BD22" s="6343">
        <f>+AX22+AV22</f>
        <v>35129.4324774985</v>
      </c>
      <c r="BE22" s="5062">
        <f t="shared" ref="BE22:BE35" si="73">+AY22+AW22</f>
        <v>59191.59</v>
      </c>
    </row>
    <row r="23" spans="1:93" s="137" customFormat="1" ht="15.75" customHeight="1" x14ac:dyDescent="0.3">
      <c r="B23" s="5107" t="s">
        <v>1219</v>
      </c>
      <c r="C23" s="5108" t="s">
        <v>351</v>
      </c>
      <c r="D23" s="6342"/>
      <c r="E23" s="5059">
        <f>+'Direct sales IPT details'!E108</f>
        <v>1480.23</v>
      </c>
      <c r="F23" s="6342"/>
      <c r="G23" s="5059">
        <f>+'Direct sales IPT details'!G108</f>
        <v>519.14</v>
      </c>
      <c r="H23" s="6343"/>
      <c r="I23" s="5062">
        <f t="shared" si="59"/>
        <v>1999.37</v>
      </c>
      <c r="J23" s="6342"/>
      <c r="K23" s="5059">
        <f>+'Direct sales IPT details'!K108</f>
        <v>0</v>
      </c>
      <c r="L23" s="6345"/>
      <c r="M23" s="4954">
        <f t="shared" si="60"/>
        <v>1999.37</v>
      </c>
      <c r="N23" s="6342"/>
      <c r="O23" s="5059">
        <f>+'Direct sales IPT details'!O108</f>
        <v>2456.2199999999998</v>
      </c>
      <c r="P23" s="6343"/>
      <c r="Q23" s="5062">
        <f t="shared" si="62"/>
        <v>4455.59</v>
      </c>
      <c r="R23" s="6342"/>
      <c r="S23" s="5059">
        <f>+'Direct sales IPT details'!S108</f>
        <v>42.35</v>
      </c>
      <c r="T23" s="6343"/>
      <c r="U23" s="5062">
        <f t="shared" si="63"/>
        <v>4497.9400000000005</v>
      </c>
      <c r="V23" s="6342"/>
      <c r="W23" s="5059">
        <f>+'Direct sales IPT details'!W108</f>
        <v>2499.7500000000009</v>
      </c>
      <c r="X23" s="6345"/>
      <c r="Y23" s="4954">
        <f t="shared" si="64"/>
        <v>4998.3200000000006</v>
      </c>
      <c r="Z23" s="6346"/>
      <c r="AA23" s="4955">
        <f t="shared" si="65"/>
        <v>6997.6900000000005</v>
      </c>
      <c r="AB23" s="6342"/>
      <c r="AC23" s="5059">
        <f>+'Direct sales IPT details'!AC108</f>
        <v>0</v>
      </c>
      <c r="AD23" s="6343"/>
      <c r="AE23" s="5062">
        <f t="shared" si="66"/>
        <v>6997.6900000000005</v>
      </c>
      <c r="AF23" s="6342"/>
      <c r="AG23" s="5059">
        <f>+'Direct sales IPT details'!AG108</f>
        <v>2499.4499999999998</v>
      </c>
      <c r="AH23" s="6343"/>
      <c r="AI23" s="5062">
        <f t="shared" si="67"/>
        <v>9497.14</v>
      </c>
      <c r="AJ23" s="6342"/>
      <c r="AK23" s="5059">
        <f>+'Direct sales IPT details'!AK108</f>
        <v>2499.71</v>
      </c>
      <c r="AL23" s="6355"/>
      <c r="AM23" s="4954">
        <f t="shared" si="68"/>
        <v>4999.16</v>
      </c>
      <c r="AN23" s="6343"/>
      <c r="AO23" s="5062">
        <f t="shared" si="69"/>
        <v>11996.849999999999</v>
      </c>
      <c r="AP23" s="6342"/>
      <c r="AQ23" s="5059">
        <f>+'Direct sales IPT details'!AQ108</f>
        <v>2499.9199999999996</v>
      </c>
      <c r="AR23" s="6343"/>
      <c r="AS23" s="5062">
        <f t="shared" si="70"/>
        <v>14496.769999999999</v>
      </c>
      <c r="AT23" s="6342"/>
      <c r="AU23" s="5059">
        <f>+'Direct sales IPT details'!AU108</f>
        <v>2499.7399999999998</v>
      </c>
      <c r="AV23" s="6343"/>
      <c r="AW23" s="5062">
        <f t="shared" si="71"/>
        <v>16996.509999999998</v>
      </c>
      <c r="AX23" s="6342"/>
      <c r="AY23" s="5059">
        <f>+'Direct sales IPT details'!AY108</f>
        <v>0</v>
      </c>
      <c r="AZ23" s="6355"/>
      <c r="BA23" s="4954">
        <f t="shared" si="72"/>
        <v>4999.66</v>
      </c>
      <c r="BB23" s="6346"/>
      <c r="BC23" s="4955">
        <f t="shared" si="57"/>
        <v>9998.82</v>
      </c>
      <c r="BD23" s="6343"/>
      <c r="BE23" s="5062">
        <f t="shared" si="73"/>
        <v>16996.509999999998</v>
      </c>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row>
    <row r="24" spans="1:93" s="137" customFormat="1" ht="15.75" customHeight="1" x14ac:dyDescent="0.3">
      <c r="B24" s="5107" t="s">
        <v>1300</v>
      </c>
      <c r="C24" s="5108" t="s">
        <v>351</v>
      </c>
      <c r="D24" s="6342"/>
      <c r="E24" s="5059">
        <f>+'Direct sales IPT details'!E109</f>
        <v>0</v>
      </c>
      <c r="F24" s="6342"/>
      <c r="G24" s="5059">
        <f>+'Direct sales IPT details'!G109</f>
        <v>0</v>
      </c>
      <c r="H24" s="6343"/>
      <c r="I24" s="5062">
        <f t="shared" si="59"/>
        <v>0</v>
      </c>
      <c r="J24" s="6342"/>
      <c r="K24" s="5059">
        <f>+'Direct sales IPT details'!K109</f>
        <v>0</v>
      </c>
      <c r="L24" s="6345"/>
      <c r="M24" s="4954">
        <f t="shared" si="60"/>
        <v>0</v>
      </c>
      <c r="N24" s="6342"/>
      <c r="O24" s="5059">
        <f>+'Direct sales IPT details'!O109</f>
        <v>2403.2400000000002</v>
      </c>
      <c r="P24" s="6343"/>
      <c r="Q24" s="5062">
        <f t="shared" si="62"/>
        <v>2403.2400000000002</v>
      </c>
      <c r="R24" s="6342"/>
      <c r="S24" s="5059">
        <f>+'Direct sales IPT details'!S109</f>
        <v>95.97</v>
      </c>
      <c r="T24" s="6343"/>
      <c r="U24" s="5062">
        <f t="shared" si="63"/>
        <v>2499.21</v>
      </c>
      <c r="V24" s="6342"/>
      <c r="W24" s="5059">
        <f>+'Direct sales IPT details'!W109</f>
        <v>999.81</v>
      </c>
      <c r="X24" s="6345"/>
      <c r="Y24" s="4954">
        <f t="shared" si="64"/>
        <v>3499.02</v>
      </c>
      <c r="Z24" s="6346"/>
      <c r="AA24" s="4955">
        <f t="shared" si="65"/>
        <v>3499.02</v>
      </c>
      <c r="AB24" s="6342"/>
      <c r="AC24" s="5059">
        <f>+'Direct sales IPT details'!AC109</f>
        <v>1499.9</v>
      </c>
      <c r="AD24" s="5062"/>
      <c r="AE24" s="5062">
        <f t="shared" si="66"/>
        <v>4998.92</v>
      </c>
      <c r="AF24" s="6342"/>
      <c r="AG24" s="5059">
        <f>+'Direct sales IPT details'!AG109</f>
        <v>530.13</v>
      </c>
      <c r="AH24" s="5062"/>
      <c r="AI24" s="5062">
        <f t="shared" si="67"/>
        <v>5529.05</v>
      </c>
      <c r="AJ24" s="6342"/>
      <c r="AK24" s="5059">
        <f>+'Direct sales IPT details'!AK109</f>
        <v>1969.72</v>
      </c>
      <c r="AL24" s="6355"/>
      <c r="AM24" s="4954">
        <f t="shared" si="68"/>
        <v>3999.75</v>
      </c>
      <c r="AN24" s="6343"/>
      <c r="AO24" s="5062">
        <f t="shared" si="69"/>
        <v>7498.77</v>
      </c>
      <c r="AP24" s="6342"/>
      <c r="AQ24" s="5059">
        <f>+'Direct sales IPT details'!AQ109</f>
        <v>9998.68</v>
      </c>
      <c r="AR24" s="6343"/>
      <c r="AS24" s="5062">
        <f t="shared" si="70"/>
        <v>17497.45</v>
      </c>
      <c r="AT24" s="6342"/>
      <c r="AU24" s="5059">
        <f>+'Direct sales IPT details'!AU109</f>
        <v>6840.1899999999987</v>
      </c>
      <c r="AV24" s="6343"/>
      <c r="AW24" s="5062">
        <f t="shared" si="71"/>
        <v>24337.64</v>
      </c>
      <c r="AX24" s="6342"/>
      <c r="AY24" s="5059">
        <f>+'Direct sales IPT details'!AY109</f>
        <v>3159.2599999999993</v>
      </c>
      <c r="AZ24" s="6355"/>
      <c r="BA24" s="4954">
        <f t="shared" si="72"/>
        <v>19998.129999999997</v>
      </c>
      <c r="BB24" s="6346"/>
      <c r="BC24" s="4955">
        <f t="shared" si="57"/>
        <v>23997.879999999997</v>
      </c>
      <c r="BD24" s="6343"/>
      <c r="BE24" s="5062">
        <f t="shared" si="73"/>
        <v>27496.899999999998</v>
      </c>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row>
    <row r="25" spans="1:93" s="137" customFormat="1" ht="15.75" hidden="1" customHeight="1" thickBot="1" x14ac:dyDescent="0.35">
      <c r="B25" s="5107" t="str">
        <f>+'Direct sales IPT details'!B110</f>
        <v>NON MAGNETIC UNSCREEN WORK THROUGH SLAG</v>
      </c>
      <c r="C25" s="5108" t="s">
        <v>351</v>
      </c>
      <c r="D25" s="6342"/>
      <c r="E25" s="5059">
        <f>+'Direct sales IPT details'!E110</f>
        <v>0</v>
      </c>
      <c r="F25" s="6342"/>
      <c r="G25" s="5059">
        <f>+'Direct sales IPT details'!G110</f>
        <v>0</v>
      </c>
      <c r="H25" s="6343"/>
      <c r="I25" s="5062">
        <f t="shared" si="59"/>
        <v>0</v>
      </c>
      <c r="J25" s="6342"/>
      <c r="K25" s="5059">
        <f>+'Direct sales IPT details'!K110</f>
        <v>0</v>
      </c>
      <c r="L25" s="6345"/>
      <c r="M25" s="4954">
        <f t="shared" si="60"/>
        <v>0</v>
      </c>
      <c r="N25" s="6342"/>
      <c r="O25" s="5059">
        <f>+'Direct sales IPT details'!O110</f>
        <v>0</v>
      </c>
      <c r="P25" s="6343"/>
      <c r="Q25" s="5062">
        <f t="shared" si="62"/>
        <v>0</v>
      </c>
      <c r="R25" s="6342"/>
      <c r="S25" s="5059">
        <f>+'Direct sales IPT details'!S110</f>
        <v>0</v>
      </c>
      <c r="T25" s="6343"/>
      <c r="U25" s="5062">
        <f t="shared" si="63"/>
        <v>0</v>
      </c>
      <c r="V25" s="6342"/>
      <c r="W25" s="5059">
        <f>+'Direct sales IPT details'!W110</f>
        <v>0</v>
      </c>
      <c r="X25" s="6345"/>
      <c r="Y25" s="4954">
        <f t="shared" si="64"/>
        <v>0</v>
      </c>
      <c r="Z25" s="6346"/>
      <c r="AA25" s="4955">
        <f t="shared" si="65"/>
        <v>0</v>
      </c>
      <c r="AB25" s="6342"/>
      <c r="AC25" s="5059">
        <f>+'Direct sales IPT details'!AC110</f>
        <v>0</v>
      </c>
      <c r="AD25" s="5115"/>
      <c r="AE25" s="5062">
        <f t="shared" si="66"/>
        <v>0</v>
      </c>
      <c r="AF25" s="6342"/>
      <c r="AG25" s="5059">
        <f>+'Direct sales IPT details'!AG110</f>
        <v>0</v>
      </c>
      <c r="AH25" s="5115"/>
      <c r="AI25" s="5062">
        <f t="shared" si="67"/>
        <v>0</v>
      </c>
      <c r="AJ25" s="6342"/>
      <c r="AK25" s="5059">
        <f>+'Direct sales IPT details'!AK110</f>
        <v>0</v>
      </c>
      <c r="AL25" s="6355"/>
      <c r="AM25" s="4954">
        <f t="shared" si="68"/>
        <v>0</v>
      </c>
      <c r="AN25" s="6343"/>
      <c r="AO25" s="5062">
        <f t="shared" si="69"/>
        <v>0</v>
      </c>
      <c r="AP25" s="6342"/>
      <c r="AQ25" s="5059">
        <f>+'Direct sales IPT details'!AQ110</f>
        <v>0</v>
      </c>
      <c r="AR25" s="6343"/>
      <c r="AS25" s="5062">
        <f t="shared" si="70"/>
        <v>0</v>
      </c>
      <c r="AT25" s="6342"/>
      <c r="AU25" s="5059">
        <f>+'Direct sales IPT details'!AU110</f>
        <v>0</v>
      </c>
      <c r="AV25" s="6343"/>
      <c r="AW25" s="5062">
        <f t="shared" si="71"/>
        <v>0</v>
      </c>
      <c r="AX25" s="6342"/>
      <c r="AY25" s="5059">
        <f>+'Direct sales IPT details'!AY110</f>
        <v>0</v>
      </c>
      <c r="AZ25" s="6355"/>
      <c r="BA25" s="4954">
        <f t="shared" si="72"/>
        <v>0</v>
      </c>
      <c r="BB25" s="6346"/>
      <c r="BC25" s="4955">
        <f t="shared" si="57"/>
        <v>0</v>
      </c>
      <c r="BD25" s="6343"/>
      <c r="BE25" s="5062">
        <f t="shared" si="73"/>
        <v>0</v>
      </c>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row>
    <row r="26" spans="1:93" s="137" customFormat="1" ht="15.6" x14ac:dyDescent="0.3">
      <c r="B26" s="4421" t="s">
        <v>403</v>
      </c>
      <c r="D26" s="4997"/>
      <c r="E26" s="4997"/>
      <c r="F26" s="4997"/>
      <c r="G26" s="4997"/>
      <c r="H26" s="140"/>
      <c r="I26" s="140"/>
      <c r="J26" s="4997"/>
      <c r="K26" s="4997"/>
      <c r="L26" s="140"/>
      <c r="M26" s="140"/>
      <c r="N26" s="4997"/>
      <c r="O26" s="4997"/>
      <c r="P26" s="140"/>
      <c r="Q26" s="140"/>
      <c r="R26" s="4997"/>
      <c r="S26" s="4997"/>
      <c r="T26" s="140"/>
      <c r="U26" s="140"/>
      <c r="V26" s="4997"/>
      <c r="W26" s="4997"/>
      <c r="X26" s="140"/>
      <c r="Y26" s="140"/>
      <c r="Z26" s="140"/>
      <c r="AA26" s="140"/>
      <c r="AB26" s="4997"/>
      <c r="AC26" s="4997"/>
      <c r="AD26" s="140"/>
      <c r="AE26" s="140"/>
      <c r="AF26" s="4997"/>
      <c r="AG26" s="4997"/>
      <c r="AH26" s="5086"/>
      <c r="AI26" s="5086"/>
      <c r="AJ26" s="4997"/>
      <c r="AK26" s="4997"/>
      <c r="AL26" s="140"/>
      <c r="AM26" s="140"/>
      <c r="AN26" s="140"/>
      <c r="AO26" s="140"/>
      <c r="AP26" s="4997"/>
      <c r="AQ26" s="4997"/>
      <c r="AR26" s="140"/>
      <c r="AS26" s="140"/>
      <c r="AT26" s="4997"/>
      <c r="AU26" s="4997"/>
      <c r="AV26" s="5086"/>
      <c r="AW26" s="5086"/>
      <c r="AX26" s="4997"/>
      <c r="AY26" s="4997"/>
      <c r="AZ26" s="140"/>
      <c r="BA26" s="140"/>
      <c r="BB26" s="140"/>
      <c r="BC26" s="140"/>
      <c r="BD26" s="140"/>
      <c r="BE26" s="140"/>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row>
    <row r="27" spans="1:93" ht="15.6" x14ac:dyDescent="0.3">
      <c r="B27" s="2535" t="s">
        <v>1126</v>
      </c>
      <c r="C27" s="743" t="s">
        <v>351</v>
      </c>
      <c r="D27" s="2537"/>
      <c r="E27" s="2424">
        <v>0</v>
      </c>
      <c r="F27" s="2537"/>
      <c r="G27" s="2424">
        <v>0</v>
      </c>
      <c r="H27" s="2426"/>
      <c r="I27" s="2550">
        <f t="shared" si="59"/>
        <v>0</v>
      </c>
      <c r="J27" s="2537"/>
      <c r="K27" s="2424"/>
      <c r="L27" s="2427"/>
      <c r="M27" s="2351">
        <f t="shared" si="60"/>
        <v>0</v>
      </c>
      <c r="N27" s="2537"/>
      <c r="O27" s="2424"/>
      <c r="P27" s="2426"/>
      <c r="Q27" s="2550">
        <f t="shared" ref="Q27:Q35" si="74">+O27+M27</f>
        <v>0</v>
      </c>
      <c r="R27" s="2537"/>
      <c r="S27" s="2424">
        <v>4280</v>
      </c>
      <c r="T27" s="2426"/>
      <c r="U27" s="2550">
        <f t="shared" si="63"/>
        <v>4280</v>
      </c>
      <c r="V27" s="2537"/>
      <c r="W27" s="2424">
        <v>3000.4</v>
      </c>
      <c r="X27" s="2427"/>
      <c r="Y27" s="2351">
        <f>+O27+S27+W27</f>
        <v>7280.4</v>
      </c>
      <c r="Z27" s="2428"/>
      <c r="AA27" s="2352">
        <f t="shared" si="65"/>
        <v>7280.4</v>
      </c>
      <c r="AB27" s="2537"/>
      <c r="AC27" s="2424"/>
      <c r="AD27" s="2426"/>
      <c r="AE27" s="2550">
        <f t="shared" si="66"/>
        <v>7280.4</v>
      </c>
      <c r="AF27" s="2537"/>
      <c r="AG27" s="2424"/>
      <c r="AH27" s="2426"/>
      <c r="AI27" s="2550">
        <f t="shared" ref="AI27:AI35" si="75">+AG27+AE27</f>
        <v>7280.4</v>
      </c>
      <c r="AJ27" s="2537"/>
      <c r="AK27" s="2424"/>
      <c r="AL27" s="2427"/>
      <c r="AM27" s="2351">
        <f t="shared" si="68"/>
        <v>0</v>
      </c>
      <c r="AN27" s="2426"/>
      <c r="AO27" s="2550">
        <f t="shared" si="69"/>
        <v>7280.4</v>
      </c>
      <c r="AP27" s="2537"/>
      <c r="AQ27" s="2424">
        <v>0</v>
      </c>
      <c r="AR27" s="2426"/>
      <c r="AS27" s="2550">
        <f t="shared" si="70"/>
        <v>7280.4</v>
      </c>
      <c r="AT27" s="2537"/>
      <c r="AU27" s="2424"/>
      <c r="AV27" s="2426"/>
      <c r="AW27" s="2550">
        <f t="shared" ref="AW27:AW35" si="76">+AU27+AS27</f>
        <v>7280.4</v>
      </c>
      <c r="AX27" s="2537"/>
      <c r="AY27" s="2424"/>
      <c r="AZ27" s="2427"/>
      <c r="BA27" s="2351">
        <f t="shared" si="72"/>
        <v>0</v>
      </c>
      <c r="BB27" s="2428"/>
      <c r="BC27" s="2352">
        <f t="shared" si="57"/>
        <v>0</v>
      </c>
      <c r="BD27" s="2426"/>
      <c r="BE27" s="2550">
        <f t="shared" si="73"/>
        <v>7280.4</v>
      </c>
    </row>
    <row r="28" spans="1:93" ht="15.6" x14ac:dyDescent="0.3">
      <c r="B28" s="2536" t="s">
        <v>1599</v>
      </c>
      <c r="C28" s="743" t="s">
        <v>351</v>
      </c>
      <c r="D28" s="2537"/>
      <c r="E28" s="2424">
        <v>105040</v>
      </c>
      <c r="F28" s="2537"/>
      <c r="G28" s="5544">
        <v>149960</v>
      </c>
      <c r="H28" s="2426"/>
      <c r="I28" s="2550">
        <f t="shared" si="59"/>
        <v>255000</v>
      </c>
      <c r="J28" s="2537"/>
      <c r="K28" s="2424">
        <v>93920</v>
      </c>
      <c r="L28" s="2427"/>
      <c r="M28" s="2351">
        <f t="shared" si="60"/>
        <v>348920</v>
      </c>
      <c r="N28" s="2537"/>
      <c r="O28" s="2424">
        <v>70000</v>
      </c>
      <c r="P28" s="2426"/>
      <c r="Q28" s="2550">
        <f t="shared" si="74"/>
        <v>418920</v>
      </c>
      <c r="R28" s="2537"/>
      <c r="S28" s="2424">
        <v>83200</v>
      </c>
      <c r="T28" s="2426"/>
      <c r="U28" s="2550">
        <f t="shared" si="63"/>
        <v>502120</v>
      </c>
      <c r="V28" s="2537"/>
      <c r="W28" s="2424">
        <v>57000.4</v>
      </c>
      <c r="X28" s="2427"/>
      <c r="Y28" s="2351">
        <f t="shared" si="64"/>
        <v>210200.4</v>
      </c>
      <c r="Z28" s="2428"/>
      <c r="AA28" s="2352">
        <f t="shared" si="65"/>
        <v>559120.4</v>
      </c>
      <c r="AB28" s="2537"/>
      <c r="AC28" s="2424">
        <v>99160</v>
      </c>
      <c r="AD28" s="2426"/>
      <c r="AE28" s="2550">
        <f t="shared" si="66"/>
        <v>658280.4</v>
      </c>
      <c r="AF28" s="2537"/>
      <c r="AG28" s="2424">
        <v>109440</v>
      </c>
      <c r="AH28" s="2426"/>
      <c r="AI28" s="2550">
        <f t="shared" si="75"/>
        <v>767720.4</v>
      </c>
      <c r="AJ28" s="2537"/>
      <c r="AK28" s="2424">
        <v>123040</v>
      </c>
      <c r="AL28" s="2427"/>
      <c r="AM28" s="2351">
        <f t="shared" si="68"/>
        <v>331640</v>
      </c>
      <c r="AN28" s="2426"/>
      <c r="AO28" s="2550">
        <f t="shared" si="69"/>
        <v>890760.4</v>
      </c>
      <c r="AP28" s="2537"/>
      <c r="AQ28" s="2424">
        <v>195520</v>
      </c>
      <c r="AR28" s="2426"/>
      <c r="AS28" s="2550">
        <f t="shared" si="70"/>
        <v>1086280.3999999999</v>
      </c>
      <c r="AT28" s="2537"/>
      <c r="AU28" s="2424">
        <v>208320</v>
      </c>
      <c r="AV28" s="2426"/>
      <c r="AW28" s="2550">
        <f t="shared" si="76"/>
        <v>1294600.3999999999</v>
      </c>
      <c r="AX28" s="2537"/>
      <c r="AY28" s="2424">
        <v>203940</v>
      </c>
      <c r="AZ28" s="2427"/>
      <c r="BA28" s="2351">
        <f t="shared" si="72"/>
        <v>607780</v>
      </c>
      <c r="BB28" s="2428"/>
      <c r="BC28" s="2352">
        <f t="shared" si="57"/>
        <v>939420</v>
      </c>
      <c r="BD28" s="2426"/>
      <c r="BE28" s="2550">
        <f t="shared" si="73"/>
        <v>1498540.4</v>
      </c>
    </row>
    <row r="29" spans="1:93" ht="15.6" x14ac:dyDescent="0.3">
      <c r="B29" s="2535" t="s">
        <v>980</v>
      </c>
      <c r="C29" s="743" t="s">
        <v>351</v>
      </c>
      <c r="D29" s="2539"/>
      <c r="E29" s="2424">
        <f>+SINTER!F15</f>
        <v>0</v>
      </c>
      <c r="F29" s="2539"/>
      <c r="G29" s="5544">
        <f>+SINTER!H15</f>
        <v>0</v>
      </c>
      <c r="H29" s="2426"/>
      <c r="I29" s="2550">
        <f t="shared" si="59"/>
        <v>0</v>
      </c>
      <c r="J29" s="2539"/>
      <c r="K29" s="2424">
        <f>+SINTER!L15</f>
        <v>0</v>
      </c>
      <c r="L29" s="2427"/>
      <c r="M29" s="2351">
        <f t="shared" si="60"/>
        <v>0</v>
      </c>
      <c r="N29" s="2539"/>
      <c r="O29" s="2424">
        <f>+SINTER!P15</f>
        <v>0</v>
      </c>
      <c r="P29" s="2426"/>
      <c r="Q29" s="2550">
        <f t="shared" si="74"/>
        <v>0</v>
      </c>
      <c r="R29" s="2539"/>
      <c r="S29" s="2424">
        <f>+SINTER!T15</f>
        <v>0</v>
      </c>
      <c r="T29" s="2426"/>
      <c r="U29" s="2550">
        <f t="shared" si="63"/>
        <v>0</v>
      </c>
      <c r="V29" s="2539"/>
      <c r="W29" s="2424">
        <f>+SINTER!X15</f>
        <v>0</v>
      </c>
      <c r="X29" s="2427"/>
      <c r="Y29" s="2351">
        <f t="shared" si="64"/>
        <v>0</v>
      </c>
      <c r="Z29" s="2428"/>
      <c r="AA29" s="2352">
        <f t="shared" si="65"/>
        <v>0</v>
      </c>
      <c r="AB29" s="2539"/>
      <c r="AC29" s="2424">
        <f>+SINTER!AD15</f>
        <v>0</v>
      </c>
      <c r="AD29" s="2426"/>
      <c r="AE29" s="2550">
        <f t="shared" si="66"/>
        <v>0</v>
      </c>
      <c r="AF29" s="2539"/>
      <c r="AG29" s="2424">
        <f>+SINTER!AH15</f>
        <v>629</v>
      </c>
      <c r="AH29" s="2426"/>
      <c r="AI29" s="2550">
        <f t="shared" si="75"/>
        <v>629</v>
      </c>
      <c r="AJ29" s="2539"/>
      <c r="AK29" s="2424">
        <f>+SINTER!AL15</f>
        <v>2068</v>
      </c>
      <c r="AL29" s="2427"/>
      <c r="AM29" s="2351">
        <f t="shared" si="68"/>
        <v>2697</v>
      </c>
      <c r="AN29" s="2426"/>
      <c r="AO29" s="2550">
        <f t="shared" si="69"/>
        <v>2697</v>
      </c>
      <c r="AP29" s="2539"/>
      <c r="AQ29" s="2424">
        <f>+SINTER!AR15</f>
        <v>691</v>
      </c>
      <c r="AR29" s="2426"/>
      <c r="AS29" s="2550">
        <f t="shared" si="70"/>
        <v>3388</v>
      </c>
      <c r="AT29" s="2539"/>
      <c r="AU29" s="2424">
        <f>+SINTER!AV15</f>
        <v>0</v>
      </c>
      <c r="AV29" s="2426"/>
      <c r="AW29" s="2550">
        <f t="shared" si="76"/>
        <v>3388</v>
      </c>
      <c r="AX29" s="2539"/>
      <c r="AY29" s="2424">
        <f>+SINTER!AZ15</f>
        <v>0</v>
      </c>
      <c r="AZ29" s="2427"/>
      <c r="BA29" s="2351">
        <f t="shared" si="72"/>
        <v>691</v>
      </c>
      <c r="BB29" s="2428"/>
      <c r="BC29" s="2352">
        <f t="shared" si="57"/>
        <v>3388</v>
      </c>
      <c r="BD29" s="2426"/>
      <c r="BE29" s="2550">
        <f t="shared" si="73"/>
        <v>3388</v>
      </c>
    </row>
    <row r="30" spans="1:93" ht="15.6" x14ac:dyDescent="0.3">
      <c r="B30" s="2535" t="s">
        <v>981</v>
      </c>
      <c r="C30" s="743" t="s">
        <v>351</v>
      </c>
      <c r="D30" s="2539"/>
      <c r="E30" s="2424">
        <f>+'B-FCE'!F29</f>
        <v>0</v>
      </c>
      <c r="F30" s="2539"/>
      <c r="G30" s="5544">
        <f>+'B-FCE'!H29</f>
        <v>420.7</v>
      </c>
      <c r="H30" s="2426"/>
      <c r="I30" s="2550">
        <f t="shared" si="59"/>
        <v>420.7</v>
      </c>
      <c r="J30" s="2539"/>
      <c r="K30" s="2424">
        <f>+'B-FCE'!L29</f>
        <v>0</v>
      </c>
      <c r="L30" s="2427"/>
      <c r="M30" s="2351">
        <f t="shared" si="60"/>
        <v>420.7</v>
      </c>
      <c r="N30" s="2539"/>
      <c r="O30" s="2424">
        <f>+'B-FCE'!P29</f>
        <v>0</v>
      </c>
      <c r="P30" s="2426"/>
      <c r="Q30" s="2550">
        <f t="shared" si="74"/>
        <v>420.7</v>
      </c>
      <c r="R30" s="2539"/>
      <c r="S30" s="2424">
        <f>+'B-FCE'!T29</f>
        <v>0</v>
      </c>
      <c r="T30" s="2426"/>
      <c r="U30" s="2550">
        <f t="shared" si="63"/>
        <v>420.7</v>
      </c>
      <c r="V30" s="2539"/>
      <c r="W30" s="2424">
        <f>+'B-FCE'!X29</f>
        <v>0</v>
      </c>
      <c r="X30" s="2427"/>
      <c r="Y30" s="2351">
        <f t="shared" si="64"/>
        <v>0</v>
      </c>
      <c r="Z30" s="2428"/>
      <c r="AA30" s="2352">
        <f t="shared" si="65"/>
        <v>420.7</v>
      </c>
      <c r="AB30" s="2539"/>
      <c r="AC30" s="2424">
        <f>+'B-FCE'!AD29</f>
        <v>123</v>
      </c>
      <c r="AD30" s="2426"/>
      <c r="AE30" s="2550">
        <f t="shared" si="66"/>
        <v>543.70000000000005</v>
      </c>
      <c r="AF30" s="2539"/>
      <c r="AG30" s="2424">
        <f>+'B-FCE'!AH29</f>
        <v>0</v>
      </c>
      <c r="AH30" s="2426"/>
      <c r="AI30" s="2550">
        <f t="shared" si="75"/>
        <v>543.70000000000005</v>
      </c>
      <c r="AJ30" s="2539"/>
      <c r="AK30" s="2424">
        <f>+'B-FCE'!AL29</f>
        <v>61.6</v>
      </c>
      <c r="AL30" s="2427"/>
      <c r="AM30" s="2351">
        <f t="shared" si="68"/>
        <v>184.6</v>
      </c>
      <c r="AN30" s="2426"/>
      <c r="AO30" s="2550">
        <f t="shared" si="69"/>
        <v>605.30000000000007</v>
      </c>
      <c r="AP30" s="2539"/>
      <c r="AQ30" s="2424">
        <f>+'B-FCE'!AR29</f>
        <v>664.7</v>
      </c>
      <c r="AR30" s="2426"/>
      <c r="AS30" s="2550">
        <f t="shared" si="70"/>
        <v>1270</v>
      </c>
      <c r="AT30" s="2539"/>
      <c r="AU30" s="2424">
        <f>+'B-FCE'!AV29</f>
        <v>177.9</v>
      </c>
      <c r="AV30" s="2426"/>
      <c r="AW30" s="2550">
        <f t="shared" si="76"/>
        <v>1447.9</v>
      </c>
      <c r="AX30" s="2539"/>
      <c r="AY30" s="2424">
        <f>+'B-FCE'!AZ29</f>
        <v>572</v>
      </c>
      <c r="AZ30" s="2427"/>
      <c r="BA30" s="2351">
        <f t="shared" si="72"/>
        <v>1414.6</v>
      </c>
      <c r="BB30" s="2428"/>
      <c r="BC30" s="2352">
        <f t="shared" si="57"/>
        <v>1599.1999999999998</v>
      </c>
      <c r="BD30" s="2426"/>
      <c r="BE30" s="2550">
        <f t="shared" si="73"/>
        <v>2019.9</v>
      </c>
    </row>
    <row r="31" spans="1:93" ht="15.6" x14ac:dyDescent="0.3">
      <c r="B31" s="2535" t="s">
        <v>1078</v>
      </c>
      <c r="C31" s="743" t="s">
        <v>351</v>
      </c>
      <c r="D31" s="2537"/>
      <c r="E31" s="2424">
        <f>+SMS!F122</f>
        <v>0</v>
      </c>
      <c r="F31" s="2537"/>
      <c r="G31" s="5544">
        <f>+SMS!H122</f>
        <v>0</v>
      </c>
      <c r="H31" s="2426"/>
      <c r="I31" s="2550">
        <f t="shared" si="59"/>
        <v>0</v>
      </c>
      <c r="J31" s="2537"/>
      <c r="K31" s="2424">
        <f>+SMS!L122</f>
        <v>0</v>
      </c>
      <c r="L31" s="2427"/>
      <c r="M31" s="2351">
        <f t="shared" si="60"/>
        <v>0</v>
      </c>
      <c r="N31" s="2537"/>
      <c r="O31" s="2424">
        <f>+SMS!P122</f>
        <v>0</v>
      </c>
      <c r="P31" s="2426"/>
      <c r="Q31" s="2550">
        <f t="shared" si="74"/>
        <v>0</v>
      </c>
      <c r="R31" s="2537"/>
      <c r="S31" s="2424">
        <f>+SMS!T122</f>
        <v>0</v>
      </c>
      <c r="T31" s="2425"/>
      <c r="U31" s="2550">
        <f t="shared" si="63"/>
        <v>0</v>
      </c>
      <c r="V31" s="2537"/>
      <c r="W31" s="2424">
        <f>+SMS!X122</f>
        <v>0</v>
      </c>
      <c r="X31" s="2427"/>
      <c r="Y31" s="2351">
        <f t="shared" si="64"/>
        <v>0</v>
      </c>
      <c r="Z31" s="2428"/>
      <c r="AA31" s="2352">
        <f t="shared" si="65"/>
        <v>0</v>
      </c>
      <c r="AB31" s="2537"/>
      <c r="AC31" s="2424">
        <f>+SMS!AD122</f>
        <v>0</v>
      </c>
      <c r="AD31" s="2425"/>
      <c r="AE31" s="2550">
        <f t="shared" si="66"/>
        <v>0</v>
      </c>
      <c r="AF31" s="2537"/>
      <c r="AG31" s="2424">
        <f>+SMS!AH122</f>
        <v>0</v>
      </c>
      <c r="AH31" s="2425"/>
      <c r="AI31" s="2550">
        <f t="shared" si="75"/>
        <v>0</v>
      </c>
      <c r="AJ31" s="2537"/>
      <c r="AK31" s="2424">
        <f>+SMS!AL122</f>
        <v>0</v>
      </c>
      <c r="AL31" s="2427"/>
      <c r="AM31" s="2351">
        <f t="shared" si="68"/>
        <v>0</v>
      </c>
      <c r="AN31" s="2425"/>
      <c r="AO31" s="2550">
        <f t="shared" si="69"/>
        <v>0</v>
      </c>
      <c r="AP31" s="2537"/>
      <c r="AQ31" s="2424">
        <f>+SMS!AR122</f>
        <v>0</v>
      </c>
      <c r="AR31" s="2425"/>
      <c r="AS31" s="2550">
        <f t="shared" si="70"/>
        <v>0</v>
      </c>
      <c r="AT31" s="2537"/>
      <c r="AU31" s="2424">
        <f>+SMS!AV122</f>
        <v>0</v>
      </c>
      <c r="AV31" s="2425"/>
      <c r="AW31" s="2550">
        <f t="shared" si="76"/>
        <v>0</v>
      </c>
      <c r="AX31" s="2537"/>
      <c r="AY31" s="2424">
        <f>+SMS!AZ122</f>
        <v>0</v>
      </c>
      <c r="AZ31" s="2427"/>
      <c r="BA31" s="2351">
        <f t="shared" si="72"/>
        <v>0</v>
      </c>
      <c r="BB31" s="2428"/>
      <c r="BC31" s="2352">
        <f t="shared" si="57"/>
        <v>0</v>
      </c>
      <c r="BD31" s="2425"/>
      <c r="BE31" s="2550">
        <f t="shared" si="73"/>
        <v>0</v>
      </c>
    </row>
    <row r="32" spans="1:93" ht="15.6" x14ac:dyDescent="0.3">
      <c r="B32" s="2535" t="s">
        <v>998</v>
      </c>
      <c r="C32" s="743" t="s">
        <v>351</v>
      </c>
      <c r="D32" s="2537"/>
      <c r="E32" s="2424">
        <f>+E22+E23+E25+E24</f>
        <v>5243.17</v>
      </c>
      <c r="F32" s="2537"/>
      <c r="G32" s="5544">
        <f>+G22+G23+G25+G24</f>
        <v>10011.099999999999</v>
      </c>
      <c r="H32" s="2426"/>
      <c r="I32" s="2550">
        <f t="shared" si="59"/>
        <v>15254.269999999999</v>
      </c>
      <c r="J32" s="2537"/>
      <c r="K32" s="2424">
        <f>+K22+K23+K25+K24</f>
        <v>3441.08</v>
      </c>
      <c r="L32" s="2427"/>
      <c r="M32" s="2351">
        <f t="shared" si="60"/>
        <v>18695.349999999999</v>
      </c>
      <c r="N32" s="2537"/>
      <c r="O32" s="2424">
        <f>+O22+O23+O25+O24</f>
        <v>12321.94</v>
      </c>
      <c r="P32" s="2426"/>
      <c r="Q32" s="2550">
        <f t="shared" si="74"/>
        <v>31017.29</v>
      </c>
      <c r="R32" s="2537"/>
      <c r="S32" s="2424">
        <f>+S22+S23+S25+S24</f>
        <v>175.21</v>
      </c>
      <c r="T32" s="2426"/>
      <c r="U32" s="2550">
        <f t="shared" si="63"/>
        <v>31192.5</v>
      </c>
      <c r="V32" s="2537"/>
      <c r="W32" s="2424">
        <f>+W22+W23+W25+W24</f>
        <v>10771.1</v>
      </c>
      <c r="X32" s="2427"/>
      <c r="Y32" s="2351">
        <f t="shared" si="64"/>
        <v>23268.25</v>
      </c>
      <c r="Z32" s="2428"/>
      <c r="AA32" s="2352">
        <f t="shared" si="65"/>
        <v>41963.6</v>
      </c>
      <c r="AB32" s="2537"/>
      <c r="AC32" s="2424">
        <f>+AC22+AC23+AC25+AC24</f>
        <v>1727.19</v>
      </c>
      <c r="AD32" s="2426"/>
      <c r="AE32" s="2550">
        <f t="shared" si="66"/>
        <v>43690.79</v>
      </c>
      <c r="AF32" s="2537"/>
      <c r="AG32" s="2424">
        <f>+AG22+AG23+AG25+AG24</f>
        <v>10528.789999999999</v>
      </c>
      <c r="AH32" s="2426"/>
      <c r="AI32" s="2550">
        <f t="shared" si="75"/>
        <v>54219.58</v>
      </c>
      <c r="AJ32" s="2537"/>
      <c r="AK32" s="2424">
        <f>+AK22+AK23+AK25+AK24</f>
        <v>11967.74</v>
      </c>
      <c r="AL32" s="2427"/>
      <c r="AM32" s="2351">
        <f t="shared" si="68"/>
        <v>24223.72</v>
      </c>
      <c r="AN32" s="2426"/>
      <c r="AO32" s="2550">
        <f t="shared" si="69"/>
        <v>66187.320000000007</v>
      </c>
      <c r="AP32" s="2537"/>
      <c r="AQ32" s="2424">
        <f>+AQ22+AQ23+AQ25+AQ24</f>
        <v>18122.189999999999</v>
      </c>
      <c r="AR32" s="2426"/>
      <c r="AS32" s="2550">
        <f t="shared" si="70"/>
        <v>84309.510000000009</v>
      </c>
      <c r="AT32" s="2537"/>
      <c r="AU32" s="2424">
        <f>+AU22+AU23+AU25+AU24</f>
        <v>14453.559999999998</v>
      </c>
      <c r="AV32" s="2426"/>
      <c r="AW32" s="2550">
        <f t="shared" si="76"/>
        <v>98763.07</v>
      </c>
      <c r="AX32" s="2537"/>
      <c r="AY32" s="2424">
        <f>+AY22+AY23+AY25+AY24</f>
        <v>4921.9299999999994</v>
      </c>
      <c r="AZ32" s="2427"/>
      <c r="BA32" s="2351">
        <f t="shared" si="72"/>
        <v>37497.679999999993</v>
      </c>
      <c r="BB32" s="2428"/>
      <c r="BC32" s="2352">
        <f t="shared" si="57"/>
        <v>61721.399999999994</v>
      </c>
      <c r="BD32" s="2426"/>
      <c r="BE32" s="2550">
        <f t="shared" si="73"/>
        <v>103685</v>
      </c>
    </row>
    <row r="33" spans="2:57" ht="15.6" x14ac:dyDescent="0.3">
      <c r="B33" s="2535" t="s">
        <v>1287</v>
      </c>
      <c r="C33" s="743" t="s">
        <v>351</v>
      </c>
      <c r="D33" s="2537"/>
      <c r="E33" s="2424">
        <v>0</v>
      </c>
      <c r="F33" s="2537"/>
      <c r="G33" s="5544">
        <v>0</v>
      </c>
      <c r="H33" s="2426"/>
      <c r="I33" s="2550">
        <f t="shared" si="59"/>
        <v>0</v>
      </c>
      <c r="J33" s="2537"/>
      <c r="K33" s="2424"/>
      <c r="L33" s="2427"/>
      <c r="M33" s="2351">
        <f t="shared" si="60"/>
        <v>0</v>
      </c>
      <c r="N33" s="2537"/>
      <c r="O33" s="2424"/>
      <c r="P33" s="2426"/>
      <c r="Q33" s="2550">
        <f t="shared" si="74"/>
        <v>0</v>
      </c>
      <c r="R33" s="2537"/>
      <c r="S33" s="2424"/>
      <c r="T33" s="2426"/>
      <c r="U33" s="2550">
        <f t="shared" si="63"/>
        <v>0</v>
      </c>
      <c r="V33" s="2537"/>
      <c r="W33" s="2424"/>
      <c r="X33" s="2427"/>
      <c r="Y33" s="2351">
        <f t="shared" si="64"/>
        <v>0</v>
      </c>
      <c r="Z33" s="2428"/>
      <c r="AA33" s="2352">
        <f t="shared" si="65"/>
        <v>0</v>
      </c>
      <c r="AB33" s="2537"/>
      <c r="AC33" s="2424"/>
      <c r="AD33" s="2426"/>
      <c r="AE33" s="2550">
        <f t="shared" si="66"/>
        <v>0</v>
      </c>
      <c r="AF33" s="2537"/>
      <c r="AG33" s="2424"/>
      <c r="AH33" s="2426"/>
      <c r="AI33" s="2550">
        <f t="shared" si="75"/>
        <v>0</v>
      </c>
      <c r="AJ33" s="2537"/>
      <c r="AK33" s="2424"/>
      <c r="AL33" s="2427"/>
      <c r="AM33" s="2351">
        <f t="shared" si="68"/>
        <v>0</v>
      </c>
      <c r="AN33" s="2426"/>
      <c r="AO33" s="2550">
        <f t="shared" si="69"/>
        <v>0</v>
      </c>
      <c r="AP33" s="2537"/>
      <c r="AQ33" s="2424">
        <v>0</v>
      </c>
      <c r="AR33" s="2426"/>
      <c r="AS33" s="2550">
        <f t="shared" si="70"/>
        <v>0</v>
      </c>
      <c r="AT33" s="2537"/>
      <c r="AU33" s="2424"/>
      <c r="AV33" s="2426"/>
      <c r="AW33" s="2550">
        <f t="shared" si="76"/>
        <v>0</v>
      </c>
      <c r="AX33" s="2537"/>
      <c r="AY33" s="2424"/>
      <c r="AZ33" s="2427"/>
      <c r="BA33" s="2351">
        <f t="shared" si="72"/>
        <v>0</v>
      </c>
      <c r="BB33" s="2428"/>
      <c r="BC33" s="2352">
        <f t="shared" si="57"/>
        <v>0</v>
      </c>
      <c r="BD33" s="2426"/>
      <c r="BE33" s="2550">
        <f t="shared" si="73"/>
        <v>0</v>
      </c>
    </row>
    <row r="34" spans="2:57" ht="15.6" x14ac:dyDescent="0.3">
      <c r="B34" s="4408" t="s">
        <v>1947</v>
      </c>
      <c r="C34" s="4409" t="s">
        <v>351</v>
      </c>
      <c r="D34" s="5087"/>
      <c r="E34" s="4410">
        <v>40</v>
      </c>
      <c r="F34" s="5087"/>
      <c r="G34" s="5545">
        <v>40</v>
      </c>
      <c r="H34" s="4411"/>
      <c r="I34" s="2550">
        <f t="shared" si="59"/>
        <v>80</v>
      </c>
      <c r="J34" s="5087"/>
      <c r="K34" s="4410">
        <v>40</v>
      </c>
      <c r="L34" s="4412"/>
      <c r="M34" s="2351">
        <f t="shared" ref="M34" si="77">+E34+G34+K34</f>
        <v>120</v>
      </c>
      <c r="N34" s="5087"/>
      <c r="O34" s="4410">
        <v>40</v>
      </c>
      <c r="P34" s="2426"/>
      <c r="Q34" s="2550">
        <f t="shared" ref="Q34" si="78">+O34+M34</f>
        <v>160</v>
      </c>
      <c r="R34" s="5087"/>
      <c r="S34" s="4410">
        <v>40</v>
      </c>
      <c r="T34" s="2426"/>
      <c r="U34" s="2550">
        <f t="shared" ref="U34" si="79">+S34+Q34</f>
        <v>200</v>
      </c>
      <c r="V34" s="5087"/>
      <c r="W34" s="4410">
        <v>40</v>
      </c>
      <c r="X34" s="2427"/>
      <c r="Y34" s="2351">
        <f t="shared" ref="Y34" si="80">+O34+S34+W34</f>
        <v>120</v>
      </c>
      <c r="Z34" s="2428"/>
      <c r="AA34" s="2352">
        <f t="shared" ref="AA34" si="81">+Y34+M34</f>
        <v>240</v>
      </c>
      <c r="AB34" s="5087"/>
      <c r="AC34" s="4410">
        <v>40</v>
      </c>
      <c r="AD34" s="2426"/>
      <c r="AE34" s="2550">
        <f t="shared" ref="AE34" si="82">+AC34+AA34</f>
        <v>280</v>
      </c>
      <c r="AF34" s="5087"/>
      <c r="AG34" s="4410">
        <v>40</v>
      </c>
      <c r="AH34" s="2426"/>
      <c r="AI34" s="2550">
        <f t="shared" ref="AI34" si="83">+AG34+AE34</f>
        <v>320</v>
      </c>
      <c r="AJ34" s="5087"/>
      <c r="AK34" s="4410">
        <v>40</v>
      </c>
      <c r="AL34" s="2427"/>
      <c r="AM34" s="2351">
        <f t="shared" ref="AM34" si="84">+AC34+AG34+AK34</f>
        <v>120</v>
      </c>
      <c r="AN34" s="2426"/>
      <c r="AO34" s="2550">
        <f t="shared" ref="AO34" si="85">+AK34+AI34</f>
        <v>360</v>
      </c>
      <c r="AP34" s="5087"/>
      <c r="AQ34" s="4410">
        <v>40</v>
      </c>
      <c r="AR34" s="2426"/>
      <c r="AS34" s="2550">
        <f t="shared" ref="AS34" si="86">+AQ34+AO34</f>
        <v>400</v>
      </c>
      <c r="AT34" s="5087"/>
      <c r="AU34" s="4410">
        <v>40</v>
      </c>
      <c r="AV34" s="2426"/>
      <c r="AW34" s="2550">
        <f t="shared" ref="AW34" si="87">+AU34+AS34</f>
        <v>440</v>
      </c>
      <c r="AX34" s="5087"/>
      <c r="AY34" s="4410">
        <v>40</v>
      </c>
      <c r="AZ34" s="2427"/>
      <c r="BA34" s="2351">
        <f t="shared" ref="BA34" si="88">+AQ34+AU34+AY34</f>
        <v>120</v>
      </c>
      <c r="BB34" s="2428"/>
      <c r="BC34" s="2352">
        <f t="shared" ref="BC34" si="89">+BA34+AM34</f>
        <v>240</v>
      </c>
      <c r="BD34" s="2426"/>
      <c r="BE34" s="2550">
        <f t="shared" ref="BE34" si="90">+AY34+AW34</f>
        <v>480</v>
      </c>
    </row>
    <row r="35" spans="2:57" ht="15.6" x14ac:dyDescent="0.3">
      <c r="B35" s="2535" t="s">
        <v>1079</v>
      </c>
      <c r="C35" s="743" t="s">
        <v>351</v>
      </c>
      <c r="D35" s="2537"/>
      <c r="E35" s="2424">
        <v>0</v>
      </c>
      <c r="F35" s="2537"/>
      <c r="G35" s="5544">
        <v>0</v>
      </c>
      <c r="H35" s="2426"/>
      <c r="I35" s="2550">
        <f t="shared" si="59"/>
        <v>0</v>
      </c>
      <c r="J35" s="2537"/>
      <c r="K35" s="2424"/>
      <c r="L35" s="2427"/>
      <c r="M35" s="2351">
        <f t="shared" si="60"/>
        <v>0</v>
      </c>
      <c r="N35" s="2537"/>
      <c r="O35" s="2424"/>
      <c r="P35" s="2426"/>
      <c r="Q35" s="2550">
        <f t="shared" si="74"/>
        <v>0</v>
      </c>
      <c r="R35" s="2537"/>
      <c r="S35" s="2424"/>
      <c r="T35" s="2426"/>
      <c r="U35" s="2550">
        <f t="shared" si="63"/>
        <v>0</v>
      </c>
      <c r="V35" s="2537"/>
      <c r="W35" s="2424"/>
      <c r="X35" s="2427"/>
      <c r="Y35" s="2351">
        <f t="shared" si="64"/>
        <v>0</v>
      </c>
      <c r="Z35" s="2428"/>
      <c r="AA35" s="2352">
        <f t="shared" si="65"/>
        <v>0</v>
      </c>
      <c r="AB35" s="2537"/>
      <c r="AC35" s="2424"/>
      <c r="AD35" s="2426"/>
      <c r="AE35" s="2550">
        <f t="shared" si="66"/>
        <v>0</v>
      </c>
      <c r="AF35" s="2537"/>
      <c r="AG35" s="2424"/>
      <c r="AH35" s="2426"/>
      <c r="AI35" s="2550">
        <f t="shared" si="75"/>
        <v>0</v>
      </c>
      <c r="AJ35" s="2537"/>
      <c r="AK35" s="2424"/>
      <c r="AL35" s="2427"/>
      <c r="AM35" s="2351">
        <f t="shared" si="68"/>
        <v>0</v>
      </c>
      <c r="AN35" s="2426"/>
      <c r="AO35" s="2550">
        <f t="shared" si="69"/>
        <v>0</v>
      </c>
      <c r="AP35" s="2537"/>
      <c r="AQ35" s="2424">
        <v>0</v>
      </c>
      <c r="AR35" s="2426"/>
      <c r="AS35" s="2550">
        <f t="shared" si="70"/>
        <v>0</v>
      </c>
      <c r="AT35" s="2537"/>
      <c r="AU35" s="2424"/>
      <c r="AV35" s="2426"/>
      <c r="AW35" s="2550">
        <f t="shared" si="76"/>
        <v>0</v>
      </c>
      <c r="AX35" s="2537"/>
      <c r="AY35" s="2424"/>
      <c r="AZ35" s="2427"/>
      <c r="BA35" s="2351">
        <f t="shared" si="72"/>
        <v>0</v>
      </c>
      <c r="BB35" s="2428"/>
      <c r="BC35" s="2352">
        <f t="shared" si="57"/>
        <v>0</v>
      </c>
      <c r="BD35" s="2426"/>
      <c r="BE35" s="2550">
        <f t="shared" si="73"/>
        <v>0</v>
      </c>
    </row>
    <row r="36" spans="2:57" ht="15.6" x14ac:dyDescent="0.3">
      <c r="B36" s="2535" t="s">
        <v>2</v>
      </c>
      <c r="C36" s="2538" t="s">
        <v>351</v>
      </c>
      <c r="D36" s="2539"/>
      <c r="E36" s="2424">
        <f>SUM(E27:E35)+E21</f>
        <v>110323.17</v>
      </c>
      <c r="F36" s="2539"/>
      <c r="G36" s="2424">
        <f>SUM(G27:G35)+G21</f>
        <v>160431.80000000002</v>
      </c>
      <c r="H36" s="2434"/>
      <c r="I36" s="2434">
        <f t="shared" ref="I36:BE36" si="91">SUM(I27:I35)+I21</f>
        <v>270754.97000000003</v>
      </c>
      <c r="J36" s="2539"/>
      <c r="K36" s="2424">
        <f>SUM(K27:K35)+K21</f>
        <v>97401.08</v>
      </c>
      <c r="L36" s="2427"/>
      <c r="M36" s="2351">
        <f t="shared" si="91"/>
        <v>368156.05</v>
      </c>
      <c r="N36" s="2539"/>
      <c r="O36" s="2424">
        <f>SUM(O27:O35)+O21</f>
        <v>85433.74</v>
      </c>
      <c r="P36" s="2426"/>
      <c r="Q36" s="2550">
        <f t="shared" ref="Q36" si="92">SUM(Q27:Q35)+Q21</f>
        <v>453589.79</v>
      </c>
      <c r="R36" s="2539"/>
      <c r="S36" s="2424">
        <f>SUM(S27:S35)+S21</f>
        <v>92218.72</v>
      </c>
      <c r="T36" s="2434"/>
      <c r="U36" s="2434">
        <f t="shared" si="91"/>
        <v>545808.51</v>
      </c>
      <c r="V36" s="2539"/>
      <c r="W36" s="2424">
        <f>SUM(W27:W35)+W21</f>
        <v>79249.510000000009</v>
      </c>
      <c r="X36" s="2434"/>
      <c r="Y36" s="2434">
        <f t="shared" si="91"/>
        <v>256901.97</v>
      </c>
      <c r="Z36" s="2434"/>
      <c r="AA36" s="2434">
        <f t="shared" si="91"/>
        <v>625058.02</v>
      </c>
      <c r="AB36" s="2539"/>
      <c r="AC36" s="2424">
        <f>SUM(AC27:AC35)+AC21</f>
        <v>116100.21</v>
      </c>
      <c r="AD36" s="2434"/>
      <c r="AE36" s="2434">
        <f t="shared" si="91"/>
        <v>741158.2300000001</v>
      </c>
      <c r="AF36" s="2539"/>
      <c r="AG36" s="2424">
        <f>SUM(AG27:AG35)+AG21</f>
        <v>132343.91</v>
      </c>
      <c r="AH36" s="4687"/>
      <c r="AI36" s="4687">
        <f t="shared" ref="AI36" si="93">SUM(AI27:AI35)+AI21</f>
        <v>873502.14</v>
      </c>
      <c r="AJ36" s="2539"/>
      <c r="AK36" s="2424">
        <f>SUM(AK27:AK35)+AK21</f>
        <v>144020.79999999999</v>
      </c>
      <c r="AL36" s="2434"/>
      <c r="AM36" s="2434">
        <f t="shared" si="91"/>
        <v>392464.91999999993</v>
      </c>
      <c r="AN36" s="2434"/>
      <c r="AO36" s="2434">
        <f t="shared" si="91"/>
        <v>1017522.9400000002</v>
      </c>
      <c r="AP36" s="2539"/>
      <c r="AQ36" s="2424">
        <f>SUM(AQ27:AQ35)+AQ21</f>
        <v>221301.16</v>
      </c>
      <c r="AR36" s="2434"/>
      <c r="AS36" s="2434">
        <f t="shared" si="91"/>
        <v>1238824.0999999999</v>
      </c>
      <c r="AT36" s="2539"/>
      <c r="AU36" s="2424">
        <f>SUM(AU27:AU35)+AU21</f>
        <v>222991.46</v>
      </c>
      <c r="AV36" s="2434"/>
      <c r="AW36" s="2434">
        <f t="shared" ref="AW36" si="94">SUM(AW27:AW35)+AW21</f>
        <v>1461815.5599999998</v>
      </c>
      <c r="AX36" s="2539"/>
      <c r="AY36" s="2424">
        <f>SUM(AY27:AY35)+AY21</f>
        <v>209473.93</v>
      </c>
      <c r="AZ36" s="2434"/>
      <c r="BA36" s="2434">
        <f t="shared" si="91"/>
        <v>653766.55000000005</v>
      </c>
      <c r="BB36" s="2434"/>
      <c r="BC36" s="2434">
        <f t="shared" si="91"/>
        <v>1046231.47</v>
      </c>
      <c r="BD36" s="2434"/>
      <c r="BE36" s="2434">
        <f t="shared" si="91"/>
        <v>1671289.4899999998</v>
      </c>
    </row>
    <row r="37" spans="2:57" x14ac:dyDescent="0.3">
      <c r="D37"/>
      <c r="E37"/>
      <c r="F37"/>
      <c r="G37"/>
    </row>
    <row r="38" spans="2:57" x14ac:dyDescent="0.3">
      <c r="D38"/>
      <c r="E38" s="23"/>
      <c r="F38" s="23"/>
      <c r="G38" s="23"/>
      <c r="H38" s="23"/>
      <c r="I38" s="23"/>
      <c r="J38" s="23"/>
      <c r="K38" s="23"/>
      <c r="L38" s="23"/>
      <c r="M38" s="23"/>
      <c r="N38" s="23"/>
      <c r="O38" s="23"/>
      <c r="P38" s="23"/>
      <c r="Q38" s="23"/>
      <c r="R38" s="23"/>
      <c r="S38" s="23"/>
      <c r="T38" s="23"/>
      <c r="U38" s="23"/>
      <c r="V38" s="23"/>
      <c r="W38" s="23"/>
      <c r="X38" s="23"/>
      <c r="Y38" s="23"/>
      <c r="Z38" s="23"/>
      <c r="AA38" s="23"/>
      <c r="AQ38" s="3815"/>
      <c r="AU38" s="3815"/>
      <c r="AY38" s="4093"/>
    </row>
    <row r="39" spans="2:57" x14ac:dyDescent="0.3">
      <c r="D39"/>
      <c r="E39"/>
      <c r="F39"/>
      <c r="G39"/>
      <c r="K39" s="110"/>
      <c r="AC39" s="23"/>
      <c r="AG39" s="3815"/>
    </row>
    <row r="40" spans="2:57" x14ac:dyDescent="0.3">
      <c r="D40"/>
      <c r="E40" s="23"/>
      <c r="F40" s="23"/>
      <c r="G40" s="23"/>
      <c r="H40" s="23"/>
      <c r="I40" s="23"/>
      <c r="J40" s="23"/>
      <c r="K40" s="23"/>
      <c r="L40" s="23"/>
      <c r="M40" s="23"/>
      <c r="N40" s="23"/>
      <c r="O40" s="23"/>
      <c r="P40" s="23"/>
      <c r="Q40" s="23"/>
      <c r="R40" s="23"/>
      <c r="S40" s="23"/>
      <c r="T40" s="23"/>
      <c r="U40" s="23"/>
      <c r="V40" s="23"/>
      <c r="W40" s="23"/>
      <c r="X40" s="23"/>
      <c r="Y40" s="23"/>
      <c r="Z40" s="23"/>
      <c r="AA40" s="23"/>
      <c r="AU40" s="23"/>
      <c r="AX40" s="23"/>
      <c r="AY40" s="23"/>
      <c r="AZ40" s="23"/>
      <c r="BA40" s="23"/>
      <c r="BB40" s="23"/>
      <c r="BC40" s="23"/>
      <c r="BD40" s="23"/>
      <c r="BE40" s="23"/>
    </row>
    <row r="42" spans="2:57" x14ac:dyDescent="0.3">
      <c r="G42" s="110"/>
      <c r="K42" s="110"/>
    </row>
    <row r="43" spans="2:57" x14ac:dyDescent="0.3">
      <c r="AU43" s="23"/>
      <c r="AX43" s="23"/>
      <c r="AY43" s="23"/>
      <c r="AZ43" s="23"/>
      <c r="BA43" s="23"/>
      <c r="BB43" s="23"/>
      <c r="BC43" s="23"/>
      <c r="BD43" s="23"/>
      <c r="BE43" s="23"/>
    </row>
  </sheetData>
  <mergeCells count="56">
    <mergeCell ref="AX3:AY3"/>
    <mergeCell ref="BD3:BE3"/>
    <mergeCell ref="AX22:AX25"/>
    <mergeCell ref="AZ3:BA3"/>
    <mergeCell ref="BB3:BC3"/>
    <mergeCell ref="AZ22:AZ25"/>
    <mergeCell ref="BB22:BB25"/>
    <mergeCell ref="BD22:BD25"/>
    <mergeCell ref="AT3:AU3"/>
    <mergeCell ref="AV3:AW3"/>
    <mergeCell ref="AT22:AT25"/>
    <mergeCell ref="AP3:AQ3"/>
    <mergeCell ref="AP22:AP25"/>
    <mergeCell ref="AR3:AS3"/>
    <mergeCell ref="AR22:AR25"/>
    <mergeCell ref="AV22:AV25"/>
    <mergeCell ref="AJ3:AK3"/>
    <mergeCell ref="AN3:AO3"/>
    <mergeCell ref="AJ22:AJ25"/>
    <mergeCell ref="AL3:AM3"/>
    <mergeCell ref="AL22:AL25"/>
    <mergeCell ref="AN22:AN25"/>
    <mergeCell ref="P22:P25"/>
    <mergeCell ref="T22:T25"/>
    <mergeCell ref="B3:B4"/>
    <mergeCell ref="C3:C4"/>
    <mergeCell ref="D3:E3"/>
    <mergeCell ref="F3:G3"/>
    <mergeCell ref="H3:I3"/>
    <mergeCell ref="D22:D25"/>
    <mergeCell ref="F22:F25"/>
    <mergeCell ref="J22:J25"/>
    <mergeCell ref="L22:L25"/>
    <mergeCell ref="N22:N25"/>
    <mergeCell ref="H22:H25"/>
    <mergeCell ref="R22:R25"/>
    <mergeCell ref="J3:K3"/>
    <mergeCell ref="L3:M3"/>
    <mergeCell ref="Z3:AA3"/>
    <mergeCell ref="X3:Y3"/>
    <mergeCell ref="X22:X25"/>
    <mergeCell ref="Z22:Z25"/>
    <mergeCell ref="V22:V25"/>
    <mergeCell ref="N3:O3"/>
    <mergeCell ref="P3:Q3"/>
    <mergeCell ref="V3:W3"/>
    <mergeCell ref="R3:S3"/>
    <mergeCell ref="T3:U3"/>
    <mergeCell ref="AF3:AG3"/>
    <mergeCell ref="AH3:AI3"/>
    <mergeCell ref="AF22:AF25"/>
    <mergeCell ref="AH22:AH23"/>
    <mergeCell ref="AB3:AC3"/>
    <mergeCell ref="AB22:AB25"/>
    <mergeCell ref="AD3:AE3"/>
    <mergeCell ref="AD22:AD23"/>
  </mergeCells>
  <printOptions horizontalCentered="1" verticalCentered="1"/>
  <pageMargins left="0" right="0" top="0" bottom="0" header="0" footer="0"/>
  <pageSetup scale="71"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3">
    <tabColor rgb="FF000000"/>
    <pageSetUpPr fitToPage="1"/>
  </sheetPr>
  <dimension ref="A1:BJ180"/>
  <sheetViews>
    <sheetView zoomScaleNormal="100" workbookViewId="0">
      <pane xSplit="3" topLeftCell="D1" activePane="topRight" state="frozen"/>
      <selection activeCell="N21" sqref="N21:N24"/>
      <selection pane="topRight" activeCell="BI55" sqref="BI55"/>
    </sheetView>
  </sheetViews>
  <sheetFormatPr defaultRowHeight="14.4" x14ac:dyDescent="0.3"/>
  <cols>
    <col min="1" max="1" width="8.88671875" customWidth="1"/>
    <col min="2" max="2" width="71.5546875" bestFit="1" customWidth="1"/>
    <col min="3" max="3" width="27.109375" bestFit="1" customWidth="1"/>
    <col min="4" max="9" width="9.88671875" customWidth="1"/>
    <col min="10" max="10" width="11" hidden="1" customWidth="1"/>
    <col min="11" max="11" width="9.88671875" hidden="1" customWidth="1"/>
    <col min="12" max="12" width="12" hidden="1" customWidth="1"/>
    <col min="13" max="13" width="11.33203125" hidden="1" customWidth="1"/>
    <col min="14" max="14" width="11" hidden="1" customWidth="1"/>
    <col min="15" max="15" width="9.88671875" hidden="1" customWidth="1"/>
    <col min="16" max="17" width="11.33203125" hidden="1" customWidth="1"/>
    <col min="18" max="18" width="11" hidden="1" customWidth="1"/>
    <col min="19" max="19" width="9.88671875" hidden="1" customWidth="1"/>
    <col min="20" max="21" width="11.33203125" hidden="1" customWidth="1"/>
    <col min="22" max="22" width="11" hidden="1" customWidth="1"/>
    <col min="23" max="23" width="9.88671875" hidden="1" customWidth="1"/>
    <col min="24" max="24" width="12" hidden="1" customWidth="1"/>
    <col min="25" max="27" width="11.33203125" hidden="1" customWidth="1"/>
    <col min="28" max="28" width="11" hidden="1" customWidth="1"/>
    <col min="29" max="29" width="9.88671875" hidden="1" customWidth="1"/>
    <col min="30" max="31" width="11.33203125" hidden="1" customWidth="1"/>
    <col min="32" max="33" width="9.88671875" hidden="1" customWidth="1"/>
    <col min="34" max="35" width="11.33203125" hidden="1" customWidth="1"/>
    <col min="36" max="37" width="9.88671875" hidden="1" customWidth="1"/>
    <col min="38" max="41" width="11.33203125" hidden="1" customWidth="1"/>
    <col min="42" max="42" width="10.5546875" hidden="1" customWidth="1"/>
    <col min="43" max="43" width="9.88671875" hidden="1" customWidth="1"/>
    <col min="44" max="45" width="11.33203125" hidden="1" customWidth="1"/>
    <col min="46" max="47" width="9.88671875" hidden="1" customWidth="1"/>
    <col min="48" max="49" width="11.33203125" hidden="1" customWidth="1"/>
    <col min="50" max="50" width="9.88671875" style="137" hidden="1" customWidth="1"/>
    <col min="51" max="51" width="9.88671875" hidden="1" customWidth="1"/>
    <col min="52" max="57" width="11.33203125" hidden="1" customWidth="1"/>
    <col min="58" max="58" width="18.5546875" style="88" customWidth="1"/>
    <col min="59" max="59" width="12.88671875" style="88" customWidth="1"/>
    <col min="60" max="61" width="9.109375" style="88"/>
  </cols>
  <sheetData>
    <row r="1" spans="1:62" ht="22.8" x14ac:dyDescent="0.4">
      <c r="B1" s="916" t="s">
        <v>319</v>
      </c>
      <c r="C1" s="917"/>
      <c r="D1" s="918"/>
      <c r="E1" s="917"/>
      <c r="F1" s="918"/>
      <c r="G1" s="917"/>
      <c r="H1" s="917"/>
      <c r="I1" s="917"/>
      <c r="J1" s="598"/>
      <c r="K1" s="243"/>
      <c r="L1" s="243"/>
      <c r="M1" s="243"/>
      <c r="N1" s="598"/>
      <c r="O1" s="243"/>
      <c r="P1" s="243"/>
      <c r="Q1" s="243"/>
      <c r="R1" s="598"/>
      <c r="S1" s="243"/>
      <c r="T1" s="243"/>
      <c r="U1" s="243"/>
      <c r="V1" s="243"/>
      <c r="W1" s="243"/>
      <c r="X1" s="243"/>
      <c r="Y1" s="243"/>
      <c r="Z1" s="243"/>
      <c r="AA1" s="243"/>
      <c r="AB1" s="243"/>
      <c r="AC1" s="243"/>
    </row>
    <row r="2" spans="1:62" ht="22.8" hidden="1" x14ac:dyDescent="0.4">
      <c r="B2" s="4099"/>
      <c r="C2" s="4100" t="s">
        <v>1852</v>
      </c>
      <c r="D2" s="4056">
        <f>+'B-FCE'!E50</f>
        <v>26</v>
      </c>
      <c r="E2" s="4056">
        <f>+'B-FCE'!F50</f>
        <v>29.53833333333333</v>
      </c>
      <c r="F2" s="4056">
        <f>+'B-FCE'!G50</f>
        <v>22</v>
      </c>
      <c r="G2" s="4056">
        <f>+'B-FCE'!H50</f>
        <v>17.055555555555554</v>
      </c>
      <c r="H2" s="4056">
        <f>+'B-FCE'!I50</f>
        <v>48</v>
      </c>
      <c r="I2" s="4056">
        <f>+'B-FCE'!J50</f>
        <v>46.593888888888884</v>
      </c>
      <c r="J2" s="4056">
        <f>+'B-FCE'!K50</f>
        <v>29</v>
      </c>
      <c r="K2" s="4056">
        <f>+'B-FCE'!L50</f>
        <v>29.611111111111111</v>
      </c>
      <c r="L2" s="4056">
        <f>+'B-FCE'!M50</f>
        <v>77</v>
      </c>
      <c r="M2" s="4056">
        <f>+'B-FCE'!N50</f>
        <v>76.204999999999998</v>
      </c>
      <c r="N2" s="4056">
        <f>+'B-FCE'!O50</f>
        <v>30</v>
      </c>
      <c r="O2" s="4056">
        <f>+'B-FCE'!P50</f>
        <v>30.999999999999996</v>
      </c>
      <c r="P2" s="4056">
        <f>+'B-FCE'!Q50</f>
        <v>107</v>
      </c>
      <c r="Q2" s="4056">
        <f>+'B-FCE'!R50</f>
        <v>107.205</v>
      </c>
      <c r="R2" s="4056">
        <f>+'B-FCE'!S50</f>
        <v>30</v>
      </c>
      <c r="S2" s="4056">
        <f>+'B-FCE'!T50</f>
        <v>30.024305555555554</v>
      </c>
      <c r="T2" s="4056">
        <f>+'B-FCE'!U50</f>
        <v>137</v>
      </c>
      <c r="U2" s="4056">
        <f>+'B-FCE'!V50</f>
        <v>137.22930555555556</v>
      </c>
      <c r="V2" s="4056">
        <f>+'B-FCE'!W50</f>
        <v>17.016867469879518</v>
      </c>
      <c r="W2" s="4056">
        <f>+'B-FCE'!X50</f>
        <v>29.673611111111111</v>
      </c>
      <c r="X2" s="4056">
        <f>+'B-FCE'!Y50</f>
        <v>77.016867469879514</v>
      </c>
      <c r="Y2" s="4056">
        <f>+'B-FCE'!Z50</f>
        <v>90.697916666666657</v>
      </c>
      <c r="Z2" s="4056">
        <f>+'B-FCE'!AA50</f>
        <v>154.01686746987951</v>
      </c>
      <c r="AA2" s="4056">
        <f>+'B-FCE'!AB50</f>
        <v>166.90291666666667</v>
      </c>
      <c r="AB2" s="4056">
        <f>+'B-FCE'!AC50</f>
        <v>30.000000000000004</v>
      </c>
      <c r="AC2" s="4056">
        <f>+'B-FCE'!AD50</f>
        <v>26.930555555555561</v>
      </c>
      <c r="AD2" s="4056">
        <f>+'B-FCE'!AE50</f>
        <v>184.01686746987951</v>
      </c>
      <c r="AE2" s="4056">
        <f>+'B-FCE'!AF50</f>
        <v>193.83347222222224</v>
      </c>
      <c r="AF2" s="4056">
        <f>+'B-FCE'!AG50</f>
        <v>29</v>
      </c>
      <c r="AG2" s="4056">
        <f>+'B-FCE'!AH50</f>
        <v>29.107638888888889</v>
      </c>
      <c r="AH2" s="4056">
        <f>+'B-FCE'!AI50</f>
        <v>213.01686746987951</v>
      </c>
      <c r="AI2" s="4056">
        <f>+'B-FCE'!AJ50</f>
        <v>222.94111111111113</v>
      </c>
      <c r="AJ2" s="4056">
        <f>+'B-FCE'!AK50</f>
        <v>30.000000000000004</v>
      </c>
      <c r="AK2" s="4056">
        <f>+'B-FCE'!AL50</f>
        <v>30.697916666666668</v>
      </c>
      <c r="AL2" s="4056">
        <f>+'B-FCE'!AM50</f>
        <v>89</v>
      </c>
      <c r="AM2" s="4056">
        <f>+'B-FCE'!AN50</f>
        <v>86.736111111111114</v>
      </c>
      <c r="AN2" s="4056">
        <f>+'B-FCE'!AO50</f>
        <v>243.01686746987951</v>
      </c>
      <c r="AO2" s="4056">
        <f>+'B-FCE'!AP50</f>
        <v>253.63902777777778</v>
      </c>
      <c r="AP2" s="4056">
        <f>+'B-FCE'!AQ50</f>
        <v>30</v>
      </c>
      <c r="AQ2" s="4056">
        <f>+'B-FCE'!AR50</f>
        <v>30.413194444444393</v>
      </c>
      <c r="AR2" s="4056">
        <f>+'B-FCE'!AS50</f>
        <v>273.01686746987951</v>
      </c>
      <c r="AS2" s="4056">
        <f>+'B-FCE'!AT50</f>
        <v>284.05222222222216</v>
      </c>
      <c r="AT2" s="4056">
        <f>+'B-FCE'!AU50</f>
        <v>27</v>
      </c>
      <c r="AU2" s="4056">
        <f>+'B-FCE'!AV50</f>
        <v>27.576388888888886</v>
      </c>
      <c r="AV2" s="4056">
        <f>+'B-FCE'!AW50</f>
        <v>300.01686746987951</v>
      </c>
      <c r="AW2" s="4056">
        <f>+'B-FCE'!AX50</f>
        <v>311.62861111111101</v>
      </c>
      <c r="AX2" s="4056">
        <f>+'B-FCE'!AY50</f>
        <v>30</v>
      </c>
      <c r="AY2" s="4056">
        <f>+'B-FCE'!AZ50</f>
        <v>29.972222222222232</v>
      </c>
      <c r="AZ2" s="4056">
        <f>+'B-FCE'!BA50</f>
        <v>87</v>
      </c>
      <c r="BA2" s="4056">
        <f>+'B-FCE'!BB50</f>
        <v>87.961805555555515</v>
      </c>
      <c r="BB2" s="4056">
        <f>+'B-FCE'!BC50</f>
        <v>176</v>
      </c>
      <c r="BC2" s="4056">
        <f>+'B-FCE'!BD50</f>
        <v>174.69791666666663</v>
      </c>
      <c r="BD2" s="4056">
        <f>+'B-FCE'!BE50</f>
        <v>330.01686746987951</v>
      </c>
      <c r="BE2" s="4056">
        <f>+'B-FCE'!BF50</f>
        <v>341.60083333333324</v>
      </c>
    </row>
    <row r="3" spans="1:62" x14ac:dyDescent="0.3">
      <c r="A3" s="88"/>
      <c r="B3" s="917"/>
      <c r="C3" s="919" t="s">
        <v>474</v>
      </c>
      <c r="D3" s="920">
        <v>30</v>
      </c>
      <c r="E3" s="921">
        <v>30</v>
      </c>
      <c r="F3" s="920">
        <v>31</v>
      </c>
      <c r="G3" s="921">
        <v>31</v>
      </c>
      <c r="H3" s="921">
        <f>+D3+F3</f>
        <v>61</v>
      </c>
      <c r="I3" s="921">
        <f>+E3+G3</f>
        <v>61</v>
      </c>
      <c r="J3" s="920">
        <v>30</v>
      </c>
      <c r="K3" s="921">
        <v>30</v>
      </c>
      <c r="L3" s="921">
        <f>+H3+J3</f>
        <v>91</v>
      </c>
      <c r="M3" s="921">
        <f>+I3+K3</f>
        <v>91</v>
      </c>
      <c r="N3" s="920">
        <v>31</v>
      </c>
      <c r="O3" s="921">
        <v>31</v>
      </c>
      <c r="P3" s="921">
        <f>+L3+N3</f>
        <v>122</v>
      </c>
      <c r="Q3" s="921">
        <f>+M3+O3</f>
        <v>122</v>
      </c>
      <c r="R3" s="920">
        <v>31</v>
      </c>
      <c r="S3" s="921">
        <v>31</v>
      </c>
      <c r="T3" s="921">
        <f>+P3+R3</f>
        <v>153</v>
      </c>
      <c r="U3" s="921">
        <f>+Q3+S3</f>
        <v>153</v>
      </c>
      <c r="V3" s="920">
        <v>30</v>
      </c>
      <c r="W3" s="921">
        <v>30</v>
      </c>
      <c r="X3" s="921">
        <f>+N3+R3+V3</f>
        <v>92</v>
      </c>
      <c r="Y3" s="921">
        <f>+O3+S3+W3</f>
        <v>92</v>
      </c>
      <c r="Z3" s="921">
        <f>+T3+V3</f>
        <v>183</v>
      </c>
      <c r="AA3" s="921">
        <f>+U3+W3</f>
        <v>183</v>
      </c>
      <c r="AB3" s="920">
        <v>31</v>
      </c>
      <c r="AC3" s="921">
        <v>31</v>
      </c>
      <c r="AD3" s="921">
        <f>+Z3+AB3</f>
        <v>214</v>
      </c>
      <c r="AE3" s="921">
        <f>+AA3+AC3</f>
        <v>214</v>
      </c>
      <c r="AF3" s="920">
        <v>30</v>
      </c>
      <c r="AG3" s="921">
        <v>30</v>
      </c>
      <c r="AH3" s="921">
        <f>+AD3+AF3</f>
        <v>244</v>
      </c>
      <c r="AI3" s="921">
        <f>+AE3+AG3</f>
        <v>244</v>
      </c>
      <c r="AJ3" s="920">
        <v>31</v>
      </c>
      <c r="AK3" s="921">
        <v>31</v>
      </c>
      <c r="AL3" s="921">
        <f>+AB3+AF3+AJ3</f>
        <v>92</v>
      </c>
      <c r="AM3" s="921">
        <f>+AC3+AG3+AK3</f>
        <v>92</v>
      </c>
      <c r="AN3" s="921">
        <f>+AH3+AJ3</f>
        <v>275</v>
      </c>
      <c r="AO3" s="921">
        <f>+AI3+AK3</f>
        <v>275</v>
      </c>
      <c r="AP3" s="920">
        <v>31</v>
      </c>
      <c r="AQ3" s="921">
        <v>31</v>
      </c>
      <c r="AR3" s="921">
        <f>+AN3+AP3</f>
        <v>306</v>
      </c>
      <c r="AS3" s="921">
        <f>+AO3+AQ3</f>
        <v>306</v>
      </c>
      <c r="AT3" s="920">
        <v>28</v>
      </c>
      <c r="AU3" s="921">
        <v>28</v>
      </c>
      <c r="AV3" s="921">
        <f>+AR3+AT3</f>
        <v>334</v>
      </c>
      <c r="AW3" s="921">
        <f>+AS3+AU3</f>
        <v>334</v>
      </c>
      <c r="AX3" s="920">
        <v>31</v>
      </c>
      <c r="AY3" s="921">
        <v>31</v>
      </c>
      <c r="AZ3" s="921">
        <f>+AP3+AT3+AX3</f>
        <v>90</v>
      </c>
      <c r="BA3" s="921">
        <f>+AQ3+AU3+AY3</f>
        <v>90</v>
      </c>
      <c r="BB3" s="921">
        <f>+AL3+AZ3</f>
        <v>182</v>
      </c>
      <c r="BC3" s="921">
        <f>+AM3+BA3</f>
        <v>182</v>
      </c>
      <c r="BD3" s="921">
        <f>+AV3+AX3</f>
        <v>365</v>
      </c>
      <c r="BE3" s="921">
        <f>+AW3+AY3</f>
        <v>365</v>
      </c>
    </row>
    <row r="4" spans="1:62" x14ac:dyDescent="0.3">
      <c r="A4" s="88"/>
      <c r="B4" s="6073" t="s">
        <v>170</v>
      </c>
      <c r="C4" s="6067" t="s">
        <v>171</v>
      </c>
      <c r="D4" s="6067" t="s">
        <v>2211</v>
      </c>
      <c r="E4" s="6067"/>
      <c r="F4" s="6067" t="s">
        <v>2260</v>
      </c>
      <c r="G4" s="6067"/>
      <c r="H4" s="6066" t="s">
        <v>14</v>
      </c>
      <c r="I4" s="6066"/>
      <c r="J4" s="6067" t="s">
        <v>1963</v>
      </c>
      <c r="K4" s="6067"/>
      <c r="L4" s="6060" t="s">
        <v>604</v>
      </c>
      <c r="M4" s="6060"/>
      <c r="N4" s="6067" t="s">
        <v>1985</v>
      </c>
      <c r="O4" s="6067"/>
      <c r="P4" s="6066" t="s">
        <v>17</v>
      </c>
      <c r="Q4" s="6066"/>
      <c r="R4" s="6067" t="s">
        <v>1988</v>
      </c>
      <c r="S4" s="6067"/>
      <c r="T4" s="6066" t="s">
        <v>18</v>
      </c>
      <c r="U4" s="6066"/>
      <c r="V4" s="6067" t="s">
        <v>2019</v>
      </c>
      <c r="W4" s="6067"/>
      <c r="X4" s="6060" t="s">
        <v>625</v>
      </c>
      <c r="Y4" s="6060"/>
      <c r="Z4" s="6061" t="s">
        <v>623</v>
      </c>
      <c r="AA4" s="6061"/>
      <c r="AB4" s="6067" t="s">
        <v>2043</v>
      </c>
      <c r="AC4" s="6067"/>
      <c r="AD4" s="6066" t="s">
        <v>24</v>
      </c>
      <c r="AE4" s="6066"/>
      <c r="AF4" s="6067" t="s">
        <v>2064</v>
      </c>
      <c r="AG4" s="6067"/>
      <c r="AH4" s="6066" t="s">
        <v>27</v>
      </c>
      <c r="AI4" s="6066"/>
      <c r="AJ4" s="6067" t="s">
        <v>2088</v>
      </c>
      <c r="AK4" s="6067"/>
      <c r="AL4" s="6060" t="s">
        <v>627</v>
      </c>
      <c r="AM4" s="6060"/>
      <c r="AN4" s="6066" t="s">
        <v>1565</v>
      </c>
      <c r="AO4" s="6066"/>
      <c r="AP4" s="6067" t="s">
        <v>2099</v>
      </c>
      <c r="AQ4" s="6067"/>
      <c r="AR4" s="6066" t="s">
        <v>28</v>
      </c>
      <c r="AS4" s="6066"/>
      <c r="AT4" s="6067" t="s">
        <v>2136</v>
      </c>
      <c r="AU4" s="6067"/>
      <c r="AV4" s="6066" t="s">
        <v>30</v>
      </c>
      <c r="AW4" s="6066"/>
      <c r="AX4" s="6067" t="s">
        <v>2154</v>
      </c>
      <c r="AY4" s="6067"/>
      <c r="AZ4" s="6060" t="s">
        <v>628</v>
      </c>
      <c r="BA4" s="6060"/>
      <c r="BB4" s="6061" t="s">
        <v>634</v>
      </c>
      <c r="BC4" s="6061"/>
      <c r="BD4" s="6066" t="s">
        <v>1961</v>
      </c>
      <c r="BE4" s="6066"/>
    </row>
    <row r="5" spans="1:62" ht="15" thickBot="1" x14ac:dyDescent="0.35">
      <c r="A5" s="88"/>
      <c r="B5" s="6358"/>
      <c r="C5" s="6359"/>
      <c r="D5" s="2641" t="s">
        <v>172</v>
      </c>
      <c r="E5" s="2642" t="s">
        <v>173</v>
      </c>
      <c r="F5" s="2641" t="s">
        <v>172</v>
      </c>
      <c r="G5" s="2642" t="s">
        <v>173</v>
      </c>
      <c r="H5" s="2643" t="s">
        <v>172</v>
      </c>
      <c r="I5" s="2643" t="s">
        <v>173</v>
      </c>
      <c r="J5" s="744" t="s">
        <v>172</v>
      </c>
      <c r="K5" s="651" t="s">
        <v>173</v>
      </c>
      <c r="L5" s="653" t="s">
        <v>172</v>
      </c>
      <c r="M5" s="653" t="s">
        <v>173</v>
      </c>
      <c r="N5" s="744" t="s">
        <v>172</v>
      </c>
      <c r="O5" s="651" t="s">
        <v>173</v>
      </c>
      <c r="P5" s="652" t="s">
        <v>172</v>
      </c>
      <c r="Q5" s="652" t="s">
        <v>173</v>
      </c>
      <c r="R5" s="744" t="s">
        <v>172</v>
      </c>
      <c r="S5" s="651" t="s">
        <v>173</v>
      </c>
      <c r="T5" s="652" t="s">
        <v>172</v>
      </c>
      <c r="U5" s="652" t="s">
        <v>173</v>
      </c>
      <c r="V5" s="744" t="s">
        <v>172</v>
      </c>
      <c r="W5" s="651" t="s">
        <v>173</v>
      </c>
      <c r="X5" s="653" t="s">
        <v>172</v>
      </c>
      <c r="Y5" s="653" t="s">
        <v>173</v>
      </c>
      <c r="Z5" s="733" t="s">
        <v>172</v>
      </c>
      <c r="AA5" s="733" t="s">
        <v>173</v>
      </c>
      <c r="AB5" s="744" t="s">
        <v>172</v>
      </c>
      <c r="AC5" s="651" t="s">
        <v>173</v>
      </c>
      <c r="AD5" s="652" t="s">
        <v>172</v>
      </c>
      <c r="AE5" s="652" t="s">
        <v>173</v>
      </c>
      <c r="AF5" s="744" t="s">
        <v>172</v>
      </c>
      <c r="AG5" s="651" t="s">
        <v>173</v>
      </c>
      <c r="AH5" s="652" t="s">
        <v>172</v>
      </c>
      <c r="AI5" s="652" t="s">
        <v>173</v>
      </c>
      <c r="AJ5" s="744" t="s">
        <v>172</v>
      </c>
      <c r="AK5" s="651" t="s">
        <v>173</v>
      </c>
      <c r="AL5" s="653" t="s">
        <v>172</v>
      </c>
      <c r="AM5" s="653" t="s">
        <v>173</v>
      </c>
      <c r="AN5" s="652" t="s">
        <v>172</v>
      </c>
      <c r="AO5" s="652" t="s">
        <v>173</v>
      </c>
      <c r="AP5" s="744" t="s">
        <v>172</v>
      </c>
      <c r="AQ5" s="651" t="s">
        <v>173</v>
      </c>
      <c r="AR5" s="652" t="s">
        <v>172</v>
      </c>
      <c r="AS5" s="652" t="s">
        <v>173</v>
      </c>
      <c r="AT5" s="744" t="s">
        <v>172</v>
      </c>
      <c r="AU5" s="651" t="s">
        <v>173</v>
      </c>
      <c r="AV5" s="652" t="s">
        <v>172</v>
      </c>
      <c r="AW5" s="652" t="s">
        <v>173</v>
      </c>
      <c r="AX5" s="744" t="s">
        <v>172</v>
      </c>
      <c r="AY5" s="651" t="s">
        <v>173</v>
      </c>
      <c r="AZ5" s="653" t="s">
        <v>172</v>
      </c>
      <c r="BA5" s="653" t="s">
        <v>173</v>
      </c>
      <c r="BB5" s="733" t="s">
        <v>172</v>
      </c>
      <c r="BC5" s="733" t="s">
        <v>173</v>
      </c>
      <c r="BD5" s="652" t="s">
        <v>172</v>
      </c>
      <c r="BE5" s="652" t="s">
        <v>173</v>
      </c>
    </row>
    <row r="6" spans="1:62" ht="20.399999999999999" x14ac:dyDescent="0.3">
      <c r="A6" s="142"/>
      <c r="B6" s="2644" t="s">
        <v>320</v>
      </c>
      <c r="C6" s="2645" t="s">
        <v>475</v>
      </c>
      <c r="D6" s="2646"/>
      <c r="E6" s="2646">
        <f>+'B-FCE'!F50</f>
        <v>29.53833333333333</v>
      </c>
      <c r="F6" s="2646"/>
      <c r="G6" s="2646">
        <f>+'B-FCE'!H50</f>
        <v>17.055555555555554</v>
      </c>
      <c r="H6" s="2646"/>
      <c r="I6" s="2647">
        <f>+'B-FCE'!J50</f>
        <v>46.593888888888884</v>
      </c>
      <c r="J6" s="2646"/>
      <c r="K6" s="2646">
        <f>+'B-FCE'!L50</f>
        <v>29.611111111111111</v>
      </c>
      <c r="L6" s="923"/>
      <c r="M6" s="923">
        <f>+'B-FCE'!N50</f>
        <v>76.204999999999998</v>
      </c>
      <c r="N6" s="2646"/>
      <c r="O6" s="2646">
        <f>+'B-FCE'!P50</f>
        <v>30.999999999999996</v>
      </c>
      <c r="P6" s="923"/>
      <c r="Q6" s="923">
        <f>+M6+O6</f>
        <v>107.205</v>
      </c>
      <c r="R6" s="2646"/>
      <c r="S6" s="2646">
        <f>+'B-FCE'!T50</f>
        <v>30.024305555555554</v>
      </c>
      <c r="T6" s="923"/>
      <c r="U6" s="923">
        <f>+Q6+S6</f>
        <v>137.22930555555556</v>
      </c>
      <c r="V6" s="2646"/>
      <c r="W6" s="2646">
        <f>+'B-FCE'!X50</f>
        <v>29.673611111111111</v>
      </c>
      <c r="X6" s="923"/>
      <c r="Y6" s="923">
        <f>+'B-FCE'!Z50</f>
        <v>90.697916666666657</v>
      </c>
      <c r="Z6" s="923"/>
      <c r="AA6" s="923">
        <f>+U6+W6</f>
        <v>166.90291666666667</v>
      </c>
      <c r="AB6" s="2646"/>
      <c r="AC6" s="2646">
        <f>+'B-FCE'!AD50</f>
        <v>26.930555555555561</v>
      </c>
      <c r="AD6" s="923"/>
      <c r="AE6" s="923">
        <f>+AA6+AC6</f>
        <v>193.83347222222224</v>
      </c>
      <c r="AF6" s="2646"/>
      <c r="AG6" s="2646">
        <f>+'B-FCE'!AH50</f>
        <v>29.107638888888889</v>
      </c>
      <c r="AH6" s="923"/>
      <c r="AI6" s="923">
        <f>+AE6+AG6</f>
        <v>222.94111111111113</v>
      </c>
      <c r="AJ6" s="2646"/>
      <c r="AK6" s="2646">
        <f>+'B-FCE'!AL50</f>
        <v>30.697916666666668</v>
      </c>
      <c r="AL6" s="923"/>
      <c r="AM6" s="923">
        <f>+'B-FCE'!AN50</f>
        <v>86.736111111111114</v>
      </c>
      <c r="AN6" s="923"/>
      <c r="AO6" s="923">
        <f>+AI6+AK6</f>
        <v>253.63902777777778</v>
      </c>
      <c r="AP6" s="2646"/>
      <c r="AQ6" s="2646">
        <f>+'B-FCE'!AR50</f>
        <v>30.413194444444393</v>
      </c>
      <c r="AR6" s="923"/>
      <c r="AS6" s="923">
        <f>+AO6+AQ6</f>
        <v>284.05222222222216</v>
      </c>
      <c r="AT6" s="2646"/>
      <c r="AU6" s="2646">
        <f>+'B-FCE'!AV50</f>
        <v>27.576388888888886</v>
      </c>
      <c r="AV6" s="923"/>
      <c r="AW6" s="923">
        <f>+AS6+AU6</f>
        <v>311.62861111111101</v>
      </c>
      <c r="AX6" s="2646"/>
      <c r="AY6" s="2646">
        <f>+'B-FCE'!AZ50</f>
        <v>29.972222222222232</v>
      </c>
      <c r="AZ6" s="923"/>
      <c r="BA6" s="923">
        <f>+'B-FCE'!BB50</f>
        <v>87.961805555555515</v>
      </c>
      <c r="BB6" s="923"/>
      <c r="BC6" s="2341">
        <f>+AM6+BA6</f>
        <v>174.69791666666663</v>
      </c>
      <c r="BD6" s="923"/>
      <c r="BE6" s="923">
        <f>+AW6+AY6</f>
        <v>341.60083333333324</v>
      </c>
    </row>
    <row r="7" spans="1:62" ht="15" thickBot="1" x14ac:dyDescent="0.35">
      <c r="A7" s="142"/>
      <c r="B7" s="2631" t="s">
        <v>327</v>
      </c>
      <c r="C7" s="2356" t="s">
        <v>326</v>
      </c>
      <c r="D7" s="2648">
        <v>4225</v>
      </c>
      <c r="E7" s="2443">
        <v>4254.87</v>
      </c>
      <c r="F7" s="2648">
        <v>4225</v>
      </c>
      <c r="G7" s="2443">
        <v>4255.1899999999996</v>
      </c>
      <c r="H7" s="2349">
        <v>4225</v>
      </c>
      <c r="I7" s="35">
        <f>+((E7*E$3*E13)+(G$3*G7*G13))/(I$3*I13)</f>
        <v>4255.0269068736852</v>
      </c>
      <c r="J7" s="2648">
        <v>4225</v>
      </c>
      <c r="K7" s="2443">
        <v>4254.7899129775424</v>
      </c>
      <c r="L7" s="717">
        <v>4225</v>
      </c>
      <c r="M7" s="717">
        <f>+((I7*I$3*I13)+(K$3*K7*K13))/(M$3*M13)</f>
        <v>4254.9461334948446</v>
      </c>
      <c r="N7" s="2648">
        <v>4225</v>
      </c>
      <c r="O7" s="2443">
        <v>4252.457958941076</v>
      </c>
      <c r="P7" s="718">
        <v>4225</v>
      </c>
      <c r="Q7" s="718">
        <f>+((M7*M$3*M13)+(O$3*O7*O13))/(Q$3*Q13)</f>
        <v>4254.2993267787833</v>
      </c>
      <c r="R7" s="2648">
        <v>4225</v>
      </c>
      <c r="S7" s="2443">
        <v>4252.995935040025</v>
      </c>
      <c r="T7" s="718">
        <f>+((P7*P$3*P13)+(R$3*R7*R13))/(T$3*T13)</f>
        <v>4225</v>
      </c>
      <c r="U7" s="718">
        <f>+((Q7*Q$3*Q13)+(S$3*S7*S13))/(U$3*U13)</f>
        <v>4254.0323807363447</v>
      </c>
      <c r="V7" s="2648">
        <v>4225</v>
      </c>
      <c r="W7" s="2443">
        <v>4252.1400000000003</v>
      </c>
      <c r="X7" s="717">
        <v>4225</v>
      </c>
      <c r="Y7" s="717">
        <f>+((O7*O$3*O13)+(S7*S$3*S13)+(W$3*W7*W13))/(Y$3*Y13)</f>
        <v>4252.5338760567529</v>
      </c>
      <c r="Z7" s="429">
        <v>4225</v>
      </c>
      <c r="AA7" s="429">
        <f>+((M7*M$3*M13)+(Y$3*Y7*Y13))/(AA$3*AA13)</f>
        <v>4253.7164317841698</v>
      </c>
      <c r="AB7" s="2648">
        <v>4225</v>
      </c>
      <c r="AC7" s="2443">
        <v>4253.99</v>
      </c>
      <c r="AD7" s="718">
        <v>4225</v>
      </c>
      <c r="AE7" s="718">
        <f>+((AA7*AA$3*AA13)+(AC$3*AC7*AC13))/(AE$3*AE13)</f>
        <v>4253.7557552342587</v>
      </c>
      <c r="AF7" s="2648">
        <v>4225</v>
      </c>
      <c r="AG7" s="2443">
        <v>4251.29</v>
      </c>
      <c r="AH7" s="718">
        <v>4225</v>
      </c>
      <c r="AI7" s="718">
        <f>+((AE7*AE$3*AE13)+(AG$3*AG7*AG13))/(AI$3*AI13)</f>
        <v>4253.4505469348142</v>
      </c>
      <c r="AJ7" s="2648">
        <v>4225</v>
      </c>
      <c r="AK7" s="2443">
        <v>4248.0200000000004</v>
      </c>
      <c r="AL7" s="717">
        <v>4225</v>
      </c>
      <c r="AM7" s="717">
        <f>+((AC7*AC$3*AC13)+(AG7*AG$3*AG13)+(AK$3*AK7*AK13))/(AM$3*AM13)</f>
        <v>4251.1000773732476</v>
      </c>
      <c r="AN7" s="718">
        <v>4225</v>
      </c>
      <c r="AO7" s="718">
        <f>+((AI7*AI$3*AI13)+(AK$3*AK7*AK13))/(AO$3*AO13)</f>
        <v>4252.8436924171538</v>
      </c>
      <c r="AP7" s="2648">
        <v>4225</v>
      </c>
      <c r="AQ7" s="2443">
        <v>4250.0200000000004</v>
      </c>
      <c r="AR7" s="718">
        <v>4225</v>
      </c>
      <c r="AS7" s="718">
        <f>+((AO7*AO$3*AO13)+(AQ$3*AQ7*AQ13))/(AS$3*AS13)</f>
        <v>4252.5620579530569</v>
      </c>
      <c r="AT7" s="2648">
        <v>4225</v>
      </c>
      <c r="AU7" s="2443">
        <v>4254.3500000000004</v>
      </c>
      <c r="AV7" s="718">
        <v>4225</v>
      </c>
      <c r="AW7" s="718">
        <f>+((AS7*AS$3*AS13)+(AU$3*AU7*AU13))/(AW$3*AW13)</f>
        <v>4252.7103266359536</v>
      </c>
      <c r="AX7" s="2648">
        <v>4225</v>
      </c>
      <c r="AY7" s="2443">
        <v>4253.0600000000004</v>
      </c>
      <c r="AZ7" s="717">
        <v>4225</v>
      </c>
      <c r="BA7" s="717">
        <f>+((AQ7*AQ$3*AQ13)+(AU7*AU$3*AU13)+(AY$3*AY7*AY13))/(BA$3*BA13)</f>
        <v>4252.4145368006912</v>
      </c>
      <c r="BB7" s="429">
        <v>4225</v>
      </c>
      <c r="BC7" s="429">
        <f>+((AM7*AM$3*AM13)+(BA$3*BA7*BA13))/(BC$3*BC13)</f>
        <v>4251.7447407046793</v>
      </c>
      <c r="BD7" s="718">
        <v>4225</v>
      </c>
      <c r="BE7" s="718">
        <f>+((AW7*AW$3*AW13)+(AY$3*AY7*AY13))/(BE$3*BE13)</f>
        <v>4252.7393952493057</v>
      </c>
      <c r="BF7" s="110"/>
      <c r="BG7" s="110"/>
      <c r="BH7" s="110"/>
      <c r="BI7" s="3740"/>
      <c r="BJ7" s="1111"/>
    </row>
    <row r="8" spans="1:62" ht="15.75" hidden="1" customHeight="1" thickBot="1" x14ac:dyDescent="0.35">
      <c r="A8" s="142"/>
      <c r="B8" s="2649" t="s">
        <v>328</v>
      </c>
      <c r="C8" s="2625" t="s">
        <v>949</v>
      </c>
      <c r="D8" s="2626">
        <v>21.772333333333332</v>
      </c>
      <c r="E8" s="2627"/>
      <c r="F8" s="2626">
        <v>21.772333333333332</v>
      </c>
      <c r="G8" s="2627"/>
      <c r="H8" s="2588"/>
      <c r="I8" s="152"/>
      <c r="J8" s="2626">
        <v>20.883666666666667</v>
      </c>
      <c r="K8" s="2627"/>
      <c r="L8" s="717"/>
      <c r="M8" s="717"/>
      <c r="N8" s="2626">
        <v>20.883666666666667</v>
      </c>
      <c r="O8" s="2627"/>
      <c r="P8" s="718"/>
      <c r="Q8" s="718"/>
      <c r="R8" s="2626">
        <v>20.883666666666667</v>
      </c>
      <c r="S8" s="2627"/>
      <c r="T8" s="718"/>
      <c r="U8" s="718"/>
      <c r="V8" s="2626">
        <v>20.461549999999999</v>
      </c>
      <c r="W8" s="2627"/>
      <c r="X8" s="717"/>
      <c r="Y8" s="717"/>
      <c r="Z8" s="429"/>
      <c r="AA8" s="429"/>
      <c r="AB8" s="2626">
        <v>20.883666666666667</v>
      </c>
      <c r="AC8" s="2627"/>
      <c r="AD8" s="718"/>
      <c r="AE8" s="718"/>
      <c r="AF8" s="2626">
        <v>20.883666666666667</v>
      </c>
      <c r="AG8" s="2627"/>
      <c r="AH8" s="718"/>
      <c r="AI8" s="718"/>
      <c r="AJ8" s="2626">
        <v>20.883666666666667</v>
      </c>
      <c r="AK8" s="2627"/>
      <c r="AL8" s="717"/>
      <c r="AM8" s="717"/>
      <c r="AN8" s="718"/>
      <c r="AO8" s="718"/>
      <c r="AP8" s="2626">
        <v>20.883666666666667</v>
      </c>
      <c r="AQ8" s="2627"/>
      <c r="AR8" s="718"/>
      <c r="AS8" s="718"/>
      <c r="AT8" s="2626">
        <v>20.883666666666667</v>
      </c>
      <c r="AU8" s="2627"/>
      <c r="AV8" s="718"/>
      <c r="AW8" s="718"/>
      <c r="AX8" s="2626">
        <v>20.883666666666667</v>
      </c>
      <c r="AY8" s="2627"/>
      <c r="AZ8" s="717"/>
      <c r="BA8" s="717"/>
      <c r="BB8" s="429"/>
      <c r="BC8" s="429"/>
      <c r="BD8" s="718"/>
      <c r="BE8" s="718"/>
      <c r="BF8" s="110"/>
      <c r="BG8" s="110"/>
      <c r="BH8" s="110"/>
      <c r="BI8" s="3740"/>
      <c r="BJ8" s="1111"/>
    </row>
    <row r="9" spans="1:62" x14ac:dyDescent="0.3">
      <c r="A9" s="142"/>
      <c r="B9" s="2629" t="s">
        <v>328</v>
      </c>
      <c r="C9" s="750" t="s">
        <v>323</v>
      </c>
      <c r="D9" s="247">
        <f>+D8*24*D3</f>
        <v>15676.079999999998</v>
      </c>
      <c r="E9" s="2630">
        <v>14775.92</v>
      </c>
      <c r="F9" s="247">
        <f>+F8*24*F3</f>
        <v>16198.615999999998</v>
      </c>
      <c r="G9" s="2630">
        <v>15556.83</v>
      </c>
      <c r="H9" s="341">
        <f>+D9+F9</f>
        <v>31874.695999999996</v>
      </c>
      <c r="I9" s="39">
        <f>+E9+G9</f>
        <v>30332.75</v>
      </c>
      <c r="J9" s="247">
        <f>+J8*24*J3</f>
        <v>15036.24</v>
      </c>
      <c r="K9" s="2630">
        <v>15397.140000000001</v>
      </c>
      <c r="L9" s="717">
        <f>+H9+J9</f>
        <v>46910.935999999994</v>
      </c>
      <c r="M9" s="717">
        <f>+I9+K9</f>
        <v>45729.89</v>
      </c>
      <c r="N9" s="247">
        <f>+N8*24*N3</f>
        <v>15537.447999999999</v>
      </c>
      <c r="O9" s="2630">
        <v>15742.000000000002</v>
      </c>
      <c r="P9" s="718">
        <f>+L9+N9</f>
        <v>62448.383999999991</v>
      </c>
      <c r="Q9" s="718">
        <f>+M9+O9</f>
        <v>61471.89</v>
      </c>
      <c r="R9" s="247">
        <f>+R8*24*R3</f>
        <v>15537.447999999999</v>
      </c>
      <c r="S9" s="2630">
        <v>15956.017725097459</v>
      </c>
      <c r="T9" s="718">
        <f>+P9+R9</f>
        <v>77985.831999999995</v>
      </c>
      <c r="U9" s="718">
        <f>+Q9+S9</f>
        <v>77427.907725097466</v>
      </c>
      <c r="V9" s="247">
        <f>+V8*24*V3</f>
        <v>14732.315999999999</v>
      </c>
      <c r="W9" s="2630">
        <v>15459.72</v>
      </c>
      <c r="X9" s="717">
        <f>+V9+R9+N9</f>
        <v>45807.211999999992</v>
      </c>
      <c r="Y9" s="717">
        <f>+W9+S9+O9</f>
        <v>47157.73772509746</v>
      </c>
      <c r="Z9" s="429">
        <f>+L9+X9</f>
        <v>92718.147999999986</v>
      </c>
      <c r="AA9" s="429">
        <f>+Y9+M9</f>
        <v>92887.627725097467</v>
      </c>
      <c r="AB9" s="247">
        <f>+AB8*24*AB3</f>
        <v>15537.447999999999</v>
      </c>
      <c r="AC9" s="2630">
        <v>15529.25</v>
      </c>
      <c r="AD9" s="718">
        <f>+Z9+AB9</f>
        <v>108255.59599999999</v>
      </c>
      <c r="AE9" s="718">
        <f>+AA9+AC9</f>
        <v>108416.87772509747</v>
      </c>
      <c r="AF9" s="247">
        <f>+AF8*24*AF3</f>
        <v>15036.24</v>
      </c>
      <c r="AG9" s="2630">
        <v>15076.4</v>
      </c>
      <c r="AH9" s="718">
        <f>+AD9+AF9</f>
        <v>123291.836</v>
      </c>
      <c r="AI9" s="718">
        <f>+AE9+AG9</f>
        <v>123493.27772509746</v>
      </c>
      <c r="AJ9" s="247">
        <f>+AJ8*24*AJ3</f>
        <v>15537.447999999999</v>
      </c>
      <c r="AK9" s="2630">
        <v>15200.621000000001</v>
      </c>
      <c r="AL9" s="717">
        <f>+AJ9+AF9+AB9</f>
        <v>46111.135999999999</v>
      </c>
      <c r="AM9" s="717">
        <f>+AK9+AG9+AC9</f>
        <v>45806.271000000001</v>
      </c>
      <c r="AN9" s="718">
        <f>+AH9+AJ9</f>
        <v>138829.28399999999</v>
      </c>
      <c r="AO9" s="718">
        <f>+AI9+AK9</f>
        <v>138693.89872509748</v>
      </c>
      <c r="AP9" s="247">
        <f>+AP8*24*AP3</f>
        <v>15537.447999999999</v>
      </c>
      <c r="AQ9" s="2630">
        <v>14796.88</v>
      </c>
      <c r="AR9" s="718">
        <f>+AN9+AP9</f>
        <v>154366.73199999999</v>
      </c>
      <c r="AS9" s="718">
        <f>+AO9+AQ9</f>
        <v>153490.77872509748</v>
      </c>
      <c r="AT9" s="247">
        <f>+AT8*24*AT3</f>
        <v>14033.823999999999</v>
      </c>
      <c r="AU9" s="2630">
        <v>12972.32</v>
      </c>
      <c r="AV9" s="718">
        <f>+AR9+AT9</f>
        <v>168400.55599999998</v>
      </c>
      <c r="AW9" s="718">
        <f>+AS9+AU9</f>
        <v>166463.09872509749</v>
      </c>
      <c r="AX9" s="247">
        <f>+AX8*24*AX3</f>
        <v>15537.447999999999</v>
      </c>
      <c r="AY9" s="2630">
        <v>14377.6</v>
      </c>
      <c r="AZ9" s="717">
        <f>+AX9+AT9+AP9</f>
        <v>45108.719999999994</v>
      </c>
      <c r="BA9" s="717">
        <f>+AY9+AU9+AQ9</f>
        <v>42146.799999999996</v>
      </c>
      <c r="BB9" s="429">
        <f>+AL9+AZ9</f>
        <v>91219.856</v>
      </c>
      <c r="BC9" s="429">
        <f t="shared" ref="BC9:BC11" si="0">+AM9+BA9</f>
        <v>87953.070999999996</v>
      </c>
      <c r="BD9" s="718">
        <f>+AV9+AX9</f>
        <v>183938.00399999999</v>
      </c>
      <c r="BE9" s="718">
        <f>+AW9+AY9</f>
        <v>180840.69872509749</v>
      </c>
      <c r="BF9" s="110"/>
      <c r="BG9" s="110"/>
      <c r="BH9" s="110"/>
      <c r="BI9" s="110"/>
      <c r="BJ9" s="110"/>
    </row>
    <row r="10" spans="1:62" ht="15" hidden="1" customHeight="1" x14ac:dyDescent="0.3">
      <c r="A10" s="142"/>
      <c r="B10" s="2631" t="s">
        <v>329</v>
      </c>
      <c r="C10" s="2356" t="s">
        <v>949</v>
      </c>
      <c r="D10" s="2399">
        <v>43.176175000000001</v>
      </c>
      <c r="E10" s="2443"/>
      <c r="F10" s="2399">
        <v>42.921408750000005</v>
      </c>
      <c r="G10" s="2443"/>
      <c r="H10" s="2349"/>
      <c r="I10" s="35"/>
      <c r="J10" s="2399">
        <v>43.801916666666671</v>
      </c>
      <c r="K10" s="2443"/>
      <c r="L10" s="717"/>
      <c r="M10" s="717"/>
      <c r="N10" s="2399">
        <v>43.801916666666671</v>
      </c>
      <c r="O10" s="2443"/>
      <c r="P10" s="718"/>
      <c r="Q10" s="718"/>
      <c r="R10" s="2399">
        <v>43.801916666666671</v>
      </c>
      <c r="S10" s="2443"/>
      <c r="T10" s="718"/>
      <c r="U10" s="718"/>
      <c r="V10" s="2399">
        <v>41.790604166666675</v>
      </c>
      <c r="W10" s="2443"/>
      <c r="X10" s="717"/>
      <c r="Y10" s="717"/>
      <c r="Z10" s="429"/>
      <c r="AA10" s="429"/>
      <c r="AB10" s="2399">
        <v>43.801916666666671</v>
      </c>
      <c r="AC10" s="2443"/>
      <c r="AD10" s="718"/>
      <c r="AE10" s="718"/>
      <c r="AF10" s="2399">
        <v>43.801916666666671</v>
      </c>
      <c r="AG10" s="2443"/>
      <c r="AH10" s="718"/>
      <c r="AI10" s="718"/>
      <c r="AJ10" s="2399">
        <v>43.801916666666671</v>
      </c>
      <c r="AK10" s="2443"/>
      <c r="AL10" s="717"/>
      <c r="AM10" s="717"/>
      <c r="AN10" s="718"/>
      <c r="AO10" s="718"/>
      <c r="AP10" s="2399">
        <v>43.801916666666671</v>
      </c>
      <c r="AQ10" s="2443"/>
      <c r="AR10" s="718"/>
      <c r="AS10" s="718"/>
      <c r="AT10" s="2399">
        <v>43.801916666666671</v>
      </c>
      <c r="AU10" s="2443"/>
      <c r="AV10" s="718"/>
      <c r="AW10" s="718"/>
      <c r="AX10" s="2399">
        <v>43.801916666666671</v>
      </c>
      <c r="AY10" s="2443"/>
      <c r="AZ10" s="717"/>
      <c r="BA10" s="717"/>
      <c r="BB10" s="429">
        <f t="shared" ref="BB10:BB11" si="1">+AL10+AZ10</f>
        <v>0</v>
      </c>
      <c r="BC10" s="429">
        <f t="shared" si="0"/>
        <v>0</v>
      </c>
      <c r="BD10" s="718"/>
      <c r="BE10" s="718"/>
      <c r="BF10" s="110"/>
      <c r="BG10" s="110"/>
      <c r="BH10" s="110"/>
      <c r="BI10" s="110"/>
      <c r="BJ10" s="110"/>
    </row>
    <row r="11" spans="1:62" x14ac:dyDescent="0.3">
      <c r="A11" s="142"/>
      <c r="B11" s="2631" t="s">
        <v>329</v>
      </c>
      <c r="C11" s="2356" t="s">
        <v>323</v>
      </c>
      <c r="D11" s="2399">
        <f>+D10*D3*24</f>
        <v>31086.845999999998</v>
      </c>
      <c r="E11" s="2443">
        <v>30954.2</v>
      </c>
      <c r="F11" s="2399">
        <f>+F10*F3*24</f>
        <v>31933.528110000007</v>
      </c>
      <c r="G11" s="2443">
        <v>28438.71</v>
      </c>
      <c r="H11" s="2349">
        <f>+D11+F11</f>
        <v>63020.374110000004</v>
      </c>
      <c r="I11" s="35">
        <f>+E11+G11</f>
        <v>59392.91</v>
      </c>
      <c r="J11" s="2399">
        <f>+J10*J3*24</f>
        <v>31537.380000000005</v>
      </c>
      <c r="K11" s="2443">
        <v>30995.260000000002</v>
      </c>
      <c r="L11" s="717">
        <f>+H11+J11</f>
        <v>94557.754110000009</v>
      </c>
      <c r="M11" s="717">
        <f>+I11+K11</f>
        <v>90388.170000000013</v>
      </c>
      <c r="N11" s="2399">
        <f>+N10*N3*24</f>
        <v>32588.626</v>
      </c>
      <c r="O11" s="2443">
        <v>32071.409999999993</v>
      </c>
      <c r="P11" s="718">
        <f>+L11+N11</f>
        <v>127146.38011000001</v>
      </c>
      <c r="Q11" s="718">
        <f>+M11+O11</f>
        <v>122459.58</v>
      </c>
      <c r="R11" s="2399">
        <f>+R10*R3*24</f>
        <v>32588.626</v>
      </c>
      <c r="S11" s="2443">
        <v>31417.21</v>
      </c>
      <c r="T11" s="718">
        <f>+P11+R11</f>
        <v>159735.00611000002</v>
      </c>
      <c r="U11" s="718">
        <f>+Q11+S11</f>
        <v>153876.79</v>
      </c>
      <c r="V11" s="2399">
        <f>+V10*V3*24</f>
        <v>30089.235000000008</v>
      </c>
      <c r="W11" s="2443">
        <v>30898.44</v>
      </c>
      <c r="X11" s="717">
        <f>+V11+R11+N11</f>
        <v>95266.487000000008</v>
      </c>
      <c r="Y11" s="717">
        <f>+W11+S11+O11</f>
        <v>94387.059999999983</v>
      </c>
      <c r="Z11" s="429">
        <f>+L11+X11</f>
        <v>189824.24111</v>
      </c>
      <c r="AA11" s="429">
        <f>+Y11+M11</f>
        <v>184775.22999999998</v>
      </c>
      <c r="AB11" s="2399">
        <f>+AB10*AB3*24</f>
        <v>32588.626</v>
      </c>
      <c r="AC11" s="2443">
        <v>31082.94</v>
      </c>
      <c r="AD11" s="718">
        <f>+Z11+AB11</f>
        <v>222412.86710999999</v>
      </c>
      <c r="AE11" s="718">
        <f>+AA11+AC11</f>
        <v>215858.16999999998</v>
      </c>
      <c r="AF11" s="2399">
        <f>+AF10*AF3*24</f>
        <v>31537.380000000005</v>
      </c>
      <c r="AG11" s="2443">
        <v>30732.11</v>
      </c>
      <c r="AH11" s="718">
        <f>+AD11+AF11</f>
        <v>253950.24711</v>
      </c>
      <c r="AI11" s="718">
        <f>+AE11+AG11</f>
        <v>246590.27999999997</v>
      </c>
      <c r="AJ11" s="2399">
        <f>+AJ10*AJ3*24</f>
        <v>32588.626</v>
      </c>
      <c r="AK11" s="2443">
        <v>31358.5</v>
      </c>
      <c r="AL11" s="717">
        <f>+AJ11+AF11+AB11</f>
        <v>96714.632000000012</v>
      </c>
      <c r="AM11" s="717">
        <f>+AK11+AG11+AC11</f>
        <v>93173.55</v>
      </c>
      <c r="AN11" s="718">
        <f>+AH11+AJ11</f>
        <v>286538.87310999999</v>
      </c>
      <c r="AO11" s="718">
        <f>+AI11+AK11</f>
        <v>277948.77999999997</v>
      </c>
      <c r="AP11" s="2399">
        <f>+AP10*AP3*24</f>
        <v>32588.626</v>
      </c>
      <c r="AQ11" s="2443">
        <v>31362.94</v>
      </c>
      <c r="AR11" s="718">
        <f>+AN11+AP11</f>
        <v>319127.49910999998</v>
      </c>
      <c r="AS11" s="718">
        <f>+AO11+AQ11</f>
        <v>309311.71999999997</v>
      </c>
      <c r="AT11" s="2399">
        <f>+AT10*AT3*24</f>
        <v>29434.888000000003</v>
      </c>
      <c r="AU11" s="2443">
        <v>28876.94</v>
      </c>
      <c r="AV11" s="718">
        <f>+AR11+AT11</f>
        <v>348562.38710999995</v>
      </c>
      <c r="AW11" s="718">
        <f>+AS11+AU11</f>
        <v>338188.66</v>
      </c>
      <c r="AX11" s="2399">
        <f>+AX10*AX3*24</f>
        <v>32588.626</v>
      </c>
      <c r="AY11" s="2443">
        <v>31378.2</v>
      </c>
      <c r="AZ11" s="717">
        <f>+AX11+AT11+AP11</f>
        <v>94612.14</v>
      </c>
      <c r="BA11" s="717">
        <f>+AY11+AU11+AQ11</f>
        <v>91618.08</v>
      </c>
      <c r="BB11" s="429">
        <f t="shared" si="1"/>
        <v>191326.772</v>
      </c>
      <c r="BC11" s="429">
        <f t="shared" si="0"/>
        <v>184791.63</v>
      </c>
      <c r="BD11" s="718">
        <f>+AV11+AX11</f>
        <v>381151.01310999994</v>
      </c>
      <c r="BE11" s="718">
        <f>+AW11+AY11</f>
        <v>369566.86</v>
      </c>
      <c r="BF11" s="110"/>
      <c r="BG11" s="110"/>
      <c r="BH11" s="110"/>
      <c r="BI11" s="110"/>
      <c r="BJ11" s="110"/>
    </row>
    <row r="12" spans="1:62" ht="18" thickBot="1" x14ac:dyDescent="0.35">
      <c r="B12" s="2632" t="s">
        <v>330</v>
      </c>
      <c r="C12" s="2206" t="s">
        <v>323</v>
      </c>
      <c r="D12" s="2207">
        <f t="shared" ref="D12:E12" si="2">+D9+D11</f>
        <v>46762.925999999992</v>
      </c>
      <c r="E12" s="2633">
        <f t="shared" si="2"/>
        <v>45730.12</v>
      </c>
      <c r="F12" s="2207">
        <f t="shared" ref="F12:G12" si="3">+F9+F11</f>
        <v>48132.144110000008</v>
      </c>
      <c r="G12" s="2633">
        <f t="shared" si="3"/>
        <v>43995.54</v>
      </c>
      <c r="H12" s="2208">
        <f t="shared" ref="H12:K12" si="4">+H9+H11</f>
        <v>94895.070110000001</v>
      </c>
      <c r="I12" s="2634">
        <f t="shared" si="4"/>
        <v>89725.66</v>
      </c>
      <c r="J12" s="2207">
        <f t="shared" si="4"/>
        <v>46573.62</v>
      </c>
      <c r="K12" s="2633">
        <f t="shared" si="4"/>
        <v>46392.4</v>
      </c>
      <c r="L12" s="605">
        <f t="shared" ref="L12:Q12" si="5">+L9+L11</f>
        <v>141468.69011</v>
      </c>
      <c r="M12" s="605">
        <f t="shared" si="5"/>
        <v>136118.06</v>
      </c>
      <c r="N12" s="2207">
        <f t="shared" si="5"/>
        <v>48126.074000000001</v>
      </c>
      <c r="O12" s="2633">
        <f t="shared" si="5"/>
        <v>47813.409999999996</v>
      </c>
      <c r="P12" s="604">
        <f t="shared" si="5"/>
        <v>189594.76410999999</v>
      </c>
      <c r="Q12" s="604">
        <f t="shared" si="5"/>
        <v>183931.47</v>
      </c>
      <c r="R12" s="2207">
        <f t="shared" ref="R12:S12" si="6">+R9+R11</f>
        <v>48126.074000000001</v>
      </c>
      <c r="S12" s="2633">
        <f t="shared" si="6"/>
        <v>47373.227725097458</v>
      </c>
      <c r="T12" s="604">
        <f t="shared" ref="T12:W12" si="7">+T9+T11</f>
        <v>237720.83811000001</v>
      </c>
      <c r="U12" s="604">
        <f t="shared" si="7"/>
        <v>231304.69772509747</v>
      </c>
      <c r="V12" s="2207">
        <f t="shared" si="7"/>
        <v>44821.551000000007</v>
      </c>
      <c r="W12" s="2633">
        <f t="shared" si="7"/>
        <v>46358.159999999996</v>
      </c>
      <c r="X12" s="577">
        <f t="shared" ref="X12:AE12" si="8">+X9+X11</f>
        <v>141073.69899999999</v>
      </c>
      <c r="Y12" s="577">
        <f t="shared" si="8"/>
        <v>141544.79772509745</v>
      </c>
      <c r="Z12" s="577">
        <f t="shared" si="8"/>
        <v>282542.38910999999</v>
      </c>
      <c r="AA12" s="577">
        <f t="shared" si="8"/>
        <v>277662.85772509745</v>
      </c>
      <c r="AB12" s="2207">
        <f t="shared" si="8"/>
        <v>48126.074000000001</v>
      </c>
      <c r="AC12" s="2633">
        <f t="shared" si="8"/>
        <v>46612.19</v>
      </c>
      <c r="AD12" s="604">
        <f t="shared" si="8"/>
        <v>330668.46311000001</v>
      </c>
      <c r="AE12" s="604">
        <f t="shared" si="8"/>
        <v>324275.04772509745</v>
      </c>
      <c r="AF12" s="2207">
        <f t="shared" ref="AF12:AG12" si="9">+AF9+AF11</f>
        <v>46573.62</v>
      </c>
      <c r="AG12" s="2633">
        <f t="shared" si="9"/>
        <v>45808.51</v>
      </c>
      <c r="AH12" s="604">
        <f t="shared" ref="AH12:AK12" si="10">+AH9+AH11</f>
        <v>377242.08311000001</v>
      </c>
      <c r="AI12" s="604">
        <f t="shared" si="10"/>
        <v>370083.5577250974</v>
      </c>
      <c r="AJ12" s="2207">
        <f t="shared" si="10"/>
        <v>48126.074000000001</v>
      </c>
      <c r="AK12" s="2633">
        <f t="shared" si="10"/>
        <v>46559.120999999999</v>
      </c>
      <c r="AL12" s="605">
        <f t="shared" ref="AL12:AQ12" si="11">+AL9+AL11</f>
        <v>142825.76800000001</v>
      </c>
      <c r="AM12" s="605">
        <f t="shared" si="11"/>
        <v>138979.821</v>
      </c>
      <c r="AN12" s="604">
        <f t="shared" si="11"/>
        <v>425368.15710999997</v>
      </c>
      <c r="AO12" s="604">
        <f t="shared" si="11"/>
        <v>416642.67872509744</v>
      </c>
      <c r="AP12" s="2207">
        <f t="shared" si="11"/>
        <v>48126.074000000001</v>
      </c>
      <c r="AQ12" s="2633">
        <f t="shared" si="11"/>
        <v>46159.82</v>
      </c>
      <c r="AR12" s="604">
        <f t="shared" ref="AR12:AU12" si="12">+AR9+AR11</f>
        <v>473494.23110999994</v>
      </c>
      <c r="AS12" s="604">
        <f t="shared" si="12"/>
        <v>462802.49872509745</v>
      </c>
      <c r="AT12" s="2207">
        <f t="shared" si="12"/>
        <v>43468.712</v>
      </c>
      <c r="AU12" s="2633">
        <f t="shared" si="12"/>
        <v>41849.259999999995</v>
      </c>
      <c r="AV12" s="604">
        <f t="shared" ref="AV12:AY12" si="13">+AV9+AV11</f>
        <v>516962.94310999993</v>
      </c>
      <c r="AW12" s="604">
        <f t="shared" si="13"/>
        <v>504651.75872509746</v>
      </c>
      <c r="AX12" s="2207">
        <f t="shared" si="13"/>
        <v>48126.074000000001</v>
      </c>
      <c r="AY12" s="2633">
        <f t="shared" si="13"/>
        <v>45755.8</v>
      </c>
      <c r="AZ12" s="577">
        <f t="shared" ref="AZ12:BE12" si="14">+AZ9+AZ11</f>
        <v>139720.85999999999</v>
      </c>
      <c r="BA12" s="577">
        <f t="shared" si="14"/>
        <v>133764.88</v>
      </c>
      <c r="BB12" s="577">
        <f t="shared" si="14"/>
        <v>282546.62800000003</v>
      </c>
      <c r="BC12" s="577">
        <f t="shared" si="14"/>
        <v>272744.701</v>
      </c>
      <c r="BD12" s="604">
        <f t="shared" si="14"/>
        <v>565089.0171099999</v>
      </c>
      <c r="BE12" s="604">
        <f t="shared" si="14"/>
        <v>550407.55872509745</v>
      </c>
      <c r="BF12" s="110"/>
      <c r="BG12" s="110"/>
      <c r="BH12" s="110"/>
      <c r="BI12" s="110"/>
      <c r="BJ12" s="110"/>
    </row>
    <row r="13" spans="1:62" ht="15.6" x14ac:dyDescent="0.3">
      <c r="B13" s="2650" t="s">
        <v>331</v>
      </c>
      <c r="C13" s="2628" t="s">
        <v>325</v>
      </c>
      <c r="D13" s="2595">
        <f t="shared" ref="D13:E13" si="15">+D12/(D3*24)</f>
        <v>64.948508333333322</v>
      </c>
      <c r="E13" s="2595">
        <f t="shared" si="15"/>
        <v>63.514055555555558</v>
      </c>
      <c r="F13" s="2595">
        <f t="shared" ref="F13:G13" si="16">+F12/(F3*24)</f>
        <v>64.693742083333348</v>
      </c>
      <c r="G13" s="2595">
        <f t="shared" si="16"/>
        <v>59.133790322580644</v>
      </c>
      <c r="H13" s="2137">
        <f t="shared" ref="H13:K13" si="17">+H12/(H3*24)</f>
        <v>64.819036960382519</v>
      </c>
      <c r="I13" s="2651">
        <f t="shared" si="17"/>
        <v>61.288019125683064</v>
      </c>
      <c r="J13" s="2595">
        <f t="shared" si="17"/>
        <v>64.685583333333341</v>
      </c>
      <c r="K13" s="2595">
        <f t="shared" si="17"/>
        <v>64.433888888888887</v>
      </c>
      <c r="L13" s="747">
        <f t="shared" ref="L13:Q13" si="18">+L12/(L3*24)</f>
        <v>64.775041259157504</v>
      </c>
      <c r="M13" s="747">
        <f t="shared" si="18"/>
        <v>62.325119047619047</v>
      </c>
      <c r="N13" s="2595">
        <f t="shared" si="18"/>
        <v>64.685583333333341</v>
      </c>
      <c r="O13" s="2595">
        <f t="shared" si="18"/>
        <v>64.265336021505377</v>
      </c>
      <c r="P13" s="746">
        <f t="shared" si="18"/>
        <v>64.752310146857923</v>
      </c>
      <c r="Q13" s="746">
        <f t="shared" si="18"/>
        <v>62.818125000000002</v>
      </c>
      <c r="R13" s="2595">
        <f t="shared" ref="R13:S13" si="19">+R12/(R3*24)</f>
        <v>64.685583333333341</v>
      </c>
      <c r="S13" s="2595">
        <f t="shared" si="19"/>
        <v>63.673693178894432</v>
      </c>
      <c r="T13" s="746">
        <f t="shared" ref="T13:W13" si="20">+T12/(T3*24)</f>
        <v>64.738790334967319</v>
      </c>
      <c r="U13" s="746">
        <f t="shared" si="20"/>
        <v>62.991475415331557</v>
      </c>
      <c r="V13" s="2595">
        <f t="shared" si="20"/>
        <v>62.252154166666678</v>
      </c>
      <c r="W13" s="2595">
        <f t="shared" si="20"/>
        <v>64.386333333333326</v>
      </c>
      <c r="X13" s="747">
        <f t="shared" ref="X13:AE13" si="21">+X12/(X3*24)</f>
        <v>63.892073822463765</v>
      </c>
      <c r="Y13" s="747">
        <f t="shared" si="21"/>
        <v>64.105433752308628</v>
      </c>
      <c r="Z13" s="745">
        <f t="shared" si="21"/>
        <v>64.331145061475411</v>
      </c>
      <c r="AA13" s="745">
        <f t="shared" si="21"/>
        <v>63.220140647790856</v>
      </c>
      <c r="AB13" s="2595">
        <f t="shared" si="21"/>
        <v>64.685583333333341</v>
      </c>
      <c r="AC13" s="2595">
        <f t="shared" si="21"/>
        <v>62.650793010752693</v>
      </c>
      <c r="AD13" s="746">
        <f t="shared" si="21"/>
        <v>64.382488923286601</v>
      </c>
      <c r="AE13" s="746">
        <f t="shared" si="21"/>
        <v>63.137665055509629</v>
      </c>
      <c r="AF13" s="2595">
        <f t="shared" ref="AF13:AG13" si="22">+AF12/(AF3*24)</f>
        <v>64.685583333333341</v>
      </c>
      <c r="AG13" s="2595">
        <f t="shared" si="22"/>
        <v>63.622930555555556</v>
      </c>
      <c r="AH13" s="746">
        <f t="shared" ref="AH13:AK13" si="23">+AH12/(AH3*24)</f>
        <v>64.419754629439893</v>
      </c>
      <c r="AI13" s="746">
        <f t="shared" si="23"/>
        <v>63.19732884649887</v>
      </c>
      <c r="AJ13" s="2595">
        <f t="shared" si="23"/>
        <v>64.685583333333341</v>
      </c>
      <c r="AK13" s="2595">
        <f t="shared" si="23"/>
        <v>62.57946370967742</v>
      </c>
      <c r="AL13" s="747">
        <f t="shared" ref="AL13:AQ13" si="24">+AL12/(AL3*24)</f>
        <v>64.685583333333341</v>
      </c>
      <c r="AM13" s="747">
        <f t="shared" si="24"/>
        <v>62.943759510869562</v>
      </c>
      <c r="AN13" s="746">
        <f t="shared" si="24"/>
        <v>64.449720774242422</v>
      </c>
      <c r="AO13" s="746">
        <f t="shared" si="24"/>
        <v>63.127678594711732</v>
      </c>
      <c r="AP13" s="2595">
        <f t="shared" si="24"/>
        <v>64.685583333333341</v>
      </c>
      <c r="AQ13" s="2595">
        <f t="shared" si="24"/>
        <v>62.042768817204298</v>
      </c>
      <c r="AR13" s="746">
        <f t="shared" ref="AR13:AU13" si="25">+AR12/(AR3*24)</f>
        <v>64.473615347222207</v>
      </c>
      <c r="AS13" s="746">
        <f t="shared" si="25"/>
        <v>63.017769434245295</v>
      </c>
      <c r="AT13" s="2595">
        <f t="shared" si="25"/>
        <v>64.685583333333327</v>
      </c>
      <c r="AU13" s="2595">
        <f t="shared" si="25"/>
        <v>62.275684523809517</v>
      </c>
      <c r="AV13" s="746">
        <f t="shared" ref="AV13:AY13" si="26">+AV12/(AV3*24)</f>
        <v>64.491385118512966</v>
      </c>
      <c r="AW13" s="746">
        <f t="shared" si="26"/>
        <v>62.955558723190798</v>
      </c>
      <c r="AX13" s="2595">
        <f t="shared" si="26"/>
        <v>64.685583333333341</v>
      </c>
      <c r="AY13" s="2595">
        <f t="shared" si="26"/>
        <v>61.499731182795706</v>
      </c>
      <c r="AZ13" s="747">
        <f t="shared" ref="AZ13:BE13" si="27">+AZ12/(AZ3*24)</f>
        <v>64.685583333333327</v>
      </c>
      <c r="BA13" s="747">
        <f t="shared" si="27"/>
        <v>61.928185185185185</v>
      </c>
      <c r="BB13" s="745">
        <f t="shared" si="27"/>
        <v>64.685583333333341</v>
      </c>
      <c r="BC13" s="745">
        <f t="shared" si="27"/>
        <v>62.441552426739925</v>
      </c>
      <c r="BD13" s="746">
        <f t="shared" si="27"/>
        <v>64.507878665525098</v>
      </c>
      <c r="BE13" s="746">
        <f t="shared" si="27"/>
        <v>62.831913096472313</v>
      </c>
      <c r="BF13" s="110"/>
      <c r="BG13" s="110"/>
      <c r="BH13" s="110"/>
      <c r="BI13" s="110"/>
      <c r="BJ13" s="110"/>
    </row>
    <row r="14" spans="1:62" ht="15.75" hidden="1" customHeight="1" x14ac:dyDescent="0.3">
      <c r="B14" s="2652" t="s">
        <v>54</v>
      </c>
      <c r="C14" s="2653" t="s">
        <v>950</v>
      </c>
      <c r="D14" s="2654">
        <v>0.51995655833333332</v>
      </c>
      <c r="E14" s="2655"/>
      <c r="F14" s="2654">
        <v>0.51817319458333333</v>
      </c>
      <c r="G14" s="2655"/>
      <c r="H14" s="2656"/>
      <c r="I14" s="1649"/>
      <c r="J14" s="2654">
        <v>0.51545008333333331</v>
      </c>
      <c r="K14" s="2655"/>
      <c r="L14" s="747"/>
      <c r="M14" s="747"/>
      <c r="N14" s="2654">
        <v>0.51545008333333331</v>
      </c>
      <c r="O14" s="2655"/>
      <c r="P14" s="746"/>
      <c r="Q14" s="746"/>
      <c r="R14" s="2654">
        <v>0.51545008333333331</v>
      </c>
      <c r="S14" s="2655"/>
      <c r="T14" s="746"/>
      <c r="U14" s="746"/>
      <c r="V14" s="2654">
        <v>0.49714972916666667</v>
      </c>
      <c r="W14" s="2655"/>
      <c r="X14" s="747"/>
      <c r="Y14" s="747"/>
      <c r="Z14" s="745"/>
      <c r="AA14" s="745"/>
      <c r="AB14" s="2654">
        <v>0.51545008333333331</v>
      </c>
      <c r="AC14" s="2655"/>
      <c r="AD14" s="746"/>
      <c r="AE14" s="746"/>
      <c r="AF14" s="2654">
        <v>0.51545008333333331</v>
      </c>
      <c r="AG14" s="2655"/>
      <c r="AH14" s="746"/>
      <c r="AI14" s="746"/>
      <c r="AJ14" s="2654">
        <v>0.51545008333333331</v>
      </c>
      <c r="AK14" s="2655"/>
      <c r="AL14" s="747"/>
      <c r="AM14" s="747"/>
      <c r="AN14" s="746"/>
      <c r="AO14" s="746"/>
      <c r="AP14" s="2654">
        <v>0.51545008333333331</v>
      </c>
      <c r="AQ14" s="2655"/>
      <c r="AR14" s="746"/>
      <c r="AS14" s="746"/>
      <c r="AT14" s="2654">
        <v>0.51545008333333331</v>
      </c>
      <c r="AU14" s="2655"/>
      <c r="AV14" s="746"/>
      <c r="AW14" s="746"/>
      <c r="AX14" s="2654">
        <v>0.51545008333333331</v>
      </c>
      <c r="AY14" s="2655"/>
      <c r="AZ14" s="747"/>
      <c r="BA14" s="747"/>
      <c r="BB14" s="745"/>
      <c r="BC14" s="745"/>
      <c r="BD14" s="746"/>
      <c r="BE14" s="746"/>
      <c r="BF14" s="110"/>
      <c r="BG14" s="110"/>
      <c r="BH14" s="110"/>
      <c r="BI14" s="110"/>
      <c r="BJ14" s="110"/>
    </row>
    <row r="15" spans="1:62" x14ac:dyDescent="0.3">
      <c r="B15" s="2652" t="s">
        <v>54</v>
      </c>
      <c r="C15" s="2356" t="s">
        <v>323</v>
      </c>
      <c r="D15" s="2399">
        <f>+D14*D3*24</f>
        <v>374.36872199999999</v>
      </c>
      <c r="E15" s="2446">
        <v>406.58</v>
      </c>
      <c r="F15" s="2399">
        <f>+F14*F3*24</f>
        <v>385.52085677000002</v>
      </c>
      <c r="G15" s="2446">
        <v>1454.7</v>
      </c>
      <c r="H15" s="2349">
        <f>+D15+F15</f>
        <v>759.88957877000007</v>
      </c>
      <c r="I15" s="35">
        <f>+E15+G15</f>
        <v>1861.28</v>
      </c>
      <c r="J15" s="2399">
        <f>+J14*J3*24</f>
        <v>371.12405999999999</v>
      </c>
      <c r="K15" s="2446">
        <v>98.058000000000007</v>
      </c>
      <c r="L15" s="717">
        <f>+H15+J15</f>
        <v>1131.0136387699999</v>
      </c>
      <c r="M15" s="717">
        <f>+I15+K15</f>
        <v>1959.338</v>
      </c>
      <c r="N15" s="2399">
        <f>+N14*N3*24</f>
        <v>383.49486200000001</v>
      </c>
      <c r="O15" s="2446">
        <v>96.962822583267354</v>
      </c>
      <c r="P15" s="718">
        <f>+L15+N15</f>
        <v>1514.50850077</v>
      </c>
      <c r="Q15" s="718">
        <f>+M15+O15</f>
        <v>2056.3008225832673</v>
      </c>
      <c r="R15" s="2399">
        <f>+R14*R3*24</f>
        <v>383.49486200000001</v>
      </c>
      <c r="S15" s="2446">
        <v>112.89019718109057</v>
      </c>
      <c r="T15" s="718">
        <f>+P15+R15</f>
        <v>1898.00336277</v>
      </c>
      <c r="U15" s="718">
        <f>+Q15+S15</f>
        <v>2169.1910197643579</v>
      </c>
      <c r="V15" s="2399">
        <f>+V14*V3*24</f>
        <v>357.94780500000002</v>
      </c>
      <c r="W15" s="2446">
        <v>101.82</v>
      </c>
      <c r="X15" s="717">
        <f>+V15+R15+N15</f>
        <v>1124.937529</v>
      </c>
      <c r="Y15" s="717">
        <f>+W15+S15+O15</f>
        <v>311.67301976435795</v>
      </c>
      <c r="Z15" s="429">
        <f>+L15+X15</f>
        <v>2255.9511677700002</v>
      </c>
      <c r="AA15" s="429">
        <f>+Y15+M15</f>
        <v>2271.011019764358</v>
      </c>
      <c r="AB15" s="2399">
        <f>+AB14*AB3*24</f>
        <v>383.49486200000001</v>
      </c>
      <c r="AC15" s="2446">
        <v>611.49</v>
      </c>
      <c r="AD15" s="718">
        <f>+Z15+AB15</f>
        <v>2639.4460297700002</v>
      </c>
      <c r="AE15" s="718">
        <f>+AA15+AC15</f>
        <v>2882.5010197643578</v>
      </c>
      <c r="AF15" s="2399">
        <f>+AF14*AF3*24</f>
        <v>371.12405999999999</v>
      </c>
      <c r="AG15" s="2446">
        <v>96.82</v>
      </c>
      <c r="AH15" s="718">
        <f>+AD15+AF15</f>
        <v>3010.5700897700003</v>
      </c>
      <c r="AI15" s="718">
        <f>+AE15+AG15</f>
        <v>2979.321019764358</v>
      </c>
      <c r="AJ15" s="2399">
        <f>+AJ14*AJ3*24</f>
        <v>383.49486200000001</v>
      </c>
      <c r="AK15" s="2446">
        <v>105.23297035831769</v>
      </c>
      <c r="AL15" s="717">
        <f>+AJ15+AF15+AB15</f>
        <v>1138.1137840000001</v>
      </c>
      <c r="AM15" s="717">
        <f>+AK15+AG15+AC15</f>
        <v>813.54297035831769</v>
      </c>
      <c r="AN15" s="718">
        <f>+AH15+AJ15</f>
        <v>3394.0649517700003</v>
      </c>
      <c r="AO15" s="718">
        <f>+AI15+AK15</f>
        <v>3084.5539901226757</v>
      </c>
      <c r="AP15" s="2399">
        <f>+AP14*AP3*24</f>
        <v>383.49486200000001</v>
      </c>
      <c r="AQ15" s="2446">
        <v>600.47</v>
      </c>
      <c r="AR15" s="718">
        <f>+AN15+AP15</f>
        <v>3777.5598137700003</v>
      </c>
      <c r="AS15" s="718">
        <f>+AO15+AQ15</f>
        <v>3685.023990122676</v>
      </c>
      <c r="AT15" s="2399">
        <f>+AT14*AT3*24</f>
        <v>346.38245599999993</v>
      </c>
      <c r="AU15" s="2446">
        <v>883.93</v>
      </c>
      <c r="AV15" s="718">
        <f>+AR15+AT15</f>
        <v>4123.9422697700002</v>
      </c>
      <c r="AW15" s="718">
        <f>+AS15+AU15</f>
        <v>4568.9539901226763</v>
      </c>
      <c r="AX15" s="2399">
        <f>+AX14*AX3*24</f>
        <v>383.49486200000001</v>
      </c>
      <c r="AY15" s="2446">
        <v>135.55000000000001</v>
      </c>
      <c r="AZ15" s="717">
        <f>+AX15+AT15+AP15</f>
        <v>1113.3721799999998</v>
      </c>
      <c r="BA15" s="717">
        <f>+AY15+AU15+AQ15</f>
        <v>1619.95</v>
      </c>
      <c r="BB15" s="429">
        <f t="shared" ref="BB15:BB17" si="28">+AL15+AZ15</f>
        <v>2251.485964</v>
      </c>
      <c r="BC15" s="429">
        <f t="shared" ref="BC15:BC17" si="29">+AM15+BA15</f>
        <v>2433.4929703583175</v>
      </c>
      <c r="BD15" s="718">
        <f>+AV15+AX15</f>
        <v>4507.4371317700006</v>
      </c>
      <c r="BE15" s="718">
        <f>+AW15+AY15</f>
        <v>4704.5039901226764</v>
      </c>
      <c r="BF15" s="110"/>
      <c r="BG15" s="110"/>
      <c r="BH15" s="110"/>
      <c r="BI15" s="110"/>
      <c r="BJ15" s="110"/>
    </row>
    <row r="16" spans="1:62" ht="15" hidden="1" customHeight="1" x14ac:dyDescent="0.3">
      <c r="B16" s="2652" t="s">
        <v>372</v>
      </c>
      <c r="C16" s="2356" t="s">
        <v>949</v>
      </c>
      <c r="D16" s="2583">
        <v>0.34725185833333333</v>
      </c>
      <c r="E16" s="2443"/>
      <c r="F16" s="2583">
        <v>0.34648755958333333</v>
      </c>
      <c r="G16" s="2443"/>
      <c r="H16" s="2349"/>
      <c r="I16" s="35"/>
      <c r="J16" s="2583">
        <v>0.34024241666666666</v>
      </c>
      <c r="K16" s="2443"/>
      <c r="L16" s="717"/>
      <c r="M16" s="717"/>
      <c r="N16" s="2583">
        <v>0.34024241666666666</v>
      </c>
      <c r="O16" s="2443"/>
      <c r="P16" s="718"/>
      <c r="Q16" s="718"/>
      <c r="R16" s="2583">
        <v>0.34024241666666666</v>
      </c>
      <c r="S16" s="2443"/>
      <c r="T16" s="718"/>
      <c r="U16" s="718"/>
      <c r="V16" s="2583">
        <v>0.32998731250000002</v>
      </c>
      <c r="W16" s="2443"/>
      <c r="X16" s="717"/>
      <c r="Y16" s="717"/>
      <c r="Z16" s="429"/>
      <c r="AA16" s="429"/>
      <c r="AB16" s="2583">
        <v>0.34024241666666666</v>
      </c>
      <c r="AC16" s="2443"/>
      <c r="AD16" s="718"/>
      <c r="AE16" s="718"/>
      <c r="AF16" s="2583">
        <v>0.34024241666666666</v>
      </c>
      <c r="AG16" s="2443"/>
      <c r="AH16" s="718"/>
      <c r="AI16" s="718"/>
      <c r="AJ16" s="2583">
        <v>0.34024241666666666</v>
      </c>
      <c r="AK16" s="2443"/>
      <c r="AL16" s="717"/>
      <c r="AM16" s="717"/>
      <c r="AN16" s="718"/>
      <c r="AO16" s="718"/>
      <c r="AP16" s="2583">
        <v>0.34024241666666666</v>
      </c>
      <c r="AQ16" s="2443"/>
      <c r="AR16" s="718"/>
      <c r="AS16" s="718"/>
      <c r="AT16" s="2583">
        <v>0.34024241666666666</v>
      </c>
      <c r="AU16" s="2443"/>
      <c r="AV16" s="718"/>
      <c r="AW16" s="718"/>
      <c r="AX16" s="2583">
        <v>0.34024241666666666</v>
      </c>
      <c r="AY16" s="2443"/>
      <c r="AZ16" s="717"/>
      <c r="BA16" s="717"/>
      <c r="BB16" s="429">
        <f t="shared" si="28"/>
        <v>0</v>
      </c>
      <c r="BC16" s="429">
        <f t="shared" si="29"/>
        <v>0</v>
      </c>
      <c r="BD16" s="718"/>
      <c r="BE16" s="718"/>
      <c r="BF16" s="110"/>
      <c r="BG16" s="110"/>
      <c r="BH16" s="110"/>
      <c r="BI16" s="110"/>
      <c r="BJ16" s="110"/>
    </row>
    <row r="17" spans="2:62" x14ac:dyDescent="0.3">
      <c r="B17" s="2652" t="s">
        <v>372</v>
      </c>
      <c r="C17" s="2356" t="s">
        <v>323</v>
      </c>
      <c r="D17" s="2399">
        <f>+D16*D3*24</f>
        <v>250.02133800000001</v>
      </c>
      <c r="E17" s="2443">
        <v>950.35</v>
      </c>
      <c r="F17" s="2399">
        <f>+F16*F3*24</f>
        <v>257.78674432999998</v>
      </c>
      <c r="G17" s="2443">
        <v>3420.41</v>
      </c>
      <c r="H17" s="2349">
        <f>+D17+F17</f>
        <v>507.80808232999999</v>
      </c>
      <c r="I17" s="35">
        <f>+E17+G17</f>
        <v>4370.76</v>
      </c>
      <c r="J17" s="2399">
        <f>+J16*J3*24</f>
        <v>244.97453999999999</v>
      </c>
      <c r="K17" s="2443">
        <v>228.80200000000005</v>
      </c>
      <c r="L17" s="717">
        <f>+H17+J17</f>
        <v>752.78262232999998</v>
      </c>
      <c r="M17" s="717">
        <f>+I17+K17</f>
        <v>4599.5619999999999</v>
      </c>
      <c r="N17" s="2399">
        <f>+N16*N3*24</f>
        <v>253.14035799999999</v>
      </c>
      <c r="O17" s="2443">
        <v>226.24658602762378</v>
      </c>
      <c r="P17" s="718">
        <f>+L17+N17</f>
        <v>1005.92298033</v>
      </c>
      <c r="Q17" s="718">
        <f>+M17+O17</f>
        <v>4825.8085860276233</v>
      </c>
      <c r="R17" s="2399">
        <f>+R16*R3*24</f>
        <v>253.14035799999999</v>
      </c>
      <c r="S17" s="2443">
        <v>267.077126755878</v>
      </c>
      <c r="T17" s="718">
        <f>+P17+R17</f>
        <v>1259.0633383300001</v>
      </c>
      <c r="U17" s="718">
        <f>+Q17+S17</f>
        <v>5092.8857127835017</v>
      </c>
      <c r="V17" s="2399">
        <f>+V16*V3*24</f>
        <v>237.59086500000001</v>
      </c>
      <c r="W17" s="2443">
        <v>237.58</v>
      </c>
      <c r="X17" s="717">
        <f>+V17+R17+N17</f>
        <v>743.87158099999999</v>
      </c>
      <c r="Y17" s="717">
        <f>+W17+S17+O17</f>
        <v>730.90371278350176</v>
      </c>
      <c r="Z17" s="429">
        <f>+L17+X17</f>
        <v>1496.65420333</v>
      </c>
      <c r="AA17" s="429">
        <f>+Y17+M17</f>
        <v>5330.4657127835017</v>
      </c>
      <c r="AB17" s="2399">
        <f>+AB16*AB3*24</f>
        <v>253.14035799999999</v>
      </c>
      <c r="AC17" s="2443">
        <v>571.41999999999996</v>
      </c>
      <c r="AD17" s="718">
        <f>+Z17+AB17</f>
        <v>1749.7945613299999</v>
      </c>
      <c r="AE17" s="718">
        <f>+AA17+AC17</f>
        <v>5901.8857127835017</v>
      </c>
      <c r="AF17" s="2399">
        <f>+AF16*AF3*24</f>
        <v>244.97453999999999</v>
      </c>
      <c r="AG17" s="2443">
        <v>225.91</v>
      </c>
      <c r="AH17" s="718">
        <f>+AD17+AF17</f>
        <v>1994.7691013299998</v>
      </c>
      <c r="AI17" s="718">
        <f>+AE17+AG17</f>
        <v>6127.7957127835016</v>
      </c>
      <c r="AJ17" s="2399">
        <f>+AJ16*AJ3*24</f>
        <v>253.14035799999999</v>
      </c>
      <c r="AK17" s="2443">
        <v>245.54359750274122</v>
      </c>
      <c r="AL17" s="717">
        <f>+AJ17+AF17+AB17</f>
        <v>751.25525599999992</v>
      </c>
      <c r="AM17" s="717">
        <f>+AK17+AG17+AC17</f>
        <v>1042.8735975027412</v>
      </c>
      <c r="AN17" s="718">
        <f>+AH17+AJ17</f>
        <v>2247.9094593299997</v>
      </c>
      <c r="AO17" s="718">
        <f>+AI17+AK17</f>
        <v>6373.3393102862428</v>
      </c>
      <c r="AP17" s="2399">
        <f>+AP16*AP3*24</f>
        <v>253.14035799999999</v>
      </c>
      <c r="AQ17" s="2443">
        <v>1401.1</v>
      </c>
      <c r="AR17" s="718">
        <f>+AN17+AP17</f>
        <v>2501.0498173299998</v>
      </c>
      <c r="AS17" s="718">
        <f>+AO17+AQ17</f>
        <v>7774.4393102862432</v>
      </c>
      <c r="AT17" s="2399">
        <f>+AT16*AT3*24</f>
        <v>228.64290400000002</v>
      </c>
      <c r="AU17" s="2443">
        <v>2062.5100000000002</v>
      </c>
      <c r="AV17" s="718">
        <f>+AR17+AT17</f>
        <v>2729.6927213299996</v>
      </c>
      <c r="AW17" s="718">
        <f>+AS17+AU17</f>
        <v>9836.9493102862434</v>
      </c>
      <c r="AX17" s="2399">
        <f>+AX16*AX3*24</f>
        <v>253.14035799999999</v>
      </c>
      <c r="AY17" s="2443">
        <v>316.29000000000002</v>
      </c>
      <c r="AZ17" s="717">
        <f>+AX17+AT17+AP17</f>
        <v>734.92362000000003</v>
      </c>
      <c r="BA17" s="717">
        <f>+AY17+AU17+AQ17</f>
        <v>3779.9</v>
      </c>
      <c r="BB17" s="429">
        <f t="shared" si="28"/>
        <v>1486.1788759999999</v>
      </c>
      <c r="BC17" s="429">
        <f t="shared" si="29"/>
        <v>4822.7735975027408</v>
      </c>
      <c r="BD17" s="718">
        <f>+AV17+AX17</f>
        <v>2982.8330793299997</v>
      </c>
      <c r="BE17" s="718">
        <f>+AW17+AY17</f>
        <v>10153.239310286244</v>
      </c>
      <c r="BF17" s="110"/>
      <c r="BG17" s="110"/>
      <c r="BH17" s="110"/>
      <c r="BI17" s="110"/>
      <c r="BJ17" s="110"/>
    </row>
    <row r="18" spans="2:62" x14ac:dyDescent="0.3">
      <c r="B18" s="2657" t="s">
        <v>73</v>
      </c>
      <c r="C18" s="2356" t="s">
        <v>49</v>
      </c>
      <c r="D18" s="2658">
        <f>+(+D17)*100/D12</f>
        <v>0.53465717264997503</v>
      </c>
      <c r="E18" s="2640">
        <f>+E17/E12*100</f>
        <v>2.0781707985896385</v>
      </c>
      <c r="F18" s="2658">
        <f>+(+F17)*100/F12</f>
        <v>0.53558126091549241</v>
      </c>
      <c r="G18" s="2640">
        <f>+G17/G12*100</f>
        <v>7.7744471371416282</v>
      </c>
      <c r="H18" s="2659">
        <f>+H17/H12*100</f>
        <v>0.53512588350623647</v>
      </c>
      <c r="I18" s="2592">
        <f>+I17/I12*100</f>
        <v>4.8712486483799617</v>
      </c>
      <c r="J18" s="2658">
        <f>+(+J17)*100/J12</f>
        <v>0.5259942001502137</v>
      </c>
      <c r="K18" s="2640">
        <f>+K17/K12*100</f>
        <v>0.49318853950215991</v>
      </c>
      <c r="L18" s="345">
        <f>+L17/L12*100</f>
        <v>0.53211959603546799</v>
      </c>
      <c r="M18" s="345">
        <f>+M17/M12*100</f>
        <v>3.3790975275433692</v>
      </c>
      <c r="N18" s="2658">
        <f>+(+N17)*100/N12</f>
        <v>0.5259942001502137</v>
      </c>
      <c r="O18" s="2640">
        <f>+O17/O12*100</f>
        <v>0.47318646803820058</v>
      </c>
      <c r="P18" s="343">
        <f>+P17/P12*100</f>
        <v>0.53056474689690214</v>
      </c>
      <c r="Q18" s="343">
        <f>+Q17/Q12*100</f>
        <v>2.6236992429993755</v>
      </c>
      <c r="R18" s="2658">
        <f>+(+R17)*100/R12</f>
        <v>0.5259942001502137</v>
      </c>
      <c r="S18" s="2640">
        <f>+S17/S12*100</f>
        <v>0.56377228147869152</v>
      </c>
      <c r="T18" s="343">
        <f>+T17/T12*100</f>
        <v>0.52963944950732367</v>
      </c>
      <c r="U18" s="343">
        <f>+U17/U12*100</f>
        <v>2.2018081616467331</v>
      </c>
      <c r="V18" s="2658">
        <f>+(+V17)*100/V12</f>
        <v>0.53008175687628478</v>
      </c>
      <c r="W18" s="2640">
        <f>+W17/W12*100</f>
        <v>0.51248798485530922</v>
      </c>
      <c r="X18" s="345">
        <f>+X17/X12*100</f>
        <v>0.52729288752824155</v>
      </c>
      <c r="Y18" s="345">
        <f>+Y17/Y12*100</f>
        <v>0.51637624591688158</v>
      </c>
      <c r="Z18" s="457">
        <f>+Z17/Z12*100</f>
        <v>0.5297096156241955</v>
      </c>
      <c r="AA18" s="457">
        <f>+AA17/AA12*100</f>
        <v>1.919761885495314</v>
      </c>
      <c r="AB18" s="2658">
        <f>+(+AB17)*100/AB12</f>
        <v>0.5259942001502137</v>
      </c>
      <c r="AC18" s="2640">
        <f>+AC17/AC12*100</f>
        <v>1.2259024946049519</v>
      </c>
      <c r="AD18" s="343">
        <f>+AD17/AD12*100</f>
        <v>0.52916886747313252</v>
      </c>
      <c r="AE18" s="343">
        <f>+AE17/AE12*100</f>
        <v>1.8200246223652694</v>
      </c>
      <c r="AF18" s="2658">
        <f>+(+AF17)*100/AF12</f>
        <v>0.5259942001502137</v>
      </c>
      <c r="AG18" s="2640">
        <f>+AG17/AG12*100</f>
        <v>0.4931616417997442</v>
      </c>
      <c r="AH18" s="343">
        <f>+AH17/AH12*100</f>
        <v>0.52877692883175631</v>
      </c>
      <c r="AI18" s="343">
        <f>+AI17/AI12*100</f>
        <v>1.6557870742626464</v>
      </c>
      <c r="AJ18" s="2658">
        <f>+(+AJ17)*100/AJ12</f>
        <v>0.5259942001502137</v>
      </c>
      <c r="AK18" s="2640">
        <f>+AK17/AK12*100</f>
        <v>0.52738022589116584</v>
      </c>
      <c r="AL18" s="345">
        <f>+AL17/AL12*100</f>
        <v>0.5259942001502137</v>
      </c>
      <c r="AM18" s="345">
        <f>+AM17/AM12*100</f>
        <v>0.75037770951132621</v>
      </c>
      <c r="AN18" s="343">
        <f>+AN17/AN12*100</f>
        <v>0.52846209142747169</v>
      </c>
      <c r="AO18" s="343">
        <f>+AO17/AO12*100</f>
        <v>1.5296895003143445</v>
      </c>
      <c r="AP18" s="2658">
        <f>+(+AP17)*100/AP12</f>
        <v>0.5259942001502137</v>
      </c>
      <c r="AQ18" s="2640">
        <f>+AQ17/AQ12*100</f>
        <v>3.0353237945901865</v>
      </c>
      <c r="AR18" s="343">
        <f>+AR17/AR12*100</f>
        <v>0.5282112543307772</v>
      </c>
      <c r="AS18" s="343">
        <f>+AS17/AS12*100</f>
        <v>1.6798611355173829</v>
      </c>
      <c r="AT18" s="2658">
        <f>+(+AT17)*100/AT12</f>
        <v>0.52599420015021381</v>
      </c>
      <c r="AU18" s="2640">
        <f>+AU17/AU12*100</f>
        <v>4.9284264524629595</v>
      </c>
      <c r="AV18" s="343">
        <f>+AV17/AV12*100</f>
        <v>0.52802483383207854</v>
      </c>
      <c r="AW18" s="343">
        <f>+AW17/AW12*100</f>
        <v>1.9492549347568597</v>
      </c>
      <c r="AX18" s="2658">
        <f>+(+AX17)*100/AX12</f>
        <v>0.5259942001502137</v>
      </c>
      <c r="AY18" s="2640">
        <f>+AY17/AY12*100</f>
        <v>0.69125662757508333</v>
      </c>
      <c r="AZ18" s="345">
        <f t="shared" ref="AZ18:BE18" si="30">+AZ17/AZ12*100</f>
        <v>0.52599420015021392</v>
      </c>
      <c r="BA18" s="345">
        <f t="shared" si="30"/>
        <v>2.8257790834186074</v>
      </c>
      <c r="BB18" s="457">
        <f t="shared" si="30"/>
        <v>0.5259942001502137</v>
      </c>
      <c r="BC18" s="457">
        <f t="shared" si="30"/>
        <v>1.7682373222359105</v>
      </c>
      <c r="BD18" s="343">
        <f t="shared" si="30"/>
        <v>0.52785189395202192</v>
      </c>
      <c r="BE18" s="343">
        <f t="shared" si="30"/>
        <v>1.8446765763544513</v>
      </c>
      <c r="BF18" s="110"/>
      <c r="BG18" s="110"/>
      <c r="BH18" s="110"/>
      <c r="BI18" s="110"/>
      <c r="BJ18" s="110"/>
    </row>
    <row r="19" spans="2:62" ht="17.399999999999999" x14ac:dyDescent="0.3">
      <c r="B19" s="1247" t="s">
        <v>55</v>
      </c>
      <c r="C19" s="2660" t="s">
        <v>323</v>
      </c>
      <c r="D19" s="2358">
        <f t="shared" ref="D19:E19" si="31">+D12-D15-D17</f>
        <v>46138.535939999994</v>
      </c>
      <c r="E19" s="2661">
        <f t="shared" si="31"/>
        <v>44373.19</v>
      </c>
      <c r="F19" s="2358">
        <f t="shared" ref="F19:G19" si="32">+F12-F15-F17</f>
        <v>47488.836508900007</v>
      </c>
      <c r="G19" s="2661">
        <f t="shared" si="32"/>
        <v>39120.430000000008</v>
      </c>
      <c r="H19" s="2662">
        <f t="shared" ref="H19:K19" si="33">+H12-H15-H17</f>
        <v>93627.372448900001</v>
      </c>
      <c r="I19" s="1539">
        <f t="shared" si="33"/>
        <v>83493.62000000001</v>
      </c>
      <c r="J19" s="2358">
        <f t="shared" si="33"/>
        <v>45957.521399999998</v>
      </c>
      <c r="K19" s="2661">
        <f t="shared" si="33"/>
        <v>46065.54</v>
      </c>
      <c r="L19" s="605">
        <f t="shared" ref="L19:Q19" si="34">+L12-L15-L17</f>
        <v>139584.89384889998</v>
      </c>
      <c r="M19" s="605">
        <f t="shared" si="34"/>
        <v>129559.16</v>
      </c>
      <c r="N19" s="2358">
        <f t="shared" si="34"/>
        <v>47489.438780000004</v>
      </c>
      <c r="O19" s="2661">
        <f t="shared" si="34"/>
        <v>47490.200591389112</v>
      </c>
      <c r="P19" s="604">
        <f t="shared" si="34"/>
        <v>187074.33262889998</v>
      </c>
      <c r="Q19" s="604">
        <f t="shared" si="34"/>
        <v>177049.36059138912</v>
      </c>
      <c r="R19" s="2358">
        <f t="shared" ref="R19:S19" si="35">+R12-R15-R17</f>
        <v>47489.438780000004</v>
      </c>
      <c r="S19" s="2661">
        <f t="shared" si="35"/>
        <v>46993.260401160485</v>
      </c>
      <c r="T19" s="604">
        <f t="shared" ref="T19:W19" si="36">+T12-T15-T17</f>
        <v>234563.77140890004</v>
      </c>
      <c r="U19" s="604">
        <f t="shared" si="36"/>
        <v>224042.62099254964</v>
      </c>
      <c r="V19" s="2358">
        <f t="shared" si="36"/>
        <v>44226.012330000005</v>
      </c>
      <c r="W19" s="2661">
        <f t="shared" si="36"/>
        <v>46018.759999999995</v>
      </c>
      <c r="X19" s="577">
        <f t="shared" ref="X19:AE19" si="37">+X12-X15-X17</f>
        <v>139204.88988999999</v>
      </c>
      <c r="Y19" s="577">
        <f t="shared" si="37"/>
        <v>140502.22099254958</v>
      </c>
      <c r="Z19" s="577">
        <f t="shared" si="37"/>
        <v>278789.78373889998</v>
      </c>
      <c r="AA19" s="577">
        <f t="shared" si="37"/>
        <v>270061.38099254959</v>
      </c>
      <c r="AB19" s="2358">
        <f t="shared" si="37"/>
        <v>47489.438780000004</v>
      </c>
      <c r="AC19" s="2661">
        <f t="shared" si="37"/>
        <v>45429.280000000006</v>
      </c>
      <c r="AD19" s="604">
        <f t="shared" si="37"/>
        <v>326279.2225189</v>
      </c>
      <c r="AE19" s="604">
        <f t="shared" si="37"/>
        <v>315490.66099254962</v>
      </c>
      <c r="AF19" s="2358">
        <f t="shared" ref="AF19:AG19" si="38">+AF12-AF15-AF17</f>
        <v>45957.521399999998</v>
      </c>
      <c r="AG19" s="2661">
        <f t="shared" si="38"/>
        <v>45485.78</v>
      </c>
      <c r="AH19" s="604">
        <f t="shared" ref="AH19:AK19" si="39">+AH12-AH15-AH17</f>
        <v>372236.74391889997</v>
      </c>
      <c r="AI19" s="604">
        <f t="shared" si="39"/>
        <v>360976.44099254953</v>
      </c>
      <c r="AJ19" s="2358">
        <f t="shared" si="39"/>
        <v>47489.438780000004</v>
      </c>
      <c r="AK19" s="2661">
        <f t="shared" si="39"/>
        <v>46208.34443213894</v>
      </c>
      <c r="AL19" s="605">
        <f t="shared" ref="AL19:AQ19" si="40">+AL12-AL15-AL17</f>
        <v>140936.39896000002</v>
      </c>
      <c r="AM19" s="605">
        <f t="shared" si="40"/>
        <v>137123.40443213895</v>
      </c>
      <c r="AN19" s="604">
        <f t="shared" si="40"/>
        <v>419726.18269889994</v>
      </c>
      <c r="AO19" s="604">
        <f t="shared" si="40"/>
        <v>407184.78542468854</v>
      </c>
      <c r="AP19" s="2358">
        <f t="shared" si="40"/>
        <v>47489.438780000004</v>
      </c>
      <c r="AQ19" s="2661">
        <f t="shared" si="40"/>
        <v>44158.25</v>
      </c>
      <c r="AR19" s="604">
        <f t="shared" ref="AR19:AU19" si="41">+AR12-AR15-AR17</f>
        <v>467215.62147889996</v>
      </c>
      <c r="AS19" s="604">
        <f t="shared" si="41"/>
        <v>451343.03542468854</v>
      </c>
      <c r="AT19" s="2358">
        <f t="shared" si="41"/>
        <v>42893.68664</v>
      </c>
      <c r="AU19" s="2661">
        <f t="shared" si="41"/>
        <v>38902.819999999992</v>
      </c>
      <c r="AV19" s="604">
        <f t="shared" ref="AV19:AY19" si="42">+AV12-AV15-AV17</f>
        <v>510109.30811889993</v>
      </c>
      <c r="AW19" s="604">
        <f t="shared" si="42"/>
        <v>490245.85542468855</v>
      </c>
      <c r="AX19" s="2358">
        <f t="shared" si="42"/>
        <v>47489.438780000004</v>
      </c>
      <c r="AY19" s="2661">
        <f t="shared" si="42"/>
        <v>45303.96</v>
      </c>
      <c r="AZ19" s="577">
        <f t="shared" ref="AZ19:BC19" si="43">+AZ12-AZ15-AZ17</f>
        <v>137872.56419999999</v>
      </c>
      <c r="BA19" s="577">
        <f t="shared" si="43"/>
        <v>128365.03</v>
      </c>
      <c r="BB19" s="577">
        <f t="shared" si="43"/>
        <v>278808.96316000004</v>
      </c>
      <c r="BC19" s="577">
        <f t="shared" si="43"/>
        <v>265488.43443213898</v>
      </c>
      <c r="BD19" s="604">
        <f t="shared" ref="BD19:BE19" si="44">+BD12-BD15-BD17</f>
        <v>557598.7468988999</v>
      </c>
      <c r="BE19" s="604">
        <f t="shared" si="44"/>
        <v>535549.81542468851</v>
      </c>
      <c r="BF19" s="110"/>
      <c r="BG19" s="110"/>
      <c r="BH19" s="110"/>
      <c r="BI19" s="110"/>
      <c r="BJ19" s="110"/>
    </row>
    <row r="20" spans="2:62" ht="16.2" thickBot="1" x14ac:dyDescent="0.35">
      <c r="B20" s="1237" t="s">
        <v>332</v>
      </c>
      <c r="C20" s="2635"/>
      <c r="D20" s="2586"/>
      <c r="E20" s="2636"/>
      <c r="F20" s="2586"/>
      <c r="G20" s="2636"/>
      <c r="H20" s="2635"/>
      <c r="I20" s="2663"/>
      <c r="J20" s="2586"/>
      <c r="K20" s="2636"/>
      <c r="L20" s="742"/>
      <c r="M20" s="742"/>
      <c r="N20" s="2586"/>
      <c r="O20" s="2636"/>
      <c r="P20" s="742"/>
      <c r="Q20" s="742"/>
      <c r="R20" s="2586"/>
      <c r="S20" s="2636"/>
      <c r="T20" s="742"/>
      <c r="U20" s="742"/>
      <c r="V20" s="2586"/>
      <c r="W20" s="2636"/>
      <c r="X20" s="742"/>
      <c r="Y20" s="742"/>
      <c r="Z20" s="742"/>
      <c r="AA20" s="742"/>
      <c r="AB20" s="2586"/>
      <c r="AC20" s="2636"/>
      <c r="AD20" s="742"/>
      <c r="AE20" s="742"/>
      <c r="AF20" s="2586"/>
      <c r="AG20" s="2636"/>
      <c r="AH20" s="742"/>
      <c r="AI20" s="742"/>
      <c r="AJ20" s="2586"/>
      <c r="AK20" s="2636"/>
      <c r="AL20" s="742"/>
      <c r="AM20" s="742"/>
      <c r="AN20" s="742"/>
      <c r="AO20" s="742"/>
      <c r="AP20" s="2586"/>
      <c r="AQ20" s="2636"/>
      <c r="AR20" s="742"/>
      <c r="AS20" s="742"/>
      <c r="AT20" s="2586"/>
      <c r="AU20" s="2636"/>
      <c r="AV20" s="742"/>
      <c r="AW20" s="742"/>
      <c r="AX20" s="2586"/>
      <c r="AY20" s="2636"/>
      <c r="AZ20" s="742"/>
      <c r="BA20" s="742"/>
      <c r="BB20" s="742"/>
      <c r="BC20" s="742"/>
      <c r="BD20" s="742"/>
      <c r="BE20" s="742"/>
      <c r="BF20" s="110"/>
      <c r="BG20" s="110"/>
      <c r="BH20" s="110"/>
      <c r="BI20" s="110"/>
      <c r="BJ20" s="110"/>
    </row>
    <row r="21" spans="2:62" x14ac:dyDescent="0.3">
      <c r="B21" s="2639" t="s">
        <v>106</v>
      </c>
      <c r="C21" s="750" t="s">
        <v>323</v>
      </c>
      <c r="D21" s="247">
        <f>D22*D$3*24</f>
        <v>9979.5836319693299</v>
      </c>
      <c r="E21" s="2630">
        <v>10453.65</v>
      </c>
      <c r="F21" s="247">
        <f>F22*F$3*24</f>
        <v>10312.236419701641</v>
      </c>
      <c r="G21" s="2630">
        <v>10727.2</v>
      </c>
      <c r="H21" s="341">
        <f t="shared" ref="H21:I41" si="45">+D21+F21</f>
        <v>20291.820051670969</v>
      </c>
      <c r="I21" s="39">
        <f t="shared" si="45"/>
        <v>21180.85</v>
      </c>
      <c r="J21" s="247">
        <f>J22*J$3*24</f>
        <v>9623.5151999999998</v>
      </c>
      <c r="K21" s="2630">
        <v>9373.7900000000009</v>
      </c>
      <c r="L21" s="717">
        <f t="shared" ref="L21:L41" si="46">+H21+J21</f>
        <v>29915.335251670971</v>
      </c>
      <c r="M21" s="717">
        <f t="shared" ref="M21:M41" si="47">+I21+K21</f>
        <v>30554.639999999999</v>
      </c>
      <c r="N21" s="247">
        <f>N22*N$3*24</f>
        <v>9944.2990399999999</v>
      </c>
      <c r="O21" s="2630">
        <v>9929.1600000000035</v>
      </c>
      <c r="P21" s="718">
        <f t="shared" ref="P21:P41" si="48">+L21+N21</f>
        <v>39859.634291670969</v>
      </c>
      <c r="Q21" s="718">
        <f t="shared" ref="Q21:Q41" si="49">+M21+O21</f>
        <v>40483.800000000003</v>
      </c>
      <c r="R21" s="247">
        <f>R22*R$3*24</f>
        <v>9944.2990399999999</v>
      </c>
      <c r="S21" s="2630">
        <v>10110.750000000002</v>
      </c>
      <c r="T21" s="718">
        <f t="shared" ref="T21" si="50">+P21+R21</f>
        <v>49803.933331670967</v>
      </c>
      <c r="U21" s="718">
        <f t="shared" ref="U21" si="51">+Q21+S21</f>
        <v>50594.55</v>
      </c>
      <c r="V21" s="247">
        <f>V22*V$3*24</f>
        <v>9325.6696800000009</v>
      </c>
      <c r="W21" s="2630">
        <v>9779.42</v>
      </c>
      <c r="X21" s="717">
        <f>+V21+R21+N21</f>
        <v>29214.267760000002</v>
      </c>
      <c r="Y21" s="717">
        <f>+W21+S21+O21</f>
        <v>29819.330000000005</v>
      </c>
      <c r="Z21" s="429">
        <f t="shared" ref="Z21:Z41" si="52">+L21+X21</f>
        <v>59129.603011670974</v>
      </c>
      <c r="AA21" s="429">
        <f t="shared" ref="AA21:AA41" si="53">+Y21+M21</f>
        <v>60373.97</v>
      </c>
      <c r="AB21" s="247">
        <f>AB22*AB$3*24</f>
        <v>9944.2990399999999</v>
      </c>
      <c r="AC21" s="2630">
        <v>10113</v>
      </c>
      <c r="AD21" s="718">
        <f t="shared" ref="AD21" si="54">+Z21+AB21</f>
        <v>69073.902051670972</v>
      </c>
      <c r="AE21" s="718">
        <f t="shared" ref="AE21" si="55">+AA21+AC21</f>
        <v>70486.97</v>
      </c>
      <c r="AF21" s="247">
        <f>AF22*AF$3*24</f>
        <v>9623.5151999999998</v>
      </c>
      <c r="AG21" s="2630">
        <v>9750.2999999999993</v>
      </c>
      <c r="AH21" s="718">
        <f t="shared" ref="AH21" si="56">+AD21+AF21</f>
        <v>78697.417251670966</v>
      </c>
      <c r="AI21" s="718">
        <f t="shared" ref="AI21" si="57">+AE21+AG21</f>
        <v>80237.27</v>
      </c>
      <c r="AJ21" s="247">
        <f>AJ22*AJ$3*24</f>
        <v>9944.2990399999999</v>
      </c>
      <c r="AK21" s="2630">
        <v>9986.41</v>
      </c>
      <c r="AL21" s="717">
        <f>+AJ21+AF21+AB21</f>
        <v>29512.113279999998</v>
      </c>
      <c r="AM21" s="717">
        <f>+AK21+AG21+AC21</f>
        <v>29849.71</v>
      </c>
      <c r="AN21" s="718">
        <f t="shared" ref="AN21" si="58">+AH21+AJ21</f>
        <v>88641.716291670964</v>
      </c>
      <c r="AO21" s="718">
        <f t="shared" ref="AO21" si="59">+AI21+AK21</f>
        <v>90223.680000000008</v>
      </c>
      <c r="AP21" s="247">
        <f>AP22*AP$3*24</f>
        <v>9944.2990399999999</v>
      </c>
      <c r="AQ21" s="2630">
        <v>10359.76</v>
      </c>
      <c r="AR21" s="718">
        <f t="shared" ref="AR21" si="60">+AN21+AP21</f>
        <v>98586.015331670962</v>
      </c>
      <c r="AS21" s="718">
        <f t="shared" ref="AS21" si="61">+AO21+AQ21</f>
        <v>100583.44</v>
      </c>
      <c r="AT21" s="247">
        <f>AT22*AT$3*24</f>
        <v>8981.9475199999997</v>
      </c>
      <c r="AU21" s="2630">
        <v>9765.93</v>
      </c>
      <c r="AV21" s="718">
        <f t="shared" ref="AV21" si="62">+AR21+AT21</f>
        <v>107567.96285167096</v>
      </c>
      <c r="AW21" s="718">
        <f t="shared" ref="AW21" si="63">+AS21+AU21</f>
        <v>110349.37</v>
      </c>
      <c r="AX21" s="247">
        <f>AX22*AX$3*24</f>
        <v>9944.2990399999999</v>
      </c>
      <c r="AY21" s="2630">
        <v>10831.67</v>
      </c>
      <c r="AZ21" s="717">
        <f>+AX21+AT21+AP21</f>
        <v>28870.545599999998</v>
      </c>
      <c r="BA21" s="717">
        <f>+AY21+AU21+AQ21</f>
        <v>30957.360000000001</v>
      </c>
      <c r="BB21" s="429">
        <f t="shared" ref="BB21:BB41" si="64">+AL21+AZ21</f>
        <v>58382.658879999995</v>
      </c>
      <c r="BC21" s="429">
        <f t="shared" ref="BC21:BC41" si="65">+AM21+BA21</f>
        <v>60807.07</v>
      </c>
      <c r="BD21" s="718">
        <f t="shared" ref="BD21" si="66">+AV21+AX21</f>
        <v>117512.26189167096</v>
      </c>
      <c r="BE21" s="718">
        <f t="shared" ref="BE21" si="67">+AW21+AY21</f>
        <v>121181.04</v>
      </c>
      <c r="BF21" s="110"/>
      <c r="BG21" s="110"/>
      <c r="BH21" s="110"/>
      <c r="BI21" s="110"/>
      <c r="BJ21" s="110"/>
    </row>
    <row r="22" spans="2:62" hidden="1" x14ac:dyDescent="0.3">
      <c r="B22" s="8"/>
      <c r="C22" s="2356"/>
      <c r="D22" s="2412">
        <v>13.860532822179625</v>
      </c>
      <c r="E22" s="2640"/>
      <c r="F22" s="2412">
        <v>13.860532822179625</v>
      </c>
      <c r="G22" s="2640"/>
      <c r="H22" s="2349"/>
      <c r="I22" s="35"/>
      <c r="J22" s="2412">
        <v>13.365993333333334</v>
      </c>
      <c r="K22" s="2640"/>
      <c r="L22" s="717"/>
      <c r="M22" s="717"/>
      <c r="N22" s="2412">
        <v>13.365993333333334</v>
      </c>
      <c r="O22" s="2640"/>
      <c r="P22" s="718"/>
      <c r="Q22" s="718"/>
      <c r="R22" s="2412">
        <v>13.365993333333334</v>
      </c>
      <c r="S22" s="2640"/>
      <c r="T22" s="718"/>
      <c r="U22" s="718"/>
      <c r="V22" s="2412">
        <v>12.952319000000001</v>
      </c>
      <c r="W22" s="2640"/>
      <c r="X22" s="717"/>
      <c r="Y22" s="717"/>
      <c r="Z22" s="429"/>
      <c r="AA22" s="429"/>
      <c r="AB22" s="2412">
        <v>13.365993333333334</v>
      </c>
      <c r="AC22" s="2640"/>
      <c r="AD22" s="718"/>
      <c r="AE22" s="718"/>
      <c r="AF22" s="2412">
        <v>13.365993333333334</v>
      </c>
      <c r="AG22" s="2640"/>
      <c r="AH22" s="718"/>
      <c r="AI22" s="718"/>
      <c r="AJ22" s="2412">
        <v>13.365993333333334</v>
      </c>
      <c r="AK22" s="2640"/>
      <c r="AL22" s="717"/>
      <c r="AM22" s="717"/>
      <c r="AN22" s="718"/>
      <c r="AO22" s="718"/>
      <c r="AP22" s="2412">
        <v>13.365993333333334</v>
      </c>
      <c r="AQ22" s="2640"/>
      <c r="AR22" s="718"/>
      <c r="AS22" s="718"/>
      <c r="AT22" s="2412">
        <v>13.365993333333334</v>
      </c>
      <c r="AU22" s="2640"/>
      <c r="AV22" s="718"/>
      <c r="AW22" s="718"/>
      <c r="AX22" s="2412">
        <v>13.365993333333334</v>
      </c>
      <c r="AY22" s="2640"/>
      <c r="AZ22" s="717"/>
      <c r="BA22" s="717"/>
      <c r="BB22" s="429">
        <f t="shared" si="64"/>
        <v>0</v>
      </c>
      <c r="BC22" s="429">
        <f t="shared" si="65"/>
        <v>0</v>
      </c>
      <c r="BD22" s="718"/>
      <c r="BE22" s="718"/>
      <c r="BF22" s="110"/>
      <c r="BG22" s="110"/>
      <c r="BH22" s="110"/>
      <c r="BI22" s="110"/>
      <c r="BJ22" s="110"/>
    </row>
    <row r="23" spans="2:62" x14ac:dyDescent="0.3">
      <c r="B23" s="8" t="s">
        <v>107</v>
      </c>
      <c r="C23" s="2356" t="s">
        <v>323</v>
      </c>
      <c r="D23" s="2399">
        <f>D24*D$3*24</f>
        <v>3684.6720000000005</v>
      </c>
      <c r="E23" s="2443">
        <v>2719.31</v>
      </c>
      <c r="F23" s="2399">
        <f>F24*F$3*24</f>
        <v>3716.5776000000005</v>
      </c>
      <c r="G23" s="2443">
        <v>8674.35</v>
      </c>
      <c r="H23" s="2349">
        <f t="shared" si="45"/>
        <v>7401.249600000001</v>
      </c>
      <c r="I23" s="35">
        <f t="shared" si="45"/>
        <v>11393.66</v>
      </c>
      <c r="J23" s="2399">
        <f>J24*J$3*24</f>
        <v>2176.5514792899367</v>
      </c>
      <c r="K23" s="2443">
        <v>1775.5708633069646</v>
      </c>
      <c r="L23" s="717">
        <f t="shared" si="46"/>
        <v>9577.8010792899368</v>
      </c>
      <c r="M23" s="717">
        <f t="shared" si="47"/>
        <v>13169.230863306964</v>
      </c>
      <c r="N23" s="2399">
        <f>N24*N$3*24</f>
        <v>2249.1031952662674</v>
      </c>
      <c r="O23" s="2443">
        <v>1752.1803291755632</v>
      </c>
      <c r="P23" s="718">
        <f t="shared" si="48"/>
        <v>11826.904274556204</v>
      </c>
      <c r="Q23" s="718">
        <f t="shared" si="49"/>
        <v>14921.411192482527</v>
      </c>
      <c r="R23" s="2399">
        <f>R24*R$3*24</f>
        <v>2253.8687573964498</v>
      </c>
      <c r="S23" s="2443">
        <v>2163.5875828678936</v>
      </c>
      <c r="T23" s="718">
        <f t="shared" ref="T23" si="68">+P23+R23</f>
        <v>14080.773031952653</v>
      </c>
      <c r="U23" s="718">
        <f t="shared" ref="U23" si="69">+Q23+S23</f>
        <v>17084.998775350421</v>
      </c>
      <c r="V23" s="2399">
        <f>V24*V$3*24</f>
        <v>7704</v>
      </c>
      <c r="W23" s="2443">
        <v>1915.71</v>
      </c>
      <c r="X23" s="717">
        <f t="shared" ref="X23:X41" si="70">+V23+R23+N23</f>
        <v>12206.971952662716</v>
      </c>
      <c r="Y23" s="717">
        <f t="shared" ref="Y23:Y41" si="71">+W23+S23+O23</f>
        <v>5831.4779120434569</v>
      </c>
      <c r="Z23" s="429">
        <f t="shared" si="52"/>
        <v>21784.773031952653</v>
      </c>
      <c r="AA23" s="429">
        <f t="shared" si="53"/>
        <v>19000.70877535042</v>
      </c>
      <c r="AB23" s="2399">
        <f>AB24*AB$3*24</f>
        <v>2253.8687573964498</v>
      </c>
      <c r="AC23" s="2443">
        <v>4171.13</v>
      </c>
      <c r="AD23" s="718">
        <f t="shared" ref="AD23" si="72">+Z23+AB23</f>
        <v>24038.641789349102</v>
      </c>
      <c r="AE23" s="718">
        <f t="shared" ref="AE23" si="73">+AA23+AC23</f>
        <v>23171.838775350421</v>
      </c>
      <c r="AF23" s="2399">
        <f>AF24*AF$3*24</f>
        <v>2181.1633136094679</v>
      </c>
      <c r="AG23" s="2443">
        <v>2333.5</v>
      </c>
      <c r="AH23" s="718">
        <f t="shared" ref="AH23" si="74">+AD23+AF23</f>
        <v>26219.805102958569</v>
      </c>
      <c r="AI23" s="718">
        <f t="shared" ref="AI23" si="75">+AE23+AG23</f>
        <v>25505.338775350421</v>
      </c>
      <c r="AJ23" s="2399">
        <f>AJ24*AJ$3*24</f>
        <v>2253.8687573964498</v>
      </c>
      <c r="AK23" s="2443">
        <v>2086.1999999999998</v>
      </c>
      <c r="AL23" s="717">
        <f t="shared" ref="AL23" si="76">+AJ23+AF23+AB23</f>
        <v>6688.9008284023676</v>
      </c>
      <c r="AM23" s="717">
        <f t="shared" ref="AM23" si="77">+AK23+AG23+AC23</f>
        <v>8590.83</v>
      </c>
      <c r="AN23" s="718">
        <f t="shared" ref="AN23" si="78">+AH23+AJ23</f>
        <v>28473.673860355018</v>
      </c>
      <c r="AO23" s="718">
        <f t="shared" ref="AO23" si="79">+AI23+AK23</f>
        <v>27591.538775350422</v>
      </c>
      <c r="AP23" s="2399">
        <f>AP24*AP$3*24</f>
        <v>2253.8687573964498</v>
      </c>
      <c r="AQ23" s="2443">
        <v>2105.2199999999998</v>
      </c>
      <c r="AR23" s="718">
        <f t="shared" ref="AR23" si="80">+AN23+AP23</f>
        <v>30727.542617751467</v>
      </c>
      <c r="AS23" s="718">
        <f t="shared" ref="AS23" si="81">+AO23+AQ23</f>
        <v>29696.758775350423</v>
      </c>
      <c r="AT23" s="2399">
        <f>AT24*AT$3*24</f>
        <v>2035.752426035499</v>
      </c>
      <c r="AU23" s="2443">
        <v>2841.44</v>
      </c>
      <c r="AV23" s="718">
        <f t="shared" ref="AV23" si="82">+AR23+AT23</f>
        <v>32763.295043786966</v>
      </c>
      <c r="AW23" s="718">
        <f t="shared" ref="AW23" si="83">+AS23+AU23</f>
        <v>32538.198775350422</v>
      </c>
      <c r="AX23" s="2399">
        <f>AX24*AX$3*24</f>
        <v>2253.8687573964498</v>
      </c>
      <c r="AY23" s="2443">
        <v>3299.64</v>
      </c>
      <c r="AZ23" s="717">
        <f t="shared" ref="AZ23" si="84">+AX23+AT23+AP23</f>
        <v>6543.4899408283991</v>
      </c>
      <c r="BA23" s="717">
        <f t="shared" ref="BA23" si="85">+AY23+AU23+AQ23</f>
        <v>8246.2999999999993</v>
      </c>
      <c r="BB23" s="429">
        <f t="shared" si="64"/>
        <v>13232.390769230766</v>
      </c>
      <c r="BC23" s="429">
        <f t="shared" si="65"/>
        <v>16837.129999999997</v>
      </c>
      <c r="BD23" s="718">
        <f t="shared" ref="BD23" si="86">+AV23+AX23</f>
        <v>35017.163801183415</v>
      </c>
      <c r="BE23" s="718">
        <f t="shared" ref="BE23" si="87">+AW23+AY23</f>
        <v>35837.838775350421</v>
      </c>
      <c r="BF23" s="110"/>
      <c r="BG23" s="110"/>
      <c r="BH23" s="110"/>
      <c r="BI23" s="110"/>
      <c r="BJ23" s="110"/>
    </row>
    <row r="24" spans="2:62" ht="15" hidden="1" customHeight="1" x14ac:dyDescent="0.3">
      <c r="B24" s="8"/>
      <c r="C24" s="2356"/>
      <c r="D24" s="2412">
        <v>5.1176000000000004</v>
      </c>
      <c r="E24" s="2640"/>
      <c r="F24" s="2412">
        <v>4.9954000000000001</v>
      </c>
      <c r="G24" s="2640"/>
      <c r="H24" s="2349"/>
      <c r="I24" s="35"/>
      <c r="J24" s="2412">
        <v>3.0229881656804674</v>
      </c>
      <c r="K24" s="2640"/>
      <c r="L24" s="717"/>
      <c r="M24" s="717"/>
      <c r="N24" s="2412">
        <v>3.0229881656804674</v>
      </c>
      <c r="O24" s="2640"/>
      <c r="P24" s="718"/>
      <c r="Q24" s="718"/>
      <c r="R24" s="2412">
        <v>3.029393491124261</v>
      </c>
      <c r="S24" s="2640"/>
      <c r="T24" s="718"/>
      <c r="U24" s="718"/>
      <c r="V24" s="2412">
        <v>10.7</v>
      </c>
      <c r="W24" s="2640"/>
      <c r="X24" s="717"/>
      <c r="Y24" s="717"/>
      <c r="Z24" s="429"/>
      <c r="AA24" s="429"/>
      <c r="AB24" s="2412">
        <v>3.029393491124261</v>
      </c>
      <c r="AC24" s="2640"/>
      <c r="AD24" s="718"/>
      <c r="AE24" s="718"/>
      <c r="AF24" s="2412">
        <v>3.029393491124261</v>
      </c>
      <c r="AG24" s="2640"/>
      <c r="AH24" s="718"/>
      <c r="AI24" s="718"/>
      <c r="AJ24" s="2412">
        <v>3.029393491124261</v>
      </c>
      <c r="AK24" s="2640"/>
      <c r="AL24" s="717"/>
      <c r="AM24" s="717"/>
      <c r="AN24" s="718"/>
      <c r="AO24" s="718"/>
      <c r="AP24" s="2412">
        <v>3.029393491124261</v>
      </c>
      <c r="AQ24" s="2640"/>
      <c r="AR24" s="718"/>
      <c r="AS24" s="718"/>
      <c r="AT24" s="2412">
        <v>3.0293934911242544</v>
      </c>
      <c r="AU24" s="2640"/>
      <c r="AV24" s="718"/>
      <c r="AW24" s="718"/>
      <c r="AX24" s="2412">
        <v>3.029393491124261</v>
      </c>
      <c r="AY24" s="2640"/>
      <c r="AZ24" s="717"/>
      <c r="BA24" s="717"/>
      <c r="BB24" s="429">
        <f t="shared" si="64"/>
        <v>0</v>
      </c>
      <c r="BC24" s="429">
        <f t="shared" si="65"/>
        <v>0</v>
      </c>
      <c r="BD24" s="718"/>
      <c r="BE24" s="718"/>
      <c r="BF24" s="110"/>
      <c r="BG24" s="110"/>
      <c r="BH24" s="110"/>
      <c r="BI24" s="110"/>
      <c r="BJ24" s="110"/>
    </row>
    <row r="25" spans="2:62" x14ac:dyDescent="0.3">
      <c r="B25" s="8" t="s">
        <v>80</v>
      </c>
      <c r="C25" s="2356" t="s">
        <v>323</v>
      </c>
      <c r="D25" s="2399">
        <f>D26*D$3*24</f>
        <v>5760</v>
      </c>
      <c r="E25" s="2443">
        <v>5387.52</v>
      </c>
      <c r="F25" s="2399">
        <f>F26*F$3*24</f>
        <v>5952</v>
      </c>
      <c r="G25" s="2443">
        <v>3684.59</v>
      </c>
      <c r="H25" s="2349">
        <f t="shared" si="45"/>
        <v>11712</v>
      </c>
      <c r="I25" s="35">
        <f t="shared" si="45"/>
        <v>9072.11</v>
      </c>
      <c r="J25" s="2399">
        <f>J26*J$3*24</f>
        <v>4320</v>
      </c>
      <c r="K25" s="2443">
        <v>5907.9616409987657</v>
      </c>
      <c r="L25" s="717">
        <f t="shared" si="46"/>
        <v>16032</v>
      </c>
      <c r="M25" s="717">
        <f t="shared" si="47"/>
        <v>14980.071640998765</v>
      </c>
      <c r="N25" s="2399">
        <f>N26*N$3*24</f>
        <v>4464</v>
      </c>
      <c r="O25" s="2443">
        <v>6376.3379167321564</v>
      </c>
      <c r="P25" s="718">
        <f t="shared" si="48"/>
        <v>20496</v>
      </c>
      <c r="Q25" s="718">
        <f t="shared" si="49"/>
        <v>21356.40955773092</v>
      </c>
      <c r="R25" s="2399">
        <f>R26*R$3*24</f>
        <v>4464</v>
      </c>
      <c r="S25" s="2443">
        <v>5864.3675446341649</v>
      </c>
      <c r="T25" s="718">
        <f t="shared" ref="T25" si="88">+P25+R25</f>
        <v>24960</v>
      </c>
      <c r="U25" s="718">
        <f t="shared" ref="U25" si="89">+Q25+S25</f>
        <v>27220.777102365086</v>
      </c>
      <c r="V25" s="2399">
        <f>V26*V$3*24</f>
        <v>3600</v>
      </c>
      <c r="W25" s="2443">
        <v>6078.68</v>
      </c>
      <c r="X25" s="717">
        <f t="shared" si="70"/>
        <v>12528</v>
      </c>
      <c r="Y25" s="717">
        <f t="shared" si="71"/>
        <v>18319.385461366321</v>
      </c>
      <c r="Z25" s="429">
        <f t="shared" si="52"/>
        <v>28560</v>
      </c>
      <c r="AA25" s="429">
        <f t="shared" si="53"/>
        <v>33299.457102365086</v>
      </c>
      <c r="AB25" s="2399">
        <f>AB26*AB$3*24</f>
        <v>4464</v>
      </c>
      <c r="AC25" s="2443">
        <v>5325.39</v>
      </c>
      <c r="AD25" s="718">
        <f t="shared" ref="AD25" si="90">+Z25+AB25</f>
        <v>33024</v>
      </c>
      <c r="AE25" s="718">
        <f t="shared" ref="AE25" si="91">+AA25+AC25</f>
        <v>38624.847102365085</v>
      </c>
      <c r="AF25" s="2399">
        <f>AF26*AF$3*24</f>
        <v>4320</v>
      </c>
      <c r="AG25" s="2443">
        <v>5850.87</v>
      </c>
      <c r="AH25" s="718">
        <f t="shared" ref="AH25" si="92">+AD25+AF25</f>
        <v>37344</v>
      </c>
      <c r="AI25" s="718">
        <f t="shared" ref="AI25" si="93">+AE25+AG25</f>
        <v>44475.717102365088</v>
      </c>
      <c r="AJ25" s="2399">
        <f>AJ26*AJ$3*24</f>
        <v>4464</v>
      </c>
      <c r="AK25" s="2443">
        <v>6465.04</v>
      </c>
      <c r="AL25" s="717">
        <f t="shared" ref="AL25" si="94">+AJ25+AF25+AB25</f>
        <v>13248</v>
      </c>
      <c r="AM25" s="717">
        <f t="shared" ref="AM25" si="95">+AK25+AG25+AC25</f>
        <v>17641.3</v>
      </c>
      <c r="AN25" s="718">
        <f t="shared" ref="AN25" si="96">+AH25+AJ25</f>
        <v>41808</v>
      </c>
      <c r="AO25" s="718">
        <f t="shared" ref="AO25" si="97">+AI25+AK25</f>
        <v>50940.757102365089</v>
      </c>
      <c r="AP25" s="2399">
        <f>AP26*AP$3*24</f>
        <v>4464</v>
      </c>
      <c r="AQ25" s="2443">
        <v>5905.14</v>
      </c>
      <c r="AR25" s="718">
        <f t="shared" ref="AR25" si="98">+AN25+AP25</f>
        <v>46272</v>
      </c>
      <c r="AS25" s="718">
        <f t="shared" ref="AS25" si="99">+AO25+AQ25</f>
        <v>56845.897102365088</v>
      </c>
      <c r="AT25" s="2399">
        <f>AT26*AT$3*24</f>
        <v>4032</v>
      </c>
      <c r="AU25" s="2443">
        <v>4564.99</v>
      </c>
      <c r="AV25" s="718">
        <f t="shared" ref="AV25" si="100">+AR25+AT25</f>
        <v>50304</v>
      </c>
      <c r="AW25" s="718">
        <f t="shared" ref="AW25" si="101">+AS25+AU25</f>
        <v>61410.887102365086</v>
      </c>
      <c r="AX25" s="2399">
        <f>AX26*AX$3*24</f>
        <v>4464</v>
      </c>
      <c r="AY25" s="2443">
        <v>5367.99</v>
      </c>
      <c r="AZ25" s="717">
        <f t="shared" ref="AZ25" si="102">+AX25+AT25+AP25</f>
        <v>12960</v>
      </c>
      <c r="BA25" s="717">
        <f t="shared" ref="BA25" si="103">+AY25+AU25+AQ25</f>
        <v>15838.119999999999</v>
      </c>
      <c r="BB25" s="429">
        <f t="shared" si="64"/>
        <v>26208</v>
      </c>
      <c r="BC25" s="429">
        <f t="shared" si="65"/>
        <v>33479.42</v>
      </c>
      <c r="BD25" s="718">
        <f t="shared" ref="BD25" si="104">+AV25+AX25</f>
        <v>54768</v>
      </c>
      <c r="BE25" s="718">
        <f t="shared" ref="BE25" si="105">+AW25+AY25</f>
        <v>66778.877102365092</v>
      </c>
      <c r="BF25" s="110"/>
      <c r="BG25" s="110"/>
      <c r="BH25" s="110"/>
      <c r="BI25" s="110"/>
      <c r="BJ25" s="110"/>
    </row>
    <row r="26" spans="2:62" ht="15" hidden="1" customHeight="1" x14ac:dyDescent="0.3">
      <c r="B26" s="8"/>
      <c r="C26" s="2356"/>
      <c r="D26" s="2412">
        <v>8</v>
      </c>
      <c r="E26" s="2640"/>
      <c r="F26" s="2412">
        <v>8</v>
      </c>
      <c r="G26" s="2640"/>
      <c r="H26" s="2349"/>
      <c r="I26" s="35"/>
      <c r="J26" s="2412">
        <v>6</v>
      </c>
      <c r="K26" s="2640"/>
      <c r="L26" s="717"/>
      <c r="M26" s="717"/>
      <c r="N26" s="2412">
        <v>6</v>
      </c>
      <c r="O26" s="2640"/>
      <c r="P26" s="718"/>
      <c r="Q26" s="718"/>
      <c r="R26" s="2412">
        <v>6</v>
      </c>
      <c r="S26" s="2640"/>
      <c r="T26" s="718"/>
      <c r="U26" s="718"/>
      <c r="V26" s="2412">
        <v>5</v>
      </c>
      <c r="W26" s="2640"/>
      <c r="X26" s="717"/>
      <c r="Y26" s="717"/>
      <c r="Z26" s="429"/>
      <c r="AA26" s="429"/>
      <c r="AB26" s="2412">
        <v>6</v>
      </c>
      <c r="AC26" s="2640"/>
      <c r="AD26" s="718"/>
      <c r="AE26" s="718"/>
      <c r="AF26" s="2412">
        <v>6</v>
      </c>
      <c r="AG26" s="2640"/>
      <c r="AH26" s="718"/>
      <c r="AI26" s="718"/>
      <c r="AJ26" s="2412">
        <v>6</v>
      </c>
      <c r="AK26" s="2640"/>
      <c r="AL26" s="717"/>
      <c r="AM26" s="717"/>
      <c r="AN26" s="718"/>
      <c r="AO26" s="718"/>
      <c r="AP26" s="2412">
        <v>6</v>
      </c>
      <c r="AQ26" s="2640"/>
      <c r="AR26" s="718"/>
      <c r="AS26" s="718"/>
      <c r="AT26" s="2412">
        <v>6</v>
      </c>
      <c r="AU26" s="2640"/>
      <c r="AV26" s="718"/>
      <c r="AW26" s="718"/>
      <c r="AX26" s="2412">
        <v>6</v>
      </c>
      <c r="AY26" s="2640"/>
      <c r="AZ26" s="717"/>
      <c r="BA26" s="717"/>
      <c r="BB26" s="429">
        <f t="shared" si="64"/>
        <v>0</v>
      </c>
      <c r="BC26" s="429">
        <f t="shared" si="65"/>
        <v>0</v>
      </c>
      <c r="BD26" s="718"/>
      <c r="BE26" s="718"/>
      <c r="BF26" s="110"/>
      <c r="BG26" s="110"/>
      <c r="BH26" s="110"/>
      <c r="BI26" s="110"/>
      <c r="BJ26" s="110"/>
    </row>
    <row r="27" spans="2:62" x14ac:dyDescent="0.3">
      <c r="B27" s="8" t="s">
        <v>81</v>
      </c>
      <c r="C27" s="2356" t="s">
        <v>323</v>
      </c>
      <c r="D27" s="2399">
        <f>D28*D$3*24</f>
        <v>10985.224506487099</v>
      </c>
      <c r="E27" s="2443">
        <v>9255.74</v>
      </c>
      <c r="F27" s="2399">
        <f>F28*F$3*24</f>
        <v>12999.619380721355</v>
      </c>
      <c r="G27" s="2443">
        <v>7935.16</v>
      </c>
      <c r="H27" s="2349">
        <f t="shared" si="45"/>
        <v>23984.843887208452</v>
      </c>
      <c r="I27" s="35">
        <f t="shared" si="45"/>
        <v>17190.900000000001</v>
      </c>
      <c r="J27" s="2399">
        <f>J28*J$3*24</f>
        <v>9797.1546597739634</v>
      </c>
      <c r="K27" s="2443">
        <v>9690.8945314058328</v>
      </c>
      <c r="L27" s="717">
        <f t="shared" si="46"/>
        <v>33781.998546982417</v>
      </c>
      <c r="M27" s="717">
        <f t="shared" si="47"/>
        <v>26881.794531405834</v>
      </c>
      <c r="N27" s="2399">
        <f>N28*N$3*24</f>
        <v>10428.164621257716</v>
      </c>
      <c r="O27" s="2443">
        <v>9827.931974380359</v>
      </c>
      <c r="P27" s="718">
        <f t="shared" si="48"/>
        <v>44210.163168240135</v>
      </c>
      <c r="Q27" s="718">
        <f t="shared" si="49"/>
        <v>36709.726505786195</v>
      </c>
      <c r="R27" s="2399">
        <f>R28*R$3*24</f>
        <v>10423.399059127532</v>
      </c>
      <c r="S27" s="2443">
        <v>9485.8884009390804</v>
      </c>
      <c r="T27" s="718">
        <f t="shared" ref="T27" si="106">+P27+R27</f>
        <v>54633.562227367671</v>
      </c>
      <c r="U27" s="718">
        <f t="shared" ref="U27" si="107">+Q27+S27</f>
        <v>46195.614906725277</v>
      </c>
      <c r="V27" s="2399">
        <f>V28*V$3*24</f>
        <v>11699.700633482855</v>
      </c>
      <c r="W27" s="2443">
        <v>9697.5499999999993</v>
      </c>
      <c r="X27" s="717">
        <f t="shared" si="70"/>
        <v>32551.264313868101</v>
      </c>
      <c r="Y27" s="717">
        <f t="shared" si="71"/>
        <v>29011.370375319435</v>
      </c>
      <c r="Z27" s="429">
        <f t="shared" si="52"/>
        <v>66333.262860850518</v>
      </c>
      <c r="AA27" s="429">
        <f t="shared" si="53"/>
        <v>55893.164906725273</v>
      </c>
      <c r="AB27" s="2399">
        <f>AB28*AB$3*24</f>
        <v>10164.560241491308</v>
      </c>
      <c r="AC27" s="2443">
        <v>9686.9</v>
      </c>
      <c r="AD27" s="718">
        <f t="shared" ref="AD27" si="108">+Z27+AB27</f>
        <v>76497.823102341819</v>
      </c>
      <c r="AE27" s="718">
        <f t="shared" ref="AE27" si="109">+AA27+AC27</f>
        <v>65580.064906725267</v>
      </c>
      <c r="AF27" s="2399">
        <f>AF28*AF$3*24</f>
        <v>9797.5742718147121</v>
      </c>
      <c r="AG27" s="2443">
        <v>9937.1200000000008</v>
      </c>
      <c r="AH27" s="718">
        <f t="shared" ref="AH27" si="110">+AD27+AF27</f>
        <v>86295.397374156528</v>
      </c>
      <c r="AI27" s="718">
        <f t="shared" ref="AI27" si="111">+AE27+AG27</f>
        <v>75517.184906725262</v>
      </c>
      <c r="AJ27" s="2399">
        <f>AJ28*AJ$3*24</f>
        <v>10151.305803621486</v>
      </c>
      <c r="AK27" s="2443">
        <v>10366.282520915043</v>
      </c>
      <c r="AL27" s="717">
        <f t="shared" ref="AL27" si="112">+AJ27+AF27+AB27</f>
        <v>30113.440316927507</v>
      </c>
      <c r="AM27" s="717">
        <f t="shared" ref="AM27" si="113">+AK27+AG27+AC27</f>
        <v>29990.302520915044</v>
      </c>
      <c r="AN27" s="718">
        <f t="shared" ref="AN27" si="114">+AH27+AJ27</f>
        <v>96446.703177778021</v>
      </c>
      <c r="AO27" s="718">
        <f t="shared" ref="AO27" si="115">+AI27+AK27</f>
        <v>85883.467427640309</v>
      </c>
      <c r="AP27" s="2399">
        <f>AP28*AP$3*24</f>
        <v>9961.1463642283561</v>
      </c>
      <c r="AQ27" s="2443">
        <v>9629.27</v>
      </c>
      <c r="AR27" s="718">
        <f t="shared" ref="AR27" si="116">+AN27+AP27</f>
        <v>106407.84954200638</v>
      </c>
      <c r="AS27" s="718">
        <f t="shared" ref="AS27" si="117">+AO27+AQ27</f>
        <v>95512.737427640313</v>
      </c>
      <c r="AT27" s="2399">
        <f>AT28*AT$3*24</f>
        <v>9121.6515303011038</v>
      </c>
      <c r="AU27" s="2443">
        <v>7871.4</v>
      </c>
      <c r="AV27" s="718">
        <f t="shared" ref="AV27" si="118">+AR27+AT27</f>
        <v>115529.5010723075</v>
      </c>
      <c r="AW27" s="718">
        <f t="shared" ref="AW27" si="119">+AS27+AU27</f>
        <v>103384.13742764031</v>
      </c>
      <c r="AX27" s="2399">
        <f>AX28*AX$3*24</f>
        <v>9961.1463642283525</v>
      </c>
      <c r="AY27" s="2443">
        <v>9458.42</v>
      </c>
      <c r="AZ27" s="717">
        <f t="shared" ref="AZ27" si="120">+AX27+AT27+AP27</f>
        <v>29043.944258757812</v>
      </c>
      <c r="BA27" s="717">
        <f t="shared" ref="BA27" si="121">+AY27+AU27+AQ27</f>
        <v>26959.09</v>
      </c>
      <c r="BB27" s="429">
        <f t="shared" si="64"/>
        <v>59157.384575685319</v>
      </c>
      <c r="BC27" s="429">
        <f t="shared" si="65"/>
        <v>56949.392520915047</v>
      </c>
      <c r="BD27" s="718">
        <f t="shared" ref="BD27" si="122">+AV27+AX27</f>
        <v>125490.64743653584</v>
      </c>
      <c r="BE27" s="718">
        <f t="shared" ref="BE27" si="123">+AW27+AY27</f>
        <v>112842.55742764031</v>
      </c>
      <c r="BF27" s="110"/>
      <c r="BG27" s="110"/>
      <c r="BH27" s="110"/>
      <c r="BI27" s="110"/>
      <c r="BJ27" s="110"/>
    </row>
    <row r="28" spans="2:62" ht="15" hidden="1" customHeight="1" x14ac:dyDescent="0.3">
      <c r="B28" s="8"/>
      <c r="C28" s="2356"/>
      <c r="D28" s="2399">
        <v>15.257256259009859</v>
      </c>
      <c r="E28" s="2443"/>
      <c r="F28" s="2399">
        <v>17.47260669451795</v>
      </c>
      <c r="G28" s="2443"/>
      <c r="H28" s="2349"/>
      <c r="I28" s="35"/>
      <c r="J28" s="2399">
        <v>13.60715924968606</v>
      </c>
      <c r="K28" s="2443"/>
      <c r="L28" s="717"/>
      <c r="M28" s="717"/>
      <c r="N28" s="2399">
        <v>14.016350297389403</v>
      </c>
      <c r="O28" s="2443"/>
      <c r="P28" s="718"/>
      <c r="Q28" s="718"/>
      <c r="R28" s="2399">
        <v>14.009944971945609</v>
      </c>
      <c r="S28" s="2443"/>
      <c r="T28" s="718"/>
      <c r="U28" s="718"/>
      <c r="V28" s="2399">
        <v>16.249584213170632</v>
      </c>
      <c r="W28" s="2443"/>
      <c r="X28" s="717"/>
      <c r="Y28" s="717"/>
      <c r="Z28" s="429"/>
      <c r="AA28" s="429"/>
      <c r="AB28" s="2399">
        <v>13.662043335337781</v>
      </c>
      <c r="AC28" s="2443"/>
      <c r="AD28" s="718"/>
      <c r="AE28" s="718"/>
      <c r="AF28" s="2399">
        <v>13.607742044187098</v>
      </c>
      <c r="AG28" s="2443"/>
      <c r="AH28" s="718"/>
      <c r="AI28" s="718"/>
      <c r="AJ28" s="2399">
        <v>13.644228230674042</v>
      </c>
      <c r="AK28" s="2443"/>
      <c r="AL28" s="717"/>
      <c r="AM28" s="717"/>
      <c r="AN28" s="718"/>
      <c r="AO28" s="718"/>
      <c r="AP28" s="2399">
        <v>13.388637586328436</v>
      </c>
      <c r="AQ28" s="2443"/>
      <c r="AR28" s="718"/>
      <c r="AS28" s="718"/>
      <c r="AT28" s="2399">
        <v>13.573886205805213</v>
      </c>
      <c r="AU28" s="2443"/>
      <c r="AV28" s="718"/>
      <c r="AW28" s="718"/>
      <c r="AX28" s="2399">
        <v>13.388637586328432</v>
      </c>
      <c r="AY28" s="2443"/>
      <c r="AZ28" s="717"/>
      <c r="BA28" s="717"/>
      <c r="BB28" s="429">
        <f t="shared" si="64"/>
        <v>0</v>
      </c>
      <c r="BC28" s="429">
        <f t="shared" si="65"/>
        <v>0</v>
      </c>
      <c r="BD28" s="718"/>
      <c r="BE28" s="718"/>
      <c r="BF28" s="110"/>
      <c r="BG28" s="110"/>
      <c r="BH28" s="110"/>
      <c r="BI28" s="110"/>
      <c r="BJ28" s="110"/>
    </row>
    <row r="29" spans="2:62" x14ac:dyDescent="0.3">
      <c r="B29" s="8" t="s">
        <v>57</v>
      </c>
      <c r="C29" s="2356" t="s">
        <v>323</v>
      </c>
      <c r="D29" s="2399">
        <f>D30*D$3*24</f>
        <v>2094.3986291208971</v>
      </c>
      <c r="E29" s="2443">
        <v>2519.8000000000002</v>
      </c>
      <c r="F29" s="2399">
        <f>F30*F$3*24</f>
        <v>1847.9987904007914</v>
      </c>
      <c r="G29" s="2443">
        <v>1529.5</v>
      </c>
      <c r="H29" s="2349">
        <f t="shared" si="45"/>
        <v>3942.3974195216888</v>
      </c>
      <c r="I29" s="35">
        <f t="shared" si="45"/>
        <v>4049.3</v>
      </c>
      <c r="J29" s="2399">
        <f>J30*J$3*24</f>
        <v>2590.1918789593333</v>
      </c>
      <c r="K29" s="2443">
        <v>2511</v>
      </c>
      <c r="L29" s="717">
        <f t="shared" si="46"/>
        <v>6532.5892984810216</v>
      </c>
      <c r="M29" s="717">
        <f t="shared" si="47"/>
        <v>6560.3</v>
      </c>
      <c r="N29" s="2399">
        <f>N30*N$3*24</f>
        <v>2621.1380184928976</v>
      </c>
      <c r="O29" s="2443">
        <v>2604</v>
      </c>
      <c r="P29" s="718">
        <f t="shared" si="48"/>
        <v>9153.7273169739201</v>
      </c>
      <c r="Q29" s="718">
        <f t="shared" si="49"/>
        <v>9164.2999999999993</v>
      </c>
      <c r="R29" s="2399">
        <f>R30*R$3*24</f>
        <v>2621.1380184928976</v>
      </c>
      <c r="S29" s="2443">
        <v>2543.5</v>
      </c>
      <c r="T29" s="718">
        <f t="shared" ref="T29" si="124">+P29+R29</f>
        <v>11774.865335466817</v>
      </c>
      <c r="U29" s="718">
        <f t="shared" ref="U29" si="125">+Q29+S29</f>
        <v>11707.8</v>
      </c>
      <c r="V29" s="2399">
        <f>V30*V$3*24</f>
        <v>1375.555902266934</v>
      </c>
      <c r="W29" s="2443">
        <v>2516.5300000000002</v>
      </c>
      <c r="X29" s="717">
        <f t="shared" si="70"/>
        <v>6617.8319392527292</v>
      </c>
      <c r="Y29" s="717">
        <f t="shared" si="71"/>
        <v>7664.0300000000007</v>
      </c>
      <c r="Z29" s="429">
        <f t="shared" si="52"/>
        <v>13150.42123773375</v>
      </c>
      <c r="AA29" s="429">
        <f t="shared" si="53"/>
        <v>14224.330000000002</v>
      </c>
      <c r="AB29" s="2399">
        <f>AB30*AB$3*24</f>
        <v>2672.7149177155043</v>
      </c>
      <c r="AC29" s="2443">
        <v>2410.3000000000002</v>
      </c>
      <c r="AD29" s="718">
        <f t="shared" ref="AD29" si="126">+Z29+AB29</f>
        <v>15823.136155449254</v>
      </c>
      <c r="AE29" s="718">
        <f t="shared" ref="AE29" si="127">+AA29+AC29</f>
        <v>16634.63</v>
      </c>
      <c r="AF29" s="2399">
        <f>AF30*AF$3*24</f>
        <v>2590.1918789593333</v>
      </c>
      <c r="AG29" s="2443">
        <v>2520</v>
      </c>
      <c r="AH29" s="718">
        <f t="shared" ref="AH29" si="128">+AD29+AF29</f>
        <v>18413.328034408587</v>
      </c>
      <c r="AI29" s="718">
        <f t="shared" ref="AI29" si="129">+AE29+AG29</f>
        <v>19154.63</v>
      </c>
      <c r="AJ29" s="2399">
        <f>AJ30*AJ$3*24</f>
        <v>2672.7149177155043</v>
      </c>
      <c r="AK29" s="2443">
        <v>2604</v>
      </c>
      <c r="AL29" s="717">
        <f t="shared" ref="AL29" si="130">+AJ29+AF29+AB29</f>
        <v>7935.6217143903414</v>
      </c>
      <c r="AM29" s="717">
        <f t="shared" ref="AM29" si="131">+AK29+AG29+AC29</f>
        <v>7534.3</v>
      </c>
      <c r="AN29" s="718">
        <f t="shared" ref="AN29" si="132">+AH29+AJ29</f>
        <v>21086.042952124091</v>
      </c>
      <c r="AO29" s="718">
        <f t="shared" ref="AO29" si="133">+AI29+AK29</f>
        <v>21758.63</v>
      </c>
      <c r="AP29" s="2399">
        <f>AP30*AP$3*24</f>
        <v>2713.97643709359</v>
      </c>
      <c r="AQ29" s="2443">
        <v>2576</v>
      </c>
      <c r="AR29" s="718">
        <f t="shared" ref="AR29" si="134">+AN29+AP29</f>
        <v>23800.019389217683</v>
      </c>
      <c r="AS29" s="718">
        <f t="shared" ref="AS29" si="135">+AO29+AQ29</f>
        <v>24334.63</v>
      </c>
      <c r="AT29" s="2399">
        <f>AT30*AT$3*24</f>
        <v>2425.1458014469899</v>
      </c>
      <c r="AU29" s="2443">
        <v>2285</v>
      </c>
      <c r="AV29" s="718">
        <f t="shared" ref="AV29" si="136">+AR29+AT29</f>
        <v>26225.165190664673</v>
      </c>
      <c r="AW29" s="718">
        <f t="shared" ref="AW29" si="137">+AS29+AU29</f>
        <v>26619.63</v>
      </c>
      <c r="AX29" s="2399">
        <f>AX30*AX$3*24</f>
        <v>2713.97643709359</v>
      </c>
      <c r="AY29" s="2443">
        <v>2542.0300000000002</v>
      </c>
      <c r="AZ29" s="717">
        <f t="shared" ref="AZ29" si="138">+AX29+AT29+AP29</f>
        <v>7853.0986756341699</v>
      </c>
      <c r="BA29" s="717">
        <f t="shared" ref="BA29" si="139">+AY29+AU29+AQ29</f>
        <v>7403.0300000000007</v>
      </c>
      <c r="BB29" s="429">
        <f t="shared" si="64"/>
        <v>15788.720390024511</v>
      </c>
      <c r="BC29" s="429">
        <f t="shared" si="65"/>
        <v>14937.330000000002</v>
      </c>
      <c r="BD29" s="718">
        <f t="shared" ref="BD29" si="140">+AV29+AX29</f>
        <v>28939.141627758261</v>
      </c>
      <c r="BE29" s="718">
        <f t="shared" ref="BE29" si="141">+AW29+AY29</f>
        <v>29161.66</v>
      </c>
      <c r="BF29" s="110"/>
      <c r="BG29" s="110"/>
      <c r="BH29" s="110"/>
      <c r="BI29" s="110"/>
      <c r="BJ29" s="110"/>
    </row>
    <row r="30" spans="2:62" ht="15" hidden="1" customHeight="1" x14ac:dyDescent="0.3">
      <c r="B30" s="8"/>
      <c r="C30" s="2356"/>
      <c r="D30" s="2412">
        <v>2.9088869848901351</v>
      </c>
      <c r="E30" s="2640"/>
      <c r="F30" s="2412">
        <v>2.4838693419365478</v>
      </c>
      <c r="G30" s="2640"/>
      <c r="H30" s="2349"/>
      <c r="I30" s="35"/>
      <c r="J30" s="2412">
        <v>3.5974887207768518</v>
      </c>
      <c r="K30" s="2640"/>
      <c r="L30" s="717"/>
      <c r="M30" s="717"/>
      <c r="N30" s="2412">
        <v>3.5230349710926041</v>
      </c>
      <c r="O30" s="2640"/>
      <c r="P30" s="718"/>
      <c r="Q30" s="718"/>
      <c r="R30" s="2412">
        <v>3.5230349710926041</v>
      </c>
      <c r="S30" s="2640"/>
      <c r="T30" s="718"/>
      <c r="U30" s="718"/>
      <c r="V30" s="2412">
        <v>1.9104943087040749</v>
      </c>
      <c r="W30" s="2640"/>
      <c r="X30" s="717"/>
      <c r="Y30" s="717"/>
      <c r="Z30" s="429"/>
      <c r="AA30" s="429"/>
      <c r="AB30" s="2412">
        <v>3.5923587603703018</v>
      </c>
      <c r="AC30" s="2640"/>
      <c r="AD30" s="718"/>
      <c r="AE30" s="718"/>
      <c r="AF30" s="2412">
        <v>3.5974887207768518</v>
      </c>
      <c r="AG30" s="2640"/>
      <c r="AH30" s="718"/>
      <c r="AI30" s="718"/>
      <c r="AJ30" s="2412">
        <v>3.5923587603703018</v>
      </c>
      <c r="AK30" s="2640"/>
      <c r="AL30" s="717"/>
      <c r="AM30" s="717"/>
      <c r="AN30" s="718"/>
      <c r="AO30" s="718"/>
      <c r="AP30" s="2412">
        <v>3.6478177917924599</v>
      </c>
      <c r="AQ30" s="2640"/>
      <c r="AR30" s="718"/>
      <c r="AS30" s="718"/>
      <c r="AT30" s="2412">
        <v>3.6088479188199258</v>
      </c>
      <c r="AU30" s="2640"/>
      <c r="AV30" s="718"/>
      <c r="AW30" s="718"/>
      <c r="AX30" s="2412">
        <v>3.6478177917924599</v>
      </c>
      <c r="AY30" s="2640"/>
      <c r="AZ30" s="717"/>
      <c r="BA30" s="717"/>
      <c r="BB30" s="429">
        <f t="shared" si="64"/>
        <v>0</v>
      </c>
      <c r="BC30" s="429">
        <f t="shared" si="65"/>
        <v>0</v>
      </c>
      <c r="BD30" s="718"/>
      <c r="BE30" s="718"/>
      <c r="BF30" s="110"/>
      <c r="BG30" s="110"/>
      <c r="BH30" s="110"/>
      <c r="BI30" s="110"/>
      <c r="BJ30" s="110"/>
    </row>
    <row r="31" spans="2:62" x14ac:dyDescent="0.3">
      <c r="B31" s="8" t="s">
        <v>58</v>
      </c>
      <c r="C31" s="2356" t="s">
        <v>323</v>
      </c>
      <c r="D31" s="2399">
        <f>D32*D$3*24</f>
        <v>764.91424918373855</v>
      </c>
      <c r="E31" s="2443">
        <v>1080</v>
      </c>
      <c r="F31" s="2399">
        <f>F32*F$3*24</f>
        <v>551.42416348095276</v>
      </c>
      <c r="G31" s="2443">
        <v>596</v>
      </c>
      <c r="H31" s="2349">
        <f t="shared" si="45"/>
        <v>1316.3384126646913</v>
      </c>
      <c r="I31" s="35">
        <f t="shared" si="45"/>
        <v>1676</v>
      </c>
      <c r="J31" s="2399">
        <f>J32*J$3*24</f>
        <v>1123.6233803241867</v>
      </c>
      <c r="K31" s="2443">
        <v>1080</v>
      </c>
      <c r="L31" s="717">
        <f t="shared" si="46"/>
        <v>2439.9617929888782</v>
      </c>
      <c r="M31" s="717">
        <f t="shared" si="47"/>
        <v>2756</v>
      </c>
      <c r="N31" s="2399">
        <f>N32*N$3*24</f>
        <v>1114.2699096501669</v>
      </c>
      <c r="O31" s="2443">
        <v>1116.0100000000002</v>
      </c>
      <c r="P31" s="718">
        <f t="shared" si="48"/>
        <v>3554.2317026390451</v>
      </c>
      <c r="Q31" s="718">
        <f t="shared" si="49"/>
        <v>3872.01</v>
      </c>
      <c r="R31" s="2399">
        <f>R32*R$3*24</f>
        <v>1114.2699096501669</v>
      </c>
      <c r="S31" s="2443">
        <v>1087.04</v>
      </c>
      <c r="T31" s="718">
        <f t="shared" ref="T31" si="142">+P31+R31</f>
        <v>4668.5016122892121</v>
      </c>
      <c r="U31" s="718">
        <f t="shared" ref="U31" si="143">+Q31+S31</f>
        <v>4959.05</v>
      </c>
      <c r="V31" s="2399">
        <f>V32*V$3*24</f>
        <v>369.91870191260034</v>
      </c>
      <c r="W31" s="2443">
        <v>1078.5</v>
      </c>
      <c r="X31" s="717">
        <f t="shared" si="70"/>
        <v>2598.4585212129341</v>
      </c>
      <c r="Y31" s="717">
        <f t="shared" si="71"/>
        <v>3281.55</v>
      </c>
      <c r="Z31" s="429">
        <f t="shared" si="52"/>
        <v>5038.4203142018123</v>
      </c>
      <c r="AA31" s="429">
        <f t="shared" si="53"/>
        <v>6037.55</v>
      </c>
      <c r="AB31" s="2399">
        <f>AB32*AB$3*24</f>
        <v>1157.85238949327</v>
      </c>
      <c r="AC31" s="2443">
        <v>989</v>
      </c>
      <c r="AD31" s="718">
        <f t="shared" ref="AD31" si="144">+Z31+AB31</f>
        <v>6196.2727036950819</v>
      </c>
      <c r="AE31" s="718">
        <f t="shared" ref="AE31" si="145">+AA31+AC31</f>
        <v>7026.55</v>
      </c>
      <c r="AF31" s="2399">
        <f>AF32*AF$3*24</f>
        <v>1123.6233803241867</v>
      </c>
      <c r="AG31" s="2443">
        <v>1080.0999999999999</v>
      </c>
      <c r="AH31" s="718">
        <f t="shared" ref="AH31" si="146">+AD31+AF31</f>
        <v>7319.8960840192685</v>
      </c>
      <c r="AI31" s="718">
        <f t="shared" ref="AI31" si="147">+AE31+AG31</f>
        <v>8106.65</v>
      </c>
      <c r="AJ31" s="2399">
        <f>AJ32*AJ$3*24</f>
        <v>1157.85238949327</v>
      </c>
      <c r="AK31" s="2443">
        <v>1117.5</v>
      </c>
      <c r="AL31" s="717">
        <f t="shared" ref="AL31" si="148">+AJ31+AF31+AB31</f>
        <v>3439.3281593107267</v>
      </c>
      <c r="AM31" s="717">
        <f t="shared" ref="AM31" si="149">+AK31+AG31+AC31</f>
        <v>3186.6</v>
      </c>
      <c r="AN31" s="718">
        <f t="shared" ref="AN31" si="150">+AH31+AJ31</f>
        <v>8477.7484735125381</v>
      </c>
      <c r="AO31" s="718">
        <f t="shared" ref="AO31" si="151">+AI31+AK31</f>
        <v>9224.15</v>
      </c>
      <c r="AP31" s="2399">
        <f>AP32*AP$3*24</f>
        <v>1192.7183733677523</v>
      </c>
      <c r="AQ31" s="2443">
        <v>1104</v>
      </c>
      <c r="AR31" s="718">
        <f t="shared" ref="AR31" si="152">+AN31+AP31</f>
        <v>9670.4668468802902</v>
      </c>
      <c r="AS31" s="718">
        <f t="shared" ref="AS31" si="153">+AO31+AQ31</f>
        <v>10328.15</v>
      </c>
      <c r="AT31" s="2399">
        <f>AT32*AT$3*24</f>
        <v>1055.1653619860201</v>
      </c>
      <c r="AU31" s="2443">
        <v>973.4</v>
      </c>
      <c r="AV31" s="718">
        <f t="shared" ref="AV31" si="154">+AR31+AT31</f>
        <v>10725.632208866311</v>
      </c>
      <c r="AW31" s="718">
        <f t="shared" ref="AW31" si="155">+AS31+AU31</f>
        <v>11301.55</v>
      </c>
      <c r="AX31" s="2399">
        <f>AX32*AX$3*24</f>
        <v>1192.7183733677523</v>
      </c>
      <c r="AY31" s="2443">
        <v>1092</v>
      </c>
      <c r="AZ31" s="717">
        <f t="shared" ref="AZ31" si="156">+AX31+AT31+AP31</f>
        <v>3440.6021087215249</v>
      </c>
      <c r="BA31" s="717">
        <f t="shared" ref="BA31" si="157">+AY31+AU31+AQ31</f>
        <v>3169.4</v>
      </c>
      <c r="BB31" s="429">
        <f t="shared" si="64"/>
        <v>6879.9302680322517</v>
      </c>
      <c r="BC31" s="429">
        <f t="shared" si="65"/>
        <v>6356</v>
      </c>
      <c r="BD31" s="718">
        <f t="shared" ref="BD31" si="158">+AV31+AX31</f>
        <v>11918.350582234063</v>
      </c>
      <c r="BE31" s="718">
        <f t="shared" ref="BE31" si="159">+AW31+AY31</f>
        <v>12393.55</v>
      </c>
      <c r="BF31" s="110"/>
      <c r="BG31" s="110"/>
      <c r="BH31" s="110"/>
      <c r="BI31" s="110"/>
      <c r="BJ31" s="110"/>
    </row>
    <row r="32" spans="2:62" ht="15" hidden="1" customHeight="1" x14ac:dyDescent="0.3">
      <c r="B32" s="8"/>
      <c r="C32" s="2356"/>
      <c r="D32" s="2412">
        <v>1.0623809016440813</v>
      </c>
      <c r="E32" s="2640"/>
      <c r="F32" s="2412">
        <v>0.74116151005504394</v>
      </c>
      <c r="G32" s="2640"/>
      <c r="H32" s="2349"/>
      <c r="I32" s="35"/>
      <c r="J32" s="2412">
        <v>1.5605880282280371</v>
      </c>
      <c r="K32" s="2640"/>
      <c r="L32" s="717"/>
      <c r="M32" s="717"/>
      <c r="N32" s="2412">
        <v>1.4976746097448479</v>
      </c>
      <c r="O32" s="2640"/>
      <c r="P32" s="718"/>
      <c r="Q32" s="718"/>
      <c r="R32" s="2412">
        <v>1.4976746097448479</v>
      </c>
      <c r="S32" s="2640"/>
      <c r="T32" s="718"/>
      <c r="U32" s="718"/>
      <c r="V32" s="2412">
        <v>0.5137759748786116</v>
      </c>
      <c r="W32" s="2640"/>
      <c r="X32" s="717"/>
      <c r="Y32" s="717"/>
      <c r="Z32" s="429"/>
      <c r="AA32" s="429"/>
      <c r="AB32" s="2412">
        <v>1.5562532116845027</v>
      </c>
      <c r="AC32" s="2640"/>
      <c r="AD32" s="718"/>
      <c r="AE32" s="718"/>
      <c r="AF32" s="2412">
        <v>1.5605880282280371</v>
      </c>
      <c r="AG32" s="2640"/>
      <c r="AH32" s="718"/>
      <c r="AI32" s="718"/>
      <c r="AJ32" s="2412">
        <v>1.5562532116845027</v>
      </c>
      <c r="AK32" s="2640"/>
      <c r="AL32" s="717"/>
      <c r="AM32" s="717"/>
      <c r="AN32" s="718"/>
      <c r="AO32" s="718"/>
      <c r="AP32" s="2412">
        <v>1.6031160932362261</v>
      </c>
      <c r="AQ32" s="2640"/>
      <c r="AR32" s="718"/>
      <c r="AS32" s="718"/>
      <c r="AT32" s="2412">
        <v>1.5701865505744348</v>
      </c>
      <c r="AU32" s="2640"/>
      <c r="AV32" s="718"/>
      <c r="AW32" s="718"/>
      <c r="AX32" s="2412">
        <v>1.6031160932362261</v>
      </c>
      <c r="AY32" s="2640"/>
      <c r="AZ32" s="717"/>
      <c r="BA32" s="717"/>
      <c r="BB32" s="429">
        <f t="shared" si="64"/>
        <v>0</v>
      </c>
      <c r="BC32" s="429">
        <f t="shared" si="65"/>
        <v>0</v>
      </c>
      <c r="BD32" s="718"/>
      <c r="BE32" s="718"/>
      <c r="BF32" s="110"/>
      <c r="BG32" s="110"/>
      <c r="BH32" s="110"/>
      <c r="BI32" s="110"/>
      <c r="BJ32" s="110"/>
    </row>
    <row r="33" spans="2:62" x14ac:dyDescent="0.3">
      <c r="B33" s="8" t="s">
        <v>59</v>
      </c>
      <c r="C33" s="2356" t="s">
        <v>323</v>
      </c>
      <c r="D33" s="2399">
        <f>D34*D$3*24</f>
        <v>1080.4279942943483</v>
      </c>
      <c r="E33" s="2443">
        <v>1231.1400000000001</v>
      </c>
      <c r="F33" s="2399">
        <f>F34*F$3*24</f>
        <v>1095.8831542958785</v>
      </c>
      <c r="G33" s="2443">
        <v>840.54</v>
      </c>
      <c r="H33" s="2349">
        <f t="shared" si="45"/>
        <v>2176.3111485902268</v>
      </c>
      <c r="I33" s="35">
        <f t="shared" si="45"/>
        <v>2071.6800000000003</v>
      </c>
      <c r="J33" s="2399">
        <f>J34*J$3*24</f>
        <v>1392.1569503851563</v>
      </c>
      <c r="K33" s="2443">
        <v>958.26913737942414</v>
      </c>
      <c r="L33" s="717">
        <f t="shared" si="46"/>
        <v>3568.4680989753833</v>
      </c>
      <c r="M33" s="717">
        <f t="shared" si="47"/>
        <v>3029.9491373794244</v>
      </c>
      <c r="N33" s="2399">
        <f>N34*N$3*24</f>
        <v>1429.0303923548265</v>
      </c>
      <c r="O33" s="2443">
        <v>935.03565531522622</v>
      </c>
      <c r="P33" s="718">
        <f t="shared" si="48"/>
        <v>4997.4984913302096</v>
      </c>
      <c r="Q33" s="718">
        <f t="shared" si="49"/>
        <v>3964.9847926946504</v>
      </c>
      <c r="R33" s="2399">
        <f>R34*R$3*24</f>
        <v>1429.0303923548265</v>
      </c>
      <c r="S33" s="2443">
        <v>1045.4579780087024</v>
      </c>
      <c r="T33" s="718">
        <f t="shared" ref="T33" si="160">+P33+R33</f>
        <v>6426.5288836850359</v>
      </c>
      <c r="U33" s="718">
        <f t="shared" ref="U33" si="161">+Q33+S33</f>
        <v>5010.4427707033528</v>
      </c>
      <c r="V33" s="2399">
        <f>V34*V$3*24</f>
        <v>1047.4550253027198</v>
      </c>
      <c r="W33" s="2443">
        <v>811.42</v>
      </c>
      <c r="X33" s="717">
        <f t="shared" si="70"/>
        <v>3905.5158100123726</v>
      </c>
      <c r="Y33" s="717">
        <f t="shared" si="71"/>
        <v>2791.9136333239285</v>
      </c>
      <c r="Z33" s="429">
        <f t="shared" si="52"/>
        <v>7473.983908987756</v>
      </c>
      <c r="AA33" s="429">
        <f t="shared" si="53"/>
        <v>5821.8627707033529</v>
      </c>
      <c r="AB33" s="2399">
        <f>AB34*AB$3*24</f>
        <v>1372.6941978160871</v>
      </c>
      <c r="AC33" s="2443">
        <v>688.81</v>
      </c>
      <c r="AD33" s="718">
        <f t="shared" ref="AD33" si="162">+Z33+AB33</f>
        <v>8846.6781068038435</v>
      </c>
      <c r="AE33" s="718">
        <f t="shared" ref="AE33" si="163">+AA33+AC33</f>
        <v>6510.6727707033533</v>
      </c>
      <c r="AF33" s="2399">
        <f>AF34*AF$3*24</f>
        <v>1359.5175349059991</v>
      </c>
      <c r="AG33" s="2443">
        <v>794.92</v>
      </c>
      <c r="AH33" s="718">
        <f t="shared" ref="AH33" si="164">+AD33+AF33</f>
        <v>10206.195641709843</v>
      </c>
      <c r="AI33" s="718">
        <f t="shared" ref="AI33" si="165">+AE33+AG33</f>
        <v>7305.5927707033534</v>
      </c>
      <c r="AJ33" s="2399">
        <f>AJ34*AJ$3*24</f>
        <v>1407.416253255557</v>
      </c>
      <c r="AK33" s="2443">
        <v>808.94292980589137</v>
      </c>
      <c r="AL33" s="717">
        <f t="shared" ref="AL33" si="166">+AJ33+AF33+AB33</f>
        <v>4139.6279859776432</v>
      </c>
      <c r="AM33" s="717">
        <f t="shared" ref="AM33" si="167">+AK33+AG33+AC33</f>
        <v>2292.6729298058913</v>
      </c>
      <c r="AN33" s="718">
        <f t="shared" ref="AN33" si="168">+AH33+AJ33</f>
        <v>11613.611894965399</v>
      </c>
      <c r="AO33" s="718">
        <f t="shared" ref="AO33" si="169">+AI33+AK33</f>
        <v>8114.5357005092446</v>
      </c>
      <c r="AP33" s="2399">
        <f>AP34*AP$3*24</f>
        <v>1420.2621343384963</v>
      </c>
      <c r="AQ33" s="2443">
        <v>638.47</v>
      </c>
      <c r="AR33" s="718">
        <f t="shared" ref="AR33" si="170">+AN33+AP33</f>
        <v>13033.874029303895</v>
      </c>
      <c r="AS33" s="718">
        <f t="shared" ref="AS33" si="171">+AO33+AQ33</f>
        <v>8753.005700509244</v>
      </c>
      <c r="AT33" s="2399">
        <f>AT34*AT$3*24</f>
        <v>1249.9860416014999</v>
      </c>
      <c r="AU33" s="2443">
        <v>726.51</v>
      </c>
      <c r="AV33" s="718">
        <f t="shared" ref="AV33" si="172">+AR33+AT33</f>
        <v>14283.860070905395</v>
      </c>
      <c r="AW33" s="718">
        <f t="shared" ref="AW33" si="173">+AS33+AU33</f>
        <v>9479.5157005092442</v>
      </c>
      <c r="AX33" s="2399">
        <f>AX34*AX$3*24</f>
        <v>1413.8819577888135</v>
      </c>
      <c r="AY33" s="2443">
        <v>1081.67</v>
      </c>
      <c r="AZ33" s="717">
        <f t="shared" ref="AZ33" si="174">+AX33+AT33+AP33</f>
        <v>4084.1301337288096</v>
      </c>
      <c r="BA33" s="717">
        <f t="shared" ref="BA33" si="175">+AY33+AU33+AQ33</f>
        <v>2446.65</v>
      </c>
      <c r="BB33" s="429">
        <f t="shared" si="64"/>
        <v>8223.7581197064537</v>
      </c>
      <c r="BC33" s="429">
        <f t="shared" si="65"/>
        <v>4739.3229298058914</v>
      </c>
      <c r="BD33" s="718">
        <f t="shared" ref="BD33" si="176">+AV33+AX33</f>
        <v>15697.742028694209</v>
      </c>
      <c r="BE33" s="718">
        <f t="shared" ref="BE33" si="177">+AW33+AY33</f>
        <v>10561.185700509244</v>
      </c>
      <c r="BF33" s="110"/>
      <c r="BG33" s="110"/>
      <c r="BH33" s="110"/>
      <c r="BI33" s="110"/>
      <c r="BJ33" s="110"/>
    </row>
    <row r="34" spans="2:62" ht="15" hidden="1" customHeight="1" x14ac:dyDescent="0.3">
      <c r="B34" s="8"/>
      <c r="C34" s="2356"/>
      <c r="D34" s="2412">
        <v>1.5005944365199282</v>
      </c>
      <c r="E34" s="2640"/>
      <c r="F34" s="2412">
        <v>1.4729612288923097</v>
      </c>
      <c r="G34" s="2640"/>
      <c r="H34" s="2349"/>
      <c r="I34" s="35"/>
      <c r="J34" s="2412">
        <v>1.9335513199793837</v>
      </c>
      <c r="K34" s="2640"/>
      <c r="L34" s="717"/>
      <c r="M34" s="717"/>
      <c r="N34" s="2412">
        <v>1.9207397746704657</v>
      </c>
      <c r="O34" s="2640"/>
      <c r="P34" s="718"/>
      <c r="Q34" s="718"/>
      <c r="R34" s="2412">
        <v>1.9207397746704657</v>
      </c>
      <c r="S34" s="2640"/>
      <c r="T34" s="718"/>
      <c r="U34" s="718"/>
      <c r="V34" s="2412">
        <v>1.4547986462537776</v>
      </c>
      <c r="W34" s="2640"/>
      <c r="X34" s="717"/>
      <c r="Y34" s="717"/>
      <c r="Z34" s="429"/>
      <c r="AA34" s="429"/>
      <c r="AB34" s="2412">
        <v>1.8450190830861386</v>
      </c>
      <c r="AC34" s="2640"/>
      <c r="AD34" s="718"/>
      <c r="AE34" s="718"/>
      <c r="AF34" s="2412">
        <v>1.8882187984805545</v>
      </c>
      <c r="AG34" s="2640"/>
      <c r="AH34" s="718"/>
      <c r="AI34" s="718"/>
      <c r="AJ34" s="2412">
        <v>1.8916885124402647</v>
      </c>
      <c r="AK34" s="2640"/>
      <c r="AL34" s="717"/>
      <c r="AM34" s="717"/>
      <c r="AN34" s="718"/>
      <c r="AO34" s="718"/>
      <c r="AP34" s="2412">
        <v>1.9089544816377637</v>
      </c>
      <c r="AQ34" s="2640"/>
      <c r="AR34" s="718"/>
      <c r="AS34" s="718"/>
      <c r="AT34" s="2412">
        <v>1.8600982761927081</v>
      </c>
      <c r="AU34" s="2640"/>
      <c r="AV34" s="718"/>
      <c r="AW34" s="718"/>
      <c r="AX34" s="2412">
        <v>1.9003789755225988</v>
      </c>
      <c r="AY34" s="2640"/>
      <c r="AZ34" s="717"/>
      <c r="BA34" s="717"/>
      <c r="BB34" s="429">
        <f t="shared" si="64"/>
        <v>0</v>
      </c>
      <c r="BC34" s="429">
        <f t="shared" si="65"/>
        <v>0</v>
      </c>
      <c r="BD34" s="718"/>
      <c r="BE34" s="718"/>
      <c r="BF34" s="110"/>
      <c r="BG34" s="110"/>
      <c r="BH34" s="110"/>
      <c r="BI34" s="110"/>
      <c r="BJ34" s="110"/>
    </row>
    <row r="35" spans="2:62" x14ac:dyDescent="0.3">
      <c r="B35" s="8" t="s">
        <v>91</v>
      </c>
      <c r="C35" s="2356" t="s">
        <v>323</v>
      </c>
      <c r="D35" s="2399">
        <f>D36*D$3*24</f>
        <v>1722.9793580669616</v>
      </c>
      <c r="E35" s="2443">
        <v>1696.06</v>
      </c>
      <c r="F35" s="2399">
        <f>F36*F$3*24</f>
        <v>1763.1037580132934</v>
      </c>
      <c r="G35" s="2443">
        <v>1028.06</v>
      </c>
      <c r="H35" s="2349">
        <f t="shared" si="45"/>
        <v>3486.083116080255</v>
      </c>
      <c r="I35" s="35">
        <f t="shared" si="45"/>
        <v>2724.12</v>
      </c>
      <c r="J35" s="2399">
        <f>J36*J$3*24</f>
        <v>2115.4336153124768</v>
      </c>
      <c r="K35" s="2443">
        <v>1368.3023550549533</v>
      </c>
      <c r="L35" s="717">
        <f t="shared" si="46"/>
        <v>5601.5167313927323</v>
      </c>
      <c r="M35" s="717">
        <f t="shared" si="47"/>
        <v>4092.4223550549532</v>
      </c>
      <c r="N35" s="2399">
        <f>N36*N$3*24</f>
        <v>2180.2305420806797</v>
      </c>
      <c r="O35" s="2443">
        <v>1325.8729510126152</v>
      </c>
      <c r="P35" s="718">
        <f t="shared" si="48"/>
        <v>7781.747273473412</v>
      </c>
      <c r="Q35" s="718">
        <f t="shared" si="49"/>
        <v>5418.2953060675682</v>
      </c>
      <c r="R35" s="2399">
        <f>R36*R$3*24</f>
        <v>2180.2305420806797</v>
      </c>
      <c r="S35" s="2443">
        <v>1509.3571648790987</v>
      </c>
      <c r="T35" s="718">
        <f t="shared" ref="T35" si="178">+P35+R35</f>
        <v>9961.9778155540916</v>
      </c>
      <c r="U35" s="718">
        <f t="shared" ref="U35" si="179">+Q35+S35</f>
        <v>6927.6524709466667</v>
      </c>
      <c r="V35" s="2399">
        <f>V36*V$3*24</f>
        <v>1691.1242791934073</v>
      </c>
      <c r="W35" s="2443">
        <v>1180.43</v>
      </c>
      <c r="X35" s="717">
        <f t="shared" si="70"/>
        <v>6051.5853633547667</v>
      </c>
      <c r="Y35" s="717">
        <f t="shared" si="71"/>
        <v>4015.6601158917138</v>
      </c>
      <c r="Z35" s="429">
        <f t="shared" si="52"/>
        <v>11653.102094747499</v>
      </c>
      <c r="AA35" s="429">
        <f t="shared" si="53"/>
        <v>8108.0824709466669</v>
      </c>
      <c r="AB35" s="2399">
        <f>AB36*AB$3*24</f>
        <v>2140.7502808245517</v>
      </c>
      <c r="AC35" s="2443">
        <v>832.6</v>
      </c>
      <c r="AD35" s="718">
        <f t="shared" ref="AD35" si="180">+Z35+AB35</f>
        <v>13793.852375572051</v>
      </c>
      <c r="AE35" s="718">
        <f t="shared" ref="AE35" si="181">+AA35+AC35</f>
        <v>8940.6824709466673</v>
      </c>
      <c r="AF35" s="2399">
        <f>AF36*AF$3*24</f>
        <v>2065.8368247568887</v>
      </c>
      <c r="AG35" s="2443">
        <v>1157.3599999999999</v>
      </c>
      <c r="AH35" s="718">
        <f t="shared" ref="AH35" si="182">+AD35+AF35</f>
        <v>15859.689200328939</v>
      </c>
      <c r="AI35" s="718">
        <f t="shared" ref="AI35" si="183">+AE35+AG35</f>
        <v>10098.042470946668</v>
      </c>
      <c r="AJ35" s="2399">
        <f>AJ36*AJ$3*24</f>
        <v>2147.2544721124586</v>
      </c>
      <c r="AK35" s="2443">
        <v>1046.574957600182</v>
      </c>
      <c r="AL35" s="717">
        <f t="shared" ref="AL35" si="184">+AJ35+AF35+AB35</f>
        <v>6353.8415776938991</v>
      </c>
      <c r="AM35" s="717">
        <f t="shared" ref="AM35" si="185">+AK35+AG35+AC35</f>
        <v>3036.5349576001818</v>
      </c>
      <c r="AN35" s="718">
        <f t="shared" ref="AN35" si="186">+AH35+AJ35</f>
        <v>18006.943672441397</v>
      </c>
      <c r="AO35" s="718">
        <f t="shared" ref="AO35" si="187">+AI35+AK35</f>
        <v>11144.61742854685</v>
      </c>
      <c r="AP35" s="2399">
        <f>AP36*AP$3*24</f>
        <v>2142.506399544689</v>
      </c>
      <c r="AQ35" s="2443">
        <v>875.31</v>
      </c>
      <c r="AR35" s="718">
        <f t="shared" ref="AR35" si="188">+AN35+AP35</f>
        <v>20149.450071986088</v>
      </c>
      <c r="AS35" s="718">
        <f t="shared" ref="AS35" si="189">+AO35+AQ35</f>
        <v>12019.927428546849</v>
      </c>
      <c r="AT35" s="2399">
        <f>AT36*AT$3*24</f>
        <v>1898.6186947952312</v>
      </c>
      <c r="AU35" s="2443">
        <v>1006.76</v>
      </c>
      <c r="AV35" s="718">
        <f t="shared" ref="AV35" si="190">+AR35+AT35</f>
        <v>22048.068766781318</v>
      </c>
      <c r="AW35" s="718">
        <f t="shared" ref="AW35" si="191">+AS35+AU35</f>
        <v>13026.687428546849</v>
      </c>
      <c r="AX35" s="2399">
        <f>AX36*AX$3*24</f>
        <v>2159.8802219467002</v>
      </c>
      <c r="AY35" s="2443">
        <v>1466.13</v>
      </c>
      <c r="AZ35" s="717">
        <f t="shared" ref="AZ35" si="192">+AX35+AT35+AP35</f>
        <v>6201.0053162866207</v>
      </c>
      <c r="BA35" s="717">
        <f t="shared" ref="BA35" si="193">+AY35+AU35+AQ35</f>
        <v>3348.2000000000003</v>
      </c>
      <c r="BB35" s="429">
        <f t="shared" si="64"/>
        <v>12554.846893980521</v>
      </c>
      <c r="BC35" s="429">
        <f t="shared" si="65"/>
        <v>6384.7349576001816</v>
      </c>
      <c r="BD35" s="718">
        <f t="shared" ref="BD35" si="194">+AV35+AX35</f>
        <v>24207.948988728018</v>
      </c>
      <c r="BE35" s="718">
        <f t="shared" ref="BE35" si="195">+AW35+AY35</f>
        <v>14492.817428546849</v>
      </c>
      <c r="BF35" s="110"/>
      <c r="BG35" s="110"/>
      <c r="BH35" s="110"/>
      <c r="BI35" s="110"/>
      <c r="BJ35" s="110"/>
    </row>
    <row r="36" spans="2:62" ht="15" hidden="1" customHeight="1" x14ac:dyDescent="0.3">
      <c r="B36" s="8"/>
      <c r="C36" s="2356"/>
      <c r="D36" s="2412">
        <v>2.3930268862041131</v>
      </c>
      <c r="E36" s="2640"/>
      <c r="F36" s="2412">
        <v>2.3697631156092651</v>
      </c>
      <c r="G36" s="2640"/>
      <c r="H36" s="2349"/>
      <c r="I36" s="35"/>
      <c r="J36" s="2412">
        <v>2.938102243489551</v>
      </c>
      <c r="K36" s="2640"/>
      <c r="L36" s="717"/>
      <c r="M36" s="717"/>
      <c r="N36" s="2412">
        <v>2.930417395269731</v>
      </c>
      <c r="O36" s="2640"/>
      <c r="P36" s="718"/>
      <c r="Q36" s="718"/>
      <c r="R36" s="2412">
        <v>2.930417395269731</v>
      </c>
      <c r="S36" s="2640"/>
      <c r="T36" s="718"/>
      <c r="U36" s="718"/>
      <c r="V36" s="2412">
        <v>2.3487837211019547</v>
      </c>
      <c r="W36" s="2640"/>
      <c r="X36" s="717"/>
      <c r="Y36" s="717"/>
      <c r="Z36" s="429"/>
      <c r="AA36" s="429"/>
      <c r="AB36" s="2412">
        <v>2.8773525279899888</v>
      </c>
      <c r="AC36" s="2640"/>
      <c r="AD36" s="718"/>
      <c r="AE36" s="718"/>
      <c r="AF36" s="2412">
        <v>2.8692178121623453</v>
      </c>
      <c r="AG36" s="2640"/>
      <c r="AH36" s="718"/>
      <c r="AI36" s="718"/>
      <c r="AJ36" s="2412">
        <v>2.8860947205812613</v>
      </c>
      <c r="AK36" s="2640"/>
      <c r="AL36" s="717"/>
      <c r="AM36" s="717"/>
      <c r="AN36" s="718"/>
      <c r="AO36" s="718"/>
      <c r="AP36" s="2412">
        <v>2.8797129026138291</v>
      </c>
      <c r="AQ36" s="2640"/>
      <c r="AR36" s="718"/>
      <c r="AS36" s="718"/>
      <c r="AT36" s="2412">
        <v>2.8253254386833797</v>
      </c>
      <c r="AU36" s="2640"/>
      <c r="AV36" s="718"/>
      <c r="AW36" s="718"/>
      <c r="AX36" s="2412">
        <v>2.9030648144444897</v>
      </c>
      <c r="AY36" s="2640"/>
      <c r="AZ36" s="717"/>
      <c r="BA36" s="717"/>
      <c r="BB36" s="429">
        <f t="shared" si="64"/>
        <v>0</v>
      </c>
      <c r="BC36" s="429">
        <f t="shared" si="65"/>
        <v>0</v>
      </c>
      <c r="BD36" s="718"/>
      <c r="BE36" s="718"/>
      <c r="BF36" s="110"/>
      <c r="BG36" s="110"/>
      <c r="BH36" s="110"/>
      <c r="BI36" s="110"/>
      <c r="BJ36" s="110"/>
    </row>
    <row r="37" spans="2:62" x14ac:dyDescent="0.3">
      <c r="B37" s="8" t="s">
        <v>109</v>
      </c>
      <c r="C37" s="2356" t="s">
        <v>323</v>
      </c>
      <c r="D37" s="2399">
        <f>D38*D$3*24</f>
        <v>2904.1033906467283</v>
      </c>
      <c r="E37" s="2443">
        <v>2156.0700000000002</v>
      </c>
      <c r="F37" s="2399">
        <f>F38*F$3*24</f>
        <v>2892.0263270916976</v>
      </c>
      <c r="G37" s="2443">
        <v>660.33</v>
      </c>
      <c r="H37" s="2349">
        <f t="shared" si="45"/>
        <v>5796.1297177384258</v>
      </c>
      <c r="I37" s="35">
        <f t="shared" si="45"/>
        <v>2816.4</v>
      </c>
      <c r="J37" s="2399">
        <f>J38*J$3*24</f>
        <v>3476.4094343023658</v>
      </c>
      <c r="K37" s="2443">
        <v>1902.3456359625527</v>
      </c>
      <c r="L37" s="717">
        <f t="shared" si="46"/>
        <v>9272.539152040792</v>
      </c>
      <c r="M37" s="717">
        <f t="shared" si="47"/>
        <v>4718.745635962553</v>
      </c>
      <c r="N37" s="2399">
        <f>N38*N$3*24</f>
        <v>3607.5390655644942</v>
      </c>
      <c r="O37" s="2443">
        <v>1634.8711733840794</v>
      </c>
      <c r="P37" s="718">
        <f t="shared" si="48"/>
        <v>12880.078217605285</v>
      </c>
      <c r="Q37" s="718">
        <f t="shared" si="49"/>
        <v>6353.6168093466322</v>
      </c>
      <c r="R37" s="2399">
        <f>R38*R$3*24</f>
        <v>3607.5390655644942</v>
      </c>
      <c r="S37" s="2443">
        <v>1910.3431970441127</v>
      </c>
      <c r="T37" s="718">
        <f t="shared" ref="T37" si="196">+P37+R37</f>
        <v>16487.61728316978</v>
      </c>
      <c r="U37" s="718">
        <f t="shared" ref="U37" si="197">+Q37+S37</f>
        <v>8263.9600063907455</v>
      </c>
      <c r="V37" s="2399">
        <f>V38*V$3*24</f>
        <v>2373.4206955038726</v>
      </c>
      <c r="W37" s="2443">
        <v>1550.07</v>
      </c>
      <c r="X37" s="717">
        <f t="shared" si="70"/>
        <v>9588.4988266328619</v>
      </c>
      <c r="Y37" s="717">
        <f t="shared" si="71"/>
        <v>5095.2843704281922</v>
      </c>
      <c r="Z37" s="429">
        <f t="shared" si="52"/>
        <v>18861.037978673652</v>
      </c>
      <c r="AA37" s="429">
        <f t="shared" si="53"/>
        <v>9814.0300063907453</v>
      </c>
      <c r="AB37" s="2399">
        <f>AB38*AB$3*24</f>
        <v>3703.35552135936</v>
      </c>
      <c r="AC37" s="2443">
        <v>919.54</v>
      </c>
      <c r="AD37" s="718">
        <f t="shared" ref="AD37" si="198">+Z37+AB37</f>
        <v>22564.393500033013</v>
      </c>
      <c r="AE37" s="718">
        <f t="shared" ref="AE37" si="199">+AA37+AC37</f>
        <v>10733.570006390746</v>
      </c>
      <c r="AF37" s="2399">
        <f>AF38*AF$3*24</f>
        <v>3558.6456403371121</v>
      </c>
      <c r="AG37" s="2443">
        <v>1573.92</v>
      </c>
      <c r="AH37" s="718">
        <f t="shared" ref="AH37" si="200">+AD37+AF37</f>
        <v>26123.039140370125</v>
      </c>
      <c r="AI37" s="718">
        <f t="shared" ref="AI37" si="201">+AE37+AG37</f>
        <v>12307.490006390746</v>
      </c>
      <c r="AJ37" s="2399">
        <f>AJ38*AJ$3*24</f>
        <v>3662.1292746319841</v>
      </c>
      <c r="AK37" s="2443">
        <v>1358.6805916788826</v>
      </c>
      <c r="AL37" s="717">
        <f t="shared" ref="AL37" si="202">+AJ37+AF37+AB37</f>
        <v>10924.130436328456</v>
      </c>
      <c r="AM37" s="717">
        <f t="shared" ref="AM37" si="203">+AK37+AG37+AC37</f>
        <v>3852.1405916788826</v>
      </c>
      <c r="AN37" s="718">
        <f t="shared" ref="AN37" si="204">+AH37+AJ37</f>
        <v>29785.16841500211</v>
      </c>
      <c r="AO37" s="718">
        <f t="shared" ref="AO37" si="205">+AI37+AK37</f>
        <v>13666.170598069628</v>
      </c>
      <c r="AP37" s="2399">
        <f>AP38*AP$3*24</f>
        <v>3654.031466116815</v>
      </c>
      <c r="AQ37" s="2443">
        <v>1184.4100000000001</v>
      </c>
      <c r="AR37" s="718">
        <f t="shared" ref="AR37" si="206">+AN37+AP37</f>
        <v>33439.199881118926</v>
      </c>
      <c r="AS37" s="718">
        <f t="shared" ref="AS37" si="207">+AO37+AQ37</f>
        <v>14850.580598069628</v>
      </c>
      <c r="AT37" s="2399">
        <f>AT38*AT$3*24</f>
        <v>3369.7952636032692</v>
      </c>
      <c r="AU37" s="2443">
        <v>1508.52</v>
      </c>
      <c r="AV37" s="718">
        <f t="shared" ref="AV37" si="208">+AR37+AT37</f>
        <v>36808.995144722197</v>
      </c>
      <c r="AW37" s="718">
        <f t="shared" ref="AW37" si="209">+AS37+AU37</f>
        <v>16359.100598069628</v>
      </c>
      <c r="AX37" s="2399">
        <f>AX38*AX$3*24</f>
        <v>3643.0378202644861</v>
      </c>
      <c r="AY37" s="2443">
        <v>2027.47</v>
      </c>
      <c r="AZ37" s="717">
        <f t="shared" ref="AZ37" si="210">+AX37+AT37+AP37</f>
        <v>10666.86454998457</v>
      </c>
      <c r="BA37" s="717">
        <f t="shared" ref="BA37" si="211">+AY37+AU37+AQ37</f>
        <v>4720.3999999999996</v>
      </c>
      <c r="BB37" s="429">
        <f t="shared" si="64"/>
        <v>21590.994986313024</v>
      </c>
      <c r="BC37" s="429">
        <f t="shared" si="65"/>
        <v>8572.5405916788823</v>
      </c>
      <c r="BD37" s="718">
        <f t="shared" ref="BD37" si="212">+AV37+AX37</f>
        <v>40452.032964986684</v>
      </c>
      <c r="BE37" s="718">
        <f t="shared" ref="BE37" si="213">+AW37+AY37</f>
        <v>18386.570598069629</v>
      </c>
      <c r="BF37" s="110"/>
      <c r="BG37" s="110"/>
      <c r="BH37" s="110"/>
      <c r="BI37" s="110"/>
      <c r="BJ37" s="110"/>
    </row>
    <row r="38" spans="2:62" ht="15" hidden="1" customHeight="1" x14ac:dyDescent="0.3">
      <c r="B38" s="8"/>
      <c r="C38" s="2356"/>
      <c r="D38" s="2412">
        <v>4.033476931453789</v>
      </c>
      <c r="E38" s="2640"/>
      <c r="F38" s="2412">
        <v>3.8871321600694859</v>
      </c>
      <c r="G38" s="2640"/>
      <c r="H38" s="2349"/>
      <c r="I38" s="35"/>
      <c r="J38" s="2412">
        <v>4.8283464365310635</v>
      </c>
      <c r="K38" s="2640"/>
      <c r="L38" s="717"/>
      <c r="M38" s="717"/>
      <c r="N38" s="2412">
        <v>4.8488428300598034</v>
      </c>
      <c r="O38" s="2640"/>
      <c r="P38" s="718"/>
      <c r="Q38" s="718"/>
      <c r="R38" s="2412">
        <v>4.8488428300598034</v>
      </c>
      <c r="S38" s="2640"/>
      <c r="T38" s="718"/>
      <c r="U38" s="718"/>
      <c r="V38" s="2412">
        <v>3.296417632644268</v>
      </c>
      <c r="W38" s="2640"/>
      <c r="X38" s="717"/>
      <c r="Y38" s="717"/>
      <c r="Z38" s="429"/>
      <c r="AA38" s="429"/>
      <c r="AB38" s="2412">
        <v>4.9776283889238711</v>
      </c>
      <c r="AC38" s="2640"/>
      <c r="AD38" s="718"/>
      <c r="AE38" s="718"/>
      <c r="AF38" s="2412">
        <v>4.9425633893571002</v>
      </c>
      <c r="AG38" s="2640"/>
      <c r="AH38" s="718"/>
      <c r="AI38" s="718"/>
      <c r="AJ38" s="2412">
        <v>4.9222167669784733</v>
      </c>
      <c r="AK38" s="2640"/>
      <c r="AL38" s="717"/>
      <c r="AM38" s="717"/>
      <c r="AN38" s="718"/>
      <c r="AO38" s="718"/>
      <c r="AP38" s="2412">
        <v>4.9113326157484076</v>
      </c>
      <c r="AQ38" s="2640"/>
      <c r="AR38" s="718"/>
      <c r="AS38" s="718"/>
      <c r="AT38" s="2412">
        <v>5.014576285123912</v>
      </c>
      <c r="AU38" s="2640"/>
      <c r="AV38" s="718"/>
      <c r="AW38" s="718"/>
      <c r="AX38" s="2412">
        <v>4.8965562100329114</v>
      </c>
      <c r="AY38" s="2640"/>
      <c r="AZ38" s="717"/>
      <c r="BA38" s="717"/>
      <c r="BB38" s="429">
        <f t="shared" si="64"/>
        <v>0</v>
      </c>
      <c r="BC38" s="429">
        <f t="shared" si="65"/>
        <v>0</v>
      </c>
      <c r="BD38" s="718"/>
      <c r="BE38" s="718"/>
      <c r="BF38" s="110"/>
      <c r="BG38" s="110"/>
      <c r="BH38" s="110"/>
      <c r="BI38" s="110"/>
      <c r="BJ38" s="110"/>
    </row>
    <row r="39" spans="2:62" x14ac:dyDescent="0.3">
      <c r="B39" s="8" t="s">
        <v>82</v>
      </c>
      <c r="C39" s="2356" t="s">
        <v>323</v>
      </c>
      <c r="D39" s="2399">
        <f>D40*D$3*24</f>
        <v>6195.7270041868787</v>
      </c>
      <c r="E39" s="2443">
        <v>6844.7</v>
      </c>
      <c r="F39" s="2399">
        <f>F40*F$3*24</f>
        <v>5489.041588654829</v>
      </c>
      <c r="G39" s="2443">
        <v>2889.43</v>
      </c>
      <c r="H39" s="2349">
        <f t="shared" si="45"/>
        <v>11684.768592841709</v>
      </c>
      <c r="I39" s="35">
        <f t="shared" si="45"/>
        <v>9734.1299999999992</v>
      </c>
      <c r="J39" s="2399">
        <f>J40*J$3*24</f>
        <v>8109.7939591241648</v>
      </c>
      <c r="K39" s="2443">
        <v>7701.5</v>
      </c>
      <c r="L39" s="717">
        <f t="shared" si="46"/>
        <v>19794.562551965872</v>
      </c>
      <c r="M39" s="717">
        <f t="shared" si="47"/>
        <v>17435.629999999997</v>
      </c>
      <c r="N39" s="2399">
        <f>N40*N$3*24</f>
        <v>8205.087216457161</v>
      </c>
      <c r="O39" s="2443">
        <v>8067.8305913891072</v>
      </c>
      <c r="P39" s="718">
        <f t="shared" si="48"/>
        <v>27999.649768423034</v>
      </c>
      <c r="Q39" s="718">
        <f t="shared" si="49"/>
        <v>25503.460591389106</v>
      </c>
      <c r="R39" s="2399">
        <f>R40*R$3*24</f>
        <v>8205.087216457161</v>
      </c>
      <c r="S39" s="2443">
        <v>7482.4085327874436</v>
      </c>
      <c r="T39" s="718">
        <f t="shared" ref="T39" si="214">+P39+R39</f>
        <v>36204.736984880197</v>
      </c>
      <c r="U39" s="718">
        <f t="shared" ref="U39" si="215">+Q39+S39</f>
        <v>32985.869124176548</v>
      </c>
      <c r="V39" s="2399">
        <f>V40*V$3*24</f>
        <v>4351.3937358507546</v>
      </c>
      <c r="W39" s="2443">
        <v>7557.59</v>
      </c>
      <c r="X39" s="717">
        <f t="shared" si="70"/>
        <v>20761.568168765079</v>
      </c>
      <c r="Y39" s="717">
        <f t="shared" si="71"/>
        <v>23107.829124176551</v>
      </c>
      <c r="Z39" s="429">
        <f t="shared" si="52"/>
        <v>40556.130720730951</v>
      </c>
      <c r="AA39" s="429">
        <f t="shared" si="53"/>
        <v>40543.459124176545</v>
      </c>
      <c r="AB39" s="2399">
        <f>AB40*AB$3*24</f>
        <v>8345.6234277820495</v>
      </c>
      <c r="AC39" s="2443">
        <v>6184.99</v>
      </c>
      <c r="AD39" s="718">
        <f t="shared" ref="AD39" si="216">+Z39+AB39</f>
        <v>48901.754148512999</v>
      </c>
      <c r="AE39" s="718">
        <f t="shared" ref="AE39" si="217">+AA39+AC39</f>
        <v>46728.449124176543</v>
      </c>
      <c r="AF39" s="2399">
        <f>AF40*AF$3*24</f>
        <v>8091.5080748940563</v>
      </c>
      <c r="AG39" s="2443">
        <v>6738.75</v>
      </c>
      <c r="AH39" s="718">
        <f t="shared" ref="AH39" si="218">+AD39+AF39</f>
        <v>56993.262223407059</v>
      </c>
      <c r="AI39" s="718">
        <f t="shared" ref="AI39" si="219">+AE39+AG39</f>
        <v>53467.199124176543</v>
      </c>
      <c r="AJ39" s="2399">
        <f>AJ40*AJ$3*24</f>
        <v>8345.6234277820495</v>
      </c>
      <c r="AK39" s="2443">
        <v>6418.0534321389423</v>
      </c>
      <c r="AL39" s="717">
        <f t="shared" ref="AL39" si="220">+AJ39+AF39+AB39</f>
        <v>24782.754930458155</v>
      </c>
      <c r="AM39" s="717">
        <f t="shared" ref="AM39" si="221">+AK39+AG39+AC39</f>
        <v>19341.79343213894</v>
      </c>
      <c r="AN39" s="718">
        <f t="shared" ref="AN39" si="222">+AH39+AJ39</f>
        <v>65338.885651189106</v>
      </c>
      <c r="AO39" s="718">
        <f t="shared" ref="AO39" si="223">+AI39+AK39</f>
        <v>59885.252556315485</v>
      </c>
      <c r="AP39" s="2399">
        <f>AP40*AP$3*24</f>
        <v>8454.3952199959422</v>
      </c>
      <c r="AQ39" s="2443">
        <v>7151.15</v>
      </c>
      <c r="AR39" s="718">
        <f t="shared" ref="AR39" si="224">+AN39+AP39</f>
        <v>73793.280871185052</v>
      </c>
      <c r="AS39" s="718">
        <f t="shared" ref="AS39" si="225">+AO39+AQ39</f>
        <v>67036.402556315486</v>
      </c>
      <c r="AT39" s="2399">
        <f>AT40*AT$3*24</f>
        <v>7564.9914848879571</v>
      </c>
      <c r="AU39" s="2443">
        <v>6408.73</v>
      </c>
      <c r="AV39" s="718">
        <f t="shared" ref="AV39" si="226">+AR39+AT39</f>
        <v>81358.272356073008</v>
      </c>
      <c r="AW39" s="718">
        <f t="shared" ref="AW39" si="227">+AS39+AU39</f>
        <v>73445.132556315482</v>
      </c>
      <c r="AX39" s="2399">
        <f>AX40*AX$3*24</f>
        <v>8454.3952199959422</v>
      </c>
      <c r="AY39" s="2443">
        <v>7097.34</v>
      </c>
      <c r="AZ39" s="717">
        <f t="shared" ref="AZ39" si="228">+AX39+AT39+AP39</f>
        <v>24473.781924879841</v>
      </c>
      <c r="BA39" s="717">
        <f t="shared" ref="BA39" si="229">+AY39+AU39+AQ39</f>
        <v>20657.22</v>
      </c>
      <c r="BB39" s="429">
        <f t="shared" si="64"/>
        <v>49256.536855337996</v>
      </c>
      <c r="BC39" s="429">
        <f t="shared" si="65"/>
        <v>39999.013432138941</v>
      </c>
      <c r="BD39" s="718">
        <f t="shared" ref="BD39" si="230">+AV39+AX39</f>
        <v>89812.667576068954</v>
      </c>
      <c r="BE39" s="718">
        <f t="shared" ref="BE39" si="231">+AW39+AY39</f>
        <v>80542.472556315479</v>
      </c>
      <c r="BF39" s="110"/>
      <c r="BG39" s="110"/>
      <c r="BH39" s="110"/>
      <c r="BI39" s="110"/>
      <c r="BJ39" s="110"/>
    </row>
    <row r="40" spans="2:62" ht="15" hidden="1" customHeight="1" x14ac:dyDescent="0.3">
      <c r="B40" s="8"/>
      <c r="C40" s="2356"/>
      <c r="D40" s="2412">
        <v>8.6051763947039976</v>
      </c>
      <c r="E40" s="2640"/>
      <c r="F40" s="2412">
        <v>7.3777440707726196</v>
      </c>
      <c r="G40" s="2640"/>
      <c r="H40" s="2349"/>
      <c r="I40" s="35"/>
      <c r="J40" s="2412">
        <v>11.263602721005784</v>
      </c>
      <c r="K40" s="2640"/>
      <c r="L40" s="717"/>
      <c r="M40" s="717"/>
      <c r="N40" s="2412">
        <v>11.028343032872529</v>
      </c>
      <c r="O40" s="2640"/>
      <c r="P40" s="718"/>
      <c r="Q40" s="718"/>
      <c r="R40" s="2412">
        <v>11.028343032872529</v>
      </c>
      <c r="S40" s="2640"/>
      <c r="T40" s="718"/>
      <c r="U40" s="718"/>
      <c r="V40" s="2412">
        <v>6.0436024109038264</v>
      </c>
      <c r="W40" s="2640"/>
      <c r="X40" s="717"/>
      <c r="Y40" s="717"/>
      <c r="Z40" s="429"/>
      <c r="AA40" s="429"/>
      <c r="AB40" s="2412">
        <v>11.217235790029637</v>
      </c>
      <c r="AC40" s="2640"/>
      <c r="AD40" s="718"/>
      <c r="AE40" s="718"/>
      <c r="AF40" s="2412">
        <v>11.238205659575078</v>
      </c>
      <c r="AG40" s="2640"/>
      <c r="AH40" s="718"/>
      <c r="AI40" s="718"/>
      <c r="AJ40" s="2412">
        <v>11.217235790029637</v>
      </c>
      <c r="AK40" s="2640"/>
      <c r="AL40" s="717"/>
      <c r="AM40" s="717"/>
      <c r="AN40" s="718"/>
      <c r="AO40" s="718"/>
      <c r="AP40" s="2412">
        <v>11.363434435478418</v>
      </c>
      <c r="AQ40" s="2640"/>
      <c r="AR40" s="718"/>
      <c r="AS40" s="718"/>
      <c r="AT40" s="2412">
        <v>11.257427804892794</v>
      </c>
      <c r="AU40" s="2640"/>
      <c r="AV40" s="718"/>
      <c r="AW40" s="718"/>
      <c r="AX40" s="2412">
        <v>11.363434435478418</v>
      </c>
      <c r="AY40" s="2640"/>
      <c r="AZ40" s="717"/>
      <c r="BA40" s="717"/>
      <c r="BB40" s="429">
        <f t="shared" si="64"/>
        <v>0</v>
      </c>
      <c r="BC40" s="429">
        <f t="shared" si="65"/>
        <v>0</v>
      </c>
      <c r="BD40" s="718"/>
      <c r="BE40" s="718"/>
      <c r="BF40" s="110"/>
      <c r="BG40" s="110"/>
      <c r="BH40" s="110"/>
      <c r="BI40" s="110"/>
      <c r="BJ40" s="110"/>
    </row>
    <row r="41" spans="2:62" x14ac:dyDescent="0.3">
      <c r="B41" s="8" t="s">
        <v>60</v>
      </c>
      <c r="C41" s="2356" t="s">
        <v>323</v>
      </c>
      <c r="D41" s="2399">
        <f>D42*D$3*24</f>
        <v>966.50517604400875</v>
      </c>
      <c r="E41" s="2443">
        <v>1029.2</v>
      </c>
      <c r="F41" s="2399">
        <f>F42*F$3*24</f>
        <v>868.9253265395655</v>
      </c>
      <c r="G41" s="2443">
        <v>555.27</v>
      </c>
      <c r="H41" s="2349">
        <f t="shared" si="45"/>
        <v>1835.4305025835743</v>
      </c>
      <c r="I41" s="35">
        <f t="shared" si="45"/>
        <v>1584.47</v>
      </c>
      <c r="J41" s="2399">
        <f>J42*J$3*24</f>
        <v>1232.6908425284214</v>
      </c>
      <c r="K41" s="2443">
        <v>1055.6500000000005</v>
      </c>
      <c r="L41" s="717">
        <f t="shared" si="46"/>
        <v>3068.1213451119957</v>
      </c>
      <c r="M41" s="717">
        <f t="shared" si="47"/>
        <v>2640.1200000000008</v>
      </c>
      <c r="N41" s="2399">
        <f>N42*N$3*24</f>
        <v>1246.5767788757939</v>
      </c>
      <c r="O41" s="2443">
        <v>1085.1300000000003</v>
      </c>
      <c r="P41" s="718">
        <f t="shared" si="48"/>
        <v>4314.6981239877896</v>
      </c>
      <c r="Q41" s="718">
        <f t="shared" si="49"/>
        <v>3725.2500000000009</v>
      </c>
      <c r="R41" s="2399">
        <f>R42*R$3*24</f>
        <v>1246.5767788757939</v>
      </c>
      <c r="S41" s="2443">
        <v>1047.3599999999999</v>
      </c>
      <c r="T41" s="718">
        <f t="shared" ref="T41" si="232">+P41+R41</f>
        <v>5561.2749028635835</v>
      </c>
      <c r="U41" s="718">
        <f t="shared" ref="U41" si="233">+Q41+S41</f>
        <v>4772.6100000000006</v>
      </c>
      <c r="V41" s="2399">
        <f>V42*V$3*24</f>
        <v>687.77367648686129</v>
      </c>
      <c r="W41" s="2443">
        <v>1043.2</v>
      </c>
      <c r="X41" s="717">
        <f t="shared" si="70"/>
        <v>3180.9272342384493</v>
      </c>
      <c r="Y41" s="717">
        <f t="shared" si="71"/>
        <v>3175.6900000000005</v>
      </c>
      <c r="Z41" s="429">
        <f t="shared" si="52"/>
        <v>6249.0485793504449</v>
      </c>
      <c r="AA41" s="429">
        <f t="shared" si="53"/>
        <v>5815.8100000000013</v>
      </c>
      <c r="AB41" s="2399">
        <f>AB42*AB$3*24</f>
        <v>1269.7200061214151</v>
      </c>
      <c r="AC41" s="2443">
        <v>882.3</v>
      </c>
      <c r="AD41" s="718">
        <f t="shared" ref="AD41" si="234">+Z41+AB41</f>
        <v>7518.7685854718602</v>
      </c>
      <c r="AE41" s="718">
        <f t="shared" ref="AE41" si="235">+AA41+AC41</f>
        <v>6698.1100000000015</v>
      </c>
      <c r="AF41" s="2399">
        <f>AF42*AF$3*24</f>
        <v>1245.945280398244</v>
      </c>
      <c r="AG41" s="2443">
        <v>1009.4</v>
      </c>
      <c r="AH41" s="718">
        <f t="shared" ref="AH41" si="236">+AD41+AF41</f>
        <v>8764.7138658701042</v>
      </c>
      <c r="AI41" s="718">
        <f t="shared" ref="AI41" si="237">+AE41+AG41</f>
        <v>7707.5100000000011</v>
      </c>
      <c r="AJ41" s="2399">
        <f>AJ42*AJ$3*24</f>
        <v>1282.9744439912374</v>
      </c>
      <c r="AK41" s="2443">
        <v>1067.1600000000001</v>
      </c>
      <c r="AL41" s="717">
        <f t="shared" ref="AL41" si="238">+AJ41+AF41+AB41</f>
        <v>3798.6397305108967</v>
      </c>
      <c r="AM41" s="717">
        <f t="shared" ref="AM41" si="239">+AK41+AG41+AC41</f>
        <v>2958.8599999999997</v>
      </c>
      <c r="AN41" s="718">
        <f t="shared" ref="AN41" si="240">+AH41+AJ41</f>
        <v>10047.688309861342</v>
      </c>
      <c r="AO41" s="718">
        <f t="shared" ref="AO41" si="241">+AI41+AK41</f>
        <v>8774.6700000000019</v>
      </c>
      <c r="AP41" s="2399">
        <f>AP42*AP$3*24</f>
        <v>1288.2345879179118</v>
      </c>
      <c r="AQ41" s="2443">
        <v>1072.1300000000001</v>
      </c>
      <c r="AR41" s="718">
        <f t="shared" ref="AR41" si="242">+AN41+AP41</f>
        <v>11335.922897779254</v>
      </c>
      <c r="AS41" s="718">
        <f t="shared" ref="AS41" si="243">+AO41+AQ41</f>
        <v>9846.8000000000029</v>
      </c>
      <c r="AT41" s="2399">
        <f>AT42*AT$3*24</f>
        <v>1158.6325153424336</v>
      </c>
      <c r="AU41" s="2443">
        <v>950.14</v>
      </c>
      <c r="AV41" s="718">
        <f t="shared" ref="AV41" si="244">+AR41+AT41</f>
        <v>12494.555413121687</v>
      </c>
      <c r="AW41" s="718">
        <f t="shared" ref="AW41" si="245">+AS41+AU41</f>
        <v>10796.940000000002</v>
      </c>
      <c r="AX41" s="2399">
        <f>AX42*AX$3*24</f>
        <v>1288.2345879179118</v>
      </c>
      <c r="AY41" s="2443">
        <v>1039.5999999999999</v>
      </c>
      <c r="AZ41" s="717">
        <f t="shared" ref="AZ41" si="246">+AX41+AT41+AP41</f>
        <v>3735.1016911782572</v>
      </c>
      <c r="BA41" s="717">
        <f t="shared" ref="BA41" si="247">+AY41+AU41+AQ41</f>
        <v>3061.87</v>
      </c>
      <c r="BB41" s="429">
        <f t="shared" si="64"/>
        <v>7533.7414216891539</v>
      </c>
      <c r="BC41" s="429">
        <f t="shared" si="65"/>
        <v>6020.73</v>
      </c>
      <c r="BD41" s="718">
        <f t="shared" ref="BD41" si="248">+AV41+AX41</f>
        <v>13782.790001039599</v>
      </c>
      <c r="BE41" s="718">
        <f t="shared" ref="BE41" si="249">+AW41+AY41</f>
        <v>11836.540000000003</v>
      </c>
      <c r="BF41" s="110"/>
      <c r="BG41" s="110"/>
      <c r="BH41" s="110"/>
      <c r="BI41" s="110"/>
      <c r="BJ41" s="110"/>
    </row>
    <row r="42" spans="2:62" ht="15" hidden="1" customHeight="1" x14ac:dyDescent="0.3">
      <c r="B42" s="8"/>
      <c r="C42" s="2356"/>
      <c r="D42" s="2412">
        <v>1.3423683000611233</v>
      </c>
      <c r="E42" s="2640"/>
      <c r="F42" s="2412">
        <v>1.1679103851338246</v>
      </c>
      <c r="G42" s="2640"/>
      <c r="H42" s="2349"/>
      <c r="I42" s="35"/>
      <c r="J42" s="2412">
        <v>1.7120706146228075</v>
      </c>
      <c r="K42" s="2640"/>
      <c r="L42" s="717"/>
      <c r="M42" s="717"/>
      <c r="N42" s="2412">
        <v>1.6755064232201531</v>
      </c>
      <c r="O42" s="2640"/>
      <c r="P42" s="718"/>
      <c r="Q42" s="718"/>
      <c r="R42" s="2412">
        <v>1.6755064232201531</v>
      </c>
      <c r="S42" s="2640"/>
      <c r="T42" s="718"/>
      <c r="U42" s="718"/>
      <c r="V42" s="2412">
        <v>0.95524121734286294</v>
      </c>
      <c r="W42" s="2640"/>
      <c r="X42" s="717"/>
      <c r="Y42" s="717"/>
      <c r="Z42" s="429"/>
      <c r="AA42" s="429"/>
      <c r="AB42" s="2412">
        <v>1.7066129114535147</v>
      </c>
      <c r="AC42" s="2640"/>
      <c r="AD42" s="718"/>
      <c r="AE42" s="718"/>
      <c r="AF42" s="2412">
        <v>1.7304795561086721</v>
      </c>
      <c r="AG42" s="2640"/>
      <c r="AH42" s="718"/>
      <c r="AI42" s="718"/>
      <c r="AJ42" s="2412">
        <v>1.7244280161172545</v>
      </c>
      <c r="AK42" s="2640"/>
      <c r="AL42" s="717"/>
      <c r="AM42" s="717"/>
      <c r="AN42" s="718"/>
      <c r="AO42" s="718"/>
      <c r="AP42" s="2412">
        <v>1.731498102040204</v>
      </c>
      <c r="AQ42" s="2640"/>
      <c r="AR42" s="718"/>
      <c r="AS42" s="718"/>
      <c r="AT42" s="2412">
        <v>1.7241555287833832</v>
      </c>
      <c r="AU42" s="2640"/>
      <c r="AV42" s="718"/>
      <c r="AW42" s="718"/>
      <c r="AX42" s="2412">
        <v>1.731498102040204</v>
      </c>
      <c r="AY42" s="2640"/>
      <c r="AZ42" s="717"/>
      <c r="BA42" s="717"/>
      <c r="BB42" s="429"/>
      <c r="BC42" s="429"/>
      <c r="BD42" s="718"/>
      <c r="BE42" s="718"/>
      <c r="BF42" s="110"/>
      <c r="BG42" s="110"/>
      <c r="BH42" s="110"/>
      <c r="BI42" s="110"/>
      <c r="BJ42" s="110"/>
    </row>
    <row r="43" spans="2:62" ht="16.2" thickBot="1" x14ac:dyDescent="0.35">
      <c r="B43" s="2096" t="s">
        <v>61</v>
      </c>
      <c r="C43" s="2553" t="s">
        <v>323</v>
      </c>
      <c r="D43" s="2098">
        <f>D21+D23+D25+D27+D29+D31+D33+D35+D37+D39+D41</f>
        <v>46138.535939999994</v>
      </c>
      <c r="E43" s="2098">
        <f>E21+E23+E25+E27+E29+E31+E33+E35+E37+E39+E41</f>
        <v>44373.189999999995</v>
      </c>
      <c r="F43" s="2098">
        <f>F21+F23+F25+F27+F29+F31+F33+F35+F37+F39+F41</f>
        <v>47488.836508900007</v>
      </c>
      <c r="G43" s="2098">
        <f>G21+G23+G25+G27+G29+G31+G33+G35+G37+G39+G41</f>
        <v>39120.43</v>
      </c>
      <c r="H43" s="2084">
        <f t="shared" ref="H43" si="250">+D43+F43</f>
        <v>93627.372448900001</v>
      </c>
      <c r="I43" s="1772">
        <f t="shared" ref="I43" si="251">+E43+G43</f>
        <v>83493.62</v>
      </c>
      <c r="J43" s="2098" t="e">
        <f>J21+J23+J25+#REF!+J27+J29+J31+J33+J35+J37+J39+J41</f>
        <v>#REF!</v>
      </c>
      <c r="K43" s="2098" t="e">
        <f>K21+K23+K25+#REF!+K27+K29+K31+K33+K35+K37+K39+K41</f>
        <v>#REF!</v>
      </c>
      <c r="L43" s="734">
        <f>SUM(L21:L41)</f>
        <v>139584.89384889998</v>
      </c>
      <c r="M43" s="734">
        <f>SUM(M21:M41)</f>
        <v>126818.90416410848</v>
      </c>
      <c r="N43" s="2098" t="e">
        <f>N21+N23+N25+#REF!+N27+N29+N31+N33+N35+N37+N39+N41</f>
        <v>#REF!</v>
      </c>
      <c r="O43" s="2098" t="e">
        <f>O21+O23+O25+#REF!+O27+O29+O31+O33+O35+O37+O39+O41</f>
        <v>#REF!</v>
      </c>
      <c r="P43" s="231">
        <f>SUM(P21:P41)</f>
        <v>187074.33262890001</v>
      </c>
      <c r="Q43" s="231">
        <f>SUM(Q21:Q41)</f>
        <v>171473.2647554976</v>
      </c>
      <c r="R43" s="2098" t="e">
        <f>R21+R23+R25+#REF!+R27+R29+R31+R33+R35+R37+R39+R41</f>
        <v>#REF!</v>
      </c>
      <c r="S43" s="2098" t="e">
        <f>S21+S23+S25+#REF!+S27+S29+S31+S33+S35+S37+S39+S41</f>
        <v>#REF!</v>
      </c>
      <c r="T43" s="231">
        <f>SUM(T21:T41)</f>
        <v>234563.77140890001</v>
      </c>
      <c r="U43" s="231">
        <f>SUM(U21:U41)</f>
        <v>215723.32515665807</v>
      </c>
      <c r="V43" s="2098" t="e">
        <f>V21+V23+V25+#REF!+V27+V29+V31+V33+V35+V37+V39+V41</f>
        <v>#REF!</v>
      </c>
      <c r="W43" s="2098" t="e">
        <f>W21+W23+W25+#REF!+W27+W29+W31+W33+W35+W37+W39+W41</f>
        <v>#REF!</v>
      </c>
      <c r="X43" s="734">
        <f>SUM(X21:X41)</f>
        <v>139204.88989000002</v>
      </c>
      <c r="Y43" s="734">
        <f>SUM(Y21:Y41)</f>
        <v>132113.5209925496</v>
      </c>
      <c r="Z43" s="482">
        <f>SUM(Z21:Z41)</f>
        <v>278789.78373890003</v>
      </c>
      <c r="AA43" s="482">
        <f>SUM(AA21:AA41)</f>
        <v>258932.42515665805</v>
      </c>
      <c r="AB43" s="2098" t="e">
        <f>AB21+AB23+AB25+#REF!+AB27+AB29+AB31+AB33+AB35+AB37+AB39+AB41</f>
        <v>#REF!</v>
      </c>
      <c r="AC43" s="2098" t="e">
        <f>AC21+AC23+AC25+#REF!+AC27+AC29+AC31+AC33+AC35+AC37+AC39+AC41</f>
        <v>#REF!</v>
      </c>
      <c r="AD43" s="231">
        <f>SUM(AD21:AD41)</f>
        <v>326279.2225189</v>
      </c>
      <c r="AE43" s="231">
        <f>SUM(AE21:AE41)</f>
        <v>301136.38515665801</v>
      </c>
      <c r="AF43" s="2098" t="e">
        <f>AF21+AF23+AF25+#REF!+AF27+AF29+AF31+AF33+AF35+AF37+AF39+AF41</f>
        <v>#REF!</v>
      </c>
      <c r="AG43" s="2098" t="e">
        <f>AG21+AG23+AG25+#REF!+AG27+AG29+AG31+AG33+AG35+AG37+AG39+AG41</f>
        <v>#REF!</v>
      </c>
      <c r="AH43" s="231">
        <f>SUM(AH21:AH41)</f>
        <v>372236.74391890003</v>
      </c>
      <c r="AI43" s="231">
        <f>SUM(AI21:AI41)</f>
        <v>343882.62515665806</v>
      </c>
      <c r="AJ43" s="2098" t="e">
        <f>AJ21+AJ23+AJ25+#REF!+AJ27+AJ29+AJ31+AJ33+AJ35+AJ37+AJ39+AJ41</f>
        <v>#REF!</v>
      </c>
      <c r="AK43" s="2098" t="e">
        <f>AK21+AK23+AK25+#REF!+AK27+AK29+AK31+AK33+AK35+AK37+AK39+AK41</f>
        <v>#REF!</v>
      </c>
      <c r="AL43" s="734">
        <f>SUM(AL21:AL41)</f>
        <v>140936.39895999996</v>
      </c>
      <c r="AM43" s="734">
        <f>SUM(AM21:AM41)</f>
        <v>128275.04443213895</v>
      </c>
      <c r="AN43" s="231">
        <f>SUM(AN21:AN41)</f>
        <v>419726.1826989</v>
      </c>
      <c r="AO43" s="231">
        <f>SUM(AO21:AO41)</f>
        <v>387207.46958879702</v>
      </c>
      <c r="AP43" s="2098" t="e">
        <f>AP21+AP23+AP25+#REF!+AP27+AP29+AP31+AP33+AP35+AP37+AP39+AP41</f>
        <v>#REF!</v>
      </c>
      <c r="AQ43" s="2098" t="e">
        <f>AQ21+AQ23+AQ25+#REF!+AQ27+AQ29+AQ31+AQ33+AQ35+AQ37+AQ39+AQ41</f>
        <v>#REF!</v>
      </c>
      <c r="AR43" s="231">
        <f>SUM(AR21:AR41)</f>
        <v>467215.62147889991</v>
      </c>
      <c r="AS43" s="231">
        <f>SUM(AS21:AS41)</f>
        <v>429808.329588797</v>
      </c>
      <c r="AT43" s="2098" t="e">
        <f>AT21+AT23+AT25+#REF!+AT27+AT29+AT31+AT33+AT35+AT37+AT39+AT41</f>
        <v>#REF!</v>
      </c>
      <c r="AU43" s="2098" t="e">
        <f>AU21+AU23+AU25+#REF!+AU27+AU29+AU31+AU33+AU35+AU37+AU39+AU41</f>
        <v>#REF!</v>
      </c>
      <c r="AV43" s="231">
        <f>SUM(AV21:AV41)</f>
        <v>510109.30811890005</v>
      </c>
      <c r="AW43" s="231">
        <f>SUM(AW21:AW41)</f>
        <v>468711.14958879695</v>
      </c>
      <c r="AX43" s="2098" t="e">
        <f>AX21+AX23+AX25+#REF!+AX27+AX29+AX31+AX33+AX35+AX37+AX39+AX41</f>
        <v>#REF!</v>
      </c>
      <c r="AY43" s="2098" t="e">
        <f>AY21+AY23+AY25+#REF!+AY27+AY29+AY31+AY33+AY35+AY37+AY39+AY41</f>
        <v>#REF!</v>
      </c>
      <c r="AZ43" s="734">
        <f t="shared" ref="AZ43:BE43" si="252">SUM(AZ21:AZ41)</f>
        <v>137872.56419999999</v>
      </c>
      <c r="BA43" s="734">
        <f t="shared" si="252"/>
        <v>126807.63999999997</v>
      </c>
      <c r="BB43" s="482">
        <f t="shared" si="252"/>
        <v>278808.96315999993</v>
      </c>
      <c r="BC43" s="482">
        <f t="shared" si="252"/>
        <v>255082.68443213895</v>
      </c>
      <c r="BD43" s="231">
        <f t="shared" si="252"/>
        <v>557598.74689890002</v>
      </c>
      <c r="BE43" s="231">
        <f t="shared" si="252"/>
        <v>514015.10958879691</v>
      </c>
      <c r="BF43" s="110"/>
      <c r="BG43" s="110"/>
      <c r="BH43" s="110"/>
      <c r="BI43" s="110"/>
      <c r="BJ43" s="110"/>
    </row>
    <row r="44" spans="2:62" ht="20.399999999999999" x14ac:dyDescent="0.3">
      <c r="B44" s="2664" t="s">
        <v>126</v>
      </c>
      <c r="C44" s="2665"/>
      <c r="D44" s="2666"/>
      <c r="E44" s="2665"/>
      <c r="F44" s="2666"/>
      <c r="G44" s="2665"/>
      <c r="H44" s="2665"/>
      <c r="I44" s="2667"/>
      <c r="J44" s="2666"/>
      <c r="K44" s="2665"/>
      <c r="L44" s="927"/>
      <c r="M44" s="927"/>
      <c r="N44" s="2666"/>
      <c r="O44" s="2665"/>
      <c r="P44" s="927"/>
      <c r="Q44" s="927"/>
      <c r="R44" s="2666"/>
      <c r="S44" s="2665"/>
      <c r="T44" s="927"/>
      <c r="U44" s="927"/>
      <c r="V44" s="2666"/>
      <c r="W44" s="2665"/>
      <c r="X44" s="927"/>
      <c r="Y44" s="927"/>
      <c r="Z44" s="927"/>
      <c r="AA44" s="927"/>
      <c r="AB44" s="2666"/>
      <c r="AC44" s="2665"/>
      <c r="AD44" s="927"/>
      <c r="AE44" s="927"/>
      <c r="AF44" s="2666"/>
      <c r="AG44" s="2665"/>
      <c r="AH44" s="927"/>
      <c r="AI44" s="927"/>
      <c r="AJ44" s="2666"/>
      <c r="AK44" s="2665"/>
      <c r="AL44" s="927"/>
      <c r="AM44" s="927"/>
      <c r="AN44" s="927"/>
      <c r="AO44" s="927"/>
      <c r="AP44" s="2666"/>
      <c r="AQ44" s="2665"/>
      <c r="AR44" s="927"/>
      <c r="AS44" s="927"/>
      <c r="AT44" s="2666"/>
      <c r="AU44" s="2665"/>
      <c r="AV44" s="927"/>
      <c r="AW44" s="927"/>
      <c r="AX44" s="2666"/>
      <c r="AY44" s="2665"/>
      <c r="AZ44" s="927"/>
      <c r="BA44" s="927"/>
      <c r="BB44" s="927"/>
      <c r="BC44" s="927"/>
      <c r="BD44" s="927"/>
      <c r="BE44" s="927"/>
      <c r="BF44" s="110"/>
      <c r="BG44" s="110"/>
      <c r="BH44" s="110"/>
      <c r="BI44" s="110"/>
      <c r="BJ44" s="110"/>
    </row>
    <row r="45" spans="2:62" x14ac:dyDescent="0.3">
      <c r="B45" s="2631" t="s">
        <v>327</v>
      </c>
      <c r="C45" s="2356" t="s">
        <v>326</v>
      </c>
      <c r="D45" s="2648">
        <v>880</v>
      </c>
      <c r="E45" s="2348">
        <v>902.11</v>
      </c>
      <c r="F45" s="2648">
        <v>880</v>
      </c>
      <c r="G45" s="2348">
        <v>905.31</v>
      </c>
      <c r="H45" s="2668">
        <v>880</v>
      </c>
      <c r="I45" s="35">
        <f>+((E45*E49*E3)+(G3*G49*G45))/(I49*I3)</f>
        <v>903.23803730368331</v>
      </c>
      <c r="J45" s="2648">
        <v>880</v>
      </c>
      <c r="K45" s="2348">
        <v>917.31854372983719</v>
      </c>
      <c r="L45" s="873">
        <v>880</v>
      </c>
      <c r="M45" s="717">
        <f>+((I45*I49*I3)+(K3*K49*K45))/(M49*M3)</f>
        <v>908.96504749623034</v>
      </c>
      <c r="N45" s="2648">
        <v>880</v>
      </c>
      <c r="O45" s="2348">
        <v>912.75170296611168</v>
      </c>
      <c r="P45" s="547">
        <v>880</v>
      </c>
      <c r="Q45" s="718">
        <f>+((M45*M49*M3)+(O3*O49*O45))/(Q49*Q3)</f>
        <v>910.09693461143411</v>
      </c>
      <c r="R45" s="2648">
        <v>880</v>
      </c>
      <c r="S45" s="2348">
        <v>916.48533097577422</v>
      </c>
      <c r="T45" s="547">
        <v>880</v>
      </c>
      <c r="U45" s="718">
        <f>+((Q45*Q49*Q3)+(S3*S49*S45))/(U49*U3)</f>
        <v>911.52280709914487</v>
      </c>
      <c r="V45" s="2648">
        <v>880</v>
      </c>
      <c r="W45" s="2348">
        <v>917.97</v>
      </c>
      <c r="X45" s="873">
        <v>880</v>
      </c>
      <c r="Y45" s="717">
        <f>+((O45*O49*O3)+(S45*S49*S3)+(W3*W49*W45))/(Y49*Y3)</f>
        <v>915.68271803992684</v>
      </c>
      <c r="Z45" s="429">
        <v>880</v>
      </c>
      <c r="AA45" s="429">
        <f>+((M45*M49*M3)+(Y3*Y49*Y45))/(AA49*AA3)</f>
        <v>912.68206567319066</v>
      </c>
      <c r="AB45" s="2648">
        <v>880</v>
      </c>
      <c r="AC45" s="2348">
        <v>918.08</v>
      </c>
      <c r="AD45" s="547">
        <v>880</v>
      </c>
      <c r="AE45" s="718">
        <f>+((AA45*AA49*AA3)+(AC3*AC49*AC45))/(AE49*AE3)</f>
        <v>913.39705982500323</v>
      </c>
      <c r="AF45" s="2648">
        <v>880</v>
      </c>
      <c r="AG45" s="2348">
        <v>918.94</v>
      </c>
      <c r="AH45" s="547">
        <v>880</v>
      </c>
      <c r="AI45" s="718">
        <f>+((AE45*AE49*AE3)+(AG3*AG49*AG45))/(AI49*AI3)</f>
        <v>914.11837743242097</v>
      </c>
      <c r="AJ45" s="2648">
        <v>880</v>
      </c>
      <c r="AK45" s="2348">
        <v>920.70876709190111</v>
      </c>
      <c r="AL45" s="873">
        <v>880</v>
      </c>
      <c r="AM45" s="717">
        <f>+((AC45*AC49*AC3)+(AG45*AG49*AG3)+(AK3*AK49*AK45))/(AM49*AM3)</f>
        <v>919.31388092308191</v>
      </c>
      <c r="AN45" s="547">
        <v>880</v>
      </c>
      <c r="AO45" s="718">
        <f>+((AI45*AI49*AI3)+(AK3*AK49*AK45))/(AO49*AO3)</f>
        <v>914.91145573115796</v>
      </c>
      <c r="AP45" s="2648">
        <v>880</v>
      </c>
      <c r="AQ45" s="2348">
        <v>914.9</v>
      </c>
      <c r="AR45" s="547">
        <v>880</v>
      </c>
      <c r="AS45" s="718">
        <f>+((AO45*AO49*AO3)+(AQ3*AQ49*AQ45))/(AS49*AS3)</f>
        <v>914.91022160799923</v>
      </c>
      <c r="AT45" s="2648">
        <v>880</v>
      </c>
      <c r="AU45" s="2348">
        <v>881.55</v>
      </c>
      <c r="AV45" s="547">
        <v>880</v>
      </c>
      <c r="AW45" s="718">
        <f>+((AS45*AS49*AS3)+(AU3*AU49*AU45))/(AW49*AW3)</f>
        <v>911.98101326723122</v>
      </c>
      <c r="AX45" s="2648">
        <v>880</v>
      </c>
      <c r="AY45" s="2348">
        <v>896.25</v>
      </c>
      <c r="AZ45" s="873">
        <v>880</v>
      </c>
      <c r="BA45" s="717">
        <f>+((AQ45*AQ49*AQ3)+(AU45*AU49*AU3)+(AY3*AY49*AY45))/(BA49*BA3)</f>
        <v>898.17189277526677</v>
      </c>
      <c r="BB45" s="429">
        <v>880</v>
      </c>
      <c r="BC45" s="429">
        <f>+((AM45*AM49*AM3)+(BA3*BA49*BA45))/(BC49*BC3)</f>
        <v>908.58302098800482</v>
      </c>
      <c r="BD45" s="547">
        <v>880</v>
      </c>
      <c r="BE45" s="718">
        <f>+((AW45*AW49*AW3)+(AY3*AY49*AY45))/(BE49*BE3)</f>
        <v>910.60389468756966</v>
      </c>
      <c r="BF45" s="110"/>
      <c r="BG45" s="110"/>
      <c r="BH45" s="110"/>
      <c r="BI45" s="110"/>
      <c r="BJ45" s="110"/>
    </row>
    <row r="46" spans="2:62" x14ac:dyDescent="0.3">
      <c r="B46" s="2631" t="s">
        <v>333</v>
      </c>
      <c r="C46" s="2356" t="s">
        <v>323</v>
      </c>
      <c r="D46" s="2399">
        <f>D47*D$3*24</f>
        <v>315120</v>
      </c>
      <c r="E46" s="2348">
        <v>363942.08</v>
      </c>
      <c r="F46" s="2399">
        <f>F47*F$3*24</f>
        <v>283305</v>
      </c>
      <c r="G46" s="2348">
        <v>198140.75</v>
      </c>
      <c r="H46" s="2349">
        <f>+D46+F46</f>
        <v>598425</v>
      </c>
      <c r="I46" s="35">
        <f>+E46+G46</f>
        <v>562082.83000000007</v>
      </c>
      <c r="J46" s="2399">
        <f>J47*J$3*24</f>
        <v>388080</v>
      </c>
      <c r="K46" s="2348">
        <v>385354.10879999999</v>
      </c>
      <c r="L46" s="717">
        <f>+H46+J46</f>
        <v>986505</v>
      </c>
      <c r="M46" s="717">
        <f>+I46+K46</f>
        <v>947436.93880000012</v>
      </c>
      <c r="N46" s="2399">
        <f>N47*N$3*24</f>
        <v>397800</v>
      </c>
      <c r="O46" s="2348">
        <v>403949.24160000007</v>
      </c>
      <c r="P46" s="718">
        <f>+L46+N46</f>
        <v>1384305</v>
      </c>
      <c r="Q46" s="718">
        <f>+M46+O46</f>
        <v>1351386.1804000002</v>
      </c>
      <c r="R46" s="2399">
        <f>R47*R$3*24</f>
        <v>395250</v>
      </c>
      <c r="S46" s="2348">
        <v>388291.20479999995</v>
      </c>
      <c r="T46" s="718">
        <f>+P46+R46</f>
        <v>1779555</v>
      </c>
      <c r="U46" s="718">
        <f>+Q46+S46</f>
        <v>1739677.3852000001</v>
      </c>
      <c r="V46" s="2399">
        <f>V47*V$3*24</f>
        <v>217000</v>
      </c>
      <c r="W46" s="2348">
        <v>381384.45</v>
      </c>
      <c r="X46" s="717">
        <f>+V46+R46+N46</f>
        <v>1010050</v>
      </c>
      <c r="Y46" s="717">
        <f>+W46+S46+O46</f>
        <v>1173624.8964</v>
      </c>
      <c r="Z46" s="429">
        <f>+L46+X46</f>
        <v>1996555</v>
      </c>
      <c r="AA46" s="429">
        <f>+Y46+M46</f>
        <v>2121061.8352000001</v>
      </c>
      <c r="AB46" s="2399">
        <f>AB47*AB$3*24</f>
        <v>400400.00000000006</v>
      </c>
      <c r="AC46" s="2348">
        <v>323845.01</v>
      </c>
      <c r="AD46" s="718">
        <f>+Z46+AB46</f>
        <v>2396955</v>
      </c>
      <c r="AE46" s="718">
        <f>+AA46+AC46</f>
        <v>2444906.8452000003</v>
      </c>
      <c r="AF46" s="2399">
        <f>AF47*AF$3*24</f>
        <v>388080</v>
      </c>
      <c r="AG46" s="2348">
        <v>365759.52</v>
      </c>
      <c r="AH46" s="718">
        <f>+AD46+AF46</f>
        <v>2785035</v>
      </c>
      <c r="AI46" s="718">
        <f>+AE46+AG46</f>
        <v>2810666.3652000003</v>
      </c>
      <c r="AJ46" s="2399">
        <f>AJ47*AJ$3*24</f>
        <v>400400.00000000006</v>
      </c>
      <c r="AK46" s="2348">
        <v>384502.11840000004</v>
      </c>
      <c r="AL46" s="717">
        <f>+AJ46+AF46+AB46</f>
        <v>1188880</v>
      </c>
      <c r="AM46" s="717">
        <f>+AK46+AG46+AC46</f>
        <v>1074106.6484000001</v>
      </c>
      <c r="AN46" s="718">
        <f>+AH46+AJ46</f>
        <v>3185435</v>
      </c>
      <c r="AO46" s="718">
        <f>+AI46+AK46</f>
        <v>3195168.4836000004</v>
      </c>
      <c r="AP46" s="2399">
        <f>AP47*AP$3*24</f>
        <v>401280</v>
      </c>
      <c r="AQ46" s="2348">
        <v>385774.08000000002</v>
      </c>
      <c r="AR46" s="718">
        <f>+AN46+AP46</f>
        <v>3586715</v>
      </c>
      <c r="AS46" s="718">
        <f>+AO46+AQ46</f>
        <v>3580942.5636000005</v>
      </c>
      <c r="AT46" s="2399">
        <f>AT47*AT$3*24</f>
        <v>362260</v>
      </c>
      <c r="AU46" s="2348">
        <v>344692</v>
      </c>
      <c r="AV46" s="718">
        <f>+AR46+AT46</f>
        <v>3948975</v>
      </c>
      <c r="AW46" s="718">
        <f>+AS46+AU46</f>
        <v>3925634.5636000005</v>
      </c>
      <c r="AX46" s="2399">
        <f>AX47*AX$3*24</f>
        <v>401280</v>
      </c>
      <c r="AY46" s="2348">
        <v>376627</v>
      </c>
      <c r="AZ46" s="717">
        <f>+AX46+AT46+AP46</f>
        <v>1164820</v>
      </c>
      <c r="BA46" s="717">
        <f>+AY46+AU46+AQ46</f>
        <v>1107093.08</v>
      </c>
      <c r="BB46" s="429">
        <f t="shared" ref="BB46" si="253">+AL46+AZ46</f>
        <v>2353700</v>
      </c>
      <c r="BC46" s="429">
        <f t="shared" ref="BC46" si="254">+AM46+BA46</f>
        <v>2181199.7284000004</v>
      </c>
      <c r="BD46" s="718">
        <f>+AV46+AX46</f>
        <v>4350255</v>
      </c>
      <c r="BE46" s="718">
        <f>+AW46+AY46</f>
        <v>4302261.5636</v>
      </c>
      <c r="BF46" s="110"/>
      <c r="BG46" s="110"/>
      <c r="BH46" s="110"/>
      <c r="BI46" s="110"/>
      <c r="BJ46" s="110"/>
    </row>
    <row r="47" spans="2:62" ht="15" hidden="1" customHeight="1" x14ac:dyDescent="0.3">
      <c r="B47" s="2631"/>
      <c r="C47" s="2356"/>
      <c r="D47" s="2399">
        <v>437.66666666666669</v>
      </c>
      <c r="E47" s="2348"/>
      <c r="F47" s="2399">
        <v>380.78629032258067</v>
      </c>
      <c r="G47" s="2348"/>
      <c r="H47" s="2349"/>
      <c r="I47" s="35"/>
      <c r="J47" s="2399">
        <v>539</v>
      </c>
      <c r="K47" s="2348"/>
      <c r="L47" s="717"/>
      <c r="M47" s="717"/>
      <c r="N47" s="2399">
        <v>534.67741935483866</v>
      </c>
      <c r="O47" s="2348"/>
      <c r="P47" s="718"/>
      <c r="Q47" s="718"/>
      <c r="R47" s="2399">
        <v>531.25</v>
      </c>
      <c r="S47" s="2348"/>
      <c r="T47" s="718"/>
      <c r="U47" s="718"/>
      <c r="V47" s="2399">
        <v>301.38888888888886</v>
      </c>
      <c r="W47" s="2348"/>
      <c r="X47" s="717"/>
      <c r="Y47" s="717"/>
      <c r="Z47" s="429"/>
      <c r="AA47" s="429"/>
      <c r="AB47" s="2399">
        <v>538.17204301075276</v>
      </c>
      <c r="AC47" s="2348"/>
      <c r="AD47" s="718"/>
      <c r="AE47" s="718"/>
      <c r="AF47" s="2399">
        <v>539</v>
      </c>
      <c r="AG47" s="2348"/>
      <c r="AH47" s="718"/>
      <c r="AI47" s="718"/>
      <c r="AJ47" s="2399">
        <v>538.17204301075276</v>
      </c>
      <c r="AK47" s="2348"/>
      <c r="AL47" s="717"/>
      <c r="AM47" s="717"/>
      <c r="AN47" s="718"/>
      <c r="AO47" s="718"/>
      <c r="AP47" s="2399">
        <v>539.35483870967744</v>
      </c>
      <c r="AQ47" s="2348"/>
      <c r="AR47" s="718"/>
      <c r="AS47" s="718"/>
      <c r="AT47" s="2399">
        <v>539.07738095238096</v>
      </c>
      <c r="AU47" s="2348"/>
      <c r="AV47" s="718"/>
      <c r="AW47" s="718"/>
      <c r="AX47" s="2399">
        <v>539.35483870967744</v>
      </c>
      <c r="AY47" s="2348"/>
      <c r="AZ47" s="717"/>
      <c r="BA47" s="717"/>
      <c r="BB47" s="429"/>
      <c r="BC47" s="429"/>
      <c r="BD47" s="718"/>
      <c r="BE47" s="718"/>
      <c r="BF47" s="110"/>
      <c r="BG47" s="110"/>
      <c r="BH47" s="110"/>
      <c r="BI47" s="110"/>
      <c r="BJ47" s="110"/>
    </row>
    <row r="48" spans="2:62" ht="17.399999999999999" x14ac:dyDescent="0.3">
      <c r="B48" s="2669" t="s">
        <v>330</v>
      </c>
      <c r="C48" s="2660" t="s">
        <v>323</v>
      </c>
      <c r="D48" s="2358">
        <f t="shared" ref="D48:E48" si="255">SUM(D46)</f>
        <v>315120</v>
      </c>
      <c r="E48" s="2670">
        <f t="shared" si="255"/>
        <v>363942.08</v>
      </c>
      <c r="F48" s="2358">
        <f t="shared" ref="F48:G48" si="256">SUM(F46)</f>
        <v>283305</v>
      </c>
      <c r="G48" s="2670">
        <f t="shared" si="256"/>
        <v>198140.75</v>
      </c>
      <c r="H48" s="2662">
        <f t="shared" ref="H48:K48" si="257">SUM(H46)</f>
        <v>598425</v>
      </c>
      <c r="I48" s="1539">
        <f t="shared" si="257"/>
        <v>562082.83000000007</v>
      </c>
      <c r="J48" s="2358">
        <f t="shared" si="257"/>
        <v>388080</v>
      </c>
      <c r="K48" s="2670">
        <f t="shared" si="257"/>
        <v>385354.10879999999</v>
      </c>
      <c r="L48" s="605">
        <f t="shared" ref="L48:Q48" si="258">SUM(L46)</f>
        <v>986505</v>
      </c>
      <c r="M48" s="605">
        <f t="shared" si="258"/>
        <v>947436.93880000012</v>
      </c>
      <c r="N48" s="2358">
        <f t="shared" si="258"/>
        <v>397800</v>
      </c>
      <c r="O48" s="2670">
        <f t="shared" si="258"/>
        <v>403949.24160000007</v>
      </c>
      <c r="P48" s="604">
        <f t="shared" si="258"/>
        <v>1384305</v>
      </c>
      <c r="Q48" s="604">
        <f t="shared" si="258"/>
        <v>1351386.1804000002</v>
      </c>
      <c r="R48" s="2358">
        <f t="shared" ref="R48:S48" si="259">SUM(R46)</f>
        <v>395250</v>
      </c>
      <c r="S48" s="2670">
        <f t="shared" si="259"/>
        <v>388291.20479999995</v>
      </c>
      <c r="T48" s="604">
        <f t="shared" ref="T48:W48" si="260">SUM(T46)</f>
        <v>1779555</v>
      </c>
      <c r="U48" s="604">
        <f t="shared" si="260"/>
        <v>1739677.3852000001</v>
      </c>
      <c r="V48" s="2358">
        <f t="shared" si="260"/>
        <v>217000</v>
      </c>
      <c r="W48" s="2670">
        <f t="shared" si="260"/>
        <v>381384.45</v>
      </c>
      <c r="X48" s="605">
        <f t="shared" ref="X48:AE48" si="261">SUM(X46)</f>
        <v>1010050</v>
      </c>
      <c r="Y48" s="605">
        <f t="shared" si="261"/>
        <v>1173624.8964</v>
      </c>
      <c r="Z48" s="606">
        <f t="shared" si="261"/>
        <v>1996555</v>
      </c>
      <c r="AA48" s="606">
        <f t="shared" si="261"/>
        <v>2121061.8352000001</v>
      </c>
      <c r="AB48" s="2358">
        <f t="shared" si="261"/>
        <v>400400.00000000006</v>
      </c>
      <c r="AC48" s="2670">
        <f t="shared" si="261"/>
        <v>323845.01</v>
      </c>
      <c r="AD48" s="604">
        <f t="shared" si="261"/>
        <v>2396955</v>
      </c>
      <c r="AE48" s="604">
        <f t="shared" si="261"/>
        <v>2444906.8452000003</v>
      </c>
      <c r="AF48" s="2358">
        <f t="shared" ref="AF48:AG48" si="262">SUM(AF46)</f>
        <v>388080</v>
      </c>
      <c r="AG48" s="2670">
        <f t="shared" si="262"/>
        <v>365759.52</v>
      </c>
      <c r="AH48" s="604">
        <f t="shared" ref="AH48:AK48" si="263">SUM(AH46)</f>
        <v>2785035</v>
      </c>
      <c r="AI48" s="604">
        <f t="shared" si="263"/>
        <v>2810666.3652000003</v>
      </c>
      <c r="AJ48" s="2358">
        <f t="shared" si="263"/>
        <v>400400.00000000006</v>
      </c>
      <c r="AK48" s="2670">
        <f t="shared" si="263"/>
        <v>384502.11840000004</v>
      </c>
      <c r="AL48" s="605">
        <f t="shared" ref="AL48:AQ48" si="264">SUM(AL46)</f>
        <v>1188880</v>
      </c>
      <c r="AM48" s="605">
        <f t="shared" si="264"/>
        <v>1074106.6484000001</v>
      </c>
      <c r="AN48" s="604">
        <f t="shared" si="264"/>
        <v>3185435</v>
      </c>
      <c r="AO48" s="604">
        <f t="shared" si="264"/>
        <v>3195168.4836000004</v>
      </c>
      <c r="AP48" s="2358">
        <f t="shared" si="264"/>
        <v>401280</v>
      </c>
      <c r="AQ48" s="2670">
        <f t="shared" si="264"/>
        <v>385774.08000000002</v>
      </c>
      <c r="AR48" s="604">
        <f t="shared" ref="AR48:AU48" si="265">SUM(AR46)</f>
        <v>3586715</v>
      </c>
      <c r="AS48" s="604">
        <f t="shared" si="265"/>
        <v>3580942.5636000005</v>
      </c>
      <c r="AT48" s="2358">
        <f t="shared" si="265"/>
        <v>362260</v>
      </c>
      <c r="AU48" s="2670">
        <f t="shared" si="265"/>
        <v>344692</v>
      </c>
      <c r="AV48" s="604">
        <f t="shared" ref="AV48:AY48" si="266">SUM(AV46)</f>
        <v>3948975</v>
      </c>
      <c r="AW48" s="604">
        <f t="shared" si="266"/>
        <v>3925634.5636000005</v>
      </c>
      <c r="AX48" s="2358">
        <f t="shared" si="266"/>
        <v>401280</v>
      </c>
      <c r="AY48" s="2670">
        <f t="shared" si="266"/>
        <v>376627</v>
      </c>
      <c r="AZ48" s="605">
        <f t="shared" ref="AZ48:BE48" si="267">SUM(AZ46)</f>
        <v>1164820</v>
      </c>
      <c r="BA48" s="605">
        <f t="shared" si="267"/>
        <v>1107093.08</v>
      </c>
      <c r="BB48" s="606">
        <f t="shared" si="267"/>
        <v>2353700</v>
      </c>
      <c r="BC48" s="606">
        <f t="shared" si="267"/>
        <v>2181199.7284000004</v>
      </c>
      <c r="BD48" s="604">
        <f t="shared" si="267"/>
        <v>4350255</v>
      </c>
      <c r="BE48" s="604">
        <f t="shared" si="267"/>
        <v>4302261.5636</v>
      </c>
      <c r="BF48" s="110"/>
      <c r="BG48" s="110"/>
      <c r="BH48" s="110"/>
      <c r="BI48" s="110"/>
      <c r="BJ48" s="110"/>
    </row>
    <row r="49" spans="2:62" ht="15.6" x14ac:dyDescent="0.3">
      <c r="B49" s="2671" t="s">
        <v>331</v>
      </c>
      <c r="C49" s="2672" t="s">
        <v>325</v>
      </c>
      <c r="D49" s="2677">
        <f t="shared" ref="D49:AI49" si="268">+D48/(D3*24)</f>
        <v>437.66666666666669</v>
      </c>
      <c r="E49" s="2673">
        <f t="shared" si="268"/>
        <v>505.47511111111112</v>
      </c>
      <c r="F49" s="2677">
        <f t="shared" ref="F49:G49" si="269">+F48/(F3*24)</f>
        <v>380.78629032258067</v>
      </c>
      <c r="G49" s="2673">
        <f t="shared" si="269"/>
        <v>266.31821236559142</v>
      </c>
      <c r="H49" s="2656">
        <f t="shared" si="268"/>
        <v>408.76024590163934</v>
      </c>
      <c r="I49" s="1649">
        <f t="shared" si="268"/>
        <v>383.93635928961754</v>
      </c>
      <c r="J49" s="2654">
        <f t="shared" si="268"/>
        <v>539</v>
      </c>
      <c r="K49" s="2673">
        <f t="shared" si="268"/>
        <v>535.21403999999995</v>
      </c>
      <c r="L49" s="747">
        <f t="shared" si="268"/>
        <v>451.69642857142856</v>
      </c>
      <c r="M49" s="747">
        <f t="shared" si="268"/>
        <v>433.80812216117221</v>
      </c>
      <c r="N49" s="2654">
        <f t="shared" si="268"/>
        <v>534.67741935483866</v>
      </c>
      <c r="O49" s="2673">
        <f t="shared" si="268"/>
        <v>542.94252903225811</v>
      </c>
      <c r="P49" s="746">
        <f t="shared" si="268"/>
        <v>472.78176229508199</v>
      </c>
      <c r="Q49" s="746">
        <f t="shared" si="268"/>
        <v>461.53899603825141</v>
      </c>
      <c r="R49" s="2654">
        <f t="shared" si="268"/>
        <v>531.25</v>
      </c>
      <c r="S49" s="2673">
        <f t="shared" si="268"/>
        <v>521.89678064516124</v>
      </c>
      <c r="T49" s="746">
        <f t="shared" si="268"/>
        <v>484.62826797385623</v>
      </c>
      <c r="U49" s="746">
        <f t="shared" si="268"/>
        <v>473.76835108932465</v>
      </c>
      <c r="V49" s="2654">
        <f t="shared" si="268"/>
        <v>301.38888888888891</v>
      </c>
      <c r="W49" s="2673">
        <f t="shared" si="268"/>
        <v>529.70062500000006</v>
      </c>
      <c r="X49" s="747">
        <f t="shared" si="268"/>
        <v>457.45018115942031</v>
      </c>
      <c r="Y49" s="747">
        <f t="shared" si="268"/>
        <v>531.53301467391304</v>
      </c>
      <c r="Z49" s="748">
        <f t="shared" si="268"/>
        <v>454.58902550091074</v>
      </c>
      <c r="AA49" s="748">
        <f t="shared" si="268"/>
        <v>482.93757632058288</v>
      </c>
      <c r="AB49" s="2654">
        <f t="shared" si="268"/>
        <v>538.17204301075276</v>
      </c>
      <c r="AC49" s="2673">
        <f t="shared" si="268"/>
        <v>435.27555107526882</v>
      </c>
      <c r="AD49" s="746">
        <f t="shared" si="268"/>
        <v>466.69684579439252</v>
      </c>
      <c r="AE49" s="746">
        <f t="shared" si="268"/>
        <v>476.03326425233649</v>
      </c>
      <c r="AF49" s="2654">
        <f t="shared" si="268"/>
        <v>539</v>
      </c>
      <c r="AG49" s="2673">
        <f t="shared" si="268"/>
        <v>507.99933333333337</v>
      </c>
      <c r="AH49" s="746">
        <f t="shared" si="268"/>
        <v>475.58657786885249</v>
      </c>
      <c r="AI49" s="746">
        <f t="shared" si="268"/>
        <v>479.96351864754104</v>
      </c>
      <c r="AJ49" s="2654">
        <f t="shared" ref="AJ49:BE49" si="270">+AJ48/(AJ3*24)</f>
        <v>538.17204301075276</v>
      </c>
      <c r="AK49" s="2673">
        <f t="shared" si="270"/>
        <v>516.80392258064524</v>
      </c>
      <c r="AL49" s="747">
        <f t="shared" si="270"/>
        <v>538.44202898550725</v>
      </c>
      <c r="AM49" s="747">
        <f t="shared" si="270"/>
        <v>486.46134438405801</v>
      </c>
      <c r="AN49" s="746">
        <f t="shared" si="270"/>
        <v>482.64166666666665</v>
      </c>
      <c r="AO49" s="746">
        <f t="shared" si="270"/>
        <v>484.11643690909096</v>
      </c>
      <c r="AP49" s="2654">
        <f t="shared" si="270"/>
        <v>539.35483870967744</v>
      </c>
      <c r="AQ49" s="2673">
        <f t="shared" si="270"/>
        <v>518.51354838709676</v>
      </c>
      <c r="AR49" s="746">
        <f t="shared" si="270"/>
        <v>488.38711873638346</v>
      </c>
      <c r="AS49" s="746">
        <f t="shared" si="270"/>
        <v>487.60111160130725</v>
      </c>
      <c r="AT49" s="2654">
        <f t="shared" si="270"/>
        <v>539.07738095238096</v>
      </c>
      <c r="AU49" s="2673">
        <f t="shared" si="270"/>
        <v>512.93452380952385</v>
      </c>
      <c r="AV49" s="746">
        <f t="shared" si="270"/>
        <v>492.63660179640721</v>
      </c>
      <c r="AW49" s="746">
        <f t="shared" si="270"/>
        <v>489.7248707085829</v>
      </c>
      <c r="AX49" s="2654">
        <f t="shared" si="270"/>
        <v>539.35483870967744</v>
      </c>
      <c r="AY49" s="2673">
        <f t="shared" si="270"/>
        <v>506.2190860215054</v>
      </c>
      <c r="AZ49" s="747">
        <f t="shared" si="270"/>
        <v>539.26851851851848</v>
      </c>
      <c r="BA49" s="747">
        <f t="shared" si="270"/>
        <v>512.54309259259264</v>
      </c>
      <c r="BB49" s="748">
        <f t="shared" si="270"/>
        <v>538.85073260073261</v>
      </c>
      <c r="BC49" s="748">
        <f t="shared" si="270"/>
        <v>499.35891217948728</v>
      </c>
      <c r="BD49" s="746">
        <f t="shared" si="270"/>
        <v>496.60445205479454</v>
      </c>
      <c r="BE49" s="746">
        <f t="shared" si="270"/>
        <v>491.12574926940641</v>
      </c>
      <c r="BF49" s="110"/>
      <c r="BG49" s="110"/>
      <c r="BH49" s="110"/>
      <c r="BI49" s="110"/>
      <c r="BJ49" s="110"/>
    </row>
    <row r="50" spans="2:62" ht="15.6" x14ac:dyDescent="0.3">
      <c r="B50" s="2674" t="s">
        <v>54</v>
      </c>
      <c r="C50" s="2430" t="s">
        <v>323</v>
      </c>
      <c r="D50" s="2399">
        <f>D51*D$3*24</f>
        <v>3600</v>
      </c>
      <c r="E50" s="2366">
        <v>1738.59</v>
      </c>
      <c r="F50" s="2399">
        <f>F51*F$3*24</f>
        <v>3720</v>
      </c>
      <c r="G50" s="2366">
        <v>3449.33</v>
      </c>
      <c r="H50" s="2349">
        <f>+D50+F50</f>
        <v>7320</v>
      </c>
      <c r="I50" s="35">
        <f>+E50+G50</f>
        <v>5187.92</v>
      </c>
      <c r="J50" s="2399">
        <f>J51*J$3*24</f>
        <v>3600</v>
      </c>
      <c r="K50" s="2366">
        <v>3248.5710522888285</v>
      </c>
      <c r="L50" s="717">
        <f t="shared" ref="L50:L52" si="271">+H50+J50</f>
        <v>10920</v>
      </c>
      <c r="M50" s="717">
        <f>+I50+K50</f>
        <v>8436.4910522888276</v>
      </c>
      <c r="N50" s="2399">
        <f>N51*N$3*24</f>
        <v>3720</v>
      </c>
      <c r="O50" s="2366">
        <v>3166.5293380894718</v>
      </c>
      <c r="P50" s="718">
        <f t="shared" ref="P50:P52" si="272">+L50+N50</f>
        <v>14640</v>
      </c>
      <c r="Q50" s="718">
        <f>+M50+O50</f>
        <v>11603.0203903783</v>
      </c>
      <c r="R50" s="2399">
        <f>R51*R$3*24</f>
        <v>3720</v>
      </c>
      <c r="S50" s="2366">
        <v>3354.3573187931192</v>
      </c>
      <c r="T50" s="718">
        <f t="shared" ref="T50:T52" si="273">+P50+R50</f>
        <v>18360</v>
      </c>
      <c r="U50" s="718">
        <f>+Q50+S50</f>
        <v>14957.37770917142</v>
      </c>
      <c r="V50" s="2399">
        <f>V51*V$3*24</f>
        <v>2160</v>
      </c>
      <c r="W50" s="2366">
        <v>2337.4</v>
      </c>
      <c r="X50" s="717">
        <f t="shared" ref="X50:X52" si="274">+V50+R50+N50</f>
        <v>9600</v>
      </c>
      <c r="Y50" s="717">
        <f>+W50+S50+O50</f>
        <v>8858.2866568825921</v>
      </c>
      <c r="Z50" s="429">
        <f t="shared" ref="Z50:Z52" si="275">+L50+X50</f>
        <v>20520</v>
      </c>
      <c r="AA50" s="429">
        <f>+Y50+M50</f>
        <v>17294.77770917142</v>
      </c>
      <c r="AB50" s="2399">
        <f>AB51*AB$3*24</f>
        <v>3720</v>
      </c>
      <c r="AC50" s="2366">
        <v>1007.4</v>
      </c>
      <c r="AD50" s="718">
        <f>+Z50+AB50</f>
        <v>24240</v>
      </c>
      <c r="AE50" s="718">
        <f>+AA50+AC50</f>
        <v>18302.177709171421</v>
      </c>
      <c r="AF50" s="2399">
        <f>AF51*AF$3*24</f>
        <v>3600</v>
      </c>
      <c r="AG50" s="2366">
        <v>1273.79</v>
      </c>
      <c r="AH50" s="718">
        <f>+AD50+AF50</f>
        <v>27840</v>
      </c>
      <c r="AI50" s="718">
        <f>+AE50+AG50</f>
        <v>19575.967709171422</v>
      </c>
      <c r="AJ50" s="2399">
        <f>AJ51*AJ$3*24</f>
        <v>3720</v>
      </c>
      <c r="AK50" s="2366">
        <v>1344.2154231276545</v>
      </c>
      <c r="AL50" s="717">
        <f t="shared" ref="AL50:AL52" si="276">+AJ50+AF50+AB50</f>
        <v>11040</v>
      </c>
      <c r="AM50" s="717">
        <f>+AK50+AG50+AC50</f>
        <v>3625.4054231276546</v>
      </c>
      <c r="AN50" s="718">
        <f>+AH50+AJ50</f>
        <v>31560</v>
      </c>
      <c r="AO50" s="718">
        <f>+AI50+AK50</f>
        <v>20920.183132299077</v>
      </c>
      <c r="AP50" s="2399">
        <f>AP51*AP$3*24</f>
        <v>3720</v>
      </c>
      <c r="AQ50" s="2366">
        <v>1718.92</v>
      </c>
      <c r="AR50" s="718">
        <f>+AN50+AP50</f>
        <v>35280</v>
      </c>
      <c r="AS50" s="718">
        <f>+AO50+AQ50</f>
        <v>22639.103132299075</v>
      </c>
      <c r="AT50" s="2399">
        <f>AT51*AT$3*24</f>
        <v>3360</v>
      </c>
      <c r="AU50" s="2366">
        <v>10277.41</v>
      </c>
      <c r="AV50" s="718">
        <f>+AR50+AT50</f>
        <v>38640</v>
      </c>
      <c r="AW50" s="718">
        <f>+AS50+AU50</f>
        <v>32916.513132299078</v>
      </c>
      <c r="AX50" s="2399">
        <f>AX51*AX$3*24</f>
        <v>3720</v>
      </c>
      <c r="AY50" s="2366">
        <v>1393.02</v>
      </c>
      <c r="AZ50" s="717">
        <f t="shared" ref="AZ50:AZ52" si="277">+AX50+AT50+AP50</f>
        <v>10800</v>
      </c>
      <c r="BA50" s="717">
        <f>+AY50+AU50+AQ50</f>
        <v>13389.35</v>
      </c>
      <c r="BB50" s="429">
        <f t="shared" ref="BB50:BB52" si="278">+AL50+AZ50</f>
        <v>21840</v>
      </c>
      <c r="BC50" s="429">
        <f t="shared" ref="BC50:BC52" si="279">+AM50+BA50</f>
        <v>17014.755423127655</v>
      </c>
      <c r="BD50" s="718">
        <f>+AV50+AX50</f>
        <v>42360</v>
      </c>
      <c r="BE50" s="718">
        <f>+AW50+AY50</f>
        <v>34309.533132299075</v>
      </c>
      <c r="BF50" s="110"/>
      <c r="BG50" s="110"/>
      <c r="BH50" s="110"/>
      <c r="BI50" s="110"/>
      <c r="BJ50" s="110"/>
    </row>
    <row r="51" spans="2:62" ht="15.75" hidden="1" customHeight="1" x14ac:dyDescent="0.3">
      <c r="B51" s="2674"/>
      <c r="C51" s="2430"/>
      <c r="D51" s="2583">
        <v>5</v>
      </c>
      <c r="E51" s="2366"/>
      <c r="F51" s="2583">
        <v>5</v>
      </c>
      <c r="G51" s="2366"/>
      <c r="H51" s="2349">
        <f t="shared" ref="H51:H52" si="280">+D51+F51</f>
        <v>10</v>
      </c>
      <c r="I51" s="35"/>
      <c r="J51" s="2583">
        <v>5</v>
      </c>
      <c r="K51" s="2366"/>
      <c r="L51" s="717">
        <f t="shared" si="271"/>
        <v>15</v>
      </c>
      <c r="M51" s="717"/>
      <c r="N51" s="2583">
        <v>5</v>
      </c>
      <c r="O51" s="2366"/>
      <c r="P51" s="718">
        <f t="shared" si="272"/>
        <v>20</v>
      </c>
      <c r="Q51" s="718"/>
      <c r="R51" s="2583">
        <v>5</v>
      </c>
      <c r="S51" s="2366"/>
      <c r="T51" s="718">
        <f t="shared" si="273"/>
        <v>25</v>
      </c>
      <c r="U51" s="718"/>
      <c r="V51" s="2583">
        <v>3</v>
      </c>
      <c r="W51" s="2366"/>
      <c r="X51" s="717">
        <f t="shared" si="274"/>
        <v>13</v>
      </c>
      <c r="Y51" s="717"/>
      <c r="Z51" s="429">
        <f t="shared" si="275"/>
        <v>28</v>
      </c>
      <c r="AA51" s="429"/>
      <c r="AB51" s="2583">
        <v>5</v>
      </c>
      <c r="AC51" s="2366"/>
      <c r="AD51" s="718">
        <f t="shared" ref="AD51:AD52" si="281">+Z51+AB51</f>
        <v>33</v>
      </c>
      <c r="AE51" s="718"/>
      <c r="AF51" s="2583">
        <v>5</v>
      </c>
      <c r="AG51" s="2366"/>
      <c r="AH51" s="718">
        <f t="shared" ref="AH51:AH52" si="282">+AD51+AF51</f>
        <v>38</v>
      </c>
      <c r="AI51" s="718"/>
      <c r="AJ51" s="2583">
        <v>5</v>
      </c>
      <c r="AK51" s="2366"/>
      <c r="AL51" s="717">
        <f t="shared" si="276"/>
        <v>15</v>
      </c>
      <c r="AM51" s="717"/>
      <c r="AN51" s="718">
        <f t="shared" ref="AN51:AN52" si="283">+AH51+AJ51</f>
        <v>43</v>
      </c>
      <c r="AO51" s="718"/>
      <c r="AP51" s="2583">
        <v>5</v>
      </c>
      <c r="AQ51" s="2366"/>
      <c r="AR51" s="718">
        <f t="shared" ref="AR51:AR52" si="284">+AN51+AP51</f>
        <v>48</v>
      </c>
      <c r="AS51" s="718"/>
      <c r="AT51" s="2583">
        <v>5</v>
      </c>
      <c r="AU51" s="2366"/>
      <c r="AV51" s="718">
        <f t="shared" ref="AV51:AV52" si="285">+AR51+AT51</f>
        <v>53</v>
      </c>
      <c r="AW51" s="718"/>
      <c r="AX51" s="2583">
        <v>5</v>
      </c>
      <c r="AY51" s="2366"/>
      <c r="AZ51" s="717">
        <f t="shared" si="277"/>
        <v>15</v>
      </c>
      <c r="BA51" s="717"/>
      <c r="BB51" s="429">
        <f t="shared" si="278"/>
        <v>30</v>
      </c>
      <c r="BC51" s="429">
        <f t="shared" si="279"/>
        <v>0</v>
      </c>
      <c r="BD51" s="718">
        <f t="shared" ref="BD51:BD52" si="286">+AV51+AX51</f>
        <v>58</v>
      </c>
      <c r="BE51" s="718"/>
      <c r="BF51" s="110"/>
      <c r="BG51" s="110"/>
      <c r="BH51" s="110"/>
      <c r="BI51" s="110"/>
      <c r="BJ51" s="110"/>
    </row>
    <row r="52" spans="2:62" x14ac:dyDescent="0.3">
      <c r="B52" s="2652" t="s">
        <v>448</v>
      </c>
      <c r="C52" s="2356" t="s">
        <v>323</v>
      </c>
      <c r="D52" s="2399">
        <f>D53*D$3*24</f>
        <v>8823.36</v>
      </c>
      <c r="E52" s="2348">
        <v>10169.6</v>
      </c>
      <c r="F52" s="2399">
        <f>F53*F$3*24</f>
        <v>7932.5399999999991</v>
      </c>
      <c r="G52" s="2348">
        <v>6422.74</v>
      </c>
      <c r="H52" s="2349">
        <f t="shared" si="280"/>
        <v>16755.900000000001</v>
      </c>
      <c r="I52" s="35">
        <f>+E52+G52</f>
        <v>16592.34</v>
      </c>
      <c r="J52" s="2399">
        <f>J53*J$3*24</f>
        <v>10866.24</v>
      </c>
      <c r="K52" s="2348">
        <v>10929.684948992981</v>
      </c>
      <c r="L52" s="717">
        <f t="shared" si="271"/>
        <v>27622.14</v>
      </c>
      <c r="M52" s="717">
        <f>+I52+K52</f>
        <v>27522.024948992981</v>
      </c>
      <c r="N52" s="2399">
        <f>N53*N$3*24</f>
        <v>11138.399999999998</v>
      </c>
      <c r="O52" s="2348">
        <v>11273.188348622441</v>
      </c>
      <c r="P52" s="718">
        <f t="shared" si="272"/>
        <v>38760.539999999994</v>
      </c>
      <c r="Q52" s="718">
        <f>+M52+O52</f>
        <v>38795.213297615424</v>
      </c>
      <c r="R52" s="2399">
        <f>R53*R$3*24</f>
        <v>11067</v>
      </c>
      <c r="S52" s="2348">
        <v>11042.319702374782</v>
      </c>
      <c r="T52" s="718">
        <f t="shared" si="273"/>
        <v>49827.539999999994</v>
      </c>
      <c r="U52" s="718">
        <f>+Q52+S52</f>
        <v>49837.532999990202</v>
      </c>
      <c r="V52" s="2399">
        <f>V53*V$3*24</f>
        <v>10849.999999999998</v>
      </c>
      <c r="W52" s="2348">
        <v>10738.68</v>
      </c>
      <c r="X52" s="717">
        <f t="shared" si="274"/>
        <v>33055.399999999994</v>
      </c>
      <c r="Y52" s="717">
        <f>+W52+S52+O52</f>
        <v>33054.188050997225</v>
      </c>
      <c r="Z52" s="429">
        <f t="shared" si="275"/>
        <v>60677.539999999994</v>
      </c>
      <c r="AA52" s="429">
        <f>+Y52+M52</f>
        <v>60576.21299999021</v>
      </c>
      <c r="AB52" s="2399">
        <f>AB53*AB$3*24</f>
        <v>11211.2</v>
      </c>
      <c r="AC52" s="2348">
        <v>9629.94</v>
      </c>
      <c r="AD52" s="718">
        <f t="shared" si="281"/>
        <v>71888.739999999991</v>
      </c>
      <c r="AE52" s="718">
        <f>+AA52+AC52</f>
        <v>70206.152999990212</v>
      </c>
      <c r="AF52" s="2399">
        <f>AF53*AF$3*24</f>
        <v>10866.24</v>
      </c>
      <c r="AG52" s="2348">
        <v>10634.3</v>
      </c>
      <c r="AH52" s="718">
        <f t="shared" si="282"/>
        <v>82754.98</v>
      </c>
      <c r="AI52" s="718">
        <f>+AE52+AG52</f>
        <v>80840.452999990215</v>
      </c>
      <c r="AJ52" s="2399">
        <f>AJ53*AJ$3*24</f>
        <v>11211.2</v>
      </c>
      <c r="AK52" s="2348">
        <v>11110.192702482917</v>
      </c>
      <c r="AL52" s="717">
        <f t="shared" si="276"/>
        <v>33288.639999999999</v>
      </c>
      <c r="AM52" s="717">
        <f>+AK52+AG52+AC52</f>
        <v>31374.432702482918</v>
      </c>
      <c r="AN52" s="718">
        <f t="shared" si="283"/>
        <v>93966.18</v>
      </c>
      <c r="AO52" s="718">
        <f>+AI52+AK52</f>
        <v>91950.645702473135</v>
      </c>
      <c r="AP52" s="2399">
        <f>AP53*AP$3*24</f>
        <v>11235.84</v>
      </c>
      <c r="AQ52" s="2348">
        <v>11094.57</v>
      </c>
      <c r="AR52" s="718">
        <f t="shared" si="284"/>
        <v>105202.01999999999</v>
      </c>
      <c r="AS52" s="718">
        <f>+AO52+AQ52</f>
        <v>103045.21570247313</v>
      </c>
      <c r="AT52" s="2399">
        <f>AT53*AT$3*24</f>
        <v>10143.279999999999</v>
      </c>
      <c r="AU52" s="2348">
        <v>1001.96</v>
      </c>
      <c r="AV52" s="718">
        <f t="shared" si="285"/>
        <v>115345.29999999999</v>
      </c>
      <c r="AW52" s="718">
        <f>+AS52+AU52</f>
        <v>104047.17570247313</v>
      </c>
      <c r="AX52" s="2399">
        <f>AX53*AX$3*24</f>
        <v>11235.84</v>
      </c>
      <c r="AY52" s="2348">
        <v>10651.66</v>
      </c>
      <c r="AZ52" s="717">
        <f t="shared" si="277"/>
        <v>32614.959999999999</v>
      </c>
      <c r="BA52" s="717">
        <f>+AY52+AU52+AQ52</f>
        <v>22748.19</v>
      </c>
      <c r="BB52" s="429">
        <f t="shared" si="278"/>
        <v>65903.600000000006</v>
      </c>
      <c r="BC52" s="429">
        <f t="shared" si="279"/>
        <v>54122.622702482913</v>
      </c>
      <c r="BD52" s="718">
        <f t="shared" si="286"/>
        <v>126581.13999999998</v>
      </c>
      <c r="BE52" s="718">
        <f>+AW52+AY52</f>
        <v>114698.83570247314</v>
      </c>
      <c r="BF52" s="110"/>
      <c r="BG52" s="110"/>
      <c r="BH52" s="110"/>
      <c r="BI52" s="110"/>
      <c r="BJ52" s="110"/>
    </row>
    <row r="53" spans="2:62" ht="15.75" hidden="1" customHeight="1" x14ac:dyDescent="0.3">
      <c r="B53" s="2652"/>
      <c r="C53" s="2356"/>
      <c r="D53" s="2583">
        <v>12.254666666666667</v>
      </c>
      <c r="E53" s="2348"/>
      <c r="F53" s="2583">
        <v>10.662016129032258</v>
      </c>
      <c r="G53" s="2348"/>
      <c r="H53" s="2550"/>
      <c r="I53" s="35"/>
      <c r="J53" s="2583">
        <v>15.091999999999999</v>
      </c>
      <c r="K53" s="2348"/>
      <c r="L53" s="532"/>
      <c r="M53" s="717"/>
      <c r="N53" s="2583">
        <v>14.97096774193548</v>
      </c>
      <c r="O53" s="2348"/>
      <c r="P53" s="544"/>
      <c r="Q53" s="718"/>
      <c r="R53" s="2583">
        <v>14.875</v>
      </c>
      <c r="S53" s="2348"/>
      <c r="T53" s="544"/>
      <c r="U53" s="718"/>
      <c r="V53" s="2583">
        <v>15.069444444444443</v>
      </c>
      <c r="W53" s="2348"/>
      <c r="X53" s="532"/>
      <c r="Y53" s="717"/>
      <c r="Z53" s="1471"/>
      <c r="AA53" s="429"/>
      <c r="AB53" s="2583">
        <v>15.068817204301077</v>
      </c>
      <c r="AC53" s="2348"/>
      <c r="AD53" s="544"/>
      <c r="AE53" s="718"/>
      <c r="AF53" s="2583">
        <v>15.091999999999999</v>
      </c>
      <c r="AG53" s="2348"/>
      <c r="AH53" s="544"/>
      <c r="AI53" s="718"/>
      <c r="AJ53" s="2583">
        <v>15.068817204301077</v>
      </c>
      <c r="AK53" s="2348"/>
      <c r="AL53" s="532"/>
      <c r="AM53" s="717"/>
      <c r="AN53" s="544"/>
      <c r="AO53" s="718"/>
      <c r="AP53" s="2583">
        <v>15.101935483870967</v>
      </c>
      <c r="AQ53" s="2348"/>
      <c r="AR53" s="544"/>
      <c r="AS53" s="718"/>
      <c r="AT53" s="2583">
        <v>15.094166666666665</v>
      </c>
      <c r="AU53" s="2348"/>
      <c r="AV53" s="544"/>
      <c r="AW53" s="718"/>
      <c r="AX53" s="2583">
        <v>15.101935483870967</v>
      </c>
      <c r="AY53" s="2348"/>
      <c r="AZ53" s="532"/>
      <c r="BA53" s="717"/>
      <c r="BB53" s="1471"/>
      <c r="BC53" s="429"/>
      <c r="BD53" s="544"/>
      <c r="BE53" s="718"/>
      <c r="BF53" s="110"/>
      <c r="BG53" s="110"/>
      <c r="BH53" s="110"/>
      <c r="BI53" s="110"/>
      <c r="BJ53" s="110"/>
    </row>
    <row r="54" spans="2:62" x14ac:dyDescent="0.3">
      <c r="B54" s="2652" t="s">
        <v>73</v>
      </c>
      <c r="C54" s="2356" t="s">
        <v>49</v>
      </c>
      <c r="D54" s="2658">
        <f>+D52*100/D48</f>
        <v>2.8</v>
      </c>
      <c r="E54" s="2658">
        <f>+E52/E48*100</f>
        <v>2.7942907838521998</v>
      </c>
      <c r="F54" s="2658">
        <f>+F52*100/F48</f>
        <v>2.7999999999999994</v>
      </c>
      <c r="G54" s="2658">
        <f>+G52/G48*100</f>
        <v>3.2415038299794459</v>
      </c>
      <c r="H54" s="2675">
        <f>+H52*100/H48</f>
        <v>2.8000000000000003</v>
      </c>
      <c r="I54" s="35">
        <f>+I52/I48*100</f>
        <v>2.9519385959539091</v>
      </c>
      <c r="J54" s="2658">
        <f>+J52*100/J48</f>
        <v>2.8</v>
      </c>
      <c r="K54" s="2658">
        <f>+K52/K48*100</f>
        <v>2.8362705105255599</v>
      </c>
      <c r="L54" s="938">
        <f>+L52*100/L48</f>
        <v>2.8</v>
      </c>
      <c r="M54" s="717">
        <f>+M52/M48*100</f>
        <v>2.9048925392176166</v>
      </c>
      <c r="N54" s="2658">
        <f>+N52*100/N48</f>
        <v>2.7999999999999994</v>
      </c>
      <c r="O54" s="2658">
        <f>+O52/O48*100</f>
        <v>2.7907437835433329</v>
      </c>
      <c r="P54" s="928">
        <f>+P52*100/P48</f>
        <v>2.8</v>
      </c>
      <c r="Q54" s="718">
        <f>+Q52/Q48*100</f>
        <v>2.8707717941981863</v>
      </c>
      <c r="R54" s="2658">
        <f>+R52*100/R48</f>
        <v>2.8</v>
      </c>
      <c r="S54" s="2658">
        <f>+S52/S48*100</f>
        <v>2.8438243168712596</v>
      </c>
      <c r="T54" s="928">
        <f>+T52*100/T48</f>
        <v>2.7999999999999994</v>
      </c>
      <c r="U54" s="718">
        <f>+U52/U48*100</f>
        <v>2.8647571914180334</v>
      </c>
      <c r="V54" s="2658">
        <f>+V52*100/V48</f>
        <v>4.9999999999999991</v>
      </c>
      <c r="W54" s="2658">
        <f>+W52/W48*100</f>
        <v>2.8157099745414369</v>
      </c>
      <c r="X54" s="717">
        <f>+X52/X48*100</f>
        <v>3.2726498688183745</v>
      </c>
      <c r="Y54" s="717">
        <f>+Y52/Y48*100</f>
        <v>2.8164184444611129</v>
      </c>
      <c r="Z54" s="457">
        <f>+Z52/Z48*100</f>
        <v>3.0391118701964133</v>
      </c>
      <c r="AA54" s="457">
        <f>+AA52/AA48*100</f>
        <v>2.8559380964147296</v>
      </c>
      <c r="AB54" s="2658">
        <f>+AB52*100/AB48</f>
        <v>2.7999999999999994</v>
      </c>
      <c r="AC54" s="2658">
        <f>+AC52/AC48*100</f>
        <v>2.9736261800050587</v>
      </c>
      <c r="AD54" s="928">
        <f>+AD52*100/AD48</f>
        <v>2.9991693627957132</v>
      </c>
      <c r="AE54" s="343">
        <f>+AE52/AE48*100</f>
        <v>2.8715267061329341</v>
      </c>
      <c r="AF54" s="2658">
        <f>+AF52*100/AF48</f>
        <v>2.8</v>
      </c>
      <c r="AG54" s="2658">
        <f>+AG52/AG48*100</f>
        <v>2.9074567901882635</v>
      </c>
      <c r="AH54" s="928">
        <f>+AH52*100/AH48</f>
        <v>2.9714161581452299</v>
      </c>
      <c r="AI54" s="343">
        <f>+AI52/AI48*100</f>
        <v>2.8762023839224971</v>
      </c>
      <c r="AJ54" s="2658">
        <f>+AJ52*100/AJ48</f>
        <v>2.7999999999999994</v>
      </c>
      <c r="AK54" s="2658">
        <f>+AK52/AK48*100</f>
        <v>2.889501038047575</v>
      </c>
      <c r="AL54" s="717">
        <f>+AL52/AL48*100</f>
        <v>2.8000000000000003</v>
      </c>
      <c r="AM54" s="717">
        <f>+AM52/AM48*100</f>
        <v>2.9209792853641288</v>
      </c>
      <c r="AN54" s="928">
        <f>+AN52*100/AN48</f>
        <v>2.9498696410380374</v>
      </c>
      <c r="AO54" s="343">
        <f>+AO52/AO48*100</f>
        <v>2.8778027254097167</v>
      </c>
      <c r="AP54" s="2658">
        <f>+AP52*100/AP48</f>
        <v>2.8</v>
      </c>
      <c r="AQ54" s="2658">
        <f>+AQ52/AQ48*100</f>
        <v>2.8759241678445577</v>
      </c>
      <c r="AR54" s="928">
        <f>+AR52*100/AR48</f>
        <v>2.9331022955545669</v>
      </c>
      <c r="AS54" s="343">
        <f>+AS52/AS48*100</f>
        <v>2.8776003488556237</v>
      </c>
      <c r="AT54" s="2658">
        <f>+AT52*100/AT48</f>
        <v>2.8</v>
      </c>
      <c r="AU54" s="2658">
        <f>+AU52/AU48*100</f>
        <v>0.29068269643623873</v>
      </c>
      <c r="AV54" s="928">
        <f>+AV52*100/AV48</f>
        <v>2.9208921302363269</v>
      </c>
      <c r="AW54" s="343">
        <f>+AW52/AW48*100</f>
        <v>2.6504549523595173</v>
      </c>
      <c r="AX54" s="2658">
        <f>+AX52*100/AX48</f>
        <v>2.8</v>
      </c>
      <c r="AY54" s="2658">
        <f>+AY52/AY48*100</f>
        <v>2.8281721703436022</v>
      </c>
      <c r="AZ54" s="322">
        <f>+AZ52/AZ48*100</f>
        <v>2.8000000000000003</v>
      </c>
      <c r="BA54" s="322">
        <f>+BA52/BA48*100</f>
        <v>2.0547676081581141</v>
      </c>
      <c r="BB54" s="457">
        <f>+BB52/BB48*100</f>
        <v>2.8000000000000003</v>
      </c>
      <c r="BC54" s="457">
        <f>+BC52/BC48*100</f>
        <v>2.4813235577552577</v>
      </c>
      <c r="BD54" s="928">
        <f>+BD52*100/BD48</f>
        <v>2.9097406933616532</v>
      </c>
      <c r="BE54" s="343">
        <f>+BE52/BE48*100</f>
        <v>2.66601260771548</v>
      </c>
      <c r="BF54" s="110"/>
      <c r="BG54" s="110"/>
      <c r="BH54" s="110"/>
      <c r="BI54" s="110"/>
      <c r="BJ54" s="110"/>
    </row>
    <row r="55" spans="2:62" ht="17.399999999999999" x14ac:dyDescent="0.3">
      <c r="B55" s="1247" t="s">
        <v>55</v>
      </c>
      <c r="C55" s="2660" t="s">
        <v>323</v>
      </c>
      <c r="D55" s="2358">
        <f>+D48-D50-D52</f>
        <v>302696.64</v>
      </c>
      <c r="E55" s="2358">
        <f>+E48-E50-E52</f>
        <v>352033.89</v>
      </c>
      <c r="F55" s="2358">
        <f>+F48-F50-F52</f>
        <v>271652.46000000002</v>
      </c>
      <c r="G55" s="2358">
        <f>+G48-G50-G52</f>
        <v>188268.68000000002</v>
      </c>
      <c r="H55" s="2662">
        <f>+D55+F55</f>
        <v>574349.10000000009</v>
      </c>
      <c r="I55" s="1539">
        <f>+I48-I50-I52</f>
        <v>540302.57000000007</v>
      </c>
      <c r="J55" s="2358">
        <f>+J48-J50-J52</f>
        <v>373613.76</v>
      </c>
      <c r="K55" s="2358">
        <f>+K48-K50-K52</f>
        <v>371175.8527987182</v>
      </c>
      <c r="L55" s="605">
        <f>+H55+J55</f>
        <v>947962.8600000001</v>
      </c>
      <c r="M55" s="605">
        <f>+M48-M50-M52</f>
        <v>911478.42279871833</v>
      </c>
      <c r="N55" s="2358">
        <f>+N48-N50-N52</f>
        <v>382941.6</v>
      </c>
      <c r="O55" s="2358">
        <f>+O48-O50-O52</f>
        <v>389509.52391328814</v>
      </c>
      <c r="P55" s="604">
        <f>+L55+N55</f>
        <v>1330904.46</v>
      </c>
      <c r="Q55" s="604">
        <f>+Q48-Q50-Q52</f>
        <v>1300987.9467120063</v>
      </c>
      <c r="R55" s="2358">
        <f>+R48-R50-R52</f>
        <v>380463</v>
      </c>
      <c r="S55" s="2358">
        <f>+S48-S50-S52</f>
        <v>373894.52777883201</v>
      </c>
      <c r="T55" s="604">
        <f>+P55+R55</f>
        <v>1711367.46</v>
      </c>
      <c r="U55" s="604">
        <f>+U48-U50-U52</f>
        <v>1674882.4744908384</v>
      </c>
      <c r="V55" s="2358">
        <f>+V48-V50-V52</f>
        <v>203990</v>
      </c>
      <c r="W55" s="2358">
        <f>+W48-W50-W52</f>
        <v>368308.37</v>
      </c>
      <c r="X55" s="605">
        <f>+V55+R55+N55</f>
        <v>967394.6</v>
      </c>
      <c r="Y55" s="605">
        <f>+W55+S55+O55</f>
        <v>1131712.4216921201</v>
      </c>
      <c r="Z55" s="606">
        <f>+L55+X55</f>
        <v>1915357.46</v>
      </c>
      <c r="AA55" s="606">
        <f>+Y55+M55</f>
        <v>2043190.8444908385</v>
      </c>
      <c r="AB55" s="2358">
        <f>+AB48-AB50-AB52</f>
        <v>385468.80000000005</v>
      </c>
      <c r="AC55" s="2358">
        <f>+AC48-AC50-AC52</f>
        <v>313207.67</v>
      </c>
      <c r="AD55" s="604">
        <f>+Z55+AB55</f>
        <v>2300826.2599999998</v>
      </c>
      <c r="AE55" s="604">
        <f>+AE48-AE50-AE52</f>
        <v>2356398.5144908386</v>
      </c>
      <c r="AF55" s="2358">
        <f>+AF48-AF50-AF52</f>
        <v>373613.76</v>
      </c>
      <c r="AG55" s="2358">
        <f>+AG48-AG50-AG52</f>
        <v>353851.43000000005</v>
      </c>
      <c r="AH55" s="604">
        <f>+AD55+AF55</f>
        <v>2674440.0199999996</v>
      </c>
      <c r="AI55" s="604">
        <f>+AI48-AI50-AI52</f>
        <v>2710249.9444908383</v>
      </c>
      <c r="AJ55" s="2358">
        <f>+AJ48-AJ50-AJ52</f>
        <v>385468.80000000005</v>
      </c>
      <c r="AK55" s="2358">
        <f>+AK48-AK50-AK52</f>
        <v>372047.71027438948</v>
      </c>
      <c r="AL55" s="605">
        <f>+AJ55+AF55+AB55</f>
        <v>1144551.3600000001</v>
      </c>
      <c r="AM55" s="605">
        <f>+AK55+AG55+AC55</f>
        <v>1039106.8102743896</v>
      </c>
      <c r="AN55" s="604">
        <f>+AH55+AJ55</f>
        <v>3059908.8199999994</v>
      </c>
      <c r="AO55" s="604">
        <f>+AO48-AO50-AO52</f>
        <v>3082297.6547652278</v>
      </c>
      <c r="AP55" s="2358">
        <f>+AP48-AP50-AP52</f>
        <v>386324.16</v>
      </c>
      <c r="AQ55" s="2358">
        <f>+AQ48-AQ50-AQ52</f>
        <v>372960.59</v>
      </c>
      <c r="AR55" s="604">
        <f>+AN55+AP55</f>
        <v>3446232.9799999995</v>
      </c>
      <c r="AS55" s="604">
        <f>+AS48-AS50-AS52</f>
        <v>3455258.2447652281</v>
      </c>
      <c r="AT55" s="2358">
        <f>+AT48-AT50-AT52</f>
        <v>348756.72</v>
      </c>
      <c r="AU55" s="2358">
        <f>+AU48-AU50-AU52</f>
        <v>333412.63</v>
      </c>
      <c r="AV55" s="604">
        <f>+AR55+AT55</f>
        <v>3794989.6999999993</v>
      </c>
      <c r="AW55" s="604">
        <f>+AW48-AW50-AW52</f>
        <v>3788670.874765228</v>
      </c>
      <c r="AX55" s="2358">
        <f>+AX48-AX50-AX52</f>
        <v>386324.16</v>
      </c>
      <c r="AY55" s="2358">
        <f>+AY48-AY50-AY52</f>
        <v>364582.32</v>
      </c>
      <c r="AZ55" s="605">
        <f>+AX55+AT55+AP55</f>
        <v>1121405.0399999998</v>
      </c>
      <c r="BA55" s="605">
        <f>+AY55+AU55+AQ55</f>
        <v>1070955.54</v>
      </c>
      <c r="BB55" s="606">
        <f>+AL55+AZ55</f>
        <v>2265956.4</v>
      </c>
      <c r="BC55" s="606">
        <f>+BA55+AM55</f>
        <v>2110062.3502743896</v>
      </c>
      <c r="BD55" s="604">
        <f>+AV55+AX55</f>
        <v>4181313.8599999994</v>
      </c>
      <c r="BE55" s="604">
        <f>+BE48-BE50-BE52</f>
        <v>4153253.1947652278</v>
      </c>
      <c r="BF55" s="110"/>
      <c r="BG55" s="110"/>
      <c r="BH55" s="110"/>
      <c r="BI55" s="110"/>
      <c r="BJ55" s="110"/>
    </row>
    <row r="56" spans="2:62" ht="15.6" x14ac:dyDescent="0.3">
      <c r="B56" s="1238" t="s">
        <v>334</v>
      </c>
      <c r="C56" s="2676"/>
      <c r="D56" s="2677"/>
      <c r="E56" s="2677"/>
      <c r="F56" s="2677"/>
      <c r="G56" s="2677"/>
      <c r="H56" s="2677"/>
      <c r="I56" s="237"/>
      <c r="J56" s="2677"/>
      <c r="K56" s="2677"/>
      <c r="L56" s="1034"/>
      <c r="M56" s="1034"/>
      <c r="N56" s="2677"/>
      <c r="O56" s="2677"/>
      <c r="P56" s="1034"/>
      <c r="Q56" s="1034"/>
      <c r="R56" s="2677"/>
      <c r="S56" s="2677"/>
      <c r="T56" s="1034"/>
      <c r="U56" s="1034"/>
      <c r="V56" s="2677"/>
      <c r="W56" s="2677"/>
      <c r="X56" s="1034"/>
      <c r="Y56" s="1034"/>
      <c r="Z56" s="1034"/>
      <c r="AA56" s="1034"/>
      <c r="AB56" s="2677"/>
      <c r="AC56" s="2677"/>
      <c r="AD56" s="1034"/>
      <c r="AE56" s="1034"/>
      <c r="AF56" s="2677"/>
      <c r="AG56" s="2677"/>
      <c r="AH56" s="1034"/>
      <c r="AI56" s="1034"/>
      <c r="AJ56" s="2677"/>
      <c r="AK56" s="2677"/>
      <c r="AL56" s="1034"/>
      <c r="AM56" s="1034"/>
      <c r="AN56" s="1034"/>
      <c r="AO56" s="1034"/>
      <c r="AP56" s="2677"/>
      <c r="AQ56" s="2677"/>
      <c r="AR56" s="1034"/>
      <c r="AS56" s="1034"/>
      <c r="AT56" s="2677"/>
      <c r="AU56" s="2677"/>
      <c r="AV56" s="1034"/>
      <c r="AW56" s="1034"/>
      <c r="AX56" s="2677"/>
      <c r="AY56" s="2677"/>
      <c r="AZ56" s="1034"/>
      <c r="BA56" s="1034"/>
      <c r="BB56" s="1034"/>
      <c r="BC56" s="1034"/>
      <c r="BD56" s="1034"/>
      <c r="BE56" s="1034"/>
      <c r="BF56" s="110"/>
      <c r="BG56" s="110"/>
      <c r="BH56" s="110"/>
      <c r="BI56" s="110"/>
      <c r="BJ56" s="110"/>
    </row>
    <row r="57" spans="2:62" x14ac:dyDescent="0.3">
      <c r="B57" s="8" t="s">
        <v>80</v>
      </c>
      <c r="C57" s="2356" t="s">
        <v>323</v>
      </c>
      <c r="D57" s="2399">
        <f>D58*D$3*24</f>
        <v>141218.18181818179</v>
      </c>
      <c r="E57" s="2348">
        <v>148213</v>
      </c>
      <c r="F57" s="2399">
        <f>F58*F$3*24</f>
        <v>123070.90909090909</v>
      </c>
      <c r="G57" s="2348">
        <v>81256</v>
      </c>
      <c r="H57" s="2349">
        <f t="shared" ref="H57:I71" si="287">+D57+F57</f>
        <v>264289.09090909088</v>
      </c>
      <c r="I57" s="35">
        <f t="shared" si="287"/>
        <v>229469</v>
      </c>
      <c r="J57" s="2399">
        <f>J58*J$3*24</f>
        <v>173178.40909090912</v>
      </c>
      <c r="K57" s="2348">
        <v>163513.99999999997</v>
      </c>
      <c r="L57" s="717">
        <f t="shared" ref="L57:L71" si="288">+H57+J57</f>
        <v>437467.5</v>
      </c>
      <c r="M57" s="717">
        <f t="shared" ref="M57:M71" si="289">+I57+K57</f>
        <v>392983</v>
      </c>
      <c r="N57" s="2399">
        <f>N58*N$3*24</f>
        <v>174767.55681818182</v>
      </c>
      <c r="O57" s="2348">
        <v>170113</v>
      </c>
      <c r="P57" s="718">
        <f t="shared" ref="P57:P71" si="290">+L57+N57</f>
        <v>612235.05681818188</v>
      </c>
      <c r="Q57" s="718">
        <f t="shared" ref="Q57:Q71" si="291">+M57+O57</f>
        <v>563096</v>
      </c>
      <c r="R57" s="2399">
        <f>R58*R$3*24</f>
        <v>174767.55681818182</v>
      </c>
      <c r="S57" s="2348">
        <v>162704</v>
      </c>
      <c r="T57" s="718">
        <f t="shared" ref="T57" si="292">+P57+R57</f>
        <v>787002.61363636376</v>
      </c>
      <c r="U57" s="718">
        <f t="shared" ref="U57" si="293">+Q57+S57</f>
        <v>725800</v>
      </c>
      <c r="V57" s="2399">
        <f>V58*V$3*24</f>
        <v>95952.272727272735</v>
      </c>
      <c r="W57" s="2348">
        <v>159350</v>
      </c>
      <c r="X57" s="717">
        <f t="shared" ref="X57:X71" si="294">+V57+R57+N57</f>
        <v>445487.38636363641</v>
      </c>
      <c r="Y57" s="717">
        <f t="shared" ref="Y57:Y72" si="295">+W57+S57+O57</f>
        <v>492167</v>
      </c>
      <c r="Z57" s="429">
        <f t="shared" ref="Z57:Z71" si="296">+L57+X57</f>
        <v>882954.88636363647</v>
      </c>
      <c r="AA57" s="429">
        <f t="shared" ref="AA57:AA71" si="297">+Y57+M57</f>
        <v>885150</v>
      </c>
      <c r="AB57" s="2399">
        <f>AB58*AB$3*24</f>
        <v>178641.13636363635</v>
      </c>
      <c r="AC57" s="2348">
        <v>135260</v>
      </c>
      <c r="AD57" s="718">
        <f t="shared" ref="AD57" si="298">+Z57+AB57</f>
        <v>1061596.0227272729</v>
      </c>
      <c r="AE57" s="718">
        <f t="shared" ref="AE57" si="299">+AA57+AC57</f>
        <v>1020410</v>
      </c>
      <c r="AF57" s="2399">
        <f>AF58*AF$3*24</f>
        <v>173178.40909090912</v>
      </c>
      <c r="AG57" s="2348">
        <v>151505</v>
      </c>
      <c r="AH57" s="718">
        <f t="shared" ref="AH57" si="300">+AD57+AF57</f>
        <v>1234774.4318181821</v>
      </c>
      <c r="AI57" s="718">
        <f t="shared" ref="AI57" si="301">+AE57+AG57</f>
        <v>1171915</v>
      </c>
      <c r="AJ57" s="2399">
        <f>AJ58*AJ$3*24</f>
        <v>178641.13636363635</v>
      </c>
      <c r="AK57" s="2348">
        <v>157823</v>
      </c>
      <c r="AL57" s="717">
        <f t="shared" ref="AL57" si="302">+AJ57+AF57+AB57</f>
        <v>530460.68181818188</v>
      </c>
      <c r="AM57" s="717">
        <f t="shared" ref="AM57:AM72" si="303">+AK57+AG57+AC57</f>
        <v>444588</v>
      </c>
      <c r="AN57" s="718">
        <f t="shared" ref="AN57" si="304">+AH57+AJ57</f>
        <v>1413415.5681818184</v>
      </c>
      <c r="AO57" s="718">
        <f t="shared" ref="AO57" si="305">+AI57+AK57</f>
        <v>1329738</v>
      </c>
      <c r="AP57" s="2399">
        <f>AP58*AP$3*24</f>
        <v>181739.99999999997</v>
      </c>
      <c r="AQ57" s="2348">
        <v>157798</v>
      </c>
      <c r="AR57" s="718">
        <f t="shared" ref="AR57" si="306">+AN57+AP57</f>
        <v>1595155.5681818184</v>
      </c>
      <c r="AS57" s="718">
        <f t="shared" ref="AS57" si="307">+AO57+AQ57</f>
        <v>1487536</v>
      </c>
      <c r="AT57" s="2399">
        <f>AT58*AT$3*24</f>
        <v>162252.95454545456</v>
      </c>
      <c r="AU57" s="2348">
        <v>141171</v>
      </c>
      <c r="AV57" s="718">
        <f t="shared" ref="AV57" si="308">+AR57+AT57</f>
        <v>1757408.5227272729</v>
      </c>
      <c r="AW57" s="718">
        <f t="shared" ref="AW57" si="309">+AS57+AU57</f>
        <v>1628707</v>
      </c>
      <c r="AX57" s="2399">
        <f>AX58*AX$3*24</f>
        <v>181739.99999999997</v>
      </c>
      <c r="AY57" s="2348">
        <v>154562</v>
      </c>
      <c r="AZ57" s="717">
        <f t="shared" ref="AZ57" si="310">+AX57+AT57+AP57</f>
        <v>525732.95454545447</v>
      </c>
      <c r="BA57" s="717">
        <f t="shared" ref="BA57:BA72" si="311">+AY57+AU57+AQ57</f>
        <v>453531</v>
      </c>
      <c r="BB57" s="429">
        <f t="shared" ref="BB57:BB71" si="312">+AL57+AZ57</f>
        <v>1056193.6363636362</v>
      </c>
      <c r="BC57" s="429">
        <f t="shared" ref="BC57:BC71" si="313">+AM57+BA57</f>
        <v>898119</v>
      </c>
      <c r="BD57" s="718">
        <f t="shared" ref="BD57" si="314">+AV57+AX57</f>
        <v>1939148.5227272729</v>
      </c>
      <c r="BE57" s="718">
        <f t="shared" ref="BE57" si="315">+AW57+AY57</f>
        <v>1783269</v>
      </c>
      <c r="BF57" s="110"/>
      <c r="BG57" s="110"/>
      <c r="BH57" s="110"/>
      <c r="BI57" s="110"/>
      <c r="BJ57" s="110"/>
    </row>
    <row r="58" spans="2:62" ht="15" hidden="1" customHeight="1" x14ac:dyDescent="0.3">
      <c r="B58" s="8"/>
      <c r="C58" s="2356"/>
      <c r="D58" s="2412">
        <v>196.1363636363636</v>
      </c>
      <c r="E58" s="2348"/>
      <c r="F58" s="2412">
        <v>165.41788856304984</v>
      </c>
      <c r="G58" s="2348"/>
      <c r="H58" s="2349"/>
      <c r="I58" s="35"/>
      <c r="J58" s="2412">
        <v>240.52556818181819</v>
      </c>
      <c r="K58" s="2348"/>
      <c r="L58" s="717"/>
      <c r="M58" s="717"/>
      <c r="N58" s="2412">
        <v>234.90263013196483</v>
      </c>
      <c r="O58" s="2348"/>
      <c r="P58" s="718"/>
      <c r="Q58" s="718"/>
      <c r="R58" s="2412">
        <v>234.90263013196483</v>
      </c>
      <c r="S58" s="2348"/>
      <c r="T58" s="718"/>
      <c r="U58" s="718"/>
      <c r="V58" s="2412">
        <v>133.26704545454547</v>
      </c>
      <c r="W58" s="2348"/>
      <c r="X58" s="717"/>
      <c r="Y58" s="717">
        <f t="shared" si="295"/>
        <v>0</v>
      </c>
      <c r="Z58" s="429"/>
      <c r="AA58" s="429"/>
      <c r="AB58" s="2412">
        <v>240.10905425219943</v>
      </c>
      <c r="AC58" s="2348"/>
      <c r="AD58" s="718"/>
      <c r="AE58" s="718"/>
      <c r="AF58" s="2412">
        <v>240.52556818181819</v>
      </c>
      <c r="AG58" s="2348"/>
      <c r="AH58" s="718"/>
      <c r="AI58" s="718"/>
      <c r="AJ58" s="2412">
        <v>240.10905425219943</v>
      </c>
      <c r="AK58" s="2348"/>
      <c r="AL58" s="717"/>
      <c r="AM58" s="717">
        <f t="shared" si="303"/>
        <v>0</v>
      </c>
      <c r="AN58" s="718"/>
      <c r="AO58" s="718"/>
      <c r="AP58" s="2412">
        <v>244.27419354838707</v>
      </c>
      <c r="AQ58" s="2348"/>
      <c r="AR58" s="718"/>
      <c r="AS58" s="718"/>
      <c r="AT58" s="2412">
        <v>241.44784902597402</v>
      </c>
      <c r="AU58" s="2348"/>
      <c r="AV58" s="718"/>
      <c r="AW58" s="718"/>
      <c r="AX58" s="2412">
        <v>244.27419354838707</v>
      </c>
      <c r="AY58" s="2348"/>
      <c r="AZ58" s="717"/>
      <c r="BA58" s="717">
        <f t="shared" si="311"/>
        <v>0</v>
      </c>
      <c r="BB58" s="429">
        <f t="shared" si="312"/>
        <v>0</v>
      </c>
      <c r="BC58" s="429">
        <f t="shared" si="313"/>
        <v>0</v>
      </c>
      <c r="BD58" s="718"/>
      <c r="BE58" s="718"/>
      <c r="BF58" s="110"/>
      <c r="BG58" s="110"/>
      <c r="BH58" s="110"/>
      <c r="BI58" s="110"/>
      <c r="BJ58" s="110"/>
    </row>
    <row r="59" spans="2:62" x14ac:dyDescent="0.3">
      <c r="B59" s="8" t="s">
        <v>107</v>
      </c>
      <c r="C59" s="2356" t="s">
        <v>323</v>
      </c>
      <c r="D59" s="2399">
        <f>D60*D$3*24</f>
        <v>54000</v>
      </c>
      <c r="E59" s="2348">
        <v>63416</v>
      </c>
      <c r="F59" s="2399">
        <f>F60*F$3*24</f>
        <v>55800</v>
      </c>
      <c r="G59" s="2348">
        <v>31597.4</v>
      </c>
      <c r="H59" s="2349">
        <f t="shared" si="287"/>
        <v>109800</v>
      </c>
      <c r="I59" s="35">
        <f t="shared" si="287"/>
        <v>95013.4</v>
      </c>
      <c r="J59" s="2399">
        <f>J60*J$3*24</f>
        <v>62280</v>
      </c>
      <c r="K59" s="2348">
        <v>65772.333333333328</v>
      </c>
      <c r="L59" s="717">
        <f t="shared" si="288"/>
        <v>172080</v>
      </c>
      <c r="M59" s="717">
        <f t="shared" si="289"/>
        <v>160785.73333333334</v>
      </c>
      <c r="N59" s="2399">
        <f>N60*N$3*24</f>
        <v>64356</v>
      </c>
      <c r="O59" s="2348">
        <v>68850</v>
      </c>
      <c r="P59" s="718">
        <f t="shared" si="290"/>
        <v>236436</v>
      </c>
      <c r="Q59" s="718">
        <f t="shared" si="291"/>
        <v>229635.73333333334</v>
      </c>
      <c r="R59" s="2399">
        <f>R60*R$3*24</f>
        <v>64356</v>
      </c>
      <c r="S59" s="2348">
        <v>66064</v>
      </c>
      <c r="T59" s="718">
        <f t="shared" ref="T59" si="316">+P59+R59</f>
        <v>300792</v>
      </c>
      <c r="U59" s="718">
        <f t="shared" ref="U59" si="317">+Q59+S59</f>
        <v>295699.73333333334</v>
      </c>
      <c r="V59" s="2399">
        <f>V60*V$3*24</f>
        <v>32400</v>
      </c>
      <c r="W59" s="2348">
        <v>65513.2</v>
      </c>
      <c r="X59" s="717">
        <f t="shared" si="294"/>
        <v>161112</v>
      </c>
      <c r="Y59" s="717">
        <f t="shared" si="295"/>
        <v>200427.2</v>
      </c>
      <c r="Z59" s="429">
        <f t="shared" si="296"/>
        <v>333192</v>
      </c>
      <c r="AA59" s="429">
        <f t="shared" si="297"/>
        <v>361212.93333333335</v>
      </c>
      <c r="AB59" s="2399">
        <f>AB60*AB$3*24</f>
        <v>64356</v>
      </c>
      <c r="AC59" s="2348">
        <v>55488</v>
      </c>
      <c r="AD59" s="718">
        <f t="shared" ref="AD59" si="318">+Z59+AB59</f>
        <v>397548</v>
      </c>
      <c r="AE59" s="718">
        <f t="shared" ref="AE59" si="319">+AA59+AC59</f>
        <v>416700.93333333335</v>
      </c>
      <c r="AF59" s="2399">
        <f>AF60*AF$3*24</f>
        <v>62280</v>
      </c>
      <c r="AG59" s="2348">
        <v>63249</v>
      </c>
      <c r="AH59" s="718">
        <f t="shared" ref="AH59" si="320">+AD59+AF59</f>
        <v>459828</v>
      </c>
      <c r="AI59" s="718">
        <f t="shared" ref="AI59" si="321">+AE59+AG59</f>
        <v>479949.93333333335</v>
      </c>
      <c r="AJ59" s="2399">
        <f>AJ60*AJ$3*24</f>
        <v>64356</v>
      </c>
      <c r="AK59" s="2348">
        <v>67056.899999999994</v>
      </c>
      <c r="AL59" s="717">
        <f t="shared" ref="AL59" si="322">+AJ59+AF59+AB59</f>
        <v>190992</v>
      </c>
      <c r="AM59" s="717">
        <f t="shared" si="303"/>
        <v>185793.9</v>
      </c>
      <c r="AN59" s="718">
        <f t="shared" ref="AN59" si="323">+AH59+AJ59</f>
        <v>524184</v>
      </c>
      <c r="AO59" s="718">
        <f t="shared" ref="AO59" si="324">+AI59+AK59</f>
        <v>547006.83333333337</v>
      </c>
      <c r="AP59" s="2399">
        <f>AP60*AP$3*24</f>
        <v>64356</v>
      </c>
      <c r="AQ59" s="2348">
        <v>66654</v>
      </c>
      <c r="AR59" s="718">
        <f t="shared" ref="AR59" si="325">+AN59+AP59</f>
        <v>588540</v>
      </c>
      <c r="AS59" s="718">
        <f t="shared" ref="AS59" si="326">+AO59+AQ59</f>
        <v>613660.83333333337</v>
      </c>
      <c r="AT59" s="2399">
        <f>AT60*AT$3*24</f>
        <v>58128</v>
      </c>
      <c r="AU59" s="2348">
        <v>58549</v>
      </c>
      <c r="AV59" s="718">
        <f t="shared" ref="AV59" si="327">+AR59+AT59</f>
        <v>646668</v>
      </c>
      <c r="AW59" s="718">
        <f t="shared" ref="AW59" si="328">+AS59+AU59</f>
        <v>672209.83333333337</v>
      </c>
      <c r="AX59" s="2399">
        <f>AX60*AX$3*24</f>
        <v>64356</v>
      </c>
      <c r="AY59" s="2348">
        <v>65647</v>
      </c>
      <c r="AZ59" s="717">
        <f t="shared" ref="AZ59" si="329">+AX59+AT59+AP59</f>
        <v>186840</v>
      </c>
      <c r="BA59" s="717">
        <f t="shared" si="311"/>
        <v>190850</v>
      </c>
      <c r="BB59" s="429">
        <f t="shared" si="312"/>
        <v>377832</v>
      </c>
      <c r="BC59" s="429">
        <f t="shared" si="313"/>
        <v>376643.9</v>
      </c>
      <c r="BD59" s="718">
        <f t="shared" ref="BD59" si="330">+AV59+AX59</f>
        <v>711024</v>
      </c>
      <c r="BE59" s="718">
        <f t="shared" ref="BE59" si="331">+AW59+AY59</f>
        <v>737856.83333333337</v>
      </c>
      <c r="BF59" s="110"/>
      <c r="BG59" s="110"/>
      <c r="BH59" s="110"/>
      <c r="BI59" s="110"/>
      <c r="BJ59" s="110"/>
    </row>
    <row r="60" spans="2:62" ht="15" hidden="1" customHeight="1" x14ac:dyDescent="0.3">
      <c r="B60" s="8"/>
      <c r="C60" s="2356"/>
      <c r="D60" s="2412">
        <v>75</v>
      </c>
      <c r="E60" s="2348"/>
      <c r="F60" s="2412">
        <v>75</v>
      </c>
      <c r="G60" s="2348"/>
      <c r="H60" s="2349"/>
      <c r="I60" s="35"/>
      <c r="J60" s="2412">
        <v>86.5</v>
      </c>
      <c r="K60" s="2348"/>
      <c r="L60" s="717"/>
      <c r="M60" s="717"/>
      <c r="N60" s="2412">
        <v>86.5</v>
      </c>
      <c r="O60" s="2348"/>
      <c r="P60" s="718"/>
      <c r="Q60" s="718"/>
      <c r="R60" s="2412">
        <v>86.5</v>
      </c>
      <c r="S60" s="2348"/>
      <c r="T60" s="718"/>
      <c r="U60" s="718"/>
      <c r="V60" s="2412">
        <v>45</v>
      </c>
      <c r="W60" s="2348"/>
      <c r="X60" s="717"/>
      <c r="Y60" s="717">
        <f t="shared" si="295"/>
        <v>0</v>
      </c>
      <c r="Z60" s="429"/>
      <c r="AA60" s="429"/>
      <c r="AB60" s="2412">
        <v>86.5</v>
      </c>
      <c r="AC60" s="2348"/>
      <c r="AD60" s="718"/>
      <c r="AE60" s="718"/>
      <c r="AF60" s="2412">
        <v>86.5</v>
      </c>
      <c r="AG60" s="2348"/>
      <c r="AH60" s="718"/>
      <c r="AI60" s="718"/>
      <c r="AJ60" s="2412">
        <v>86.5</v>
      </c>
      <c r="AK60" s="2348"/>
      <c r="AL60" s="717"/>
      <c r="AM60" s="717">
        <f t="shared" si="303"/>
        <v>0</v>
      </c>
      <c r="AN60" s="718"/>
      <c r="AO60" s="718"/>
      <c r="AP60" s="2412">
        <v>86.5</v>
      </c>
      <c r="AQ60" s="2348"/>
      <c r="AR60" s="718"/>
      <c r="AS60" s="718"/>
      <c r="AT60" s="2412">
        <v>86.5</v>
      </c>
      <c r="AU60" s="2348"/>
      <c r="AV60" s="718"/>
      <c r="AW60" s="718"/>
      <c r="AX60" s="2412">
        <v>86.5</v>
      </c>
      <c r="AY60" s="2348"/>
      <c r="AZ60" s="717"/>
      <c r="BA60" s="717">
        <f t="shared" si="311"/>
        <v>0</v>
      </c>
      <c r="BB60" s="429">
        <f t="shared" si="312"/>
        <v>0</v>
      </c>
      <c r="BC60" s="429">
        <f t="shared" si="313"/>
        <v>0</v>
      </c>
      <c r="BD60" s="718"/>
      <c r="BE60" s="718"/>
      <c r="BF60" s="110"/>
      <c r="BG60" s="110"/>
      <c r="BH60" s="110"/>
      <c r="BI60" s="110"/>
      <c r="BJ60" s="110"/>
    </row>
    <row r="61" spans="2:62" x14ac:dyDescent="0.3">
      <c r="B61" s="8" t="s">
        <v>90</v>
      </c>
      <c r="C61" s="2356" t="s">
        <v>323</v>
      </c>
      <c r="D61" s="2399">
        <f>D62*D$3*24</f>
        <v>94102.707096938189</v>
      </c>
      <c r="E61" s="2348">
        <v>132382</v>
      </c>
      <c r="F61" s="2399">
        <f>F62*F$3*24</f>
        <v>79090.522179115593</v>
      </c>
      <c r="G61" s="2348">
        <v>71088.39</v>
      </c>
      <c r="H61" s="2349">
        <f t="shared" si="287"/>
        <v>173193.22927605378</v>
      </c>
      <c r="I61" s="35">
        <f t="shared" si="287"/>
        <v>203470.39</v>
      </c>
      <c r="J61" s="2399">
        <f>J62*J$3*24</f>
        <v>125587.44737132653</v>
      </c>
      <c r="K61" s="2348">
        <v>133448.99999999991</v>
      </c>
      <c r="L61" s="717">
        <f t="shared" si="288"/>
        <v>298780.67664738034</v>
      </c>
      <c r="M61" s="717">
        <f t="shared" si="289"/>
        <v>336919.3899999999</v>
      </c>
      <c r="N61" s="2399">
        <f>N62*N$3*24</f>
        <v>130670.40545758719</v>
      </c>
      <c r="O61" s="2348">
        <v>140977</v>
      </c>
      <c r="P61" s="718">
        <f t="shared" si="290"/>
        <v>429451.08210496756</v>
      </c>
      <c r="Q61" s="718">
        <f t="shared" si="291"/>
        <v>477896.3899999999</v>
      </c>
      <c r="R61" s="2399">
        <f>R62*R$3*24</f>
        <v>128191.80545758724</v>
      </c>
      <c r="S61" s="2348">
        <v>136614</v>
      </c>
      <c r="T61" s="718">
        <f t="shared" ref="T61" si="332">+P61+R61</f>
        <v>557642.8875625548</v>
      </c>
      <c r="U61" s="718">
        <f t="shared" ref="U61" si="333">+Q61+S61</f>
        <v>614510.3899999999</v>
      </c>
      <c r="V61" s="2399">
        <f>V62*V$3*24</f>
        <v>67969.352302229032</v>
      </c>
      <c r="W61" s="2348">
        <v>135017</v>
      </c>
      <c r="X61" s="717">
        <f t="shared" si="294"/>
        <v>326831.56321740348</v>
      </c>
      <c r="Y61" s="717">
        <f t="shared" si="295"/>
        <v>412608</v>
      </c>
      <c r="Z61" s="429">
        <f t="shared" si="296"/>
        <v>625612.23986478383</v>
      </c>
      <c r="AA61" s="429">
        <f t="shared" si="297"/>
        <v>749527.3899999999</v>
      </c>
      <c r="AB61" s="2399">
        <f>AB62*AB$3*24</f>
        <v>129219.10949805951</v>
      </c>
      <c r="AC61" s="2348">
        <v>115412</v>
      </c>
      <c r="AD61" s="718">
        <f t="shared" ref="AD61" si="334">+Z61+AB61</f>
        <v>754831.34936284332</v>
      </c>
      <c r="AE61" s="718">
        <f t="shared" ref="AE61" si="335">+AA61+AC61</f>
        <v>864939.3899999999</v>
      </c>
      <c r="AF61" s="2399">
        <f>AF62*AF$3*24</f>
        <v>123286.29370997811</v>
      </c>
      <c r="AG61" s="2348">
        <v>133438.20000000001</v>
      </c>
      <c r="AH61" s="718">
        <f t="shared" ref="AH61" si="336">+AD61+AF61</f>
        <v>878117.64307282143</v>
      </c>
      <c r="AI61" s="718">
        <f t="shared" ref="AI61" si="337">+AE61+AG61</f>
        <v>998377.58999999985</v>
      </c>
      <c r="AJ61" s="2399">
        <f>AJ62*AJ$3*24</f>
        <v>127105.8223476383</v>
      </c>
      <c r="AK61" s="2348">
        <v>140162.4</v>
      </c>
      <c r="AL61" s="717">
        <f t="shared" ref="AL61" si="338">+AJ61+AF61+AB61</f>
        <v>379611.22555567592</v>
      </c>
      <c r="AM61" s="717">
        <f t="shared" si="303"/>
        <v>389012.6</v>
      </c>
      <c r="AN61" s="718">
        <f t="shared" ref="AN61" si="339">+AH61+AJ61</f>
        <v>1005223.4654204597</v>
      </c>
      <c r="AO61" s="718">
        <f t="shared" ref="AO61" si="340">+AI61+AK61</f>
        <v>1138539.9899999998</v>
      </c>
      <c r="AP61" s="2399">
        <f>AP62*AP$3*24</f>
        <v>124819.78638140394</v>
      </c>
      <c r="AQ61" s="2348">
        <v>139254</v>
      </c>
      <c r="AR61" s="718">
        <f t="shared" ref="AR61" si="341">+AN61+AP61</f>
        <v>1130043.2518018638</v>
      </c>
      <c r="AS61" s="718">
        <f t="shared" ref="AS61" si="342">+AO61+AQ61</f>
        <v>1277793.9899999998</v>
      </c>
      <c r="AT61" s="2399">
        <f>AT62*AT$3*24</f>
        <v>114088.06572527008</v>
      </c>
      <c r="AU61" s="2348">
        <v>126757</v>
      </c>
      <c r="AV61" s="718">
        <f t="shared" ref="AV61" si="343">+AR61+AT61</f>
        <v>1244131.317527134</v>
      </c>
      <c r="AW61" s="718">
        <f t="shared" ref="AW61" si="344">+AS61+AU61</f>
        <v>1404550.9899999998</v>
      </c>
      <c r="AX61" s="2399">
        <f>AX62*AX$3*24</f>
        <v>126660.91069560601</v>
      </c>
      <c r="AY61" s="2348">
        <v>137252</v>
      </c>
      <c r="AZ61" s="717">
        <f t="shared" ref="AZ61" si="345">+AX61+AT61+AP61</f>
        <v>365568.76280228002</v>
      </c>
      <c r="BA61" s="717">
        <f t="shared" si="311"/>
        <v>403263</v>
      </c>
      <c r="BB61" s="429">
        <f t="shared" si="312"/>
        <v>745179.98835795594</v>
      </c>
      <c r="BC61" s="429">
        <f t="shared" si="313"/>
        <v>792275.6</v>
      </c>
      <c r="BD61" s="718">
        <f t="shared" ref="BD61" si="346">+AV61+AX61</f>
        <v>1370792.2282227399</v>
      </c>
      <c r="BE61" s="718">
        <f t="shared" ref="BE61" si="347">+AW61+AY61</f>
        <v>1541802.9899999998</v>
      </c>
      <c r="BF61" s="110"/>
      <c r="BG61" s="110"/>
      <c r="BH61" s="110"/>
      <c r="BI61" s="110"/>
      <c r="BJ61" s="110"/>
    </row>
    <row r="62" spans="2:62" ht="15" hidden="1" customHeight="1" x14ac:dyDescent="0.3">
      <c r="B62" s="8"/>
      <c r="C62" s="2356"/>
      <c r="D62" s="2412">
        <v>130.69820430130304</v>
      </c>
      <c r="E62" s="2348"/>
      <c r="F62" s="2412">
        <v>106.30446529451021</v>
      </c>
      <c r="G62" s="2348"/>
      <c r="H62" s="2349"/>
      <c r="I62" s="35"/>
      <c r="J62" s="2412">
        <v>174.42701023795354</v>
      </c>
      <c r="K62" s="2348"/>
      <c r="L62" s="717"/>
      <c r="M62" s="717"/>
      <c r="N62" s="2412">
        <v>175.6322653999828</v>
      </c>
      <c r="O62" s="2348"/>
      <c r="P62" s="718"/>
      <c r="Q62" s="718"/>
      <c r="R62" s="2412">
        <v>172.30081378707962</v>
      </c>
      <c r="S62" s="2348"/>
      <c r="T62" s="718"/>
      <c r="U62" s="718"/>
      <c r="V62" s="2412">
        <v>94.401878197540313</v>
      </c>
      <c r="W62" s="2348"/>
      <c r="X62" s="717"/>
      <c r="Y62" s="717">
        <f t="shared" si="295"/>
        <v>0</v>
      </c>
      <c r="Z62" s="429"/>
      <c r="AA62" s="429"/>
      <c r="AB62" s="2412">
        <v>173.68159878771439</v>
      </c>
      <c r="AC62" s="2348"/>
      <c r="AD62" s="718"/>
      <c r="AE62" s="718"/>
      <c r="AF62" s="2412">
        <v>171.23096348608073</v>
      </c>
      <c r="AG62" s="2348"/>
      <c r="AH62" s="718"/>
      <c r="AI62" s="718"/>
      <c r="AJ62" s="2412">
        <v>170.84115906940633</v>
      </c>
      <c r="AK62" s="2348"/>
      <c r="AL62" s="717"/>
      <c r="AM62" s="717">
        <f t="shared" si="303"/>
        <v>0</v>
      </c>
      <c r="AN62" s="718"/>
      <c r="AO62" s="718"/>
      <c r="AP62" s="2412">
        <v>167.76853008253218</v>
      </c>
      <c r="AQ62" s="2348"/>
      <c r="AR62" s="718"/>
      <c r="AS62" s="718"/>
      <c r="AT62" s="2412">
        <v>169.77390732927094</v>
      </c>
      <c r="AU62" s="2348"/>
      <c r="AV62" s="718"/>
      <c r="AW62" s="718"/>
      <c r="AX62" s="2412">
        <v>170.24315953710484</v>
      </c>
      <c r="AY62" s="2348"/>
      <c r="AZ62" s="717"/>
      <c r="BA62" s="717">
        <f t="shared" si="311"/>
        <v>0</v>
      </c>
      <c r="BB62" s="429">
        <f t="shared" si="312"/>
        <v>0</v>
      </c>
      <c r="BC62" s="429">
        <f t="shared" si="313"/>
        <v>0</v>
      </c>
      <c r="BD62" s="718"/>
      <c r="BE62" s="718"/>
      <c r="BF62" s="110"/>
      <c r="BG62" s="110"/>
      <c r="BH62" s="110"/>
      <c r="BI62" s="110"/>
      <c r="BJ62" s="110"/>
    </row>
    <row r="63" spans="2:62" x14ac:dyDescent="0.3">
      <c r="B63" s="8" t="s">
        <v>59</v>
      </c>
      <c r="C63" s="2356" t="s">
        <v>323</v>
      </c>
      <c r="D63" s="2399">
        <f>D64*D$3*24</f>
        <v>2532.020799876932</v>
      </c>
      <c r="E63" s="2348">
        <v>1939.34</v>
      </c>
      <c r="F63" s="2399">
        <f>F64*F$3*24</f>
        <v>2608.8911858815245</v>
      </c>
      <c r="G63" s="2348">
        <v>1015.83</v>
      </c>
      <c r="H63" s="2349">
        <f t="shared" si="287"/>
        <v>5140.9119857584565</v>
      </c>
      <c r="I63" s="35">
        <f t="shared" si="287"/>
        <v>2955.17</v>
      </c>
      <c r="J63" s="2399">
        <f>J64*J$3*24</f>
        <v>2505.2254097750365</v>
      </c>
      <c r="K63" s="2348">
        <v>1899.1130777918936</v>
      </c>
      <c r="L63" s="717">
        <f t="shared" si="288"/>
        <v>7646.137395533493</v>
      </c>
      <c r="M63" s="717">
        <f t="shared" si="289"/>
        <v>4854.2830777918934</v>
      </c>
      <c r="N63" s="2399">
        <f>N64*N$3*24</f>
        <v>2603.4217236998202</v>
      </c>
      <c r="O63" s="2348">
        <v>2311.4546741922049</v>
      </c>
      <c r="P63" s="718">
        <f t="shared" si="290"/>
        <v>10249.559119233312</v>
      </c>
      <c r="Q63" s="718">
        <f t="shared" si="291"/>
        <v>7165.7377519840984</v>
      </c>
      <c r="R63" s="2399">
        <f>R64*R$3*24</f>
        <v>2603.4217236998202</v>
      </c>
      <c r="S63" s="2348">
        <v>1938.8333894748712</v>
      </c>
      <c r="T63" s="718">
        <f t="shared" ref="T63" si="348">+P63+R63</f>
        <v>12852.980842933131</v>
      </c>
      <c r="U63" s="718">
        <f t="shared" ref="U63" si="349">+Q63+S63</f>
        <v>9104.5711414589696</v>
      </c>
      <c r="V63" s="2399">
        <f>V64*V$3*24</f>
        <v>1571.2593698658002</v>
      </c>
      <c r="W63" s="2348">
        <v>1874.87</v>
      </c>
      <c r="X63" s="717">
        <f t="shared" si="294"/>
        <v>6778.1028172654405</v>
      </c>
      <c r="Y63" s="717">
        <f t="shared" si="295"/>
        <v>6125.158063667076</v>
      </c>
      <c r="Z63" s="429">
        <f t="shared" si="296"/>
        <v>14424.240212798933</v>
      </c>
      <c r="AA63" s="429">
        <f t="shared" si="297"/>
        <v>10979.44114145897</v>
      </c>
      <c r="AB63" s="2399">
        <f>AB64*AB$3*24</f>
        <v>2520.7438437941669</v>
      </c>
      <c r="AC63" s="2348">
        <v>1896.68</v>
      </c>
      <c r="AD63" s="718">
        <f t="shared" ref="AD63" si="350">+Z63+AB63</f>
        <v>16944.984056593101</v>
      </c>
      <c r="AE63" s="718">
        <f t="shared" ref="AE63" si="351">+AA63+AC63</f>
        <v>12876.121141458971</v>
      </c>
      <c r="AF63" s="2399">
        <f>AF64*AF$3*24</f>
        <v>2894.4364246440591</v>
      </c>
      <c r="AG63" s="2348">
        <v>1267.57</v>
      </c>
      <c r="AH63" s="718">
        <f t="shared" ref="AH63" si="352">+AD63+AF63</f>
        <v>19839.420481237161</v>
      </c>
      <c r="AI63" s="718">
        <f t="shared" ref="AI63" si="353">+AE63+AG63</f>
        <v>14143.69114145897</v>
      </c>
      <c r="AJ63" s="2399">
        <f>AJ64*AJ$3*24</f>
        <v>2996.6376752435194</v>
      </c>
      <c r="AK63" s="2348">
        <v>1853.538538551838</v>
      </c>
      <c r="AL63" s="717">
        <f t="shared" ref="AL63" si="354">+AJ63+AF63+AB63</f>
        <v>8411.8179436817463</v>
      </c>
      <c r="AM63" s="717">
        <f t="shared" si="303"/>
        <v>5017.7885385518384</v>
      </c>
      <c r="AN63" s="718">
        <f t="shared" ref="AN63" si="355">+AH63+AJ63</f>
        <v>22836.058156480682</v>
      </c>
      <c r="AO63" s="718">
        <f t="shared" ref="AO63" si="356">+AI63+AK63</f>
        <v>15997.229680010809</v>
      </c>
      <c r="AP63" s="2399">
        <f>AP64*AP$3*24</f>
        <v>3032.3591622647473</v>
      </c>
      <c r="AQ63" s="2348">
        <v>2126.38</v>
      </c>
      <c r="AR63" s="718">
        <f t="shared" ref="AR63" si="357">+AN63+AP63</f>
        <v>25868.417318745429</v>
      </c>
      <c r="AS63" s="718">
        <f t="shared" ref="AS63" si="358">+AO63+AQ63</f>
        <v>18123.60968001081</v>
      </c>
      <c r="AT63" s="2399">
        <f>AT64*AT$3*24</f>
        <v>2739.8480038334214</v>
      </c>
      <c r="AU63" s="2348">
        <v>1534.42</v>
      </c>
      <c r="AV63" s="718">
        <f t="shared" ref="AV63" si="359">+AR63+AT63</f>
        <v>28608.265322578849</v>
      </c>
      <c r="AW63" s="718">
        <f t="shared" ref="AW63" si="360">+AS63+AU63</f>
        <v>19658.029680010812</v>
      </c>
      <c r="AX63" s="2399">
        <f>AX64*AX$3*24</f>
        <v>2658.0325086333974</v>
      </c>
      <c r="AY63" s="2348">
        <v>1681.43</v>
      </c>
      <c r="AZ63" s="717">
        <f t="shared" ref="AZ63" si="361">+AX63+AT63+AP63</f>
        <v>8430.2396747315652</v>
      </c>
      <c r="BA63" s="717">
        <f t="shared" si="311"/>
        <v>5342.2300000000005</v>
      </c>
      <c r="BB63" s="429">
        <f t="shared" si="312"/>
        <v>16842.05761841331</v>
      </c>
      <c r="BC63" s="429">
        <f t="shared" si="313"/>
        <v>10360.018538551838</v>
      </c>
      <c r="BD63" s="718">
        <f t="shared" ref="BD63" si="362">+AV63+AX63</f>
        <v>31266.297831212247</v>
      </c>
      <c r="BE63" s="718">
        <f t="shared" ref="BE63" si="363">+AW63+AY63</f>
        <v>21339.459680010812</v>
      </c>
      <c r="BF63" s="110"/>
      <c r="BG63" s="110"/>
      <c r="BH63" s="110"/>
      <c r="BI63" s="110"/>
      <c r="BJ63" s="110"/>
    </row>
    <row r="64" spans="2:62" ht="15" hidden="1" customHeight="1" x14ac:dyDescent="0.3">
      <c r="B64" s="8"/>
      <c r="C64" s="2356"/>
      <c r="D64" s="2412">
        <v>3.5166955553846275</v>
      </c>
      <c r="E64" s="2348"/>
      <c r="F64" s="2412">
        <v>3.5065741745719414</v>
      </c>
      <c r="G64" s="2348"/>
      <c r="H64" s="2349"/>
      <c r="I64" s="35"/>
      <c r="J64" s="2412">
        <v>3.4794797357986615</v>
      </c>
      <c r="K64" s="2348"/>
      <c r="L64" s="717"/>
      <c r="M64" s="717"/>
      <c r="N64" s="2412">
        <v>3.4992227469083601</v>
      </c>
      <c r="O64" s="2348"/>
      <c r="P64" s="718"/>
      <c r="Q64" s="718"/>
      <c r="R64" s="2412">
        <v>3.4992227469083601</v>
      </c>
      <c r="S64" s="2348"/>
      <c r="T64" s="718"/>
      <c r="U64" s="718"/>
      <c r="V64" s="2412">
        <v>2.1823046803691666</v>
      </c>
      <c r="W64" s="2348"/>
      <c r="X64" s="717"/>
      <c r="Y64" s="717">
        <f t="shared" si="295"/>
        <v>0</v>
      </c>
      <c r="Z64" s="429"/>
      <c r="AA64" s="429"/>
      <c r="AB64" s="2412">
        <v>3.3880965642394716</v>
      </c>
      <c r="AC64" s="2348"/>
      <c r="AD64" s="718"/>
      <c r="AE64" s="718"/>
      <c r="AF64" s="2412">
        <v>4.0200505897834153</v>
      </c>
      <c r="AG64" s="2348"/>
      <c r="AH64" s="718"/>
      <c r="AI64" s="718"/>
      <c r="AJ64" s="2412">
        <v>4.027738810811182</v>
      </c>
      <c r="AK64" s="2348"/>
      <c r="AL64" s="717"/>
      <c r="AM64" s="717">
        <f t="shared" si="303"/>
        <v>0</v>
      </c>
      <c r="AN64" s="718"/>
      <c r="AO64" s="718"/>
      <c r="AP64" s="2412">
        <v>4.0757515621838003</v>
      </c>
      <c r="AQ64" s="2348"/>
      <c r="AR64" s="718"/>
      <c r="AS64" s="718"/>
      <c r="AT64" s="2412">
        <v>4.0771547676092581</v>
      </c>
      <c r="AU64" s="2348"/>
      <c r="AV64" s="718"/>
      <c r="AW64" s="718"/>
      <c r="AX64" s="2412">
        <v>3.5726243395610178</v>
      </c>
      <c r="AY64" s="2348"/>
      <c r="AZ64" s="717"/>
      <c r="BA64" s="717">
        <f t="shared" si="311"/>
        <v>0</v>
      </c>
      <c r="BB64" s="429">
        <f t="shared" si="312"/>
        <v>0</v>
      </c>
      <c r="BC64" s="429">
        <f t="shared" si="313"/>
        <v>0</v>
      </c>
      <c r="BD64" s="718"/>
      <c r="BE64" s="718"/>
      <c r="BF64" s="110"/>
      <c r="BG64" s="110"/>
      <c r="BH64" s="110"/>
      <c r="BI64" s="110"/>
      <c r="BJ64" s="110"/>
    </row>
    <row r="65" spans="1:62" x14ac:dyDescent="0.3">
      <c r="B65" s="8" t="s">
        <v>91</v>
      </c>
      <c r="C65" s="2356" t="s">
        <v>323</v>
      </c>
      <c r="D65" s="2399">
        <f>D66*D$3*24</f>
        <v>4037.862398440976</v>
      </c>
      <c r="E65" s="2348">
        <v>2663.3</v>
      </c>
      <c r="F65" s="2399">
        <f>F66*F$3*24</f>
        <v>4197.2958850990635</v>
      </c>
      <c r="G65" s="2348">
        <v>1942.06</v>
      </c>
      <c r="H65" s="2349">
        <f t="shared" si="287"/>
        <v>8235.1582835400404</v>
      </c>
      <c r="I65" s="35">
        <f t="shared" si="287"/>
        <v>4605.3600000000006</v>
      </c>
      <c r="J65" s="2399">
        <f>J66*J$3*24</f>
        <v>3806.7820185840974</v>
      </c>
      <c r="K65" s="2348">
        <v>2735.8936281915189</v>
      </c>
      <c r="L65" s="717">
        <f t="shared" si="288"/>
        <v>12041.940302124138</v>
      </c>
      <c r="M65" s="717">
        <f t="shared" si="289"/>
        <v>7341.25362819152</v>
      </c>
      <c r="N65" s="2399">
        <f>N66*N$3*24</f>
        <v>3971.9655972980295</v>
      </c>
      <c r="O65" s="2348">
        <v>3255.9549650913755</v>
      </c>
      <c r="P65" s="718">
        <f t="shared" si="290"/>
        <v>16013.905899422167</v>
      </c>
      <c r="Q65" s="718">
        <f t="shared" si="291"/>
        <v>10597.208593282896</v>
      </c>
      <c r="R65" s="2399">
        <f>R66*R$3*24</f>
        <v>3971.9655972980295</v>
      </c>
      <c r="S65" s="2348">
        <v>2854.8184825587114</v>
      </c>
      <c r="T65" s="718">
        <f t="shared" ref="T65" si="364">+P65+R65</f>
        <v>19985.871496720196</v>
      </c>
      <c r="U65" s="718">
        <f t="shared" ref="U65" si="365">+Q65+S65</f>
        <v>13452.027075841608</v>
      </c>
      <c r="V65" s="2399">
        <f>V66*V$3*24</f>
        <v>2536.8104645087219</v>
      </c>
      <c r="W65" s="2348">
        <v>2790.48</v>
      </c>
      <c r="X65" s="717">
        <f t="shared" si="294"/>
        <v>10480.74165910478</v>
      </c>
      <c r="Y65" s="717">
        <f t="shared" si="295"/>
        <v>8901.2534476500878</v>
      </c>
      <c r="Z65" s="429">
        <f t="shared" si="296"/>
        <v>22522.681961228918</v>
      </c>
      <c r="AA65" s="429">
        <f t="shared" si="297"/>
        <v>16242.507075841608</v>
      </c>
      <c r="AB65" s="2399">
        <f>AB66*AB$3*24</f>
        <v>3931.1618713581211</v>
      </c>
      <c r="AC65" s="2348">
        <v>2333.6799999999998</v>
      </c>
      <c r="AD65" s="718">
        <f t="shared" ref="AD65" si="366">+Z65+AB65</f>
        <v>26453.843832587037</v>
      </c>
      <c r="AE65" s="718">
        <f t="shared" ref="AE65" si="367">+AA65+AC65</f>
        <v>18576.187075841608</v>
      </c>
      <c r="AF65" s="2399">
        <f>AF66*AF$3*24</f>
        <v>4398.2024500778489</v>
      </c>
      <c r="AG65" s="2348">
        <v>1844.32</v>
      </c>
      <c r="AH65" s="718">
        <f t="shared" ref="AH65" si="368">+AD65+AF65</f>
        <v>30852.046282664887</v>
      </c>
      <c r="AI65" s="718">
        <f t="shared" ref="AI65" si="369">+AE65+AG65</f>
        <v>20420.507075841608</v>
      </c>
      <c r="AJ65" s="2399">
        <f>AJ66*AJ$3*24</f>
        <v>4571.8838578020532</v>
      </c>
      <c r="AK65" s="2348">
        <v>2212.6360916611698</v>
      </c>
      <c r="AL65" s="717">
        <f t="shared" ref="AL65" si="370">+AJ65+AF65+AB65</f>
        <v>12901.248179238022</v>
      </c>
      <c r="AM65" s="717">
        <f t="shared" si="303"/>
        <v>6390.6360916611702</v>
      </c>
      <c r="AN65" s="718">
        <f t="shared" ref="AN65" si="371">+AH65+AJ65</f>
        <v>35423.930140466939</v>
      </c>
      <c r="AO65" s="718">
        <f t="shared" ref="AO65" si="372">+AI65+AK65</f>
        <v>22633.143167502778</v>
      </c>
      <c r="AP65" s="2399">
        <f>AP66*AP$3*24</f>
        <v>4574.4012698727456</v>
      </c>
      <c r="AQ65" s="2348">
        <v>2968.21</v>
      </c>
      <c r="AR65" s="718">
        <f t="shared" ref="AR65" si="373">+AN65+AP65</f>
        <v>39998.331410339684</v>
      </c>
      <c r="AS65" s="718">
        <f t="shared" ref="AS65" si="374">+AO65+AQ65</f>
        <v>25601.353167502777</v>
      </c>
      <c r="AT65" s="2399">
        <f>AT66*AT$3*24</f>
        <v>4161.587784060971</v>
      </c>
      <c r="AU65" s="2348">
        <v>2170.19</v>
      </c>
      <c r="AV65" s="718">
        <f t="shared" ref="AV65" si="375">+AR65+AT65</f>
        <v>44159.919194400652</v>
      </c>
      <c r="AW65" s="718">
        <f t="shared" ref="AW65" si="376">+AS65+AU65</f>
        <v>27771.543167502776</v>
      </c>
      <c r="AX65" s="2399">
        <f>AX66*AX$3*24</f>
        <v>4060.4746478745037</v>
      </c>
      <c r="AY65" s="2348">
        <v>2283.37</v>
      </c>
      <c r="AZ65" s="717">
        <f t="shared" ref="AZ65" si="377">+AX65+AT65+AP65</f>
        <v>12796.463701808221</v>
      </c>
      <c r="BA65" s="717">
        <f t="shared" si="311"/>
        <v>7421.7699999999995</v>
      </c>
      <c r="BB65" s="429">
        <f t="shared" si="312"/>
        <v>25697.711881046242</v>
      </c>
      <c r="BC65" s="429">
        <f t="shared" si="313"/>
        <v>13812.406091661171</v>
      </c>
      <c r="BD65" s="718">
        <f t="shared" ref="BD65" si="378">+AV65+AX65</f>
        <v>48220.393842275153</v>
      </c>
      <c r="BE65" s="718">
        <f t="shared" ref="BE65" si="379">+AW65+AY65</f>
        <v>30054.913167502775</v>
      </c>
      <c r="BF65" s="110"/>
      <c r="BG65" s="110"/>
      <c r="BH65" s="110"/>
      <c r="BI65" s="110"/>
      <c r="BJ65" s="110"/>
    </row>
    <row r="66" spans="1:62" ht="15" hidden="1" customHeight="1" x14ac:dyDescent="0.3">
      <c r="B66" s="8"/>
      <c r="C66" s="2356"/>
      <c r="D66" s="2412">
        <v>5.6081422200569104</v>
      </c>
      <c r="E66" s="2348"/>
      <c r="F66" s="2412">
        <v>5.6415267272836873</v>
      </c>
      <c r="G66" s="2348"/>
      <c r="H66" s="2349"/>
      <c r="I66" s="35"/>
      <c r="J66" s="2412">
        <v>5.2871972480334684</v>
      </c>
      <c r="K66" s="2348"/>
      <c r="L66" s="717"/>
      <c r="M66" s="717"/>
      <c r="N66" s="2412">
        <v>5.3386634372285346</v>
      </c>
      <c r="O66" s="2348"/>
      <c r="P66" s="718"/>
      <c r="Q66" s="718"/>
      <c r="R66" s="2412">
        <v>5.3386634372285346</v>
      </c>
      <c r="S66" s="2348"/>
      <c r="T66" s="718"/>
      <c r="U66" s="718"/>
      <c r="V66" s="2412">
        <v>3.523347867373225</v>
      </c>
      <c r="W66" s="2348"/>
      <c r="X66" s="717"/>
      <c r="Y66" s="717">
        <f t="shared" si="295"/>
        <v>0</v>
      </c>
      <c r="Z66" s="429"/>
      <c r="AA66" s="429"/>
      <c r="AB66" s="2412">
        <v>5.2838197195673668</v>
      </c>
      <c r="AC66" s="2348"/>
      <c r="AD66" s="718"/>
      <c r="AE66" s="718"/>
      <c r="AF66" s="2412">
        <v>6.1086145139970123</v>
      </c>
      <c r="AG66" s="2348"/>
      <c r="AH66" s="718"/>
      <c r="AI66" s="718"/>
      <c r="AJ66" s="2412">
        <v>6.1450051852178138</v>
      </c>
      <c r="AK66" s="2348"/>
      <c r="AL66" s="717"/>
      <c r="AM66" s="717">
        <f t="shared" si="303"/>
        <v>0</v>
      </c>
      <c r="AN66" s="718"/>
      <c r="AO66" s="718"/>
      <c r="AP66" s="2412">
        <v>6.1483888035924004</v>
      </c>
      <c r="AQ66" s="2348"/>
      <c r="AR66" s="718"/>
      <c r="AS66" s="718"/>
      <c r="AT66" s="2412">
        <v>6.1928389643764454</v>
      </c>
      <c r="AU66" s="2348"/>
      <c r="AV66" s="718"/>
      <c r="AW66" s="718"/>
      <c r="AX66" s="2412">
        <v>5.4576272148850862</v>
      </c>
      <c r="AY66" s="2348"/>
      <c r="AZ66" s="717"/>
      <c r="BA66" s="717">
        <f t="shared" si="311"/>
        <v>0</v>
      </c>
      <c r="BB66" s="429">
        <f t="shared" si="312"/>
        <v>0</v>
      </c>
      <c r="BC66" s="429">
        <f t="shared" si="313"/>
        <v>0</v>
      </c>
      <c r="BD66" s="718"/>
      <c r="BE66" s="718"/>
      <c r="BF66" s="110"/>
      <c r="BG66" s="110"/>
      <c r="BH66" s="110"/>
      <c r="BI66" s="110"/>
      <c r="BJ66" s="110"/>
    </row>
    <row r="67" spans="1:62" x14ac:dyDescent="0.3">
      <c r="B67" s="8" t="s">
        <v>109</v>
      </c>
      <c r="C67" s="2356" t="s">
        <v>323</v>
      </c>
      <c r="D67" s="2399">
        <f>D68*D$3*24</f>
        <v>6805.8678865621314</v>
      </c>
      <c r="E67" s="2348">
        <v>3420.25</v>
      </c>
      <c r="F67" s="2399">
        <f>F68*F$3*24</f>
        <v>6884.841658994761</v>
      </c>
      <c r="G67" s="2348">
        <v>1369</v>
      </c>
      <c r="H67" s="2349">
        <f t="shared" si="287"/>
        <v>13690.709545556892</v>
      </c>
      <c r="I67" s="35">
        <f t="shared" si="287"/>
        <v>4789.25</v>
      </c>
      <c r="J67" s="2399">
        <f>J68*J$3*24</f>
        <v>6255.8961094052274</v>
      </c>
      <c r="K67" s="2348">
        <v>3805.5127594015194</v>
      </c>
      <c r="L67" s="717">
        <f t="shared" si="288"/>
        <v>19946.605654962121</v>
      </c>
      <c r="M67" s="717">
        <f t="shared" si="289"/>
        <v>8594.7627594015194</v>
      </c>
      <c r="N67" s="2399">
        <f>N68*N$3*24</f>
        <v>6572.2504032330917</v>
      </c>
      <c r="O67" s="2348">
        <v>4002.1142740044975</v>
      </c>
      <c r="P67" s="718">
        <f t="shared" si="290"/>
        <v>26518.856058195212</v>
      </c>
      <c r="Q67" s="718">
        <f t="shared" si="291"/>
        <v>12596.877033406017</v>
      </c>
      <c r="R67" s="2399">
        <f>R68*R$3*24</f>
        <v>6572.2504032330917</v>
      </c>
      <c r="S67" s="2348">
        <v>3718.8759067985261</v>
      </c>
      <c r="T67" s="718">
        <f t="shared" ref="T67" si="380">+P67+R67</f>
        <v>33091.106461428302</v>
      </c>
      <c r="U67" s="718">
        <f t="shared" ref="U67" si="381">+Q67+S67</f>
        <v>16315.752940204544</v>
      </c>
      <c r="V67" s="2399">
        <f>V68*V$3*24</f>
        <v>3560.3051361237108</v>
      </c>
      <c r="W67" s="2348">
        <v>3762.81</v>
      </c>
      <c r="X67" s="717">
        <f t="shared" si="294"/>
        <v>16704.805942589894</v>
      </c>
      <c r="Y67" s="717">
        <f t="shared" si="295"/>
        <v>11483.800180803024</v>
      </c>
      <c r="Z67" s="429">
        <f t="shared" si="296"/>
        <v>36651.411597552011</v>
      </c>
      <c r="AA67" s="429">
        <f t="shared" si="297"/>
        <v>20078.562940204545</v>
      </c>
      <c r="AB67" s="2399">
        <f>AB68*AB$3*24</f>
        <v>6800.6484231519062</v>
      </c>
      <c r="AC67" s="2348">
        <v>2817.3</v>
      </c>
      <c r="AD67" s="718">
        <f t="shared" ref="AD67" si="382">+Z67+AB67</f>
        <v>43452.060020703917</v>
      </c>
      <c r="AE67" s="718">
        <f t="shared" ref="AE67" si="383">+AA67+AC67</f>
        <v>22895.862940204544</v>
      </c>
      <c r="AF67" s="2399">
        <f>AF68*AF$3*24</f>
        <v>7576.4183243908719</v>
      </c>
      <c r="AG67" s="2348">
        <v>2547.3200000000002</v>
      </c>
      <c r="AH67" s="718">
        <f t="shared" ref="AH67" si="384">+AD67+AF67</f>
        <v>51028.478345094787</v>
      </c>
      <c r="AI67" s="718">
        <f t="shared" ref="AI67" si="385">+AE67+AG67</f>
        <v>25443.182940204544</v>
      </c>
      <c r="AJ67" s="2399">
        <f>AJ68*AJ$3*24</f>
        <v>7797.3197556798186</v>
      </c>
      <c r="AK67" s="2348">
        <v>2939.2356441764327</v>
      </c>
      <c r="AL67" s="717">
        <f t="shared" ref="AL67" si="386">+AJ67+AF67+AB67</f>
        <v>22174.386503222595</v>
      </c>
      <c r="AM67" s="717">
        <f t="shared" si="303"/>
        <v>8303.855644176434</v>
      </c>
      <c r="AN67" s="718">
        <f t="shared" ref="AN67" si="387">+AH67+AJ67</f>
        <v>58825.798100774606</v>
      </c>
      <c r="AO67" s="718">
        <f t="shared" ref="AO67" si="388">+AI67+AK67</f>
        <v>28382.418584380976</v>
      </c>
      <c r="AP67" s="2399">
        <f>AP68*AP$3*24</f>
        <v>7801.6131864585768</v>
      </c>
      <c r="AQ67" s="2348">
        <v>4160.01</v>
      </c>
      <c r="AR67" s="718">
        <f t="shared" ref="AR67" si="389">+AN67+AP67</f>
        <v>66627.411287233175</v>
      </c>
      <c r="AS67" s="718">
        <f t="shared" ref="AS67" si="390">+AO67+AQ67</f>
        <v>32542.428584380978</v>
      </c>
      <c r="AT67" s="2399">
        <f>AT68*AT$3*24</f>
        <v>7386.2639413810048</v>
      </c>
      <c r="AU67" s="2348">
        <v>3231.07</v>
      </c>
      <c r="AV67" s="718">
        <f t="shared" ref="AV67" si="391">+AR67+AT67</f>
        <v>74013.675228614185</v>
      </c>
      <c r="AW67" s="718">
        <f t="shared" ref="AW67" si="392">+AS67+AU67</f>
        <v>35773.498584380977</v>
      </c>
      <c r="AX67" s="2399">
        <f>AX68*AX$3*24</f>
        <v>6848.7421478860942</v>
      </c>
      <c r="AY67" s="2348">
        <v>3156.51</v>
      </c>
      <c r="AZ67" s="717">
        <f t="shared" ref="AZ67" si="393">+AX67+AT67+AP67</f>
        <v>22036.619275725676</v>
      </c>
      <c r="BA67" s="717">
        <f t="shared" si="311"/>
        <v>10547.59</v>
      </c>
      <c r="BB67" s="429">
        <f t="shared" si="312"/>
        <v>44211.005778948267</v>
      </c>
      <c r="BC67" s="429">
        <f t="shared" si="313"/>
        <v>18851.445644176434</v>
      </c>
      <c r="BD67" s="718">
        <f t="shared" ref="BD67" si="394">+AV67+AX67</f>
        <v>80862.417376500278</v>
      </c>
      <c r="BE67" s="718">
        <f t="shared" ref="BE67" si="395">+AW67+AY67</f>
        <v>38930.008584380979</v>
      </c>
      <c r="BF67" s="110"/>
      <c r="BG67" s="110"/>
      <c r="BH67" s="110"/>
      <c r="BI67" s="110"/>
      <c r="BJ67" s="110"/>
    </row>
    <row r="68" spans="1:62" ht="15" hidden="1" customHeight="1" x14ac:dyDescent="0.3">
      <c r="B68" s="8"/>
      <c r="C68" s="2356"/>
      <c r="D68" s="2412">
        <v>9.4525942868918484</v>
      </c>
      <c r="E68" s="2348"/>
      <c r="F68" s="2412">
        <v>9.253819434132744</v>
      </c>
      <c r="G68" s="2348"/>
      <c r="H68" s="2349"/>
      <c r="I68" s="35"/>
      <c r="J68" s="2412">
        <v>8.68874459639615</v>
      </c>
      <c r="K68" s="2348"/>
      <c r="L68" s="717"/>
      <c r="M68" s="717"/>
      <c r="N68" s="2412">
        <v>8.8336698968186713</v>
      </c>
      <c r="O68" s="2348"/>
      <c r="P68" s="718"/>
      <c r="Q68" s="718"/>
      <c r="R68" s="2412">
        <v>8.8336698968186713</v>
      </c>
      <c r="S68" s="2348"/>
      <c r="T68" s="718"/>
      <c r="U68" s="718"/>
      <c r="V68" s="2412">
        <v>4.9448682446162646</v>
      </c>
      <c r="W68" s="2348"/>
      <c r="X68" s="717"/>
      <c r="Y68" s="717">
        <f t="shared" si="295"/>
        <v>0</v>
      </c>
      <c r="Z68" s="429"/>
      <c r="AA68" s="429"/>
      <c r="AB68" s="2412">
        <v>9.1406564827310568</v>
      </c>
      <c r="AC68" s="2348"/>
      <c r="AD68" s="718"/>
      <c r="AE68" s="718"/>
      <c r="AF68" s="2412">
        <v>10.522803228320655</v>
      </c>
      <c r="AG68" s="2348"/>
      <c r="AH68" s="718"/>
      <c r="AI68" s="718"/>
      <c r="AJ68" s="2412">
        <v>10.480268488816959</v>
      </c>
      <c r="AK68" s="2348"/>
      <c r="AL68" s="717"/>
      <c r="AM68" s="717">
        <f t="shared" si="303"/>
        <v>0</v>
      </c>
      <c r="AN68" s="718"/>
      <c r="AO68" s="718"/>
      <c r="AP68" s="2412">
        <v>10.48603922911099</v>
      </c>
      <c r="AQ68" s="2348"/>
      <c r="AR68" s="718"/>
      <c r="AS68" s="718"/>
      <c r="AT68" s="2412">
        <v>10.991464198483639</v>
      </c>
      <c r="AU68" s="2348"/>
      <c r="AV68" s="718"/>
      <c r="AW68" s="718"/>
      <c r="AX68" s="2412">
        <v>9.2052985858684071</v>
      </c>
      <c r="AY68" s="2348"/>
      <c r="AZ68" s="717"/>
      <c r="BA68" s="717">
        <f t="shared" si="311"/>
        <v>0</v>
      </c>
      <c r="BB68" s="429">
        <f t="shared" si="312"/>
        <v>0</v>
      </c>
      <c r="BC68" s="429">
        <f t="shared" si="313"/>
        <v>0</v>
      </c>
      <c r="BD68" s="718"/>
      <c r="BE68" s="718"/>
      <c r="BF68" s="110"/>
      <c r="BG68" s="110"/>
      <c r="BH68" s="110"/>
      <c r="BI68" s="110"/>
      <c r="BJ68" s="110"/>
    </row>
    <row r="69" spans="1:62" x14ac:dyDescent="0.3">
      <c r="B69" s="8" t="s">
        <v>82</v>
      </c>
      <c r="C69" s="2356" t="s">
        <v>323</v>
      </c>
      <c r="D69" s="2399">
        <f>D70*D$3*24</f>
        <v>0</v>
      </c>
      <c r="E69" s="2348"/>
      <c r="F69" s="2399">
        <f>F70*F$3*24</f>
        <v>0</v>
      </c>
      <c r="G69" s="2348">
        <v>0</v>
      </c>
      <c r="H69" s="2349">
        <f t="shared" si="287"/>
        <v>0</v>
      </c>
      <c r="I69" s="35">
        <f t="shared" si="287"/>
        <v>0</v>
      </c>
      <c r="J69" s="2399">
        <f>J70*J$3*24</f>
        <v>0</v>
      </c>
      <c r="K69" s="2348">
        <v>0</v>
      </c>
      <c r="L69" s="717">
        <f t="shared" si="288"/>
        <v>0</v>
      </c>
      <c r="M69" s="717">
        <f t="shared" si="289"/>
        <v>0</v>
      </c>
      <c r="N69" s="2399">
        <f>N70*N$3*24</f>
        <v>0</v>
      </c>
      <c r="O69" s="2348">
        <v>0</v>
      </c>
      <c r="P69" s="718">
        <f t="shared" si="290"/>
        <v>0</v>
      </c>
      <c r="Q69" s="718">
        <f t="shared" si="291"/>
        <v>0</v>
      </c>
      <c r="R69" s="2399">
        <f>R70*R$3*24</f>
        <v>0</v>
      </c>
      <c r="S69" s="2348">
        <v>0</v>
      </c>
      <c r="T69" s="718">
        <f t="shared" ref="T69" si="396">+P69+R69</f>
        <v>0</v>
      </c>
      <c r="U69" s="718">
        <f t="shared" ref="U69" si="397">+Q69+S69</f>
        <v>0</v>
      </c>
      <c r="V69" s="2399">
        <f>V70*V$3*24</f>
        <v>0</v>
      </c>
      <c r="W69" s="2348">
        <v>0</v>
      </c>
      <c r="X69" s="717">
        <f t="shared" si="294"/>
        <v>0</v>
      </c>
      <c r="Y69" s="717">
        <f t="shared" si="295"/>
        <v>0</v>
      </c>
      <c r="Z69" s="429">
        <f t="shared" si="296"/>
        <v>0</v>
      </c>
      <c r="AA69" s="429">
        <f t="shared" si="297"/>
        <v>0</v>
      </c>
      <c r="AB69" s="2399">
        <f>AB70*AB$3*24</f>
        <v>0</v>
      </c>
      <c r="AC69" s="2348">
        <v>0</v>
      </c>
      <c r="AD69" s="718">
        <f t="shared" ref="AD69" si="398">+Z69+AB69</f>
        <v>0</v>
      </c>
      <c r="AE69" s="718">
        <f t="shared" ref="AE69" si="399">+AA69+AC69</f>
        <v>0</v>
      </c>
      <c r="AF69" s="2399">
        <f>AF70*AF$3*24</f>
        <v>0</v>
      </c>
      <c r="AG69" s="2348">
        <v>0</v>
      </c>
      <c r="AH69" s="718">
        <f t="shared" ref="AH69" si="400">+AD69+AF69</f>
        <v>0</v>
      </c>
      <c r="AI69" s="718">
        <f t="shared" ref="AI69" si="401">+AE69+AG69</f>
        <v>0</v>
      </c>
      <c r="AJ69" s="2399">
        <f>AJ70*AJ$3*24</f>
        <v>0</v>
      </c>
      <c r="AK69" s="2348">
        <v>0</v>
      </c>
      <c r="AL69" s="717">
        <f t="shared" ref="AL69" si="402">+AJ69+AF69+AB69</f>
        <v>0</v>
      </c>
      <c r="AM69" s="717">
        <f t="shared" si="303"/>
        <v>0</v>
      </c>
      <c r="AN69" s="718">
        <f t="shared" ref="AN69" si="403">+AH69+AJ69</f>
        <v>0</v>
      </c>
      <c r="AO69" s="718">
        <f t="shared" ref="AO69" si="404">+AI69+AK69</f>
        <v>0</v>
      </c>
      <c r="AP69" s="2399">
        <f>AP70*AP$3*24</f>
        <v>0</v>
      </c>
      <c r="AQ69" s="2348">
        <v>0</v>
      </c>
      <c r="AR69" s="718">
        <f t="shared" ref="AR69" si="405">+AN69+AP69</f>
        <v>0</v>
      </c>
      <c r="AS69" s="718">
        <f t="shared" ref="AS69" si="406">+AO69+AQ69</f>
        <v>0</v>
      </c>
      <c r="AT69" s="2399">
        <f>AT70*AT$3*24</f>
        <v>0</v>
      </c>
      <c r="AU69" s="2348">
        <v>0</v>
      </c>
      <c r="AV69" s="718">
        <f t="shared" ref="AV69" si="407">+AR69+AT69</f>
        <v>0</v>
      </c>
      <c r="AW69" s="718">
        <f t="shared" ref="AW69" si="408">+AS69+AU69</f>
        <v>0</v>
      </c>
      <c r="AX69" s="2399">
        <f>AX70*AX$3*24</f>
        <v>0</v>
      </c>
      <c r="AY69" s="2348">
        <v>0</v>
      </c>
      <c r="AZ69" s="717">
        <f t="shared" ref="AZ69" si="409">+AX69+AT69+AP69</f>
        <v>0</v>
      </c>
      <c r="BA69" s="717">
        <f t="shared" si="311"/>
        <v>0</v>
      </c>
      <c r="BB69" s="429">
        <f t="shared" si="312"/>
        <v>0</v>
      </c>
      <c r="BC69" s="429">
        <f t="shared" si="313"/>
        <v>0</v>
      </c>
      <c r="BD69" s="718">
        <f t="shared" ref="BD69" si="410">+AV69+AX69</f>
        <v>0</v>
      </c>
      <c r="BE69" s="718">
        <f t="shared" ref="BE69" si="411">+AW69+AY69</f>
        <v>0</v>
      </c>
      <c r="BF69" s="110"/>
      <c r="BG69" s="110"/>
      <c r="BH69" s="110"/>
      <c r="BI69" s="110"/>
      <c r="BJ69" s="110"/>
    </row>
    <row r="70" spans="1:62" ht="15" hidden="1" customHeight="1" x14ac:dyDescent="0.3">
      <c r="B70" s="8"/>
      <c r="C70" s="2356"/>
      <c r="D70" s="2399"/>
      <c r="E70" s="2348"/>
      <c r="F70" s="2399"/>
      <c r="G70" s="2348"/>
      <c r="H70" s="2349"/>
      <c r="I70" s="35"/>
      <c r="J70" s="2399">
        <v>0</v>
      </c>
      <c r="K70" s="2348"/>
      <c r="L70" s="717"/>
      <c r="M70" s="717"/>
      <c r="N70" s="2399">
        <v>0</v>
      </c>
      <c r="O70" s="2348"/>
      <c r="P70" s="718"/>
      <c r="Q70" s="718"/>
      <c r="R70" s="2399">
        <v>0</v>
      </c>
      <c r="S70" s="2348"/>
      <c r="T70" s="718"/>
      <c r="U70" s="718"/>
      <c r="V70" s="2399">
        <v>0</v>
      </c>
      <c r="W70" s="2348"/>
      <c r="X70" s="717"/>
      <c r="Y70" s="717">
        <f t="shared" si="295"/>
        <v>0</v>
      </c>
      <c r="Z70" s="429"/>
      <c r="AA70" s="429"/>
      <c r="AB70" s="2399">
        <v>0</v>
      </c>
      <c r="AC70" s="2348"/>
      <c r="AD70" s="718"/>
      <c r="AE70" s="718"/>
      <c r="AF70" s="2399">
        <v>0</v>
      </c>
      <c r="AG70" s="2348"/>
      <c r="AH70" s="718"/>
      <c r="AI70" s="718"/>
      <c r="AJ70" s="2399">
        <v>0</v>
      </c>
      <c r="AK70" s="2348"/>
      <c r="AL70" s="717"/>
      <c r="AM70" s="717">
        <f t="shared" si="303"/>
        <v>0</v>
      </c>
      <c r="AN70" s="718"/>
      <c r="AO70" s="718"/>
      <c r="AP70" s="2399">
        <v>0</v>
      </c>
      <c r="AQ70" s="2348"/>
      <c r="AR70" s="718"/>
      <c r="AS70" s="718"/>
      <c r="AT70" s="2399">
        <v>0</v>
      </c>
      <c r="AU70" s="2348"/>
      <c r="AV70" s="718"/>
      <c r="AW70" s="718"/>
      <c r="AX70" s="2399"/>
      <c r="AY70" s="2348"/>
      <c r="AZ70" s="717"/>
      <c r="BA70" s="717">
        <f t="shared" si="311"/>
        <v>0</v>
      </c>
      <c r="BB70" s="429">
        <f t="shared" si="312"/>
        <v>0</v>
      </c>
      <c r="BC70" s="429">
        <f t="shared" si="313"/>
        <v>0</v>
      </c>
      <c r="BD70" s="718"/>
      <c r="BE70" s="718"/>
      <c r="BF70" s="110"/>
      <c r="BG70" s="110"/>
      <c r="BH70" s="110"/>
      <c r="BI70" s="110"/>
      <c r="BJ70" s="110"/>
    </row>
    <row r="71" spans="1:62" x14ac:dyDescent="0.3">
      <c r="B71" s="8" t="s">
        <v>441</v>
      </c>
      <c r="C71" s="2356" t="s">
        <v>323</v>
      </c>
      <c r="D71" s="2399">
        <f>D72*D$3*24</f>
        <v>0</v>
      </c>
      <c r="E71" s="2348"/>
      <c r="F71" s="2399">
        <f>F72*F$3*24</f>
        <v>0</v>
      </c>
      <c r="G71" s="2348">
        <v>0</v>
      </c>
      <c r="H71" s="2349">
        <f t="shared" si="287"/>
        <v>0</v>
      </c>
      <c r="I71" s="35">
        <f t="shared" si="287"/>
        <v>0</v>
      </c>
      <c r="J71" s="2399">
        <f>J72*J$3*24</f>
        <v>0</v>
      </c>
      <c r="K71" s="2348">
        <v>0</v>
      </c>
      <c r="L71" s="717">
        <f t="shared" si="288"/>
        <v>0</v>
      </c>
      <c r="M71" s="717">
        <f t="shared" si="289"/>
        <v>0</v>
      </c>
      <c r="N71" s="2399">
        <f>N72*N$3*24</f>
        <v>0</v>
      </c>
      <c r="O71" s="2348">
        <v>0</v>
      </c>
      <c r="P71" s="718">
        <f t="shared" si="290"/>
        <v>0</v>
      </c>
      <c r="Q71" s="718">
        <f t="shared" si="291"/>
        <v>0</v>
      </c>
      <c r="R71" s="2399">
        <f>R72*R$3*24</f>
        <v>0</v>
      </c>
      <c r="S71" s="2348">
        <v>0</v>
      </c>
      <c r="T71" s="718">
        <f t="shared" ref="T71" si="412">+P71+R71</f>
        <v>0</v>
      </c>
      <c r="U71" s="718">
        <f t="shared" ref="U71" si="413">+Q71+S71</f>
        <v>0</v>
      </c>
      <c r="V71" s="2399">
        <f>V72*V$3*24</f>
        <v>0</v>
      </c>
      <c r="W71" s="2348">
        <v>0</v>
      </c>
      <c r="X71" s="717">
        <f t="shared" si="294"/>
        <v>0</v>
      </c>
      <c r="Y71" s="717">
        <f t="shared" si="295"/>
        <v>0</v>
      </c>
      <c r="Z71" s="429">
        <f t="shared" si="296"/>
        <v>0</v>
      </c>
      <c r="AA71" s="429">
        <f t="shared" si="297"/>
        <v>0</v>
      </c>
      <c r="AB71" s="2399">
        <f>AB72*AB$3*24</f>
        <v>0</v>
      </c>
      <c r="AC71" s="2348">
        <v>0</v>
      </c>
      <c r="AD71" s="718">
        <f t="shared" ref="AD71" si="414">+Z71+AB71</f>
        <v>0</v>
      </c>
      <c r="AE71" s="718">
        <f t="shared" ref="AE71" si="415">+AA71+AC71</f>
        <v>0</v>
      </c>
      <c r="AF71" s="2399">
        <f>AF72*AF$3*24</f>
        <v>0</v>
      </c>
      <c r="AG71" s="2348">
        <v>0</v>
      </c>
      <c r="AH71" s="718">
        <f t="shared" ref="AH71" si="416">+AD71+AF71</f>
        <v>0</v>
      </c>
      <c r="AI71" s="718">
        <f t="shared" ref="AI71" si="417">+AE71+AG71</f>
        <v>0</v>
      </c>
      <c r="AJ71" s="2399">
        <f>AJ72*AJ$3*24</f>
        <v>0</v>
      </c>
      <c r="AK71" s="2348">
        <v>0</v>
      </c>
      <c r="AL71" s="717">
        <f t="shared" ref="AL71" si="418">+AJ71+AF71+AB71</f>
        <v>0</v>
      </c>
      <c r="AM71" s="717">
        <f t="shared" si="303"/>
        <v>0</v>
      </c>
      <c r="AN71" s="718">
        <f t="shared" ref="AN71" si="419">+AH71+AJ71</f>
        <v>0</v>
      </c>
      <c r="AO71" s="718">
        <f t="shared" ref="AO71" si="420">+AI71+AK71</f>
        <v>0</v>
      </c>
      <c r="AP71" s="2399">
        <f>AP72*AP$3*24</f>
        <v>0</v>
      </c>
      <c r="AQ71" s="2348">
        <v>0</v>
      </c>
      <c r="AR71" s="718">
        <f t="shared" ref="AR71" si="421">+AN71+AP71</f>
        <v>0</v>
      </c>
      <c r="AS71" s="718">
        <f t="shared" ref="AS71" si="422">+AO71+AQ71</f>
        <v>0</v>
      </c>
      <c r="AT71" s="2399">
        <f>AT72*AT$3*24</f>
        <v>0</v>
      </c>
      <c r="AU71" s="2348">
        <v>0</v>
      </c>
      <c r="AV71" s="718">
        <f t="shared" ref="AV71" si="423">+AR71+AT71</f>
        <v>0</v>
      </c>
      <c r="AW71" s="718">
        <f t="shared" ref="AW71" si="424">+AS71+AU71</f>
        <v>0</v>
      </c>
      <c r="AX71" s="2399">
        <f>AX72*AX$3*24</f>
        <v>0</v>
      </c>
      <c r="AY71" s="2348">
        <v>0</v>
      </c>
      <c r="AZ71" s="717">
        <f t="shared" ref="AZ71" si="425">+AX71+AT71+AP71</f>
        <v>0</v>
      </c>
      <c r="BA71" s="717">
        <f t="shared" si="311"/>
        <v>0</v>
      </c>
      <c r="BB71" s="429">
        <f t="shared" si="312"/>
        <v>0</v>
      </c>
      <c r="BC71" s="429">
        <f t="shared" si="313"/>
        <v>0</v>
      </c>
      <c r="BD71" s="718">
        <f t="shared" ref="BD71" si="426">+AV71+AX71</f>
        <v>0</v>
      </c>
      <c r="BE71" s="718">
        <f t="shared" ref="BE71" si="427">+AW71+AY71</f>
        <v>0</v>
      </c>
      <c r="BF71" s="110"/>
      <c r="BG71" s="110"/>
      <c r="BH71" s="110"/>
      <c r="BI71" s="110"/>
      <c r="BJ71" s="110"/>
    </row>
    <row r="72" spans="1:62" ht="15" hidden="1" customHeight="1" x14ac:dyDescent="0.3">
      <c r="B72" s="8"/>
      <c r="C72" s="2356"/>
      <c r="D72" s="2399"/>
      <c r="E72" s="2348"/>
      <c r="F72" s="2399"/>
      <c r="G72" s="2348"/>
      <c r="H72" s="2349"/>
      <c r="I72" s="35"/>
      <c r="J72" s="2399">
        <v>0</v>
      </c>
      <c r="K72" s="2348"/>
      <c r="L72" s="717"/>
      <c r="M72" s="717"/>
      <c r="N72" s="2399">
        <v>0</v>
      </c>
      <c r="O72" s="2348"/>
      <c r="P72" s="718"/>
      <c r="Q72" s="718"/>
      <c r="R72" s="2399">
        <v>0</v>
      </c>
      <c r="S72" s="2348"/>
      <c r="T72" s="718"/>
      <c r="U72" s="718"/>
      <c r="V72" s="2399">
        <v>0</v>
      </c>
      <c r="W72" s="2348"/>
      <c r="X72" s="717"/>
      <c r="Y72" s="717">
        <f t="shared" si="295"/>
        <v>0</v>
      </c>
      <c r="Z72" s="429"/>
      <c r="AA72" s="429"/>
      <c r="AB72" s="2399">
        <v>0</v>
      </c>
      <c r="AC72" s="2348"/>
      <c r="AD72" s="718"/>
      <c r="AE72" s="718"/>
      <c r="AF72" s="2399">
        <v>0</v>
      </c>
      <c r="AG72" s="2348"/>
      <c r="AH72" s="718"/>
      <c r="AI72" s="718"/>
      <c r="AJ72" s="2399">
        <v>0</v>
      </c>
      <c r="AK72" s="2348"/>
      <c r="AL72" s="717"/>
      <c r="AM72" s="717">
        <f t="shared" si="303"/>
        <v>0</v>
      </c>
      <c r="AN72" s="718"/>
      <c r="AO72" s="718"/>
      <c r="AP72" s="2399">
        <v>0</v>
      </c>
      <c r="AQ72" s="2348">
        <v>0</v>
      </c>
      <c r="AR72" s="718"/>
      <c r="AS72" s="718"/>
      <c r="AT72" s="2399">
        <v>0</v>
      </c>
      <c r="AU72" s="2348"/>
      <c r="AV72" s="718"/>
      <c r="AW72" s="718"/>
      <c r="AX72" s="2399"/>
      <c r="AY72" s="2348"/>
      <c r="AZ72" s="717"/>
      <c r="BA72" s="717">
        <f t="shared" si="311"/>
        <v>0</v>
      </c>
      <c r="BB72" s="429"/>
      <c r="BC72" s="429"/>
      <c r="BD72" s="718"/>
      <c r="BE72" s="718"/>
      <c r="BF72" s="110"/>
      <c r="BG72" s="110">
        <f>D73/(24*30)</f>
        <v>420.41200000000003</v>
      </c>
      <c r="BH72" s="110"/>
      <c r="BI72" s="110"/>
      <c r="BJ72" s="110"/>
    </row>
    <row r="73" spans="1:62" ht="16.2" thickBot="1" x14ac:dyDescent="0.35">
      <c r="B73" s="2096" t="s">
        <v>61</v>
      </c>
      <c r="C73" s="2553" t="s">
        <v>323</v>
      </c>
      <c r="D73" s="2098">
        <f>D57+D59+D61+D63+D65+D67+D69+D71</f>
        <v>302696.64</v>
      </c>
      <c r="E73" s="2098">
        <f t="shared" ref="E73:G73" si="428">E57+E59+E61+E63+E65+E67+E69+E71</f>
        <v>352033.89</v>
      </c>
      <c r="F73" s="2098">
        <f>F57+F59+F61+F63+F65+F67+F69+F71</f>
        <v>271652.46000000002</v>
      </c>
      <c r="G73" s="2098">
        <f t="shared" si="428"/>
        <v>188268.67999999996</v>
      </c>
      <c r="H73" s="2084">
        <f t="shared" ref="H73:I73" si="429">H57+H59+H61+H63+H65+H67+H69+H71</f>
        <v>574349.10000000009</v>
      </c>
      <c r="I73" s="1772">
        <f t="shared" si="429"/>
        <v>540302.57000000007</v>
      </c>
      <c r="J73" s="2098">
        <f>J57+J59+J61+J63+J65+J67+J69+J71</f>
        <v>373613.76</v>
      </c>
      <c r="K73" s="2098">
        <f t="shared" ref="K73" si="430">K57+K59+K61+K63+K65+K67+K69+K71</f>
        <v>371175.85279871814</v>
      </c>
      <c r="L73" s="734">
        <f t="shared" ref="L73:Q73" si="431">SUM(L57:L71)</f>
        <v>947962.8600000001</v>
      </c>
      <c r="M73" s="734">
        <f t="shared" si="431"/>
        <v>911478.42279871821</v>
      </c>
      <c r="N73" s="2098">
        <f>N57+N59+N61+N63+N65+N67+N69+N71</f>
        <v>382941.6</v>
      </c>
      <c r="O73" s="2098">
        <f t="shared" ref="O73" si="432">O57+O59+O61+O63+O65+O67+O69+O71</f>
        <v>389509.52391328802</v>
      </c>
      <c r="P73" s="231">
        <f t="shared" si="431"/>
        <v>1330904.4600000004</v>
      </c>
      <c r="Q73" s="231">
        <f t="shared" si="431"/>
        <v>1300987.9467120061</v>
      </c>
      <c r="R73" s="2098">
        <f>R57+R59+R61+R63+R65+R67+R69+R71</f>
        <v>380463.00000000006</v>
      </c>
      <c r="S73" s="2098">
        <f t="shared" ref="S73" si="433">S57+S59+S61+S63+S65+S67+S69+S71</f>
        <v>373894.52777883213</v>
      </c>
      <c r="T73" s="231">
        <f t="shared" ref="T73:U73" si="434">SUM(T57:T71)</f>
        <v>1711367.4600000002</v>
      </c>
      <c r="U73" s="231">
        <f t="shared" si="434"/>
        <v>1674882.4744908384</v>
      </c>
      <c r="V73" s="2098">
        <f>V57+V59+V61+V63+V65+V67+V69+V71</f>
        <v>203989.99999999997</v>
      </c>
      <c r="W73" s="2098">
        <f t="shared" ref="W73" si="435">W57+W59+W61+W63+W65+W67+W69+W71</f>
        <v>368308.36</v>
      </c>
      <c r="X73" s="734">
        <f t="shared" ref="X73:AA73" si="436">SUM(X57:X71)</f>
        <v>967394.60000000009</v>
      </c>
      <c r="Y73" s="734">
        <f t="shared" si="436"/>
        <v>1131712.4116921201</v>
      </c>
      <c r="Z73" s="482">
        <f t="shared" si="436"/>
        <v>1915357.46</v>
      </c>
      <c r="AA73" s="482">
        <f t="shared" si="436"/>
        <v>2043190.8344908382</v>
      </c>
      <c r="AB73" s="2098">
        <f>AB57+AB59+AB61+AB63+AB65+AB67+AB69+AB71</f>
        <v>385468.80000000005</v>
      </c>
      <c r="AC73" s="2098">
        <f t="shared" ref="AC73" si="437">AC57+AC59+AC61+AC63+AC65+AC67+AC69+AC71</f>
        <v>313207.65999999997</v>
      </c>
      <c r="AD73" s="231">
        <f t="shared" ref="AD73:AE73" si="438">SUM(AD57:AD71)</f>
        <v>2300826.2599999998</v>
      </c>
      <c r="AE73" s="231">
        <f t="shared" si="438"/>
        <v>2356398.4944908381</v>
      </c>
      <c r="AF73" s="2098">
        <f>AF57+AF59+AF61+AF63+AF65+AF67+AF69+AF71</f>
        <v>373613.76000000007</v>
      </c>
      <c r="AG73" s="2098">
        <f t="shared" ref="AG73" si="439">AG57+AG59+AG61+AG63+AG65+AG67+AG69+AG71</f>
        <v>353851.41000000003</v>
      </c>
      <c r="AH73" s="231">
        <f t="shared" ref="AH73:AI73" si="440">SUM(AH57:AH71)</f>
        <v>2674440.0200000005</v>
      </c>
      <c r="AI73" s="231">
        <f t="shared" si="440"/>
        <v>2710249.9044908388</v>
      </c>
      <c r="AJ73" s="2098">
        <f>AJ57+AJ59+AJ61+AJ63+AJ65+AJ67+AJ69+AJ71</f>
        <v>385468.8000000001</v>
      </c>
      <c r="AK73" s="2098">
        <f t="shared" ref="AK73" si="441">AK57+AK59+AK61+AK63+AK65+AK67+AK69+AK71</f>
        <v>372047.71027438942</v>
      </c>
      <c r="AL73" s="734">
        <f t="shared" ref="AL73:AM73" si="442">SUM(AL57:AL71)</f>
        <v>1144551.3600000001</v>
      </c>
      <c r="AM73" s="734">
        <f t="shared" si="442"/>
        <v>1039106.7802743895</v>
      </c>
      <c r="AN73" s="231">
        <f t="shared" ref="AN73:AO73" si="443">SUM(AN57:AN71)</f>
        <v>3059908.8200000003</v>
      </c>
      <c r="AO73" s="231">
        <f t="shared" si="443"/>
        <v>3082297.6147652273</v>
      </c>
      <c r="AP73" s="2098">
        <f>AP57+AP59+AP61+AP63+AP65+AP67+AP69+AP71</f>
        <v>386324.16</v>
      </c>
      <c r="AQ73" s="2098">
        <f t="shared" ref="AQ73" si="444">AQ57+AQ59+AQ61+AQ63+AQ65+AQ67+AQ69+AQ71</f>
        <v>372960.60000000003</v>
      </c>
      <c r="AR73" s="231">
        <f t="shared" ref="AR73:AS73" si="445">SUM(AR57:AR71)</f>
        <v>3446232.9800000004</v>
      </c>
      <c r="AS73" s="231">
        <f t="shared" si="445"/>
        <v>3455258.2147652279</v>
      </c>
      <c r="AT73" s="2098">
        <f>AT57+AT59+AT61+AT63+AT65+AT67+AT69+AT71</f>
        <v>348756.72000000009</v>
      </c>
      <c r="AU73" s="2098">
        <f t="shared" ref="AU73" si="446">AU57+AU59+AU61+AU63+AU65+AU67+AU69+AU71</f>
        <v>333412.68</v>
      </c>
      <c r="AV73" s="231">
        <f t="shared" ref="AV73:AW73" si="447">SUM(AV57:AV71)</f>
        <v>3794989.7000000011</v>
      </c>
      <c r="AW73" s="231">
        <f t="shared" si="447"/>
        <v>3788670.8947652276</v>
      </c>
      <c r="AX73" s="2098">
        <f>AX57+AX59+AX61+AX63+AX65+AX67+AX69+AX71</f>
        <v>386324.15999999992</v>
      </c>
      <c r="AY73" s="2098">
        <f t="shared" ref="AY73" si="448">AY57+AY59+AY61+AY63+AY65+AY67+AY69+AY71</f>
        <v>364582.31</v>
      </c>
      <c r="AZ73" s="734">
        <f t="shared" ref="AZ73:BC73" si="449">SUM(AZ57:AZ71)</f>
        <v>1121405.04</v>
      </c>
      <c r="BA73" s="734">
        <f t="shared" si="449"/>
        <v>1070955.5900000001</v>
      </c>
      <c r="BB73" s="482">
        <f t="shared" si="449"/>
        <v>2265956.4</v>
      </c>
      <c r="BC73" s="482">
        <f t="shared" si="449"/>
        <v>2110062.3702743896</v>
      </c>
      <c r="BD73" s="231">
        <f t="shared" ref="BD73:BE73" si="450">SUM(BD57:BD71)</f>
        <v>4181313.8600000003</v>
      </c>
      <c r="BE73" s="231">
        <f t="shared" si="450"/>
        <v>4153253.2047652281</v>
      </c>
      <c r="BF73" s="110"/>
      <c r="BG73" s="110"/>
      <c r="BH73" s="110"/>
      <c r="BI73" s="110"/>
      <c r="BJ73" s="110"/>
    </row>
    <row r="74" spans="1:62" ht="20.399999999999999" x14ac:dyDescent="0.3">
      <c r="A74" s="88"/>
      <c r="B74" s="2637" t="s">
        <v>440</v>
      </c>
      <c r="C74" s="2637"/>
      <c r="D74" s="2638"/>
      <c r="E74" s="2637"/>
      <c r="F74" s="2638"/>
      <c r="G74" s="2637"/>
      <c r="H74" s="2637"/>
      <c r="I74" s="2637"/>
      <c r="J74" s="2638"/>
      <c r="K74" s="2637"/>
      <c r="L74" s="927"/>
      <c r="M74" s="927"/>
      <c r="N74" s="2638"/>
      <c r="O74" s="2637"/>
      <c r="P74" s="927"/>
      <c r="Q74" s="927"/>
      <c r="R74" s="2638"/>
      <c r="S74" s="2637"/>
      <c r="T74" s="927"/>
      <c r="U74" s="927"/>
      <c r="V74" s="2638"/>
      <c r="W74" s="2637"/>
      <c r="X74" s="927"/>
      <c r="Y74" s="927"/>
      <c r="Z74" s="927"/>
      <c r="AA74" s="927"/>
      <c r="AB74" s="2638"/>
      <c r="AC74" s="2637"/>
      <c r="AD74" s="927"/>
      <c r="AE74" s="927"/>
      <c r="AF74" s="2638"/>
      <c r="AG74" s="2637"/>
      <c r="AH74" s="927"/>
      <c r="AI74" s="927"/>
      <c r="AJ74" s="2638"/>
      <c r="AK74" s="2637"/>
      <c r="AL74" s="927"/>
      <c r="AM74" s="927"/>
      <c r="AN74" s="927"/>
      <c r="AO74" s="927"/>
      <c r="AP74" s="2638"/>
      <c r="AQ74" s="2637"/>
      <c r="AR74" s="927"/>
      <c r="AS74" s="927"/>
      <c r="AT74" s="2638"/>
      <c r="AU74" s="2637"/>
      <c r="AV74" s="927"/>
      <c r="AW74" s="927"/>
      <c r="AX74" s="2638"/>
      <c r="AY74" s="2637"/>
      <c r="AZ74" s="927"/>
      <c r="BA74" s="927"/>
      <c r="BB74" s="927"/>
      <c r="BC74" s="927"/>
      <c r="BD74" s="927"/>
      <c r="BE74" s="927"/>
      <c r="BF74" s="110"/>
      <c r="BG74" s="110"/>
      <c r="BH74" s="110"/>
      <c r="BI74" s="110"/>
      <c r="BJ74" s="110"/>
    </row>
    <row r="75" spans="1:62" ht="15.6" x14ac:dyDescent="0.3">
      <c r="B75" s="924" t="s">
        <v>327</v>
      </c>
      <c r="C75" s="146" t="s">
        <v>326</v>
      </c>
      <c r="D75" s="1031">
        <v>1850</v>
      </c>
      <c r="E75" s="929">
        <v>1900.45</v>
      </c>
      <c r="F75" s="1031">
        <v>1850</v>
      </c>
      <c r="G75" s="929">
        <v>1884.07</v>
      </c>
      <c r="H75" s="718">
        <v>1850</v>
      </c>
      <c r="I75" s="930">
        <f>+((E75*E76)+(G76*G75))/I76</f>
        <v>1897.3316856581534</v>
      </c>
      <c r="J75" s="1031">
        <v>1850</v>
      </c>
      <c r="K75" s="929">
        <v>1904.2601676483159</v>
      </c>
      <c r="L75" s="717">
        <v>1850</v>
      </c>
      <c r="M75" s="937">
        <f>+((I75*I76)+(K76*K75))/M76</f>
        <v>1900.7644898267363</v>
      </c>
      <c r="N75" s="1031">
        <v>1850</v>
      </c>
      <c r="O75" s="929">
        <v>1906.639288767047</v>
      </c>
      <c r="P75" s="718">
        <v>1850</v>
      </c>
      <c r="Q75" s="930">
        <f>+((M75*M76)+(O76*O75))/Q76</f>
        <v>1902.5441069284143</v>
      </c>
      <c r="R75" s="1031">
        <v>1850</v>
      </c>
      <c r="S75" s="929">
        <v>1910.7794521043527</v>
      </c>
      <c r="T75" s="718">
        <v>1850</v>
      </c>
      <c r="U75" s="930">
        <f>+((Q75*Q76)+(S76*S75))/U76</f>
        <v>1904.0163254607987</v>
      </c>
      <c r="V75" s="1031">
        <v>1850</v>
      </c>
      <c r="W75" s="929">
        <v>1906.3</v>
      </c>
      <c r="X75" s="717">
        <v>1850</v>
      </c>
      <c r="Y75" s="931">
        <f>+((O75*O76)+(S75*S76)+(W76*W75))/Y76</f>
        <v>1907.7383518140505</v>
      </c>
      <c r="Z75" s="932">
        <v>1850</v>
      </c>
      <c r="AA75" s="932">
        <f>+((M75*M76)+(Y76*Y75))/AA76</f>
        <v>1904.3775208790812</v>
      </c>
      <c r="AB75" s="1031">
        <v>1850</v>
      </c>
      <c r="AC75" s="929">
        <v>1902.24</v>
      </c>
      <c r="AD75" s="718">
        <v>1850</v>
      </c>
      <c r="AE75" s="930">
        <f>+((AA75*AA76)+(AC76*AC75))/AE76</f>
        <v>1904.1078011722911</v>
      </c>
      <c r="AF75" s="1031">
        <v>1850</v>
      </c>
      <c r="AG75" s="929">
        <v>1895.06</v>
      </c>
      <c r="AH75" s="718">
        <v>1850</v>
      </c>
      <c r="AI75" s="930">
        <f>+((AE75*AE76)+(AG76*AG75))/AI76</f>
        <v>1902.5533579371179</v>
      </c>
      <c r="AJ75" s="1031">
        <v>1850</v>
      </c>
      <c r="AK75" s="929">
        <v>1903.5530574013421</v>
      </c>
      <c r="AL75" s="717">
        <v>1850</v>
      </c>
      <c r="AM75" s="931">
        <f>+((AC75*AC76)+(AG75*AG76)+(AK76*AK75))/AM76</f>
        <v>1899.8960564055506</v>
      </c>
      <c r="AN75" s="718">
        <v>1850</v>
      </c>
      <c r="AO75" s="930">
        <f>+((AI75*AI76)+(AK76*AK75))/AO76</f>
        <v>1902.6914055077941</v>
      </c>
      <c r="AP75" s="1031">
        <v>1850</v>
      </c>
      <c r="AQ75" s="929">
        <v>1905.3</v>
      </c>
      <c r="AR75" s="718">
        <v>1850</v>
      </c>
      <c r="AS75" s="930">
        <f>+((AO75*AO76)+(AQ76*AQ75))/AS76</f>
        <v>1903.0018029265368</v>
      </c>
      <c r="AT75" s="1031">
        <v>1850</v>
      </c>
      <c r="AU75" s="929">
        <v>1918.44</v>
      </c>
      <c r="AV75" s="718">
        <v>1850</v>
      </c>
      <c r="AW75" s="930">
        <f>+((AS75*AS76)+(AU76*AU75))/AW76</f>
        <v>1904.3998908698611</v>
      </c>
      <c r="AX75" s="1031">
        <v>1850</v>
      </c>
      <c r="AY75" s="929">
        <v>1899.71</v>
      </c>
      <c r="AZ75" s="717">
        <v>1850</v>
      </c>
      <c r="BA75" s="931">
        <f>+((AQ75*AQ76)+(AU75*AU76)+(AY76*AY75))/BA76</f>
        <v>1907.3479321303073</v>
      </c>
      <c r="BB75" s="932">
        <v>1850</v>
      </c>
      <c r="BC75" s="932">
        <f>+((AM75*AM76)+(BA76*BA75))/BC76</f>
        <v>1903.620880457423</v>
      </c>
      <c r="BD75" s="718">
        <v>1850</v>
      </c>
      <c r="BE75" s="930">
        <f>+((AW75*AW76)+(AY76*AY75))/BE76</f>
        <v>1903.9638707118361</v>
      </c>
      <c r="BF75" s="110"/>
      <c r="BG75" s="110"/>
      <c r="BH75" s="110"/>
      <c r="BI75" s="110"/>
      <c r="BJ75" s="110"/>
    </row>
    <row r="76" spans="1:62" ht="16.5" customHeight="1" x14ac:dyDescent="0.3">
      <c r="B76" s="933" t="s">
        <v>442</v>
      </c>
      <c r="C76" s="736" t="s">
        <v>323</v>
      </c>
      <c r="D76" s="421">
        <f>D77*D$3*24</f>
        <v>0</v>
      </c>
      <c r="E76" s="934">
        <v>11950.9</v>
      </c>
      <c r="F76" s="421">
        <f>F77*F$3*24</f>
        <v>0</v>
      </c>
      <c r="G76" s="934">
        <v>2810.1</v>
      </c>
      <c r="H76" s="231">
        <f>+D76+F76</f>
        <v>0</v>
      </c>
      <c r="I76" s="935">
        <f>+E76+G76</f>
        <v>14761</v>
      </c>
      <c r="J76" s="421">
        <f>J77*J$3*24</f>
        <v>14226.628895184138</v>
      </c>
      <c r="K76" s="934">
        <v>14495.507</v>
      </c>
      <c r="L76" s="734">
        <f>+H76+J76</f>
        <v>14226.628895184138</v>
      </c>
      <c r="M76" s="931">
        <f>+I76+K76</f>
        <v>29256.506999999998</v>
      </c>
      <c r="N76" s="421">
        <f>N77*N$3*24</f>
        <v>14396.600566572235</v>
      </c>
      <c r="O76" s="934">
        <v>12713.814</v>
      </c>
      <c r="P76" s="231">
        <f>+L76+N76</f>
        <v>28623.229461756375</v>
      </c>
      <c r="Q76" s="935">
        <f>+M76+O76</f>
        <v>41970.320999999996</v>
      </c>
      <c r="R76" s="421">
        <f>R77*R$3*24</f>
        <v>14396.600566572235</v>
      </c>
      <c r="S76" s="934">
        <v>9136.2305695109899</v>
      </c>
      <c r="T76" s="231">
        <f>+P76+R76</f>
        <v>43019.830028328608</v>
      </c>
      <c r="U76" s="935">
        <f>+Q76+S76</f>
        <v>51106.551569510986</v>
      </c>
      <c r="V76" s="421">
        <f>V77*V$3*24</f>
        <v>7555.2407932011338</v>
      </c>
      <c r="W76" s="934">
        <v>9601.9</v>
      </c>
      <c r="X76" s="734">
        <f>+V76+R76+N76</f>
        <v>36348.4419263456</v>
      </c>
      <c r="Y76" s="734">
        <f>+W76+S76+O76</f>
        <v>31451.94456951099</v>
      </c>
      <c r="Z76" s="482">
        <f>+L76+X76</f>
        <v>50575.070821529735</v>
      </c>
      <c r="AA76" s="482">
        <f>+Y76+M76</f>
        <v>60708.451569510988</v>
      </c>
      <c r="AB76" s="421">
        <f>AB77*AB$3*24</f>
        <v>14679.886685552407</v>
      </c>
      <c r="AC76" s="934">
        <v>8766.6</v>
      </c>
      <c r="AD76" s="231">
        <f>+Z76+AB76</f>
        <v>65254.957507082145</v>
      </c>
      <c r="AE76" s="935">
        <f>+AA76+AC76</f>
        <v>69475.051569510993</v>
      </c>
      <c r="AF76" s="421">
        <f>AF77*AF$3*24</f>
        <v>0</v>
      </c>
      <c r="AG76" s="934">
        <v>14412.1</v>
      </c>
      <c r="AH76" s="231">
        <f>+AD76+AF76</f>
        <v>65254.957507082145</v>
      </c>
      <c r="AI76" s="935">
        <f>+AE76+AG76</f>
        <v>83887.151569510999</v>
      </c>
      <c r="AJ76" s="421">
        <f>AJ77*AJ$3*24</f>
        <v>0</v>
      </c>
      <c r="AK76" s="934">
        <v>13439.786498254285</v>
      </c>
      <c r="AL76" s="734">
        <f>+AJ76+AF76+AB76</f>
        <v>14679.886685552407</v>
      </c>
      <c r="AM76" s="734">
        <f>+AK76+AG76+AC76</f>
        <v>36618.486498254286</v>
      </c>
      <c r="AN76" s="231">
        <f>+AH76+AJ76</f>
        <v>65254.957507082145</v>
      </c>
      <c r="AO76" s="935">
        <f>+AI76+AK76</f>
        <v>97326.938067765281</v>
      </c>
      <c r="AP76" s="421">
        <f>AP77*AP$3*24</f>
        <v>0</v>
      </c>
      <c r="AQ76" s="934">
        <v>13145.1</v>
      </c>
      <c r="AR76" s="231">
        <f>+AN76+AP76</f>
        <v>65254.957507082145</v>
      </c>
      <c r="AS76" s="935">
        <f>+AO76+AQ76</f>
        <v>110472.03806776529</v>
      </c>
      <c r="AT76" s="421">
        <f>AT77*AT$3*24</f>
        <v>0</v>
      </c>
      <c r="AU76" s="934">
        <v>11000.6</v>
      </c>
      <c r="AV76" s="231">
        <f>+AR76+AT76</f>
        <v>65254.957507082145</v>
      </c>
      <c r="AW76" s="935">
        <f>+AS76+AU76</f>
        <v>121472.63806776529</v>
      </c>
      <c r="AX76" s="421">
        <f>AX77*AX$3*24</f>
        <v>14906.515580736545</v>
      </c>
      <c r="AY76" s="934">
        <v>12450.9</v>
      </c>
      <c r="AZ76" s="734">
        <f>+AX76+AT76+AP76</f>
        <v>14906.515580736545</v>
      </c>
      <c r="BA76" s="734">
        <f>+AY76+AU76+AQ76</f>
        <v>36596.6</v>
      </c>
      <c r="BB76" s="482">
        <f>+AL76+AZ76</f>
        <v>29586.402266288951</v>
      </c>
      <c r="BC76" s="482">
        <f>+BA76+AM76</f>
        <v>73215.086498254284</v>
      </c>
      <c r="BD76" s="231">
        <f>+AV76+AX76</f>
        <v>80161.473087818682</v>
      </c>
      <c r="BE76" s="935">
        <f>+AW76+AY76</f>
        <v>133923.5380677653</v>
      </c>
      <c r="BF76" s="110"/>
      <c r="BG76" s="110"/>
      <c r="BH76" s="110"/>
      <c r="BI76" s="110"/>
      <c r="BJ76" s="110"/>
    </row>
    <row r="77" spans="1:62" ht="15.75" hidden="1" customHeight="1" x14ac:dyDescent="0.3">
      <c r="B77" s="933"/>
      <c r="C77" s="736"/>
      <c r="D77" s="1033"/>
      <c r="E77" s="934"/>
      <c r="F77" s="1033"/>
      <c r="G77" s="934"/>
      <c r="H77" s="231"/>
      <c r="I77" s="935"/>
      <c r="J77" s="1033">
        <v>19.759206798866856</v>
      </c>
      <c r="K77" s="934"/>
      <c r="L77" s="734"/>
      <c r="M77" s="931"/>
      <c r="N77" s="1033">
        <v>19.350269578726124</v>
      </c>
      <c r="O77" s="934"/>
      <c r="P77" s="231"/>
      <c r="Q77" s="935"/>
      <c r="R77" s="1033">
        <v>19.350269578726124</v>
      </c>
      <c r="S77" s="934"/>
      <c r="T77" s="231"/>
      <c r="U77" s="935"/>
      <c r="V77" s="1033">
        <v>10.49338999055713</v>
      </c>
      <c r="W77" s="934"/>
      <c r="X77" s="734"/>
      <c r="Y77" s="734"/>
      <c r="Z77" s="482"/>
      <c r="AA77" s="482"/>
      <c r="AB77" s="1033">
        <v>19.731030491333879</v>
      </c>
      <c r="AC77" s="934"/>
      <c r="AD77" s="231"/>
      <c r="AE77" s="935"/>
      <c r="AF77" s="1033">
        <v>0</v>
      </c>
      <c r="AG77" s="934"/>
      <c r="AH77" s="231"/>
      <c r="AI77" s="935"/>
      <c r="AJ77" s="1033">
        <v>0</v>
      </c>
      <c r="AK77" s="934"/>
      <c r="AL77" s="734"/>
      <c r="AM77" s="734"/>
      <c r="AN77" s="231"/>
      <c r="AO77" s="935"/>
      <c r="AP77" s="1033"/>
      <c r="AQ77" s="934"/>
      <c r="AR77" s="231"/>
      <c r="AS77" s="935"/>
      <c r="AT77" s="1033">
        <v>0</v>
      </c>
      <c r="AU77" s="934"/>
      <c r="AV77" s="231"/>
      <c r="AW77" s="935"/>
      <c r="AX77" s="1033">
        <v>20.035639221420087</v>
      </c>
      <c r="AY77" s="934"/>
      <c r="AZ77" s="734"/>
      <c r="BA77" s="734"/>
      <c r="BB77" s="482"/>
      <c r="BC77" s="482"/>
      <c r="BD77" s="231"/>
      <c r="BE77" s="935"/>
      <c r="BF77" s="110"/>
      <c r="BG77" s="110"/>
      <c r="BH77" s="110"/>
      <c r="BI77" s="110"/>
      <c r="BJ77" s="110"/>
    </row>
    <row r="78" spans="1:62" x14ac:dyDescent="0.3">
      <c r="B78" s="712" t="s">
        <v>448</v>
      </c>
      <c r="C78" s="146" t="s">
        <v>323</v>
      </c>
      <c r="D78" s="1031">
        <f>D79*D$3*24</f>
        <v>0</v>
      </c>
      <c r="E78" s="929"/>
      <c r="F78" s="1031">
        <f>F79*F$3*24</f>
        <v>0</v>
      </c>
      <c r="G78" s="929"/>
      <c r="H78" s="718">
        <f>+D78+F78</f>
        <v>0</v>
      </c>
      <c r="I78" s="930">
        <f>+E78+G78</f>
        <v>0</v>
      </c>
      <c r="J78" s="1031">
        <f>J79*J$3*24</f>
        <v>0</v>
      </c>
      <c r="K78" s="929">
        <v>0</v>
      </c>
      <c r="L78" s="717">
        <f>+H78+J78</f>
        <v>0</v>
      </c>
      <c r="M78" s="937">
        <f>+I78+K78</f>
        <v>0</v>
      </c>
      <c r="N78" s="1031">
        <f>N79*N$3*24</f>
        <v>0</v>
      </c>
      <c r="O78" s="929">
        <v>0</v>
      </c>
      <c r="P78" s="718">
        <f>+L78+N78</f>
        <v>0</v>
      </c>
      <c r="Q78" s="930">
        <f>+M78+O78</f>
        <v>0</v>
      </c>
      <c r="R78" s="1031">
        <f>R79*R$3*24</f>
        <v>0</v>
      </c>
      <c r="S78" s="929">
        <v>0</v>
      </c>
      <c r="T78" s="718">
        <f>+P78+R78</f>
        <v>0</v>
      </c>
      <c r="U78" s="930">
        <f>+Q78+S78</f>
        <v>0</v>
      </c>
      <c r="V78" s="1031">
        <f>V79*V$3*24</f>
        <v>0</v>
      </c>
      <c r="W78" s="929">
        <v>0</v>
      </c>
      <c r="X78" s="717">
        <f>+V78+R78+N78</f>
        <v>0</v>
      </c>
      <c r="Y78" s="717">
        <f>+W78+S78+O78</f>
        <v>0</v>
      </c>
      <c r="Z78" s="429">
        <f>+L78+X78</f>
        <v>0</v>
      </c>
      <c r="AA78" s="429">
        <f>+Y78+M78</f>
        <v>0</v>
      </c>
      <c r="AB78" s="1031">
        <f>AB79*AB$3*24</f>
        <v>0</v>
      </c>
      <c r="AC78" s="929">
        <v>0</v>
      </c>
      <c r="AD78" s="718">
        <f>+Z78+AB78</f>
        <v>0</v>
      </c>
      <c r="AE78" s="930">
        <f>+AA78+AC78</f>
        <v>0</v>
      </c>
      <c r="AF78" s="1031">
        <f>AF79*AF$3*24</f>
        <v>0</v>
      </c>
      <c r="AG78" s="929">
        <v>0</v>
      </c>
      <c r="AH78" s="718">
        <f>+AD78+AF78</f>
        <v>0</v>
      </c>
      <c r="AI78" s="930">
        <f>+AE78+AG78</f>
        <v>0</v>
      </c>
      <c r="AJ78" s="1031">
        <f>AJ79*AJ$3*24</f>
        <v>0</v>
      </c>
      <c r="AK78" s="929">
        <v>0</v>
      </c>
      <c r="AL78" s="717">
        <f>+AJ78+AF78+AB78</f>
        <v>0</v>
      </c>
      <c r="AM78" s="717">
        <f>+AK78+AG78+AC78</f>
        <v>0</v>
      </c>
      <c r="AN78" s="718">
        <f>+AH78+AJ78</f>
        <v>0</v>
      </c>
      <c r="AO78" s="930">
        <f>+AI78+AK78</f>
        <v>0</v>
      </c>
      <c r="AP78" s="1031">
        <f>AP79*AP$3*24</f>
        <v>0</v>
      </c>
      <c r="AQ78" s="929">
        <v>0</v>
      </c>
      <c r="AR78" s="718">
        <f>+AN78+AP78</f>
        <v>0</v>
      </c>
      <c r="AS78" s="930">
        <f>+AO78+AQ78</f>
        <v>0</v>
      </c>
      <c r="AT78" s="1031">
        <f>AT79*AT$3*24</f>
        <v>0</v>
      </c>
      <c r="AU78" s="929"/>
      <c r="AV78" s="718">
        <f>+AR78+AT78</f>
        <v>0</v>
      </c>
      <c r="AW78" s="930">
        <f>+AS78+AU78</f>
        <v>0</v>
      </c>
      <c r="AX78" s="1031">
        <f>AX79*AX$3*24</f>
        <v>0</v>
      </c>
      <c r="AY78" s="929"/>
      <c r="AZ78" s="717">
        <f>+AX78+AT78+AP78</f>
        <v>0</v>
      </c>
      <c r="BA78" s="717">
        <f>+AY78+AU78+AQ78</f>
        <v>0</v>
      </c>
      <c r="BB78" s="429">
        <f t="shared" ref="BB78" si="451">+AL78+AZ78</f>
        <v>0</v>
      </c>
      <c r="BC78" s="429">
        <f t="shared" ref="BC78" si="452">+AM78+BA78</f>
        <v>0</v>
      </c>
      <c r="BD78" s="718">
        <f>+AV78+AX78</f>
        <v>0</v>
      </c>
      <c r="BE78" s="930">
        <f>+AW78+AY78</f>
        <v>0</v>
      </c>
      <c r="BF78" s="110"/>
      <c r="BG78" s="110"/>
      <c r="BH78" s="110"/>
      <c r="BI78" s="110"/>
      <c r="BJ78" s="110"/>
    </row>
    <row r="79" spans="1:62" ht="15" hidden="1" customHeight="1" x14ac:dyDescent="0.3">
      <c r="B79" s="712"/>
      <c r="C79" s="146"/>
      <c r="D79" s="1031"/>
      <c r="E79" s="929"/>
      <c r="F79" s="1031"/>
      <c r="G79" s="929"/>
      <c r="H79" s="718"/>
      <c r="I79" s="930"/>
      <c r="J79" s="1031"/>
      <c r="K79" s="929"/>
      <c r="L79" s="717"/>
      <c r="M79" s="937"/>
      <c r="N79" s="1031"/>
      <c r="O79" s="929"/>
      <c r="P79" s="718"/>
      <c r="Q79" s="930"/>
      <c r="R79" s="1031"/>
      <c r="S79" s="929"/>
      <c r="T79" s="718"/>
      <c r="U79" s="930"/>
      <c r="V79" s="1031"/>
      <c r="W79" s="929"/>
      <c r="X79" s="717"/>
      <c r="Y79" s="717"/>
      <c r="Z79" s="429"/>
      <c r="AA79" s="429"/>
      <c r="AB79" s="1031"/>
      <c r="AC79" s="929"/>
      <c r="AD79" s="718"/>
      <c r="AE79" s="930"/>
      <c r="AF79" s="1031"/>
      <c r="AG79" s="929"/>
      <c r="AH79" s="718"/>
      <c r="AI79" s="930"/>
      <c r="AJ79" s="1031"/>
      <c r="AK79" s="929"/>
      <c r="AL79" s="717"/>
      <c r="AM79" s="717"/>
      <c r="AN79" s="718"/>
      <c r="AO79" s="930"/>
      <c r="AP79" s="1031"/>
      <c r="AQ79" s="929"/>
      <c r="AR79" s="718"/>
      <c r="AS79" s="930"/>
      <c r="AT79" s="1031"/>
      <c r="AU79" s="929"/>
      <c r="AV79" s="718"/>
      <c r="AW79" s="930"/>
      <c r="AX79" s="1031"/>
      <c r="AY79" s="929"/>
      <c r="AZ79" s="717"/>
      <c r="BA79" s="717"/>
      <c r="BB79" s="429"/>
      <c r="BC79" s="429"/>
      <c r="BD79" s="718"/>
      <c r="BE79" s="930"/>
      <c r="BF79" s="110"/>
      <c r="BG79" s="110"/>
      <c r="BH79" s="110"/>
      <c r="BI79" s="110"/>
      <c r="BJ79" s="110"/>
    </row>
    <row r="80" spans="1:62" x14ac:dyDescent="0.3">
      <c r="B80" s="712" t="s">
        <v>73</v>
      </c>
      <c r="C80" s="146" t="s">
        <v>49</v>
      </c>
      <c r="D80" s="1031" t="e">
        <f t="shared" ref="D80:E80" si="453">+D78/D76*100</f>
        <v>#DIV/0!</v>
      </c>
      <c r="E80" s="929">
        <f t="shared" si="453"/>
        <v>0</v>
      </c>
      <c r="F80" s="1031" t="e">
        <f t="shared" ref="F80:G80" si="454">+F78/F76*100</f>
        <v>#DIV/0!</v>
      </c>
      <c r="G80" s="929">
        <f t="shared" si="454"/>
        <v>0</v>
      </c>
      <c r="H80" s="718" t="e">
        <f t="shared" ref="H80:K80" si="455">+H78/H76*100</f>
        <v>#DIV/0!</v>
      </c>
      <c r="I80" s="928">
        <f t="shared" si="455"/>
        <v>0</v>
      </c>
      <c r="J80" s="1031">
        <f t="shared" si="455"/>
        <v>0</v>
      </c>
      <c r="K80" s="929">
        <f t="shared" si="455"/>
        <v>0</v>
      </c>
      <c r="L80" s="717">
        <f t="shared" ref="L80:Q80" si="456">+L78/L76*100</f>
        <v>0</v>
      </c>
      <c r="M80" s="938">
        <f t="shared" si="456"/>
        <v>0</v>
      </c>
      <c r="N80" s="1031">
        <f t="shared" si="456"/>
        <v>0</v>
      </c>
      <c r="O80" s="929">
        <f t="shared" si="456"/>
        <v>0</v>
      </c>
      <c r="P80" s="718">
        <f t="shared" si="456"/>
        <v>0</v>
      </c>
      <c r="Q80" s="928">
        <f t="shared" si="456"/>
        <v>0</v>
      </c>
      <c r="R80" s="1031">
        <f t="shared" ref="R80:S80" si="457">+R78/R76*100</f>
        <v>0</v>
      </c>
      <c r="S80" s="929">
        <f t="shared" si="457"/>
        <v>0</v>
      </c>
      <c r="T80" s="718">
        <f t="shared" ref="T80:W80" si="458">+T78/T76*100</f>
        <v>0</v>
      </c>
      <c r="U80" s="928">
        <f t="shared" si="458"/>
        <v>0</v>
      </c>
      <c r="V80" s="1031">
        <f t="shared" si="458"/>
        <v>0</v>
      </c>
      <c r="W80" s="929">
        <f t="shared" si="458"/>
        <v>0</v>
      </c>
      <c r="X80" s="717">
        <f t="shared" ref="X80:AE80" si="459">+X78/X76*100</f>
        <v>0</v>
      </c>
      <c r="Y80" s="938">
        <f t="shared" si="459"/>
        <v>0</v>
      </c>
      <c r="Z80" s="429">
        <f t="shared" si="459"/>
        <v>0</v>
      </c>
      <c r="AA80" s="939">
        <f t="shared" si="459"/>
        <v>0</v>
      </c>
      <c r="AB80" s="1031">
        <f t="shared" si="459"/>
        <v>0</v>
      </c>
      <c r="AC80" s="929">
        <f t="shared" si="459"/>
        <v>0</v>
      </c>
      <c r="AD80" s="718">
        <f t="shared" si="459"/>
        <v>0</v>
      </c>
      <c r="AE80" s="930">
        <f t="shared" si="459"/>
        <v>0</v>
      </c>
      <c r="AF80" s="1031" t="e">
        <f t="shared" ref="AF80:AG80" si="460">+AF78/AF76*100</f>
        <v>#DIV/0!</v>
      </c>
      <c r="AG80" s="929">
        <f t="shared" si="460"/>
        <v>0</v>
      </c>
      <c r="AH80" s="718">
        <f t="shared" ref="AH80:AK80" si="461">+AH78/AH76*100</f>
        <v>0</v>
      </c>
      <c r="AI80" s="930">
        <f t="shared" si="461"/>
        <v>0</v>
      </c>
      <c r="AJ80" s="1031" t="e">
        <f t="shared" si="461"/>
        <v>#DIV/0!</v>
      </c>
      <c r="AK80" s="929">
        <f t="shared" si="461"/>
        <v>0</v>
      </c>
      <c r="AL80" s="717">
        <f t="shared" ref="AL80:AQ80" si="462">+AL78/AL76*100</f>
        <v>0</v>
      </c>
      <c r="AM80" s="938">
        <f t="shared" si="462"/>
        <v>0</v>
      </c>
      <c r="AN80" s="718">
        <f t="shared" si="462"/>
        <v>0</v>
      </c>
      <c r="AO80" s="930">
        <f t="shared" si="462"/>
        <v>0</v>
      </c>
      <c r="AP80" s="1031" t="e">
        <f t="shared" si="462"/>
        <v>#DIV/0!</v>
      </c>
      <c r="AQ80" s="929">
        <f t="shared" si="462"/>
        <v>0</v>
      </c>
      <c r="AR80" s="718">
        <f t="shared" ref="AR80:AU80" si="463">+AR78/AR76*100</f>
        <v>0</v>
      </c>
      <c r="AS80" s="930">
        <f t="shared" si="463"/>
        <v>0</v>
      </c>
      <c r="AT80" s="1031" t="e">
        <f t="shared" si="463"/>
        <v>#DIV/0!</v>
      </c>
      <c r="AU80" s="929">
        <f t="shared" si="463"/>
        <v>0</v>
      </c>
      <c r="AV80" s="718">
        <f t="shared" ref="AV80:AY80" si="464">+AV78/AV76*100</f>
        <v>0</v>
      </c>
      <c r="AW80" s="930">
        <f t="shared" si="464"/>
        <v>0</v>
      </c>
      <c r="AX80" s="1031">
        <f t="shared" si="464"/>
        <v>0</v>
      </c>
      <c r="AY80" s="929">
        <f t="shared" si="464"/>
        <v>0</v>
      </c>
      <c r="AZ80" s="717">
        <f t="shared" ref="AZ80:BE80" si="465">+AZ78/AZ76*100</f>
        <v>0</v>
      </c>
      <c r="BA80" s="938">
        <f t="shared" si="465"/>
        <v>0</v>
      </c>
      <c r="BB80" s="429">
        <f t="shared" si="465"/>
        <v>0</v>
      </c>
      <c r="BC80" s="939">
        <f t="shared" si="465"/>
        <v>0</v>
      </c>
      <c r="BD80" s="718">
        <f t="shared" si="465"/>
        <v>0</v>
      </c>
      <c r="BE80" s="930">
        <f t="shared" si="465"/>
        <v>0</v>
      </c>
      <c r="BF80" s="110"/>
      <c r="BG80" s="110"/>
      <c r="BH80" s="110"/>
      <c r="BI80" s="110"/>
      <c r="BJ80" s="110"/>
    </row>
    <row r="81" spans="1:62" ht="17.399999999999999" x14ac:dyDescent="0.3">
      <c r="A81" s="88"/>
      <c r="B81" s="541" t="s">
        <v>55</v>
      </c>
      <c r="C81" s="925" t="s">
        <v>323</v>
      </c>
      <c r="D81" s="1034">
        <f t="shared" ref="D81:E81" si="466">+D76-D78</f>
        <v>0</v>
      </c>
      <c r="E81" s="1034">
        <f t="shared" si="466"/>
        <v>11950.9</v>
      </c>
      <c r="F81" s="1034">
        <f t="shared" ref="F81:G81" si="467">+F76-F78</f>
        <v>0</v>
      </c>
      <c r="G81" s="1034">
        <f t="shared" si="467"/>
        <v>2810.1</v>
      </c>
      <c r="H81" s="231">
        <f t="shared" ref="H81:K81" si="468">+H76-H78</f>
        <v>0</v>
      </c>
      <c r="I81" s="935">
        <f t="shared" si="468"/>
        <v>14761</v>
      </c>
      <c r="J81" s="1034">
        <f t="shared" si="468"/>
        <v>14226.628895184138</v>
      </c>
      <c r="K81" s="1034">
        <f t="shared" si="468"/>
        <v>14495.507</v>
      </c>
      <c r="L81" s="734">
        <f t="shared" ref="L81:Q81" si="469">+L76-L78</f>
        <v>14226.628895184138</v>
      </c>
      <c r="M81" s="931">
        <f t="shared" si="469"/>
        <v>29256.506999999998</v>
      </c>
      <c r="N81" s="1034">
        <f t="shared" si="469"/>
        <v>14396.600566572235</v>
      </c>
      <c r="O81" s="1034">
        <f t="shared" si="469"/>
        <v>12713.814</v>
      </c>
      <c r="P81" s="231">
        <f t="shared" si="469"/>
        <v>28623.229461756375</v>
      </c>
      <c r="Q81" s="935">
        <f t="shared" si="469"/>
        <v>41970.320999999996</v>
      </c>
      <c r="R81" s="1034">
        <f t="shared" ref="R81:S81" si="470">+R76-R78</f>
        <v>14396.600566572235</v>
      </c>
      <c r="S81" s="1034">
        <f t="shared" si="470"/>
        <v>9136.2305695109899</v>
      </c>
      <c r="T81" s="231">
        <f t="shared" ref="T81:W81" si="471">+T76-T78</f>
        <v>43019.830028328608</v>
      </c>
      <c r="U81" s="935">
        <f t="shared" si="471"/>
        <v>51106.551569510986</v>
      </c>
      <c r="V81" s="1034">
        <f t="shared" si="471"/>
        <v>7555.2407932011338</v>
      </c>
      <c r="W81" s="1034">
        <f t="shared" si="471"/>
        <v>9601.9</v>
      </c>
      <c r="X81" s="734">
        <f t="shared" ref="X81:AE81" si="472">+X76-X78</f>
        <v>36348.4419263456</v>
      </c>
      <c r="Y81" s="931">
        <f t="shared" si="472"/>
        <v>31451.94456951099</v>
      </c>
      <c r="Z81" s="936">
        <f t="shared" si="472"/>
        <v>50575.070821529735</v>
      </c>
      <c r="AA81" s="936">
        <f t="shared" si="472"/>
        <v>60708.451569510988</v>
      </c>
      <c r="AB81" s="1034">
        <f t="shared" si="472"/>
        <v>14679.886685552407</v>
      </c>
      <c r="AC81" s="1034">
        <f t="shared" si="472"/>
        <v>8766.6</v>
      </c>
      <c r="AD81" s="231">
        <f t="shared" si="472"/>
        <v>65254.957507082145</v>
      </c>
      <c r="AE81" s="935">
        <f t="shared" si="472"/>
        <v>69475.051569510993</v>
      </c>
      <c r="AF81" s="1034">
        <f t="shared" ref="AF81:AG81" si="473">+AF76-AF78</f>
        <v>0</v>
      </c>
      <c r="AG81" s="1034">
        <f t="shared" si="473"/>
        <v>14412.1</v>
      </c>
      <c r="AH81" s="231">
        <f t="shared" ref="AH81:AK81" si="474">+AH76-AH78</f>
        <v>65254.957507082145</v>
      </c>
      <c r="AI81" s="935">
        <f t="shared" si="474"/>
        <v>83887.151569510999</v>
      </c>
      <c r="AJ81" s="1034">
        <f t="shared" si="474"/>
        <v>0</v>
      </c>
      <c r="AK81" s="1034">
        <f t="shared" si="474"/>
        <v>13439.786498254285</v>
      </c>
      <c r="AL81" s="734">
        <f t="shared" ref="AL81:AQ81" si="475">+AL76-AL78</f>
        <v>14679.886685552407</v>
      </c>
      <c r="AM81" s="931">
        <f t="shared" si="475"/>
        <v>36618.486498254286</v>
      </c>
      <c r="AN81" s="231">
        <f t="shared" si="475"/>
        <v>65254.957507082145</v>
      </c>
      <c r="AO81" s="935">
        <f t="shared" si="475"/>
        <v>97326.938067765281</v>
      </c>
      <c r="AP81" s="1034">
        <f t="shared" si="475"/>
        <v>0</v>
      </c>
      <c r="AQ81" s="1034">
        <f t="shared" si="475"/>
        <v>13145.1</v>
      </c>
      <c r="AR81" s="231">
        <f t="shared" ref="AR81:AU81" si="476">+AR76-AR78</f>
        <v>65254.957507082145</v>
      </c>
      <c r="AS81" s="935">
        <f t="shared" si="476"/>
        <v>110472.03806776529</v>
      </c>
      <c r="AT81" s="1034">
        <f t="shared" si="476"/>
        <v>0</v>
      </c>
      <c r="AU81" s="1034">
        <f t="shared" si="476"/>
        <v>11000.6</v>
      </c>
      <c r="AV81" s="231">
        <f t="shared" ref="AV81:AY81" si="477">+AV76-AV78</f>
        <v>65254.957507082145</v>
      </c>
      <c r="AW81" s="935">
        <f t="shared" si="477"/>
        <v>121472.63806776529</v>
      </c>
      <c r="AX81" s="1034">
        <f t="shared" si="477"/>
        <v>14906.515580736545</v>
      </c>
      <c r="AY81" s="1034">
        <f t="shared" si="477"/>
        <v>12450.9</v>
      </c>
      <c r="AZ81" s="734">
        <f t="shared" ref="AZ81:BE81" si="478">+AZ76-AZ78</f>
        <v>14906.515580736545</v>
      </c>
      <c r="BA81" s="931">
        <f t="shared" si="478"/>
        <v>36596.6</v>
      </c>
      <c r="BB81" s="936">
        <f t="shared" si="478"/>
        <v>29586.402266288951</v>
      </c>
      <c r="BC81" s="936">
        <f t="shared" si="478"/>
        <v>73215.086498254284</v>
      </c>
      <c r="BD81" s="231">
        <f t="shared" si="478"/>
        <v>80161.473087818682</v>
      </c>
      <c r="BE81" s="935">
        <f t="shared" si="478"/>
        <v>133923.5380677653</v>
      </c>
      <c r="BF81" s="110"/>
      <c r="BG81" s="110"/>
      <c r="BH81" s="110"/>
      <c r="BI81" s="110"/>
      <c r="BJ81" s="110"/>
    </row>
    <row r="82" spans="1:62" ht="15.6" x14ac:dyDescent="0.3">
      <c r="A82" s="88"/>
      <c r="B82" s="933" t="s">
        <v>443</v>
      </c>
      <c r="C82" s="933"/>
      <c r="D82" s="781"/>
      <c r="E82" s="933"/>
      <c r="F82" s="781"/>
      <c r="G82" s="933"/>
      <c r="H82" s="933"/>
      <c r="I82" s="933"/>
      <c r="J82" s="781"/>
      <c r="K82" s="933"/>
      <c r="L82" s="933"/>
      <c r="M82" s="933"/>
      <c r="N82" s="781"/>
      <c r="O82" s="933"/>
      <c r="P82" s="933"/>
      <c r="Q82" s="933"/>
      <c r="R82" s="781"/>
      <c r="S82" s="933"/>
      <c r="T82" s="933"/>
      <c r="U82" s="933"/>
      <c r="V82" s="781"/>
      <c r="W82" s="933"/>
      <c r="X82" s="933"/>
      <c r="Y82" s="933"/>
      <c r="Z82" s="933"/>
      <c r="AA82" s="933"/>
      <c r="AB82" s="781"/>
      <c r="AC82" s="933"/>
      <c r="AD82" s="933"/>
      <c r="AE82" s="933"/>
      <c r="AF82" s="781"/>
      <c r="AG82" s="933"/>
      <c r="AH82" s="933"/>
      <c r="AI82" s="933"/>
      <c r="AJ82" s="781"/>
      <c r="AK82" s="933"/>
      <c r="AL82" s="933"/>
      <c r="AM82" s="933"/>
      <c r="AN82" s="933"/>
      <c r="AO82" s="933"/>
      <c r="AP82" s="781"/>
      <c r="AQ82" s="933"/>
      <c r="AR82" s="933"/>
      <c r="AS82" s="933"/>
      <c r="AT82" s="781"/>
      <c r="AU82" s="933"/>
      <c r="AV82" s="933"/>
      <c r="AW82" s="933"/>
      <c r="AX82" s="781"/>
      <c r="AY82" s="933"/>
      <c r="AZ82" s="933"/>
      <c r="BA82" s="933"/>
      <c r="BB82" s="933"/>
      <c r="BC82" s="933"/>
      <c r="BD82" s="933"/>
      <c r="BE82" s="933"/>
      <c r="BF82" s="110"/>
      <c r="BG82" s="110"/>
      <c r="BH82" s="110"/>
      <c r="BI82" s="110"/>
      <c r="BJ82" s="110"/>
    </row>
    <row r="83" spans="1:62" x14ac:dyDescent="0.3">
      <c r="A83" s="88"/>
      <c r="B83" s="926" t="s">
        <v>121</v>
      </c>
      <c r="C83" s="146" t="s">
        <v>323</v>
      </c>
      <c r="D83" s="2399">
        <f>D84*D$3*24</f>
        <v>0</v>
      </c>
      <c r="E83" s="1094">
        <v>4687</v>
      </c>
      <c r="F83" s="2399">
        <f>F84*F$3*24</f>
        <v>0</v>
      </c>
      <c r="G83" s="1094">
        <v>2090.5</v>
      </c>
      <c r="H83" s="718">
        <f>+D83+F83</f>
        <v>0</v>
      </c>
      <c r="I83" s="718">
        <f>+E83+G83</f>
        <v>6777.5</v>
      </c>
      <c r="J83" s="2399">
        <f>J84*J$3*24</f>
        <v>12066.628895184138</v>
      </c>
      <c r="K83" s="1094">
        <v>6702.2109999999993</v>
      </c>
      <c r="L83" s="717">
        <f>+H83+J83</f>
        <v>12066.628895184138</v>
      </c>
      <c r="M83" s="717">
        <f>+I83+K83</f>
        <v>13479.710999999999</v>
      </c>
      <c r="N83" s="2399">
        <f>N84*N$3*24</f>
        <v>12164.600566572237</v>
      </c>
      <c r="O83" s="1094">
        <v>5306.7839999999997</v>
      </c>
      <c r="P83" s="718">
        <f>+L83+N83</f>
        <v>24231.229461756375</v>
      </c>
      <c r="Q83" s="718">
        <f>+M83+O83</f>
        <v>18786.494999999999</v>
      </c>
      <c r="R83" s="2399">
        <f>R84*R$3*24</f>
        <v>12164.600566572237</v>
      </c>
      <c r="S83" s="1094">
        <v>2019.7756535991027</v>
      </c>
      <c r="T83" s="718">
        <f>+P83+R83</f>
        <v>36395.830028328608</v>
      </c>
      <c r="U83" s="718">
        <f>+Q83+S83</f>
        <v>20806.270653599102</v>
      </c>
      <c r="V83" s="2399">
        <f>V84*V$3*24</f>
        <v>7555.2407932011338</v>
      </c>
      <c r="W83" s="1094">
        <v>586.70000000000005</v>
      </c>
      <c r="X83" s="717">
        <f>+V83+R83+N83</f>
        <v>31884.441926345607</v>
      </c>
      <c r="Y83" s="717">
        <f>+W83+S83+O83</f>
        <v>7913.2596535991024</v>
      </c>
      <c r="Z83" s="429">
        <f>+L83+X83</f>
        <v>43951.070821529749</v>
      </c>
      <c r="AA83" s="429">
        <f>+Y83+M83</f>
        <v>21392.970653599103</v>
      </c>
      <c r="AB83" s="2399">
        <f>AB84*AB$3*24</f>
        <v>12447.886685552403</v>
      </c>
      <c r="AC83" s="1094">
        <v>2968.5</v>
      </c>
      <c r="AD83" s="718">
        <f>+Z83+AB83</f>
        <v>56398.957507082152</v>
      </c>
      <c r="AE83" s="718">
        <f>+AA83+AC83</f>
        <v>24361.470653599103</v>
      </c>
      <c r="AF83" s="2399">
        <f>AF84*AF$3*24</f>
        <v>0</v>
      </c>
      <c r="AG83" s="1094">
        <v>3016.2</v>
      </c>
      <c r="AH83" s="718">
        <f>+AD83+AF83</f>
        <v>56398.957507082152</v>
      </c>
      <c r="AI83" s="718">
        <f>+AE83+AG83</f>
        <v>27377.670653599103</v>
      </c>
      <c r="AJ83" s="2399">
        <f>AJ84*AJ$3*24</f>
        <v>0</v>
      </c>
      <c r="AK83" s="1094">
        <v>1007.3280000000002</v>
      </c>
      <c r="AL83" s="717">
        <f>+AJ83+AF83+AB83</f>
        <v>12447.886685552403</v>
      </c>
      <c r="AM83" s="717">
        <f>+AK83+AG83+AC83</f>
        <v>6992.0280000000002</v>
      </c>
      <c r="AN83" s="718">
        <f>+AH83+AJ83</f>
        <v>56398.957507082152</v>
      </c>
      <c r="AO83" s="718">
        <f>+AI83+AK83</f>
        <v>28384.998653599105</v>
      </c>
      <c r="AP83" s="2399">
        <f>AP84*AP$3*24</f>
        <v>0</v>
      </c>
      <c r="AQ83" s="1094">
        <v>688.7</v>
      </c>
      <c r="AR83" s="718">
        <f>+AN83+AP83</f>
        <v>56398.957507082152</v>
      </c>
      <c r="AS83" s="718">
        <f>+AO83+AQ83</f>
        <v>29073.698653599105</v>
      </c>
      <c r="AT83" s="2399">
        <f>AT84*AT$3*24</f>
        <v>0</v>
      </c>
      <c r="AU83" s="1094">
        <v>966.1</v>
      </c>
      <c r="AV83" s="718">
        <f>+AR83+AT83</f>
        <v>56398.957507082152</v>
      </c>
      <c r="AW83" s="718">
        <f>+AS83+AU83</f>
        <v>30039.798653599104</v>
      </c>
      <c r="AX83" s="2399">
        <f>AX84*AX$3*24</f>
        <v>12674.515580736545</v>
      </c>
      <c r="AY83" s="1094">
        <v>2071.5</v>
      </c>
      <c r="AZ83" s="717">
        <f>+AX83+AT83+AP83</f>
        <v>12674.515580736545</v>
      </c>
      <c r="BA83" s="717">
        <f>+AY83+AU83+AQ83</f>
        <v>3726.3</v>
      </c>
      <c r="BB83" s="429">
        <f t="shared" ref="BB83:BB91" si="479">+AL83+AZ83</f>
        <v>25122.402266288947</v>
      </c>
      <c r="BC83" s="429">
        <f t="shared" ref="BC83:BC91" si="480">+AM83+BA83</f>
        <v>10718.328000000001</v>
      </c>
      <c r="BD83" s="718">
        <f>+AV83+AX83</f>
        <v>69073.473087818697</v>
      </c>
      <c r="BE83" s="718">
        <f>+AW83+AY83</f>
        <v>32111.298653599104</v>
      </c>
      <c r="BF83" s="110"/>
      <c r="BG83" s="110"/>
      <c r="BH83" s="110"/>
      <c r="BI83" s="110"/>
      <c r="BJ83" s="110"/>
    </row>
    <row r="84" spans="1:62" ht="15.6" hidden="1" x14ac:dyDescent="0.3">
      <c r="A84" s="88"/>
      <c r="B84" s="4320"/>
      <c r="C84" s="4060"/>
      <c r="D84" s="4321"/>
      <c r="E84" s="4125"/>
      <c r="F84" s="4321"/>
      <c r="G84" s="4125"/>
      <c r="H84" s="4119"/>
      <c r="I84" s="4119"/>
      <c r="J84" s="4321">
        <v>16.759206798866856</v>
      </c>
      <c r="K84" s="4125"/>
      <c r="L84" s="4126"/>
      <c r="M84" s="4126"/>
      <c r="N84" s="4321">
        <v>16.350269578726124</v>
      </c>
      <c r="O84" s="4125"/>
      <c r="P84" s="4119"/>
      <c r="Q84" s="4119"/>
      <c r="R84" s="4321">
        <v>16.350269578726124</v>
      </c>
      <c r="S84" s="4125"/>
      <c r="T84" s="4119"/>
      <c r="U84" s="4119"/>
      <c r="V84" s="4321">
        <v>10.49338999055713</v>
      </c>
      <c r="W84" s="4125"/>
      <c r="X84" s="4126"/>
      <c r="Y84" s="4126"/>
      <c r="Z84" s="4214"/>
      <c r="AA84" s="4214"/>
      <c r="AB84" s="4321">
        <v>16.731030491333875</v>
      </c>
      <c r="AC84" s="4125"/>
      <c r="AD84" s="4119"/>
      <c r="AE84" s="4119"/>
      <c r="AF84" s="4321">
        <v>0</v>
      </c>
      <c r="AG84" s="4125"/>
      <c r="AH84" s="4119"/>
      <c r="AI84" s="4119"/>
      <c r="AJ84" s="4321">
        <v>0</v>
      </c>
      <c r="AK84" s="4125"/>
      <c r="AL84" s="4126"/>
      <c r="AM84" s="4126"/>
      <c r="AN84" s="4119"/>
      <c r="AO84" s="4119"/>
      <c r="AP84" s="4321"/>
      <c r="AQ84" s="4125"/>
      <c r="AR84" s="4119"/>
      <c r="AS84" s="4119"/>
      <c r="AT84" s="4321"/>
      <c r="AU84" s="4125"/>
      <c r="AV84" s="4119"/>
      <c r="AW84" s="4119"/>
      <c r="AX84" s="4321">
        <v>17.035639221420087</v>
      </c>
      <c r="AY84" s="4125"/>
      <c r="AZ84" s="717">
        <f t="shared" ref="AZ84:AZ91" si="481">+AX84+AT84+AP84</f>
        <v>17.035639221420087</v>
      </c>
      <c r="BA84" s="4126"/>
      <c r="BB84" s="4214"/>
      <c r="BC84" s="4214"/>
      <c r="BD84" s="4119"/>
      <c r="BE84" s="4119"/>
      <c r="BF84" s="110"/>
      <c r="BG84" s="110"/>
      <c r="BH84" s="110"/>
      <c r="BI84" s="110"/>
      <c r="BJ84" s="110"/>
    </row>
    <row r="85" spans="1:62" x14ac:dyDescent="0.3">
      <c r="A85" s="88"/>
      <c r="B85" s="926" t="s">
        <v>1285</v>
      </c>
      <c r="C85" s="146" t="s">
        <v>323</v>
      </c>
      <c r="D85" s="2399">
        <f>D86*D$3*24</f>
        <v>0</v>
      </c>
      <c r="E85" s="1094">
        <v>3118.7</v>
      </c>
      <c r="F85" s="2399">
        <f>F86*F$3*24</f>
        <v>0</v>
      </c>
      <c r="G85" s="1094">
        <v>276.10000000000002</v>
      </c>
      <c r="H85" s="718">
        <f>+D85+F85</f>
        <v>0</v>
      </c>
      <c r="I85" s="718">
        <f>+E85+G85</f>
        <v>3394.7999999999997</v>
      </c>
      <c r="J85" s="2399">
        <f>J86*J$3*24</f>
        <v>1075.178175557433</v>
      </c>
      <c r="K85" s="1094">
        <v>3573.6069560380729</v>
      </c>
      <c r="L85" s="717">
        <f t="shared" ref="L85:L89" si="482">+H85+J85</f>
        <v>1075.178175557433</v>
      </c>
      <c r="M85" s="717">
        <f t="shared" ref="M85:M89" si="483">+I85+K85</f>
        <v>6968.4069560380722</v>
      </c>
      <c r="N85" s="2399">
        <f>N86*N$3*24</f>
        <v>1115.7337316178846</v>
      </c>
      <c r="O85" s="1094">
        <v>3192.9922877678187</v>
      </c>
      <c r="P85" s="718">
        <f>+L85+N85</f>
        <v>2190.9119071753175</v>
      </c>
      <c r="Q85" s="718">
        <f t="shared" ref="Q85:Q89" si="484">+M85+O85</f>
        <v>10161.39924380589</v>
      </c>
      <c r="R85" s="2399">
        <f>R86*R$3*24</f>
        <v>1115.7337316178846</v>
      </c>
      <c r="S85" s="1094">
        <v>3133.3300290292059</v>
      </c>
      <c r="T85" s="718">
        <f>+P85+R85</f>
        <v>3306.6456387932021</v>
      </c>
      <c r="U85" s="718">
        <f t="shared" ref="U85:U89" si="485">+Q85+S85</f>
        <v>13294.729272835097</v>
      </c>
      <c r="V85" s="2399">
        <f>V86*V$3*24</f>
        <v>0</v>
      </c>
      <c r="W85" s="1094">
        <v>3972.6</v>
      </c>
      <c r="X85" s="717">
        <f t="shared" ref="X85:Y91" si="486">+V85+R85+N85</f>
        <v>2231.4674632357692</v>
      </c>
      <c r="Y85" s="717">
        <f t="shared" si="486"/>
        <v>10298.922316797025</v>
      </c>
      <c r="Z85" s="429">
        <f t="shared" ref="Z85:Z89" si="487">+L85+X85</f>
        <v>3306.6456387932021</v>
      </c>
      <c r="AA85" s="429">
        <f t="shared" ref="AA85:AA91" si="488">+Y85+M85</f>
        <v>17267.329272835097</v>
      </c>
      <c r="AB85" s="2399">
        <f>AB86*AB$3*24</f>
        <v>1145.367687018359</v>
      </c>
      <c r="AC85" s="1094">
        <v>2397.1999999999998</v>
      </c>
      <c r="AD85" s="718">
        <f t="shared" ref="AD85:AE89" si="489">+Z85+AB85</f>
        <v>4452.0133258115611</v>
      </c>
      <c r="AE85" s="718">
        <f t="shared" si="489"/>
        <v>19664.529272835098</v>
      </c>
      <c r="AF85" s="2399">
        <f>AF86*AF$3*24</f>
        <v>0</v>
      </c>
      <c r="AG85" s="1094">
        <v>5031.8999999999996</v>
      </c>
      <c r="AH85" s="718">
        <f t="shared" ref="AH85:AI89" si="490">+AD85+AF85</f>
        <v>4452.0133258115611</v>
      </c>
      <c r="AI85" s="718">
        <f t="shared" si="490"/>
        <v>24696.429272835099</v>
      </c>
      <c r="AJ85" s="2399">
        <f>AJ86*AJ$3*24</f>
        <v>0</v>
      </c>
      <c r="AK85" s="1094">
        <v>5255.6771507618287</v>
      </c>
      <c r="AL85" s="717">
        <f t="shared" ref="AL85:AM91" si="491">+AJ85+AF85+AB85</f>
        <v>1145.367687018359</v>
      </c>
      <c r="AM85" s="717">
        <f t="shared" si="491"/>
        <v>12684.777150761827</v>
      </c>
      <c r="AN85" s="718">
        <f t="shared" ref="AN85:AO89" si="492">+AH85+AJ85</f>
        <v>4452.0133258115611</v>
      </c>
      <c r="AO85" s="718">
        <f t="shared" si="492"/>
        <v>29952.106423596928</v>
      </c>
      <c r="AP85" s="2399">
        <f>AP86*AP$3*24</f>
        <v>0</v>
      </c>
      <c r="AQ85" s="1094">
        <v>5533.6</v>
      </c>
      <c r="AR85" s="718">
        <f t="shared" ref="AR85:AS89" si="493">+AN85+AP85</f>
        <v>4452.0133258115611</v>
      </c>
      <c r="AS85" s="718">
        <f t="shared" si="493"/>
        <v>35485.70642359693</v>
      </c>
      <c r="AT85" s="2399">
        <f>AT86*AT$3*24</f>
        <v>0</v>
      </c>
      <c r="AU85" s="1094">
        <v>4698.7</v>
      </c>
      <c r="AV85" s="718">
        <f t="shared" ref="AV85:AW89" si="494">+AR85+AT85</f>
        <v>4452.0133258115611</v>
      </c>
      <c r="AW85" s="718">
        <f t="shared" si="494"/>
        <v>40184.406423596927</v>
      </c>
      <c r="AX85" s="2399">
        <f>AX86*AX$3*24</f>
        <v>1126.7127279168515</v>
      </c>
      <c r="AY85" s="1094">
        <v>4643.7</v>
      </c>
      <c r="AZ85" s="717">
        <f t="shared" si="481"/>
        <v>1126.7127279168515</v>
      </c>
      <c r="BA85" s="717">
        <f t="shared" ref="BA85:BA91" si="495">+AY85+AU85+AQ85</f>
        <v>14876</v>
      </c>
      <c r="BB85" s="429">
        <f t="shared" si="479"/>
        <v>2272.0804149352107</v>
      </c>
      <c r="BC85" s="429">
        <f t="shared" si="480"/>
        <v>27560.777150761827</v>
      </c>
      <c r="BD85" s="718">
        <f t="shared" ref="BD85:BE89" si="496">+AV85+AX85</f>
        <v>5578.7260537284128</v>
      </c>
      <c r="BE85" s="718">
        <f t="shared" si="496"/>
        <v>44828.106423596924</v>
      </c>
      <c r="BF85" s="110"/>
      <c r="BG85" s="110"/>
      <c r="BH85" s="110"/>
      <c r="BI85" s="110"/>
      <c r="BJ85" s="110"/>
    </row>
    <row r="86" spans="1:62" ht="15.6" hidden="1" x14ac:dyDescent="0.3">
      <c r="A86" s="88"/>
      <c r="B86" s="4320"/>
      <c r="C86" s="4060"/>
      <c r="D86" s="4321"/>
      <c r="E86" s="4125"/>
      <c r="F86" s="4321"/>
      <c r="G86" s="4125"/>
      <c r="H86" s="4119"/>
      <c r="I86" s="4119"/>
      <c r="J86" s="4321">
        <v>1.4933030216075458</v>
      </c>
      <c r="K86" s="4125"/>
      <c r="L86" s="4126"/>
      <c r="M86" s="4126"/>
      <c r="N86" s="4321">
        <v>1.49964211238963</v>
      </c>
      <c r="O86" s="4125"/>
      <c r="P86" s="4119"/>
      <c r="Q86" s="4119"/>
      <c r="R86" s="4321">
        <v>1.49964211238963</v>
      </c>
      <c r="S86" s="4125"/>
      <c r="T86" s="4119"/>
      <c r="U86" s="4119"/>
      <c r="V86" s="4321">
        <v>0</v>
      </c>
      <c r="W86" s="4125"/>
      <c r="X86" s="4126"/>
      <c r="Y86" s="4126"/>
      <c r="Z86" s="4214"/>
      <c r="AA86" s="4214"/>
      <c r="AB86" s="4321">
        <v>1.5394726976053212</v>
      </c>
      <c r="AC86" s="4125"/>
      <c r="AD86" s="4119"/>
      <c r="AE86" s="4119"/>
      <c r="AF86" s="4321">
        <v>0</v>
      </c>
      <c r="AG86" s="4125"/>
      <c r="AH86" s="4119"/>
      <c r="AI86" s="4119"/>
      <c r="AJ86" s="4321">
        <v>0</v>
      </c>
      <c r="AK86" s="4125"/>
      <c r="AL86" s="4126"/>
      <c r="AM86" s="4126"/>
      <c r="AN86" s="4119"/>
      <c r="AO86" s="4119"/>
      <c r="AP86" s="4321"/>
      <c r="AQ86" s="4125"/>
      <c r="AR86" s="4119"/>
      <c r="AS86" s="4119"/>
      <c r="AT86" s="4321"/>
      <c r="AU86" s="4125"/>
      <c r="AV86" s="4119"/>
      <c r="AW86" s="4119"/>
      <c r="AX86" s="4321">
        <v>1.5143988278452303</v>
      </c>
      <c r="AY86" s="4125"/>
      <c r="AZ86" s="717">
        <f t="shared" si="481"/>
        <v>1.5143988278452303</v>
      </c>
      <c r="BA86" s="4126"/>
      <c r="BB86" s="4214"/>
      <c r="BC86" s="4214"/>
      <c r="BD86" s="4119"/>
      <c r="BE86" s="4119"/>
      <c r="BF86" s="110"/>
      <c r="BG86" s="110"/>
      <c r="BH86" s="110"/>
      <c r="BI86" s="110"/>
      <c r="BJ86" s="110"/>
    </row>
    <row r="87" spans="1:62" x14ac:dyDescent="0.3">
      <c r="A87" s="88"/>
      <c r="B87" s="926" t="s">
        <v>91</v>
      </c>
      <c r="C87" s="146" t="s">
        <v>323</v>
      </c>
      <c r="D87" s="2399">
        <f>D88*D$3*24</f>
        <v>0</v>
      </c>
      <c r="E87" s="1094">
        <v>2436.9</v>
      </c>
      <c r="F87" s="2399">
        <f>F88*F$3*24</f>
        <v>0</v>
      </c>
      <c r="G87" s="1094">
        <v>306.89999999999998</v>
      </c>
      <c r="H87" s="718">
        <f t="shared" ref="H87:H91" si="497">+D87+F87</f>
        <v>0</v>
      </c>
      <c r="I87" s="718">
        <f t="shared" ref="I87:I91" si="498">+E87+G87</f>
        <v>2743.8</v>
      </c>
      <c r="J87" s="2399">
        <f>J88*J$3*24</f>
        <v>654.25781916880749</v>
      </c>
      <c r="K87" s="1094">
        <v>2473.3741110866117</v>
      </c>
      <c r="L87" s="717">
        <f t="shared" si="482"/>
        <v>654.25781916880749</v>
      </c>
      <c r="M87" s="717">
        <f t="shared" si="483"/>
        <v>5217.1741110866114</v>
      </c>
      <c r="N87" s="2399">
        <f>N88*N$3*24</f>
        <v>674.29810579814841</v>
      </c>
      <c r="O87" s="1094">
        <v>2485.4007884967182</v>
      </c>
      <c r="P87" s="718">
        <f>+L87+N87</f>
        <v>1328.5559249669559</v>
      </c>
      <c r="Q87" s="718">
        <f t="shared" si="484"/>
        <v>7702.5748995833292</v>
      </c>
      <c r="R87" s="2399">
        <f>R88*R$3*24</f>
        <v>674.29810579814841</v>
      </c>
      <c r="S87" s="1094">
        <v>2406.6359294407875</v>
      </c>
      <c r="T87" s="718">
        <f>+P87+R87</f>
        <v>2002.8540307651042</v>
      </c>
      <c r="U87" s="718">
        <f t="shared" si="485"/>
        <v>10109.210829024116</v>
      </c>
      <c r="V87" s="2399">
        <f>V88*V$3*24</f>
        <v>0</v>
      </c>
      <c r="W87" s="1094">
        <v>2969.9</v>
      </c>
      <c r="X87" s="717">
        <f t="shared" si="486"/>
        <v>1348.5962115962968</v>
      </c>
      <c r="Y87" s="717">
        <f t="shared" si="486"/>
        <v>7861.9367179375058</v>
      </c>
      <c r="Z87" s="429">
        <f t="shared" si="487"/>
        <v>2002.8540307651042</v>
      </c>
      <c r="AA87" s="429">
        <f t="shared" si="488"/>
        <v>13079.110829024117</v>
      </c>
      <c r="AB87" s="2399">
        <f>AB88*AB$3*24</f>
        <v>662.08771571893362</v>
      </c>
      <c r="AC87" s="1094">
        <v>1954.2</v>
      </c>
      <c r="AD87" s="718">
        <f t="shared" si="489"/>
        <v>2664.941746484038</v>
      </c>
      <c r="AE87" s="718">
        <f t="shared" si="489"/>
        <v>15033.310829024118</v>
      </c>
      <c r="AF87" s="2399">
        <f>AF88*AF$3*24</f>
        <v>0</v>
      </c>
      <c r="AG87" s="1094">
        <v>3735.6</v>
      </c>
      <c r="AH87" s="718">
        <f t="shared" si="490"/>
        <v>2664.941746484038</v>
      </c>
      <c r="AI87" s="718">
        <f t="shared" si="490"/>
        <v>18768.910829024117</v>
      </c>
      <c r="AJ87" s="2399">
        <f>AJ88*AJ$3*24</f>
        <v>0</v>
      </c>
      <c r="AK87" s="1094">
        <v>4017.3000405304383</v>
      </c>
      <c r="AL87" s="717">
        <f t="shared" si="491"/>
        <v>662.08771571893362</v>
      </c>
      <c r="AM87" s="717">
        <f t="shared" si="491"/>
        <v>9707.1000405304385</v>
      </c>
      <c r="AN87" s="718">
        <f t="shared" si="492"/>
        <v>2664.941746484038</v>
      </c>
      <c r="AO87" s="718">
        <f t="shared" si="492"/>
        <v>22786.210869554554</v>
      </c>
      <c r="AP87" s="2399">
        <f>AP88*AP$3*24</f>
        <v>0</v>
      </c>
      <c r="AQ87" s="1094">
        <v>3954.4</v>
      </c>
      <c r="AR87" s="718">
        <f t="shared" si="493"/>
        <v>2664.941746484038</v>
      </c>
      <c r="AS87" s="718">
        <f t="shared" si="493"/>
        <v>26740.610869554555</v>
      </c>
      <c r="AT87" s="2399">
        <f>AT88*AT$3*24</f>
        <v>0</v>
      </c>
      <c r="AU87" s="1094">
        <v>3081.8</v>
      </c>
      <c r="AV87" s="718">
        <f t="shared" si="494"/>
        <v>2664.941746484038</v>
      </c>
      <c r="AW87" s="718">
        <f t="shared" si="494"/>
        <v>29822.410869554555</v>
      </c>
      <c r="AX87" s="2399">
        <f>AX88*AX$3*24</f>
        <v>668.0041923546496</v>
      </c>
      <c r="AY87" s="1094">
        <v>3227.9</v>
      </c>
      <c r="AZ87" s="717">
        <f t="shared" si="481"/>
        <v>668.0041923546496</v>
      </c>
      <c r="BA87" s="717">
        <f t="shared" si="495"/>
        <v>10264.1</v>
      </c>
      <c r="BB87" s="429">
        <f t="shared" si="479"/>
        <v>1330.0919080735832</v>
      </c>
      <c r="BC87" s="429">
        <f t="shared" si="480"/>
        <v>19971.200040530439</v>
      </c>
      <c r="BD87" s="718">
        <f t="shared" si="496"/>
        <v>3332.9459388386877</v>
      </c>
      <c r="BE87" s="718">
        <f t="shared" si="496"/>
        <v>33050.310869554552</v>
      </c>
      <c r="BF87" s="110"/>
      <c r="BG87" s="110"/>
      <c r="BH87" s="110"/>
      <c r="BI87" s="110"/>
      <c r="BJ87" s="110"/>
    </row>
    <row r="88" spans="1:62" ht="15.6" hidden="1" x14ac:dyDescent="0.3">
      <c r="A88" s="88"/>
      <c r="B88" s="4320"/>
      <c r="C88" s="4060"/>
      <c r="D88" s="4321"/>
      <c r="E88" s="4125"/>
      <c r="F88" s="4321"/>
      <c r="G88" s="4125"/>
      <c r="H88" s="4119"/>
      <c r="I88" s="4119"/>
      <c r="J88" s="4321">
        <v>0.90869141551223254</v>
      </c>
      <c r="K88" s="4125"/>
      <c r="L88" s="4126"/>
      <c r="M88" s="4126"/>
      <c r="N88" s="4321">
        <v>0.90631465833084468</v>
      </c>
      <c r="O88" s="4125"/>
      <c r="P88" s="4119"/>
      <c r="Q88" s="4119"/>
      <c r="R88" s="4321">
        <v>0.90631465833084468</v>
      </c>
      <c r="S88" s="4125"/>
      <c r="T88" s="4119"/>
      <c r="U88" s="4119"/>
      <c r="V88" s="4321">
        <v>0</v>
      </c>
      <c r="W88" s="4125"/>
      <c r="X88" s="4126"/>
      <c r="Y88" s="4126"/>
      <c r="Z88" s="4214"/>
      <c r="AA88" s="4214"/>
      <c r="AB88" s="4321">
        <v>0.88990284370824413</v>
      </c>
      <c r="AC88" s="4125"/>
      <c r="AD88" s="4119"/>
      <c r="AE88" s="4119"/>
      <c r="AF88" s="4321">
        <v>0</v>
      </c>
      <c r="AG88" s="4125"/>
      <c r="AH88" s="4119"/>
      <c r="AI88" s="4119"/>
      <c r="AJ88" s="4321">
        <v>0</v>
      </c>
      <c r="AK88" s="4125"/>
      <c r="AL88" s="4126"/>
      <c r="AM88" s="4126"/>
      <c r="AN88" s="4119"/>
      <c r="AO88" s="4119"/>
      <c r="AP88" s="4321"/>
      <c r="AQ88" s="4125"/>
      <c r="AR88" s="4119"/>
      <c r="AS88" s="4119"/>
      <c r="AT88" s="4321"/>
      <c r="AU88" s="4125"/>
      <c r="AV88" s="4119"/>
      <c r="AW88" s="4119"/>
      <c r="AX88" s="4321">
        <v>0.89785509725087309</v>
      </c>
      <c r="AY88" s="4125"/>
      <c r="AZ88" s="717">
        <f t="shared" si="481"/>
        <v>0.89785509725087309</v>
      </c>
      <c r="BA88" s="4126"/>
      <c r="BB88" s="4214"/>
      <c r="BC88" s="4214"/>
      <c r="BD88" s="4119"/>
      <c r="BE88" s="4119"/>
      <c r="BF88" s="110"/>
      <c r="BG88" s="110"/>
      <c r="BH88" s="110"/>
      <c r="BI88" s="110"/>
      <c r="BJ88" s="110"/>
    </row>
    <row r="89" spans="1:62" x14ac:dyDescent="0.3">
      <c r="A89" s="88"/>
      <c r="B89" s="926" t="s">
        <v>1286</v>
      </c>
      <c r="C89" s="146" t="s">
        <v>323</v>
      </c>
      <c r="D89" s="2399">
        <f>D90*D$3*24</f>
        <v>0</v>
      </c>
      <c r="E89" s="1094">
        <v>1708.2</v>
      </c>
      <c r="F89" s="2399">
        <f>F90*F$3*24</f>
        <v>0</v>
      </c>
      <c r="G89" s="1094">
        <v>136.6</v>
      </c>
      <c r="H89" s="718">
        <f t="shared" si="497"/>
        <v>0</v>
      </c>
      <c r="I89" s="718">
        <f t="shared" si="498"/>
        <v>1844.8</v>
      </c>
      <c r="J89" s="2399">
        <f>J90*J$3*24</f>
        <v>430.56400527375979</v>
      </c>
      <c r="K89" s="1094">
        <v>1746.3149328753157</v>
      </c>
      <c r="L89" s="717">
        <f t="shared" si="482"/>
        <v>430.56400527375979</v>
      </c>
      <c r="M89" s="717">
        <f t="shared" si="483"/>
        <v>3591.1149328753154</v>
      </c>
      <c r="N89" s="2399">
        <f>N90*N$3*24</f>
        <v>441.96816258396706</v>
      </c>
      <c r="O89" s="1094">
        <v>1728.6369237354629</v>
      </c>
      <c r="P89" s="718">
        <f>+L89+N89</f>
        <v>872.53216785772679</v>
      </c>
      <c r="Q89" s="718">
        <f t="shared" si="484"/>
        <v>5319.7518566107783</v>
      </c>
      <c r="R89" s="2399">
        <f>R90*R$3*24</f>
        <v>441.96816258396706</v>
      </c>
      <c r="S89" s="1094">
        <v>1576.4889574418933</v>
      </c>
      <c r="T89" s="718">
        <f>+P89+R89</f>
        <v>1314.5003304416939</v>
      </c>
      <c r="U89" s="718">
        <f t="shared" si="485"/>
        <v>6896.2408140526713</v>
      </c>
      <c r="V89" s="2399">
        <f>V90*V$3*24</f>
        <v>0</v>
      </c>
      <c r="W89" s="1094">
        <v>2072.8000000000002</v>
      </c>
      <c r="X89" s="717">
        <f t="shared" si="486"/>
        <v>883.93632516793411</v>
      </c>
      <c r="Y89" s="717">
        <f t="shared" si="486"/>
        <v>5377.9258811773561</v>
      </c>
      <c r="Z89" s="429">
        <f t="shared" si="487"/>
        <v>1314.5003304416939</v>
      </c>
      <c r="AA89" s="429">
        <f t="shared" si="488"/>
        <v>8969.0408140526706</v>
      </c>
      <c r="AB89" s="2399">
        <f>AB90*AB$3*24</f>
        <v>424.54459726270744</v>
      </c>
      <c r="AC89" s="1094">
        <v>1446.6</v>
      </c>
      <c r="AD89" s="718">
        <f t="shared" si="489"/>
        <v>1739.0449277044013</v>
      </c>
      <c r="AE89" s="718">
        <f t="shared" si="489"/>
        <v>10415.640814052671</v>
      </c>
      <c r="AF89" s="2399">
        <f>AF90*AF$3*24</f>
        <v>0</v>
      </c>
      <c r="AG89" s="1094">
        <v>2628.5</v>
      </c>
      <c r="AH89" s="718">
        <f t="shared" si="490"/>
        <v>1739.0449277044013</v>
      </c>
      <c r="AI89" s="718">
        <f t="shared" si="490"/>
        <v>13044.140814052671</v>
      </c>
      <c r="AJ89" s="2399">
        <f>AJ90*AJ$3*24</f>
        <v>0</v>
      </c>
      <c r="AK89" s="1094">
        <v>3159.4813069620204</v>
      </c>
      <c r="AL89" s="717">
        <f t="shared" si="491"/>
        <v>424.54459726270744</v>
      </c>
      <c r="AM89" s="717">
        <f t="shared" si="491"/>
        <v>7234.5813069620199</v>
      </c>
      <c r="AN89" s="718">
        <f t="shared" si="492"/>
        <v>1739.0449277044013</v>
      </c>
      <c r="AO89" s="718">
        <f t="shared" si="492"/>
        <v>16203.62212101469</v>
      </c>
      <c r="AP89" s="2399">
        <f>AP90*AP$3*24</f>
        <v>0</v>
      </c>
      <c r="AQ89" s="1094">
        <v>2968.5</v>
      </c>
      <c r="AR89" s="718">
        <f t="shared" si="493"/>
        <v>1739.0449277044013</v>
      </c>
      <c r="AS89" s="718">
        <f t="shared" si="493"/>
        <v>19172.12212101469</v>
      </c>
      <c r="AT89" s="2399">
        <f>AT90*AT$3*24</f>
        <v>0</v>
      </c>
      <c r="AU89" s="1094">
        <v>2254</v>
      </c>
      <c r="AV89" s="718">
        <f t="shared" si="494"/>
        <v>1739.0449277044013</v>
      </c>
      <c r="AW89" s="718">
        <f t="shared" si="494"/>
        <v>21426.12212101469</v>
      </c>
      <c r="AX89" s="2399">
        <f>AX90*AX$3*24</f>
        <v>437.28307972849899</v>
      </c>
      <c r="AY89" s="1094">
        <v>2507.8000000000002</v>
      </c>
      <c r="AZ89" s="717">
        <f t="shared" si="481"/>
        <v>437.28307972849899</v>
      </c>
      <c r="BA89" s="717">
        <f t="shared" si="495"/>
        <v>7730.3</v>
      </c>
      <c r="BB89" s="429">
        <f t="shared" si="479"/>
        <v>861.82767699120643</v>
      </c>
      <c r="BC89" s="429">
        <f t="shared" si="480"/>
        <v>14964.881306962019</v>
      </c>
      <c r="BD89" s="718">
        <f t="shared" si="496"/>
        <v>2176.3280074329004</v>
      </c>
      <c r="BE89" s="718">
        <f t="shared" si="496"/>
        <v>23933.92212101469</v>
      </c>
      <c r="BF89" s="110"/>
      <c r="BG89" s="110"/>
      <c r="BH89" s="110"/>
      <c r="BI89" s="110"/>
      <c r="BJ89" s="110"/>
    </row>
    <row r="90" spans="1:62" ht="15.6" hidden="1" x14ac:dyDescent="0.3">
      <c r="A90" s="88"/>
      <c r="B90" s="4320"/>
      <c r="C90" s="4060"/>
      <c r="D90" s="4321"/>
      <c r="E90" s="4125"/>
      <c r="F90" s="4321"/>
      <c r="G90" s="4125"/>
      <c r="H90" s="4119"/>
      <c r="I90" s="4119"/>
      <c r="J90" s="4321">
        <v>0.59800556288022189</v>
      </c>
      <c r="K90" s="4125"/>
      <c r="L90" s="4126"/>
      <c r="M90" s="4126"/>
      <c r="N90" s="4321">
        <v>0.59404322927952558</v>
      </c>
      <c r="O90" s="4125"/>
      <c r="P90" s="4119"/>
      <c r="Q90" s="4119"/>
      <c r="R90" s="4321">
        <v>0.59404322927952558</v>
      </c>
      <c r="S90" s="4125"/>
      <c r="T90" s="4119"/>
      <c r="U90" s="4119"/>
      <c r="V90" s="4321">
        <v>0</v>
      </c>
      <c r="W90" s="4125"/>
      <c r="X90" s="4126"/>
      <c r="Y90" s="4126"/>
      <c r="Z90" s="4214"/>
      <c r="AA90" s="4214"/>
      <c r="AB90" s="4321">
        <v>0.57062445868643474</v>
      </c>
      <c r="AC90" s="4125"/>
      <c r="AD90" s="4119"/>
      <c r="AE90" s="4119"/>
      <c r="AF90" s="4321">
        <v>0</v>
      </c>
      <c r="AG90" s="4125"/>
      <c r="AH90" s="4119"/>
      <c r="AI90" s="4119"/>
      <c r="AJ90" s="4321">
        <v>0</v>
      </c>
      <c r="AK90" s="4125"/>
      <c r="AL90" s="4126"/>
      <c r="AM90" s="4126"/>
      <c r="AN90" s="4119"/>
      <c r="AO90" s="4119"/>
      <c r="AP90" s="4321"/>
      <c r="AQ90" s="4125"/>
      <c r="AR90" s="4119"/>
      <c r="AS90" s="4119"/>
      <c r="AT90" s="4321"/>
      <c r="AU90" s="4125"/>
      <c r="AV90" s="4119"/>
      <c r="AW90" s="4119"/>
      <c r="AX90" s="4321">
        <v>0.58774607490389652</v>
      </c>
      <c r="AY90" s="4125"/>
      <c r="AZ90" s="717">
        <f t="shared" si="481"/>
        <v>0.58774607490389652</v>
      </c>
      <c r="BA90" s="4126"/>
      <c r="BB90" s="4214"/>
      <c r="BC90" s="4214"/>
      <c r="BD90" s="4119"/>
      <c r="BE90" s="4119"/>
      <c r="BF90" s="110"/>
      <c r="BG90" s="110"/>
      <c r="BH90" s="110"/>
      <c r="BI90" s="110"/>
      <c r="BJ90" s="110"/>
    </row>
    <row r="91" spans="1:62" x14ac:dyDescent="0.3">
      <c r="A91" s="88"/>
      <c r="B91" s="926" t="s">
        <v>54</v>
      </c>
      <c r="C91" s="146" t="s">
        <v>323</v>
      </c>
      <c r="D91" s="1031"/>
      <c r="E91" s="1094"/>
      <c r="F91" s="1031"/>
      <c r="G91" s="1094"/>
      <c r="H91" s="718">
        <f t="shared" si="497"/>
        <v>0</v>
      </c>
      <c r="I91" s="718">
        <f t="shared" si="498"/>
        <v>0</v>
      </c>
      <c r="J91" s="1031"/>
      <c r="K91" s="1094"/>
      <c r="L91" s="717">
        <f>+H91+J91</f>
        <v>0</v>
      </c>
      <c r="M91" s="873">
        <f>+I91+K91</f>
        <v>0</v>
      </c>
      <c r="N91" s="1031"/>
      <c r="O91" s="1094"/>
      <c r="P91" s="718">
        <f>+L91+N91</f>
        <v>0</v>
      </c>
      <c r="Q91" s="547">
        <f>+M91+O91</f>
        <v>0</v>
      </c>
      <c r="R91" s="1031"/>
      <c r="S91" s="1094"/>
      <c r="T91" s="718">
        <f>+P91+R91</f>
        <v>0</v>
      </c>
      <c r="U91" s="547">
        <f>+Q91+S91</f>
        <v>0</v>
      </c>
      <c r="V91" s="1031"/>
      <c r="W91" s="1094"/>
      <c r="X91" s="717">
        <f t="shared" si="486"/>
        <v>0</v>
      </c>
      <c r="Y91" s="717">
        <f t="shared" si="486"/>
        <v>0</v>
      </c>
      <c r="Z91" s="429">
        <f>+L91+X91</f>
        <v>0</v>
      </c>
      <c r="AA91" s="429">
        <f t="shared" si="488"/>
        <v>0</v>
      </c>
      <c r="AB91" s="1031"/>
      <c r="AC91" s="1094">
        <v>0</v>
      </c>
      <c r="AD91" s="547">
        <f>+Z91+AB91</f>
        <v>0</v>
      </c>
      <c r="AE91" s="547">
        <f>+AA91+AC91</f>
        <v>0</v>
      </c>
      <c r="AF91" s="1031"/>
      <c r="AG91" s="1094">
        <v>0</v>
      </c>
      <c r="AH91" s="547">
        <f>+AD91+AF91</f>
        <v>0</v>
      </c>
      <c r="AI91" s="547">
        <f>+AE91+AG91</f>
        <v>0</v>
      </c>
      <c r="AJ91" s="1031"/>
      <c r="AK91" s="1094">
        <v>0</v>
      </c>
      <c r="AL91" s="717">
        <f t="shared" si="491"/>
        <v>0</v>
      </c>
      <c r="AM91" s="717">
        <f t="shared" si="491"/>
        <v>0</v>
      </c>
      <c r="AN91" s="547">
        <f>+AH91+AJ91</f>
        <v>0</v>
      </c>
      <c r="AO91" s="547">
        <f>+AI91+AK91</f>
        <v>0</v>
      </c>
      <c r="AP91" s="1031"/>
      <c r="AQ91" s="1094">
        <v>0</v>
      </c>
      <c r="AR91" s="547">
        <f>+AN91+AP91</f>
        <v>0</v>
      </c>
      <c r="AS91" s="547">
        <f>+AO91+AQ91</f>
        <v>0</v>
      </c>
      <c r="AT91" s="1031"/>
      <c r="AU91" s="1094">
        <v>0</v>
      </c>
      <c r="AV91" s="547">
        <f>+AR91+AT91</f>
        <v>0</v>
      </c>
      <c r="AW91" s="547">
        <f>+AS91+AU91</f>
        <v>0</v>
      </c>
      <c r="AX91" s="1031"/>
      <c r="AY91" s="1094"/>
      <c r="AZ91" s="717">
        <f t="shared" si="481"/>
        <v>0</v>
      </c>
      <c r="BA91" s="717">
        <f t="shared" si="495"/>
        <v>0</v>
      </c>
      <c r="BB91" s="429">
        <f t="shared" si="479"/>
        <v>0</v>
      </c>
      <c r="BC91" s="429">
        <f t="shared" si="480"/>
        <v>0</v>
      </c>
      <c r="BD91" s="547">
        <f>+AV91+AX91</f>
        <v>0</v>
      </c>
      <c r="BE91" s="547">
        <f>+AW91+AY91</f>
        <v>0</v>
      </c>
      <c r="BF91" s="110"/>
      <c r="BG91" s="110"/>
      <c r="BH91" s="110"/>
      <c r="BI91" s="110"/>
      <c r="BJ91" s="110"/>
    </row>
    <row r="92" spans="1:62" ht="17.399999999999999" x14ac:dyDescent="0.3">
      <c r="A92" s="88"/>
      <c r="B92" s="940" t="s">
        <v>61</v>
      </c>
      <c r="C92" s="925" t="s">
        <v>323</v>
      </c>
      <c r="D92" s="577">
        <f>D83+D85+D87+D89+D91</f>
        <v>0</v>
      </c>
      <c r="E92" s="2545">
        <f t="shared" ref="E92:G92" si="499">SUM(E83:E91)</f>
        <v>11950.800000000001</v>
      </c>
      <c r="F92" s="577">
        <f>F83+F85+F87+F89+F91</f>
        <v>0</v>
      </c>
      <c r="G92" s="2545">
        <f t="shared" si="499"/>
        <v>2810.1</v>
      </c>
      <c r="H92" s="604">
        <f t="shared" ref="H92:AE92" si="500">SUM(H83:H91)</f>
        <v>0</v>
      </c>
      <c r="I92" s="604">
        <f t="shared" si="500"/>
        <v>14760.899999999998</v>
      </c>
      <c r="J92" s="577">
        <f>J83+J85+J87+J89+J91</f>
        <v>14226.62889518414</v>
      </c>
      <c r="K92" s="2545">
        <f t="shared" ref="K92" si="501">SUM(K83:K91)</f>
        <v>14495.507</v>
      </c>
      <c r="L92" s="605">
        <f t="shared" si="500"/>
        <v>14226.62889518414</v>
      </c>
      <c r="M92" s="605">
        <f t="shared" si="500"/>
        <v>29256.406999999999</v>
      </c>
      <c r="N92" s="577">
        <f>N83+N85+N87+N89+N91</f>
        <v>14396.600566572239</v>
      </c>
      <c r="O92" s="2545">
        <f t="shared" ref="O92" si="502">SUM(O83:O91)</f>
        <v>12713.813999999998</v>
      </c>
      <c r="P92" s="604">
        <f t="shared" si="500"/>
        <v>28623.229461756375</v>
      </c>
      <c r="Q92" s="604">
        <f t="shared" si="500"/>
        <v>41970.22099999999</v>
      </c>
      <c r="R92" s="577">
        <f>R83+R85+R87+R89+R91</f>
        <v>14396.600566572239</v>
      </c>
      <c r="S92" s="2545">
        <f t="shared" ref="S92" si="503">SUM(S83:S91)</f>
        <v>9136.2305695109899</v>
      </c>
      <c r="T92" s="604">
        <f t="shared" ref="T92:U92" si="504">SUM(T83:T91)</f>
        <v>43019.830028328615</v>
      </c>
      <c r="U92" s="604">
        <f t="shared" si="504"/>
        <v>51106.451569510988</v>
      </c>
      <c r="V92" s="577">
        <f>V83+V85+V87+V89+V91</f>
        <v>7555.2407932011338</v>
      </c>
      <c r="W92" s="2545">
        <f t="shared" ref="W92" si="505">SUM(W83:W91)</f>
        <v>9602</v>
      </c>
      <c r="X92" s="605">
        <f t="shared" si="500"/>
        <v>36348.441926345607</v>
      </c>
      <c r="Y92" s="605">
        <f t="shared" si="500"/>
        <v>31452.044569510988</v>
      </c>
      <c r="Z92" s="606">
        <f t="shared" si="500"/>
        <v>50575.070821529756</v>
      </c>
      <c r="AA92" s="606">
        <f t="shared" si="500"/>
        <v>60708.451569510988</v>
      </c>
      <c r="AB92" s="577">
        <f>AB83+AB85+AB87+AB89+AB91</f>
        <v>14679.886685552403</v>
      </c>
      <c r="AC92" s="2545">
        <f t="shared" ref="AC92" si="506">SUM(AC83:AC91)</f>
        <v>8766.5</v>
      </c>
      <c r="AD92" s="604">
        <f t="shared" si="500"/>
        <v>65254.957507082152</v>
      </c>
      <c r="AE92" s="604">
        <f t="shared" si="500"/>
        <v>69474.951569511002</v>
      </c>
      <c r="AF92" s="577">
        <f>AF83+AF85+AF87+AF89+AF91</f>
        <v>0</v>
      </c>
      <c r="AG92" s="2545">
        <f t="shared" ref="AG92" si="507">SUM(AG83:AG91)</f>
        <v>14412.199999999999</v>
      </c>
      <c r="AH92" s="604">
        <f t="shared" ref="AH92:AI92" si="508">SUM(AH83:AH91)</f>
        <v>65254.957507082152</v>
      </c>
      <c r="AI92" s="604">
        <f t="shared" si="508"/>
        <v>83887.151569510999</v>
      </c>
      <c r="AJ92" s="577">
        <f>AJ83+AJ85+AJ87+AJ89+AJ91</f>
        <v>0</v>
      </c>
      <c r="AK92" s="2545">
        <f t="shared" ref="AK92" si="509">SUM(AK83:AK91)</f>
        <v>13439.786498254289</v>
      </c>
      <c r="AL92" s="605">
        <f t="shared" ref="AL92:AO92" si="510">SUM(AL83:AL91)</f>
        <v>14679.886685552403</v>
      </c>
      <c r="AM92" s="605">
        <f t="shared" si="510"/>
        <v>36618.486498254286</v>
      </c>
      <c r="AN92" s="604">
        <f t="shared" si="510"/>
        <v>65254.957507082152</v>
      </c>
      <c r="AO92" s="604">
        <f t="shared" si="510"/>
        <v>97326.938067765266</v>
      </c>
      <c r="AP92" s="577">
        <f>AP83+AP85+AP87+AP89+AP91</f>
        <v>0</v>
      </c>
      <c r="AQ92" s="2545">
        <f t="shared" ref="AQ92" si="511">SUM(AQ83:AQ91)</f>
        <v>13145.2</v>
      </c>
      <c r="AR92" s="604">
        <f t="shared" ref="AR92:AS92" si="512">SUM(AR83:AR91)</f>
        <v>65254.957507082152</v>
      </c>
      <c r="AS92" s="604">
        <f t="shared" si="512"/>
        <v>110472.13806776528</v>
      </c>
      <c r="AT92" s="577">
        <f>AT83+AT85+AT87+AT89+AT91</f>
        <v>0</v>
      </c>
      <c r="AU92" s="2545">
        <f t="shared" ref="AU92" si="513">SUM(AU83:AU91)</f>
        <v>11000.6</v>
      </c>
      <c r="AV92" s="604">
        <f t="shared" ref="AV92:AW92" si="514">SUM(AV83:AV91)</f>
        <v>65254.957507082152</v>
      </c>
      <c r="AW92" s="604">
        <f t="shared" si="514"/>
        <v>121472.73806776528</v>
      </c>
      <c r="AX92" s="577">
        <f>AX83+AX85+AX87+AX89+AX91</f>
        <v>14906.515580736545</v>
      </c>
      <c r="AY92" s="2545">
        <f t="shared" ref="AY92" si="515">SUM(AY83:AY91)</f>
        <v>12450.900000000001</v>
      </c>
      <c r="AZ92" s="605">
        <f t="shared" ref="AZ92:BE92" si="516">SUM(AZ83:AZ91)</f>
        <v>14926.551219957963</v>
      </c>
      <c r="BA92" s="605">
        <f t="shared" si="516"/>
        <v>36596.700000000004</v>
      </c>
      <c r="BB92" s="606">
        <f t="shared" si="516"/>
        <v>29586.402266288951</v>
      </c>
      <c r="BC92" s="606">
        <f t="shared" si="516"/>
        <v>73215.18649825429</v>
      </c>
      <c r="BD92" s="604">
        <f t="shared" si="516"/>
        <v>80161.473087818697</v>
      </c>
      <c r="BE92" s="604">
        <f t="shared" si="516"/>
        <v>133923.63806776528</v>
      </c>
      <c r="BF92" s="110"/>
      <c r="BG92" s="110"/>
      <c r="BH92" s="110"/>
      <c r="BI92" s="110"/>
      <c r="BJ92" s="110"/>
    </row>
    <row r="93" spans="1:62" ht="20.399999999999999" x14ac:dyDescent="0.3">
      <c r="A93" s="88"/>
      <c r="B93" s="927" t="s">
        <v>127</v>
      </c>
      <c r="C93" s="927"/>
      <c r="D93" s="922"/>
      <c r="E93" s="927"/>
      <c r="F93" s="922"/>
      <c r="G93" s="927"/>
      <c r="H93" s="927"/>
      <c r="I93" s="927"/>
      <c r="J93" s="922"/>
      <c r="K93" s="927"/>
      <c r="L93" s="927"/>
      <c r="M93" s="927"/>
      <c r="N93" s="922"/>
      <c r="O93" s="927"/>
      <c r="P93" s="927"/>
      <c r="Q93" s="927"/>
      <c r="R93" s="922"/>
      <c r="S93" s="927"/>
      <c r="T93" s="927"/>
      <c r="U93" s="927"/>
      <c r="V93" s="922"/>
      <c r="W93" s="927"/>
      <c r="X93" s="927"/>
      <c r="Y93" s="927"/>
      <c r="Z93" s="927"/>
      <c r="AA93" s="927"/>
      <c r="AB93" s="922"/>
      <c r="AC93" s="927"/>
      <c r="AD93" s="927"/>
      <c r="AE93" s="927"/>
      <c r="AF93" s="922"/>
      <c r="AG93" s="927"/>
      <c r="AH93" s="927"/>
      <c r="AI93" s="927"/>
      <c r="AJ93" s="922"/>
      <c r="AK93" s="927"/>
      <c r="AL93" s="927"/>
      <c r="AM93" s="927"/>
      <c r="AN93" s="927"/>
      <c r="AO93" s="927"/>
      <c r="AP93" s="922"/>
      <c r="AQ93" s="927"/>
      <c r="AR93" s="927"/>
      <c r="AS93" s="927"/>
      <c r="AT93" s="922"/>
      <c r="AU93" s="927"/>
      <c r="AV93" s="927"/>
      <c r="AW93" s="927"/>
      <c r="AX93" s="922"/>
      <c r="AY93" s="927"/>
      <c r="AZ93" s="927"/>
      <c r="BA93" s="927"/>
      <c r="BB93" s="927"/>
      <c r="BC93" s="927"/>
      <c r="BD93" s="927"/>
      <c r="BE93" s="927"/>
      <c r="BF93" s="110"/>
      <c r="BG93" s="110"/>
      <c r="BH93" s="110"/>
      <c r="BI93" s="110"/>
      <c r="BJ93" s="110"/>
    </row>
    <row r="94" spans="1:62" x14ac:dyDescent="0.3">
      <c r="B94" s="924" t="s">
        <v>327</v>
      </c>
      <c r="C94" s="146" t="s">
        <v>326</v>
      </c>
      <c r="D94" s="192">
        <v>8000</v>
      </c>
      <c r="E94" s="1094">
        <v>8034.3</v>
      </c>
      <c r="F94" s="192">
        <v>8000</v>
      </c>
      <c r="G94" s="1094">
        <v>8034.9</v>
      </c>
      <c r="H94" s="547">
        <v>8000</v>
      </c>
      <c r="I94" s="718">
        <f>+((E94*E112)+(G94*G112))/I112</f>
        <v>8034.6077754637026</v>
      </c>
      <c r="J94" s="192">
        <v>8000</v>
      </c>
      <c r="K94" s="1094">
        <v>8036.5204192648926</v>
      </c>
      <c r="L94" s="873">
        <v>8000</v>
      </c>
      <c r="M94" s="717">
        <f>+((I94*I112)+(K94*K112))/M112</f>
        <v>8035.234421305915</v>
      </c>
      <c r="N94" s="192">
        <v>8000</v>
      </c>
      <c r="O94" s="1094">
        <v>8036.5204192648926</v>
      </c>
      <c r="P94" s="547">
        <v>8000</v>
      </c>
      <c r="Q94" s="718">
        <f>+((M94*M112)+(O94*O112))/Q112</f>
        <v>8035.5655579237055</v>
      </c>
      <c r="R94" s="192">
        <v>8000</v>
      </c>
      <c r="S94" s="1094">
        <v>8031.9</v>
      </c>
      <c r="T94" s="547">
        <v>8000</v>
      </c>
      <c r="U94" s="718">
        <f>+((Q94*Q112)+(S94*S112))/U112</f>
        <v>8034.8265337598168</v>
      </c>
      <c r="V94" s="192">
        <v>8000</v>
      </c>
      <c r="W94" s="1094">
        <v>8031.9</v>
      </c>
      <c r="X94" s="873">
        <v>8000</v>
      </c>
      <c r="Y94" s="717">
        <f>+((O94*O112)+(S94*S112)+(W94*W112))/Y112</f>
        <v>8033.4421308684696</v>
      </c>
      <c r="Z94" s="429">
        <v>8000</v>
      </c>
      <c r="AA94" s="429">
        <f>+((M94*M112)+(Y94*Y112))/AA112</f>
        <v>8034.3211236303523</v>
      </c>
      <c r="AB94" s="192">
        <v>8000</v>
      </c>
      <c r="AC94" s="1094">
        <v>8032.3</v>
      </c>
      <c r="AD94" s="547">
        <v>8000</v>
      </c>
      <c r="AE94" s="718">
        <f>+((AA94*AA112)+(AC94*AC112))/AE112</f>
        <v>8034.0130618980329</v>
      </c>
      <c r="AF94" s="192">
        <v>8000</v>
      </c>
      <c r="AG94" s="1094">
        <v>8031.8</v>
      </c>
      <c r="AH94" s="547">
        <v>8000</v>
      </c>
      <c r="AI94" s="718">
        <f>+((AE94*AE112)+(AG94*AG112))/AI112</f>
        <v>8033.731582869279</v>
      </c>
      <c r="AJ94" s="192">
        <v>8000</v>
      </c>
      <c r="AK94" s="1094">
        <v>8032.3765000000003</v>
      </c>
      <c r="AL94" s="873">
        <v>8000</v>
      </c>
      <c r="AM94" s="717">
        <f>+((AC94*AC112)+(AG94*AG112)+(AK94*AK112))/AM112</f>
        <v>8032.17645036053</v>
      </c>
      <c r="AN94" s="547">
        <v>8000</v>
      </c>
      <c r="AO94" s="718">
        <f>+((AI94*AI112)+(AK94*AK112))/AO112</f>
        <v>8033.5475192185677</v>
      </c>
      <c r="AP94" s="192">
        <v>8000</v>
      </c>
      <c r="AQ94" s="1094">
        <v>8029.6</v>
      </c>
      <c r="AR94" s="547">
        <v>8000</v>
      </c>
      <c r="AS94" s="718">
        <f>+((AO94*AO112)+(AQ94*AQ112))/AS112</f>
        <v>8033.0437854508446</v>
      </c>
      <c r="AT94" s="192">
        <v>8000</v>
      </c>
      <c r="AU94" s="1094">
        <v>8030</v>
      </c>
      <c r="AV94" s="547">
        <v>8000</v>
      </c>
      <c r="AW94" s="718">
        <f>+((AS94*AS112)+(AU94*AU112))/AW112</f>
        <v>8032.8022425191348</v>
      </c>
      <c r="AX94" s="192">
        <v>8000</v>
      </c>
      <c r="AY94" s="1094">
        <v>8036.3</v>
      </c>
      <c r="AZ94" s="873">
        <v>8000</v>
      </c>
      <c r="BA94" s="717">
        <f>+((AQ94*AQ112)+(AU94*AU112)+(AY94*AY112))/BA112</f>
        <v>8031.7647852831324</v>
      </c>
      <c r="BB94" s="429">
        <v>8000</v>
      </c>
      <c r="BC94" s="429">
        <f>+((AM94*AM112)+(BA94*BA112))/BC112</f>
        <v>8031.9727405047506</v>
      </c>
      <c r="BD94" s="547">
        <v>8000</v>
      </c>
      <c r="BE94" s="718">
        <f>+((AW94*AW112)+(AY94*AY112))/BE112</f>
        <v>8033.0820641729351</v>
      </c>
      <c r="BF94" s="110"/>
      <c r="BG94" s="110"/>
      <c r="BH94" s="110"/>
      <c r="BI94" s="110"/>
      <c r="BJ94" s="110"/>
    </row>
    <row r="95" spans="1:62" ht="17.399999999999999" x14ac:dyDescent="0.3">
      <c r="B95" s="541" t="s">
        <v>335</v>
      </c>
      <c r="C95" s="541"/>
      <c r="D95" s="241"/>
      <c r="E95" s="541"/>
      <c r="F95" s="241"/>
      <c r="G95" s="541"/>
      <c r="H95" s="541"/>
      <c r="I95" s="541"/>
      <c r="J95" s="241"/>
      <c r="K95" s="541"/>
      <c r="L95" s="541"/>
      <c r="M95" s="541"/>
      <c r="N95" s="241"/>
      <c r="O95" s="541"/>
      <c r="P95" s="541"/>
      <c r="Q95" s="541"/>
      <c r="R95" s="241"/>
      <c r="S95" s="541"/>
      <c r="T95" s="541"/>
      <c r="U95" s="541"/>
      <c r="V95" s="241"/>
      <c r="W95" s="541"/>
      <c r="X95" s="541"/>
      <c r="Y95" s="541"/>
      <c r="Z95" s="541"/>
      <c r="AA95" s="541"/>
      <c r="AB95" s="241"/>
      <c r="AC95" s="541"/>
      <c r="AD95" s="541"/>
      <c r="AE95" s="541"/>
      <c r="AF95" s="241"/>
      <c r="AG95" s="541"/>
      <c r="AH95" s="541"/>
      <c r="AI95" s="541"/>
      <c r="AJ95" s="241"/>
      <c r="AK95" s="541"/>
      <c r="AL95" s="541"/>
      <c r="AM95" s="541"/>
      <c r="AN95" s="541"/>
      <c r="AO95" s="541"/>
      <c r="AP95" s="241"/>
      <c r="AQ95" s="541"/>
      <c r="AR95" s="541"/>
      <c r="AS95" s="541"/>
      <c r="AT95" s="241"/>
      <c r="AU95" s="541"/>
      <c r="AV95" s="541"/>
      <c r="AW95" s="541"/>
      <c r="AX95" s="241"/>
      <c r="AY95" s="541"/>
      <c r="AZ95" s="541"/>
      <c r="BA95" s="541"/>
      <c r="BB95" s="541"/>
      <c r="BC95" s="541"/>
      <c r="BD95" s="541"/>
      <c r="BE95" s="541"/>
      <c r="BF95" s="110"/>
      <c r="BG95" s="110"/>
      <c r="BH95" s="110"/>
      <c r="BI95" s="110"/>
      <c r="BJ95" s="110"/>
    </row>
    <row r="96" spans="1:62" x14ac:dyDescent="0.3">
      <c r="B96" s="926" t="s">
        <v>121</v>
      </c>
      <c r="C96" s="146" t="s">
        <v>324</v>
      </c>
      <c r="D96" s="1031">
        <f>D97*D$3*24</f>
        <v>0</v>
      </c>
      <c r="E96" s="1094">
        <v>285.51</v>
      </c>
      <c r="F96" s="1031">
        <f>F97*F$3*24</f>
        <v>0</v>
      </c>
      <c r="G96" s="1094">
        <v>1896.54</v>
      </c>
      <c r="H96" s="718">
        <f>+D96+F96</f>
        <v>0</v>
      </c>
      <c r="I96" s="718">
        <f>+E96+G96</f>
        <v>2182.0500000000002</v>
      </c>
      <c r="J96" s="1031">
        <f>J97*J$3*24</f>
        <v>455.06742769291083</v>
      </c>
      <c r="K96" s="1094">
        <v>129.99281012881951</v>
      </c>
      <c r="L96" s="717">
        <f>+H96+J96</f>
        <v>455.06742769291083</v>
      </c>
      <c r="M96" s="717">
        <f>+I96+K96</f>
        <v>2312.0428101288198</v>
      </c>
      <c r="N96" s="1031">
        <f>N97*N$3*24</f>
        <v>417.0357435721931</v>
      </c>
      <c r="O96" s="1094">
        <v>20.372773784355161</v>
      </c>
      <c r="P96" s="718">
        <f>+L96+N96</f>
        <v>872.10317126510392</v>
      </c>
      <c r="Q96" s="718">
        <f>+M96+O96</f>
        <v>2332.4155839131749</v>
      </c>
      <c r="R96" s="1031">
        <f>R97*R$3*24</f>
        <v>417.0357435721931</v>
      </c>
      <c r="S96" s="1094">
        <v>330.82390125717183</v>
      </c>
      <c r="T96" s="718">
        <f>+P96+R96</f>
        <v>1289.1389148372971</v>
      </c>
      <c r="U96" s="718">
        <f>+Q96+S96</f>
        <v>2663.2394851703466</v>
      </c>
      <c r="V96" s="1031">
        <f>V97*V$3*24</f>
        <v>1991.9208041529209</v>
      </c>
      <c r="W96" s="1094">
        <v>187.19399999999999</v>
      </c>
      <c r="X96" s="717">
        <f t="shared" ref="X96:X110" si="517">+V96+R96+N96</f>
        <v>2825.992291297307</v>
      </c>
      <c r="Y96" s="717">
        <f t="shared" ref="Y96:Y110" si="518">+W96+S96+O96</f>
        <v>538.39067504152695</v>
      </c>
      <c r="Z96" s="429">
        <f t="shared" ref="Z96:Z110" si="519">+L96+X96</f>
        <v>3281.0597189902178</v>
      </c>
      <c r="AA96" s="429">
        <f t="shared" ref="AA96:AA110" si="520">+Y96+M96</f>
        <v>2850.433485170347</v>
      </c>
      <c r="AB96" s="1031">
        <f>AB97*AB$3*24</f>
        <v>382.32507947692989</v>
      </c>
      <c r="AC96" s="1094">
        <v>974.23</v>
      </c>
      <c r="AD96" s="718">
        <f>+Z96+AB96</f>
        <v>3663.3847984671474</v>
      </c>
      <c r="AE96" s="718">
        <f>+AA96+AC96</f>
        <v>3824.663485170347</v>
      </c>
      <c r="AF96" s="1031">
        <f>AF97*AF$3*24</f>
        <v>73.276738882489383</v>
      </c>
      <c r="AG96" s="1094">
        <v>243.75800000000001</v>
      </c>
      <c r="AH96" s="718">
        <f>+AD96+AF96</f>
        <v>3736.661537349637</v>
      </c>
      <c r="AI96" s="718">
        <f>+AE96+AG96</f>
        <v>4068.4214851703468</v>
      </c>
      <c r="AJ96" s="1031">
        <f>AJ97*AJ$3*24</f>
        <v>87.243772119369581</v>
      </c>
      <c r="AK96" s="1094">
        <v>259.47895001974899</v>
      </c>
      <c r="AL96" s="717">
        <f t="shared" ref="AL96" si="521">+AJ96+AF96+AB96</f>
        <v>542.84559047878884</v>
      </c>
      <c r="AM96" s="717">
        <f t="shared" ref="AM96" si="522">+AK96+AG96+AC96</f>
        <v>1477.466950019749</v>
      </c>
      <c r="AN96" s="718">
        <f>+AH96+AJ96</f>
        <v>3823.9053094690066</v>
      </c>
      <c r="AO96" s="718">
        <f>+AI96+AK96</f>
        <v>4327.9004351900958</v>
      </c>
      <c r="AP96" s="1031">
        <f>AP97*AP$3*24</f>
        <v>87.243772119369581</v>
      </c>
      <c r="AQ96" s="1094">
        <v>323.75900000000001</v>
      </c>
      <c r="AR96" s="718">
        <f>+AN96+AP96</f>
        <v>3911.1490815883762</v>
      </c>
      <c r="AS96" s="718">
        <f>+AO96+AQ96</f>
        <v>4651.6594351900958</v>
      </c>
      <c r="AT96" s="1031">
        <f>AT97*AT$3*24</f>
        <v>54.946401803838825</v>
      </c>
      <c r="AU96" s="1094">
        <v>114.48099999999999</v>
      </c>
      <c r="AV96" s="718">
        <f>+AR96+AT96</f>
        <v>3966.0954833922151</v>
      </c>
      <c r="AW96" s="718">
        <f>+AS96+AU96</f>
        <v>4766.1404351900956</v>
      </c>
      <c r="AX96" s="1031">
        <f>AX97*AX$3*24</f>
        <v>278.21097779862163</v>
      </c>
      <c r="AY96" s="1094">
        <v>384.13200000000001</v>
      </c>
      <c r="AZ96" s="717">
        <f t="shared" ref="AZ96" si="523">+AX96+AT96+AP96</f>
        <v>420.40115172182999</v>
      </c>
      <c r="BA96" s="717">
        <f t="shared" ref="BA96" si="524">+AY96+AU96+AQ96</f>
        <v>822.37200000000007</v>
      </c>
      <c r="BB96" s="429">
        <f t="shared" ref="BB96:BB110" si="525">+AL96+AZ96</f>
        <v>963.24674220061888</v>
      </c>
      <c r="BC96" s="429">
        <f t="shared" ref="BC96:BC110" si="526">+AM96+BA96</f>
        <v>2299.8389500197491</v>
      </c>
      <c r="BD96" s="718">
        <f>+AV96+AX96</f>
        <v>4244.3064611908367</v>
      </c>
      <c r="BE96" s="718">
        <f>+AW96+AY96</f>
        <v>5150.2724351900952</v>
      </c>
      <c r="BF96" s="110"/>
      <c r="BG96" s="110"/>
      <c r="BH96" s="110"/>
      <c r="BI96" s="110"/>
      <c r="BJ96" s="110"/>
    </row>
    <row r="97" spans="2:62" ht="15.75" hidden="1" customHeight="1" x14ac:dyDescent="0.3">
      <c r="B97" s="926"/>
      <c r="C97" s="146"/>
      <c r="D97" s="1537"/>
      <c r="E97" s="1094"/>
      <c r="F97" s="1537"/>
      <c r="G97" s="1094"/>
      <c r="H97" s="718"/>
      <c r="I97" s="718"/>
      <c r="J97" s="1537">
        <v>0.63203809401793176</v>
      </c>
      <c r="K97" s="1094"/>
      <c r="L97" s="717"/>
      <c r="M97" s="717"/>
      <c r="N97" s="1537">
        <v>0.5605319134034854</v>
      </c>
      <c r="O97" s="1094"/>
      <c r="P97" s="718"/>
      <c r="Q97" s="718"/>
      <c r="R97" s="1537">
        <v>0.5605319134034854</v>
      </c>
      <c r="S97" s="1094"/>
      <c r="T97" s="718"/>
      <c r="U97" s="718"/>
      <c r="V97" s="1537">
        <v>2.7665566724346125</v>
      </c>
      <c r="W97" s="1094"/>
      <c r="X97" s="717"/>
      <c r="Y97" s="717"/>
      <c r="Z97" s="429"/>
      <c r="AA97" s="429"/>
      <c r="AB97" s="1537">
        <v>0.51387779499587349</v>
      </c>
      <c r="AC97" s="1094"/>
      <c r="AD97" s="718"/>
      <c r="AE97" s="718"/>
      <c r="AF97" s="1537">
        <v>0.10177324844790192</v>
      </c>
      <c r="AG97" s="1094"/>
      <c r="AH97" s="718"/>
      <c r="AI97" s="718"/>
      <c r="AJ97" s="1537">
        <v>0.11726313456904514</v>
      </c>
      <c r="AK97" s="1094"/>
      <c r="AL97" s="717"/>
      <c r="AM97" s="717"/>
      <c r="AN97" s="718"/>
      <c r="AO97" s="718"/>
      <c r="AP97" s="1537">
        <v>0.11726313456904514</v>
      </c>
      <c r="AQ97" s="1094"/>
      <c r="AR97" s="718"/>
      <c r="AS97" s="718"/>
      <c r="AT97" s="1537">
        <v>8.1765478874760156E-2</v>
      </c>
      <c r="AU97" s="1094"/>
      <c r="AV97" s="718"/>
      <c r="AW97" s="718"/>
      <c r="AX97" s="1537">
        <v>0.37393948628846996</v>
      </c>
      <c r="AY97" s="1094"/>
      <c r="AZ97" s="717"/>
      <c r="BA97" s="717"/>
      <c r="BB97" s="429">
        <f t="shared" si="525"/>
        <v>0</v>
      </c>
      <c r="BC97" s="429">
        <f t="shared" si="526"/>
        <v>0</v>
      </c>
      <c r="BD97" s="718"/>
      <c r="BE97" s="718"/>
      <c r="BF97" s="110"/>
      <c r="BG97" s="110"/>
      <c r="BH97" s="110"/>
      <c r="BI97" s="110"/>
      <c r="BJ97" s="110"/>
    </row>
    <row r="98" spans="2:62" x14ac:dyDescent="0.3">
      <c r="B98" s="926" t="s">
        <v>488</v>
      </c>
      <c r="C98" s="146" t="s">
        <v>1049</v>
      </c>
      <c r="D98" s="1031">
        <f>D99*D$3*24</f>
        <v>144</v>
      </c>
      <c r="E98" s="1094">
        <v>151.374</v>
      </c>
      <c r="F98" s="1031">
        <f>F99*F$3*24</f>
        <v>148.80000000000001</v>
      </c>
      <c r="G98" s="1094">
        <v>70.19</v>
      </c>
      <c r="H98" s="718">
        <f>+D98+F98</f>
        <v>292.8</v>
      </c>
      <c r="I98" s="718">
        <f>+E98+G98</f>
        <v>221.56399999999999</v>
      </c>
      <c r="J98" s="1031">
        <f>J99*J$3*24</f>
        <v>144</v>
      </c>
      <c r="K98" s="1094">
        <v>149.89429175475678</v>
      </c>
      <c r="L98" s="717">
        <f>+H98+J98</f>
        <v>436.8</v>
      </c>
      <c r="M98" s="717">
        <f>+I98+K98</f>
        <v>371.45829175475677</v>
      </c>
      <c r="N98" s="1031">
        <f>N99*N$3*24</f>
        <v>148.80000000000001</v>
      </c>
      <c r="O98" s="1094">
        <v>155.42786892177588</v>
      </c>
      <c r="P98" s="718">
        <f>+L98+N98</f>
        <v>585.6</v>
      </c>
      <c r="Q98" s="718">
        <f>+M98+O98</f>
        <v>526.88616067653265</v>
      </c>
      <c r="R98" s="1031">
        <f>R99*R$3*24</f>
        <v>148.80000000000001</v>
      </c>
      <c r="S98" s="1094">
        <v>152.11416490486252</v>
      </c>
      <c r="T98" s="718">
        <f>+P98+R98</f>
        <v>734.40000000000009</v>
      </c>
      <c r="U98" s="718">
        <f>+Q98+S98</f>
        <v>679.00032558139515</v>
      </c>
      <c r="V98" s="1031">
        <f>V99*V$3*24</f>
        <v>144</v>
      </c>
      <c r="W98" s="1094">
        <v>150.63399999999999</v>
      </c>
      <c r="X98" s="717">
        <f t="shared" si="517"/>
        <v>441.6</v>
      </c>
      <c r="Y98" s="717">
        <f t="shared" si="518"/>
        <v>458.17603382663839</v>
      </c>
      <c r="Z98" s="429">
        <f t="shared" si="519"/>
        <v>878.40000000000009</v>
      </c>
      <c r="AA98" s="429">
        <f t="shared" si="520"/>
        <v>829.63432558139516</v>
      </c>
      <c r="AB98" s="1031">
        <f>AB99*AB$3*24</f>
        <v>148.80000000000001</v>
      </c>
      <c r="AC98" s="1094">
        <v>128.541</v>
      </c>
      <c r="AD98" s="718">
        <f>+Z98+AB98</f>
        <v>1027.2</v>
      </c>
      <c r="AE98" s="718">
        <f>+AA98+AC98</f>
        <v>958.1753255813951</v>
      </c>
      <c r="AF98" s="1031">
        <f>AF99*AF$3*24</f>
        <v>144</v>
      </c>
      <c r="AG98" s="1094">
        <v>147.45699999999999</v>
      </c>
      <c r="AH98" s="718">
        <f>+AD98+AF98</f>
        <v>1171.2</v>
      </c>
      <c r="AI98" s="718">
        <f>+AE98+AG98</f>
        <v>1105.632325581395</v>
      </c>
      <c r="AJ98" s="1031">
        <f>AJ99*AJ$3*24</f>
        <v>148.80000000000001</v>
      </c>
      <c r="AK98" s="1094">
        <v>151.85939069767434</v>
      </c>
      <c r="AL98" s="717">
        <f t="shared" ref="AL98" si="527">+AJ98+AF98+AB98</f>
        <v>441.6</v>
      </c>
      <c r="AM98" s="717">
        <f t="shared" ref="AM98" si="528">+AK98+AG98+AC98</f>
        <v>427.85739069767436</v>
      </c>
      <c r="AN98" s="718">
        <f>+AH98+AJ98</f>
        <v>1320</v>
      </c>
      <c r="AO98" s="718">
        <f>+AI98+AK98</f>
        <v>1257.4917162790694</v>
      </c>
      <c r="AP98" s="1031">
        <f>AP99*AP$3*24</f>
        <v>148.80000000000001</v>
      </c>
      <c r="AQ98" s="1094">
        <v>156.702</v>
      </c>
      <c r="AR98" s="718">
        <f>+AN98+AP98</f>
        <v>1468.8</v>
      </c>
      <c r="AS98" s="718">
        <f>+AO98+AQ98</f>
        <v>1414.1937162790693</v>
      </c>
      <c r="AT98" s="1031">
        <f>AT99*AT$3*24</f>
        <v>134.4</v>
      </c>
      <c r="AU98" s="1094">
        <v>125.581</v>
      </c>
      <c r="AV98" s="718">
        <f>+AR98+AT98</f>
        <v>1603.2</v>
      </c>
      <c r="AW98" s="718">
        <f>+AS98+AU98</f>
        <v>1539.7747162790693</v>
      </c>
      <c r="AX98" s="1031">
        <f>AX99*AX$3*24</f>
        <v>148.80000000000001</v>
      </c>
      <c r="AY98" s="1094">
        <v>154.334</v>
      </c>
      <c r="AZ98" s="717">
        <f t="shared" ref="AZ98" si="529">+AX98+AT98+AP98</f>
        <v>432.00000000000006</v>
      </c>
      <c r="BA98" s="717">
        <f t="shared" ref="BA98" si="530">+AY98+AU98+AQ98</f>
        <v>436.61700000000002</v>
      </c>
      <c r="BB98" s="429">
        <f t="shared" si="525"/>
        <v>873.60000000000014</v>
      </c>
      <c r="BC98" s="429">
        <f t="shared" si="526"/>
        <v>864.47439069767438</v>
      </c>
      <c r="BD98" s="718">
        <f>+AV98+AX98</f>
        <v>1752</v>
      </c>
      <c r="BE98" s="718">
        <f>+AW98+AY98</f>
        <v>1694.1087162790693</v>
      </c>
      <c r="BF98" s="110"/>
      <c r="BG98" s="110"/>
      <c r="BH98" s="110"/>
      <c r="BI98" s="110"/>
      <c r="BJ98" s="110"/>
    </row>
    <row r="99" spans="2:62" ht="15.75" hidden="1" customHeight="1" x14ac:dyDescent="0.3">
      <c r="B99" s="926"/>
      <c r="C99" s="146"/>
      <c r="D99" s="1537">
        <v>0.2</v>
      </c>
      <c r="E99" s="1094"/>
      <c r="F99" s="1537">
        <v>0.2</v>
      </c>
      <c r="G99" s="1094"/>
      <c r="H99" s="718"/>
      <c r="I99" s="718"/>
      <c r="J99" s="1537">
        <v>0.2</v>
      </c>
      <c r="K99" s="1094"/>
      <c r="L99" s="717"/>
      <c r="M99" s="717"/>
      <c r="N99" s="1537">
        <v>0.2</v>
      </c>
      <c r="O99" s="1094"/>
      <c r="P99" s="718"/>
      <c r="Q99" s="718"/>
      <c r="R99" s="1537">
        <v>0.2</v>
      </c>
      <c r="S99" s="1094"/>
      <c r="T99" s="718"/>
      <c r="U99" s="718"/>
      <c r="V99" s="1537">
        <v>0.2</v>
      </c>
      <c r="W99" s="1094"/>
      <c r="X99" s="717"/>
      <c r="Y99" s="717"/>
      <c r="Z99" s="429"/>
      <c r="AA99" s="429"/>
      <c r="AB99" s="1537">
        <v>0.2</v>
      </c>
      <c r="AC99" s="1094"/>
      <c r="AD99" s="718"/>
      <c r="AE99" s="718"/>
      <c r="AF99" s="1537">
        <v>0.2</v>
      </c>
      <c r="AG99" s="1094"/>
      <c r="AH99" s="718"/>
      <c r="AI99" s="718"/>
      <c r="AJ99" s="1537">
        <v>0.2</v>
      </c>
      <c r="AK99" s="1094"/>
      <c r="AL99" s="717"/>
      <c r="AM99" s="717"/>
      <c r="AN99" s="718"/>
      <c r="AO99" s="718"/>
      <c r="AP99" s="1537">
        <v>0.2</v>
      </c>
      <c r="AQ99" s="1094"/>
      <c r="AR99" s="718"/>
      <c r="AS99" s="718"/>
      <c r="AT99" s="1537">
        <v>0.2</v>
      </c>
      <c r="AU99" s="1094"/>
      <c r="AV99" s="718"/>
      <c r="AW99" s="718"/>
      <c r="AX99" s="1537">
        <v>0.2</v>
      </c>
      <c r="AY99" s="1094"/>
      <c r="AZ99" s="717"/>
      <c r="BA99" s="717"/>
      <c r="BB99" s="429">
        <f t="shared" si="525"/>
        <v>0</v>
      </c>
      <c r="BC99" s="429">
        <f t="shared" si="526"/>
        <v>0</v>
      </c>
      <c r="BD99" s="718"/>
      <c r="BE99" s="718"/>
      <c r="BF99" s="110"/>
      <c r="BG99" s="110"/>
      <c r="BH99" s="110"/>
      <c r="BI99" s="110"/>
      <c r="BJ99" s="110"/>
    </row>
    <row r="100" spans="2:62" x14ac:dyDescent="0.3">
      <c r="B100" s="926" t="s">
        <v>122</v>
      </c>
      <c r="C100" s="146" t="s">
        <v>324</v>
      </c>
      <c r="D100" s="1031">
        <f>D101*D$3*24</f>
        <v>432</v>
      </c>
      <c r="E100" s="1094">
        <v>901.43799999999999</v>
      </c>
      <c r="F100" s="1031">
        <f>F101*F$3*24</f>
        <v>446.4</v>
      </c>
      <c r="G100" s="1094">
        <v>358.45699999999999</v>
      </c>
      <c r="H100" s="718">
        <f t="shared" ref="H100:I110" si="531">+D100+F100</f>
        <v>878.4</v>
      </c>
      <c r="I100" s="718">
        <f t="shared" si="531"/>
        <v>1259.895</v>
      </c>
      <c r="J100" s="1031">
        <f>J101*J$3*24</f>
        <v>432</v>
      </c>
      <c r="K100" s="1094">
        <v>451.31345454545442</v>
      </c>
      <c r="L100" s="717">
        <f t="shared" ref="L100:L110" si="532">+H100+J100</f>
        <v>1310.4000000000001</v>
      </c>
      <c r="M100" s="717">
        <f t="shared" ref="M100:M110" si="533">+I100+K100</f>
        <v>1711.2084545454545</v>
      </c>
      <c r="N100" s="1031">
        <f>N101*N$3*24</f>
        <v>446.4</v>
      </c>
      <c r="O100" s="1094">
        <v>471.20127484143745</v>
      </c>
      <c r="P100" s="718">
        <f t="shared" ref="P100:P110" si="534">+L100+N100</f>
        <v>1756.8000000000002</v>
      </c>
      <c r="Q100" s="718">
        <f t="shared" ref="Q100:Q110" si="535">+M100+O100</f>
        <v>2182.4097293868917</v>
      </c>
      <c r="R100" s="1031">
        <f>R101*R$3*24</f>
        <v>446.4</v>
      </c>
      <c r="S100" s="1094">
        <v>466.26316701902743</v>
      </c>
      <c r="T100" s="718">
        <f t="shared" ref="T100" si="536">+P100+R100</f>
        <v>2203.2000000000003</v>
      </c>
      <c r="U100" s="718">
        <f t="shared" ref="U100" si="537">+Q100+S100</f>
        <v>2648.6728964059193</v>
      </c>
      <c r="V100" s="1031">
        <f>V101*V$3*24</f>
        <v>288</v>
      </c>
      <c r="W100" s="1094">
        <v>458.26299999999998</v>
      </c>
      <c r="X100" s="717">
        <f t="shared" si="517"/>
        <v>1180.8</v>
      </c>
      <c r="Y100" s="717">
        <f t="shared" si="518"/>
        <v>1395.7274418604648</v>
      </c>
      <c r="Z100" s="429">
        <f t="shared" si="519"/>
        <v>2491.1999999999998</v>
      </c>
      <c r="AA100" s="429">
        <f t="shared" si="520"/>
        <v>3106.9358964059193</v>
      </c>
      <c r="AB100" s="1031">
        <f>AB101*AB$3*24</f>
        <v>446.4</v>
      </c>
      <c r="AC100" s="1094">
        <v>401.44799999999998</v>
      </c>
      <c r="AD100" s="718">
        <f t="shared" ref="AD100" si="538">+Z100+AB100</f>
        <v>2937.6</v>
      </c>
      <c r="AE100" s="718">
        <f t="shared" ref="AE100" si="539">+AA100+AC100</f>
        <v>3508.3838964059191</v>
      </c>
      <c r="AF100" s="1031">
        <f>AF101*AF$3*24</f>
        <v>375.46508496244081</v>
      </c>
      <c r="AG100" s="1094">
        <v>454.02699999999999</v>
      </c>
      <c r="AH100" s="718">
        <f t="shared" ref="AH100" si="540">+AD100+AF100</f>
        <v>3313.0650849624408</v>
      </c>
      <c r="AI100" s="718">
        <f t="shared" ref="AI100" si="541">+AE100+AG100</f>
        <v>3962.4108964059192</v>
      </c>
      <c r="AJ100" s="1031">
        <f>AJ101*AJ$3*24</f>
        <v>376.0760258163416</v>
      </c>
      <c r="AK100" s="1094">
        <v>458.56236786469327</v>
      </c>
      <c r="AL100" s="717">
        <f t="shared" ref="AL100" si="542">+AJ100+AF100+AB100</f>
        <v>1197.9411107787823</v>
      </c>
      <c r="AM100" s="717">
        <f t="shared" ref="AM100" si="543">+AK100+AG100+AC100</f>
        <v>1314.0373678646934</v>
      </c>
      <c r="AN100" s="718">
        <f t="shared" ref="AN100" si="544">+AH100+AJ100</f>
        <v>3689.1411107787826</v>
      </c>
      <c r="AO100" s="718">
        <f t="shared" ref="AO100" si="545">+AI100+AK100</f>
        <v>4420.9732642706122</v>
      </c>
      <c r="AP100" s="1031">
        <f>AP101*AP$3*24</f>
        <v>376.0760258163416</v>
      </c>
      <c r="AQ100" s="1094">
        <v>458.83300000000003</v>
      </c>
      <c r="AR100" s="718">
        <f t="shared" ref="AR100" si="546">+AN100+AP100</f>
        <v>4065.2171365951244</v>
      </c>
      <c r="AS100" s="718">
        <f t="shared" ref="AS100" si="547">+AO100+AQ100</f>
        <v>4879.8062642706118</v>
      </c>
      <c r="AT100" s="1031">
        <f>AT101*AT$3*24</f>
        <v>228.2632204732715</v>
      </c>
      <c r="AU100" s="1094">
        <v>400.18200000000002</v>
      </c>
      <c r="AV100" s="718">
        <f t="shared" ref="AV100" si="548">+AR100+AT100</f>
        <v>4293.4803570683962</v>
      </c>
      <c r="AW100" s="718">
        <f t="shared" ref="AW100" si="549">+AS100+AU100</f>
        <v>5279.9882642706116</v>
      </c>
      <c r="AX100" s="1031">
        <f>AX101*AX$3*24</f>
        <v>446.4</v>
      </c>
      <c r="AY100" s="1094">
        <v>749.10199999999998</v>
      </c>
      <c r="AZ100" s="717">
        <f t="shared" ref="AZ100" si="550">+AX100+AT100+AP100</f>
        <v>1050.7392462896132</v>
      </c>
      <c r="BA100" s="717">
        <f t="shared" ref="BA100" si="551">+AY100+AU100+AQ100</f>
        <v>1608.1170000000002</v>
      </c>
      <c r="BB100" s="429">
        <f t="shared" si="525"/>
        <v>2248.6803570683956</v>
      </c>
      <c r="BC100" s="429">
        <f t="shared" si="526"/>
        <v>2922.1543678646935</v>
      </c>
      <c r="BD100" s="718">
        <f t="shared" ref="BD100" si="552">+AV100+AX100</f>
        <v>4739.8803570683958</v>
      </c>
      <c r="BE100" s="718">
        <f t="shared" ref="BE100" si="553">+AW100+AY100</f>
        <v>6029.0902642706114</v>
      </c>
      <c r="BF100" s="110"/>
      <c r="BG100" s="110"/>
      <c r="BH100" s="110"/>
      <c r="BI100" s="110"/>
      <c r="BJ100" s="110"/>
    </row>
    <row r="101" spans="2:62" ht="15" hidden="1" customHeight="1" x14ac:dyDescent="0.3">
      <c r="B101" s="926"/>
      <c r="C101" s="146"/>
      <c r="D101" s="178">
        <v>0.6</v>
      </c>
      <c r="E101" s="96"/>
      <c r="F101" s="178">
        <v>0.6</v>
      </c>
      <c r="G101" s="96"/>
      <c r="H101" s="718"/>
      <c r="I101" s="718"/>
      <c r="J101" s="178">
        <v>0.6</v>
      </c>
      <c r="K101" s="96"/>
      <c r="L101" s="717"/>
      <c r="M101" s="717"/>
      <c r="N101" s="178">
        <v>0.6</v>
      </c>
      <c r="O101" s="96"/>
      <c r="P101" s="718"/>
      <c r="Q101" s="718"/>
      <c r="R101" s="178">
        <v>0.6</v>
      </c>
      <c r="S101" s="96"/>
      <c r="T101" s="718"/>
      <c r="U101" s="718"/>
      <c r="V101" s="178">
        <v>0.4</v>
      </c>
      <c r="W101" s="96"/>
      <c r="X101" s="717"/>
      <c r="Y101" s="717"/>
      <c r="Z101" s="429"/>
      <c r="AA101" s="429"/>
      <c r="AB101" s="178">
        <v>0.6</v>
      </c>
      <c r="AC101" s="96"/>
      <c r="AD101" s="718"/>
      <c r="AE101" s="718"/>
      <c r="AF101" s="178">
        <v>0.52147928467005666</v>
      </c>
      <c r="AG101" s="96"/>
      <c r="AH101" s="718"/>
      <c r="AI101" s="718"/>
      <c r="AJ101" s="178">
        <v>0.50547852932303972</v>
      </c>
      <c r="AK101" s="96"/>
      <c r="AL101" s="717"/>
      <c r="AM101" s="717"/>
      <c r="AN101" s="718"/>
      <c r="AO101" s="718"/>
      <c r="AP101" s="178">
        <v>0.50547852932303972</v>
      </c>
      <c r="AQ101" s="96"/>
      <c r="AR101" s="718"/>
      <c r="AS101" s="718"/>
      <c r="AT101" s="178">
        <v>0.33967741141855878</v>
      </c>
      <c r="AU101" s="96"/>
      <c r="AV101" s="718"/>
      <c r="AW101" s="718"/>
      <c r="AX101" s="178">
        <v>0.6</v>
      </c>
      <c r="AY101" s="96"/>
      <c r="AZ101" s="717"/>
      <c r="BA101" s="717"/>
      <c r="BB101" s="429">
        <f t="shared" si="525"/>
        <v>0</v>
      </c>
      <c r="BC101" s="429">
        <f t="shared" si="526"/>
        <v>0</v>
      </c>
      <c r="BD101" s="718"/>
      <c r="BE101" s="718"/>
      <c r="BF101" s="110"/>
      <c r="BG101" s="110"/>
      <c r="BH101" s="110"/>
      <c r="BI101" s="110"/>
      <c r="BJ101" s="110"/>
    </row>
    <row r="102" spans="2:62" x14ac:dyDescent="0.3">
      <c r="B102" s="926" t="s">
        <v>16</v>
      </c>
      <c r="C102" s="146" t="s">
        <v>324</v>
      </c>
      <c r="D102" s="1031">
        <f>D103*D$3*24</f>
        <v>519.62667752683535</v>
      </c>
      <c r="E102" s="1094">
        <v>506.13099999999997</v>
      </c>
      <c r="F102" s="1031">
        <f>F103*F$3*24</f>
        <v>540.50867869052126</v>
      </c>
      <c r="G102" s="1094">
        <v>491.065</v>
      </c>
      <c r="H102" s="718">
        <f t="shared" si="531"/>
        <v>1060.1353562173567</v>
      </c>
      <c r="I102" s="718">
        <f t="shared" si="531"/>
        <v>997.19599999999991</v>
      </c>
      <c r="J102" s="1031">
        <f>J103*J$3*24</f>
        <v>483.37438928302839</v>
      </c>
      <c r="K102" s="1094">
        <v>615.54963819014984</v>
      </c>
      <c r="L102" s="717">
        <f t="shared" si="532"/>
        <v>1543.5097455003852</v>
      </c>
      <c r="M102" s="717">
        <f t="shared" si="533"/>
        <v>1612.7456381901497</v>
      </c>
      <c r="N102" s="1031">
        <f>N103*N$3*24</f>
        <v>506.7117968330848</v>
      </c>
      <c r="O102" s="1094">
        <v>724.42421433097797</v>
      </c>
      <c r="P102" s="718">
        <f t="shared" si="534"/>
        <v>2050.2215423334701</v>
      </c>
      <c r="Q102" s="718">
        <f t="shared" si="535"/>
        <v>2337.1698525211277</v>
      </c>
      <c r="R102" s="1031">
        <f>R103*R$3*24</f>
        <v>506.7117968330848</v>
      </c>
      <c r="S102" s="1094">
        <v>595.5571020304543</v>
      </c>
      <c r="T102" s="718">
        <f t="shared" ref="T102" si="554">+P102+R102</f>
        <v>2556.933339166555</v>
      </c>
      <c r="U102" s="718">
        <f t="shared" ref="U102" si="555">+Q102+S102</f>
        <v>2932.7269545515819</v>
      </c>
      <c r="V102" s="1031">
        <f>V103*V$3*24</f>
        <v>211.47428407676304</v>
      </c>
      <c r="W102" s="1094">
        <v>656.49800000000005</v>
      </c>
      <c r="X102" s="717">
        <f t="shared" si="517"/>
        <v>1224.8978777429327</v>
      </c>
      <c r="Y102" s="717">
        <f t="shared" si="518"/>
        <v>1976.4793163614322</v>
      </c>
      <c r="Z102" s="429">
        <f t="shared" si="519"/>
        <v>2768.4076232433181</v>
      </c>
      <c r="AA102" s="429">
        <f t="shared" si="520"/>
        <v>3589.224954551582</v>
      </c>
      <c r="AB102" s="1031">
        <f>AB103*AB$3*24</f>
        <v>493.33811584401963</v>
      </c>
      <c r="AC102" s="1094">
        <v>628.09799999999996</v>
      </c>
      <c r="AD102" s="718">
        <f t="shared" ref="AD102" si="556">+Z102+AB102</f>
        <v>3261.7457390873378</v>
      </c>
      <c r="AE102" s="718">
        <f t="shared" ref="AE102" si="557">+AA102+AC102</f>
        <v>4217.3229545515824</v>
      </c>
      <c r="AF102" s="1031">
        <f>AF103*AF$3*24</f>
        <v>557.36679516692266</v>
      </c>
      <c r="AG102" s="1094">
        <v>658.822</v>
      </c>
      <c r="AH102" s="718">
        <f t="shared" ref="AH102" si="558">+AD102+AF102</f>
        <v>3819.1125342542605</v>
      </c>
      <c r="AI102" s="718">
        <f t="shared" ref="AI102" si="559">+AE102+AG102</f>
        <v>4876.1449545515825</v>
      </c>
      <c r="AJ102" s="1031">
        <f>AJ103*AJ$3*24</f>
        <v>577.07814697262199</v>
      </c>
      <c r="AK102" s="1094">
        <v>975.55503115573765</v>
      </c>
      <c r="AL102" s="717">
        <f t="shared" ref="AL102" si="560">+AJ102+AF102+AB102</f>
        <v>1627.7830579835645</v>
      </c>
      <c r="AM102" s="717">
        <f t="shared" ref="AM102" si="561">+AK102+AG102+AC102</f>
        <v>2262.4750311557377</v>
      </c>
      <c r="AN102" s="718">
        <f t="shared" ref="AN102" si="562">+AH102+AJ102</f>
        <v>4396.1906812268826</v>
      </c>
      <c r="AO102" s="718">
        <f t="shared" ref="AO102" si="563">+AI102+AK102</f>
        <v>5851.6999857073206</v>
      </c>
      <c r="AP102" s="1031">
        <f>AP103*AP$3*24</f>
        <v>577.07814697262199</v>
      </c>
      <c r="AQ102" s="1094">
        <v>937.05399999999997</v>
      </c>
      <c r="AR102" s="718">
        <f t="shared" ref="AR102" si="564">+AN102+AP102</f>
        <v>4973.2688281995042</v>
      </c>
      <c r="AS102" s="718">
        <f t="shared" ref="AS102" si="565">+AO102+AQ102</f>
        <v>6788.7539857073207</v>
      </c>
      <c r="AT102" s="1031">
        <f>AT103*AT$3*24</f>
        <v>538.46784135753171</v>
      </c>
      <c r="AU102" s="1094">
        <v>590.76900000000001</v>
      </c>
      <c r="AV102" s="718">
        <f t="shared" ref="AV102" si="566">+AR102+AT102</f>
        <v>5511.7366695570363</v>
      </c>
      <c r="AW102" s="718">
        <f t="shared" ref="AW102" si="567">+AS102+AU102</f>
        <v>7379.5229857073209</v>
      </c>
      <c r="AX102" s="1031">
        <f>AX103*AX$3*24</f>
        <v>528.5383029058936</v>
      </c>
      <c r="AY102" s="1094">
        <v>558.83799999999997</v>
      </c>
      <c r="AZ102" s="717">
        <f t="shared" ref="AZ102" si="568">+AX102+AT102+AP102</f>
        <v>1644.0842912360472</v>
      </c>
      <c r="BA102" s="717">
        <f t="shared" ref="BA102" si="569">+AY102+AU102+AQ102</f>
        <v>2086.6610000000001</v>
      </c>
      <c r="BB102" s="429">
        <f t="shared" si="525"/>
        <v>3271.8673492196117</v>
      </c>
      <c r="BC102" s="429">
        <f t="shared" si="526"/>
        <v>4349.1360311557382</v>
      </c>
      <c r="BD102" s="718">
        <f t="shared" ref="BD102" si="570">+AV102+AX102</f>
        <v>6040.2749724629302</v>
      </c>
      <c r="BE102" s="718">
        <f t="shared" ref="BE102" si="571">+AW102+AY102</f>
        <v>7938.3609857073207</v>
      </c>
      <c r="BF102" s="110"/>
      <c r="BG102" s="110"/>
      <c r="BH102" s="110"/>
      <c r="BI102" s="110"/>
      <c r="BJ102" s="110"/>
    </row>
    <row r="103" spans="2:62" ht="15" hidden="1" customHeight="1" x14ac:dyDescent="0.3">
      <c r="B103" s="926"/>
      <c r="C103" s="146"/>
      <c r="D103" s="1033">
        <v>0.72170371878727135</v>
      </c>
      <c r="E103" s="1230"/>
      <c r="F103" s="1033">
        <v>0.72649015953027063</v>
      </c>
      <c r="G103" s="1230"/>
      <c r="H103" s="718"/>
      <c r="I103" s="718"/>
      <c r="J103" s="1033">
        <v>0.67135331844865054</v>
      </c>
      <c r="K103" s="1230"/>
      <c r="L103" s="717"/>
      <c r="M103" s="717"/>
      <c r="N103" s="1033">
        <v>0.68106424305522151</v>
      </c>
      <c r="O103" s="1230"/>
      <c r="P103" s="718"/>
      <c r="Q103" s="718"/>
      <c r="R103" s="1033">
        <v>0.68106424305522151</v>
      </c>
      <c r="S103" s="1230"/>
      <c r="T103" s="718"/>
      <c r="U103" s="718"/>
      <c r="V103" s="1033">
        <v>0.29371428343994865</v>
      </c>
      <c r="W103" s="1230"/>
      <c r="X103" s="717"/>
      <c r="Y103" s="717"/>
      <c r="Z103" s="429"/>
      <c r="AA103" s="429"/>
      <c r="AB103" s="1033">
        <v>0.66308886538174672</v>
      </c>
      <c r="AC103" s="1230"/>
      <c r="AD103" s="718"/>
      <c r="AE103" s="718"/>
      <c r="AF103" s="1033">
        <v>0.77412054884294812</v>
      </c>
      <c r="AG103" s="1230"/>
      <c r="AH103" s="718"/>
      <c r="AI103" s="718"/>
      <c r="AJ103" s="1033">
        <v>0.77564267066212633</v>
      </c>
      <c r="AK103" s="1230"/>
      <c r="AL103" s="717"/>
      <c r="AM103" s="717"/>
      <c r="AN103" s="718"/>
      <c r="AO103" s="718"/>
      <c r="AP103" s="1033">
        <v>0.77564267066212633</v>
      </c>
      <c r="AQ103" s="1230"/>
      <c r="AR103" s="718"/>
      <c r="AS103" s="718"/>
      <c r="AT103" s="1033">
        <v>0.80129143059156505</v>
      </c>
      <c r="AU103" s="1230"/>
      <c r="AV103" s="718"/>
      <c r="AW103" s="718"/>
      <c r="AX103" s="1033">
        <v>0.71040094476598603</v>
      </c>
      <c r="AY103" s="1230"/>
      <c r="AZ103" s="717"/>
      <c r="BA103" s="717"/>
      <c r="BB103" s="429">
        <f t="shared" si="525"/>
        <v>0</v>
      </c>
      <c r="BC103" s="429">
        <f t="shared" si="526"/>
        <v>0</v>
      </c>
      <c r="BD103" s="718"/>
      <c r="BE103" s="718"/>
      <c r="BF103" s="110"/>
      <c r="BG103" s="110"/>
      <c r="BH103" s="110"/>
      <c r="BI103" s="110"/>
      <c r="BJ103" s="110"/>
    </row>
    <row r="104" spans="2:62" x14ac:dyDescent="0.3">
      <c r="B104" s="926" t="s">
        <v>91</v>
      </c>
      <c r="C104" s="146" t="s">
        <v>324</v>
      </c>
      <c r="D104" s="1031">
        <f>D105*D$3*24</f>
        <v>828.65868341776843</v>
      </c>
      <c r="E104" s="1094">
        <v>691.60400000000004</v>
      </c>
      <c r="F104" s="1031">
        <f>F105*F$3*24</f>
        <v>869.59351359895436</v>
      </c>
      <c r="G104" s="1094">
        <v>420.88099999999997</v>
      </c>
      <c r="H104" s="718">
        <f t="shared" si="531"/>
        <v>1698.2521970167227</v>
      </c>
      <c r="I104" s="718">
        <f t="shared" si="531"/>
        <v>1112.4850000000001</v>
      </c>
      <c r="J104" s="1031">
        <f>J105*J$3*24</f>
        <v>734.50513721714947</v>
      </c>
      <c r="K104" s="1094">
        <v>866.22411943062446</v>
      </c>
      <c r="L104" s="717">
        <f t="shared" si="532"/>
        <v>2432.7573342338719</v>
      </c>
      <c r="M104" s="717">
        <f t="shared" si="533"/>
        <v>1978.7091194306245</v>
      </c>
      <c r="N104" s="1031">
        <f>N105*N$3*24</f>
        <v>773.07560524840392</v>
      </c>
      <c r="O104" s="1094">
        <v>1006.834874629273</v>
      </c>
      <c r="P104" s="718">
        <f t="shared" si="534"/>
        <v>3205.8329394822758</v>
      </c>
      <c r="Q104" s="718">
        <f t="shared" si="535"/>
        <v>2985.5439940598976</v>
      </c>
      <c r="R104" s="1031">
        <f>R105*R$3*24</f>
        <v>773.07560524840392</v>
      </c>
      <c r="S104" s="1094">
        <v>871.08375067095221</v>
      </c>
      <c r="T104" s="718">
        <f t="shared" ref="T104" si="572">+P104+R104</f>
        <v>3978.9085447306798</v>
      </c>
      <c r="U104" s="718">
        <f t="shared" ref="U104" si="573">+Q104+S104</f>
        <v>3856.6277447308498</v>
      </c>
      <c r="V104" s="1031">
        <f>V105*V$3*24</f>
        <v>341.42687522445277</v>
      </c>
      <c r="W104" s="1094">
        <v>952.34199999999998</v>
      </c>
      <c r="X104" s="717">
        <f t="shared" si="517"/>
        <v>1887.5780857212605</v>
      </c>
      <c r="Y104" s="717">
        <f t="shared" si="518"/>
        <v>2830.2606253002255</v>
      </c>
      <c r="Z104" s="429">
        <f t="shared" si="519"/>
        <v>4320.3354199551322</v>
      </c>
      <c r="AA104" s="429">
        <f t="shared" si="520"/>
        <v>4808.9697447308499</v>
      </c>
      <c r="AB104" s="1031">
        <f>AB105*AB$3*24</f>
        <v>769.37289580941138</v>
      </c>
      <c r="AC104" s="1094">
        <v>771.95100000000002</v>
      </c>
      <c r="AD104" s="718">
        <f t="shared" ref="AD104" si="574">+Z104+AB104</f>
        <v>5089.7083157645438</v>
      </c>
      <c r="AE104" s="718">
        <f t="shared" ref="AE104" si="575">+AA104+AC104</f>
        <v>5580.9207447308499</v>
      </c>
      <c r="AF104" s="1031">
        <f>AF105*AF$3*24</f>
        <v>846.93931544779355</v>
      </c>
      <c r="AG104" s="1094">
        <v>916.02700000000004</v>
      </c>
      <c r="AH104" s="718">
        <f t="shared" ref="AH104" si="576">+AD104+AF104</f>
        <v>5936.6476312123377</v>
      </c>
      <c r="AI104" s="718">
        <f t="shared" ref="AI104" si="577">+AE104+AG104</f>
        <v>6496.94774473085</v>
      </c>
      <c r="AJ104" s="1031">
        <f>AJ105*AJ$3*24</f>
        <v>880.43152051075026</v>
      </c>
      <c r="AK104" s="1094">
        <v>1179.4968629536356</v>
      </c>
      <c r="AL104" s="717">
        <f t="shared" ref="AL104" si="578">+AJ104+AF104+AB104</f>
        <v>2496.7437317679551</v>
      </c>
      <c r="AM104" s="717">
        <f t="shared" ref="AM104" si="579">+AK104+AG104+AC104</f>
        <v>2867.4748629536357</v>
      </c>
      <c r="AN104" s="718">
        <f t="shared" ref="AN104" si="580">+AH104+AJ104</f>
        <v>6817.0791517230882</v>
      </c>
      <c r="AO104" s="718">
        <f t="shared" ref="AO104" si="581">+AI104+AK104</f>
        <v>7676.4446076844852</v>
      </c>
      <c r="AP104" s="1031">
        <f>AP105*AP$3*24</f>
        <v>880.43152051075026</v>
      </c>
      <c r="AQ104" s="1094">
        <v>1266.2049999999999</v>
      </c>
      <c r="AR104" s="718">
        <f t="shared" ref="AR104" si="582">+AN104+AP104</f>
        <v>7697.5106722338387</v>
      </c>
      <c r="AS104" s="718">
        <f t="shared" ref="AS104" si="583">+AO104+AQ104</f>
        <v>8942.6496076844851</v>
      </c>
      <c r="AT104" s="1031">
        <f>AT105*AT$3*24</f>
        <v>817.88522121223036</v>
      </c>
      <c r="AU104" s="1094">
        <v>816.79600000000005</v>
      </c>
      <c r="AV104" s="718">
        <f t="shared" ref="AV104" si="584">+AR104+AT104</f>
        <v>8515.3958934460697</v>
      </c>
      <c r="AW104" s="718">
        <f t="shared" ref="AW104" si="585">+AS104+AU104</f>
        <v>9759.4456076844854</v>
      </c>
      <c r="AX104" s="1031">
        <f>AX105*AX$3*24</f>
        <v>807.40787496365215</v>
      </c>
      <c r="AY104" s="1094">
        <v>747.92</v>
      </c>
      <c r="AZ104" s="717">
        <f t="shared" ref="AZ104" si="586">+AX104+AT104+AP104</f>
        <v>2505.7246166866325</v>
      </c>
      <c r="BA104" s="717">
        <f t="shared" ref="BA104" si="587">+AY104+AU104+AQ104</f>
        <v>2830.9209999999998</v>
      </c>
      <c r="BB104" s="429">
        <f t="shared" si="525"/>
        <v>5002.4683484545876</v>
      </c>
      <c r="BC104" s="429">
        <f t="shared" si="526"/>
        <v>5698.3958629536355</v>
      </c>
      <c r="BD104" s="718">
        <f t="shared" ref="BD104" si="588">+AV104+AX104</f>
        <v>9322.8037684097217</v>
      </c>
      <c r="BE104" s="718">
        <f t="shared" ref="BE104" si="589">+AW104+AY104</f>
        <v>10507.365607684485</v>
      </c>
      <c r="BF104" s="110"/>
      <c r="BG104" s="110"/>
      <c r="BH104" s="110"/>
      <c r="BI104" s="110"/>
      <c r="BJ104" s="110"/>
    </row>
    <row r="105" spans="2:62" ht="15" hidden="1" customHeight="1" x14ac:dyDescent="0.3">
      <c r="B105" s="926"/>
      <c r="C105" s="146"/>
      <c r="D105" s="1033">
        <v>1.1509148380802339</v>
      </c>
      <c r="E105" s="1230"/>
      <c r="F105" s="1033">
        <v>1.1688084860200998</v>
      </c>
      <c r="G105" s="1230"/>
      <c r="H105" s="718"/>
      <c r="I105" s="718"/>
      <c r="J105" s="1033">
        <v>1.0201460239127076</v>
      </c>
      <c r="K105" s="1230"/>
      <c r="L105" s="717"/>
      <c r="M105" s="717"/>
      <c r="N105" s="1033">
        <v>1.0390801145811881</v>
      </c>
      <c r="O105" s="1230"/>
      <c r="P105" s="718"/>
      <c r="Q105" s="718"/>
      <c r="R105" s="1033">
        <v>1.0390801145811881</v>
      </c>
      <c r="S105" s="1230"/>
      <c r="T105" s="718"/>
      <c r="U105" s="718"/>
      <c r="V105" s="1033">
        <v>0.47420399336729552</v>
      </c>
      <c r="W105" s="1230"/>
      <c r="X105" s="717"/>
      <c r="Y105" s="717"/>
      <c r="Z105" s="429"/>
      <c r="AA105" s="429"/>
      <c r="AB105" s="1033">
        <v>1.0341033545825422</v>
      </c>
      <c r="AC105" s="1230"/>
      <c r="AD105" s="718"/>
      <c r="AE105" s="718"/>
      <c r="AF105" s="1033">
        <v>1.1763046047886021</v>
      </c>
      <c r="AG105" s="1230"/>
      <c r="AH105" s="718"/>
      <c r="AI105" s="718"/>
      <c r="AJ105" s="1033">
        <v>1.1833756996112235</v>
      </c>
      <c r="AK105" s="1230"/>
      <c r="AL105" s="717"/>
      <c r="AM105" s="717"/>
      <c r="AN105" s="718"/>
      <c r="AO105" s="718"/>
      <c r="AP105" s="1033">
        <v>1.1833756996112235</v>
      </c>
      <c r="AQ105" s="1230"/>
      <c r="AR105" s="718"/>
      <c r="AS105" s="718"/>
      <c r="AT105" s="1033">
        <v>1.2170911029943903</v>
      </c>
      <c r="AU105" s="1230"/>
      <c r="AV105" s="718"/>
      <c r="AW105" s="718"/>
      <c r="AX105" s="1033">
        <v>1.0852256383920056</v>
      </c>
      <c r="AY105" s="1230"/>
      <c r="AZ105" s="717"/>
      <c r="BA105" s="717"/>
      <c r="BB105" s="429">
        <f t="shared" si="525"/>
        <v>0</v>
      </c>
      <c r="BC105" s="429">
        <f t="shared" si="526"/>
        <v>0</v>
      </c>
      <c r="BD105" s="718"/>
      <c r="BE105" s="718"/>
      <c r="BF105" s="110"/>
      <c r="BG105" s="110"/>
      <c r="BH105" s="110"/>
      <c r="BI105" s="110"/>
      <c r="BJ105" s="110"/>
    </row>
    <row r="106" spans="2:62" x14ac:dyDescent="0.3">
      <c r="B106" s="926" t="s">
        <v>109</v>
      </c>
      <c r="C106" s="146" t="s">
        <v>324</v>
      </c>
      <c r="D106" s="1031">
        <f>D107*D$3*24</f>
        <v>1396.7146390553964</v>
      </c>
      <c r="E106" s="1094">
        <v>882.42399999999998</v>
      </c>
      <c r="F106" s="1031">
        <f>F107*F$3*24</f>
        <v>1426.3978077105241</v>
      </c>
      <c r="G106" s="1094">
        <v>330.59</v>
      </c>
      <c r="H106" s="718">
        <f t="shared" si="531"/>
        <v>2823.1124467659206</v>
      </c>
      <c r="I106" s="718">
        <f t="shared" si="531"/>
        <v>1213.0139999999999</v>
      </c>
      <c r="J106" s="1031">
        <f>J107*J$3*24</f>
        <v>1207.0530458069115</v>
      </c>
      <c r="K106" s="1094">
        <v>1207.0748128000887</v>
      </c>
      <c r="L106" s="717">
        <f t="shared" si="532"/>
        <v>4030.1654925728321</v>
      </c>
      <c r="M106" s="717">
        <f t="shared" si="533"/>
        <v>2420.0888128000888</v>
      </c>
      <c r="N106" s="1031">
        <f>N107*N$3*24</f>
        <v>1279.1768543463181</v>
      </c>
      <c r="O106" s="1094">
        <v>1245.7720400038083</v>
      </c>
      <c r="P106" s="718">
        <f t="shared" si="534"/>
        <v>5309.3423469191503</v>
      </c>
      <c r="Q106" s="718">
        <f t="shared" si="535"/>
        <v>3665.8608528038972</v>
      </c>
      <c r="R106" s="1031">
        <f>R107*R$3*24</f>
        <v>1279.1768543463181</v>
      </c>
      <c r="S106" s="1094">
        <v>1135.5755864219707</v>
      </c>
      <c r="T106" s="718">
        <f t="shared" ref="T106" si="590">+P106+R106</f>
        <v>6588.5192012654679</v>
      </c>
      <c r="U106" s="718">
        <f t="shared" ref="U106" si="591">+Q106+S106</f>
        <v>4801.4364392258676</v>
      </c>
      <c r="V106" s="1031">
        <f>V107*V$3*24</f>
        <v>479.17803654586316</v>
      </c>
      <c r="W106" s="1094">
        <v>1282.4100000000001</v>
      </c>
      <c r="X106" s="717">
        <f t="shared" si="517"/>
        <v>3037.5317452384993</v>
      </c>
      <c r="Y106" s="717">
        <f t="shared" si="518"/>
        <v>3663.7576264257791</v>
      </c>
      <c r="Z106" s="429">
        <f t="shared" si="519"/>
        <v>7067.6972378113314</v>
      </c>
      <c r="AA106" s="429">
        <f t="shared" si="520"/>
        <v>6083.8464392258684</v>
      </c>
      <c r="AB106" s="1031">
        <f>AB107*AB$3*24</f>
        <v>1330.9639088696395</v>
      </c>
      <c r="AC106" s="1094">
        <v>921.85</v>
      </c>
      <c r="AD106" s="718">
        <f t="shared" ref="AD106" si="592">+Z106+AB106</f>
        <v>8398.66114668097</v>
      </c>
      <c r="AE106" s="718">
        <f t="shared" ref="AE106" si="593">+AA106+AC106</f>
        <v>7005.6964392258687</v>
      </c>
      <c r="AF106" s="1031">
        <f>AF107*AF$3*24</f>
        <v>1458.9520655403535</v>
      </c>
      <c r="AG106" s="1094">
        <v>1250.05</v>
      </c>
      <c r="AH106" s="718">
        <f t="shared" ref="AH106" si="594">+AD106+AF106</f>
        <v>9857.6132122213239</v>
      </c>
      <c r="AI106" s="718">
        <f t="shared" ref="AI106" si="595">+AE106+AG106</f>
        <v>8255.746439225868</v>
      </c>
      <c r="AJ106" s="1031">
        <f>AJ107*AJ$3*24</f>
        <v>1501.5705345809165</v>
      </c>
      <c r="AK106" s="1094">
        <v>1544.6841414945566</v>
      </c>
      <c r="AL106" s="717">
        <f t="shared" ref="AL106" si="596">+AJ106+AF106+AB106</f>
        <v>4291.486508990909</v>
      </c>
      <c r="AM106" s="717">
        <f t="shared" ref="AM106" si="597">+AK106+AG106+AC106</f>
        <v>3716.5841414945567</v>
      </c>
      <c r="AN106" s="718">
        <f t="shared" ref="AN106" si="598">+AH106+AJ106</f>
        <v>11359.18374680224</v>
      </c>
      <c r="AO106" s="718">
        <f t="shared" ref="AO106" si="599">+AI106+AK106</f>
        <v>9800.4305807204255</v>
      </c>
      <c r="AP106" s="1031">
        <f>AP107*AP$3*24</f>
        <v>1501.5705345809165</v>
      </c>
      <c r="AQ106" s="1094">
        <v>1774.2850000000001</v>
      </c>
      <c r="AR106" s="718">
        <f t="shared" ref="AR106" si="600">+AN106+AP106</f>
        <v>12860.754281383157</v>
      </c>
      <c r="AS106" s="718">
        <f t="shared" ref="AS106" si="601">+AO106+AQ106</f>
        <v>11574.715580720425</v>
      </c>
      <c r="AT106" s="1031">
        <f>AT107*AT$3*24</f>
        <v>1451.6373151531275</v>
      </c>
      <c r="AU106" s="1094">
        <v>1251.442</v>
      </c>
      <c r="AV106" s="718">
        <f t="shared" ref="AV106" si="602">+AR106+AT106</f>
        <v>14312.391596536285</v>
      </c>
      <c r="AW106" s="718">
        <f t="shared" ref="AW106" si="603">+AS106+AU106</f>
        <v>12826.157580720424</v>
      </c>
      <c r="AX106" s="1031">
        <f>AX107*AX$3*24</f>
        <v>1361.8428443318326</v>
      </c>
      <c r="AY106" s="1094">
        <v>1013.987</v>
      </c>
      <c r="AZ106" s="717">
        <f t="shared" ref="AZ106" si="604">+AX106+AT106+AP106</f>
        <v>4315.0506940658761</v>
      </c>
      <c r="BA106" s="717">
        <f t="shared" ref="BA106" si="605">+AY106+AU106+AQ106</f>
        <v>4039.7139999999999</v>
      </c>
      <c r="BB106" s="429">
        <f t="shared" si="525"/>
        <v>8606.5372030567851</v>
      </c>
      <c r="BC106" s="429">
        <f t="shared" si="526"/>
        <v>7756.2981414945571</v>
      </c>
      <c r="BD106" s="718">
        <f t="shared" ref="BD106" si="606">+AV106+AX106</f>
        <v>15674.234440868117</v>
      </c>
      <c r="BE106" s="718">
        <f t="shared" ref="BE106" si="607">+AW106+AY106</f>
        <v>13840.144580720424</v>
      </c>
      <c r="BF106" s="110"/>
      <c r="BG106" s="110"/>
      <c r="BH106" s="110"/>
      <c r="BI106" s="110"/>
      <c r="BJ106" s="110"/>
    </row>
    <row r="107" spans="2:62" ht="15" hidden="1" customHeight="1" x14ac:dyDescent="0.3">
      <c r="B107" s="926"/>
      <c r="C107" s="146"/>
      <c r="D107" s="1033">
        <v>1.9398814431324951</v>
      </c>
      <c r="E107" s="1230"/>
      <c r="F107" s="1033">
        <v>1.9172013544496294</v>
      </c>
      <c r="G107" s="1230"/>
      <c r="H107" s="718"/>
      <c r="I107" s="718"/>
      <c r="J107" s="1033">
        <v>1.6764625636207104</v>
      </c>
      <c r="K107" s="1230"/>
      <c r="L107" s="717"/>
      <c r="M107" s="717"/>
      <c r="N107" s="1033">
        <v>1.7193237289601051</v>
      </c>
      <c r="O107" s="1230"/>
      <c r="P107" s="718"/>
      <c r="Q107" s="718"/>
      <c r="R107" s="1033">
        <v>1.7193237289601051</v>
      </c>
      <c r="S107" s="1230"/>
      <c r="T107" s="718"/>
      <c r="U107" s="718"/>
      <c r="V107" s="1033">
        <v>0.66552505075814328</v>
      </c>
      <c r="W107" s="1230"/>
      <c r="X107" s="717"/>
      <c r="Y107" s="717"/>
      <c r="Z107" s="429"/>
      <c r="AA107" s="429"/>
      <c r="AB107" s="1033">
        <v>1.7889299850398379</v>
      </c>
      <c r="AC107" s="1230"/>
      <c r="AD107" s="718"/>
      <c r="AE107" s="718"/>
      <c r="AF107" s="1033">
        <v>2.0263223132504908</v>
      </c>
      <c r="AG107" s="1230"/>
      <c r="AH107" s="718"/>
      <c r="AI107" s="718"/>
      <c r="AJ107" s="1033">
        <v>2.0182399658345651</v>
      </c>
      <c r="AK107" s="1230"/>
      <c r="AL107" s="717"/>
      <c r="AM107" s="717"/>
      <c r="AN107" s="718"/>
      <c r="AO107" s="718"/>
      <c r="AP107" s="1033">
        <v>2.0182399658345651</v>
      </c>
      <c r="AQ107" s="1230"/>
      <c r="AR107" s="718"/>
      <c r="AS107" s="718"/>
      <c r="AT107" s="1033">
        <v>2.1601745761207254</v>
      </c>
      <c r="AU107" s="1230"/>
      <c r="AV107" s="718"/>
      <c r="AW107" s="718"/>
      <c r="AX107" s="1033">
        <v>1.8304339305535384</v>
      </c>
      <c r="AY107" s="1230"/>
      <c r="AZ107" s="717"/>
      <c r="BA107" s="717"/>
      <c r="BB107" s="429">
        <f t="shared" si="525"/>
        <v>0</v>
      </c>
      <c r="BC107" s="429">
        <f t="shared" si="526"/>
        <v>0</v>
      </c>
      <c r="BD107" s="718"/>
      <c r="BE107" s="718"/>
      <c r="BF107" s="110"/>
      <c r="BG107" s="110"/>
      <c r="BH107" s="110"/>
      <c r="BI107" s="110"/>
      <c r="BJ107" s="110"/>
    </row>
    <row r="108" spans="2:62" x14ac:dyDescent="0.3">
      <c r="B108" s="926" t="s">
        <v>82</v>
      </c>
      <c r="C108" s="146" t="s">
        <v>324</v>
      </c>
      <c r="D108" s="1031">
        <f>D109*D$3*24</f>
        <v>0</v>
      </c>
      <c r="E108" s="1094"/>
      <c r="F108" s="1031">
        <f>F109*F$3*24</f>
        <v>0</v>
      </c>
      <c r="G108" s="1094">
        <v>33</v>
      </c>
      <c r="H108" s="718">
        <f t="shared" si="531"/>
        <v>0</v>
      </c>
      <c r="I108" s="718">
        <f t="shared" si="531"/>
        <v>33</v>
      </c>
      <c r="J108" s="1031">
        <f>J109*J$3*24</f>
        <v>0</v>
      </c>
      <c r="K108" s="1094">
        <v>0</v>
      </c>
      <c r="L108" s="717">
        <f t="shared" si="532"/>
        <v>0</v>
      </c>
      <c r="M108" s="717">
        <f t="shared" si="533"/>
        <v>33</v>
      </c>
      <c r="N108" s="1031">
        <f>N109*N$3*24</f>
        <v>0</v>
      </c>
      <c r="O108" s="1094">
        <v>0</v>
      </c>
      <c r="P108" s="718">
        <f t="shared" si="534"/>
        <v>0</v>
      </c>
      <c r="Q108" s="718">
        <f t="shared" si="535"/>
        <v>33</v>
      </c>
      <c r="R108" s="1031">
        <f>R109*R$3*24</f>
        <v>0</v>
      </c>
      <c r="S108" s="1094">
        <v>0</v>
      </c>
      <c r="T108" s="718">
        <f t="shared" ref="T108" si="608">+P108+R108</f>
        <v>0</v>
      </c>
      <c r="U108" s="718">
        <f t="shared" ref="U108" si="609">+Q108+S108</f>
        <v>33</v>
      </c>
      <c r="V108" s="1031">
        <f>V109*V$3*24</f>
        <v>0</v>
      </c>
      <c r="W108" s="1094"/>
      <c r="X108" s="717">
        <f t="shared" si="517"/>
        <v>0</v>
      </c>
      <c r="Y108" s="717">
        <f t="shared" si="518"/>
        <v>0</v>
      </c>
      <c r="Z108" s="429">
        <f t="shared" si="519"/>
        <v>0</v>
      </c>
      <c r="AA108" s="429">
        <f t="shared" si="520"/>
        <v>33</v>
      </c>
      <c r="AB108" s="1031">
        <f>AB109*AB$3*24</f>
        <v>0</v>
      </c>
      <c r="AC108" s="1094">
        <v>27.6</v>
      </c>
      <c r="AD108" s="718">
        <f t="shared" ref="AD108" si="610">+Z108+AB108</f>
        <v>0</v>
      </c>
      <c r="AE108" s="718">
        <f t="shared" ref="AE108" si="611">+AA108+AC108</f>
        <v>60.6</v>
      </c>
      <c r="AF108" s="1031">
        <f>AF109*AF$3*24</f>
        <v>0</v>
      </c>
      <c r="AG108" s="1094">
        <v>0</v>
      </c>
      <c r="AH108" s="718">
        <f t="shared" ref="AH108" si="612">+AD108+AF108</f>
        <v>0</v>
      </c>
      <c r="AI108" s="718">
        <f t="shared" ref="AI108" si="613">+AE108+AG108</f>
        <v>60.6</v>
      </c>
      <c r="AJ108" s="1031">
        <f>AJ109*AJ$3*24</f>
        <v>0</v>
      </c>
      <c r="AK108" s="1094">
        <v>0</v>
      </c>
      <c r="AL108" s="717">
        <f t="shared" ref="AL108" si="614">+AJ108+AF108+AB108</f>
        <v>0</v>
      </c>
      <c r="AM108" s="717">
        <f t="shared" ref="AM108" si="615">+AK108+AG108+AC108</f>
        <v>27.6</v>
      </c>
      <c r="AN108" s="718">
        <f t="shared" ref="AN108" si="616">+AH108+AJ108</f>
        <v>0</v>
      </c>
      <c r="AO108" s="718">
        <f t="shared" ref="AO108" si="617">+AI108+AK108</f>
        <v>60.6</v>
      </c>
      <c r="AP108" s="1031">
        <f>AP109*AP$3*24</f>
        <v>0</v>
      </c>
      <c r="AQ108" s="1094">
        <v>12.896000000000001</v>
      </c>
      <c r="AR108" s="718">
        <f t="shared" ref="AR108" si="618">+AN108+AP108</f>
        <v>0</v>
      </c>
      <c r="AS108" s="718">
        <f t="shared" ref="AS108" si="619">+AO108+AQ108</f>
        <v>73.496000000000009</v>
      </c>
      <c r="AT108" s="1031">
        <f>AT109*AT$3*24</f>
        <v>0</v>
      </c>
      <c r="AU108" s="1094"/>
      <c r="AV108" s="718">
        <f t="shared" ref="AV108" si="620">+AR108+AT108</f>
        <v>0</v>
      </c>
      <c r="AW108" s="718">
        <f t="shared" ref="AW108" si="621">+AS108+AU108</f>
        <v>73.496000000000009</v>
      </c>
      <c r="AX108" s="1031">
        <f>AX109*AX$3*24</f>
        <v>0</v>
      </c>
      <c r="AY108" s="1094">
        <v>0</v>
      </c>
      <c r="AZ108" s="717">
        <f t="shared" ref="AZ108" si="622">+AX108+AT108+AP108</f>
        <v>0</v>
      </c>
      <c r="BA108" s="717">
        <f t="shared" ref="BA108" si="623">+AY108+AU108+AQ108</f>
        <v>12.896000000000001</v>
      </c>
      <c r="BB108" s="429">
        <f t="shared" si="525"/>
        <v>0</v>
      </c>
      <c r="BC108" s="429">
        <f t="shared" si="526"/>
        <v>40.496000000000002</v>
      </c>
      <c r="BD108" s="718">
        <f t="shared" ref="BD108" si="624">+AV108+AX108</f>
        <v>0</v>
      </c>
      <c r="BE108" s="718">
        <f t="shared" ref="BE108" si="625">+AW108+AY108</f>
        <v>73.496000000000009</v>
      </c>
      <c r="BF108" s="110"/>
      <c r="BG108" s="110"/>
      <c r="BH108" s="110"/>
      <c r="BI108" s="110"/>
      <c r="BJ108" s="110"/>
    </row>
    <row r="109" spans="2:62" ht="15" hidden="1" customHeight="1" x14ac:dyDescent="0.3">
      <c r="B109" s="926"/>
      <c r="C109" s="146"/>
      <c r="D109" s="1031"/>
      <c r="E109" s="1094"/>
      <c r="F109" s="1031"/>
      <c r="G109" s="1094"/>
      <c r="H109" s="718"/>
      <c r="I109" s="718"/>
      <c r="J109" s="1031">
        <v>0</v>
      </c>
      <c r="K109" s="1094"/>
      <c r="L109" s="717"/>
      <c r="M109" s="717"/>
      <c r="N109" s="1031">
        <v>0</v>
      </c>
      <c r="O109" s="1094"/>
      <c r="P109" s="718"/>
      <c r="Q109" s="718"/>
      <c r="R109" s="1031">
        <v>0</v>
      </c>
      <c r="S109" s="1094"/>
      <c r="T109" s="718"/>
      <c r="U109" s="718"/>
      <c r="V109" s="1031">
        <v>0</v>
      </c>
      <c r="W109" s="1094"/>
      <c r="X109" s="717"/>
      <c r="Y109" s="717"/>
      <c r="Z109" s="429"/>
      <c r="AA109" s="429"/>
      <c r="AB109" s="1031">
        <v>0</v>
      </c>
      <c r="AC109" s="1094"/>
      <c r="AD109" s="718"/>
      <c r="AE109" s="718"/>
      <c r="AF109" s="1031">
        <v>0</v>
      </c>
      <c r="AG109" s="1094"/>
      <c r="AH109" s="718"/>
      <c r="AI109" s="718"/>
      <c r="AJ109" s="1031">
        <v>0</v>
      </c>
      <c r="AK109" s="1094"/>
      <c r="AL109" s="717"/>
      <c r="AM109" s="717"/>
      <c r="AN109" s="718"/>
      <c r="AO109" s="718"/>
      <c r="AP109" s="1031">
        <v>0</v>
      </c>
      <c r="AQ109" s="1094"/>
      <c r="AR109" s="718"/>
      <c r="AS109" s="718"/>
      <c r="AT109" s="1031"/>
      <c r="AU109" s="1094"/>
      <c r="AV109" s="718"/>
      <c r="AW109" s="718"/>
      <c r="AX109" s="1031"/>
      <c r="AY109" s="1094"/>
      <c r="AZ109" s="717"/>
      <c r="BA109" s="717"/>
      <c r="BB109" s="429">
        <f t="shared" si="525"/>
        <v>0</v>
      </c>
      <c r="BC109" s="429">
        <f t="shared" si="526"/>
        <v>0</v>
      </c>
      <c r="BD109" s="718"/>
      <c r="BE109" s="718"/>
      <c r="BF109" s="110"/>
      <c r="BG109" s="3740"/>
      <c r="BH109" s="110"/>
      <c r="BI109" s="110"/>
      <c r="BJ109" s="110"/>
    </row>
    <row r="110" spans="2:62" x14ac:dyDescent="0.3">
      <c r="B110" s="926" t="s">
        <v>531</v>
      </c>
      <c r="C110" s="146" t="s">
        <v>324</v>
      </c>
      <c r="D110" s="1031">
        <f>D111*D$3*24</f>
        <v>279</v>
      </c>
      <c r="E110" s="1094">
        <v>152.00800000000001</v>
      </c>
      <c r="F110" s="1031">
        <f>F111*F$3*24</f>
        <v>288.3</v>
      </c>
      <c r="G110" s="1094">
        <v>159.77199999999999</v>
      </c>
      <c r="H110" s="718">
        <f t="shared" si="531"/>
        <v>567.29999999999995</v>
      </c>
      <c r="I110" s="718">
        <f t="shared" si="531"/>
        <v>311.77999999999997</v>
      </c>
      <c r="J110" s="1031">
        <f>J111*J$3*24</f>
        <v>144</v>
      </c>
      <c r="K110" s="1094">
        <v>152.2198731501056</v>
      </c>
      <c r="L110" s="717">
        <f t="shared" si="532"/>
        <v>711.3</v>
      </c>
      <c r="M110" s="717">
        <f t="shared" si="533"/>
        <v>463.9998731501056</v>
      </c>
      <c r="N110" s="1031">
        <f>N111*N$3*24</f>
        <v>148.80000000000001</v>
      </c>
      <c r="O110" s="1094">
        <v>157.10895348837198</v>
      </c>
      <c r="P110" s="718">
        <f t="shared" si="534"/>
        <v>860.09999999999991</v>
      </c>
      <c r="Q110" s="718">
        <f t="shared" si="535"/>
        <v>621.10882663847758</v>
      </c>
      <c r="R110" s="1031">
        <f>R111*R$3*24</f>
        <v>148.80000000000001</v>
      </c>
      <c r="S110" s="1094">
        <v>156.7653276955603</v>
      </c>
      <c r="T110" s="718">
        <f t="shared" ref="T110" si="626">+P110+R110</f>
        <v>1008.8999999999999</v>
      </c>
      <c r="U110" s="718">
        <f t="shared" ref="U110" si="627">+Q110+S110</f>
        <v>777.87415433403794</v>
      </c>
      <c r="V110" s="1031">
        <f>V111*V$3*24</f>
        <v>144</v>
      </c>
      <c r="W110" s="1094">
        <v>152.114</v>
      </c>
      <c r="X110" s="717">
        <f t="shared" si="517"/>
        <v>441.6</v>
      </c>
      <c r="Y110" s="717">
        <f t="shared" si="518"/>
        <v>465.98828118393226</v>
      </c>
      <c r="Z110" s="429">
        <f t="shared" si="519"/>
        <v>1152.9000000000001</v>
      </c>
      <c r="AA110" s="429">
        <f t="shared" si="520"/>
        <v>929.98815433403786</v>
      </c>
      <c r="AB110" s="1031">
        <f>AB111*AB$3*24</f>
        <v>148.80000000000001</v>
      </c>
      <c r="AC110" s="1094">
        <v>144.292</v>
      </c>
      <c r="AD110" s="718">
        <f t="shared" ref="AD110" si="628">+Z110+AB110</f>
        <v>1301.7</v>
      </c>
      <c r="AE110" s="718">
        <f t="shared" ref="AE110" si="629">+AA110+AC110</f>
        <v>1074.2801543340379</v>
      </c>
      <c r="AF110" s="1031">
        <f>AF111*AF$3*24</f>
        <v>144</v>
      </c>
      <c r="AG110" s="1094">
        <v>152.22</v>
      </c>
      <c r="AH110" s="718">
        <f t="shared" ref="AH110" si="630">+AD110+AF110</f>
        <v>1445.7</v>
      </c>
      <c r="AI110" s="718">
        <f t="shared" ref="AI110" si="631">+AE110+AG110</f>
        <v>1226.5001543340379</v>
      </c>
      <c r="AJ110" s="1031">
        <f>AJ111*AJ$3*24</f>
        <v>148.80000000000001</v>
      </c>
      <c r="AK110" s="1094">
        <v>154.07325581395344</v>
      </c>
      <c r="AL110" s="717">
        <f t="shared" ref="AL110" si="632">+AJ110+AF110+AB110</f>
        <v>441.6</v>
      </c>
      <c r="AM110" s="717">
        <f t="shared" ref="AM110" si="633">+AK110+AG110+AC110</f>
        <v>450.58525581395349</v>
      </c>
      <c r="AN110" s="718">
        <f t="shared" ref="AN110" si="634">+AH110+AJ110</f>
        <v>1594.5</v>
      </c>
      <c r="AO110" s="718">
        <f t="shared" ref="AO110" si="635">+AI110+AK110</f>
        <v>1380.5734101479914</v>
      </c>
      <c r="AP110" s="1031">
        <f>AP111*AP$3*24</f>
        <v>148.80000000000001</v>
      </c>
      <c r="AQ110" s="1094">
        <v>157.08199999999999</v>
      </c>
      <c r="AR110" s="718">
        <f t="shared" ref="AR110" si="636">+AN110+AP110</f>
        <v>1743.3</v>
      </c>
      <c r="AS110" s="718">
        <f t="shared" ref="AS110" si="637">+AO110+AQ110</f>
        <v>1537.6554101479915</v>
      </c>
      <c r="AT110" s="1031">
        <f>AT111*AT$3*24</f>
        <v>134.4</v>
      </c>
      <c r="AU110" s="1094">
        <v>136.786</v>
      </c>
      <c r="AV110" s="718">
        <f t="shared" ref="AV110" si="638">+AR110+AT110</f>
        <v>1877.7</v>
      </c>
      <c r="AW110" s="718">
        <f t="shared" ref="AW110" si="639">+AS110+AU110</f>
        <v>1674.4414101479915</v>
      </c>
      <c r="AX110" s="1031">
        <f>AX111*AX$3*24</f>
        <v>148.80000000000001</v>
      </c>
      <c r="AY110" s="1094">
        <v>156.83000000000001</v>
      </c>
      <c r="AZ110" s="717">
        <f t="shared" ref="AZ110" si="640">+AX110+AT110+AP110</f>
        <v>432.00000000000006</v>
      </c>
      <c r="BA110" s="717">
        <f t="shared" ref="BA110" si="641">+AY110+AU110+AQ110</f>
        <v>450.69799999999998</v>
      </c>
      <c r="BB110" s="429">
        <f t="shared" si="525"/>
        <v>873.60000000000014</v>
      </c>
      <c r="BC110" s="429">
        <f t="shared" si="526"/>
        <v>901.28325581395347</v>
      </c>
      <c r="BD110" s="718">
        <f t="shared" ref="BD110" si="642">+AV110+AX110</f>
        <v>2026.5</v>
      </c>
      <c r="BE110" s="718">
        <f t="shared" ref="BE110" si="643">+AW110+AY110</f>
        <v>1831.2714101479914</v>
      </c>
      <c r="BF110" s="110"/>
      <c r="BG110" s="110"/>
      <c r="BH110" s="110"/>
      <c r="BI110" s="110"/>
      <c r="BJ110" s="110"/>
    </row>
    <row r="111" spans="2:62" ht="15" hidden="1" customHeight="1" x14ac:dyDescent="0.3">
      <c r="B111" s="926"/>
      <c r="C111" s="146"/>
      <c r="D111" s="178">
        <v>0.38750000000000001</v>
      </c>
      <c r="E111" s="96"/>
      <c r="F111" s="178">
        <v>0.38750000000000001</v>
      </c>
      <c r="G111" s="96"/>
      <c r="H111" s="718"/>
      <c r="I111" s="718"/>
      <c r="J111" s="178">
        <v>0.2</v>
      </c>
      <c r="K111" s="96"/>
      <c r="L111" s="717"/>
      <c r="M111" s="717"/>
      <c r="N111" s="178">
        <v>0.2</v>
      </c>
      <c r="O111" s="96"/>
      <c r="P111" s="718"/>
      <c r="Q111" s="718"/>
      <c r="R111" s="178">
        <v>0.2</v>
      </c>
      <c r="S111" s="96"/>
      <c r="T111" s="718"/>
      <c r="U111" s="718"/>
      <c r="V111" s="178">
        <v>0.2</v>
      </c>
      <c r="W111" s="96"/>
      <c r="X111" s="717"/>
      <c r="Y111" s="717"/>
      <c r="Z111" s="429"/>
      <c r="AA111" s="429"/>
      <c r="AB111" s="178">
        <v>0.2</v>
      </c>
      <c r="AC111" s="96"/>
      <c r="AD111" s="718"/>
      <c r="AE111" s="718"/>
      <c r="AF111" s="178">
        <v>0.2</v>
      </c>
      <c r="AG111" s="96"/>
      <c r="AH111" s="718"/>
      <c r="AI111" s="718"/>
      <c r="AJ111" s="178">
        <v>0.2</v>
      </c>
      <c r="AK111" s="96"/>
      <c r="AL111" s="717"/>
      <c r="AM111" s="717"/>
      <c r="AN111" s="718"/>
      <c r="AO111" s="718"/>
      <c r="AP111" s="178">
        <v>0.2</v>
      </c>
      <c r="AQ111" s="96"/>
      <c r="AR111" s="718"/>
      <c r="AS111" s="718"/>
      <c r="AT111" s="178">
        <v>0.2</v>
      </c>
      <c r="AU111" s="96"/>
      <c r="AV111" s="718"/>
      <c r="AW111" s="718"/>
      <c r="AX111" s="178">
        <v>0.2</v>
      </c>
      <c r="AY111" s="96"/>
      <c r="AZ111" s="717"/>
      <c r="BA111" s="717"/>
      <c r="BB111" s="429"/>
      <c r="BC111" s="429"/>
      <c r="BD111" s="718"/>
      <c r="BE111" s="718"/>
      <c r="BF111" s="110"/>
      <c r="BG111" s="110"/>
      <c r="BH111" s="110"/>
      <c r="BI111" s="110"/>
      <c r="BJ111" s="110"/>
    </row>
    <row r="112" spans="2:62" ht="15.6" x14ac:dyDescent="0.3">
      <c r="B112" s="742" t="s">
        <v>61</v>
      </c>
      <c r="C112" s="736" t="s">
        <v>324</v>
      </c>
      <c r="D112" s="1034">
        <f t="shared" ref="D112:E112" si="644">D96+D98+D100+D102+D104+D106+D108+D110</f>
        <v>3600</v>
      </c>
      <c r="E112" s="1034">
        <f t="shared" si="644"/>
        <v>3570.4889999999996</v>
      </c>
      <c r="F112" s="1034">
        <f t="shared" ref="F112:G112" si="645">F96+F98+F100+F102+F104+F106+F108+F110</f>
        <v>3720</v>
      </c>
      <c r="G112" s="1034">
        <f t="shared" si="645"/>
        <v>3760.4949999999999</v>
      </c>
      <c r="H112" s="344">
        <f t="shared" ref="H112:K112" si="646">H96+H98+H100+H102+H104+H106+H108+H110</f>
        <v>7320.0000000000009</v>
      </c>
      <c r="I112" s="344">
        <f t="shared" si="646"/>
        <v>7330.9840000000004</v>
      </c>
      <c r="J112" s="1034">
        <f t="shared" si="646"/>
        <v>3600</v>
      </c>
      <c r="K112" s="1034">
        <f t="shared" si="646"/>
        <v>3572.2689999999993</v>
      </c>
      <c r="L112" s="734">
        <f t="shared" ref="L112:AA112" si="647">SUM(L96:L110)</f>
        <v>10920</v>
      </c>
      <c r="M112" s="734">
        <f t="shared" si="647"/>
        <v>10903.252999999999</v>
      </c>
      <c r="N112" s="1034">
        <f t="shared" ref="N112:O112" si="648">N96+N98+N100+N102+N104+N106+N108+N110</f>
        <v>3720</v>
      </c>
      <c r="O112" s="1034">
        <f t="shared" si="648"/>
        <v>3781.1419999999998</v>
      </c>
      <c r="P112" s="231">
        <f t="shared" si="647"/>
        <v>14640.000000000002</v>
      </c>
      <c r="Q112" s="231">
        <f t="shared" si="647"/>
        <v>14684.394999999999</v>
      </c>
      <c r="R112" s="1034">
        <f t="shared" ref="R112:S112" si="649">R96+R98+R100+R102+R104+R106+R108+R110</f>
        <v>3720</v>
      </c>
      <c r="S112" s="1034">
        <f t="shared" si="649"/>
        <v>3708.1829999999995</v>
      </c>
      <c r="T112" s="231">
        <f t="shared" ref="T112:U112" si="650">SUM(T96:T110)</f>
        <v>18360</v>
      </c>
      <c r="U112" s="231">
        <f t="shared" si="650"/>
        <v>18392.577999999998</v>
      </c>
      <c r="V112" s="1034">
        <f t="shared" ref="V112:W112" si="651">V96+V98+V100+V102+V104+V106+V108+V110</f>
        <v>3600</v>
      </c>
      <c r="W112" s="1034">
        <f t="shared" si="651"/>
        <v>3839.4550000000004</v>
      </c>
      <c r="X112" s="734">
        <f t="shared" si="647"/>
        <v>11040</v>
      </c>
      <c r="Y112" s="734">
        <f t="shared" si="647"/>
        <v>11328.779999999999</v>
      </c>
      <c r="Z112" s="482">
        <f t="shared" si="647"/>
        <v>21960</v>
      </c>
      <c r="AA112" s="482">
        <f t="shared" si="647"/>
        <v>22232.032999999999</v>
      </c>
      <c r="AB112" s="1034">
        <f t="shared" ref="AB112:AC112" si="652">AB96+AB98+AB100+AB102+AB104+AB106+AB108+AB110</f>
        <v>3720.0000000000005</v>
      </c>
      <c r="AC112" s="1034">
        <f t="shared" si="652"/>
        <v>3998.0099999999998</v>
      </c>
      <c r="AD112" s="231">
        <f t="shared" ref="AD112:AE112" si="653">SUM(AD96:AD110)</f>
        <v>25680</v>
      </c>
      <c r="AE112" s="231">
        <f t="shared" si="653"/>
        <v>26230.042999999998</v>
      </c>
      <c r="AF112" s="1034">
        <f t="shared" ref="AF112:AG112" si="654">AF96+AF98+AF100+AF102+AF104+AF106+AF108+AF110</f>
        <v>3600</v>
      </c>
      <c r="AG112" s="1034">
        <f t="shared" si="654"/>
        <v>3822.3609999999994</v>
      </c>
      <c r="AH112" s="231">
        <f t="shared" ref="AH112:AI112" si="655">SUM(AH96:AH110)</f>
        <v>29280</v>
      </c>
      <c r="AI112" s="231">
        <f t="shared" si="655"/>
        <v>30052.403999999999</v>
      </c>
      <c r="AJ112" s="1034">
        <f t="shared" ref="AJ112:AK112" si="656">AJ96+AJ98+AJ100+AJ102+AJ104+AJ106+AJ108+AJ110</f>
        <v>3720</v>
      </c>
      <c r="AK112" s="1034">
        <f t="shared" si="656"/>
        <v>4723.71</v>
      </c>
      <c r="AL112" s="734">
        <f t="shared" ref="AL112:AO112" si="657">SUM(AL96:AL110)</f>
        <v>11040</v>
      </c>
      <c r="AM112" s="734">
        <f t="shared" si="657"/>
        <v>12544.081000000002</v>
      </c>
      <c r="AN112" s="231">
        <f t="shared" si="657"/>
        <v>33000</v>
      </c>
      <c r="AO112" s="231">
        <f t="shared" si="657"/>
        <v>34776.113999999994</v>
      </c>
      <c r="AP112" s="1034">
        <f t="shared" ref="AP112:AQ112" si="658">AP96+AP98+AP100+AP102+AP104+AP106+AP108+AP110</f>
        <v>3720</v>
      </c>
      <c r="AQ112" s="1034">
        <f t="shared" si="658"/>
        <v>5086.8159999999998</v>
      </c>
      <c r="AR112" s="231">
        <f t="shared" ref="AR112:AS112" si="659">SUM(AR96:AR110)</f>
        <v>36720</v>
      </c>
      <c r="AS112" s="231">
        <f t="shared" si="659"/>
        <v>39862.93</v>
      </c>
      <c r="AT112" s="1034">
        <f t="shared" ref="AT112:AU112" si="660">AT96+AT98+AT100+AT102+AT104+AT106+AT108+AT110</f>
        <v>3360</v>
      </c>
      <c r="AU112" s="1034">
        <f t="shared" si="660"/>
        <v>3436.0370000000003</v>
      </c>
      <c r="AV112" s="231">
        <f t="shared" ref="AV112:AW112" si="661">SUM(AV96:AV110)</f>
        <v>40080</v>
      </c>
      <c r="AW112" s="231">
        <f t="shared" si="661"/>
        <v>43298.967000000004</v>
      </c>
      <c r="AX112" s="1034">
        <f t="shared" ref="AX112:AY112" si="662">AX96+AX98+AX100+AX102+AX104+AX106+AX108+AX110</f>
        <v>3720</v>
      </c>
      <c r="AY112" s="1034">
        <f t="shared" si="662"/>
        <v>3765.143</v>
      </c>
      <c r="AZ112" s="734">
        <f t="shared" ref="AZ112:BE112" si="663">SUM(AZ96:AZ110)</f>
        <v>10800</v>
      </c>
      <c r="BA112" s="734">
        <f t="shared" si="663"/>
        <v>12287.996000000001</v>
      </c>
      <c r="BB112" s="482">
        <f t="shared" si="663"/>
        <v>21840</v>
      </c>
      <c r="BC112" s="482">
        <f t="shared" si="663"/>
        <v>24832.077000000001</v>
      </c>
      <c r="BD112" s="231">
        <f t="shared" si="663"/>
        <v>43800</v>
      </c>
      <c r="BE112" s="231">
        <f t="shared" si="663"/>
        <v>47064.11</v>
      </c>
      <c r="BF112" s="110"/>
      <c r="BG112" s="110"/>
      <c r="BH112" s="110"/>
      <c r="BI112" s="110"/>
      <c r="BJ112" s="110"/>
    </row>
    <row r="113" spans="1:62" ht="20.399999999999999" x14ac:dyDescent="0.3">
      <c r="B113" s="941" t="s">
        <v>322</v>
      </c>
      <c r="C113" s="941"/>
      <c r="D113" s="942"/>
      <c r="E113" s="941"/>
      <c r="F113" s="942"/>
      <c r="G113" s="941"/>
      <c r="H113" s="941"/>
      <c r="I113" s="941"/>
      <c r="J113" s="942"/>
      <c r="K113" s="941"/>
      <c r="L113" s="941"/>
      <c r="M113" s="941"/>
      <c r="N113" s="942"/>
      <c r="O113" s="941"/>
      <c r="P113" s="941"/>
      <c r="Q113" s="941"/>
      <c r="R113" s="942"/>
      <c r="S113" s="941"/>
      <c r="T113" s="941"/>
      <c r="U113" s="941"/>
      <c r="V113" s="942"/>
      <c r="W113" s="941"/>
      <c r="X113" s="941"/>
      <c r="Y113" s="941"/>
      <c r="Z113" s="941"/>
      <c r="AA113" s="941"/>
      <c r="AB113" s="942"/>
      <c r="AC113" s="941"/>
      <c r="AD113" s="941"/>
      <c r="AE113" s="941"/>
      <c r="AF113" s="942"/>
      <c r="AG113" s="941"/>
      <c r="AH113" s="941"/>
      <c r="AI113" s="941"/>
      <c r="AJ113" s="942"/>
      <c r="AK113" s="941"/>
      <c r="AL113" s="941"/>
      <c r="AM113" s="941"/>
      <c r="AN113" s="941"/>
      <c r="AO113" s="941"/>
      <c r="AP113" s="942"/>
      <c r="AQ113" s="941"/>
      <c r="AR113" s="941"/>
      <c r="AS113" s="941"/>
      <c r="AT113" s="942"/>
      <c r="AU113" s="941"/>
      <c r="AV113" s="941"/>
      <c r="AW113" s="941"/>
      <c r="AX113" s="942"/>
      <c r="AY113" s="941"/>
      <c r="AZ113" s="941"/>
      <c r="BA113" s="941"/>
      <c r="BB113" s="941"/>
      <c r="BC113" s="941"/>
      <c r="BD113" s="941"/>
      <c r="BE113" s="941"/>
      <c r="BF113" s="110"/>
      <c r="BG113" s="110"/>
      <c r="BH113" s="110"/>
      <c r="BI113" s="110"/>
      <c r="BJ113" s="110"/>
    </row>
    <row r="114" spans="1:62" x14ac:dyDescent="0.3">
      <c r="B114" s="943" t="s">
        <v>110</v>
      </c>
      <c r="C114" s="146" t="s">
        <v>321</v>
      </c>
      <c r="D114" s="238">
        <v>0.47067219729075532</v>
      </c>
      <c r="E114" s="238">
        <v>0.54198232513247857</v>
      </c>
      <c r="F114" s="238">
        <v>0.44682514497253245</v>
      </c>
      <c r="G114" s="238">
        <v>0.63510261906071319</v>
      </c>
      <c r="H114" s="349">
        <f>((D114*$D$130)+(F114*$F$130))/$H$130</f>
        <v>0.45949389151658837</v>
      </c>
      <c r="I114" s="349">
        <f>((E114*$E$130)+(G114*$G$130))/$I$130</f>
        <v>0.57038371470772231</v>
      </c>
      <c r="J114" s="238">
        <v>0.40265163675865484</v>
      </c>
      <c r="K114" s="238">
        <v>0.46089305717975371</v>
      </c>
      <c r="L114" s="350">
        <v>0.42044655375237644</v>
      </c>
      <c r="M114" s="350">
        <v>0.45639712535576715</v>
      </c>
      <c r="N114" s="238">
        <v>0.40260587158869787</v>
      </c>
      <c r="O114" s="238">
        <v>0.45884359235561362</v>
      </c>
      <c r="P114" s="349">
        <v>0.41598199068581082</v>
      </c>
      <c r="Q114" s="349">
        <v>0.45757416911611182</v>
      </c>
      <c r="R114" s="238">
        <v>0.40266488037444587</v>
      </c>
      <c r="S114" s="238">
        <v>0.46179488752722814</v>
      </c>
      <c r="T114" s="349">
        <v>0.41331647061482396</v>
      </c>
      <c r="U114" s="349">
        <v>0.45850791535025492</v>
      </c>
      <c r="V114" s="238">
        <v>0.42094117765032152</v>
      </c>
      <c r="W114" s="238">
        <v>0.47364230537384505</v>
      </c>
      <c r="X114" s="350">
        <v>0.4064403462138651</v>
      </c>
      <c r="Y114" s="350">
        <v>0.46449484026625404</v>
      </c>
      <c r="Z114" s="618">
        <v>0.41404124851922108</v>
      </c>
      <c r="AA114" s="618">
        <v>0.46128873565114553</v>
      </c>
      <c r="AB114" s="238">
        <v>0.40842070090372701</v>
      </c>
      <c r="AC114" s="238">
        <v>0.4710475142051877</v>
      </c>
      <c r="AD114" s="349">
        <v>0.41316499839907639</v>
      </c>
      <c r="AE114" s="349">
        <v>0.46190947286915224</v>
      </c>
      <c r="AF114" s="238">
        <v>0.40795534247141441</v>
      </c>
      <c r="AG114" s="238">
        <v>0.48496135953706615</v>
      </c>
      <c r="AH114" s="349">
        <v>0.41248119786932752</v>
      </c>
      <c r="AI114" s="349">
        <v>0.46466131751422107</v>
      </c>
      <c r="AJ114" s="238">
        <v>0.40060388348633708</v>
      </c>
      <c r="AK114" s="238">
        <v>0.53512669643059352</v>
      </c>
      <c r="AL114" s="350">
        <f>((AB114*$AB$130)+(AF114*$AF$130)+(AJ114*$AJ$130))/$AL$130</f>
        <v>0.40563610595351324</v>
      </c>
      <c r="AM114" s="350">
        <f>((AK114*$AK$130)+(AG114*$AG$130)+(AC114*$AC$130))/$AM$130</f>
        <v>0.49936671664352084</v>
      </c>
      <c r="AN114" s="349">
        <f>((AH114*$AH$130)+(AJ114*$AJ$130))/$AN$130</f>
        <v>0.41097859645899476</v>
      </c>
      <c r="AO114" s="349">
        <f>((AI114*$AI$130)+(AK114*$AK$130))/$AO$130</f>
        <v>0.47323660263916434</v>
      </c>
      <c r="AP114" s="238">
        <v>0.40060591130283679</v>
      </c>
      <c r="AQ114" s="238">
        <v>0.5266324090059108</v>
      </c>
      <c r="AR114" s="349">
        <f>((AN114*$AN$130)+(AP114*$AP$130))/$AR$130</f>
        <v>0.40979777906238612</v>
      </c>
      <c r="AS114" s="349">
        <f>((AO114*$AO$130)+(AQ114*$AQ$130))/$AS$130</f>
        <v>0.47888999072679639</v>
      </c>
      <c r="AT114" s="238">
        <v>0.40074182391379265</v>
      </c>
      <c r="AU114" s="238">
        <v>0.48160759355255567</v>
      </c>
      <c r="AV114" s="349">
        <f>((AR114*$AR$130)+(AT114*$AT$130))/$AV$130</f>
        <v>0.40896162791500673</v>
      </c>
      <c r="AW114" s="349">
        <f>((AS114*$AS$130)+(AU114*$AU$130))/$AW$130</f>
        <v>0.4791049633953437</v>
      </c>
      <c r="AX114" s="238">
        <v>0.40060591130283679</v>
      </c>
      <c r="AY114" s="238">
        <v>0.53766063473116599</v>
      </c>
      <c r="AZ114" s="350">
        <f>((AX114*$AX$130)+(AP114*$AP$130)+(AT114*$AT$130))/$AZ$130</f>
        <v>0.40064788300234516</v>
      </c>
      <c r="BA114" s="350">
        <f>((AY114*$AY$130)+(AQ114*$AQ$130)+(AU114*$AU$130))/$BA$130</f>
        <v>0.51796690986872607</v>
      </c>
      <c r="BB114" s="618">
        <f>((AF114*$AF$130)+(AB114*$AB$130)+(AJ114*$AJ$130)+(AT114*$AT$130)+(AP114*$AP$130)+(AX114*$AX$130))/$BB$130</f>
        <v>0.40315503047152956</v>
      </c>
      <c r="BC114" s="618">
        <f>((AG114*$AG$130)+(AC114*$AC$130)+(AK114*$AK$130)+(AU114*$AU$130)+(AQ114*$AQ$130)+(AY114*$AY$130))/$BC$130</f>
        <v>0.5087473504235509</v>
      </c>
      <c r="BD114" s="349">
        <f>((AH114*$AH$130)+(AJ114*$AJ$130)+(AP114*$AP$130)+(AT114*$AT$130)+(AX114*$AX$130))/$BD$130</f>
        <v>0.40817910378041417</v>
      </c>
      <c r="BE114" s="349">
        <f>((AI114*$AI$130)+(AK114*$AK$130)+(AQ114*$AQ$130)+(AU114*$AU$130)+(AY114*$AY$130))/$BE$130</f>
        <v>0.48457984429455536</v>
      </c>
      <c r="BF114" s="110"/>
      <c r="BG114" s="110"/>
      <c r="BH114" s="110"/>
      <c r="BI114" s="110"/>
      <c r="BJ114" s="110"/>
    </row>
    <row r="115" spans="1:62" x14ac:dyDescent="0.3">
      <c r="A115" s="88"/>
      <c r="B115" s="943" t="s">
        <v>1016</v>
      </c>
      <c r="C115" s="146" t="s">
        <v>321</v>
      </c>
      <c r="D115" s="238">
        <v>3.1921604127423997</v>
      </c>
      <c r="E115" s="238">
        <v>3.2940400595497832</v>
      </c>
      <c r="F115" s="238">
        <v>3.1784228880514962</v>
      </c>
      <c r="G115" s="238">
        <v>3.3192324515193303</v>
      </c>
      <c r="H115" s="349">
        <f t="shared" ref="H115:H128" si="664">((D115*$D$130)+(F115*$F$130))/$H$130</f>
        <v>3.1857209480435387</v>
      </c>
      <c r="I115" s="349">
        <f t="shared" ref="I115:I128" si="665">((E115*$E$130)+(G115*$G$130))/$I$130</f>
        <v>3.3017236579199811</v>
      </c>
      <c r="J115" s="238">
        <v>3.192215813727552</v>
      </c>
      <c r="K115" s="238">
        <v>3.2659177041987215</v>
      </c>
      <c r="L115" s="350">
        <v>3.1907305167461972</v>
      </c>
      <c r="M115" s="350">
        <v>3.2105481417364601</v>
      </c>
      <c r="N115" s="238">
        <v>3.1803553389763484</v>
      </c>
      <c r="O115" s="238">
        <v>3.2864920848289811</v>
      </c>
      <c r="P115" s="349">
        <v>3.1881341678479123</v>
      </c>
      <c r="Q115" s="349">
        <v>3.2306404783771461</v>
      </c>
      <c r="R115" s="238">
        <v>3.1903155317778462</v>
      </c>
      <c r="S115" s="238">
        <v>3.2670592097068112</v>
      </c>
      <c r="T115" s="349">
        <v>3.1885707842910755</v>
      </c>
      <c r="U115" s="349">
        <v>3.2378773737631281</v>
      </c>
      <c r="V115" s="238">
        <v>3.2564569263786973</v>
      </c>
      <c r="W115" s="238">
        <v>3.3654871225576142</v>
      </c>
      <c r="X115" s="350">
        <v>3.2001184621482972</v>
      </c>
      <c r="Y115" s="350">
        <v>3.3050153189900842</v>
      </c>
      <c r="Z115" s="618">
        <v>3.1950238028229103</v>
      </c>
      <c r="AA115" s="618">
        <v>3.2581282360445876</v>
      </c>
      <c r="AB115" s="238">
        <v>3.1924522647738316</v>
      </c>
      <c r="AC115" s="238">
        <v>3.4225036436307481</v>
      </c>
      <c r="AD115" s="349">
        <v>3.1946228969541921</v>
      </c>
      <c r="AE115" s="349">
        <v>3.2772158503361757</v>
      </c>
      <c r="AF115" s="238">
        <v>3.1917150252548843</v>
      </c>
      <c r="AG115" s="238">
        <v>3.219743432654556</v>
      </c>
      <c r="AH115" s="349">
        <v>3.1942412202684305</v>
      </c>
      <c r="AI115" s="349">
        <v>3.269922788543159</v>
      </c>
      <c r="AJ115" s="238">
        <v>3.1923345249312436</v>
      </c>
      <c r="AK115" s="238">
        <v>3.2862657892876888</v>
      </c>
      <c r="AL115" s="350">
        <f t="shared" ref="AL115:AL128" si="666">((AB115*$AB$130)+(AF115*$AF$130)+(AJ115*$AJ$130))/$AL$130</f>
        <v>3.1921719745925987</v>
      </c>
      <c r="AM115" s="350">
        <f t="shared" ref="AM115:AM128" si="667">((AK115*$AK$130)+(AG115*$AG$130)+(AC115*$AC$130))/$AM$130</f>
        <v>3.3004897062670957</v>
      </c>
      <c r="AN115" s="349">
        <f t="shared" ref="AN115:AN127" si="668">((AH115*$AH$130)+(AJ115*$AJ$130))/$AN$130</f>
        <v>3.1940000038612237</v>
      </c>
      <c r="AO115" s="349">
        <f t="shared" ref="AO115:AO127" si="669">((AI115*$AI$130)+(AK115*$AK$130))/$AO$130</f>
        <v>3.2719116502130556</v>
      </c>
      <c r="AP115" s="238">
        <v>3.2065088900288075</v>
      </c>
      <c r="AQ115" s="238">
        <v>3.2325708109992632</v>
      </c>
      <c r="AR115" s="349">
        <f t="shared" ref="AR115:AR126" si="670">((AN115*$AN$130)+(AP115*$AP$130))/$AR$130</f>
        <v>3.195424004510671</v>
      </c>
      <c r="AS115" s="349">
        <f t="shared" ref="AS115:AS126" si="671">((AO115*$AO$130)+(AQ115*$AQ$130))/$AS$130</f>
        <v>3.2677463599608383</v>
      </c>
      <c r="AT115" s="238">
        <v>3.1953335496254298</v>
      </c>
      <c r="AU115" s="238">
        <v>3.2556255612498846</v>
      </c>
      <c r="AV115" s="349">
        <f t="shared" ref="AV115:AV127" si="672">((AR115*$AR$130)+(AT115*$AT$130))/$AV$130</f>
        <v>3.1954156526632023</v>
      </c>
      <c r="AW115" s="349">
        <f t="shared" ref="AW115:AW127" si="673">((AS115*$AS$130)+(AU115*$AU$130))/$AW$130</f>
        <v>3.2667875589104707</v>
      </c>
      <c r="AX115" s="238">
        <v>3.2065088900288075</v>
      </c>
      <c r="AY115" s="238">
        <v>3.1923409952632977</v>
      </c>
      <c r="AZ115" s="350">
        <f t="shared" ref="AZ115:AZ127" si="674">((AX115*$AX$130)+(AP115*$AP$130)+(AT115*$AT$130))/$AZ$130</f>
        <v>3.2030577898989847</v>
      </c>
      <c r="BA115" s="350">
        <f t="shared" ref="BA115:BA127" si="675">((AY115*$AY$130)+(AQ115*$AQ$130)+(AU115*$AU$130))/$BA$130</f>
        <v>3.2242573185106531</v>
      </c>
      <c r="BB115" s="618">
        <f t="shared" ref="BB115:BB127" si="676">((AF115*$AF$130)+(AB115*$AB$130)+(AJ115*$AJ$130)+(AT115*$AT$130)+(AP115*$AP$130)+(AX115*$AX$130))/$BB$130</f>
        <v>3.197586433754203</v>
      </c>
      <c r="BC115" s="618">
        <f t="shared" ref="BC115:BC127" si="677">((AG115*$AG$130)+(AC115*$AC$130)+(AK115*$AK$130)+(AU115*$AU$130)+(AQ115*$AQ$130)+(AY115*$AY$130))/$BC$130</f>
        <v>3.2620434329912134</v>
      </c>
      <c r="BD115" s="349">
        <f t="shared" ref="BD115:BD127" si="678">((AH115*$AH$130)+(AJ115*$AJ$130)+(AP115*$AP$130)+(AT115*$AT$130)+(AX115*$AX$130))/$BD$130</f>
        <v>3.1964545493099252</v>
      </c>
      <c r="BE115" s="349">
        <f t="shared" ref="BE115:BE127" si="679">((AI115*$AI$130)+(AK115*$AK$130)+(AQ115*$AQ$130)+(AU115*$AU$130)+(AY115*$AY$130))/$BE$130</f>
        <v>3.2598268997629343</v>
      </c>
      <c r="BF115" s="110"/>
      <c r="BG115" s="110"/>
      <c r="BH115" s="110"/>
      <c r="BI115" s="110"/>
      <c r="BJ115" s="110"/>
    </row>
    <row r="116" spans="1:62" x14ac:dyDescent="0.3">
      <c r="A116" s="88"/>
      <c r="B116" s="943" t="s">
        <v>111</v>
      </c>
      <c r="C116" s="146" t="s">
        <v>321</v>
      </c>
      <c r="D116" s="238">
        <v>0.70571463599154127</v>
      </c>
      <c r="E116" s="238">
        <v>0.6516088777901472</v>
      </c>
      <c r="F116" s="238">
        <v>0.69779736959640681</v>
      </c>
      <c r="G116" s="238">
        <v>0.66515570021786596</v>
      </c>
      <c r="H116" s="349">
        <f t="shared" si="664"/>
        <v>0.70200341736882199</v>
      </c>
      <c r="I116" s="349">
        <f t="shared" si="665"/>
        <v>0.65574061497702518</v>
      </c>
      <c r="J116" s="238">
        <v>0.71546333630368797</v>
      </c>
      <c r="K116" s="238">
        <v>0.67079786505498851</v>
      </c>
      <c r="L116" s="350">
        <v>0.71546591928462988</v>
      </c>
      <c r="M116" s="350">
        <v>0.64679160616154463</v>
      </c>
      <c r="N116" s="238">
        <v>0.71546623834529244</v>
      </c>
      <c r="O116" s="238">
        <v>0.66587400922128304</v>
      </c>
      <c r="P116" s="349">
        <v>0.71546599912835096</v>
      </c>
      <c r="Q116" s="349">
        <v>0.65188612968933846</v>
      </c>
      <c r="R116" s="238">
        <v>0.71546623834529244</v>
      </c>
      <c r="S116" s="238">
        <v>0.67554009082433941</v>
      </c>
      <c r="T116" s="349">
        <v>0.71546604700942606</v>
      </c>
      <c r="U116" s="349">
        <v>0.65664189750609903</v>
      </c>
      <c r="V116" s="238">
        <v>0.70483669648078551</v>
      </c>
      <c r="W116" s="238">
        <v>0.69166624885775618</v>
      </c>
      <c r="X116" s="350">
        <v>0.71325682456985473</v>
      </c>
      <c r="Y116" s="350">
        <v>0.67721980243658286</v>
      </c>
      <c r="Z116" s="618">
        <v>0.71445565823443635</v>
      </c>
      <c r="AA116" s="618">
        <v>0.66229798755762526</v>
      </c>
      <c r="AB116" s="238">
        <v>0.71542243280221729</v>
      </c>
      <c r="AC116" s="238">
        <v>0.71318609028205104</v>
      </c>
      <c r="AD116" s="349">
        <v>0.71460637955006678</v>
      </c>
      <c r="AE116" s="349">
        <v>0.66836364869930776</v>
      </c>
      <c r="AF116" s="238">
        <v>0.715414843878591</v>
      </c>
      <c r="AG116" s="238">
        <v>0.70265039289681575</v>
      </c>
      <c r="AH116" s="349">
        <v>0.714712495643683</v>
      </c>
      <c r="AI116" s="349">
        <v>0.67260553797194655</v>
      </c>
      <c r="AJ116" s="238">
        <v>0.71547092574170856</v>
      </c>
      <c r="AK116" s="238">
        <v>0.64663317668122389</v>
      </c>
      <c r="AL116" s="350">
        <f t="shared" si="666"/>
        <v>0.71543628817970273</v>
      </c>
      <c r="AM116" s="350">
        <f t="shared" si="667"/>
        <v>0.68517095468618228</v>
      </c>
      <c r="AN116" s="349">
        <f t="shared" si="668"/>
        <v>0.71480844478657712</v>
      </c>
      <c r="AO116" s="349">
        <f t="shared" si="669"/>
        <v>0.66944483115590414</v>
      </c>
      <c r="AP116" s="238">
        <v>0.71547454738345528</v>
      </c>
      <c r="AQ116" s="238">
        <v>0.65540026929608652</v>
      </c>
      <c r="AR116" s="349">
        <f t="shared" si="670"/>
        <v>0.71488427332301474</v>
      </c>
      <c r="AS116" s="349">
        <f t="shared" si="671"/>
        <v>0.66795783500176897</v>
      </c>
      <c r="AT116" s="238">
        <v>0.71544660790393322</v>
      </c>
      <c r="AU116" s="238">
        <v>0.66802819045913386</v>
      </c>
      <c r="AV116" s="349">
        <f t="shared" si="672"/>
        <v>0.7149361945944136</v>
      </c>
      <c r="AW116" s="349">
        <f t="shared" si="673"/>
        <v>0.66796340038471347</v>
      </c>
      <c r="AX116" s="238">
        <v>0.71547454738345528</v>
      </c>
      <c r="AY116" s="238">
        <v>0.64567861681164163</v>
      </c>
      <c r="AZ116" s="350">
        <f t="shared" si="674"/>
        <v>0.7154659192846301</v>
      </c>
      <c r="BA116" s="350">
        <f t="shared" si="675"/>
        <v>0.65538669151416418</v>
      </c>
      <c r="BB116" s="618">
        <f t="shared" si="676"/>
        <v>0.71545102629559265</v>
      </c>
      <c r="BC116" s="618">
        <f t="shared" si="677"/>
        <v>0.67014985991356835</v>
      </c>
      <c r="BD116" s="349">
        <f t="shared" si="678"/>
        <v>0.71498661205947411</v>
      </c>
      <c r="BE116" s="349">
        <f t="shared" si="679"/>
        <v>0.66587980142420355</v>
      </c>
      <c r="BF116" s="110"/>
      <c r="BG116" s="110"/>
      <c r="BH116" s="110"/>
      <c r="BI116" s="110"/>
      <c r="BJ116" s="110"/>
    </row>
    <row r="117" spans="1:62" x14ac:dyDescent="0.3">
      <c r="A117" s="88"/>
      <c r="B117" s="943" t="s">
        <v>260</v>
      </c>
      <c r="C117" s="146" t="s">
        <v>321</v>
      </c>
      <c r="D117" s="238">
        <v>0.55827358896631174</v>
      </c>
      <c r="E117" s="238">
        <v>0.4506090966146441</v>
      </c>
      <c r="F117" s="238">
        <v>0.56994567118900075</v>
      </c>
      <c r="G117" s="238">
        <v>0.59476626254105003</v>
      </c>
      <c r="H117" s="349">
        <f t="shared" si="664"/>
        <v>0.56374487750819724</v>
      </c>
      <c r="I117" s="349">
        <f t="shared" si="665"/>
        <v>0.49457656768699965</v>
      </c>
      <c r="J117" s="238">
        <v>0.46313325568042807</v>
      </c>
      <c r="K117" s="238">
        <v>0.40611159117348206</v>
      </c>
      <c r="L117" s="350">
        <v>0.4631366898819998</v>
      </c>
      <c r="M117" s="350">
        <v>0.4381209303926662</v>
      </c>
      <c r="N117" s="238">
        <v>0.46405383049987414</v>
      </c>
      <c r="O117" s="238">
        <v>0.41397634733447125</v>
      </c>
      <c r="P117" s="349">
        <v>0.46336620084418401</v>
      </c>
      <c r="Q117" s="349">
        <v>0.4316055461142137</v>
      </c>
      <c r="R117" s="238">
        <v>0.46405383049987414</v>
      </c>
      <c r="S117" s="238">
        <v>0.45489085509095062</v>
      </c>
      <c r="T117" s="349">
        <v>0.46350383510610671</v>
      </c>
      <c r="U117" s="349">
        <v>0.43630030721237612</v>
      </c>
      <c r="V117" s="238">
        <v>0.52703531913583501</v>
      </c>
      <c r="W117" s="238">
        <v>0.46106043435401112</v>
      </c>
      <c r="X117" s="350">
        <v>0.47714490915252067</v>
      </c>
      <c r="Y117" s="350">
        <v>0.44238769714422976</v>
      </c>
      <c r="Z117" s="618">
        <v>0.46954291511848451</v>
      </c>
      <c r="AA117" s="618">
        <v>0.44029737320444129</v>
      </c>
      <c r="AB117" s="238">
        <v>0.46307127968396267</v>
      </c>
      <c r="AC117" s="238">
        <v>0.50412684677906205</v>
      </c>
      <c r="AD117" s="349">
        <v>0.46853397938570995</v>
      </c>
      <c r="AE117" s="349">
        <v>0.44751881268805443</v>
      </c>
      <c r="AF117" s="238">
        <v>0.57247952640385169</v>
      </c>
      <c r="AG117" s="238">
        <v>0.41109681505100781</v>
      </c>
      <c r="AH117" s="349">
        <v>0.482177494639496</v>
      </c>
      <c r="AI117" s="349">
        <v>0.44290958853139728</v>
      </c>
      <c r="AJ117" s="238">
        <v>0.5721598604484196</v>
      </c>
      <c r="AK117" s="238">
        <v>0.40911726861156977</v>
      </c>
      <c r="AL117" s="350">
        <f t="shared" si="666"/>
        <v>0.53552319964683137</v>
      </c>
      <c r="AM117" s="350">
        <f t="shared" si="667"/>
        <v>0.43629965256495679</v>
      </c>
      <c r="AN117" s="349">
        <f t="shared" si="668"/>
        <v>0.49356118167595237</v>
      </c>
      <c r="AO117" s="349">
        <f t="shared" si="669"/>
        <v>0.43879723175701979</v>
      </c>
      <c r="AP117" s="238">
        <v>0.57072228492426702</v>
      </c>
      <c r="AQ117" s="238">
        <v>0.43163584280385348</v>
      </c>
      <c r="AR117" s="349">
        <f t="shared" si="670"/>
        <v>0.50234513411309267</v>
      </c>
      <c r="AS117" s="349">
        <f t="shared" si="671"/>
        <v>0.43803900533900014</v>
      </c>
      <c r="AT117" s="238">
        <v>0.56780703997875381</v>
      </c>
      <c r="AU117" s="238">
        <v>0.43971426102754713</v>
      </c>
      <c r="AV117" s="349">
        <f t="shared" si="672"/>
        <v>0.50838933892650917</v>
      </c>
      <c r="AW117" s="349">
        <f t="shared" si="673"/>
        <v>0.43817152440413082</v>
      </c>
      <c r="AX117" s="238">
        <v>0.46243987511974732</v>
      </c>
      <c r="AY117" s="238">
        <v>0.43053082261200826</v>
      </c>
      <c r="AZ117" s="350">
        <f t="shared" si="674"/>
        <v>0.53240036701245919</v>
      </c>
      <c r="BA117" s="350">
        <f t="shared" si="675"/>
        <v>0.43351274319250238</v>
      </c>
      <c r="BB117" s="618">
        <f t="shared" si="676"/>
        <v>0.53396994439755163</v>
      </c>
      <c r="BC117" s="618">
        <f t="shared" si="677"/>
        <v>0.43489413081125256</v>
      </c>
      <c r="BD117" s="349">
        <f t="shared" si="678"/>
        <v>0.50408610964417477</v>
      </c>
      <c r="BE117" s="349">
        <f t="shared" si="679"/>
        <v>0.43745712849090906</v>
      </c>
      <c r="BF117" s="110"/>
      <c r="BG117" s="110"/>
      <c r="BH117" s="110"/>
      <c r="BI117" s="110"/>
      <c r="BJ117" s="110"/>
    </row>
    <row r="118" spans="1:62" x14ac:dyDescent="0.3">
      <c r="A118" s="88"/>
      <c r="B118" s="943" t="s">
        <v>1326</v>
      </c>
      <c r="C118" s="146" t="s">
        <v>321</v>
      </c>
      <c r="D118" s="238">
        <v>0.20558491149315733</v>
      </c>
      <c r="E118" s="238">
        <v>0.1554976818297602</v>
      </c>
      <c r="F118" s="238">
        <v>0.23502228722580093</v>
      </c>
      <c r="G118" s="238">
        <v>0.11677548300204536</v>
      </c>
      <c r="H118" s="349">
        <f t="shared" si="664"/>
        <v>0.21938368136783404</v>
      </c>
      <c r="I118" s="349">
        <f t="shared" si="665"/>
        <v>0.14368753596656594</v>
      </c>
      <c r="J118" s="238">
        <v>0.18930443006753755</v>
      </c>
      <c r="K118" s="238">
        <v>0.15770875033244533</v>
      </c>
      <c r="L118" s="350">
        <v>0.19032665222620476</v>
      </c>
      <c r="M118" s="350">
        <v>0.16496776209933423</v>
      </c>
      <c r="N118" s="238">
        <v>0.19579131754254719</v>
      </c>
      <c r="O118" s="238">
        <v>0.14626592407130659</v>
      </c>
      <c r="P118" s="349">
        <v>0.19169416400174408</v>
      </c>
      <c r="Q118" s="349">
        <v>0.1599251477680364</v>
      </c>
      <c r="R118" s="238">
        <v>0.19579131754254719</v>
      </c>
      <c r="S118" s="238">
        <v>0.15213667429949701</v>
      </c>
      <c r="T118" s="349">
        <v>0.19251424018505883</v>
      </c>
      <c r="U118" s="349">
        <v>0.15835102679857527</v>
      </c>
      <c r="V118" s="238">
        <v>0.19603005814722854</v>
      </c>
      <c r="W118" s="238">
        <v>0.16595659005805058</v>
      </c>
      <c r="X118" s="350">
        <v>0.19584094120342202</v>
      </c>
      <c r="Y118" s="350">
        <v>0.15442848482668128</v>
      </c>
      <c r="Z118" s="618">
        <v>0.19284844150754898</v>
      </c>
      <c r="AA118" s="618">
        <v>0.15957816971832842</v>
      </c>
      <c r="AB118" s="238">
        <v>0.19778856129212369</v>
      </c>
      <c r="AC118" s="238">
        <v>0.14180085296024797</v>
      </c>
      <c r="AD118" s="349">
        <v>0.19361861211206977</v>
      </c>
      <c r="AE118" s="349">
        <v>0.15756832720239666</v>
      </c>
      <c r="AF118" s="238">
        <v>0.19800310945506483</v>
      </c>
      <c r="AG118" s="238">
        <v>0.16581460517423807</v>
      </c>
      <c r="AH118" s="349">
        <v>0.19419410532072928</v>
      </c>
      <c r="AI118" s="349">
        <v>0.15861683618222047</v>
      </c>
      <c r="AJ118" s="238">
        <v>0.1979120387270695</v>
      </c>
      <c r="AK118" s="238">
        <v>0.17447995475924089</v>
      </c>
      <c r="AL118" s="350">
        <f t="shared" si="666"/>
        <v>0.19790017710794192</v>
      </c>
      <c r="AM118" s="350">
        <f t="shared" si="667"/>
        <v>0.1622808672880269</v>
      </c>
      <c r="AN118" s="349">
        <f t="shared" si="668"/>
        <v>0.19466446181713479</v>
      </c>
      <c r="AO118" s="349">
        <f t="shared" si="669"/>
        <v>0.16054729858603689</v>
      </c>
      <c r="AP118" s="238">
        <v>0.19490311377492855</v>
      </c>
      <c r="AQ118" s="238">
        <v>0.1930849741871902</v>
      </c>
      <c r="AR118" s="349">
        <f t="shared" si="670"/>
        <v>0.19469162974706372</v>
      </c>
      <c r="AS118" s="349">
        <f t="shared" si="671"/>
        <v>0.16399229024660583</v>
      </c>
      <c r="AT118" s="238">
        <v>0.20543836713428287</v>
      </c>
      <c r="AU118" s="238">
        <v>0.16669549523584182</v>
      </c>
      <c r="AV118" s="349">
        <f t="shared" si="672"/>
        <v>0.19568389358334207</v>
      </c>
      <c r="AW118" s="349">
        <f t="shared" si="673"/>
        <v>0.16420612399179416</v>
      </c>
      <c r="AX118" s="238">
        <v>0.19519358041244705</v>
      </c>
      <c r="AY118" s="238">
        <v>0.16107565702012108</v>
      </c>
      <c r="AZ118" s="350">
        <f t="shared" si="674"/>
        <v>0.19825692940229664</v>
      </c>
      <c r="BA118" s="350">
        <f t="shared" si="675"/>
        <v>0.17382111094485991</v>
      </c>
      <c r="BB118" s="618">
        <f t="shared" si="676"/>
        <v>0.19807762093499812</v>
      </c>
      <c r="BC118" s="618">
        <f t="shared" si="677"/>
        <v>0.16810095733582109</v>
      </c>
      <c r="BD118" s="349">
        <f t="shared" si="678"/>
        <v>0.19563797509333791</v>
      </c>
      <c r="BE118" s="349">
        <f t="shared" si="679"/>
        <v>0.1639134293059023</v>
      </c>
      <c r="BF118" s="110"/>
      <c r="BG118" s="110"/>
      <c r="BH118" s="110"/>
      <c r="BI118" s="110"/>
      <c r="BJ118" s="110"/>
    </row>
    <row r="119" spans="1:62" x14ac:dyDescent="0.3">
      <c r="A119" s="88"/>
      <c r="B119" s="943" t="s">
        <v>95</v>
      </c>
      <c r="C119" s="146" t="s">
        <v>321</v>
      </c>
      <c r="D119" s="238">
        <v>0.15932982152689792</v>
      </c>
      <c r="E119" s="238">
        <v>0.15302894669304828</v>
      </c>
      <c r="F119" s="238">
        <v>0.18716408231918813</v>
      </c>
      <c r="G119" s="238">
        <v>0.17434504003802048</v>
      </c>
      <c r="H119" s="349">
        <f t="shared" si="664"/>
        <v>0.17237713127328397</v>
      </c>
      <c r="I119" s="349">
        <f t="shared" si="665"/>
        <v>0.15953028647382031</v>
      </c>
      <c r="J119" s="238">
        <v>0.14480159037582996</v>
      </c>
      <c r="K119" s="238">
        <v>0.14231140671574194</v>
      </c>
      <c r="L119" s="350">
        <v>0.14516522859649145</v>
      </c>
      <c r="M119" s="350">
        <v>0.1497216835483908</v>
      </c>
      <c r="N119" s="238">
        <v>0.14874037718916616</v>
      </c>
      <c r="O119" s="238">
        <v>0.14718654167285952</v>
      </c>
      <c r="P119" s="349">
        <v>0.14605989597624194</v>
      </c>
      <c r="Q119" s="349">
        <v>0.14903914793463705</v>
      </c>
      <c r="R119" s="238">
        <v>0.14874037718916616</v>
      </c>
      <c r="S119" s="238">
        <v>0.15125560159567672</v>
      </c>
      <c r="T119" s="349">
        <v>0.14659641450810806</v>
      </c>
      <c r="U119" s="349">
        <v>0.14948280867398675</v>
      </c>
      <c r="V119" s="238">
        <v>0.17370819699742648</v>
      </c>
      <c r="W119" s="238">
        <v>0.15749448528828525</v>
      </c>
      <c r="X119" s="350">
        <v>0.15393008768941013</v>
      </c>
      <c r="Y119" s="350">
        <v>0.15178907831632449</v>
      </c>
      <c r="Z119" s="618">
        <v>0.14917356544723243</v>
      </c>
      <c r="AA119" s="618">
        <v>0.15077564913879335</v>
      </c>
      <c r="AB119" s="238">
        <v>0.14402359324701552</v>
      </c>
      <c r="AC119" s="238">
        <v>0.148510300949108</v>
      </c>
      <c r="AD119" s="349">
        <v>0.14837067859920677</v>
      </c>
      <c r="AE119" s="349">
        <v>0.15052012427850206</v>
      </c>
      <c r="AF119" s="238">
        <v>0.14480159037582999</v>
      </c>
      <c r="AG119" s="238">
        <v>0.15350461409538579</v>
      </c>
      <c r="AH119" s="349">
        <v>0.14790221303223783</v>
      </c>
      <c r="AI119" s="349">
        <v>0.15090161222116291</v>
      </c>
      <c r="AJ119" s="238">
        <v>0.14587004957069521</v>
      </c>
      <c r="AK119" s="238">
        <v>0.16674947121205486</v>
      </c>
      <c r="AL119" s="350">
        <f t="shared" si="666"/>
        <v>0.14489941790905986</v>
      </c>
      <c r="AM119" s="350">
        <f t="shared" si="667"/>
        <v>0.15693993513145355</v>
      </c>
      <c r="AN119" s="349">
        <f t="shared" si="668"/>
        <v>0.14764512362760662</v>
      </c>
      <c r="AO119" s="349">
        <f t="shared" si="669"/>
        <v>0.152830217609464</v>
      </c>
      <c r="AP119" s="238">
        <v>0.14365233692043758</v>
      </c>
      <c r="AQ119" s="238">
        <v>0.17423400552374882</v>
      </c>
      <c r="AR119" s="349">
        <f t="shared" si="670"/>
        <v>0.14719058828465603</v>
      </c>
      <c r="AS119" s="349">
        <f t="shared" si="671"/>
        <v>0.15509638658149358</v>
      </c>
      <c r="AT119" s="238">
        <v>0.14549895190462181</v>
      </c>
      <c r="AU119" s="238">
        <v>0.15664789652988795</v>
      </c>
      <c r="AV119" s="349">
        <f t="shared" si="672"/>
        <v>0.14703439673148408</v>
      </c>
      <c r="AW119" s="349">
        <f t="shared" si="673"/>
        <v>0.15521911689025047</v>
      </c>
      <c r="AX119" s="238">
        <v>0.14547072093208871</v>
      </c>
      <c r="AY119" s="238">
        <v>0.14731953450546598</v>
      </c>
      <c r="AZ119" s="350">
        <f t="shared" si="674"/>
        <v>0.14485101814498391</v>
      </c>
      <c r="BA119" s="350">
        <f t="shared" si="675"/>
        <v>0.15933791223049062</v>
      </c>
      <c r="BB119" s="618">
        <f t="shared" si="676"/>
        <v>0.14487534451275055</v>
      </c>
      <c r="BC119" s="618">
        <f t="shared" si="677"/>
        <v>0.15814930670660918</v>
      </c>
      <c r="BD119" s="349">
        <f t="shared" si="678"/>
        <v>0.14688795638309754</v>
      </c>
      <c r="BE119" s="349">
        <f t="shared" si="679"/>
        <v>0.15448051597041526</v>
      </c>
      <c r="BF119" s="110"/>
      <c r="BG119" s="110"/>
      <c r="BH119" s="110"/>
      <c r="BI119" s="110"/>
      <c r="BJ119" s="110"/>
    </row>
    <row r="120" spans="1:62" x14ac:dyDescent="0.3">
      <c r="A120" s="88"/>
      <c r="B120" s="943" t="s">
        <v>51</v>
      </c>
      <c r="C120" s="146" t="s">
        <v>321</v>
      </c>
      <c r="D120" s="238">
        <v>0.13477538940204176</v>
      </c>
      <c r="E120" s="238">
        <v>0.14364739980914221</v>
      </c>
      <c r="F120" s="238">
        <v>0.15693024793388433</v>
      </c>
      <c r="G120" s="238">
        <v>0.19493695627897026</v>
      </c>
      <c r="H120" s="349">
        <f t="shared" si="664"/>
        <v>0.14516047933884296</v>
      </c>
      <c r="I120" s="349">
        <f t="shared" si="665"/>
        <v>0.1592905492558534</v>
      </c>
      <c r="J120" s="238">
        <v>0.12829089813435354</v>
      </c>
      <c r="K120" s="238">
        <v>0.12612222014861924</v>
      </c>
      <c r="L120" s="350">
        <v>0.12843621802576605</v>
      </c>
      <c r="M120" s="350">
        <v>0.13342482782321458</v>
      </c>
      <c r="N120" s="238">
        <v>0.13125070342362591</v>
      </c>
      <c r="O120" s="238">
        <v>0.13411268691730685</v>
      </c>
      <c r="P120" s="349">
        <v>0.12914053232515169</v>
      </c>
      <c r="Q120" s="349">
        <v>0.13361113693000554</v>
      </c>
      <c r="R120" s="238">
        <v>0.13125070342362591</v>
      </c>
      <c r="S120" s="238">
        <v>0.12932818675311417</v>
      </c>
      <c r="T120" s="349">
        <v>0.12956289898613813</v>
      </c>
      <c r="U120" s="349">
        <v>0.13274569304598088</v>
      </c>
      <c r="V120" s="238">
        <v>0.14663070466281203</v>
      </c>
      <c r="W120" s="238">
        <v>0.13945374923608714</v>
      </c>
      <c r="X120" s="350">
        <v>0.13444752855844858</v>
      </c>
      <c r="Y120" s="350">
        <v>0.13421670897708782</v>
      </c>
      <c r="Z120" s="618">
        <v>0.13118530472230697</v>
      </c>
      <c r="AA120" s="618">
        <v>0.13382828900223104</v>
      </c>
      <c r="AB120" s="238">
        <v>0.12432977430156765</v>
      </c>
      <c r="AC120" s="238">
        <v>0.14387932423293734</v>
      </c>
      <c r="AD120" s="349">
        <v>0.1301165193003547</v>
      </c>
      <c r="AE120" s="349">
        <v>0.13496545018094477</v>
      </c>
      <c r="AF120" s="238">
        <v>0.12829089813435357</v>
      </c>
      <c r="AG120" s="238">
        <v>0.13266609083223588</v>
      </c>
      <c r="AH120" s="349">
        <v>0.1298768948918014</v>
      </c>
      <c r="AI120" s="349">
        <v>0.13467737411413447</v>
      </c>
      <c r="AJ120" s="238">
        <v>0.12871788398279949</v>
      </c>
      <c r="AK120" s="238">
        <v>0.15384789433002999</v>
      </c>
      <c r="AL120" s="350">
        <f t="shared" si="666"/>
        <v>0.12710060156377967</v>
      </c>
      <c r="AM120" s="350">
        <f t="shared" si="667"/>
        <v>0.14351050544375382</v>
      </c>
      <c r="AN120" s="349">
        <f t="shared" si="668"/>
        <v>0.12973026819065495</v>
      </c>
      <c r="AO120" s="349">
        <f t="shared" si="669"/>
        <v>0.13701033079971325</v>
      </c>
      <c r="AP120" s="238">
        <v>0.12820140686461065</v>
      </c>
      <c r="AQ120" s="238">
        <v>0.15619216452598886</v>
      </c>
      <c r="AR120" s="349">
        <f t="shared" si="670"/>
        <v>0.12955622395585781</v>
      </c>
      <c r="AS120" s="349">
        <f t="shared" si="671"/>
        <v>0.13904124591582245</v>
      </c>
      <c r="AT120" s="238">
        <v>0.12896177154767149</v>
      </c>
      <c r="AU120" s="238">
        <v>0.14020852296864986</v>
      </c>
      <c r="AV120" s="349">
        <f t="shared" si="672"/>
        <v>0.12950133719294746</v>
      </c>
      <c r="AW120" s="349">
        <f t="shared" si="673"/>
        <v>0.13913358194837358</v>
      </c>
      <c r="AX120" s="238">
        <v>0.12820140686461065</v>
      </c>
      <c r="AY120" s="238">
        <v>0.13360985338335093</v>
      </c>
      <c r="AZ120" s="350">
        <f t="shared" si="674"/>
        <v>0.12843621802576605</v>
      </c>
      <c r="BA120" s="350">
        <f t="shared" si="675"/>
        <v>0.14334645517355946</v>
      </c>
      <c r="BB120" s="618">
        <f t="shared" si="676"/>
        <v>0.12776491935582868</v>
      </c>
      <c r="BC120" s="618">
        <f t="shared" si="677"/>
        <v>0.14342776998570905</v>
      </c>
      <c r="BD120" s="349">
        <f t="shared" si="678"/>
        <v>0.12937959696378137</v>
      </c>
      <c r="BE120" s="349">
        <f t="shared" si="679"/>
        <v>0.13861712034314949</v>
      </c>
      <c r="BF120" s="110"/>
      <c r="BG120" s="110"/>
      <c r="BH120" s="110"/>
      <c r="BI120" s="110"/>
      <c r="BJ120" s="110"/>
    </row>
    <row r="121" spans="1:62" x14ac:dyDescent="0.3">
      <c r="A121" s="88"/>
      <c r="B121" s="943" t="s">
        <v>112</v>
      </c>
      <c r="C121" s="146" t="s">
        <v>321</v>
      </c>
      <c r="D121" s="238">
        <v>0.11901049615834465</v>
      </c>
      <c r="E121" s="238">
        <v>0.10777402378684546</v>
      </c>
      <c r="F121" s="238">
        <v>0.17761195082904865</v>
      </c>
      <c r="G121" s="238">
        <v>0.28458975745707193</v>
      </c>
      <c r="H121" s="349">
        <f t="shared" si="664"/>
        <v>0.14647992803523716</v>
      </c>
      <c r="I121" s="349">
        <f t="shared" si="665"/>
        <v>0.16170225278138464</v>
      </c>
      <c r="J121" s="238">
        <v>0.11002862630336677</v>
      </c>
      <c r="K121" s="238">
        <v>0.18439463154368232</v>
      </c>
      <c r="L121" s="350">
        <v>0.12112863121984398</v>
      </c>
      <c r="M121" s="350">
        <v>0.23643179006802609</v>
      </c>
      <c r="N121" s="238">
        <v>0.11274189219427787</v>
      </c>
      <c r="O121" s="238">
        <v>0.15851427497370432</v>
      </c>
      <c r="P121" s="349">
        <v>0.11902988157793305</v>
      </c>
      <c r="Q121" s="349">
        <v>0.21542674998256198</v>
      </c>
      <c r="R121" s="238">
        <v>0.11229173017373491</v>
      </c>
      <c r="S121" s="238">
        <v>0.16097800292256392</v>
      </c>
      <c r="T121" s="349">
        <v>0.11768118975295727</v>
      </c>
      <c r="U121" s="349">
        <v>0.20445588027982894</v>
      </c>
      <c r="V121" s="238">
        <v>0.23183575803613646</v>
      </c>
      <c r="W121" s="238">
        <v>0.18188982766944731</v>
      </c>
      <c r="X121" s="350">
        <v>0.13731796707634775</v>
      </c>
      <c r="Y121" s="350">
        <v>0.16671348927448665</v>
      </c>
      <c r="Z121" s="618">
        <v>0.12853232257582645</v>
      </c>
      <c r="AA121" s="618">
        <v>0.20081250707501569</v>
      </c>
      <c r="AB121" s="238">
        <v>0.11024739672440831</v>
      </c>
      <c r="AC121" s="238">
        <v>0.27589504502800816</v>
      </c>
      <c r="AD121" s="349">
        <v>0.12568168068641797</v>
      </c>
      <c r="AE121" s="349">
        <v>0.20930224900129665</v>
      </c>
      <c r="AF121" s="238">
        <v>0.10480754528800965</v>
      </c>
      <c r="AG121" s="238">
        <v>0.20556046252977472</v>
      </c>
      <c r="AH121" s="349">
        <v>0.12294181743216934</v>
      </c>
      <c r="AI121" s="349">
        <v>0.20881390525408697</v>
      </c>
      <c r="AJ121" s="238">
        <v>0.10438051667180659</v>
      </c>
      <c r="AK121" s="238">
        <v>0.20156497807615117</v>
      </c>
      <c r="AL121" s="350">
        <f t="shared" si="666"/>
        <v>0.10649586244999155</v>
      </c>
      <c r="AM121" s="350">
        <f t="shared" si="667"/>
        <v>0.22370415153978992</v>
      </c>
      <c r="AN121" s="349">
        <f t="shared" si="668"/>
        <v>0.12059362357278365</v>
      </c>
      <c r="AO121" s="349">
        <f t="shared" si="669"/>
        <v>0.20793174697499045</v>
      </c>
      <c r="AP121" s="238">
        <v>0.10231274736783876</v>
      </c>
      <c r="AQ121" s="238">
        <v>0.18999723656139991</v>
      </c>
      <c r="AR121" s="349">
        <f t="shared" si="670"/>
        <v>0.11851254463101785</v>
      </c>
      <c r="AS121" s="349">
        <f t="shared" si="671"/>
        <v>0.2060328947161949</v>
      </c>
      <c r="AT121" s="238">
        <v>0.10369869057641519</v>
      </c>
      <c r="AU121" s="238">
        <v>0.20378729000447246</v>
      </c>
      <c r="AV121" s="349">
        <f t="shared" si="672"/>
        <v>0.1171447572621956</v>
      </c>
      <c r="AW121" s="349">
        <f t="shared" si="673"/>
        <v>0.20585525888479023</v>
      </c>
      <c r="AX121" s="238">
        <v>0.10705837980802702</v>
      </c>
      <c r="AY121" s="238">
        <v>0.11730372361543255</v>
      </c>
      <c r="AZ121" s="350">
        <f t="shared" si="674"/>
        <v>0.10438080351305069</v>
      </c>
      <c r="BA121" s="350">
        <f t="shared" si="675"/>
        <v>0.16709469364892413</v>
      </c>
      <c r="BB121" s="618">
        <f t="shared" si="676"/>
        <v>0.10544386037976218</v>
      </c>
      <c r="BC121" s="618">
        <f t="shared" si="677"/>
        <v>0.19515430872199366</v>
      </c>
      <c r="BD121" s="349">
        <f t="shared" si="678"/>
        <v>0.11620015440467393</v>
      </c>
      <c r="BE121" s="349">
        <f t="shared" si="679"/>
        <v>0.1975758028050939</v>
      </c>
      <c r="BF121" s="110"/>
      <c r="BG121" s="110"/>
      <c r="BH121" s="110"/>
      <c r="BI121" s="110"/>
      <c r="BJ121" s="110"/>
    </row>
    <row r="122" spans="1:62" x14ac:dyDescent="0.3">
      <c r="A122" s="88"/>
      <c r="B122" s="943" t="s">
        <v>9</v>
      </c>
      <c r="C122" s="146" t="s">
        <v>321</v>
      </c>
      <c r="D122" s="238">
        <v>0.10632142438104845</v>
      </c>
      <c r="E122" s="238">
        <v>0.15726593645979989</v>
      </c>
      <c r="F122" s="238">
        <v>0.10772854074194485</v>
      </c>
      <c r="G122" s="238">
        <v>0.25428639449983786</v>
      </c>
      <c r="H122" s="349">
        <f t="shared" si="664"/>
        <v>0.10698101017521865</v>
      </c>
      <c r="I122" s="349">
        <f t="shared" si="665"/>
        <v>0.18685686352116962</v>
      </c>
      <c r="J122" s="238">
        <v>0.13453136659696491</v>
      </c>
      <c r="K122" s="238">
        <v>0.14988834146014768</v>
      </c>
      <c r="L122" s="350">
        <v>0.13060218539578169</v>
      </c>
      <c r="M122" s="350">
        <v>0.14409623318923276</v>
      </c>
      <c r="N122" s="238">
        <v>0.13880626957271155</v>
      </c>
      <c r="O122" s="238">
        <v>0.15582470878570653</v>
      </c>
      <c r="P122" s="349">
        <v>0.13265522635437721</v>
      </c>
      <c r="Q122" s="349">
        <v>0.14725859931966356</v>
      </c>
      <c r="R122" s="238">
        <v>0.13607225693899502</v>
      </c>
      <c r="S122" s="238">
        <v>0.1626490762484378</v>
      </c>
      <c r="T122" s="349">
        <v>0.13333917079829324</v>
      </c>
      <c r="U122" s="349">
        <v>0.150362069227124</v>
      </c>
      <c r="V122" s="238">
        <v>0.20973948699766887</v>
      </c>
      <c r="W122" s="238">
        <v>0.16277446631429987</v>
      </c>
      <c r="X122" s="350">
        <v>0.15246729666863662</v>
      </c>
      <c r="Y122" s="350">
        <v>0.160278146238369</v>
      </c>
      <c r="Z122" s="618">
        <v>0.14060151685466901</v>
      </c>
      <c r="AA122" s="618">
        <v>0.15236579208975401</v>
      </c>
      <c r="AB122" s="238">
        <v>0.1335658443965467</v>
      </c>
      <c r="AC122" s="238">
        <v>0.19052194205499948</v>
      </c>
      <c r="AD122" s="349">
        <v>0.13950464707284677</v>
      </c>
      <c r="AE122" s="349">
        <v>0.15668127188690989</v>
      </c>
      <c r="AF122" s="238">
        <v>9.6191095679846433E-2</v>
      </c>
      <c r="AG122" s="238">
        <v>0.15876851848341855</v>
      </c>
      <c r="AH122" s="349">
        <v>0.13381946751414084</v>
      </c>
      <c r="AI122" s="349">
        <v>0.15694535189583964</v>
      </c>
      <c r="AJ122" s="238">
        <v>9.6262926409999075E-2</v>
      </c>
      <c r="AK122" s="238">
        <v>0.1575597651837484</v>
      </c>
      <c r="AL122" s="350">
        <f t="shared" si="666"/>
        <v>0.10880309195526509</v>
      </c>
      <c r="AM122" s="350">
        <f t="shared" si="667"/>
        <v>0.16717658075735178</v>
      </c>
      <c r="AN122" s="349">
        <f t="shared" si="668"/>
        <v>0.12906818201216572</v>
      </c>
      <c r="AO122" s="349">
        <f t="shared" si="669"/>
        <v>0.15702012292821604</v>
      </c>
      <c r="AP122" s="238">
        <v>9.1221546759582661E-2</v>
      </c>
      <c r="AQ122" s="238">
        <v>0.1564473465349914</v>
      </c>
      <c r="AR122" s="349">
        <f t="shared" si="670"/>
        <v>0.12475975419077184</v>
      </c>
      <c r="AS122" s="349">
        <f t="shared" si="671"/>
        <v>0.1569594790788453</v>
      </c>
      <c r="AT122" s="238">
        <v>9.4296227339339692E-2</v>
      </c>
      <c r="AU122" s="238">
        <v>0.15580487675503535</v>
      </c>
      <c r="AV122" s="349">
        <f t="shared" si="672"/>
        <v>0.1219470069419072</v>
      </c>
      <c r="AW122" s="349">
        <f t="shared" si="673"/>
        <v>0.1568681456653282</v>
      </c>
      <c r="AX122" s="238">
        <v>0.12664727664204237</v>
      </c>
      <c r="AY122" s="238">
        <v>0.13742772385545907</v>
      </c>
      <c r="AZ122" s="350">
        <f t="shared" si="674"/>
        <v>0.10441393732358638</v>
      </c>
      <c r="BA122" s="350">
        <f t="shared" si="675"/>
        <v>0.14925318578069449</v>
      </c>
      <c r="BB122" s="618">
        <f t="shared" si="676"/>
        <v>0.10661998505529319</v>
      </c>
      <c r="BC122" s="618">
        <f t="shared" si="677"/>
        <v>0.15813727657727389</v>
      </c>
      <c r="BD122" s="349">
        <f t="shared" si="678"/>
        <v>0.12238719354111434</v>
      </c>
      <c r="BE122" s="349">
        <f t="shared" si="679"/>
        <v>0.15505049091709619</v>
      </c>
      <c r="BF122" s="110"/>
      <c r="BG122" s="110"/>
      <c r="BH122" s="110"/>
      <c r="BI122" s="110"/>
      <c r="BJ122" s="110"/>
    </row>
    <row r="123" spans="1:62" x14ac:dyDescent="0.3">
      <c r="A123" s="88"/>
      <c r="B123" s="943" t="s">
        <v>99</v>
      </c>
      <c r="C123" s="146" t="s">
        <v>321</v>
      </c>
      <c r="D123" s="238">
        <v>5.8668221402041733E-2</v>
      </c>
      <c r="E123" s="238">
        <v>5.1902827373698973E-2</v>
      </c>
      <c r="F123" s="238">
        <v>6.8282057097520638E-2</v>
      </c>
      <c r="G123" s="238">
        <v>0.15251221739318965</v>
      </c>
      <c r="H123" s="349">
        <f t="shared" si="664"/>
        <v>6.317470688429748E-2</v>
      </c>
      <c r="I123" s="349">
        <f t="shared" si="665"/>
        <v>8.2588367123749021E-2</v>
      </c>
      <c r="J123" s="238">
        <v>4.7615069247311792E-2</v>
      </c>
      <c r="K123" s="238">
        <v>4.9738553964969005E-2</v>
      </c>
      <c r="L123" s="350">
        <v>4.7638210683830264E-2</v>
      </c>
      <c r="M123" s="350">
        <v>5.3786034008450799E-2</v>
      </c>
      <c r="N123" s="238">
        <v>4.8621338125147573E-2</v>
      </c>
      <c r="O123" s="238">
        <v>4.8381044854965333E-2</v>
      </c>
      <c r="P123" s="349">
        <v>4.7884234598384846E-2</v>
      </c>
      <c r="Q123" s="349">
        <v>5.2328678830982814E-2</v>
      </c>
      <c r="R123" s="238">
        <v>4.8621338125147573E-2</v>
      </c>
      <c r="S123" s="238">
        <v>5.2126808320060926E-2</v>
      </c>
      <c r="T123" s="349">
        <v>4.8031771428751459E-2</v>
      </c>
      <c r="U123" s="349">
        <v>5.228797190170769E-2</v>
      </c>
      <c r="V123" s="238">
        <v>5.9727504701912203E-2</v>
      </c>
      <c r="W123" s="238">
        <v>5.2973436280841266E-2</v>
      </c>
      <c r="X123" s="350">
        <v>5.0929821194295052E-2</v>
      </c>
      <c r="Y123" s="350">
        <v>5.1071147390420034E-2</v>
      </c>
      <c r="Z123" s="618">
        <v>4.9143526806714875E-2</v>
      </c>
      <c r="AA123" s="618">
        <v>5.2398625842146627E-2</v>
      </c>
      <c r="AB123" s="238">
        <v>4.7683064521806241E-2</v>
      </c>
      <c r="AC123" s="238">
        <v>6.9768306381243636E-2</v>
      </c>
      <c r="AD123" s="349">
        <v>4.8915838983362894E-2</v>
      </c>
      <c r="AE123" s="349">
        <v>5.4363145467889729E-2</v>
      </c>
      <c r="AF123" s="238">
        <v>4.7615069247311792E-2</v>
      </c>
      <c r="AG123" s="238">
        <v>4.7554207998069857E-2</v>
      </c>
      <c r="AH123" s="349">
        <v>4.8745104668670429E-2</v>
      </c>
      <c r="AI123" s="349">
        <v>5.3501673579115512E-2</v>
      </c>
      <c r="AJ123" s="238">
        <v>4.7683064521806241E-2</v>
      </c>
      <c r="AK123" s="238">
        <v>4.6513421052203179E-2</v>
      </c>
      <c r="AL123" s="350">
        <f t="shared" si="666"/>
        <v>4.7660870821786022E-2</v>
      </c>
      <c r="AM123" s="350">
        <f t="shared" si="667"/>
        <v>5.3365202499110302E-2</v>
      </c>
      <c r="AN123" s="349">
        <f t="shared" si="668"/>
        <v>4.8610745757973112E-2</v>
      </c>
      <c r="AO123" s="349">
        <f t="shared" si="669"/>
        <v>5.2651238104774303E-2</v>
      </c>
      <c r="AP123" s="238">
        <v>4.6958122453819834E-2</v>
      </c>
      <c r="AQ123" s="238">
        <v>4.8523875111764522E-2</v>
      </c>
      <c r="AR123" s="349">
        <f t="shared" si="670"/>
        <v>4.8422612567945028E-2</v>
      </c>
      <c r="AS123" s="349">
        <f t="shared" si="671"/>
        <v>5.221424527021068E-2</v>
      </c>
      <c r="AT123" s="238">
        <v>4.7465196209272614E-2</v>
      </c>
      <c r="AU123" s="238">
        <v>5.2429260331948342E-2</v>
      </c>
      <c r="AV123" s="349">
        <f t="shared" si="672"/>
        <v>4.8334212749959173E-2</v>
      </c>
      <c r="AW123" s="349">
        <f t="shared" si="673"/>
        <v>5.2231253775339354E-2</v>
      </c>
      <c r="AX123" s="238">
        <v>4.6958122453819834E-2</v>
      </c>
      <c r="AY123" s="238">
        <v>4.8935881041970393E-2</v>
      </c>
      <c r="AZ123" s="350">
        <f t="shared" si="674"/>
        <v>4.7114713863128842E-2</v>
      </c>
      <c r="BA123" s="350">
        <f t="shared" si="675"/>
        <v>4.9780099005740854E-2</v>
      </c>
      <c r="BB123" s="618">
        <f t="shared" si="676"/>
        <v>4.7389219644061134E-2</v>
      </c>
      <c r="BC123" s="618">
        <f t="shared" si="677"/>
        <v>5.1557127576037323E-2</v>
      </c>
      <c r="BD123" s="349">
        <f t="shared" si="678"/>
        <v>4.8205340037050348E-2</v>
      </c>
      <c r="BE123" s="349">
        <f t="shared" si="679"/>
        <v>5.1923140610173273E-2</v>
      </c>
      <c r="BF123" s="110"/>
      <c r="BG123" s="110"/>
      <c r="BH123" s="110"/>
      <c r="BI123" s="110"/>
      <c r="BJ123" s="110"/>
    </row>
    <row r="124" spans="1:62" x14ac:dyDescent="0.3">
      <c r="A124" s="88"/>
      <c r="B124" s="943" t="s">
        <v>1327</v>
      </c>
      <c r="C124" s="146" t="s">
        <v>321</v>
      </c>
      <c r="D124" s="238">
        <v>0.16844431266299414</v>
      </c>
      <c r="E124" s="238">
        <v>0.12498128392331329</v>
      </c>
      <c r="F124" s="238">
        <v>0.19508374940542242</v>
      </c>
      <c r="G124" s="238">
        <v>0.30338984635055655</v>
      </c>
      <c r="H124" s="349">
        <f t="shared" si="664"/>
        <v>0.18093154863600741</v>
      </c>
      <c r="I124" s="349">
        <f t="shared" si="665"/>
        <v>0.17939532055597643</v>
      </c>
      <c r="J124" s="238">
        <v>0.13933464809062721</v>
      </c>
      <c r="K124" s="238">
        <v>0.11619484146375993</v>
      </c>
      <c r="L124" s="350">
        <v>0.13951873477851051</v>
      </c>
      <c r="M124" s="350">
        <v>0.12224340820406754</v>
      </c>
      <c r="N124" s="238">
        <v>0.14401452908333354</v>
      </c>
      <c r="O124" s="238">
        <v>0.11647569941935632</v>
      </c>
      <c r="P124" s="349">
        <v>0.14064379025699736</v>
      </c>
      <c r="Q124" s="349">
        <v>0.12068591445671061</v>
      </c>
      <c r="R124" s="238">
        <v>0.14401452908333354</v>
      </c>
      <c r="S124" s="238">
        <v>0.12052688254760668</v>
      </c>
      <c r="T124" s="349">
        <v>0.14131846905634515</v>
      </c>
      <c r="U124" s="349">
        <v>0.1206538902214167</v>
      </c>
      <c r="V124" s="238">
        <v>0.23027862859554835</v>
      </c>
      <c r="W124" s="238">
        <v>0.12066488205867364</v>
      </c>
      <c r="X124" s="350">
        <v>0.16194503749258282</v>
      </c>
      <c r="Y124" s="350">
        <v>0.11913949439754598</v>
      </c>
      <c r="Z124" s="618">
        <v>0.14977470976244542</v>
      </c>
      <c r="AA124" s="618">
        <v>0.12065676442368946</v>
      </c>
      <c r="AB124" s="238">
        <v>0.13965087549237765</v>
      </c>
      <c r="AC124" s="238">
        <v>0.14901363785485516</v>
      </c>
      <c r="AD124" s="349">
        <v>0.1481963918471203</v>
      </c>
      <c r="AE124" s="349">
        <v>0.12386487403977894</v>
      </c>
      <c r="AF124" s="238">
        <v>0.13933464809062721</v>
      </c>
      <c r="AG124" s="238">
        <v>0.11141258630650952</v>
      </c>
      <c r="AH124" s="349">
        <v>0.14703323152341968</v>
      </c>
      <c r="AI124" s="349">
        <v>0.12229106799337941</v>
      </c>
      <c r="AJ124" s="238">
        <v>0.13965087549237765</v>
      </c>
      <c r="AK124" s="238">
        <v>0.11393778494384424</v>
      </c>
      <c r="AL124" s="350">
        <f t="shared" si="666"/>
        <v>0.13954765867113814</v>
      </c>
      <c r="AM124" s="350">
        <f t="shared" si="667"/>
        <v>0.12281101418218369</v>
      </c>
      <c r="AN124" s="349">
        <f t="shared" si="668"/>
        <v>0.14609928819026111</v>
      </c>
      <c r="AO124" s="349">
        <f t="shared" si="669"/>
        <v>0.1212745151133597</v>
      </c>
      <c r="AP124" s="238">
        <v>0.13627936845334493</v>
      </c>
      <c r="AQ124" s="238">
        <v>0.12820535252498633</v>
      </c>
      <c r="AR124" s="349">
        <f t="shared" si="670"/>
        <v>0.14498139712501779</v>
      </c>
      <c r="AS124" s="349">
        <f t="shared" si="671"/>
        <v>0.12200833142453363</v>
      </c>
      <c r="AT124" s="238">
        <v>0.13863762963215395</v>
      </c>
      <c r="AU124" s="238">
        <v>0.12356395268001165</v>
      </c>
      <c r="AV124" s="349">
        <f t="shared" si="672"/>
        <v>0.14439566669892465</v>
      </c>
      <c r="AW124" s="349">
        <f t="shared" si="673"/>
        <v>0.12213138695324048</v>
      </c>
      <c r="AX124" s="238">
        <v>0.13627936845334493</v>
      </c>
      <c r="AY124" s="238">
        <v>0.11085304327422793</v>
      </c>
      <c r="AZ124" s="350">
        <f t="shared" si="674"/>
        <v>0.13700763221682583</v>
      </c>
      <c r="BA124" s="350">
        <f t="shared" si="675"/>
        <v>0.1204951566105999</v>
      </c>
      <c r="BB124" s="618">
        <f t="shared" si="676"/>
        <v>0.13828428343288648</v>
      </c>
      <c r="BC124" s="618">
        <f t="shared" si="677"/>
        <v>0.12164305794093891</v>
      </c>
      <c r="BD124" s="349">
        <f t="shared" si="678"/>
        <v>0.14363556441739597</v>
      </c>
      <c r="BE124" s="349">
        <f t="shared" si="679"/>
        <v>0.12107687614370946</v>
      </c>
      <c r="BF124" s="110"/>
      <c r="BG124" s="110"/>
      <c r="BH124" s="110"/>
      <c r="BI124" s="110"/>
      <c r="BJ124" s="110"/>
    </row>
    <row r="125" spans="1:62" x14ac:dyDescent="0.3">
      <c r="A125" s="88"/>
      <c r="B125" s="943" t="s">
        <v>2237</v>
      </c>
      <c r="C125" s="2356" t="s">
        <v>321</v>
      </c>
      <c r="D125" s="2416">
        <v>8.0936775129504618E-2</v>
      </c>
      <c r="E125" s="2416">
        <v>0.13893437273415626</v>
      </c>
      <c r="F125" s="2416">
        <v>8.8670576478630844E-2</v>
      </c>
      <c r="G125" s="2416">
        <v>0.49495509143833238</v>
      </c>
      <c r="H125" s="349">
        <f t="shared" si="664"/>
        <v>8.4561994511907532E-2</v>
      </c>
      <c r="I125" s="349">
        <f t="shared" si="665"/>
        <v>0.24751954468999443</v>
      </c>
      <c r="J125" s="2416">
        <v>0.14720914761608717</v>
      </c>
      <c r="K125" s="2416">
        <v>0.12945776817874627</v>
      </c>
      <c r="L125" s="350">
        <v>0.14720967907368043</v>
      </c>
      <c r="M125" s="350">
        <v>0.14297642082290851</v>
      </c>
      <c r="N125" s="2416">
        <v>0.14720974472155615</v>
      </c>
      <c r="O125" s="2416">
        <v>0.10560516015569504</v>
      </c>
      <c r="P125" s="349">
        <v>0.14720969550181243</v>
      </c>
      <c r="Q125" s="349">
        <v>0.13296737373172313</v>
      </c>
      <c r="R125" s="2416">
        <v>0.14720974472155615</v>
      </c>
      <c r="S125" s="2416">
        <v>0.14314597451264105</v>
      </c>
      <c r="T125" s="349">
        <v>0.14720970535351535</v>
      </c>
      <c r="U125" s="349">
        <v>0.13500644249739621</v>
      </c>
      <c r="V125" s="2416">
        <v>0.14502267835766997</v>
      </c>
      <c r="W125" s="2416">
        <v>0.14709029193716019</v>
      </c>
      <c r="X125" s="350">
        <v>0.146755149912696</v>
      </c>
      <c r="Y125" s="350">
        <v>0.13113156282924104</v>
      </c>
      <c r="Z125" s="618">
        <v>0.1470018142390726</v>
      </c>
      <c r="AA125" s="618">
        <v>0.13694719123190952</v>
      </c>
      <c r="AB125" s="2416">
        <v>0.14721070917018117</v>
      </c>
      <c r="AC125" s="2416">
        <v>0.14350125820940507</v>
      </c>
      <c r="AD125" s="349">
        <v>0.14703438120958928</v>
      </c>
      <c r="AE125" s="349">
        <v>0.13772120917858738</v>
      </c>
      <c r="AF125" s="2416">
        <v>0.14720914761608717</v>
      </c>
      <c r="AG125" s="2416">
        <v>0.14295925152604619</v>
      </c>
      <c r="AH125" s="349">
        <v>0.14705732041382943</v>
      </c>
      <c r="AI125" s="349">
        <v>0.13837596319002265</v>
      </c>
      <c r="AJ125" s="2416">
        <v>0.14721070917018117</v>
      </c>
      <c r="AK125" s="2416">
        <v>0.14499014368557214</v>
      </c>
      <c r="AL125" s="350">
        <f t="shared" si="666"/>
        <v>0.14721019947795055</v>
      </c>
      <c r="AM125" s="350">
        <f t="shared" si="667"/>
        <v>0.14385044527325783</v>
      </c>
      <c r="AN125" s="349">
        <f t="shared" si="668"/>
        <v>0.14707672565597349</v>
      </c>
      <c r="AO125" s="349">
        <f t="shared" si="669"/>
        <v>0.13918087596406009</v>
      </c>
      <c r="AP125" s="2416">
        <v>0.14721145433596039</v>
      </c>
      <c r="AQ125" s="2416">
        <v>0.12269978394318222</v>
      </c>
      <c r="AR125" s="349">
        <f t="shared" si="670"/>
        <v>0.14709206305094458</v>
      </c>
      <c r="AS125" s="349">
        <f t="shared" si="671"/>
        <v>0.1374359072925124</v>
      </c>
      <c r="AT125" s="2416">
        <v>0.14720570568783747</v>
      </c>
      <c r="AU125" s="2416">
        <v>0.13616078483633287</v>
      </c>
      <c r="AV125" s="349">
        <f t="shared" si="672"/>
        <v>0.14710255586144</v>
      </c>
      <c r="AW125" s="349">
        <f t="shared" si="673"/>
        <v>0.1373350402804048</v>
      </c>
      <c r="AX125" s="2416">
        <v>0.14721145433596039</v>
      </c>
      <c r="AY125" s="2416">
        <v>0.12921254767450291</v>
      </c>
      <c r="AZ125" s="350">
        <f t="shared" si="674"/>
        <v>0.14720967907368049</v>
      </c>
      <c r="BA125" s="350">
        <f t="shared" si="675"/>
        <v>0.12890736615477372</v>
      </c>
      <c r="BB125" s="618">
        <f t="shared" si="676"/>
        <v>0.14720994063581624</v>
      </c>
      <c r="BC125" s="618">
        <f t="shared" si="677"/>
        <v>0.1363142035224699</v>
      </c>
      <c r="BD125" s="349">
        <f t="shared" si="678"/>
        <v>0.14711275435050894</v>
      </c>
      <c r="BE125" s="349">
        <f t="shared" si="679"/>
        <v>0.13657559753801007</v>
      </c>
      <c r="BF125" s="110"/>
      <c r="BG125" s="110"/>
      <c r="BH125" s="110"/>
      <c r="BI125" s="110"/>
      <c r="BJ125" s="110"/>
    </row>
    <row r="126" spans="1:62" x14ac:dyDescent="0.3">
      <c r="A126" s="88"/>
      <c r="B126" s="3612" t="s">
        <v>1786</v>
      </c>
      <c r="C126" s="146" t="s">
        <v>321</v>
      </c>
      <c r="D126" s="238">
        <v>0.14782091527046951</v>
      </c>
      <c r="E126" s="2416">
        <v>0.14948631033116935</v>
      </c>
      <c r="F126" s="238">
        <v>0.1461625430258234</v>
      </c>
      <c r="G126" s="2416">
        <v>0.15358596831038956</v>
      </c>
      <c r="H126" s="349">
        <f t="shared" si="664"/>
        <v>0.14704355328079163</v>
      </c>
      <c r="I126" s="349">
        <f t="shared" si="665"/>
        <v>0.15073669280400417</v>
      </c>
      <c r="J126" s="238">
        <v>7.3607663881953389E-2</v>
      </c>
      <c r="K126" s="238">
        <v>9.7392110697635731E-2</v>
      </c>
      <c r="L126" s="350">
        <v>7.3743344485090581E-2</v>
      </c>
      <c r="M126" s="350">
        <v>0.10993138739840846</v>
      </c>
      <c r="N126" s="238">
        <v>7.4832991008620411E-2</v>
      </c>
      <c r="O126" s="238">
        <v>9.1090467025014249E-2</v>
      </c>
      <c r="P126" s="349">
        <v>7.4016024396090105E-2</v>
      </c>
      <c r="Q126" s="349">
        <v>0.10484910629485827</v>
      </c>
      <c r="R126" s="238">
        <v>7.4571129190438609E-2</v>
      </c>
      <c r="S126" s="238">
        <v>0.10254907900679014</v>
      </c>
      <c r="T126" s="349">
        <v>7.4127132807467772E-2</v>
      </c>
      <c r="U126" s="349">
        <v>0.10438536567300624</v>
      </c>
      <c r="V126" s="238">
        <v>0.13824307032244373</v>
      </c>
      <c r="W126" s="238">
        <v>0.10205657713886715</v>
      </c>
      <c r="X126" s="350">
        <v>8.7909438656501887E-2</v>
      </c>
      <c r="Y126" s="350">
        <v>9.8346033874698688E-2</v>
      </c>
      <c r="Z126" s="618">
        <v>8.0221768917972863E-2</v>
      </c>
      <c r="AA126" s="618">
        <v>0.10400973223350518</v>
      </c>
      <c r="AB126" s="238">
        <v>7.3650740221113273E-2</v>
      </c>
      <c r="AC126" s="238">
        <v>0.18995333224713756</v>
      </c>
      <c r="AD126" s="349">
        <v>7.9197337656288516E-2</v>
      </c>
      <c r="AE126" s="349">
        <v>0.11372938623082321</v>
      </c>
      <c r="AF126" s="238">
        <v>7.151653586317358E-2</v>
      </c>
      <c r="AG126" s="238">
        <v>0.10358803820425416</v>
      </c>
      <c r="AH126" s="349">
        <v>7.8189183488728248E-2</v>
      </c>
      <c r="AI126" s="349">
        <v>0.1124461922308623</v>
      </c>
      <c r="AJ126" s="238">
        <v>7.3650740221113273E-2</v>
      </c>
      <c r="AK126" s="238">
        <v>0.10311114288669129</v>
      </c>
      <c r="AL126" s="350">
        <f t="shared" si="666"/>
        <v>7.2954134587058087E-2</v>
      </c>
      <c r="AM126" s="350">
        <f t="shared" si="667"/>
        <v>0.12748128042230594</v>
      </c>
      <c r="AN126" s="349">
        <f t="shared" si="668"/>
        <v>7.7615024126204371E-2</v>
      </c>
      <c r="AO126" s="349">
        <f t="shared" si="669"/>
        <v>0.11131016328994531</v>
      </c>
      <c r="AP126" s="238">
        <v>7.2618279361803303E-2</v>
      </c>
      <c r="AQ126" s="2416">
        <v>0.13586382763757732</v>
      </c>
      <c r="AR126" s="349">
        <f t="shared" si="670"/>
        <v>7.7046199077011115E-2</v>
      </c>
      <c r="AS126" s="349">
        <f t="shared" si="671"/>
        <v>0.11390983174662521</v>
      </c>
      <c r="AT126" s="238">
        <v>7.3381748119500628E-2</v>
      </c>
      <c r="AU126" s="2416">
        <v>0.12439381482081713</v>
      </c>
      <c r="AV126" s="349">
        <f t="shared" si="672"/>
        <v>7.670785432790822E-2</v>
      </c>
      <c r="AW126" s="349">
        <f t="shared" si="673"/>
        <v>0.11473915448543799</v>
      </c>
      <c r="AX126" s="238">
        <v>7.2618279361803303E-2</v>
      </c>
      <c r="AY126" s="2416">
        <v>0.12594398501604182</v>
      </c>
      <c r="AZ126" s="350">
        <f t="shared" si="674"/>
        <v>7.2854049104263088E-2</v>
      </c>
      <c r="BA126" s="350">
        <f t="shared" si="675"/>
        <v>0.12896305120016999</v>
      </c>
      <c r="BB126" s="618">
        <f t="shared" si="676"/>
        <v>7.290435340448144E-2</v>
      </c>
      <c r="BC126" s="618">
        <f t="shared" si="677"/>
        <v>0.12822858174572752</v>
      </c>
      <c r="BD126" s="349">
        <f t="shared" si="678"/>
        <v>7.6324860114516446E-2</v>
      </c>
      <c r="BE126" s="349">
        <f t="shared" si="679"/>
        <v>0.11578679190896075</v>
      </c>
      <c r="BF126" s="110"/>
      <c r="BG126" s="110"/>
      <c r="BH126" s="110"/>
      <c r="BI126" s="110"/>
      <c r="BJ126" s="110"/>
    </row>
    <row r="127" spans="1:62" x14ac:dyDescent="0.3">
      <c r="A127" s="88"/>
      <c r="B127" s="4493" t="s">
        <v>1995</v>
      </c>
      <c r="C127" s="146" t="s">
        <v>321</v>
      </c>
      <c r="D127" s="4494">
        <v>-8.9214195430238202E-3</v>
      </c>
      <c r="E127" s="4494">
        <v>-7.7957493169261774E-3</v>
      </c>
      <c r="F127" s="4494">
        <v>-1.0447973553719009E-2</v>
      </c>
      <c r="G127" s="4494">
        <v>-2.1211455322667546E-2</v>
      </c>
      <c r="H127" s="349">
        <f t="shared" si="664"/>
        <v>-9.6369917355371894E-3</v>
      </c>
      <c r="I127" s="349">
        <f t="shared" si="665"/>
        <v>-1.188749641761341E-2</v>
      </c>
      <c r="J127" s="4494"/>
      <c r="K127" s="4494">
        <v>-5.92639163239932E-3</v>
      </c>
      <c r="L127" s="350">
        <v>0</v>
      </c>
      <c r="M127" s="350">
        <v>-7.6082180437317135E-3</v>
      </c>
      <c r="N127" s="4494"/>
      <c r="O127" s="4494">
        <v>-5.4515580575726719E-3</v>
      </c>
      <c r="P127" s="349">
        <v>0</v>
      </c>
      <c r="Q127" s="349">
        <v>-7.0267146387082095E-3</v>
      </c>
      <c r="R127" s="4494"/>
      <c r="S127" s="4494">
        <v>-5.8270918672904438E-3</v>
      </c>
      <c r="T127" s="349">
        <v>0</v>
      </c>
      <c r="U127" s="349">
        <v>-6.7848122474679006E-3</v>
      </c>
      <c r="V127" s="4494"/>
      <c r="W127" s="4494">
        <v>-6.1069989905090253E-3</v>
      </c>
      <c r="X127" s="350">
        <v>0</v>
      </c>
      <c r="Y127" s="350">
        <v>-5.7828623798294324E-3</v>
      </c>
      <c r="Z127" s="618">
        <v>0</v>
      </c>
      <c r="AA127" s="618">
        <v>-6.6753934212715098E-3</v>
      </c>
      <c r="AB127" s="4494"/>
      <c r="AC127" s="4494">
        <v>-7.2946877453072094E-3</v>
      </c>
      <c r="AD127" s="349">
        <v>0</v>
      </c>
      <c r="AE127" s="349">
        <v>-6.7454359215317191E-3</v>
      </c>
      <c r="AF127" s="4494"/>
      <c r="AG127" s="4494">
        <v>-4.932032514798919E-3</v>
      </c>
      <c r="AH127" s="349">
        <v>0</v>
      </c>
      <c r="AI127" s="349">
        <v>-6.5160027588933352E-3</v>
      </c>
      <c r="AJ127" s="4494"/>
      <c r="AK127" s="4494">
        <v>-4.3608522726351377E-3</v>
      </c>
      <c r="AL127" s="350">
        <f t="shared" si="666"/>
        <v>0</v>
      </c>
      <c r="AM127" s="350">
        <f t="shared" si="667"/>
        <v>-5.3822578758923054E-3</v>
      </c>
      <c r="AN127" s="349">
        <f t="shared" si="668"/>
        <v>0</v>
      </c>
      <c r="AO127" s="349">
        <f t="shared" si="669"/>
        <v>-6.2537316948470143E-3</v>
      </c>
      <c r="AP127" s="4494"/>
      <c r="AQ127" s="4494">
        <v>-5.1610106859504151E-3</v>
      </c>
      <c r="AR127" s="349">
        <f>((AN127*$AN$130)+(AP127*$AP$130))/$AR$130</f>
        <v>0</v>
      </c>
      <c r="AS127" s="349">
        <f>((AO127*$AO$130)+(AQ127*$AQ$130))/$AS$130</f>
        <v>-6.138037666511326E-3</v>
      </c>
      <c r="AT127" s="4494"/>
      <c r="AU127" s="4494">
        <v>-6.2547496101749821E-3</v>
      </c>
      <c r="AV127" s="349">
        <f t="shared" si="672"/>
        <v>0</v>
      </c>
      <c r="AW127" s="349">
        <f t="shared" si="673"/>
        <v>-6.1472700229627183E-3</v>
      </c>
      <c r="AX127" s="4494"/>
      <c r="AY127" s="4494">
        <v>-6.1974587634788915E-3</v>
      </c>
      <c r="AZ127" s="350">
        <f t="shared" si="674"/>
        <v>0</v>
      </c>
      <c r="BA127" s="350">
        <f t="shared" si="675"/>
        <v>-5.8524211410871064E-3</v>
      </c>
      <c r="BB127" s="618">
        <f t="shared" si="676"/>
        <v>0</v>
      </c>
      <c r="BC127" s="618">
        <f t="shared" si="677"/>
        <v>-5.6193752732341248E-3</v>
      </c>
      <c r="BD127" s="349">
        <f t="shared" si="678"/>
        <v>0</v>
      </c>
      <c r="BE127" s="349">
        <f t="shared" si="679"/>
        <v>-6.1519626064570074E-3</v>
      </c>
      <c r="BF127" s="110"/>
      <c r="BG127" s="110"/>
      <c r="BH127" s="110"/>
      <c r="BI127" s="110"/>
      <c r="BJ127" s="110"/>
    </row>
    <row r="128" spans="1:62" ht="15.6" x14ac:dyDescent="0.3">
      <c r="A128" s="88"/>
      <c r="B128" s="944" t="s">
        <v>135</v>
      </c>
      <c r="C128" s="736" t="s">
        <v>321</v>
      </c>
      <c r="D128" s="945">
        <f t="shared" ref="D128:E128" si="680">SUM(D114:D127)</f>
        <v>6.0987916828744853</v>
      </c>
      <c r="E128" s="945">
        <f t="shared" si="680"/>
        <v>6.1129633927110598</v>
      </c>
      <c r="F128" s="945">
        <f t="shared" ref="F128:G128" si="681">SUM(F114:F127)</f>
        <v>6.2451991353129825</v>
      </c>
      <c r="G128" s="945">
        <f t="shared" si="681"/>
        <v>7.322422332784706</v>
      </c>
      <c r="H128" s="4904">
        <f t="shared" si="664"/>
        <v>6.1674201762050309</v>
      </c>
      <c r="I128" s="4904">
        <f t="shared" si="665"/>
        <v>6.4818444720466326</v>
      </c>
      <c r="J128" s="945">
        <f t="shared" ref="J128:AI128" si="682">SUM(J114:J127)</f>
        <v>5.8881874827843568</v>
      </c>
      <c r="K128" s="945">
        <f t="shared" si="682"/>
        <v>5.9510024504802947</v>
      </c>
      <c r="L128" s="945">
        <f t="shared" si="682"/>
        <v>5.9135485641504033</v>
      </c>
      <c r="M128" s="945">
        <f t="shared" si="682"/>
        <v>6.0018291327647386</v>
      </c>
      <c r="N128" s="945">
        <f t="shared" si="682"/>
        <v>5.9044904422712001</v>
      </c>
      <c r="O128" s="945">
        <f t="shared" si="682"/>
        <v>5.9231909835586922</v>
      </c>
      <c r="P128" s="945">
        <f t="shared" si="682"/>
        <v>5.9112818034949903</v>
      </c>
      <c r="Q128" s="945">
        <f t="shared" si="682"/>
        <v>5.9807714639072804</v>
      </c>
      <c r="R128" s="945">
        <f t="shared" si="682"/>
        <v>5.9110636073860041</v>
      </c>
      <c r="S128" s="945">
        <f t="shared" si="682"/>
        <v>6.028154237488426</v>
      </c>
      <c r="T128" s="945">
        <f t="shared" si="682"/>
        <v>5.9112381298980665</v>
      </c>
      <c r="U128" s="945">
        <f t="shared" si="682"/>
        <v>5.990273829903412</v>
      </c>
      <c r="V128" s="945">
        <f t="shared" si="682"/>
        <v>6.4404862064644854</v>
      </c>
      <c r="W128" s="945">
        <f t="shared" si="682"/>
        <v>6.2161034181344306</v>
      </c>
      <c r="X128" s="945">
        <f t="shared" si="682"/>
        <v>6.0185038105368784</v>
      </c>
      <c r="Y128" s="945">
        <f t="shared" si="682"/>
        <v>6.0504489425821761</v>
      </c>
      <c r="Z128" s="945">
        <f t="shared" si="682"/>
        <v>5.9615465955288425</v>
      </c>
      <c r="AA128" s="945">
        <f t="shared" si="682"/>
        <v>6.0267096597919014</v>
      </c>
      <c r="AB128" s="945">
        <f t="shared" si="682"/>
        <v>5.8975172375308782</v>
      </c>
      <c r="AC128" s="945">
        <f t="shared" si="682"/>
        <v>6.5564134070696864</v>
      </c>
      <c r="AD128" s="945">
        <f t="shared" si="682"/>
        <v>5.9515643417563009</v>
      </c>
      <c r="AE128" s="945">
        <f t="shared" si="682"/>
        <v>6.0869783861382887</v>
      </c>
      <c r="AF128" s="945">
        <f t="shared" si="682"/>
        <v>5.9653343777590448</v>
      </c>
      <c r="AG128" s="945">
        <f t="shared" si="682"/>
        <v>6.0353483427745793</v>
      </c>
      <c r="AH128" s="945">
        <f t="shared" si="682"/>
        <v>5.9533717467066625</v>
      </c>
      <c r="AI128" s="945">
        <f t="shared" si="682"/>
        <v>6.080153206462656</v>
      </c>
      <c r="AJ128" s="945">
        <f t="shared" ref="AJ128:AK128" si="683">SUM(AJ114:AJ127)</f>
        <v>5.9619079993755575</v>
      </c>
      <c r="AK128" s="945">
        <f t="shared" si="683"/>
        <v>6.135536634867977</v>
      </c>
      <c r="AL128" s="946">
        <f t="shared" si="666"/>
        <v>5.9413395829166165</v>
      </c>
      <c r="AM128" s="946">
        <f t="shared" si="667"/>
        <v>6.2170647548230979</v>
      </c>
      <c r="AN128" s="4803">
        <f t="shared" ref="AN128:BE128" si="684">SUM(AN114:AN127)</f>
        <v>5.9544516697335066</v>
      </c>
      <c r="AO128" s="4803">
        <f t="shared" si="684"/>
        <v>6.0868930934408567</v>
      </c>
      <c r="AP128" s="945">
        <f t="shared" si="684"/>
        <v>5.9566700099316927</v>
      </c>
      <c r="AQ128" s="945">
        <f t="shared" si="684"/>
        <v>6.1463268879699946</v>
      </c>
      <c r="AR128" s="4803">
        <f t="shared" si="684"/>
        <v>5.9547042036394506</v>
      </c>
      <c r="AS128" s="4803">
        <f t="shared" si="684"/>
        <v>6.0931857656347352</v>
      </c>
      <c r="AT128" s="945">
        <f t="shared" ref="AT128:AU128" si="685">SUM(AT114:AT127)</f>
        <v>5.9639133095730053</v>
      </c>
      <c r="AU128" s="945">
        <f t="shared" si="685"/>
        <v>6.0984127508419439</v>
      </c>
      <c r="AV128" s="4904">
        <f t="shared" si="684"/>
        <v>5.9555544954492401</v>
      </c>
      <c r="AW128" s="4904">
        <f t="shared" si="684"/>
        <v>6.0935992399466539</v>
      </c>
      <c r="AX128" s="945">
        <f t="shared" si="684"/>
        <v>5.8906678130989905</v>
      </c>
      <c r="AY128" s="945">
        <f t="shared" si="684"/>
        <v>5.9116955600412062</v>
      </c>
      <c r="AZ128" s="946">
        <f t="shared" si="684"/>
        <v>5.9360969398660011</v>
      </c>
      <c r="BA128" s="946">
        <f t="shared" si="684"/>
        <v>6.0462702726947715</v>
      </c>
      <c r="BB128" s="4963">
        <f t="shared" si="684"/>
        <v>5.9387319622747556</v>
      </c>
      <c r="BC128" s="4963">
        <f t="shared" si="684"/>
        <v>6.1309279889789305</v>
      </c>
      <c r="BD128" s="4803">
        <f t="shared" si="684"/>
        <v>5.9494777700994659</v>
      </c>
      <c r="BE128" s="4803">
        <f t="shared" si="684"/>
        <v>6.0765914769086553</v>
      </c>
      <c r="BF128" s="110"/>
      <c r="BG128" s="110"/>
      <c r="BH128" s="110"/>
      <c r="BI128" s="110"/>
      <c r="BJ128" s="110"/>
    </row>
    <row r="129" spans="1:62" x14ac:dyDescent="0.3">
      <c r="A129" s="88"/>
      <c r="B129" s="243"/>
      <c r="C129" s="243"/>
      <c r="D129" s="598"/>
      <c r="E129" s="243"/>
      <c r="F129" s="598"/>
      <c r="G129" s="243"/>
      <c r="H129" s="243"/>
      <c r="I129" s="243"/>
      <c r="J129" s="598"/>
      <c r="K129" s="243"/>
      <c r="L129" s="243"/>
      <c r="M129" s="243"/>
      <c r="N129" s="598"/>
      <c r="O129" s="243"/>
      <c r="P129" s="243"/>
      <c r="Q129" s="243"/>
      <c r="R129" s="598"/>
      <c r="S129" s="243"/>
      <c r="T129" s="243"/>
      <c r="U129" s="243"/>
      <c r="V129" s="598"/>
      <c r="W129" s="243"/>
      <c r="X129" s="243"/>
      <c r="Y129" s="243"/>
      <c r="Z129" s="243"/>
      <c r="AA129" s="243"/>
      <c r="AB129" s="598"/>
      <c r="AC129" s="243"/>
      <c r="AD129" s="243"/>
      <c r="AE129" s="243"/>
      <c r="AF129" s="598"/>
      <c r="AG129" s="243"/>
      <c r="AH129" s="243"/>
      <c r="AI129" s="243"/>
      <c r="AJ129" s="598"/>
      <c r="AK129" s="243"/>
      <c r="AL129" s="243"/>
      <c r="AM129" s="243"/>
      <c r="AN129" s="243"/>
      <c r="AO129" s="243"/>
      <c r="AP129" s="598"/>
      <c r="AQ129" s="243"/>
      <c r="AR129" s="243"/>
      <c r="AS129" s="243"/>
      <c r="AT129" s="598"/>
      <c r="AU129" s="243"/>
      <c r="AV129" s="243"/>
      <c r="AW129" s="243"/>
      <c r="AX129" s="598"/>
      <c r="AY129" s="243"/>
      <c r="AZ129" s="243"/>
      <c r="BA129" s="243"/>
      <c r="BB129" s="243"/>
      <c r="BC129" s="243"/>
      <c r="BD129" s="243"/>
      <c r="BE129" s="243"/>
      <c r="BF129" s="110"/>
      <c r="BG129" s="110"/>
      <c r="BH129" s="110"/>
      <c r="BI129" s="110"/>
      <c r="BJ129" s="110"/>
    </row>
    <row r="130" spans="1:62" x14ac:dyDescent="0.3">
      <c r="A130" s="88"/>
      <c r="B130" s="243" t="s">
        <v>266</v>
      </c>
      <c r="C130" s="827" t="s">
        <v>50</v>
      </c>
      <c r="D130" s="365">
        <f>+SMS!E5</f>
        <v>193691.14877589454</v>
      </c>
      <c r="E130" s="365">
        <f>+SMS!F5</f>
        <v>223226</v>
      </c>
      <c r="F130" s="365">
        <f>+SMS!G5</f>
        <v>170903.95480225986</v>
      </c>
      <c r="G130" s="365">
        <f>+SMS!H5</f>
        <v>97961</v>
      </c>
      <c r="H130" s="335">
        <f>+SMS!I5</f>
        <v>364595.10357815441</v>
      </c>
      <c r="I130" s="335">
        <f>+SMS!J5</f>
        <v>321187</v>
      </c>
      <c r="J130" s="365">
        <f>+SMS!K5</f>
        <v>237110.48158640199</v>
      </c>
      <c r="K130" s="365">
        <f>+SMS!L5</f>
        <v>243453</v>
      </c>
      <c r="L130" s="335">
        <f>+SMS!M5</f>
        <v>601705.5851645564</v>
      </c>
      <c r="M130" s="335">
        <f>+SMS!N5</f>
        <v>564640</v>
      </c>
      <c r="N130" s="365">
        <f>+SMS!O5</f>
        <v>239943.34277620399</v>
      </c>
      <c r="O130" s="365">
        <f>+SMS!P5</f>
        <v>253662</v>
      </c>
      <c r="P130" s="335">
        <f>+SMS!Q5</f>
        <v>841648.92794076039</v>
      </c>
      <c r="Q130" s="335">
        <f>+SMS!R5</f>
        <v>818302</v>
      </c>
      <c r="R130" s="365">
        <f>+SMS!S5</f>
        <v>239943.34277620399</v>
      </c>
      <c r="S130" s="365">
        <f>+SMS!T5</f>
        <v>237622</v>
      </c>
      <c r="T130" s="335">
        <f>+SMS!U5</f>
        <v>1081592.2707169643</v>
      </c>
      <c r="U130" s="335">
        <f>+SMS!V5</f>
        <v>1055924</v>
      </c>
      <c r="V130" s="365">
        <f>+SMS!W5</f>
        <v>125920.679886686</v>
      </c>
      <c r="W130" s="365">
        <f>+SMS!X5</f>
        <v>226847</v>
      </c>
      <c r="X130" s="335">
        <f>+SMS!Y5</f>
        <v>605807.36543909402</v>
      </c>
      <c r="Y130" s="335">
        <f>+SMS!Z5</f>
        <v>718131</v>
      </c>
      <c r="Z130" s="335">
        <f>+SMS!AA5</f>
        <v>1207512.9506036504</v>
      </c>
      <c r="AA130" s="335">
        <f>+SMS!AB5</f>
        <v>1282771</v>
      </c>
      <c r="AB130" s="365">
        <f>+SMS!AC5</f>
        <v>244664.77809253999</v>
      </c>
      <c r="AC130" s="365">
        <f>+SMS!AD5</f>
        <v>179201</v>
      </c>
      <c r="AD130" s="335">
        <f>+SMS!AE5</f>
        <v>1452177.7286961903</v>
      </c>
      <c r="AE130" s="335">
        <f>+SMS!AF5</f>
        <v>1461972</v>
      </c>
      <c r="AF130" s="365">
        <f>+SMS!AG5</f>
        <v>237110.48158640199</v>
      </c>
      <c r="AG130" s="365">
        <f>+SMS!AH5</f>
        <v>229502</v>
      </c>
      <c r="AH130" s="335">
        <f>+SMS!AI5</f>
        <v>1689288.2102825923</v>
      </c>
      <c r="AI130" s="335">
        <f>+SMS!AJ5</f>
        <v>1691474</v>
      </c>
      <c r="AJ130" s="365">
        <f>+SMS!AK5</f>
        <v>244664.77809253999</v>
      </c>
      <c r="AK130" s="365">
        <f>+SMS!AL5</f>
        <v>234365</v>
      </c>
      <c r="AL130" s="335">
        <f>+SMS!AM5</f>
        <v>726440.03777148202</v>
      </c>
      <c r="AM130" s="335">
        <f>+SMS!AN5</f>
        <v>643068</v>
      </c>
      <c r="AN130" s="335">
        <f>+SMS!AO5</f>
        <v>1933952.9883751324</v>
      </c>
      <c r="AO130" s="335">
        <f>+SMS!AP5</f>
        <v>1925839</v>
      </c>
      <c r="AP130" s="365">
        <f>+SMS!AQ5</f>
        <v>248441.92634560907</v>
      </c>
      <c r="AQ130" s="365">
        <f>+SMS!AR5</f>
        <v>228047</v>
      </c>
      <c r="AR130" s="335">
        <f>+SMS!AS5</f>
        <v>2182394.9147207416</v>
      </c>
      <c r="AS130" s="335">
        <f>+SMS!AT5</f>
        <v>2153886</v>
      </c>
      <c r="AT130" s="365">
        <f>+SMS!AU5</f>
        <v>222001.88857412653</v>
      </c>
      <c r="AU130" s="365">
        <f>+SMS!AV5</f>
        <v>185016</v>
      </c>
      <c r="AV130" s="335">
        <f>+SMS!AW5</f>
        <v>2404396.8032948682</v>
      </c>
      <c r="AW130" s="335">
        <f>+SMS!AX5</f>
        <v>2338902</v>
      </c>
      <c r="AX130" s="365">
        <f>+SMS!AY5</f>
        <v>248441.92634560907</v>
      </c>
      <c r="AY130" s="365">
        <f>+SMS!AZ5</f>
        <v>241240</v>
      </c>
      <c r="AZ130" s="335">
        <f>+SMS!BA5</f>
        <v>718885.74126534467</v>
      </c>
      <c r="BA130" s="335">
        <f>+SMS!BB5</f>
        <v>654303</v>
      </c>
      <c r="BB130" s="335">
        <f>+SMS!BC5</f>
        <v>1445325.7790368267</v>
      </c>
      <c r="BC130" s="335">
        <f>+SMS!BD5</f>
        <v>1297371</v>
      </c>
      <c r="BD130" s="335">
        <f>+SMS!BE5</f>
        <v>2652838.7296404773</v>
      </c>
      <c r="BE130" s="335">
        <f>+SMS!BF5</f>
        <v>2580142</v>
      </c>
      <c r="BF130" s="110"/>
      <c r="BG130" s="110"/>
      <c r="BH130" s="110"/>
      <c r="BI130" s="110"/>
      <c r="BJ130" s="110"/>
    </row>
    <row r="131" spans="1:62" x14ac:dyDescent="0.3">
      <c r="A131" s="88"/>
      <c r="D131" s="137"/>
      <c r="F131" s="137"/>
      <c r="H131" s="82"/>
      <c r="I131" s="88"/>
      <c r="J131" s="137"/>
      <c r="L131" s="82"/>
      <c r="M131" s="88"/>
      <c r="N131" s="137"/>
      <c r="P131" s="82"/>
      <c r="Q131" s="88"/>
      <c r="R131" s="137"/>
      <c r="T131" s="82"/>
      <c r="U131" s="88"/>
      <c r="V131" s="137"/>
      <c r="X131" s="82"/>
      <c r="AB131" s="137"/>
      <c r="AF131" s="1111"/>
      <c r="AG131" s="1111"/>
      <c r="AH131" s="1111"/>
      <c r="AI131" s="1111"/>
    </row>
    <row r="132" spans="1:62" x14ac:dyDescent="0.3">
      <c r="A132" s="88"/>
    </row>
    <row r="133" spans="1:62" ht="21" hidden="1" customHeight="1" x14ac:dyDescent="0.3">
      <c r="A133" s="88"/>
      <c r="B133" s="375" t="s">
        <v>320</v>
      </c>
    </row>
    <row r="134" spans="1:62" ht="15.75" hidden="1" customHeight="1" thickBot="1" x14ac:dyDescent="0.35">
      <c r="A134" s="88"/>
    </row>
    <row r="135" spans="1:62" ht="15.75" hidden="1" customHeight="1" thickBot="1" x14ac:dyDescent="0.35">
      <c r="B135" s="3" t="s">
        <v>106</v>
      </c>
      <c r="C135" s="81" t="s">
        <v>325</v>
      </c>
    </row>
    <row r="136" spans="1:62" ht="15.75" hidden="1" customHeight="1" thickBot="1" x14ac:dyDescent="0.35">
      <c r="B136" s="3" t="s">
        <v>107</v>
      </c>
      <c r="C136" s="81" t="s">
        <v>325</v>
      </c>
    </row>
    <row r="137" spans="1:62" ht="15.75" hidden="1" customHeight="1" thickBot="1" x14ac:dyDescent="0.35">
      <c r="B137" s="3" t="s">
        <v>80</v>
      </c>
      <c r="C137" s="81" t="s">
        <v>325</v>
      </c>
      <c r="BB137" s="23"/>
    </row>
    <row r="138" spans="1:62" ht="15.75" hidden="1" customHeight="1" thickBot="1" x14ac:dyDescent="0.35">
      <c r="B138" s="3" t="s">
        <v>108</v>
      </c>
      <c r="C138" s="81" t="s">
        <v>325</v>
      </c>
    </row>
    <row r="139" spans="1:62" ht="15.75" hidden="1" customHeight="1" thickBot="1" x14ac:dyDescent="0.35">
      <c r="B139" s="3" t="s">
        <v>81</v>
      </c>
      <c r="C139" s="81" t="s">
        <v>325</v>
      </c>
      <c r="BE139" s="3464">
        <f>BB136/BE130</f>
        <v>0</v>
      </c>
    </row>
    <row r="140" spans="1:62" ht="15.75" hidden="1" customHeight="1" thickBot="1" x14ac:dyDescent="0.35">
      <c r="B140" s="3" t="s">
        <v>57</v>
      </c>
      <c r="C140" s="81" t="s">
        <v>325</v>
      </c>
    </row>
    <row r="141" spans="1:62" ht="15.75" hidden="1" customHeight="1" thickBot="1" x14ac:dyDescent="0.35">
      <c r="B141" s="3" t="s">
        <v>58</v>
      </c>
      <c r="C141" s="81" t="s">
        <v>325</v>
      </c>
    </row>
    <row r="142" spans="1:62" ht="15.75" hidden="1" customHeight="1" thickBot="1" x14ac:dyDescent="0.35">
      <c r="B142" s="3" t="s">
        <v>59</v>
      </c>
      <c r="C142" s="81" t="s">
        <v>325</v>
      </c>
    </row>
    <row r="143" spans="1:62" ht="15.75" hidden="1" customHeight="1" thickBot="1" x14ac:dyDescent="0.35">
      <c r="B143" s="3" t="s">
        <v>91</v>
      </c>
      <c r="C143" s="81" t="s">
        <v>325</v>
      </c>
    </row>
    <row r="144" spans="1:62" ht="15.75" hidden="1" customHeight="1" thickBot="1" x14ac:dyDescent="0.35">
      <c r="B144" s="3" t="s">
        <v>109</v>
      </c>
      <c r="C144" s="81" t="s">
        <v>325</v>
      </c>
    </row>
    <row r="145" spans="2:27" ht="15.75" hidden="1" customHeight="1" thickBot="1" x14ac:dyDescent="0.35">
      <c r="B145" s="3" t="s">
        <v>82</v>
      </c>
      <c r="C145" s="81" t="s">
        <v>325</v>
      </c>
    </row>
    <row r="146" spans="2:27" ht="15.75" hidden="1" customHeight="1" thickBot="1" x14ac:dyDescent="0.35">
      <c r="B146" s="3" t="s">
        <v>60</v>
      </c>
      <c r="C146" s="81" t="s">
        <v>325</v>
      </c>
    </row>
    <row r="147" spans="2:27" ht="15" hidden="1" customHeight="1" x14ac:dyDescent="0.3"/>
    <row r="148" spans="2:27" ht="15" hidden="1" customHeight="1" x14ac:dyDescent="0.3"/>
    <row r="149" spans="2:27" ht="15" customHeight="1" x14ac:dyDescent="0.3"/>
    <row r="157" spans="2:27" x14ac:dyDescent="0.3">
      <c r="Z157" s="4547"/>
      <c r="AA157" s="4547"/>
    </row>
    <row r="159" spans="2:27" ht="15" hidden="1" customHeight="1" x14ac:dyDescent="0.3"/>
    <row r="160" spans="2:27" ht="15" hidden="1" customHeight="1" x14ac:dyDescent="0.3"/>
    <row r="161" spans="2:29" ht="15" hidden="1" customHeight="1" x14ac:dyDescent="0.3"/>
    <row r="162" spans="2:29" ht="15" hidden="1" customHeight="1" x14ac:dyDescent="0.3">
      <c r="H162" s="82"/>
      <c r="I162" s="88"/>
      <c r="J162" s="190"/>
      <c r="L162" s="82"/>
      <c r="N162" s="190"/>
      <c r="P162" s="82"/>
      <c r="R162" s="190"/>
      <c r="T162" s="82"/>
      <c r="V162" s="190"/>
      <c r="AB162" s="190"/>
    </row>
    <row r="163" spans="2:29" ht="15" hidden="1" customHeight="1" x14ac:dyDescent="0.3">
      <c r="D163" s="246"/>
      <c r="E163" s="246"/>
      <c r="F163" s="246"/>
      <c r="G163" s="246"/>
      <c r="H163" s="1112"/>
      <c r="I163" s="827"/>
      <c r="J163" s="1428"/>
      <c r="K163" s="246"/>
      <c r="L163" s="1112"/>
      <c r="M163" s="246"/>
      <c r="N163" s="1428"/>
      <c r="O163" s="246"/>
      <c r="P163" s="1112"/>
      <c r="Q163" s="246"/>
      <c r="R163" s="1428"/>
      <c r="S163" s="246"/>
      <c r="T163" s="1112"/>
      <c r="U163" s="246"/>
      <c r="V163" s="1428"/>
      <c r="W163" s="246"/>
      <c r="X163" s="246"/>
      <c r="Y163" s="246"/>
      <c r="Z163" s="246"/>
      <c r="AA163" s="246"/>
      <c r="AB163" s="1428"/>
      <c r="AC163" s="246"/>
    </row>
    <row r="164" spans="2:29" ht="15" hidden="1" customHeight="1" x14ac:dyDescent="0.3">
      <c r="B164" t="s">
        <v>1107</v>
      </c>
      <c r="D164" s="1107">
        <f>+D55-D73</f>
        <v>0</v>
      </c>
      <c r="E164" s="1107"/>
      <c r="F164" s="1107">
        <f>+F55-F73</f>
        <v>0</v>
      </c>
      <c r="G164" s="1107"/>
      <c r="H164" s="1107">
        <f>+H55-H73</f>
        <v>0</v>
      </c>
      <c r="I164" s="1107">
        <f>+I55-I73</f>
        <v>0</v>
      </c>
      <c r="J164" s="1107">
        <f>+J55-J73</f>
        <v>0</v>
      </c>
      <c r="K164" s="1107"/>
      <c r="L164" s="1107">
        <f>+L55-L73</f>
        <v>0</v>
      </c>
      <c r="M164" s="1107"/>
      <c r="N164" s="1107">
        <f>+N55-N73</f>
        <v>0</v>
      </c>
      <c r="O164" s="1107"/>
      <c r="P164" s="1107">
        <f>+P55-P73</f>
        <v>0</v>
      </c>
      <c r="Q164" s="1107">
        <f>+Q55-Q73</f>
        <v>0</v>
      </c>
      <c r="R164" s="1107">
        <f>+R55-R73</f>
        <v>0</v>
      </c>
      <c r="S164" s="1107"/>
      <c r="T164" s="1107">
        <f>+T55-T73</f>
        <v>0</v>
      </c>
      <c r="U164" s="1107">
        <f>+U55-U73</f>
        <v>0</v>
      </c>
      <c r="V164" s="1107">
        <f>+V55-V73</f>
        <v>0</v>
      </c>
      <c r="W164" s="1107"/>
      <c r="X164" s="1107">
        <f>+X55-X73</f>
        <v>0</v>
      </c>
      <c r="Y164" s="1107"/>
      <c r="Z164" s="1107">
        <f>+Z55-Z73</f>
        <v>0</v>
      </c>
      <c r="AA164" s="1107"/>
      <c r="AB164" s="1107">
        <f>+AB55-AB73</f>
        <v>0</v>
      </c>
      <c r="AC164" s="1107"/>
    </row>
    <row r="165" spans="2:29" ht="15" hidden="1" customHeight="1" x14ac:dyDescent="0.3">
      <c r="D165" s="246"/>
      <c r="E165" s="246"/>
      <c r="F165" s="246"/>
      <c r="G165" s="246"/>
      <c r="H165" s="1112"/>
      <c r="I165" s="827"/>
      <c r="J165" s="1428"/>
      <c r="K165" s="246"/>
      <c r="L165" s="1112"/>
      <c r="M165" s="246"/>
      <c r="N165" s="1428"/>
      <c r="O165" s="246"/>
      <c r="P165" s="1112"/>
      <c r="Q165" s="246"/>
      <c r="R165" s="1428"/>
      <c r="S165" s="246"/>
      <c r="T165" s="1112"/>
      <c r="U165" s="246"/>
      <c r="V165" s="1428"/>
      <c r="W165" s="246"/>
      <c r="X165" s="246"/>
      <c r="Y165" s="246"/>
      <c r="Z165" s="246"/>
      <c r="AA165" s="246"/>
      <c r="AB165" s="1428"/>
      <c r="AC165" s="246"/>
    </row>
    <row r="166" spans="2:29" ht="15" hidden="1" customHeight="1" x14ac:dyDescent="0.3">
      <c r="D166" s="246">
        <v>382927.49999999988</v>
      </c>
      <c r="E166" s="246"/>
      <c r="F166" s="246">
        <v>382927.49999999988</v>
      </c>
      <c r="G166" s="246"/>
      <c r="H166" s="1112"/>
      <c r="I166" s="827"/>
      <c r="J166" s="1428">
        <v>368314.87500000256</v>
      </c>
      <c r="K166" s="246"/>
      <c r="L166" s="1112">
        <f>+D166+F166+J166</f>
        <v>1134169.8750000023</v>
      </c>
      <c r="M166" s="246"/>
      <c r="N166" s="1428">
        <v>380800.12500000373</v>
      </c>
      <c r="O166" s="246"/>
      <c r="P166" s="1112"/>
      <c r="Q166" s="246"/>
      <c r="R166" s="1428">
        <v>380800.12500000373</v>
      </c>
      <c r="S166" s="246"/>
      <c r="T166" s="1112"/>
      <c r="U166" s="246"/>
      <c r="V166" s="1428">
        <v>380800.12500000373</v>
      </c>
      <c r="W166" s="246"/>
      <c r="X166" s="246">
        <f>+N166+R166+V166</f>
        <v>1142400.3750000112</v>
      </c>
      <c r="Y166" s="246"/>
      <c r="Z166" s="246">
        <f>+X166+L166</f>
        <v>2276570.2500000135</v>
      </c>
      <c r="AA166" s="246"/>
      <c r="AB166" s="1428">
        <v>380800.12500000373</v>
      </c>
      <c r="AC166" s="246"/>
    </row>
    <row r="167" spans="2:29" ht="15" hidden="1" customHeight="1" x14ac:dyDescent="0.3">
      <c r="B167" t="s">
        <v>1108</v>
      </c>
      <c r="D167" s="1107">
        <f>+D166-D48</f>
        <v>67807.499999999884</v>
      </c>
      <c r="E167" s="1107"/>
      <c r="F167" s="1107">
        <f>+F166-F48</f>
        <v>99622.499999999884</v>
      </c>
      <c r="G167" s="1107"/>
      <c r="H167" s="1107">
        <f>+H166-H48</f>
        <v>-598425</v>
      </c>
      <c r="I167" s="1107">
        <f>+I166-I48</f>
        <v>-562082.83000000007</v>
      </c>
      <c r="J167" s="1107">
        <f>+J166-J48</f>
        <v>-19765.124999997439</v>
      </c>
      <c r="K167" s="1107"/>
      <c r="L167" s="1107">
        <f>+L166-L48</f>
        <v>147664.87500000233</v>
      </c>
      <c r="M167" s="1107"/>
      <c r="N167" s="1107">
        <f>+N166-N48</f>
        <v>-16999.874999996275</v>
      </c>
      <c r="O167" s="1107"/>
      <c r="P167" s="1107">
        <f>+P166-P48</f>
        <v>-1384305</v>
      </c>
      <c r="Q167" s="1107">
        <f>+Q166-Q48</f>
        <v>-1351386.1804000002</v>
      </c>
      <c r="R167" s="1107">
        <f>+R166-R48</f>
        <v>-14449.874999996275</v>
      </c>
      <c r="S167" s="1107"/>
      <c r="T167" s="1107">
        <f>+T166-T48</f>
        <v>-1779555</v>
      </c>
      <c r="U167" s="1107">
        <f>+U166-U48</f>
        <v>-1739677.3852000001</v>
      </c>
      <c r="V167" s="1107">
        <f>+V166-V48</f>
        <v>163800.12500000373</v>
      </c>
      <c r="W167" s="1107"/>
      <c r="X167" s="1107">
        <f>+X166-X48</f>
        <v>132350.37500001118</v>
      </c>
      <c r="Y167" s="1107"/>
      <c r="Z167" s="1107">
        <f>+Z166-Z48</f>
        <v>280015.2500000135</v>
      </c>
      <c r="AA167" s="1107"/>
      <c r="AB167" s="1107">
        <f>+AB166-AB48</f>
        <v>-19599.874999996333</v>
      </c>
      <c r="AC167" s="1107"/>
    </row>
    <row r="168" spans="2:29" ht="15" hidden="1" customHeight="1" x14ac:dyDescent="0.3">
      <c r="D168" s="246"/>
      <c r="E168" s="246"/>
      <c r="F168" s="246"/>
      <c r="G168" s="246"/>
      <c r="H168" s="1112"/>
      <c r="I168" s="827"/>
      <c r="J168" s="1428"/>
      <c r="K168" s="246"/>
      <c r="L168" s="1112"/>
      <c r="M168" s="246"/>
      <c r="N168" s="1428"/>
      <c r="O168" s="246"/>
      <c r="P168" s="1112"/>
      <c r="Q168" s="246"/>
      <c r="R168" s="1428"/>
      <c r="S168" s="246"/>
      <c r="T168" s="1112"/>
      <c r="U168" s="246"/>
      <c r="V168" s="1428"/>
      <c r="W168" s="246"/>
      <c r="X168" s="246"/>
      <c r="Y168" s="246"/>
      <c r="Z168" s="246"/>
      <c r="AA168" s="246"/>
      <c r="AB168" s="1428"/>
      <c r="AC168" s="246"/>
    </row>
    <row r="169" spans="2:29" ht="15" hidden="1" customHeight="1" x14ac:dyDescent="0.3">
      <c r="D169" s="246">
        <v>368047.49999999988</v>
      </c>
      <c r="E169" s="246"/>
      <c r="F169" s="246">
        <v>368047.49999999988</v>
      </c>
      <c r="G169" s="246"/>
      <c r="H169" s="1112"/>
      <c r="I169" s="827"/>
      <c r="J169" s="1428">
        <v>353914.87500000256</v>
      </c>
      <c r="K169" s="246"/>
      <c r="L169" s="1112"/>
      <c r="M169" s="246"/>
      <c r="N169" s="1428">
        <v>365920.12500000338</v>
      </c>
      <c r="O169" s="246"/>
      <c r="P169" s="1112"/>
      <c r="Q169" s="246"/>
      <c r="R169" s="1428">
        <v>365920.12500000338</v>
      </c>
      <c r="S169" s="246"/>
      <c r="T169" s="1112"/>
      <c r="U169" s="246"/>
      <c r="V169" s="1428">
        <v>365920.12500000338</v>
      </c>
      <c r="W169" s="246"/>
      <c r="X169" s="246"/>
      <c r="Y169" s="246"/>
      <c r="Z169" s="246"/>
      <c r="AA169" s="246"/>
      <c r="AB169" s="1428">
        <v>365920.12500000338</v>
      </c>
      <c r="AC169" s="246"/>
    </row>
    <row r="170" spans="2:29" ht="15" hidden="1" customHeight="1" x14ac:dyDescent="0.3">
      <c r="D170" s="246"/>
      <c r="E170" s="246"/>
      <c r="F170" s="246"/>
      <c r="G170" s="246"/>
      <c r="H170" s="1112"/>
      <c r="I170" s="827"/>
      <c r="J170" s="1428"/>
      <c r="K170" s="246"/>
      <c r="L170" s="1112"/>
      <c r="M170" s="246"/>
      <c r="N170" s="1428"/>
      <c r="O170" s="246"/>
      <c r="P170" s="1112"/>
      <c r="Q170" s="246"/>
      <c r="R170" s="1428"/>
      <c r="S170" s="246"/>
      <c r="T170" s="1112"/>
      <c r="U170" s="246"/>
      <c r="V170" s="1428"/>
      <c r="W170" s="246"/>
      <c r="X170" s="246"/>
      <c r="Y170" s="246"/>
      <c r="Z170" s="246"/>
      <c r="AA170" s="246"/>
      <c r="AB170" s="1428"/>
      <c r="AC170" s="246"/>
    </row>
    <row r="171" spans="2:29" ht="15" hidden="1" customHeight="1" x14ac:dyDescent="0.3">
      <c r="B171" t="s">
        <v>1109</v>
      </c>
      <c r="D171" s="1107">
        <f>+D169-D55</f>
        <v>65350.85999999987</v>
      </c>
      <c r="E171" s="246"/>
      <c r="F171" s="1107">
        <f>+F169-F55</f>
        <v>96395.039999999863</v>
      </c>
      <c r="G171" s="246"/>
      <c r="H171" s="1112"/>
      <c r="I171" s="827"/>
      <c r="J171" s="1107">
        <f>+J169-J55</f>
        <v>-19698.884999997448</v>
      </c>
      <c r="K171" s="246"/>
      <c r="L171" s="1112"/>
      <c r="M171" s="246"/>
      <c r="N171" s="1107">
        <f>+N169-N55</f>
        <v>-17021.474999996601</v>
      </c>
      <c r="O171" s="246"/>
      <c r="P171" s="1112"/>
      <c r="Q171" s="246"/>
      <c r="R171" s="1107">
        <f>+R169-R55</f>
        <v>-14542.874999996624</v>
      </c>
      <c r="S171" s="246"/>
      <c r="T171" s="1112"/>
      <c r="U171" s="246"/>
      <c r="V171" s="1107">
        <f>+V169-V55</f>
        <v>161930.12500000338</v>
      </c>
      <c r="W171" s="246"/>
      <c r="X171" s="246"/>
      <c r="Y171" s="246"/>
      <c r="Z171" s="246"/>
      <c r="AA171" s="246"/>
      <c r="AB171" s="1107">
        <f>+AB169-AB55</f>
        <v>-19548.674999996671</v>
      </c>
      <c r="AC171" s="246"/>
    </row>
    <row r="172" spans="2:29" ht="15" hidden="1" customHeight="1" x14ac:dyDescent="0.3">
      <c r="B172" t="s">
        <v>1110</v>
      </c>
      <c r="D172" s="1107">
        <f>+D169-D73</f>
        <v>65350.85999999987</v>
      </c>
      <c r="E172" s="246"/>
      <c r="F172" s="1107">
        <f>+F169-F73</f>
        <v>96395.039999999863</v>
      </c>
      <c r="G172" s="246"/>
      <c r="H172" s="1112"/>
      <c r="I172" s="827"/>
      <c r="J172" s="1107">
        <f>+J169-J73</f>
        <v>-19698.884999997448</v>
      </c>
      <c r="K172" s="246"/>
      <c r="L172" s="1112"/>
      <c r="M172" s="246"/>
      <c r="N172" s="1107">
        <f>+N169-N73</f>
        <v>-17021.474999996601</v>
      </c>
      <c r="O172" s="246"/>
      <c r="P172" s="1112"/>
      <c r="Q172" s="246"/>
      <c r="R172" s="1107">
        <f>+R169-R73</f>
        <v>-14542.874999996682</v>
      </c>
      <c r="S172" s="246"/>
      <c r="T172" s="1112"/>
      <c r="U172" s="246"/>
      <c r="V172" s="1107">
        <f>+V169-V73</f>
        <v>161930.12500000341</v>
      </c>
      <c r="W172" s="246"/>
      <c r="X172" s="246"/>
      <c r="Y172" s="246"/>
      <c r="Z172" s="246"/>
      <c r="AA172" s="246"/>
      <c r="AB172" s="1107">
        <f>+AB169-AB73</f>
        <v>-19548.674999996671</v>
      </c>
      <c r="AC172" s="246"/>
    </row>
    <row r="173" spans="2:29" ht="15" hidden="1" customHeight="1" x14ac:dyDescent="0.3">
      <c r="D173" s="246"/>
      <c r="E173" s="246"/>
      <c r="F173" s="246"/>
      <c r="G173" s="246"/>
      <c r="H173" s="1112"/>
      <c r="I173" s="827"/>
      <c r="J173" s="1428"/>
      <c r="K173" s="246"/>
      <c r="L173" s="1112"/>
      <c r="M173" s="246"/>
      <c r="N173" s="1428"/>
      <c r="O173" s="246"/>
      <c r="P173" s="1112"/>
      <c r="Q173" s="246"/>
      <c r="R173" s="1428"/>
      <c r="S173" s="246"/>
      <c r="T173" s="1112"/>
      <c r="U173" s="246"/>
      <c r="V173" s="1428"/>
      <c r="W173" s="246"/>
      <c r="X173" s="246"/>
      <c r="Y173" s="246"/>
      <c r="Z173" s="246"/>
      <c r="AA173" s="246"/>
      <c r="AB173" s="1428"/>
      <c r="AC173" s="246"/>
    </row>
    <row r="174" spans="2:29" ht="15" hidden="1" customHeight="1" x14ac:dyDescent="0.3">
      <c r="D174" s="246"/>
      <c r="E174" s="246"/>
      <c r="F174" s="246"/>
      <c r="G174" s="246"/>
      <c r="H174" s="1112"/>
      <c r="I174" s="827"/>
      <c r="J174" s="1428"/>
      <c r="K174" s="246"/>
      <c r="L174" s="1112"/>
      <c r="M174" s="246"/>
      <c r="N174" s="1428"/>
      <c r="O174" s="246"/>
      <c r="P174" s="1112"/>
      <c r="Q174" s="246"/>
      <c r="R174" s="1428"/>
      <c r="S174" s="246"/>
      <c r="T174" s="1112"/>
      <c r="U174" s="246"/>
      <c r="V174" s="1428"/>
      <c r="W174" s="246"/>
      <c r="X174" s="246"/>
      <c r="Y174" s="246"/>
      <c r="Z174" s="246"/>
      <c r="AA174" s="246"/>
      <c r="AB174" s="1428"/>
      <c r="AC174" s="246"/>
    </row>
    <row r="175" spans="2:29" ht="15" hidden="1" customHeight="1" x14ac:dyDescent="0.3"/>
    <row r="176" spans="2:29" ht="15" hidden="1" customHeight="1" x14ac:dyDescent="0.3"/>
    <row r="177" ht="15" hidden="1" customHeight="1" x14ac:dyDescent="0.3"/>
    <row r="178" ht="15" hidden="1" customHeight="1" x14ac:dyDescent="0.3"/>
    <row r="179" ht="15" hidden="1" customHeight="1" x14ac:dyDescent="0.3"/>
    <row r="180" ht="15" hidden="1" customHeight="1" x14ac:dyDescent="0.3"/>
  </sheetData>
  <mergeCells count="29">
    <mergeCell ref="AX4:AY4"/>
    <mergeCell ref="BD4:BE4"/>
    <mergeCell ref="AZ4:BA4"/>
    <mergeCell ref="BB4:BC4"/>
    <mergeCell ref="AT4:AU4"/>
    <mergeCell ref="AV4:AW4"/>
    <mergeCell ref="AP4:AQ4"/>
    <mergeCell ref="AR4:AS4"/>
    <mergeCell ref="AJ4:AK4"/>
    <mergeCell ref="AN4:AO4"/>
    <mergeCell ref="AL4:AM4"/>
    <mergeCell ref="Z4:AA4"/>
    <mergeCell ref="X4:Y4"/>
    <mergeCell ref="AF4:AG4"/>
    <mergeCell ref="AH4:AI4"/>
    <mergeCell ref="T4:U4"/>
    <mergeCell ref="AB4:AC4"/>
    <mergeCell ref="AD4:AE4"/>
    <mergeCell ref="V4:W4"/>
    <mergeCell ref="B4:B5"/>
    <mergeCell ref="C4:C5"/>
    <mergeCell ref="D4:E4"/>
    <mergeCell ref="F4:G4"/>
    <mergeCell ref="H4:I4"/>
    <mergeCell ref="R4:S4"/>
    <mergeCell ref="J4:K4"/>
    <mergeCell ref="L4:M4"/>
    <mergeCell ref="N4:O4"/>
    <mergeCell ref="P4:Q4"/>
  </mergeCells>
  <pageMargins left="0.7" right="0.7" top="0.75" bottom="0.75" header="0.3" footer="0.3"/>
  <pageSetup scale="35"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660066"/>
    <pageSetUpPr fitToPage="1"/>
  </sheetPr>
  <dimension ref="A1:BK75"/>
  <sheetViews>
    <sheetView zoomScaleNormal="100" workbookViewId="0">
      <pane xSplit="4" topLeftCell="E1" activePane="topRight" state="frozen"/>
      <selection pane="topRight" activeCell="H32" sqref="H32"/>
    </sheetView>
  </sheetViews>
  <sheetFormatPr defaultColWidth="8.88671875" defaultRowHeight="14.4" x14ac:dyDescent="0.3"/>
  <cols>
    <col min="1" max="1" width="6.5546875" customWidth="1"/>
    <col min="2" max="2" width="8.88671875" hidden="1" customWidth="1"/>
    <col min="3" max="3" width="52" customWidth="1"/>
    <col min="4" max="4" width="8.6640625" bestFit="1" customWidth="1"/>
    <col min="5" max="5" width="7.88671875" bestFit="1" customWidth="1"/>
    <col min="6" max="6" width="8.44140625" bestFit="1" customWidth="1"/>
    <col min="7" max="7" width="7.88671875" customWidth="1"/>
    <col min="8" max="8" width="8.44140625" customWidth="1"/>
    <col min="9" max="9" width="7.88671875" bestFit="1" customWidth="1"/>
    <col min="10" max="10" width="7.88671875" customWidth="1"/>
    <col min="11" max="11" width="7.88671875" hidden="1" customWidth="1"/>
    <col min="12" max="12" width="8.44140625" hidden="1" customWidth="1"/>
    <col min="13" max="15" width="7.88671875" hidden="1" customWidth="1"/>
    <col min="16" max="16" width="8.44140625" hidden="1" customWidth="1"/>
    <col min="17" max="19" width="7.88671875" hidden="1" customWidth="1"/>
    <col min="20" max="20" width="8.44140625" hidden="1" customWidth="1"/>
    <col min="21" max="22" width="9" hidden="1" customWidth="1"/>
    <col min="23" max="24" width="7.88671875" hidden="1" customWidth="1"/>
    <col min="25" max="25" width="10.33203125" hidden="1" customWidth="1"/>
    <col min="26" max="28" width="9.109375" hidden="1" customWidth="1"/>
    <col min="29" max="30" width="7.88671875" hidden="1" customWidth="1"/>
    <col min="31" max="42" width="8.88671875" hidden="1" customWidth="1"/>
    <col min="43" max="43" width="7.88671875" hidden="1" customWidth="1"/>
    <col min="44" max="44" width="8.6640625" hidden="1" customWidth="1"/>
    <col min="45" max="45" width="8.88671875" hidden="1" customWidth="1"/>
    <col min="46" max="46" width="9" hidden="1" customWidth="1"/>
    <col min="47" max="58" width="8.88671875" hidden="1" customWidth="1"/>
    <col min="59" max="60" width="8.88671875" customWidth="1"/>
  </cols>
  <sheetData>
    <row r="1" spans="1:63" x14ac:dyDescent="0.3">
      <c r="O1" s="137"/>
      <c r="S1" s="137"/>
    </row>
    <row r="2" spans="1:63" x14ac:dyDescent="0.3">
      <c r="C2" s="6387" t="s">
        <v>82</v>
      </c>
      <c r="O2" s="137"/>
      <c r="S2" s="137"/>
    </row>
    <row r="3" spans="1:63" ht="16.2" thickBot="1" x14ac:dyDescent="0.35">
      <c r="C3" s="6387"/>
      <c r="D3" s="1049"/>
      <c r="E3" s="1050">
        <v>30</v>
      </c>
      <c r="F3" s="1050">
        <v>30</v>
      </c>
      <c r="G3" s="1050">
        <v>31</v>
      </c>
      <c r="H3" s="1050">
        <v>31</v>
      </c>
      <c r="I3" s="1050">
        <f>+E3+G3</f>
        <v>61</v>
      </c>
      <c r="J3" s="1050">
        <f>+F3+H3</f>
        <v>61</v>
      </c>
      <c r="K3" s="1050">
        <v>30</v>
      </c>
      <c r="L3" s="1050">
        <v>30</v>
      </c>
      <c r="M3" s="1050">
        <f>+I3+K3</f>
        <v>91</v>
      </c>
      <c r="N3" s="1050">
        <f>+J3+L3</f>
        <v>91</v>
      </c>
      <c r="O3" s="1427">
        <v>31</v>
      </c>
      <c r="P3" s="1050">
        <v>31</v>
      </c>
      <c r="Q3" s="1050">
        <f>+M3+O3</f>
        <v>122</v>
      </c>
      <c r="R3" s="1050">
        <f>+N3+P3</f>
        <v>122</v>
      </c>
      <c r="S3" s="1427">
        <v>31</v>
      </c>
      <c r="T3" s="1050">
        <v>31</v>
      </c>
      <c r="U3" s="1050">
        <f>+Q3+S3</f>
        <v>153</v>
      </c>
      <c r="V3" s="1050">
        <f>+R3+T3</f>
        <v>153</v>
      </c>
      <c r="W3" s="1050">
        <v>30</v>
      </c>
      <c r="X3" s="1050">
        <v>30</v>
      </c>
      <c r="Y3" s="1050">
        <f>+O3+S3+W3</f>
        <v>92</v>
      </c>
      <c r="Z3" s="1050">
        <f>+P3+T3+X3</f>
        <v>92</v>
      </c>
      <c r="AA3" s="1050">
        <f>+U3+W3</f>
        <v>183</v>
      </c>
      <c r="AB3" s="1050">
        <f>+V3+X3</f>
        <v>183</v>
      </c>
      <c r="AC3" s="1050">
        <v>31</v>
      </c>
      <c r="AD3" s="1050">
        <v>31</v>
      </c>
      <c r="AE3" s="1050">
        <f>+AA3+AC3</f>
        <v>214</v>
      </c>
      <c r="AF3" s="1050">
        <f>+AB3+AD3</f>
        <v>214</v>
      </c>
      <c r="AG3" s="1050">
        <v>30</v>
      </c>
      <c r="AH3" s="1050">
        <v>30</v>
      </c>
      <c r="AI3" s="1050">
        <f>+AE3+AG3</f>
        <v>244</v>
      </c>
      <c r="AJ3" s="1050">
        <f>+AF3+AH3</f>
        <v>244</v>
      </c>
      <c r="AK3" s="1050">
        <v>31</v>
      </c>
      <c r="AL3" s="1050">
        <v>31</v>
      </c>
      <c r="AM3" s="1050">
        <f>+AC3+AG3+AK3</f>
        <v>92</v>
      </c>
      <c r="AN3" s="1050">
        <f>+AD3+AH3+AL3</f>
        <v>92</v>
      </c>
      <c r="AO3" s="1050">
        <f>+AI3+AK3</f>
        <v>275</v>
      </c>
      <c r="AP3" s="1050">
        <f>+AJ3+AL3</f>
        <v>275</v>
      </c>
      <c r="AQ3" s="1050">
        <v>31</v>
      </c>
      <c r="AR3" s="1050">
        <v>31</v>
      </c>
      <c r="AS3" s="1050">
        <f>+AO3+AQ3</f>
        <v>306</v>
      </c>
      <c r="AT3" s="1050">
        <f>+AP3+AR3</f>
        <v>306</v>
      </c>
      <c r="AU3" s="1050">
        <v>28</v>
      </c>
      <c r="AV3" s="1050">
        <v>28</v>
      </c>
      <c r="AW3" s="1050">
        <f>+AS3+AU3</f>
        <v>334</v>
      </c>
      <c r="AX3" s="1050">
        <f>+AT3+AV3</f>
        <v>334</v>
      </c>
      <c r="AY3" s="1050">
        <v>31</v>
      </c>
      <c r="AZ3" s="1050">
        <v>31</v>
      </c>
      <c r="BA3" s="1050">
        <f>+AQ3+AU3+AY3</f>
        <v>90</v>
      </c>
      <c r="BB3" s="1050">
        <f>+AR3+AV3+AZ3</f>
        <v>90</v>
      </c>
      <c r="BC3" s="1050">
        <f>+AM3+BA3</f>
        <v>182</v>
      </c>
      <c r="BD3" s="1050">
        <f>+AN3+BB3</f>
        <v>182</v>
      </c>
      <c r="BE3" s="1050">
        <f>+AW3+AY3</f>
        <v>365</v>
      </c>
      <c r="BF3" s="1050">
        <f>+AX3+AZ3</f>
        <v>365</v>
      </c>
    </row>
    <row r="4" spans="1:63" ht="15.6" x14ac:dyDescent="0.3">
      <c r="A4" s="137"/>
      <c r="B4" s="137"/>
      <c r="C4" s="6388" t="s">
        <v>508</v>
      </c>
      <c r="D4" s="6246" t="s">
        <v>171</v>
      </c>
      <c r="E4" s="6254" t="s">
        <v>2211</v>
      </c>
      <c r="F4" s="6246"/>
      <c r="G4" s="6254" t="s">
        <v>2260</v>
      </c>
      <c r="H4" s="6246"/>
      <c r="I4" s="6232" t="s">
        <v>14</v>
      </c>
      <c r="J4" s="6233"/>
      <c r="K4" s="6254" t="s">
        <v>1963</v>
      </c>
      <c r="L4" s="6246"/>
      <c r="M4" s="6247" t="s">
        <v>604</v>
      </c>
      <c r="N4" s="6248"/>
      <c r="O4" s="6254" t="s">
        <v>1985</v>
      </c>
      <c r="P4" s="6246"/>
      <c r="Q4" s="6393" t="s">
        <v>17</v>
      </c>
      <c r="R4" s="6394"/>
      <c r="S4" s="6254" t="s">
        <v>1988</v>
      </c>
      <c r="T4" s="6246"/>
      <c r="U4" s="6393" t="s">
        <v>18</v>
      </c>
      <c r="V4" s="6394"/>
      <c r="W4" s="6254" t="s">
        <v>2019</v>
      </c>
      <c r="X4" s="6246"/>
      <c r="Y4" s="6247" t="s">
        <v>625</v>
      </c>
      <c r="Z4" s="6248"/>
      <c r="AA4" s="6371" t="s">
        <v>623</v>
      </c>
      <c r="AB4" s="6372"/>
      <c r="AC4" s="6254" t="s">
        <v>2043</v>
      </c>
      <c r="AD4" s="6246"/>
      <c r="AE4" s="6232" t="s">
        <v>24</v>
      </c>
      <c r="AF4" s="6233"/>
      <c r="AG4" s="6254" t="s">
        <v>2064</v>
      </c>
      <c r="AH4" s="6246"/>
      <c r="AI4" s="6232" t="s">
        <v>27</v>
      </c>
      <c r="AJ4" s="6233"/>
      <c r="AK4" s="6254" t="s">
        <v>2088</v>
      </c>
      <c r="AL4" s="6246"/>
      <c r="AM4" s="6247" t="s">
        <v>627</v>
      </c>
      <c r="AN4" s="6248"/>
      <c r="AO4" s="6232" t="s">
        <v>1565</v>
      </c>
      <c r="AP4" s="6233"/>
      <c r="AQ4" s="6254" t="s">
        <v>2099</v>
      </c>
      <c r="AR4" s="6246"/>
      <c r="AS4" s="6232" t="s">
        <v>28</v>
      </c>
      <c r="AT4" s="6233"/>
      <c r="AU4" s="6254" t="s">
        <v>2136</v>
      </c>
      <c r="AV4" s="6246"/>
      <c r="AW4" s="6232" t="s">
        <v>30</v>
      </c>
      <c r="AX4" s="6233"/>
      <c r="AY4" s="6254" t="s">
        <v>2154</v>
      </c>
      <c r="AZ4" s="6246"/>
      <c r="BA4" s="6247" t="s">
        <v>628</v>
      </c>
      <c r="BB4" s="6248"/>
      <c r="BC4" s="6371" t="s">
        <v>634</v>
      </c>
      <c r="BD4" s="6372"/>
      <c r="BE4" s="6232" t="s">
        <v>1961</v>
      </c>
      <c r="BF4" s="6233"/>
    </row>
    <row r="5" spans="1:63" ht="16.2" thickBot="1" x14ac:dyDescent="0.35">
      <c r="A5" s="137"/>
      <c r="B5" s="137"/>
      <c r="C5" s="6389"/>
      <c r="D5" s="6390"/>
      <c r="E5" s="1051" t="s">
        <v>172</v>
      </c>
      <c r="F5" s="1052" t="s">
        <v>173</v>
      </c>
      <c r="G5" s="1051" t="s">
        <v>172</v>
      </c>
      <c r="H5" s="1052" t="s">
        <v>173</v>
      </c>
      <c r="I5" s="1370" t="s">
        <v>172</v>
      </c>
      <c r="J5" s="1048" t="s">
        <v>173</v>
      </c>
      <c r="K5" s="1051" t="s">
        <v>172</v>
      </c>
      <c r="L5" s="1052" t="s">
        <v>173</v>
      </c>
      <c r="M5" s="2465" t="s">
        <v>172</v>
      </c>
      <c r="N5" s="2466" t="s">
        <v>173</v>
      </c>
      <c r="O5" s="1051" t="s">
        <v>172</v>
      </c>
      <c r="P5" s="1052" t="s">
        <v>173</v>
      </c>
      <c r="Q5" s="2472" t="s">
        <v>172</v>
      </c>
      <c r="R5" s="2478" t="s">
        <v>173</v>
      </c>
      <c r="S5" s="1051" t="s">
        <v>172</v>
      </c>
      <c r="T5" s="1052" t="s">
        <v>173</v>
      </c>
      <c r="U5" s="2472" t="s">
        <v>172</v>
      </c>
      <c r="V5" s="2478" t="s">
        <v>173</v>
      </c>
      <c r="W5" s="1051" t="s">
        <v>172</v>
      </c>
      <c r="X5" s="1052" t="s">
        <v>173</v>
      </c>
      <c r="Y5" s="2465" t="s">
        <v>172</v>
      </c>
      <c r="Z5" s="2466" t="s">
        <v>173</v>
      </c>
      <c r="AA5" s="2458" t="s">
        <v>172</v>
      </c>
      <c r="AB5" s="2459" t="s">
        <v>173</v>
      </c>
      <c r="AC5" s="1051" t="s">
        <v>172</v>
      </c>
      <c r="AD5" s="1052" t="s">
        <v>173</v>
      </c>
      <c r="AE5" s="2472" t="s">
        <v>172</v>
      </c>
      <c r="AF5" s="1048" t="s">
        <v>173</v>
      </c>
      <c r="AG5" s="1051" t="s">
        <v>172</v>
      </c>
      <c r="AH5" s="1052" t="s">
        <v>173</v>
      </c>
      <c r="AI5" s="2472" t="s">
        <v>172</v>
      </c>
      <c r="AJ5" s="1048" t="s">
        <v>173</v>
      </c>
      <c r="AK5" s="1051" t="s">
        <v>172</v>
      </c>
      <c r="AL5" s="1052" t="s">
        <v>173</v>
      </c>
      <c r="AM5" s="2465" t="s">
        <v>172</v>
      </c>
      <c r="AN5" s="2466" t="s">
        <v>173</v>
      </c>
      <c r="AO5" s="2472" t="s">
        <v>172</v>
      </c>
      <c r="AP5" s="1048" t="s">
        <v>173</v>
      </c>
      <c r="AQ5" s="1051" t="s">
        <v>172</v>
      </c>
      <c r="AR5" s="1052" t="s">
        <v>173</v>
      </c>
      <c r="AS5" s="2472" t="s">
        <v>172</v>
      </c>
      <c r="AT5" s="1048" t="s">
        <v>173</v>
      </c>
      <c r="AU5" s="1051" t="s">
        <v>172</v>
      </c>
      <c r="AV5" s="1052" t="s">
        <v>173</v>
      </c>
      <c r="AW5" s="2472" t="s">
        <v>172</v>
      </c>
      <c r="AX5" s="1048" t="s">
        <v>173</v>
      </c>
      <c r="AY5" s="1051" t="s">
        <v>172</v>
      </c>
      <c r="AZ5" s="1052" t="s">
        <v>173</v>
      </c>
      <c r="BA5" s="2465" t="s">
        <v>172</v>
      </c>
      <c r="BB5" s="2466" t="s">
        <v>173</v>
      </c>
      <c r="BC5" s="2458" t="s">
        <v>172</v>
      </c>
      <c r="BD5" s="2459" t="s">
        <v>173</v>
      </c>
      <c r="BE5" s="2472" t="s">
        <v>172</v>
      </c>
      <c r="BF5" s="1048" t="s">
        <v>173</v>
      </c>
    </row>
    <row r="6" spans="1:63" ht="15.6" x14ac:dyDescent="0.3">
      <c r="A6" s="137"/>
      <c r="B6" s="137"/>
      <c r="C6" s="2844" t="s">
        <v>493</v>
      </c>
      <c r="D6" s="2845"/>
      <c r="E6" s="2846"/>
      <c r="F6" s="2845"/>
      <c r="G6" s="2846"/>
      <c r="H6" s="2845"/>
      <c r="I6" s="2847"/>
      <c r="J6" s="2848"/>
      <c r="K6" s="1060"/>
      <c r="L6" s="1061"/>
      <c r="M6" s="2467"/>
      <c r="N6" s="2468"/>
      <c r="O6" s="1060"/>
      <c r="P6" s="1061"/>
      <c r="Q6" s="2473"/>
      <c r="R6" s="2479"/>
      <c r="S6" s="1060"/>
      <c r="T6" s="1061"/>
      <c r="U6" s="2473"/>
      <c r="V6" s="2479"/>
      <c r="W6" s="1060"/>
      <c r="X6" s="1061"/>
      <c r="Y6" s="2467"/>
      <c r="Z6" s="2468"/>
      <c r="AA6" s="2460"/>
      <c r="AB6" s="2461"/>
      <c r="AC6" s="1060"/>
      <c r="AD6" s="1061"/>
      <c r="AE6" s="2473"/>
      <c r="AF6" s="2474"/>
      <c r="AG6" s="1060"/>
      <c r="AH6" s="1061"/>
      <c r="AI6" s="2473"/>
      <c r="AJ6" s="2474"/>
      <c r="AK6" s="1060"/>
      <c r="AL6" s="1061"/>
      <c r="AM6" s="2467"/>
      <c r="AN6" s="2468"/>
      <c r="AO6" s="2473"/>
      <c r="AP6" s="2474"/>
      <c r="AQ6" s="1060"/>
      <c r="AR6" s="1061"/>
      <c r="AS6" s="2473"/>
      <c r="AT6" s="2474"/>
      <c r="AU6" s="1060"/>
      <c r="AV6" s="1061"/>
      <c r="AW6" s="2473"/>
      <c r="AX6" s="2474"/>
      <c r="AY6" s="1060"/>
      <c r="AZ6" s="1061"/>
      <c r="BA6" s="2467"/>
      <c r="BB6" s="2468"/>
      <c r="BC6" s="2460"/>
      <c r="BD6" s="2461"/>
      <c r="BE6" s="2473"/>
      <c r="BF6" s="2474"/>
    </row>
    <row r="7" spans="1:63" ht="15.6" x14ac:dyDescent="0.3">
      <c r="C7" s="1873" t="s">
        <v>494</v>
      </c>
      <c r="D7" s="1821" t="s">
        <v>50</v>
      </c>
      <c r="E7" s="1461">
        <f>+E34*$E$36/1000</f>
        <v>46813.560720506975</v>
      </c>
      <c r="F7" s="2555">
        <v>62695</v>
      </c>
      <c r="G7" s="1461">
        <f>+G34*$E$36/1000</f>
        <v>41306.08298868261</v>
      </c>
      <c r="H7" s="2555">
        <v>24846</v>
      </c>
      <c r="I7" s="2437">
        <f>+E7+G7</f>
        <v>88119.643709189579</v>
      </c>
      <c r="J7" s="1073">
        <f>+F7+H7</f>
        <v>87541</v>
      </c>
      <c r="K7" s="1461">
        <f>+K34*$E$36/1000</f>
        <v>57307.65704764671</v>
      </c>
      <c r="L7" s="2555">
        <v>59622</v>
      </c>
      <c r="M7" s="1054">
        <f>E7+G7+K7</f>
        <v>145427.30075683628</v>
      </c>
      <c r="N7" s="1055">
        <f>F7+H7+L7</f>
        <v>147163</v>
      </c>
      <c r="O7" s="1461">
        <f>+O34*$E$36/1000</f>
        <v>57992.336343317591</v>
      </c>
      <c r="P7" s="2555">
        <v>66125</v>
      </c>
      <c r="Q7" s="2437">
        <f>+M7+O7</f>
        <v>203419.63710015386</v>
      </c>
      <c r="R7" s="1073">
        <f>+N7+P7</f>
        <v>213288</v>
      </c>
      <c r="S7" s="1461">
        <f>+S34*$E$36/1000</f>
        <v>57992.336343317591</v>
      </c>
      <c r="T7" s="2555">
        <v>59020</v>
      </c>
      <c r="U7" s="2437">
        <f>+Q7+S7</f>
        <v>261411.97344347145</v>
      </c>
      <c r="V7" s="1073">
        <f>+R7+T7</f>
        <v>272308</v>
      </c>
      <c r="W7" s="1461">
        <f>+W34*$E$36/1000</f>
        <v>30433.994692567601</v>
      </c>
      <c r="X7" s="2555">
        <v>57997</v>
      </c>
      <c r="Y7" s="1054">
        <f>O7+S7+W7</f>
        <v>146418.66737920279</v>
      </c>
      <c r="Z7" s="1055">
        <f>P7+T7+X7</f>
        <v>183142</v>
      </c>
      <c r="AA7" s="1057">
        <f>+U7+W7</f>
        <v>291845.96813603904</v>
      </c>
      <c r="AB7" s="1058">
        <f>+V7+X7</f>
        <v>330305</v>
      </c>
      <c r="AC7" s="1461">
        <f>+AC34*$E$36/1000</f>
        <v>59133.468502768897</v>
      </c>
      <c r="AD7" s="2555">
        <v>47901</v>
      </c>
      <c r="AE7" s="2437">
        <f>+AA7+AC7</f>
        <v>350979.43663880794</v>
      </c>
      <c r="AF7" s="1073">
        <f>+AB7+AD7</f>
        <v>378206</v>
      </c>
      <c r="AG7" s="1461">
        <f>+AG34*$E$36/1000</f>
        <v>57307.65704764671</v>
      </c>
      <c r="AH7" s="2555">
        <v>54250</v>
      </c>
      <c r="AI7" s="2437">
        <f>+AE7+AG7</f>
        <v>408287.09368645464</v>
      </c>
      <c r="AJ7" s="1073">
        <f>+AF7+AH7</f>
        <v>432456</v>
      </c>
      <c r="AK7" s="1461">
        <f>+AK34*$E$36/1000</f>
        <v>59133.468502768897</v>
      </c>
      <c r="AL7" s="2555">
        <v>55839</v>
      </c>
      <c r="AM7" s="1054">
        <f>AC7+AG7+AK7</f>
        <v>175574.5940531845</v>
      </c>
      <c r="AN7" s="1055">
        <f>AD7+AH7+AL7</f>
        <v>157990</v>
      </c>
      <c r="AO7" s="2437">
        <f>+AI7+AK7</f>
        <v>467420.56218922354</v>
      </c>
      <c r="AP7" s="1073">
        <f>+AJ7+AL7</f>
        <v>488295</v>
      </c>
      <c r="AQ7" s="1461">
        <f>+AQ34*$E$36/1000</f>
        <v>60046.37423033001</v>
      </c>
      <c r="AR7" s="2555">
        <v>62540</v>
      </c>
      <c r="AS7" s="2437">
        <f>+AO7+AQ7</f>
        <v>527466.93641955359</v>
      </c>
      <c r="AT7" s="1073">
        <f>+AP7+AR7</f>
        <v>550835</v>
      </c>
      <c r="AU7" s="1461">
        <f>+AU34*$E$36/1000</f>
        <v>53656.03413740245</v>
      </c>
      <c r="AV7" s="2555">
        <v>51931</v>
      </c>
      <c r="AW7" s="2437">
        <f>+AS7+AU7</f>
        <v>581122.97055695602</v>
      </c>
      <c r="AX7" s="1073">
        <f>+AT7+AV7</f>
        <v>602766</v>
      </c>
      <c r="AY7" s="1461">
        <f>+AY34*$E$36/1000</f>
        <v>60046.37423033001</v>
      </c>
      <c r="AZ7" s="2555">
        <v>56061</v>
      </c>
      <c r="BA7" s="1054">
        <f>AQ7+AU7+AY7</f>
        <v>173748.78259806248</v>
      </c>
      <c r="BB7" s="1055">
        <f>AR7+AV7+AZ7</f>
        <v>170532</v>
      </c>
      <c r="BC7" s="1057">
        <f>AM7+BA7</f>
        <v>349323.37665124697</v>
      </c>
      <c r="BD7" s="1057">
        <f>AN7+BB7</f>
        <v>328522</v>
      </c>
      <c r="BE7" s="2437">
        <f>+AW7+AY7</f>
        <v>641169.34478728601</v>
      </c>
      <c r="BF7" s="1073">
        <f>+AX7+AZ7</f>
        <v>658827</v>
      </c>
      <c r="BG7" s="1111"/>
      <c r="BH7" s="1111"/>
      <c r="BI7" s="23"/>
      <c r="BJ7" s="23"/>
      <c r="BK7" s="3464"/>
    </row>
    <row r="8" spans="1:63" ht="15.6" x14ac:dyDescent="0.3">
      <c r="A8" s="137"/>
      <c r="B8" s="137"/>
      <c r="C8" s="6385" t="s">
        <v>495</v>
      </c>
      <c r="D8" s="2555" t="s">
        <v>50</v>
      </c>
      <c r="E8" s="1461">
        <f>+E7*E9/100</f>
        <v>11703.390180126742</v>
      </c>
      <c r="F8" s="2555">
        <v>21630</v>
      </c>
      <c r="G8" s="1461">
        <f>+G7*G9/100</f>
        <v>10326.520747170653</v>
      </c>
      <c r="H8" s="2555">
        <v>6211</v>
      </c>
      <c r="I8" s="2437">
        <f>+E8+G8</f>
        <v>22029.910927297395</v>
      </c>
      <c r="J8" s="1073">
        <f>+F8+H8</f>
        <v>27841</v>
      </c>
      <c r="K8" s="1461">
        <f>+K7*K9/100</f>
        <v>11461.531409529343</v>
      </c>
      <c r="L8" s="2555">
        <v>14309</v>
      </c>
      <c r="M8" s="1054">
        <f>E8+G8+K8</f>
        <v>33491.442336826738</v>
      </c>
      <c r="N8" s="1055">
        <f>F8+H8+L8</f>
        <v>42150</v>
      </c>
      <c r="O8" s="1461">
        <f>+O7*O9/100</f>
        <v>11598.467268663519</v>
      </c>
      <c r="P8" s="2555">
        <v>18251</v>
      </c>
      <c r="Q8" s="2437">
        <f>+M8+O8</f>
        <v>45089.909605490255</v>
      </c>
      <c r="R8" s="1073">
        <f>+N8+P8</f>
        <v>60401</v>
      </c>
      <c r="S8" s="1461">
        <f>+S7*S9/100</f>
        <v>11598.467268663519</v>
      </c>
      <c r="T8" s="2555">
        <v>15345</v>
      </c>
      <c r="U8" s="2437">
        <f>+Q8+S8</f>
        <v>56688.376874153771</v>
      </c>
      <c r="V8" s="1073">
        <f>+R8+T8</f>
        <v>75746</v>
      </c>
      <c r="W8" s="1461">
        <f>+W7*W9/100</f>
        <v>6086.7989385135206</v>
      </c>
      <c r="X8" s="2555">
        <v>15590</v>
      </c>
      <c r="Y8" s="1054">
        <f>O8+S8+W8</f>
        <v>29283.733475840556</v>
      </c>
      <c r="Z8" s="1055">
        <f>P8+T8+X8</f>
        <v>49186</v>
      </c>
      <c r="AA8" s="1057">
        <f>+U8+W8</f>
        <v>62775.175812667294</v>
      </c>
      <c r="AB8" s="1058">
        <f>+V8+X8</f>
        <v>91336</v>
      </c>
      <c r="AC8" s="1461">
        <f>+AC7*AC9/100</f>
        <v>11826.69370055378</v>
      </c>
      <c r="AD8" s="2555">
        <v>14399</v>
      </c>
      <c r="AE8" s="2437">
        <f>+AA8+AC8</f>
        <v>74601.869513221071</v>
      </c>
      <c r="AF8" s="1073">
        <f>+AB8+AD8</f>
        <v>105735</v>
      </c>
      <c r="AG8" s="1461">
        <f>+AG7*AG9/100</f>
        <v>11461.531409529343</v>
      </c>
      <c r="AH8" s="2555">
        <v>13904</v>
      </c>
      <c r="AI8" s="2437">
        <f>+AE8+AG8</f>
        <v>86063.400922750414</v>
      </c>
      <c r="AJ8" s="1073">
        <f>+AF8+AH8</f>
        <v>119639</v>
      </c>
      <c r="AK8" s="1461">
        <f>+AK7*AK9/100</f>
        <v>11826.69370055378</v>
      </c>
      <c r="AL8" s="2555">
        <v>13680</v>
      </c>
      <c r="AM8" s="1054">
        <f>AC8+AG8+AK8</f>
        <v>35114.918810636904</v>
      </c>
      <c r="AN8" s="1055">
        <f>AD8+AH8+AL8</f>
        <v>41983</v>
      </c>
      <c r="AO8" s="2437">
        <f>+AI8+AK8</f>
        <v>97890.09462330419</v>
      </c>
      <c r="AP8" s="1073">
        <f>+AJ8+AL8</f>
        <v>133319</v>
      </c>
      <c r="AQ8" s="1461">
        <f>+AQ7*AQ9/100</f>
        <v>12009.274846066</v>
      </c>
      <c r="AR8" s="2555">
        <v>16886</v>
      </c>
      <c r="AS8" s="2437">
        <f>+AO8+AQ8</f>
        <v>109899.3694693702</v>
      </c>
      <c r="AT8" s="1073">
        <f>+AP8+AR8</f>
        <v>150205</v>
      </c>
      <c r="AU8" s="1461">
        <f>+AU7*AU9/100</f>
        <v>10731.20682748049</v>
      </c>
      <c r="AV8" s="2555">
        <v>13762</v>
      </c>
      <c r="AW8" s="2437">
        <f>+AS8+AU8</f>
        <v>120630.57629685069</v>
      </c>
      <c r="AX8" s="1073">
        <f>+AT8+AV8</f>
        <v>163967</v>
      </c>
      <c r="AY8" s="1461">
        <f>+AY7*AY9/100</f>
        <v>12009.274846066</v>
      </c>
      <c r="AZ8" s="2555">
        <v>15445</v>
      </c>
      <c r="BA8" s="1054">
        <f>AQ8+AU8+AY8</f>
        <v>34749.756519612492</v>
      </c>
      <c r="BB8" s="1055">
        <f>AR8+AV8+AZ8</f>
        <v>46093</v>
      </c>
      <c r="BC8" s="1057">
        <f>AM8+BA8</f>
        <v>69864.675330249389</v>
      </c>
      <c r="BD8" s="1057">
        <f>AN8+BB8</f>
        <v>88076</v>
      </c>
      <c r="BE8" s="2437">
        <f>+AW8+AY8</f>
        <v>132639.85114291668</v>
      </c>
      <c r="BF8" s="1073">
        <f>+AX8+AZ8</f>
        <v>179412</v>
      </c>
      <c r="BG8" s="1111"/>
      <c r="BH8" s="1111"/>
      <c r="BI8" s="23"/>
      <c r="BJ8" s="23"/>
      <c r="BK8" s="3464"/>
    </row>
    <row r="9" spans="1:63" ht="15.6" x14ac:dyDescent="0.3">
      <c r="A9" s="137"/>
      <c r="B9" s="137"/>
      <c r="C9" s="6385"/>
      <c r="D9" s="2555" t="s">
        <v>49</v>
      </c>
      <c r="E9" s="4029">
        <v>25</v>
      </c>
      <c r="F9" s="1053">
        <f>+F8/F7*100</f>
        <v>34.500358880293483</v>
      </c>
      <c r="G9" s="4029">
        <v>25</v>
      </c>
      <c r="H9" s="1053">
        <f>+H8/H7*100</f>
        <v>24.997987603638414</v>
      </c>
      <c r="I9" s="2440">
        <f>+I8/I7*100</f>
        <v>25</v>
      </c>
      <c r="J9" s="2475">
        <f>+J8/J7*100</f>
        <v>31.803383557418808</v>
      </c>
      <c r="K9" s="4029">
        <v>20</v>
      </c>
      <c r="L9" s="1053">
        <f>+L8/L7*100</f>
        <v>23.999530374693904</v>
      </c>
      <c r="M9" s="2438">
        <f>+M8/M7*100</f>
        <v>23.02968023371799</v>
      </c>
      <c r="N9" s="2469">
        <f>+N8/N7*100</f>
        <v>28.641710212485478</v>
      </c>
      <c r="O9" s="4029">
        <v>20</v>
      </c>
      <c r="P9" s="1053">
        <f>+P8/P7*100</f>
        <v>27.600756143667297</v>
      </c>
      <c r="Q9" s="2440">
        <f>+Q8/Q7*100</f>
        <v>22.165957155498312</v>
      </c>
      <c r="R9" s="2475">
        <f>+R8/R7*100</f>
        <v>28.318986534638611</v>
      </c>
      <c r="S9" s="4029">
        <v>20</v>
      </c>
      <c r="T9" s="1053">
        <f>+T8/T7*100</f>
        <v>25.999661131819725</v>
      </c>
      <c r="U9" s="2440">
        <f>+U8/U7*100</f>
        <v>21.685455385773388</v>
      </c>
      <c r="V9" s="2475">
        <f>+V8/V7*100</f>
        <v>27.816296252772592</v>
      </c>
      <c r="W9" s="4029">
        <v>20</v>
      </c>
      <c r="X9" s="1053">
        <f>+X8/X7*100</f>
        <v>26.880700725899615</v>
      </c>
      <c r="Y9" s="2438">
        <f>+Y8/Y7*100</f>
        <v>20</v>
      </c>
      <c r="Z9" s="2469">
        <f>+Z8/Z7*100</f>
        <v>26.856755959856287</v>
      </c>
      <c r="AA9" s="2439">
        <f>+AA8/AA7*100</f>
        <v>21.509694382142609</v>
      </c>
      <c r="AB9" s="2462">
        <f>+AB8/AB7*100</f>
        <v>27.652018588879972</v>
      </c>
      <c r="AC9" s="4029">
        <v>20</v>
      </c>
      <c r="AD9" s="1053">
        <f>+AD8/AD7*100</f>
        <v>30.059915241852984</v>
      </c>
      <c r="AE9" s="2440">
        <f>+AE8/AE7*100</f>
        <v>21.255339124039242</v>
      </c>
      <c r="AF9" s="2475">
        <f>+AF8/AF7*100</f>
        <v>27.95698640423473</v>
      </c>
      <c r="AG9" s="4029">
        <v>20</v>
      </c>
      <c r="AH9" s="1053">
        <f>+AH8/AH7*100</f>
        <v>25.629493087557602</v>
      </c>
      <c r="AI9" s="2440">
        <f>+AI8/AI7*100</f>
        <v>21.079138246981444</v>
      </c>
      <c r="AJ9" s="2475">
        <f>+AJ8/AJ7*100</f>
        <v>27.665011006900126</v>
      </c>
      <c r="AK9" s="4029">
        <v>20</v>
      </c>
      <c r="AL9" s="1053">
        <f>+AL8/AL7*100</f>
        <v>24.499006071025629</v>
      </c>
      <c r="AM9" s="2438">
        <f>+AM8/AM7*100</f>
        <v>20</v>
      </c>
      <c r="AN9" s="2469">
        <f>+AN8/AN7*100</f>
        <v>26.573200835495918</v>
      </c>
      <c r="AO9" s="2440">
        <f>+AO8/AO7*100</f>
        <v>20.942616252229794</v>
      </c>
      <c r="AP9" s="2475">
        <f>+AP8/AP7*100</f>
        <v>27.302962348580262</v>
      </c>
      <c r="AQ9" s="4029">
        <v>20</v>
      </c>
      <c r="AR9" s="1053">
        <f>+AR8/AR7*100</f>
        <v>27.000319795330991</v>
      </c>
      <c r="AS9" s="2440">
        <f>+AS8/AS7*100</f>
        <v>20.835309643362159</v>
      </c>
      <c r="AT9" s="2475">
        <f>+AT8/AT7*100</f>
        <v>27.268601305291057</v>
      </c>
      <c r="AU9" s="4029">
        <v>20</v>
      </c>
      <c r="AV9" s="1053">
        <f>+AV8/AV7*100</f>
        <v>26.500548805145289</v>
      </c>
      <c r="AW9" s="2440">
        <f>+AW8/AW7*100</f>
        <v>20.758184138072657</v>
      </c>
      <c r="AX9" s="2475">
        <f>+AX8/AX7*100</f>
        <v>27.202430130432042</v>
      </c>
      <c r="AY9" s="4029">
        <v>20</v>
      </c>
      <c r="AZ9" s="1053">
        <f>+AZ8/AZ7*100</f>
        <v>27.550346943507964</v>
      </c>
      <c r="BA9" s="2438">
        <f t="shared" ref="BA9:BF9" si="0">+BA8/BA7*100</f>
        <v>20</v>
      </c>
      <c r="BB9" s="2469">
        <f t="shared" si="0"/>
        <v>27.02894471418854</v>
      </c>
      <c r="BC9" s="2439">
        <f t="shared" si="0"/>
        <v>20</v>
      </c>
      <c r="BD9" s="2462">
        <f t="shared" si="0"/>
        <v>26.809772252695407</v>
      </c>
      <c r="BE9" s="2440">
        <f t="shared" si="0"/>
        <v>20.687179170570172</v>
      </c>
      <c r="BF9" s="2475">
        <f t="shared" si="0"/>
        <v>27.232035116957864</v>
      </c>
      <c r="BG9" s="1111"/>
      <c r="BH9" s="1111"/>
      <c r="BI9" s="23"/>
      <c r="BJ9" s="23"/>
      <c r="BK9" s="3464"/>
    </row>
    <row r="10" spans="1:63" ht="15.6" x14ac:dyDescent="0.3">
      <c r="A10" s="137"/>
      <c r="B10" s="137"/>
      <c r="C10" s="2556" t="s">
        <v>496</v>
      </c>
      <c r="D10" s="2555" t="s">
        <v>50</v>
      </c>
      <c r="E10" s="1461">
        <f>+E7-E8</f>
        <v>35110.170540380233</v>
      </c>
      <c r="F10" s="2555">
        <f>+F7-F8</f>
        <v>41065</v>
      </c>
      <c r="G10" s="1461">
        <f>+G7-G8</f>
        <v>30979.562241511958</v>
      </c>
      <c r="H10" s="2555">
        <f>+H7-H8</f>
        <v>18635</v>
      </c>
      <c r="I10" s="2437">
        <f>+E10+G10</f>
        <v>66089.732781892191</v>
      </c>
      <c r="J10" s="1073">
        <f>+F10+H10</f>
        <v>59700</v>
      </c>
      <c r="K10" s="1461">
        <f>+K7-K8</f>
        <v>45846.125638117366</v>
      </c>
      <c r="L10" s="2555">
        <f>+L7-L8</f>
        <v>45313</v>
      </c>
      <c r="M10" s="1054">
        <f>E10+G10+K10</f>
        <v>111935.85842000955</v>
      </c>
      <c r="N10" s="1055">
        <f>F10+H10+L10</f>
        <v>105013</v>
      </c>
      <c r="O10" s="1461">
        <f>+O7-O8</f>
        <v>46393.869074654074</v>
      </c>
      <c r="P10" s="2555">
        <f>+P7-P8</f>
        <v>47874</v>
      </c>
      <c r="Q10" s="2437">
        <f>+M10+O10</f>
        <v>158329.72749466362</v>
      </c>
      <c r="R10" s="1073">
        <f>+N10+P10</f>
        <v>152887</v>
      </c>
      <c r="S10" s="1461">
        <f>+S7-S8</f>
        <v>46393.869074654074</v>
      </c>
      <c r="T10" s="2555">
        <f>+T7-T8</f>
        <v>43675</v>
      </c>
      <c r="U10" s="2437">
        <f>+Q10+S10</f>
        <v>204723.59656931768</v>
      </c>
      <c r="V10" s="1073">
        <f>+R10+T10</f>
        <v>196562</v>
      </c>
      <c r="W10" s="1461">
        <f>+W7-W8</f>
        <v>24347.195754054082</v>
      </c>
      <c r="X10" s="2555">
        <f>+X7-X8</f>
        <v>42407</v>
      </c>
      <c r="Y10" s="1054">
        <f>O10+S10+W10</f>
        <v>117134.93390336222</v>
      </c>
      <c r="Z10" s="1055">
        <f>P10+T10+X10</f>
        <v>133956</v>
      </c>
      <c r="AA10" s="1057">
        <f>+U10+W10</f>
        <v>229070.79232337177</v>
      </c>
      <c r="AB10" s="1058">
        <f>+V10+X10</f>
        <v>238969</v>
      </c>
      <c r="AC10" s="1461">
        <f>+AC7-AC8</f>
        <v>47306.774802215121</v>
      </c>
      <c r="AD10" s="2555">
        <f>+AD7-AD8</f>
        <v>33502</v>
      </c>
      <c r="AE10" s="2437">
        <f>+AA10+AC10</f>
        <v>276377.56712558691</v>
      </c>
      <c r="AF10" s="1073">
        <f>+AB10+AD10</f>
        <v>272471</v>
      </c>
      <c r="AG10" s="1461">
        <f>+AG7-AG8</f>
        <v>45846.125638117366</v>
      </c>
      <c r="AH10" s="2555">
        <f>+AH7-AH8</f>
        <v>40346</v>
      </c>
      <c r="AI10" s="2437">
        <f>+AE10+AG10</f>
        <v>322223.69276370428</v>
      </c>
      <c r="AJ10" s="1073">
        <f>+AF10+AH10</f>
        <v>312817</v>
      </c>
      <c r="AK10" s="1461">
        <f>+AK7-AK8</f>
        <v>47306.774802215121</v>
      </c>
      <c r="AL10" s="2555">
        <f>+AL7-AL8</f>
        <v>42159</v>
      </c>
      <c r="AM10" s="1054">
        <f>AC10+AG10+AK10</f>
        <v>140459.67524254759</v>
      </c>
      <c r="AN10" s="1055">
        <f>AD10+AH10+AL10</f>
        <v>116007</v>
      </c>
      <c r="AO10" s="2437">
        <f>+AI10+AK10</f>
        <v>369530.46756591939</v>
      </c>
      <c r="AP10" s="1073">
        <f>+AJ10+AL10</f>
        <v>354976</v>
      </c>
      <c r="AQ10" s="1461">
        <f>+AQ7-AQ8</f>
        <v>48037.099384264009</v>
      </c>
      <c r="AR10" s="2555">
        <f>+AR7-AR8</f>
        <v>45654</v>
      </c>
      <c r="AS10" s="2437">
        <f>+AO10+AQ10</f>
        <v>417567.56695018342</v>
      </c>
      <c r="AT10" s="1073">
        <f>+AP10+AR10</f>
        <v>400630</v>
      </c>
      <c r="AU10" s="1461">
        <f>+AU7-AU8</f>
        <v>42924.827309921959</v>
      </c>
      <c r="AV10" s="2555">
        <f>+AV7-AV8</f>
        <v>38169</v>
      </c>
      <c r="AW10" s="2437">
        <f>+AS10+AU10</f>
        <v>460492.39426010539</v>
      </c>
      <c r="AX10" s="1073">
        <f>+AT10+AV10</f>
        <v>438799</v>
      </c>
      <c r="AY10" s="1461">
        <f>+AY7-AY8</f>
        <v>48037.099384264009</v>
      </c>
      <c r="AZ10" s="2555">
        <f>+AZ7-AZ8</f>
        <v>40616</v>
      </c>
      <c r="BA10" s="1054">
        <f>AQ10+AU10+AY10</f>
        <v>138999.02607844997</v>
      </c>
      <c r="BB10" s="1055">
        <f>AR10+AV10+AZ10</f>
        <v>124439</v>
      </c>
      <c r="BC10" s="1057">
        <f t="shared" ref="BC10:BC11" si="1">AM10+BA10</f>
        <v>279458.70132099756</v>
      </c>
      <c r="BD10" s="1057">
        <f t="shared" ref="BD10:BD11" si="2">AN10+BB10</f>
        <v>240446</v>
      </c>
      <c r="BE10" s="2437">
        <f>+AW10+AY10</f>
        <v>508529.49364436942</v>
      </c>
      <c r="BF10" s="1073">
        <f>+AX10+AZ10</f>
        <v>479415</v>
      </c>
      <c r="BG10" s="1111"/>
      <c r="BH10" s="1111"/>
      <c r="BI10" s="23"/>
      <c r="BJ10" s="23"/>
      <c r="BK10" s="3464"/>
    </row>
    <row r="11" spans="1:63" ht="15.6" x14ac:dyDescent="0.3">
      <c r="A11" s="137"/>
      <c r="B11" s="137"/>
      <c r="C11" s="2556" t="s">
        <v>497</v>
      </c>
      <c r="D11" s="2555" t="s">
        <v>50</v>
      </c>
      <c r="E11" s="1461">
        <f>+E10*E12/100</f>
        <v>19661.695502612929</v>
      </c>
      <c r="F11" s="2555">
        <v>22586</v>
      </c>
      <c r="G11" s="1461">
        <f>+G10*G12/100</f>
        <v>17348.554855246697</v>
      </c>
      <c r="H11" s="2555">
        <v>10249</v>
      </c>
      <c r="I11" s="2437">
        <f>+E11+G11</f>
        <v>37010.250357859622</v>
      </c>
      <c r="J11" s="1073">
        <f>+F11+H11</f>
        <v>32835</v>
      </c>
      <c r="K11" s="1461">
        <f>+K10*K12/100</f>
        <v>25673.830357345723</v>
      </c>
      <c r="L11" s="2555">
        <v>24922</v>
      </c>
      <c r="M11" s="1054">
        <f>E11+G11+K11</f>
        <v>62684.080715205346</v>
      </c>
      <c r="N11" s="1055">
        <f>F11+H11+L11</f>
        <v>57757</v>
      </c>
      <c r="O11" s="1461">
        <f>+O10*O12/100</f>
        <v>25980.566681806282</v>
      </c>
      <c r="P11" s="2555">
        <v>26331</v>
      </c>
      <c r="Q11" s="2437">
        <f>+M11+O11</f>
        <v>88664.647397011635</v>
      </c>
      <c r="R11" s="1073">
        <f>+N11+P11</f>
        <v>84088</v>
      </c>
      <c r="S11" s="1461">
        <f>+S10*S12/100</f>
        <v>25980.566681806282</v>
      </c>
      <c r="T11" s="2555">
        <v>24021</v>
      </c>
      <c r="U11" s="2437">
        <f>+Q11+S11</f>
        <v>114645.21407881792</v>
      </c>
      <c r="V11" s="1073">
        <f>+R11+T11</f>
        <v>108109</v>
      </c>
      <c r="W11" s="1461">
        <f>+W10*W12/100</f>
        <v>13634.429622270285</v>
      </c>
      <c r="X11" s="2555">
        <v>23324</v>
      </c>
      <c r="Y11" s="1054">
        <f>O11+S11+W11</f>
        <v>65595.562985882847</v>
      </c>
      <c r="Z11" s="1055">
        <f>P11+T11+X11</f>
        <v>73676</v>
      </c>
      <c r="AA11" s="1057">
        <f>+U11+W11</f>
        <v>128279.64370108821</v>
      </c>
      <c r="AB11" s="1058">
        <f>+V11+X11</f>
        <v>131433</v>
      </c>
      <c r="AC11" s="1461">
        <f>+AC10*AC12/100</f>
        <v>26491.793889240467</v>
      </c>
      <c r="AD11" s="2555">
        <v>18426</v>
      </c>
      <c r="AE11" s="2437">
        <f>+AA11+AC11</f>
        <v>154771.43759032869</v>
      </c>
      <c r="AF11" s="1073">
        <f>+AB11+AD11</f>
        <v>149859</v>
      </c>
      <c r="AG11" s="1461">
        <f>+AG10*AG12/100</f>
        <v>25673.830357345723</v>
      </c>
      <c r="AH11" s="2555">
        <v>22190</v>
      </c>
      <c r="AI11" s="2437">
        <f>+AE11+AG11</f>
        <v>180445.26794767441</v>
      </c>
      <c r="AJ11" s="1073">
        <f>+AF11+AH11</f>
        <v>172049</v>
      </c>
      <c r="AK11" s="1461">
        <f>+AK10*AK12/100</f>
        <v>26491.793889240467</v>
      </c>
      <c r="AL11" s="2555">
        <v>23187</v>
      </c>
      <c r="AM11" s="1054">
        <f>AC11+AG11+AK11</f>
        <v>78657.418135826651</v>
      </c>
      <c r="AN11" s="1055">
        <f>AD11+AH11+AL11</f>
        <v>63803</v>
      </c>
      <c r="AO11" s="2437">
        <f>+AI11+AK11</f>
        <v>206937.06183691489</v>
      </c>
      <c r="AP11" s="1073">
        <f>+AJ11+AL11</f>
        <v>195236</v>
      </c>
      <c r="AQ11" s="1461">
        <f>+AQ10*AQ12/100</f>
        <v>26900.775655187845</v>
      </c>
      <c r="AR11" s="2555">
        <v>25110</v>
      </c>
      <c r="AS11" s="2437">
        <f>+AO11+AQ11</f>
        <v>233837.83749210273</v>
      </c>
      <c r="AT11" s="1073">
        <f>+AP11+AR11</f>
        <v>220346</v>
      </c>
      <c r="AU11" s="1461">
        <f>+AU10*AU12/100</f>
        <v>24037.903293556297</v>
      </c>
      <c r="AV11" s="2555">
        <v>20993</v>
      </c>
      <c r="AW11" s="2437">
        <f>+AS11+AU11</f>
        <v>257875.74078565903</v>
      </c>
      <c r="AX11" s="1073">
        <f>+AT11+AV11</f>
        <v>241339</v>
      </c>
      <c r="AY11" s="1461">
        <f>+AY10*AY12/100</f>
        <v>26900.775655187845</v>
      </c>
      <c r="AZ11" s="2555">
        <v>22745</v>
      </c>
      <c r="BA11" s="1054">
        <f>AQ11+AU11+AY11</f>
        <v>77839.454603931983</v>
      </c>
      <c r="BB11" s="1055">
        <f>AR11+AV11+AZ11</f>
        <v>68848</v>
      </c>
      <c r="BC11" s="1057">
        <f t="shared" si="1"/>
        <v>156496.87273975863</v>
      </c>
      <c r="BD11" s="1057">
        <f t="shared" si="2"/>
        <v>132651</v>
      </c>
      <c r="BE11" s="2437">
        <f>+AW11+AY11</f>
        <v>284776.5164408469</v>
      </c>
      <c r="BF11" s="1073">
        <f>+AX11+AZ11</f>
        <v>264084</v>
      </c>
      <c r="BG11" s="1111"/>
      <c r="BH11" s="1111"/>
      <c r="BI11" s="23"/>
      <c r="BJ11" s="23"/>
      <c r="BK11" s="3464"/>
    </row>
    <row r="12" spans="1:63" ht="15.6" x14ac:dyDescent="0.3">
      <c r="A12" s="137"/>
      <c r="B12" s="137"/>
      <c r="C12" s="2556" t="s">
        <v>498</v>
      </c>
      <c r="D12" s="2555" t="s">
        <v>49</v>
      </c>
      <c r="E12" s="4029">
        <v>56</v>
      </c>
      <c r="F12" s="1042">
        <f>+F11/F10*100</f>
        <v>55.000608790941186</v>
      </c>
      <c r="G12" s="4029">
        <v>56</v>
      </c>
      <c r="H12" s="1042">
        <f>+H11/H10*100</f>
        <v>54.998658438422318</v>
      </c>
      <c r="I12" s="2440">
        <f>+I11/I10*100</f>
        <v>55.999999999999993</v>
      </c>
      <c r="J12" s="2475">
        <f>+J11/J10*100</f>
        <v>55.000000000000007</v>
      </c>
      <c r="K12" s="4029">
        <v>56</v>
      </c>
      <c r="L12" s="1042">
        <f>+L11/L10*100</f>
        <v>54.999668969169988</v>
      </c>
      <c r="M12" s="2438">
        <f>+M11/M10*100</f>
        <v>55.999999999999993</v>
      </c>
      <c r="N12" s="1056">
        <f>+N11/N10*100</f>
        <v>54.999857160542035</v>
      </c>
      <c r="O12" s="4029">
        <v>56</v>
      </c>
      <c r="P12" s="1042">
        <f>+P11/P10*100</f>
        <v>55.000626644942976</v>
      </c>
      <c r="Q12" s="2440">
        <f>+Q11/Q10*100</f>
        <v>56.000000000000007</v>
      </c>
      <c r="R12" s="1074">
        <f>+R11/R10*100</f>
        <v>55.000098111677254</v>
      </c>
      <c r="S12" s="4029">
        <v>56</v>
      </c>
      <c r="T12" s="1042">
        <f>+T11/T10*100</f>
        <v>54.999427590154546</v>
      </c>
      <c r="U12" s="2440">
        <f>+U11/U10*100</f>
        <v>56.000000000000007</v>
      </c>
      <c r="V12" s="1074">
        <f>+V11/V10*100</f>
        <v>54.99994912546677</v>
      </c>
      <c r="W12" s="4029">
        <v>56</v>
      </c>
      <c r="X12" s="1042">
        <f>+X11/X10*100</f>
        <v>55.000353715188531</v>
      </c>
      <c r="Y12" s="2438">
        <f>+Y11/Y10*100</f>
        <v>56.000000000000007</v>
      </c>
      <c r="Z12" s="1056">
        <f>+Z11/Z10*100</f>
        <v>55.000149302756128</v>
      </c>
      <c r="AA12" s="2439">
        <f>+AA11/AA10*100</f>
        <v>56.000000000000007</v>
      </c>
      <c r="AB12" s="2462">
        <f>+AB11/AB10*100</f>
        <v>55.000020923215985</v>
      </c>
      <c r="AC12" s="4029">
        <v>56</v>
      </c>
      <c r="AD12" s="1042">
        <f>+AD11/AD10*100</f>
        <v>54.999701510357589</v>
      </c>
      <c r="AE12" s="2440">
        <f>+AE11/AE10*100</f>
        <v>56.000000000000007</v>
      </c>
      <c r="AF12" s="1074">
        <f>+AF11/AF10*100</f>
        <v>54.999981649423248</v>
      </c>
      <c r="AG12" s="4029">
        <v>56</v>
      </c>
      <c r="AH12" s="1042">
        <f>+AH11/AH10*100</f>
        <v>54.999256431864374</v>
      </c>
      <c r="AI12" s="2440">
        <f>+AI11/AI10*100</f>
        <v>56.000000000000007</v>
      </c>
      <c r="AJ12" s="1074">
        <f>+AJ11/AJ10*100</f>
        <v>54.999888113497661</v>
      </c>
      <c r="AK12" s="4029">
        <v>56</v>
      </c>
      <c r="AL12" s="1042">
        <f>+AL11/AL10*100</f>
        <v>54.998932612253611</v>
      </c>
      <c r="AM12" s="2438">
        <f>+AM11/AM10*100</f>
        <v>56.000000000000007</v>
      </c>
      <c r="AN12" s="1056">
        <f>+AN11/AN10*100</f>
        <v>54.999267285594833</v>
      </c>
      <c r="AO12" s="2440">
        <f>+AO11/AO10*100</f>
        <v>56.000000000000007</v>
      </c>
      <c r="AP12" s="1074">
        <f>+AP11/AP10*100</f>
        <v>54.999774632651224</v>
      </c>
      <c r="AQ12" s="4029">
        <v>56</v>
      </c>
      <c r="AR12" s="1042">
        <f>+AR11/AR10*100</f>
        <v>55.000657116572484</v>
      </c>
      <c r="AS12" s="2440">
        <f>+AS11/AS10*100</f>
        <v>56.000000000000007</v>
      </c>
      <c r="AT12" s="1074">
        <f>+AT11/AT10*100</f>
        <v>54.999875196565405</v>
      </c>
      <c r="AU12" s="4029">
        <v>56</v>
      </c>
      <c r="AV12" s="1042">
        <f>+AV11/AV10*100</f>
        <v>55.000130996358301</v>
      </c>
      <c r="AW12" s="2440">
        <f>+AW11/AW10*100</f>
        <v>56.000000000000007</v>
      </c>
      <c r="AX12" s="1074">
        <f>+AX11/AX10*100</f>
        <v>54.999897447350612</v>
      </c>
      <c r="AY12" s="4029">
        <v>56</v>
      </c>
      <c r="AZ12" s="1042">
        <f>+AZ11/AZ10*100</f>
        <v>56.000098483356311</v>
      </c>
      <c r="BA12" s="2438">
        <f t="shared" ref="BA12:BF12" si="3">+BA11/BA10*100</f>
        <v>56.000000000000007</v>
      </c>
      <c r="BB12" s="1056">
        <f t="shared" si="3"/>
        <v>55.326706257684485</v>
      </c>
      <c r="BC12" s="2439">
        <f t="shared" si="3"/>
        <v>56.000000000000007</v>
      </c>
      <c r="BD12" s="2462">
        <f t="shared" si="3"/>
        <v>55.168728113588919</v>
      </c>
      <c r="BE12" s="2440">
        <f t="shared" si="3"/>
        <v>56.000000000000007</v>
      </c>
      <c r="BF12" s="1074">
        <f t="shared" si="3"/>
        <v>55.084634398172774</v>
      </c>
      <c r="BG12" s="1111"/>
      <c r="BH12" s="1111"/>
      <c r="BI12" s="23"/>
      <c r="BJ12" s="23"/>
      <c r="BK12" s="3464"/>
    </row>
    <row r="13" spans="1:63" ht="15.6" x14ac:dyDescent="0.3">
      <c r="A13" s="137"/>
      <c r="B13" s="137"/>
      <c r="C13" s="2556" t="s">
        <v>1279</v>
      </c>
      <c r="D13" s="2555" t="s">
        <v>50</v>
      </c>
      <c r="E13" s="1461">
        <f>+E11*E14/100</f>
        <v>6103.3150883003082</v>
      </c>
      <c r="F13" s="1042">
        <v>6908</v>
      </c>
      <c r="G13" s="1461">
        <f>+G11*G14/100</f>
        <v>5385.278019088506</v>
      </c>
      <c r="H13" s="1042">
        <v>2138</v>
      </c>
      <c r="I13" s="2437">
        <f>+E13+G13</f>
        <v>11488.593107388813</v>
      </c>
      <c r="J13" s="1074">
        <f>+F13+H13</f>
        <v>9046</v>
      </c>
      <c r="K13" s="1461">
        <f>+K11*K14/100</f>
        <v>8985.8406250710032</v>
      </c>
      <c r="L13" s="1042">
        <v>8277</v>
      </c>
      <c r="M13" s="1054">
        <f>E13+G13+K13</f>
        <v>20474.433732459816</v>
      </c>
      <c r="N13" s="1055">
        <f>F13+H13+L13</f>
        <v>17323</v>
      </c>
      <c r="O13" s="1461">
        <f>+O11*O14/100</f>
        <v>9093.198338632199</v>
      </c>
      <c r="P13" s="1042">
        <v>7984</v>
      </c>
      <c r="Q13" s="2437">
        <f>+M13+O13</f>
        <v>29567.632071092015</v>
      </c>
      <c r="R13" s="1074">
        <f>+N13+P13</f>
        <v>25307</v>
      </c>
      <c r="S13" s="1461">
        <f>+S11*S14/100</f>
        <v>9093.198338632199</v>
      </c>
      <c r="T13" s="1042">
        <v>7512</v>
      </c>
      <c r="U13" s="2437">
        <f>+Q13+S13</f>
        <v>38660.830409724214</v>
      </c>
      <c r="V13" s="1074">
        <f>+R13+T13</f>
        <v>32819</v>
      </c>
      <c r="W13" s="1461">
        <f>+W11*W14/100</f>
        <v>4772.0503677945999</v>
      </c>
      <c r="X13" s="1042">
        <v>7087</v>
      </c>
      <c r="Y13" s="1054">
        <f>O13+S13+W13</f>
        <v>22958.447045058998</v>
      </c>
      <c r="Z13" s="1055">
        <f>P13+T13+X13</f>
        <v>22583</v>
      </c>
      <c r="AA13" s="1057">
        <f>+U13+W13</f>
        <v>43432.880777518818</v>
      </c>
      <c r="AB13" s="1058">
        <f>+V13+X13</f>
        <v>39906</v>
      </c>
      <c r="AC13" s="1461">
        <f>+AC11*AC14/100</f>
        <v>9272.127861234163</v>
      </c>
      <c r="AD13" s="1042">
        <v>4824</v>
      </c>
      <c r="AE13" s="2437">
        <f>+AA13+AC13</f>
        <v>52705.008638752981</v>
      </c>
      <c r="AF13" s="1074">
        <f>+AB13+AD13</f>
        <v>44730</v>
      </c>
      <c r="AG13" s="1461">
        <f>+AG11*AG14/100</f>
        <v>8985.8406250710032</v>
      </c>
      <c r="AH13" s="1042">
        <v>7270</v>
      </c>
      <c r="AI13" s="2437">
        <f>+AE13+AG13</f>
        <v>61690.849263823984</v>
      </c>
      <c r="AJ13" s="1074">
        <f>+AF13+AH13</f>
        <v>52000</v>
      </c>
      <c r="AK13" s="1461">
        <f>+AK11*AK14/100</f>
        <v>9272.127861234163</v>
      </c>
      <c r="AL13" s="1042">
        <v>7476</v>
      </c>
      <c r="AM13" s="1054">
        <f>AC13+AG13+AK13</f>
        <v>27530.096347539329</v>
      </c>
      <c r="AN13" s="1055">
        <f>AD13+AH13+AL13</f>
        <v>19570</v>
      </c>
      <c r="AO13" s="2437">
        <f>+AI13+AK13</f>
        <v>70962.977125058154</v>
      </c>
      <c r="AP13" s="1074">
        <f>+AJ13+AL13</f>
        <v>59476</v>
      </c>
      <c r="AQ13" s="1461">
        <f>+AQ11*AQ14/100</f>
        <v>9415.2714793157465</v>
      </c>
      <c r="AR13" s="1042">
        <v>7480</v>
      </c>
      <c r="AS13" s="2437">
        <f>+AO13+AQ13</f>
        <v>80378.248604373905</v>
      </c>
      <c r="AT13" s="1074">
        <f>+AP13+AR13</f>
        <v>66956</v>
      </c>
      <c r="AU13" s="1461">
        <f>+AU11*AU14/100</f>
        <v>8413.2661527447035</v>
      </c>
      <c r="AV13" s="1042">
        <v>6005</v>
      </c>
      <c r="AW13" s="2437">
        <f>+AS13+AU13</f>
        <v>88791.51475711861</v>
      </c>
      <c r="AX13" s="1074">
        <f>+AT13+AV13</f>
        <v>72961</v>
      </c>
      <c r="AY13" s="1461">
        <f>+AY11*AY14/100</f>
        <v>9415.2714793157465</v>
      </c>
      <c r="AZ13" s="1042">
        <v>6683</v>
      </c>
      <c r="BA13" s="1054">
        <f>AQ13+AU13+AY13</f>
        <v>27243.809111376195</v>
      </c>
      <c r="BB13" s="1055">
        <f>AR13+AV13+AZ13</f>
        <v>20168</v>
      </c>
      <c r="BC13" s="1057">
        <f>AM13+BA13</f>
        <v>54773.905458915528</v>
      </c>
      <c r="BD13" s="1057">
        <f>AN13+BB13</f>
        <v>39738</v>
      </c>
      <c r="BE13" s="2437">
        <f>+AW13+AY13</f>
        <v>98206.78623643436</v>
      </c>
      <c r="BF13" s="1074">
        <f>+AX13+AZ13</f>
        <v>79644</v>
      </c>
      <c r="BG13" s="1111"/>
      <c r="BH13" s="1111"/>
      <c r="BI13" s="23"/>
      <c r="BJ13" s="23"/>
      <c r="BK13" s="3464"/>
    </row>
    <row r="14" spans="1:63" ht="15.6" x14ac:dyDescent="0.3">
      <c r="A14" s="137"/>
      <c r="B14" s="137"/>
      <c r="C14" s="2556" t="s">
        <v>585</v>
      </c>
      <c r="D14" s="2555" t="s">
        <v>49</v>
      </c>
      <c r="E14" s="4029">
        <v>31.04165196480238</v>
      </c>
      <c r="F14" s="1042">
        <f>+F13/F11*100</f>
        <v>30.585318338793943</v>
      </c>
      <c r="G14" s="4029">
        <v>31.04165196480238</v>
      </c>
      <c r="H14" s="1042">
        <f>+H13/H11*100</f>
        <v>20.860571763098839</v>
      </c>
      <c r="I14" s="2440">
        <f>+I13/I11*100</f>
        <v>31.041651964802387</v>
      </c>
      <c r="J14" s="2475">
        <f>+J13/J11*100</f>
        <v>27.549870564945945</v>
      </c>
      <c r="K14" s="4029">
        <v>35</v>
      </c>
      <c r="L14" s="1042">
        <f>+L13/L11*100</f>
        <v>33.211620255196209</v>
      </c>
      <c r="M14" s="2438">
        <f>+M13/M11*100</f>
        <v>32.662892234923227</v>
      </c>
      <c r="N14" s="2469">
        <f>+N13/N11*100</f>
        <v>29.992901293349721</v>
      </c>
      <c r="O14" s="4029">
        <v>35</v>
      </c>
      <c r="P14" s="1042">
        <f>+P13/P11*100</f>
        <v>30.321674072386163</v>
      </c>
      <c r="Q14" s="2440">
        <f>+Q13/Q11*100</f>
        <v>33.34771291504461</v>
      </c>
      <c r="R14" s="2475">
        <f>+R13/R11*100</f>
        <v>30.095851964608507</v>
      </c>
      <c r="S14" s="4029">
        <v>35</v>
      </c>
      <c r="T14" s="1042">
        <f>+T13/T11*100</f>
        <v>31.27263644311228</v>
      </c>
      <c r="U14" s="2440">
        <f>+U13/U11*100</f>
        <v>33.722149433246393</v>
      </c>
      <c r="V14" s="2475">
        <f>+V13/V11*100</f>
        <v>30.357324552072445</v>
      </c>
      <c r="W14" s="4029">
        <v>35</v>
      </c>
      <c r="X14" s="1042">
        <f>+X13/X11*100</f>
        <v>30.385011147316071</v>
      </c>
      <c r="Y14" s="2438">
        <f>+Y13/Y11*100</f>
        <v>35</v>
      </c>
      <c r="Z14" s="2469">
        <f>+Z13/Z11*100</f>
        <v>30.651772626092622</v>
      </c>
      <c r="AA14" s="2439">
        <f>+AA13/AA11*100</f>
        <v>33.857968048870077</v>
      </c>
      <c r="AB14" s="2462">
        <f>+AB13/AB11*100</f>
        <v>30.362237794161285</v>
      </c>
      <c r="AC14" s="4029">
        <v>35</v>
      </c>
      <c r="AD14" s="1042">
        <f>+AD13/AD11*100</f>
        <v>26.180397264734612</v>
      </c>
      <c r="AE14" s="2440">
        <f>+AE13/AE11*100</f>
        <v>34.053446462298929</v>
      </c>
      <c r="AF14" s="2475">
        <f>+AF13/AF11*100</f>
        <v>29.848057173743321</v>
      </c>
      <c r="AG14" s="4029">
        <v>35</v>
      </c>
      <c r="AH14" s="1042">
        <f>+AH13/AH11*100</f>
        <v>32.76250563316809</v>
      </c>
      <c r="AI14" s="2440">
        <f>+AI13/AI11*100</f>
        <v>34.18812250688287</v>
      </c>
      <c r="AJ14" s="2475">
        <f>+AJ13/AJ11*100</f>
        <v>30.223947828816211</v>
      </c>
      <c r="AK14" s="4029">
        <v>35</v>
      </c>
      <c r="AL14" s="1042">
        <f>+AL13/AL11*100</f>
        <v>32.242204683658947</v>
      </c>
      <c r="AM14" s="2438">
        <f>+AM13/AM11*100</f>
        <v>35</v>
      </c>
      <c r="AN14" s="2469">
        <f>+AN13/AN11*100</f>
        <v>30.672538908828738</v>
      </c>
      <c r="AO14" s="2440">
        <f>+AO13/AO11*100</f>
        <v>34.292057930629845</v>
      </c>
      <c r="AP14" s="2475">
        <f>+AP13/AP11*100</f>
        <v>30.463644000081953</v>
      </c>
      <c r="AQ14" s="4029">
        <v>35</v>
      </c>
      <c r="AR14" s="1042">
        <f>+AR13/AR11*100</f>
        <v>29.788928713659896</v>
      </c>
      <c r="AS14" s="2440">
        <f>+AS13/AS11*100</f>
        <v>34.3734998007277</v>
      </c>
      <c r="AT14" s="2475">
        <f>+AT13/AT11*100</f>
        <v>30.386755375636497</v>
      </c>
      <c r="AU14" s="4029">
        <v>35</v>
      </c>
      <c r="AV14" s="1042">
        <f>+AV13/AV11*100</f>
        <v>28.604773019577955</v>
      </c>
      <c r="AW14" s="2440">
        <f>+AW13/AW11*100</f>
        <v>34.43189905595667</v>
      </c>
      <c r="AX14" s="2475">
        <f>+AX13/AX11*100</f>
        <v>30.23174870203324</v>
      </c>
      <c r="AY14" s="4029">
        <v>35</v>
      </c>
      <c r="AZ14" s="1042">
        <f>+AZ13/AZ11*100</f>
        <v>29.38228182018026</v>
      </c>
      <c r="BA14" s="2438">
        <f t="shared" ref="BA14:BF14" si="4">+BA13/BA11*100</f>
        <v>35</v>
      </c>
      <c r="BB14" s="2469">
        <f t="shared" si="4"/>
        <v>29.293516151522191</v>
      </c>
      <c r="BC14" s="2439">
        <f t="shared" si="4"/>
        <v>35</v>
      </c>
      <c r="BD14" s="2462">
        <f t="shared" si="4"/>
        <v>29.956803944184362</v>
      </c>
      <c r="BE14" s="2440">
        <f t="shared" si="4"/>
        <v>34.485563438947977</v>
      </c>
      <c r="BF14" s="2475">
        <f t="shared" si="4"/>
        <v>30.158585904484937</v>
      </c>
      <c r="BG14" s="1111"/>
      <c r="BH14" s="1111"/>
      <c r="BI14" s="23"/>
      <c r="BJ14" s="23"/>
      <c r="BK14" s="3464"/>
    </row>
    <row r="15" spans="1:63" ht="31.5" customHeight="1" x14ac:dyDescent="0.3">
      <c r="A15" s="137"/>
      <c r="B15" s="137"/>
      <c r="C15" s="2216" t="s">
        <v>1853</v>
      </c>
      <c r="D15" s="2555"/>
      <c r="E15" s="6360">
        <v>300</v>
      </c>
      <c r="F15" s="1042"/>
      <c r="G15" s="6360">
        <v>310</v>
      </c>
      <c r="H15" s="1042"/>
      <c r="I15" s="6380">
        <f>+((E15*E11)+(G11*G15))/(E11+G11)</f>
        <v>304.6875</v>
      </c>
      <c r="J15" s="1074">
        <f>+((F15*F10)+(H10*H15))/(F10+H10)</f>
        <v>0</v>
      </c>
      <c r="K15" s="6377">
        <v>290</v>
      </c>
      <c r="L15" s="1042"/>
      <c r="M15" s="6367">
        <f t="shared" ref="M15" si="5">+((E15*E7)+(G7*G15)+(K7*K15))/M7</f>
        <v>298.89968568654666</v>
      </c>
      <c r="N15" s="1056">
        <f>+((F15*F10)+(H15*H10)+(L10*L15))/N10</f>
        <v>0</v>
      </c>
      <c r="O15" s="6377">
        <v>280</v>
      </c>
      <c r="P15" s="1042"/>
      <c r="Q15" s="6380">
        <f>+((M15*M11)+(O11*O15))/(M11+O11)</f>
        <v>293.36168876601693</v>
      </c>
      <c r="R15" s="1074">
        <f>+((N15*N10)+(P10*P15))/(N10+P10)</f>
        <v>0</v>
      </c>
      <c r="S15" s="6377">
        <v>280</v>
      </c>
      <c r="T15" s="1042"/>
      <c r="U15" s="6380">
        <f>+((Q15*Q11)+(S11*S15))/(Q11+S11)</f>
        <v>290.33370152070211</v>
      </c>
      <c r="V15" s="1074">
        <f>+((R15*R10)+(T10*T15))/(R10+T10)</f>
        <v>0</v>
      </c>
      <c r="W15" s="6377">
        <v>290</v>
      </c>
      <c r="X15" s="1042"/>
      <c r="Y15" s="6367">
        <f>+((O15*O7)+(S7*S15)+(W7*W15))/Y7</f>
        <v>282.07855973813417</v>
      </c>
      <c r="Z15" s="1056">
        <f>+((P15*P10)+(T10*T15)+(X10*X15))/Z10</f>
        <v>0</v>
      </c>
      <c r="AA15" s="6373">
        <f>+((U15*U11)+(W11*W15))/(U11+W11)</f>
        <v>290.29823346226681</v>
      </c>
      <c r="AB15" s="1058">
        <f>(N15*N$11+Z15*Z$11)/AB$11</f>
        <v>0</v>
      </c>
      <c r="AC15" s="6382">
        <v>300</v>
      </c>
      <c r="AD15" s="1042"/>
      <c r="AE15" s="6380">
        <f>+((AA15*AA11)+(AC11*AC15))/(AA11+AC11)</f>
        <v>291.95885769294341</v>
      </c>
      <c r="AF15" s="1074">
        <f>+((AB15*AB10)+(AD10*AD15))/(AB10+AD10)</f>
        <v>0</v>
      </c>
      <c r="AG15" s="6377">
        <v>300</v>
      </c>
      <c r="AH15" s="1042"/>
      <c r="AI15" s="6363">
        <f>+((AE15*AE11)+(AG11*AG15))/(AE11+AG11)</f>
        <v>293.10295487996694</v>
      </c>
      <c r="AJ15" s="1074">
        <f>+((AF15*AF10)+(AH10*AH15))/(AF10+AH10)</f>
        <v>0</v>
      </c>
      <c r="AK15" s="6377">
        <v>310</v>
      </c>
      <c r="AL15" s="1042"/>
      <c r="AM15" s="6367">
        <f>+((AC15*AC7)+(AG7*AG15)+(AK7*AK15))/AM7</f>
        <v>303.36799688028083</v>
      </c>
      <c r="AN15" s="1056"/>
      <c r="AO15" s="6380">
        <f>+((AI15*AI11)+(AK11*AK15))/(AI11+AK11)</f>
        <v>295.26609101751336</v>
      </c>
      <c r="AP15" s="1074">
        <f>+((AJ15*AJ10)+(AL10*AL15))/(AJ10+AL10)</f>
        <v>0</v>
      </c>
      <c r="AQ15" s="6377">
        <v>310</v>
      </c>
      <c r="AR15" s="1042"/>
      <c r="AS15" s="6380">
        <f>+((AO15*AO11)+(AQ11*AQ15))/(AO11+AQ11)</f>
        <v>296.96108436979841</v>
      </c>
      <c r="AT15" s="1074">
        <f>+((AP15*AP10)+(AR10*AR15))/(AP10+AR10)</f>
        <v>0</v>
      </c>
      <c r="AU15" s="6377">
        <v>310</v>
      </c>
      <c r="AV15" s="1042"/>
      <c r="AW15" s="6380">
        <f>+((AS15*AS11)+(AU11*AU15))/(AS11+AU11)</f>
        <v>298.17650770514871</v>
      </c>
      <c r="AX15" s="1074"/>
      <c r="AY15" s="6360">
        <v>310</v>
      </c>
      <c r="AZ15" s="1042"/>
      <c r="BA15" s="6367">
        <f>+((AQ15*AQ7)+(AU7*AU15)+(AY7*AY15))/BA7</f>
        <v>309.99999999999994</v>
      </c>
      <c r="BB15" s="1056"/>
      <c r="BC15" s="6373">
        <f>+((AM15*AM11)+(BA11*BA15))/(AM11+BA11)</f>
        <v>306.66666666666669</v>
      </c>
      <c r="BD15" s="1058"/>
      <c r="BE15" s="6363">
        <f>+((AW15*AW11)+(AY11*AY15))/(AW11+AY11)</f>
        <v>299.29338741721125</v>
      </c>
      <c r="BF15" s="1074"/>
      <c r="BG15" s="1111"/>
      <c r="BH15" s="1111"/>
      <c r="BI15" s="23"/>
      <c r="BJ15" s="23"/>
      <c r="BK15" s="3464"/>
    </row>
    <row r="16" spans="1:63" ht="15.6" x14ac:dyDescent="0.3">
      <c r="A16" s="137"/>
      <c r="B16" s="137"/>
      <c r="C16" s="2454" t="s">
        <v>664</v>
      </c>
      <c r="D16" s="5444"/>
      <c r="E16" s="6361"/>
      <c r="F16" s="4361"/>
      <c r="G16" s="6361"/>
      <c r="H16" s="4361">
        <v>306</v>
      </c>
      <c r="I16" s="6381"/>
      <c r="J16" s="4852">
        <f>+((F16*F10)+(H10*H16))/(F10+H10)</f>
        <v>95.516080402010047</v>
      </c>
      <c r="K16" s="6378"/>
      <c r="L16" s="4361"/>
      <c r="M16" s="6368"/>
      <c r="N16" s="5445"/>
      <c r="O16" s="6378"/>
      <c r="P16" s="4361"/>
      <c r="Q16" s="6381"/>
      <c r="R16" s="4852"/>
      <c r="S16" s="6378"/>
      <c r="T16" s="4361"/>
      <c r="U16" s="6381"/>
      <c r="V16" s="4852"/>
      <c r="W16" s="6378"/>
      <c r="X16" s="4361"/>
      <c r="Y16" s="6368"/>
      <c r="Z16" s="5445"/>
      <c r="AA16" s="6374"/>
      <c r="AB16" s="5446"/>
      <c r="AC16" s="6384"/>
      <c r="AD16" s="4361"/>
      <c r="AE16" s="6381"/>
      <c r="AF16" s="4852"/>
      <c r="AG16" s="6378"/>
      <c r="AH16" s="4361"/>
      <c r="AI16" s="6364"/>
      <c r="AJ16" s="4852"/>
      <c r="AK16" s="6378"/>
      <c r="AL16" s="4361"/>
      <c r="AM16" s="6368"/>
      <c r="AN16" s="5445"/>
      <c r="AO16" s="6381"/>
      <c r="AP16" s="4852"/>
      <c r="AQ16" s="6378"/>
      <c r="AR16" s="4361"/>
      <c r="AS16" s="6381"/>
      <c r="AT16" s="4852"/>
      <c r="AU16" s="6378"/>
      <c r="AV16" s="4361"/>
      <c r="AW16" s="6381"/>
      <c r="AX16" s="4852"/>
      <c r="AY16" s="6361"/>
      <c r="AZ16" s="4361"/>
      <c r="BA16" s="6368"/>
      <c r="BB16" s="5445"/>
      <c r="BC16" s="6374"/>
      <c r="BD16" s="5446"/>
      <c r="BE16" s="6364"/>
      <c r="BF16" s="4852"/>
      <c r="BG16" s="1111"/>
      <c r="BH16" s="1111"/>
      <c r="BI16" s="23"/>
      <c r="BJ16" s="23"/>
      <c r="BK16" s="3464"/>
    </row>
    <row r="17" spans="1:63" ht="15.6" x14ac:dyDescent="0.3">
      <c r="A17" s="137"/>
      <c r="B17" s="137"/>
      <c r="C17" s="2454" t="s">
        <v>660</v>
      </c>
      <c r="D17" s="6391"/>
      <c r="E17" s="6361"/>
      <c r="F17" s="1042">
        <v>308.44</v>
      </c>
      <c r="G17" s="6361"/>
      <c r="H17" s="1042">
        <v>306.81</v>
      </c>
      <c r="I17" s="6380"/>
      <c r="J17" s="1074">
        <f>+((F17*F11)+(H11*H17))/(F11+H11)</f>
        <v>307.93121760316734</v>
      </c>
      <c r="K17" s="6377"/>
      <c r="L17" s="1042">
        <v>328.05</v>
      </c>
      <c r="M17" s="6367">
        <f>+((E17*E8)+(G8*G17)+(K8*K17))/M8</f>
        <v>0</v>
      </c>
      <c r="N17" s="1056">
        <f>+((F17*F11)+(H11*H17)+(L11*L17))/N11</f>
        <v>316.61242152466366</v>
      </c>
      <c r="O17" s="6377"/>
      <c r="P17" s="1042">
        <v>295.16000000000003</v>
      </c>
      <c r="Q17" s="6380"/>
      <c r="R17" s="1074">
        <f>+((N17*N11)+(P11*P17))/(N11+P11)</f>
        <v>309.89489094757874</v>
      </c>
      <c r="S17" s="6377"/>
      <c r="T17" s="1042">
        <v>298.91000000000003</v>
      </c>
      <c r="U17" s="6380"/>
      <c r="V17" s="1074">
        <f>+((R17*R11)+(T11*T17))/(R11+T11)</f>
        <v>307.45413147841532</v>
      </c>
      <c r="W17" s="6377"/>
      <c r="X17" s="1042">
        <v>297.58</v>
      </c>
      <c r="Y17" s="6367">
        <f>+((Q17*Q8)+(S8*S17)+(W8*W17))/Y8</f>
        <v>0</v>
      </c>
      <c r="Z17" s="1056">
        <f>+((P17*P11)+(T11*T17)+(X11*X17))/Z11</f>
        <v>297.14874572452362</v>
      </c>
      <c r="AA17" s="6373"/>
      <c r="AB17" s="1058">
        <f>(N17*N$11+Z17*Z$11)/AB$11</f>
        <v>305.70187563245156</v>
      </c>
      <c r="AC17" s="6382"/>
      <c r="AD17" s="1042">
        <v>291.42</v>
      </c>
      <c r="AE17" s="6380"/>
      <c r="AF17" s="1074">
        <f>+((AB17*AB11)+(AD11*AD17))/(AB11+AD11)</f>
        <v>303.94583935566101</v>
      </c>
      <c r="AG17" s="6377"/>
      <c r="AH17" s="1042">
        <v>307.45</v>
      </c>
      <c r="AI17" s="6363"/>
      <c r="AJ17" s="1074">
        <f>+((AF17*AF11)+(AH11*AH17))/(AF11+AH11)</f>
        <v>304.39778807200275</v>
      </c>
      <c r="AK17" s="6377"/>
      <c r="AL17" s="1042">
        <v>324.35000000000002</v>
      </c>
      <c r="AM17" s="6367">
        <f>+((AE17*AE8)+(AG8*AG17)+(AK8*AK17))/AM8</f>
        <v>0</v>
      </c>
      <c r="AN17" s="1056">
        <f>+((AD17*AD11)+(AH11*AH17)+(AL11*AL17))/AN11</f>
        <v>308.96233515665409</v>
      </c>
      <c r="AO17" s="6380"/>
      <c r="AP17" s="1074">
        <f>+((AJ17*AJ11)+(AL11*AL17))/(AJ11+AL11)</f>
        <v>306.76739172078919</v>
      </c>
      <c r="AQ17" s="6377"/>
      <c r="AR17" s="1042">
        <v>316.58</v>
      </c>
      <c r="AS17" s="6380"/>
      <c r="AT17" s="1074">
        <f>+((AP17*AP11)+(AR11*AR17))/(AP11+AR11)</f>
        <v>307.88560849754481</v>
      </c>
      <c r="AU17" s="6377"/>
      <c r="AV17" s="1042">
        <v>315.64</v>
      </c>
      <c r="AW17" s="6380"/>
      <c r="AX17" s="1074">
        <f>+((AT17*AT11)+(AV11*AV17))/(AT11+AV11)</f>
        <v>308.56012832571611</v>
      </c>
      <c r="AY17" s="6361"/>
      <c r="AZ17" s="1042">
        <v>305.41000000000003</v>
      </c>
      <c r="BA17" s="6367">
        <f>+((AS17*AS8)+(AU8*AU17)+(AY8*AY17))/BA8</f>
        <v>0</v>
      </c>
      <c r="BB17" s="1056">
        <f>+((AR17*AR11)+(AV11*AV17)+(AZ11*AZ17))/BB11</f>
        <v>312.60319500929586</v>
      </c>
      <c r="BC17" s="6373"/>
      <c r="BD17" s="1058">
        <f>(AN17*AN$11+BB17*BB$11)/BD$11</f>
        <v>310.85199990953708</v>
      </c>
      <c r="BE17" s="6363"/>
      <c r="BF17" s="1074">
        <f>+((AX17*AX11)+(AZ11*AZ17))/(AX11+AZ11)</f>
        <v>308.28881439239029</v>
      </c>
      <c r="BG17" s="1111"/>
      <c r="BH17" s="1111"/>
      <c r="BI17" s="23"/>
      <c r="BJ17" s="23"/>
      <c r="BK17" s="3464"/>
    </row>
    <row r="18" spans="1:63" ht="15.6" x14ac:dyDescent="0.3">
      <c r="A18" s="137"/>
      <c r="B18" s="137"/>
      <c r="C18" s="2454" t="s">
        <v>661</v>
      </c>
      <c r="D18" s="6391"/>
      <c r="E18" s="6361"/>
      <c r="F18" s="1042">
        <v>303.7</v>
      </c>
      <c r="G18" s="6361"/>
      <c r="H18" s="1042">
        <v>303.91000000000003</v>
      </c>
      <c r="I18" s="6380"/>
      <c r="J18" s="1074">
        <f>+((F18*F11)+(H11*H18))/(F11+H11)</f>
        <v>303.76554865235272</v>
      </c>
      <c r="K18" s="6377"/>
      <c r="L18" s="1042">
        <v>319.14999999999998</v>
      </c>
      <c r="M18" s="6367">
        <f>+((E18*E9)+(G9*G18)+(K9*K18))/M9</f>
        <v>0</v>
      </c>
      <c r="N18" s="1056">
        <f>+((F18*F11)+(H11*H18)+(L11*L18))/N11</f>
        <v>310.40390065273471</v>
      </c>
      <c r="O18" s="6377"/>
      <c r="P18" s="1042">
        <v>294.91000000000003</v>
      </c>
      <c r="Q18" s="6380"/>
      <c r="R18" s="1074">
        <f>+((N18*N11)+(P11*P18))/(N11+P11)</f>
        <v>305.55219888688043</v>
      </c>
      <c r="S18" s="6377"/>
      <c r="T18" s="1042">
        <v>291.83</v>
      </c>
      <c r="U18" s="6380"/>
      <c r="V18" s="1074">
        <f>+((R18*R11)+(T11*T18))/(R11+T11)</f>
        <v>302.50323035084961</v>
      </c>
      <c r="W18" s="6377"/>
      <c r="X18" s="1042">
        <v>289.39</v>
      </c>
      <c r="Y18" s="6367">
        <f>+((Q18*Q9)+(S9*S18)+(W9*W18))/Y9</f>
        <v>0</v>
      </c>
      <c r="Z18" s="1056">
        <f>+((P18*P11)+(T11*T18)+(X11*X18))/Z11</f>
        <v>292.15831478364731</v>
      </c>
      <c r="AA18" s="6373"/>
      <c r="AB18" s="1058">
        <f t="shared" ref="AB18:AB20" si="6">(N18*N$11+Z18*Z$11)/AB$11</f>
        <v>300.17616648786839</v>
      </c>
      <c r="AC18" s="6382"/>
      <c r="AD18" s="1042">
        <v>279.58</v>
      </c>
      <c r="AE18" s="6380"/>
      <c r="AF18" s="1074">
        <f>+((AB18*AB11)+(AD11*AD18))/(AB11+AD11)</f>
        <v>297.64375292775208</v>
      </c>
      <c r="AG18" s="6377"/>
      <c r="AH18" s="1042">
        <v>306.35000000000002</v>
      </c>
      <c r="AI18" s="6363"/>
      <c r="AJ18" s="1074">
        <f>+((AF18*AF11)+(AH11*AH18))/(AF11+AH11)</f>
        <v>298.766640143215</v>
      </c>
      <c r="AK18" s="6377"/>
      <c r="AL18" s="1042">
        <v>320.16000000000003</v>
      </c>
      <c r="AM18" s="6367">
        <f>+((AE18*AE9)+(AG9*AG18)+(AK9*AK18))/AM9</f>
        <v>0</v>
      </c>
      <c r="AN18" s="1056">
        <f>+((AD18*AD11)+(AH11*AH18)+(AL11*AL18))/AN11</f>
        <v>303.63772079682781</v>
      </c>
      <c r="AO18" s="6380"/>
      <c r="AP18" s="1074">
        <f>+((AJ18*AJ11)+(AL11*AL18))/(AJ11+AL11)</f>
        <v>301.30740022331946</v>
      </c>
      <c r="AQ18" s="6377"/>
      <c r="AR18" s="1042">
        <v>307</v>
      </c>
      <c r="AS18" s="6380"/>
      <c r="AT18" s="1074">
        <f>+((AP18*AP11)+(AR11*AR18))/(AP11+AR11)</f>
        <v>301.95611261379827</v>
      </c>
      <c r="AU18" s="6377"/>
      <c r="AV18" s="1042">
        <v>308.3</v>
      </c>
      <c r="AW18" s="6380"/>
      <c r="AX18" s="1074">
        <f>+((AT18*AT11)+(AV11*AV18))/(AT11+AV11)</f>
        <v>302.50793899866989</v>
      </c>
      <c r="AY18" s="6361"/>
      <c r="AZ18" s="1042">
        <v>300.5</v>
      </c>
      <c r="BA18" s="6367">
        <f>+((AS18*AS9)+(AU9*AU18)+(AY9*AY18))/BA9</f>
        <v>0</v>
      </c>
      <c r="BB18" s="1056">
        <f>+((AR18*AR11)+(AV11*AV18)+(AZ11*AZ18))/BB11</f>
        <v>305.24901812688819</v>
      </c>
      <c r="BC18" s="6373"/>
      <c r="BD18" s="1058">
        <f>(AN18*AN$11+BB18*BB$11)/BD$11</f>
        <v>304.47400999615536</v>
      </c>
      <c r="BE18" s="6363"/>
      <c r="BF18" s="1074">
        <f>+((AX18*AX11)+(AZ11*AZ18))/(AX11+AZ11)</f>
        <v>302.33499943199888</v>
      </c>
      <c r="BG18" s="1111"/>
      <c r="BH18" s="1111"/>
      <c r="BI18" s="23"/>
      <c r="BJ18" s="23"/>
      <c r="BK18" s="3464"/>
    </row>
    <row r="19" spans="1:63" ht="15.6" x14ac:dyDescent="0.3">
      <c r="A19" s="137"/>
      <c r="B19" s="137"/>
      <c r="C19" s="2454" t="s">
        <v>662</v>
      </c>
      <c r="D19" s="6391"/>
      <c r="E19" s="6361"/>
      <c r="F19" s="1042">
        <v>301.63</v>
      </c>
      <c r="G19" s="6361"/>
      <c r="H19" s="1042">
        <v>306.25</v>
      </c>
      <c r="I19" s="6380"/>
      <c r="J19" s="1074">
        <f>+((F19*F11)+(H11*H19))/(F11+H11)</f>
        <v>303.07207035175878</v>
      </c>
      <c r="K19" s="6377"/>
      <c r="L19" s="1042">
        <v>319.66000000000003</v>
      </c>
      <c r="M19" s="6367">
        <f>+((E19*E10)+(G10*G19)+(K10*K19))/M10</f>
        <v>0</v>
      </c>
      <c r="N19" s="1056">
        <f>+((F19*F11)+(H11*H19)+(L11*L19))/N11</f>
        <v>310.22972020707448</v>
      </c>
      <c r="O19" s="6377"/>
      <c r="P19" s="1042">
        <v>296.47000000000003</v>
      </c>
      <c r="Q19" s="6380"/>
      <c r="R19" s="1074">
        <f>+((N19*N11)+(P11*P19))/(N11+P11)</f>
        <v>305.92105318238038</v>
      </c>
      <c r="S19" s="6377"/>
      <c r="T19" s="1042">
        <v>293</v>
      </c>
      <c r="U19" s="6380"/>
      <c r="V19" s="1074">
        <f>+((R19*R11)+(T11*T19))/(R11+T11)</f>
        <v>303.05009314673151</v>
      </c>
      <c r="W19" s="6377"/>
      <c r="X19" s="1042">
        <v>290.43</v>
      </c>
      <c r="Y19" s="6367">
        <f>+((Q19*Q10)+(S10*S19)+(W10*W19))/Y10</f>
        <v>0</v>
      </c>
      <c r="Z19" s="1056">
        <f>+((P19*P11)+(T11*T19)+(X11*X19))/Z11</f>
        <v>293.42654175036648</v>
      </c>
      <c r="AA19" s="6373"/>
      <c r="AB19" s="1058">
        <f t="shared" si="6"/>
        <v>300.81054103611729</v>
      </c>
      <c r="AC19" s="6382"/>
      <c r="AD19" s="1042">
        <v>279.79000000000002</v>
      </c>
      <c r="AE19" s="6380"/>
      <c r="AF19" s="1074">
        <f>+((AB19*AB11)+(AD11*AD19))/(AB11+AD11)</f>
        <v>298.22594825802923</v>
      </c>
      <c r="AG19" s="6377"/>
      <c r="AH19" s="1042">
        <v>304.83</v>
      </c>
      <c r="AI19" s="6363"/>
      <c r="AJ19" s="1074">
        <f>+((AF19*AF11)+(AH11*AH19))/(AF11+AH11)</f>
        <v>299.07770507239218</v>
      </c>
      <c r="AK19" s="6377"/>
      <c r="AL19" s="1042">
        <v>320.16000000000003</v>
      </c>
      <c r="AM19" s="6367">
        <f>+((AE19*AE10)+(AG10*AG19)+(AK10*AK19))/AM10</f>
        <v>0</v>
      </c>
      <c r="AN19" s="1056">
        <f>+((AD19*AD11)+(AH11*AH19)+(AL11*AL19))/AN11</f>
        <v>303.16972806921302</v>
      </c>
      <c r="AO19" s="6380"/>
      <c r="AP19" s="1074">
        <f>+((AJ19*AJ11)+(AL11*AL19))/(AJ11+AL11)</f>
        <v>301.5815218504784</v>
      </c>
      <c r="AQ19" s="6377"/>
      <c r="AR19" s="1042">
        <v>308.25</v>
      </c>
      <c r="AS19" s="6380"/>
      <c r="AT19" s="1074">
        <f>+((AP19*AP11)+(AR11*AR19))/(AP11+AR11)</f>
        <v>302.34144254944499</v>
      </c>
      <c r="AU19" s="6377"/>
      <c r="AV19" s="1042">
        <v>304.89999999999998</v>
      </c>
      <c r="AW19" s="6380"/>
      <c r="AX19" s="1074">
        <f>+((AT19*AT11)+(AV11*AV19))/(AT11+AV11)</f>
        <v>302.5640000165742</v>
      </c>
      <c r="AY19" s="6361"/>
      <c r="AZ19" s="1042">
        <v>292.83</v>
      </c>
      <c r="BA19" s="6367">
        <f>+((AS19*AS10)+(AU10*AU19)+(AY10*AY19))/BA10</f>
        <v>0</v>
      </c>
      <c r="BB19" s="1056">
        <f>+((AR19*AR11)+(AV11*AV19)+(AZ11*AZ19))/BB11</f>
        <v>302.1342893039739</v>
      </c>
      <c r="BC19" s="6373"/>
      <c r="BD19" s="1058">
        <f>(AN19*AN$11+BB19*BB$11)/BD$11</f>
        <v>302.6323187160292</v>
      </c>
      <c r="BE19" s="6363"/>
      <c r="BF19" s="1074">
        <f>+((AX19*AX11)+(AZ11*AZ19))/(AX11+AZ11)</f>
        <v>301.72563104921159</v>
      </c>
      <c r="BG19" s="1111"/>
      <c r="BH19" s="1111"/>
      <c r="BI19" s="23"/>
      <c r="BJ19" s="23"/>
      <c r="BK19" s="3464"/>
    </row>
    <row r="20" spans="1:63" ht="16.2" thickBot="1" x14ac:dyDescent="0.35">
      <c r="A20" s="137"/>
      <c r="B20" s="137"/>
      <c r="C20" s="2849" t="s">
        <v>663</v>
      </c>
      <c r="D20" s="6392"/>
      <c r="E20" s="6362"/>
      <c r="F20" s="2850"/>
      <c r="G20" s="6362"/>
      <c r="H20" s="2850"/>
      <c r="I20" s="6386"/>
      <c r="J20" s="2851">
        <f>+((F20*F11)+(H11*H20))/(F11+H11)</f>
        <v>0</v>
      </c>
      <c r="K20" s="6379"/>
      <c r="L20" s="2850">
        <v>251</v>
      </c>
      <c r="M20" s="6367">
        <f>+((E20*E11)+(G11*G20)+(K11*K20))/M11</f>
        <v>0</v>
      </c>
      <c r="N20" s="1056">
        <f>+((F20*F11)+(H11*H20)+(L11*L20))/N11</f>
        <v>108.30586768703361</v>
      </c>
      <c r="O20" s="6379"/>
      <c r="P20" s="2850">
        <v>240.48</v>
      </c>
      <c r="Q20" s="6380"/>
      <c r="R20" s="1074">
        <f>+((N20*N11)+(P11*P20))/(N11+P11)</f>
        <v>149.6943782703834</v>
      </c>
      <c r="S20" s="6379"/>
      <c r="T20" s="2850">
        <v>233.87</v>
      </c>
      <c r="U20" s="6380"/>
      <c r="V20" s="1074">
        <f>+((R20*R11)+(T11*T20))/(R11+T11)</f>
        <v>168.39756310760436</v>
      </c>
      <c r="W20" s="6379"/>
      <c r="X20" s="2850">
        <v>232.9</v>
      </c>
      <c r="Y20" s="6367">
        <f>+((Q20*Q11)+(S11*S20)+(W11*W20))/Y11</f>
        <v>0</v>
      </c>
      <c r="Z20" s="1056">
        <f>+((P20*P11)+(T11*T20)+(X11*X20))/Z11</f>
        <v>235.92526399370215</v>
      </c>
      <c r="AA20" s="6373"/>
      <c r="AB20" s="1058">
        <f t="shared" si="6"/>
        <v>179.84411639390413</v>
      </c>
      <c r="AC20" s="6383"/>
      <c r="AD20" s="2850">
        <v>232.82</v>
      </c>
      <c r="AE20" s="6380"/>
      <c r="AF20" s="1074">
        <f>+((AB20*AB11)+(AD11*AD20))/(AB11+AD11)</f>
        <v>186.35779679565459</v>
      </c>
      <c r="AG20" s="6379"/>
      <c r="AH20" s="2850">
        <v>256</v>
      </c>
      <c r="AI20" s="6363"/>
      <c r="AJ20" s="1074">
        <f>+((AF20*AF11)+(AH11*AH20))/(AF11+AH11)</f>
        <v>195.33989194938653</v>
      </c>
      <c r="AK20" s="6379"/>
      <c r="AL20" s="2850">
        <v>264.83</v>
      </c>
      <c r="AM20" s="6367">
        <f>+((AE20*AE11)+(AG11*AG20)+(AK11*AK20))/AM11</f>
        <v>0</v>
      </c>
      <c r="AN20" s="1056">
        <f>+((AD20*AD11)+(AH11*AH20)+(AL11*AL20))/AN11</f>
        <v>252.51468630001725</v>
      </c>
      <c r="AO20" s="6380"/>
      <c r="AP20" s="1074">
        <f>+((AJ20*AJ11)+(AL11*AL20))/(AJ11+AL11)</f>
        <v>203.59281218627711</v>
      </c>
      <c r="AQ20" s="6379"/>
      <c r="AR20" s="2850">
        <v>260.8</v>
      </c>
      <c r="AS20" s="6380"/>
      <c r="AT20" s="1074">
        <f>+((AP20*AP11)+(AR11*AR20))/(AP11+AR11)</f>
        <v>210.11197970464633</v>
      </c>
      <c r="AU20" s="6379"/>
      <c r="AV20" s="2850">
        <v>262.5</v>
      </c>
      <c r="AW20" s="6380"/>
      <c r="AX20" s="1074">
        <f>+((AT20*AT11)+(AV11*AV20))/(AT11+AV11)</f>
        <v>214.6689792366754</v>
      </c>
      <c r="AY20" s="6362"/>
      <c r="AZ20" s="2850">
        <v>261.66000000000003</v>
      </c>
      <c r="BA20" s="6367">
        <f>+((AS20*AS11)+(AU11*AU20)+(AY11*AY20))/BA11</f>
        <v>0</v>
      </c>
      <c r="BB20" s="1056">
        <f>+((AR20*AR11)+(AV11*AV20)+(AZ11*AZ20))/BB11</f>
        <v>261.6024750174297</v>
      </c>
      <c r="BC20" s="6373"/>
      <c r="BD20" s="1058">
        <f>(AN20*AN$11+BB20*BB$11)/BD$11</f>
        <v>257.23139463705519</v>
      </c>
      <c r="BE20" s="6363"/>
      <c r="BF20" s="1074">
        <f>+((AX20*AX11)+(AZ11*AZ20))/(AX11+AZ11)</f>
        <v>218.71621711273687</v>
      </c>
      <c r="BG20" s="1111"/>
      <c r="BH20" s="1111"/>
      <c r="BI20" s="23"/>
      <c r="BJ20" s="23"/>
      <c r="BK20" s="3464"/>
    </row>
    <row r="21" spans="1:63" ht="15.6" x14ac:dyDescent="0.3">
      <c r="A21" s="137"/>
      <c r="B21" s="137"/>
      <c r="C21" s="2844" t="s">
        <v>500</v>
      </c>
      <c r="D21" s="2845"/>
      <c r="E21" s="2846"/>
      <c r="F21" s="2845"/>
      <c r="G21" s="2846"/>
      <c r="H21" s="2845"/>
      <c r="I21" s="2847"/>
      <c r="J21" s="2848"/>
      <c r="K21" s="2846"/>
      <c r="L21" s="2845"/>
      <c r="M21" s="2470"/>
      <c r="N21" s="2471"/>
      <c r="O21" s="2846"/>
      <c r="P21" s="2845"/>
      <c r="Q21" s="2476"/>
      <c r="R21" s="2477"/>
      <c r="S21" s="2846"/>
      <c r="T21" s="2845"/>
      <c r="U21" s="2476"/>
      <c r="V21" s="2477"/>
      <c r="W21" s="2846"/>
      <c r="X21" s="2845"/>
      <c r="Y21" s="2470"/>
      <c r="Z21" s="2471"/>
      <c r="AA21" s="2463"/>
      <c r="AB21" s="2464"/>
      <c r="AC21" s="2846"/>
      <c r="AD21" s="2845"/>
      <c r="AE21" s="2476"/>
      <c r="AF21" s="2477"/>
      <c r="AG21" s="2846"/>
      <c r="AH21" s="2845"/>
      <c r="AI21" s="2476"/>
      <c r="AJ21" s="2477"/>
      <c r="AK21" s="2846"/>
      <c r="AL21" s="2845"/>
      <c r="AM21" s="2470"/>
      <c r="AN21" s="2471"/>
      <c r="AO21" s="2476"/>
      <c r="AP21" s="2477"/>
      <c r="AQ21" s="2846"/>
      <c r="AR21" s="2845"/>
      <c r="AS21" s="2476"/>
      <c r="AT21" s="2477"/>
      <c r="AU21" s="2846"/>
      <c r="AV21" s="2845"/>
      <c r="AW21" s="2476"/>
      <c r="AX21" s="2477"/>
      <c r="AY21" s="2846"/>
      <c r="AZ21" s="2845"/>
      <c r="BA21" s="2470"/>
      <c r="BB21" s="2471"/>
      <c r="BC21" s="2463"/>
      <c r="BD21" s="2464"/>
      <c r="BE21" s="2476"/>
      <c r="BF21" s="2477"/>
      <c r="BG21" s="1111"/>
      <c r="BH21" s="1111"/>
      <c r="BI21" s="23"/>
      <c r="BJ21" s="23"/>
      <c r="BK21" s="3464"/>
    </row>
    <row r="22" spans="1:63" ht="15.6" x14ac:dyDescent="0.3">
      <c r="A22" s="137"/>
      <c r="B22" s="137"/>
      <c r="C22" s="2556" t="s">
        <v>501</v>
      </c>
      <c r="D22" s="2555" t="s">
        <v>50</v>
      </c>
      <c r="E22" s="1461">
        <f>+E34*$E$37/1000</f>
        <v>12974.569897848225</v>
      </c>
      <c r="F22" s="2555">
        <v>18070</v>
      </c>
      <c r="G22" s="1461">
        <f>+G34*$E$37/1000</f>
        <v>11448.149909866077</v>
      </c>
      <c r="H22" s="2555">
        <v>6541</v>
      </c>
      <c r="I22" s="2437">
        <f>+E22+G22</f>
        <v>24422.719807714304</v>
      </c>
      <c r="J22" s="1073">
        <f>+F22+H22</f>
        <v>24611</v>
      </c>
      <c r="K22" s="1461">
        <f>+K34*$E$37/1000</f>
        <v>15883.051632961842</v>
      </c>
      <c r="L22" s="2555">
        <v>15520</v>
      </c>
      <c r="M22" s="1054">
        <f>E22+G22+K22</f>
        <v>40305.771440676144</v>
      </c>
      <c r="N22" s="1055">
        <f>F22+H22+L22</f>
        <v>40131</v>
      </c>
      <c r="O22" s="1461">
        <f>+O34*$E$37/1000</f>
        <v>16072.81330121708</v>
      </c>
      <c r="P22" s="2555">
        <v>16160</v>
      </c>
      <c r="Q22" s="2437">
        <f>+M22+O22</f>
        <v>56378.584741893224</v>
      </c>
      <c r="R22" s="1073">
        <f>+N22+P22</f>
        <v>56291</v>
      </c>
      <c r="S22" s="1461">
        <f>+S34*$E$37/1000</f>
        <v>16072.81330121708</v>
      </c>
      <c r="T22" s="2555">
        <v>15934</v>
      </c>
      <c r="U22" s="2437">
        <f>+Q22+S22</f>
        <v>72451.398043110297</v>
      </c>
      <c r="V22" s="1073">
        <f>+R22+T22</f>
        <v>72225</v>
      </c>
      <c r="W22" s="1461">
        <f>+W34*$E$37/1000</f>
        <v>8434.906153944532</v>
      </c>
      <c r="X22" s="2555">
        <v>17396</v>
      </c>
      <c r="Y22" s="1054">
        <f>O22+S22+W22</f>
        <v>40580.532756378692</v>
      </c>
      <c r="Z22" s="1055">
        <f>P22+T22+X22</f>
        <v>49490</v>
      </c>
      <c r="AA22" s="1057">
        <f>+U22+W22</f>
        <v>80886.304197054822</v>
      </c>
      <c r="AB22" s="1059">
        <f>+V22+X22</f>
        <v>89621</v>
      </c>
      <c r="AC22" s="1461">
        <f>+AC34*$E$37/1000</f>
        <v>16389.082748309102</v>
      </c>
      <c r="AD22" s="2555">
        <v>11392</v>
      </c>
      <c r="AE22" s="2437">
        <f>+AA22+AC22</f>
        <v>97275.38694536392</v>
      </c>
      <c r="AF22" s="1073">
        <f>+AB22+AD22</f>
        <v>101013</v>
      </c>
      <c r="AG22" s="1461">
        <f>+AG34*$E$37/1000</f>
        <v>15883.051632961842</v>
      </c>
      <c r="AH22" s="2555">
        <v>10726</v>
      </c>
      <c r="AI22" s="2437">
        <f>+AE22+AG22</f>
        <v>113158.43857832576</v>
      </c>
      <c r="AJ22" s="1073">
        <f>+AF22+AH22</f>
        <v>111739</v>
      </c>
      <c r="AK22" s="1461">
        <f>+AK34*$E$37/1000</f>
        <v>16389.082748309102</v>
      </c>
      <c r="AL22" s="2555">
        <v>0</v>
      </c>
      <c r="AM22" s="1054">
        <f>AC22+AG22+AK22</f>
        <v>48661.217129580051</v>
      </c>
      <c r="AN22" s="1055">
        <f>AD22+AH22+AL22</f>
        <v>22118</v>
      </c>
      <c r="AO22" s="2437">
        <f>+AI22+AK22</f>
        <v>129547.52132663486</v>
      </c>
      <c r="AP22" s="1073">
        <f>+AJ22+AL22</f>
        <v>111739</v>
      </c>
      <c r="AQ22" s="1461">
        <f>+AQ34*$E$37/1000</f>
        <v>16642.098305982738</v>
      </c>
      <c r="AR22" s="2555">
        <v>9304</v>
      </c>
      <c r="AS22" s="2437">
        <f>+AO22+AQ22</f>
        <v>146189.6196326176</v>
      </c>
      <c r="AT22" s="1073">
        <f>+AP22+AR22</f>
        <v>121043</v>
      </c>
      <c r="AU22" s="1461">
        <f>+AU34*$E$37/1000</f>
        <v>14870.989402267358</v>
      </c>
      <c r="AV22" s="2555">
        <v>13642</v>
      </c>
      <c r="AW22" s="2437">
        <f>+AS22+AU22</f>
        <v>161060.60903488495</v>
      </c>
      <c r="AX22" s="1073">
        <f>+AT22+AV22</f>
        <v>134685</v>
      </c>
      <c r="AY22" s="1461">
        <f>+AY34*$E$37/1000</f>
        <v>16642.098305982738</v>
      </c>
      <c r="AZ22" s="2555">
        <v>14879</v>
      </c>
      <c r="BA22" s="1054">
        <f>AQ22+AU22+AY22</f>
        <v>48155.186014232837</v>
      </c>
      <c r="BB22" s="1055">
        <f>AR22+AV22+AZ22</f>
        <v>37825</v>
      </c>
      <c r="BC22" s="1057">
        <f t="shared" ref="BC22:BC23" si="7">AM22+BA22</f>
        <v>96816.403143812888</v>
      </c>
      <c r="BD22" s="1057">
        <f t="shared" ref="BD22:BD23" si="8">AN22+BB22</f>
        <v>59943</v>
      </c>
      <c r="BE22" s="2437">
        <f>+AW22+AY22</f>
        <v>177702.7073408677</v>
      </c>
      <c r="BF22" s="1073">
        <f>+AX22+AZ22</f>
        <v>149564</v>
      </c>
      <c r="BG22" s="1111"/>
      <c r="BH22" s="1111"/>
      <c r="BI22" s="23"/>
      <c r="BJ22" s="23"/>
      <c r="BK22" s="3464"/>
    </row>
    <row r="23" spans="1:63" ht="15.6" x14ac:dyDescent="0.3">
      <c r="A23" s="137"/>
      <c r="B23" s="137"/>
      <c r="C23" s="6385" t="s">
        <v>495</v>
      </c>
      <c r="D23" s="2555" t="s">
        <v>50</v>
      </c>
      <c r="E23" s="1461">
        <f>+E22*E24/100</f>
        <v>3762.6252703759856</v>
      </c>
      <c r="F23" s="2555">
        <v>7951</v>
      </c>
      <c r="G23" s="1461">
        <f>+G22*G24/100</f>
        <v>3319.9634738611621</v>
      </c>
      <c r="H23" s="2555">
        <v>2289</v>
      </c>
      <c r="I23" s="2437">
        <f>+E23+G23</f>
        <v>7082.5887442371477</v>
      </c>
      <c r="J23" s="1073">
        <f>+F23+H23</f>
        <v>10240</v>
      </c>
      <c r="K23" s="1461">
        <f>+K22*K24/100</f>
        <v>3176.6103265923684</v>
      </c>
      <c r="L23" s="2555">
        <v>4718</v>
      </c>
      <c r="M23" s="1054">
        <f>E23+G23+K23</f>
        <v>10259.199070829516</v>
      </c>
      <c r="N23" s="1055">
        <f>F23+H23+L23</f>
        <v>14958</v>
      </c>
      <c r="O23" s="1461">
        <f>+O22*O24/100</f>
        <v>3214.5626602434158</v>
      </c>
      <c r="P23" s="2555">
        <v>4945</v>
      </c>
      <c r="Q23" s="2437">
        <f>+M23+O23</f>
        <v>13473.761731072933</v>
      </c>
      <c r="R23" s="1073">
        <f>+N23+P23</f>
        <v>19903</v>
      </c>
      <c r="S23" s="1461">
        <f>+S22*S24/100</f>
        <v>3214.5626602434158</v>
      </c>
      <c r="T23" s="2555">
        <v>5736</v>
      </c>
      <c r="U23" s="2437">
        <f>+Q23+S23</f>
        <v>16688.32439131635</v>
      </c>
      <c r="V23" s="1073">
        <f>+R23+T23</f>
        <v>25639</v>
      </c>
      <c r="W23" s="1461">
        <f>+W22*W24/100</f>
        <v>1686.9812307889065</v>
      </c>
      <c r="X23" s="2555">
        <v>7623</v>
      </c>
      <c r="Y23" s="1054">
        <f>O23+S23+W23</f>
        <v>8116.1065512757377</v>
      </c>
      <c r="Z23" s="1055">
        <f>P23+T23+X23</f>
        <v>18304</v>
      </c>
      <c r="AA23" s="1057">
        <f>+U23+W23</f>
        <v>18375.305622105257</v>
      </c>
      <c r="AB23" s="1059">
        <f>+V23+X23</f>
        <v>33262</v>
      </c>
      <c r="AC23" s="1461">
        <f>+AC22*AC24/100</f>
        <v>3277.8165496618203</v>
      </c>
      <c r="AD23" s="2555">
        <v>3494</v>
      </c>
      <c r="AE23" s="2437">
        <f>+AA23+AC23</f>
        <v>21653.122171767078</v>
      </c>
      <c r="AF23" s="1073">
        <f>+AB23+AD23</f>
        <v>36756</v>
      </c>
      <c r="AG23" s="1461">
        <f>+AG22*AG24/100</f>
        <v>3176.6103265923684</v>
      </c>
      <c r="AH23" s="2555">
        <v>1815</v>
      </c>
      <c r="AI23" s="2437">
        <f>+AE23+AG23</f>
        <v>24829.732498359444</v>
      </c>
      <c r="AJ23" s="1073">
        <f>+AF23+AH23</f>
        <v>38571</v>
      </c>
      <c r="AK23" s="1461">
        <f>+AK22*AK24/100</f>
        <v>3277.8165496618203</v>
      </c>
      <c r="AL23" s="2555">
        <v>0</v>
      </c>
      <c r="AM23" s="1054">
        <f>AC23+AG23+AK23</f>
        <v>9732.2434259160091</v>
      </c>
      <c r="AN23" s="1055">
        <f>AD23+AH23+AL23</f>
        <v>5309</v>
      </c>
      <c r="AO23" s="2437">
        <f>+AI23+AK23</f>
        <v>28107.549048021265</v>
      </c>
      <c r="AP23" s="1073">
        <f>+AJ23+AL23</f>
        <v>38571</v>
      </c>
      <c r="AQ23" s="1461">
        <f>+AQ22*AQ24/100</f>
        <v>3328.4196611965476</v>
      </c>
      <c r="AR23" s="2555">
        <v>3442</v>
      </c>
      <c r="AS23" s="2437">
        <f>+AO23+AQ23</f>
        <v>31435.968709217814</v>
      </c>
      <c r="AT23" s="1073">
        <f>+AP23+AR23</f>
        <v>42013</v>
      </c>
      <c r="AU23" s="1461">
        <f>+AU22*AU24/100</f>
        <v>2974.1978804534715</v>
      </c>
      <c r="AV23" s="2555">
        <v>5047</v>
      </c>
      <c r="AW23" s="2437">
        <f>+AS23+AU23</f>
        <v>34410.166589671288</v>
      </c>
      <c r="AX23" s="1073">
        <f>+AT23+AV23</f>
        <v>47060</v>
      </c>
      <c r="AY23" s="1461">
        <f>+AY22*AY24/100</f>
        <v>3328.4196611965476</v>
      </c>
      <c r="AZ23" s="2555">
        <v>5187</v>
      </c>
      <c r="BA23" s="1054">
        <f>AQ23+AU23+AY23</f>
        <v>9631.0372028465663</v>
      </c>
      <c r="BB23" s="1055">
        <f>AR23+AV23+AZ23</f>
        <v>13676</v>
      </c>
      <c r="BC23" s="1057">
        <f t="shared" si="7"/>
        <v>19363.280628762575</v>
      </c>
      <c r="BD23" s="1057">
        <f t="shared" si="8"/>
        <v>18985</v>
      </c>
      <c r="BE23" s="2437">
        <f>+AW23+AY23</f>
        <v>37738.586250867833</v>
      </c>
      <c r="BF23" s="1073">
        <f>+AX23+AZ23</f>
        <v>52247</v>
      </c>
      <c r="BG23" s="1111"/>
      <c r="BH23" s="1111"/>
      <c r="BI23" s="23"/>
      <c r="BJ23" s="23"/>
      <c r="BK23" s="3464"/>
    </row>
    <row r="24" spans="1:63" ht="15.6" x14ac:dyDescent="0.3">
      <c r="A24" s="137"/>
      <c r="B24" s="137"/>
      <c r="C24" s="6385"/>
      <c r="D24" s="2555" t="s">
        <v>49</v>
      </c>
      <c r="E24" s="4029">
        <v>29</v>
      </c>
      <c r="F24" s="1053">
        <f>+F23/F22*100</f>
        <v>44.001106806862197</v>
      </c>
      <c r="G24" s="4029">
        <v>29</v>
      </c>
      <c r="H24" s="1053">
        <f>+H23/H22*100</f>
        <v>34.994649136217703</v>
      </c>
      <c r="I24" s="2440">
        <f>+I23/I22*100</f>
        <v>28.999999999999996</v>
      </c>
      <c r="J24" s="2475">
        <f>+J23/J22*100</f>
        <v>41.607411320141402</v>
      </c>
      <c r="K24" s="4029">
        <v>20</v>
      </c>
      <c r="L24" s="1053">
        <f>+L23/L22*100</f>
        <v>30.399484536082472</v>
      </c>
      <c r="M24" s="2438">
        <f>+M23/M22*100</f>
        <v>25.453424420692379</v>
      </c>
      <c r="N24" s="2469">
        <f>+N23/N22*100</f>
        <v>37.272931150482172</v>
      </c>
      <c r="O24" s="4029">
        <v>20</v>
      </c>
      <c r="P24" s="1053">
        <f>+P23/P22*100</f>
        <v>30.600247524752476</v>
      </c>
      <c r="Q24" s="2440">
        <f>+Q23/Q22*100</f>
        <v>23.898722879896962</v>
      </c>
      <c r="R24" s="2475">
        <f>+R23/R22*100</f>
        <v>35.35733953918033</v>
      </c>
      <c r="S24" s="4029">
        <v>20</v>
      </c>
      <c r="T24" s="1053">
        <f>+T23/T22*100</f>
        <v>35.998493786870846</v>
      </c>
      <c r="U24" s="2440">
        <f>+U23/U22*100</f>
        <v>23.033819694392097</v>
      </c>
      <c r="V24" s="2475">
        <f>+V23/V22*100</f>
        <v>35.498788508134304</v>
      </c>
      <c r="W24" s="4029">
        <v>20</v>
      </c>
      <c r="X24" s="1053">
        <f>+X23/X22*100</f>
        <v>43.820418487008503</v>
      </c>
      <c r="Y24" s="2438">
        <f>+Y23/Y22*100</f>
        <v>20</v>
      </c>
      <c r="Z24" s="2469">
        <f>+Z23/Z22*100</f>
        <v>36.985249545362699</v>
      </c>
      <c r="AA24" s="1057">
        <f>+AA23/AA22*100</f>
        <v>22.717449887856699</v>
      </c>
      <c r="AB24" s="2462">
        <f>+AB23/AB22*100</f>
        <v>37.114069247163052</v>
      </c>
      <c r="AC24" s="4029">
        <v>20</v>
      </c>
      <c r="AD24" s="1053">
        <f>+AD23/AD22*100</f>
        <v>30.670646067415731</v>
      </c>
      <c r="AE24" s="2440">
        <f>+AE23/AE22*100</f>
        <v>22.259610423270644</v>
      </c>
      <c r="AF24" s="2475">
        <f>+AF23/AF22*100</f>
        <v>36.387395681743932</v>
      </c>
      <c r="AG24" s="4029">
        <v>20</v>
      </c>
      <c r="AH24" s="1053">
        <f>+AH23/AH22*100</f>
        <v>16.921499160917396</v>
      </c>
      <c r="AI24" s="2440">
        <f>+AI23/AI22*100</f>
        <v>21.942448844566599</v>
      </c>
      <c r="AJ24" s="2475">
        <f>+AJ23/AJ22*100</f>
        <v>34.518834068677897</v>
      </c>
      <c r="AK24" s="4029">
        <v>20</v>
      </c>
      <c r="AL24" s="1053" t="e">
        <f>+AL23/AL22*100</f>
        <v>#DIV/0!</v>
      </c>
      <c r="AM24" s="2438">
        <f>+AM23/AM22*100</f>
        <v>20</v>
      </c>
      <c r="AN24" s="2469">
        <f>+AN23/AN22*100</f>
        <v>24.003074419025229</v>
      </c>
      <c r="AO24" s="2440">
        <f>+AO23/AO22*100</f>
        <v>21.69670925401363</v>
      </c>
      <c r="AP24" s="2475">
        <f>+AP23/AP22*100</f>
        <v>34.518834068677897</v>
      </c>
      <c r="AQ24" s="4029">
        <v>20</v>
      </c>
      <c r="AR24" s="1053">
        <f>+AR23/AR22*100</f>
        <v>36.994840928632847</v>
      </c>
      <c r="AS24" s="2440">
        <f>+AS23/AS22*100</f>
        <v>21.503557358051893</v>
      </c>
      <c r="AT24" s="2475">
        <f>+AT23/AT22*100</f>
        <v>34.709152945647418</v>
      </c>
      <c r="AU24" s="4029">
        <v>20</v>
      </c>
      <c r="AV24" s="1053">
        <f>+AV23/AV22*100</f>
        <v>36.996041636123735</v>
      </c>
      <c r="AW24" s="2440">
        <f>+AW23/AW22*100</f>
        <v>21.364731448530787</v>
      </c>
      <c r="AX24" s="2475">
        <f>+AX23/AX22*100</f>
        <v>34.940787764042028</v>
      </c>
      <c r="AY24" s="4029">
        <v>20</v>
      </c>
      <c r="AZ24" s="1053">
        <f>+AZ23/AZ22*100</f>
        <v>34.861213791249412</v>
      </c>
      <c r="BA24" s="2438">
        <f t="shared" ref="BA24:BF24" si="9">+BA23/BA22*100</f>
        <v>20</v>
      </c>
      <c r="BB24" s="2469">
        <f t="shared" si="9"/>
        <v>36.155981493721086</v>
      </c>
      <c r="BC24" s="1057">
        <f t="shared" si="9"/>
        <v>20</v>
      </c>
      <c r="BD24" s="2462">
        <f t="shared" si="9"/>
        <v>31.671754833758737</v>
      </c>
      <c r="BE24" s="2440">
        <f t="shared" si="9"/>
        <v>21.236922507026314</v>
      </c>
      <c r="BF24" s="2475">
        <f t="shared" si="9"/>
        <v>34.932871546628867</v>
      </c>
      <c r="BG24" s="1111"/>
      <c r="BH24" s="1111"/>
      <c r="BI24" s="23"/>
      <c r="BJ24" s="23"/>
      <c r="BK24" s="3464"/>
    </row>
    <row r="25" spans="1:63" ht="15.6" x14ac:dyDescent="0.3">
      <c r="A25" s="137"/>
      <c r="B25" s="137"/>
      <c r="C25" s="2556" t="s">
        <v>502</v>
      </c>
      <c r="D25" s="2555" t="s">
        <v>50</v>
      </c>
      <c r="E25" s="1461">
        <f>+E22-E23</f>
        <v>9211.9446274722395</v>
      </c>
      <c r="F25" s="2555">
        <f>+F22-F23</f>
        <v>10119</v>
      </c>
      <c r="G25" s="1461">
        <f>+G22-G23</f>
        <v>8128.1864360049149</v>
      </c>
      <c r="H25" s="2555">
        <f>+H22-H23</f>
        <v>4252</v>
      </c>
      <c r="I25" s="2437">
        <f>+E25+G25</f>
        <v>17340.131063477154</v>
      </c>
      <c r="J25" s="1073">
        <f>+F25+H25</f>
        <v>14371</v>
      </c>
      <c r="K25" s="1461">
        <f>+K22-K23</f>
        <v>12706.441306369474</v>
      </c>
      <c r="L25" s="2555">
        <f>+L22-L23</f>
        <v>10802</v>
      </c>
      <c r="M25" s="1054">
        <f>E25+G25+K25</f>
        <v>30046.572369846628</v>
      </c>
      <c r="N25" s="1055">
        <f>F25+H25+L25</f>
        <v>25173</v>
      </c>
      <c r="O25" s="1461">
        <f>+O22-O23</f>
        <v>12858.250640973663</v>
      </c>
      <c r="P25" s="2555">
        <f>+P22-P23</f>
        <v>11215</v>
      </c>
      <c r="Q25" s="2437">
        <f>+M25+O25</f>
        <v>42904.823010820292</v>
      </c>
      <c r="R25" s="1073">
        <f>+N25+P25</f>
        <v>36388</v>
      </c>
      <c r="S25" s="1461">
        <f>+S22-S23</f>
        <v>12858.250640973663</v>
      </c>
      <c r="T25" s="2555">
        <f>+T22-T23</f>
        <v>10198</v>
      </c>
      <c r="U25" s="2437">
        <f>+Q25+S25</f>
        <v>55763.073651793951</v>
      </c>
      <c r="V25" s="1073">
        <f>+R25+T25</f>
        <v>46586</v>
      </c>
      <c r="W25" s="1461">
        <f>+W22-W23</f>
        <v>6747.9249231556259</v>
      </c>
      <c r="X25" s="2555">
        <f>+X22-X23</f>
        <v>9773</v>
      </c>
      <c r="Y25" s="1054">
        <f>O25+S25+W25</f>
        <v>32464.426205102951</v>
      </c>
      <c r="Z25" s="1055">
        <f>P25+T25+X25</f>
        <v>31186</v>
      </c>
      <c r="AA25" s="1057">
        <f>+U25+W25</f>
        <v>62510.998574949575</v>
      </c>
      <c r="AB25" s="1059">
        <f>+V25+X25</f>
        <v>56359</v>
      </c>
      <c r="AC25" s="1461">
        <f>+AC22-AC23</f>
        <v>13111.266198647281</v>
      </c>
      <c r="AD25" s="2555">
        <f>+AD22-AD23</f>
        <v>7898</v>
      </c>
      <c r="AE25" s="2437">
        <f>+AA25+AC25</f>
        <v>75622.264773596864</v>
      </c>
      <c r="AF25" s="1073">
        <f>+AB25+AD25</f>
        <v>64257</v>
      </c>
      <c r="AG25" s="1461">
        <f>+AG22-AG23</f>
        <v>12706.441306369474</v>
      </c>
      <c r="AH25" s="2555">
        <f>+AH22-AH23</f>
        <v>8911</v>
      </c>
      <c r="AI25" s="2437">
        <f>+AE25+AG25</f>
        <v>88328.70607996633</v>
      </c>
      <c r="AJ25" s="1073">
        <f>+AF25+AH25</f>
        <v>73168</v>
      </c>
      <c r="AK25" s="1461">
        <f>+AK22-AK23</f>
        <v>13111.266198647281</v>
      </c>
      <c r="AL25" s="2555">
        <f>+AL22-AL23</f>
        <v>0</v>
      </c>
      <c r="AM25" s="1054">
        <f>AC25+AG25+AK25</f>
        <v>38928.973703664036</v>
      </c>
      <c r="AN25" s="1055">
        <f>AD25+AH25+AL25</f>
        <v>16809</v>
      </c>
      <c r="AO25" s="2437">
        <f>+AI25+AK25</f>
        <v>101439.97227861361</v>
      </c>
      <c r="AP25" s="1073">
        <f>+AJ25+AL25</f>
        <v>73168</v>
      </c>
      <c r="AQ25" s="1461">
        <f>+AQ22-AQ23</f>
        <v>13313.67864478619</v>
      </c>
      <c r="AR25" s="2555">
        <f>+AR22-AR23</f>
        <v>5862</v>
      </c>
      <c r="AS25" s="2437">
        <f>+AO25+AQ25</f>
        <v>114753.65092339981</v>
      </c>
      <c r="AT25" s="1073">
        <f>+AP25+AR25</f>
        <v>79030</v>
      </c>
      <c r="AU25" s="1461">
        <f>+AU22-AU23</f>
        <v>11896.791521813886</v>
      </c>
      <c r="AV25" s="2555">
        <f>+AV22-AV23</f>
        <v>8595</v>
      </c>
      <c r="AW25" s="2437">
        <f>+AS25+AU25</f>
        <v>126650.44244521369</v>
      </c>
      <c r="AX25" s="1073">
        <f>+AT25+AV25</f>
        <v>87625</v>
      </c>
      <c r="AY25" s="1461">
        <f>+AY22-AY23</f>
        <v>13313.67864478619</v>
      </c>
      <c r="AZ25" s="2555">
        <f>+AZ22-AZ23</f>
        <v>9692</v>
      </c>
      <c r="BA25" s="1054">
        <f>AQ25+AU25+AY25</f>
        <v>38524.148811386265</v>
      </c>
      <c r="BB25" s="1055">
        <f>AR25+AV25+AZ25</f>
        <v>24149</v>
      </c>
      <c r="BC25" s="1057">
        <f t="shared" ref="BC25:BC26" si="10">AM25+BA25</f>
        <v>77453.122515050301</v>
      </c>
      <c r="BD25" s="1057">
        <f t="shared" ref="BD25:BD26" si="11">AN25+BB25</f>
        <v>40958</v>
      </c>
      <c r="BE25" s="2437">
        <f>+AW25+AY25</f>
        <v>139964.12108999988</v>
      </c>
      <c r="BF25" s="1073">
        <f>+AX25+AZ25</f>
        <v>97317</v>
      </c>
      <c r="BG25" s="1111"/>
      <c r="BH25" s="1111"/>
      <c r="BI25" s="23"/>
      <c r="BJ25" s="23"/>
      <c r="BK25" s="3464"/>
    </row>
    <row r="26" spans="1:63" ht="15.6" x14ac:dyDescent="0.3">
      <c r="A26" s="137"/>
      <c r="B26" s="137"/>
      <c r="C26" s="2556" t="s">
        <v>534</v>
      </c>
      <c r="D26" s="2555" t="s">
        <v>50</v>
      </c>
      <c r="E26" s="1461">
        <f>+E25*E27/100</f>
        <v>4790.2112062855649</v>
      </c>
      <c r="F26" s="2555">
        <v>5262</v>
      </c>
      <c r="G26" s="1461">
        <f>+G25*G27/100</f>
        <v>4226.6569467225554</v>
      </c>
      <c r="H26" s="2555">
        <v>2211</v>
      </c>
      <c r="I26" s="2437">
        <f>+E26+G26</f>
        <v>9016.8681530081194</v>
      </c>
      <c r="J26" s="1073">
        <f>+F26+H26</f>
        <v>7473</v>
      </c>
      <c r="K26" s="1461">
        <f>+K25*K27/100</f>
        <v>6607.3494793121263</v>
      </c>
      <c r="L26" s="2555">
        <v>5617</v>
      </c>
      <c r="M26" s="1054">
        <f>E26+G26+K26</f>
        <v>15624.217632320246</v>
      </c>
      <c r="N26" s="1055">
        <f>F26+H26+L26</f>
        <v>13090</v>
      </c>
      <c r="O26" s="1461">
        <f>+O25*O27/100</f>
        <v>6686.290333306305</v>
      </c>
      <c r="P26" s="2555">
        <v>5832</v>
      </c>
      <c r="Q26" s="2437">
        <f>+M26+O26</f>
        <v>22310.507965626552</v>
      </c>
      <c r="R26" s="1073">
        <f>+N26+P26</f>
        <v>18922</v>
      </c>
      <c r="S26" s="1461">
        <f>+S25*S27/100</f>
        <v>6686.290333306305</v>
      </c>
      <c r="T26" s="2555">
        <v>5303</v>
      </c>
      <c r="U26" s="2437">
        <f>+Q26+S26</f>
        <v>28996.798298932856</v>
      </c>
      <c r="V26" s="1073">
        <f>+R26+T26</f>
        <v>24225</v>
      </c>
      <c r="W26" s="1461">
        <f>+W25*W27/100</f>
        <v>3508.9209600409254</v>
      </c>
      <c r="X26" s="2555">
        <v>5082</v>
      </c>
      <c r="Y26" s="1054">
        <f>O26+S26+W26</f>
        <v>16881.501626653535</v>
      </c>
      <c r="Z26" s="1055">
        <f>P26+T26+X26</f>
        <v>16217</v>
      </c>
      <c r="AA26" s="1057">
        <f>+U26+W26</f>
        <v>32505.719258973782</v>
      </c>
      <c r="AB26" s="1059">
        <f>+V26+X26</f>
        <v>29307</v>
      </c>
      <c r="AC26" s="1461">
        <f>+AC25*AC27/100</f>
        <v>6817.8584232965859</v>
      </c>
      <c r="AD26" s="2555">
        <v>4107</v>
      </c>
      <c r="AE26" s="2437">
        <f>+AA26+AC26</f>
        <v>39323.57768227037</v>
      </c>
      <c r="AF26" s="1073">
        <f>+AB26+AD26</f>
        <v>33414</v>
      </c>
      <c r="AG26" s="1461">
        <f>+AG25*AG27/100</f>
        <v>6607.3494793121263</v>
      </c>
      <c r="AH26" s="2555">
        <v>4634</v>
      </c>
      <c r="AI26" s="2437">
        <f>+AE26+AG26</f>
        <v>45930.927161582498</v>
      </c>
      <c r="AJ26" s="1073">
        <f>+AF26+AH26</f>
        <v>38048</v>
      </c>
      <c r="AK26" s="1461">
        <f>+AK25*AK27/100</f>
        <v>6817.8584232965859</v>
      </c>
      <c r="AL26" s="2555">
        <v>0</v>
      </c>
      <c r="AM26" s="1054">
        <f>AC26+AG26+AK26</f>
        <v>20243.066325905296</v>
      </c>
      <c r="AN26" s="1055">
        <f>AD26+AH26+AL26</f>
        <v>8741</v>
      </c>
      <c r="AO26" s="2437">
        <f>+AI26+AK26</f>
        <v>52748.785584879086</v>
      </c>
      <c r="AP26" s="1073">
        <f>+AJ26+AL26</f>
        <v>38048</v>
      </c>
      <c r="AQ26" s="1461">
        <f>+AQ25*AQ27/100</f>
        <v>6923.1128952888193</v>
      </c>
      <c r="AR26" s="2555">
        <v>3048</v>
      </c>
      <c r="AS26" s="2437">
        <f>+AO26+AQ26</f>
        <v>59671.898480167903</v>
      </c>
      <c r="AT26" s="1073">
        <f>+AP26+AR26</f>
        <v>41096</v>
      </c>
      <c r="AU26" s="1461">
        <f>+AU25*AU27/100</f>
        <v>6186.3315913432207</v>
      </c>
      <c r="AV26" s="2555">
        <v>4469</v>
      </c>
      <c r="AW26" s="2437">
        <f>+AS26+AU26</f>
        <v>65858.23007151112</v>
      </c>
      <c r="AX26" s="1073">
        <f>+AT26+AV26</f>
        <v>45565</v>
      </c>
      <c r="AY26" s="1461">
        <f>+AY25*AY27/100</f>
        <v>6923.1128952888193</v>
      </c>
      <c r="AZ26" s="2555">
        <v>5040</v>
      </c>
      <c r="BA26" s="1054">
        <f>AQ26+AU26+AY26</f>
        <v>20032.557381920858</v>
      </c>
      <c r="BB26" s="1055">
        <f>AR26+AV26+AZ26</f>
        <v>12557</v>
      </c>
      <c r="BC26" s="1057">
        <f t="shared" si="10"/>
        <v>40275.623707826155</v>
      </c>
      <c r="BD26" s="1057">
        <f t="shared" si="11"/>
        <v>21298</v>
      </c>
      <c r="BE26" s="2437">
        <f>+AW26+AY26</f>
        <v>72781.342966799944</v>
      </c>
      <c r="BF26" s="1073">
        <f>+AX26+AZ26</f>
        <v>50605</v>
      </c>
      <c r="BG26" s="1111"/>
      <c r="BH26" s="1111"/>
      <c r="BI26" s="23"/>
      <c r="BJ26" s="23"/>
      <c r="BK26" s="3464"/>
    </row>
    <row r="27" spans="1:63" ht="15.6" x14ac:dyDescent="0.3">
      <c r="A27" s="137"/>
      <c r="B27" s="137"/>
      <c r="C27" s="2556" t="s">
        <v>503</v>
      </c>
      <c r="D27" s="2555" t="s">
        <v>49</v>
      </c>
      <c r="E27" s="4029">
        <v>52</v>
      </c>
      <c r="F27" s="1053">
        <f>+F26/F25*100</f>
        <v>52.001185887933588</v>
      </c>
      <c r="G27" s="4029">
        <v>52</v>
      </c>
      <c r="H27" s="1053">
        <f>+H26/H25*100</f>
        <v>51.999059266227654</v>
      </c>
      <c r="I27" s="2440">
        <f>+I26/I25*100</f>
        <v>51.999999999999993</v>
      </c>
      <c r="J27" s="2475">
        <f>+J26/J25*100</f>
        <v>52.00055667664045</v>
      </c>
      <c r="K27" s="4029">
        <v>52</v>
      </c>
      <c r="L27" s="1042">
        <f>+L26/L25*100</f>
        <v>51.999629698204039</v>
      </c>
      <c r="M27" s="2438">
        <f>+M26/M25*100</f>
        <v>52</v>
      </c>
      <c r="N27" s="2469">
        <f>+N26/N25*100</f>
        <v>52.000158900409168</v>
      </c>
      <c r="O27" s="4029">
        <v>52</v>
      </c>
      <c r="P27" s="1042">
        <f>+P26/P25*100</f>
        <v>52.001783325902807</v>
      </c>
      <c r="Q27" s="2440">
        <f>+Q26/Q25*100</f>
        <v>52</v>
      </c>
      <c r="R27" s="2475">
        <f>+R26/R25*100</f>
        <v>52.000659558096075</v>
      </c>
      <c r="S27" s="4029">
        <v>52</v>
      </c>
      <c r="T27" s="1042">
        <f>+T26/T25*100</f>
        <v>52.000392233771329</v>
      </c>
      <c r="U27" s="2440">
        <f>+U26/U25*100</f>
        <v>52</v>
      </c>
      <c r="V27" s="2475">
        <f>+V26/V25*100</f>
        <v>52.000601038938733</v>
      </c>
      <c r="W27" s="4029">
        <v>52</v>
      </c>
      <c r="X27" s="1042">
        <f>+X26/X25*100</f>
        <v>52.000409290903505</v>
      </c>
      <c r="Y27" s="2438">
        <f>+Y26/Y25*100</f>
        <v>52</v>
      </c>
      <c r="Z27" s="2469">
        <f>+Z26/Z25*100</f>
        <v>52.00089783877381</v>
      </c>
      <c r="AA27" s="1057">
        <f>+AA26/AA25*100</f>
        <v>52</v>
      </c>
      <c r="AB27" s="2462">
        <f>+AB26/AB25*100</f>
        <v>52.00056778864068</v>
      </c>
      <c r="AC27" s="4029">
        <v>52</v>
      </c>
      <c r="AD27" s="1042">
        <f>+AD26/AD25*100</f>
        <v>52.000506457330978</v>
      </c>
      <c r="AE27" s="2440">
        <f>+AE26/AE25*100</f>
        <v>52</v>
      </c>
      <c r="AF27" s="2475">
        <f>+AF26/AF25*100</f>
        <v>52.000560250245108</v>
      </c>
      <c r="AG27" s="4029">
        <v>52</v>
      </c>
      <c r="AH27" s="1042">
        <f>+AH26/AH25*100</f>
        <v>52.003142183817751</v>
      </c>
      <c r="AI27" s="2440">
        <f>+AI26/AI25*100</f>
        <v>52</v>
      </c>
      <c r="AJ27" s="2475">
        <f>+AJ26/AJ25*100</f>
        <v>52.000874699322111</v>
      </c>
      <c r="AK27" s="4029">
        <v>52</v>
      </c>
      <c r="AL27" s="1042" t="e">
        <f>+AL26/AL25*100</f>
        <v>#DIV/0!</v>
      </c>
      <c r="AM27" s="2438">
        <f>+AM26/AM25*100</f>
        <v>51.999999999999993</v>
      </c>
      <c r="AN27" s="2469">
        <f>+AN26/AN25*100</f>
        <v>52.001903742042956</v>
      </c>
      <c r="AO27" s="2440">
        <f>+AO26/AO25*100</f>
        <v>52.000000000000014</v>
      </c>
      <c r="AP27" s="2475">
        <f>+AP26/AP25*100</f>
        <v>52.000874699322111</v>
      </c>
      <c r="AQ27" s="4029">
        <v>52</v>
      </c>
      <c r="AR27" s="1042">
        <f>+AR26/AR25*100</f>
        <v>51.995905834186281</v>
      </c>
      <c r="AS27" s="2440">
        <f>+AS26/AS25*100</f>
        <v>52</v>
      </c>
      <c r="AT27" s="2475">
        <f>+AT26/AT25*100</f>
        <v>52.000506136910033</v>
      </c>
      <c r="AU27" s="4029">
        <v>52</v>
      </c>
      <c r="AV27" s="1042">
        <f>+AV26/AV25*100</f>
        <v>51.995346131471784</v>
      </c>
      <c r="AW27" s="2440">
        <f>+AW26/AW25*100</f>
        <v>52</v>
      </c>
      <c r="AX27" s="2475">
        <f>+AX26/AX25*100</f>
        <v>52</v>
      </c>
      <c r="AY27" s="4029">
        <v>52</v>
      </c>
      <c r="AZ27" s="1053">
        <f>+AZ26/AZ25*100</f>
        <v>52.001650846058602</v>
      </c>
      <c r="BA27" s="2438">
        <f t="shared" ref="BA27:BF27" si="12">+BA26/BA25*100</f>
        <v>52</v>
      </c>
      <c r="BB27" s="2469">
        <f t="shared" si="12"/>
        <v>51.998012340055489</v>
      </c>
      <c r="BC27" s="1057">
        <f t="shared" si="12"/>
        <v>52</v>
      </c>
      <c r="BD27" s="2462">
        <f t="shared" si="12"/>
        <v>51.999609355925578</v>
      </c>
      <c r="BE27" s="2440">
        <f t="shared" si="12"/>
        <v>52</v>
      </c>
      <c r="BF27" s="2475">
        <f t="shared" si="12"/>
        <v>52.000164411151182</v>
      </c>
      <c r="BG27" s="1111"/>
      <c r="BH27" s="1111"/>
      <c r="BI27" s="23"/>
      <c r="BJ27" s="23"/>
      <c r="BK27" s="3464"/>
    </row>
    <row r="28" spans="1:63" ht="15.6" x14ac:dyDescent="0.3">
      <c r="A28" s="137"/>
      <c r="B28" s="137"/>
      <c r="C28" s="2556" t="s">
        <v>584</v>
      </c>
      <c r="D28" s="2555" t="s">
        <v>50</v>
      </c>
      <c r="E28" s="1461">
        <f>+E26*E29/100</f>
        <v>335.31478443998952</v>
      </c>
      <c r="F28" s="1042">
        <v>250</v>
      </c>
      <c r="G28" s="1461">
        <f>+G26*G29/100</f>
        <v>295.86598627057884</v>
      </c>
      <c r="H28" s="1042">
        <v>220</v>
      </c>
      <c r="I28" s="2437">
        <f>+E28+G28</f>
        <v>631.18077071056837</v>
      </c>
      <c r="J28" s="1074">
        <f>+F28+H28</f>
        <v>470</v>
      </c>
      <c r="K28" s="1461">
        <f>+K26*K29/100</f>
        <v>462.51446355184885</v>
      </c>
      <c r="L28" s="1042">
        <v>300</v>
      </c>
      <c r="M28" s="1054">
        <f>E28+G28+K28</f>
        <v>1093.6952342624172</v>
      </c>
      <c r="N28" s="1056">
        <f>+J28+L28</f>
        <v>770</v>
      </c>
      <c r="O28" s="1461">
        <f>+O26*O29/100</f>
        <v>468.0403233314413</v>
      </c>
      <c r="P28" s="1042">
        <v>310</v>
      </c>
      <c r="Q28" s="2437">
        <f>+M28+O28</f>
        <v>1561.7355575938586</v>
      </c>
      <c r="R28" s="1074">
        <f>+N28+P28</f>
        <v>1080</v>
      </c>
      <c r="S28" s="1461">
        <f>+S26*S29/100</f>
        <v>468.0403233314413</v>
      </c>
      <c r="T28" s="1042">
        <v>310</v>
      </c>
      <c r="U28" s="2437">
        <f>+Q28+S28</f>
        <v>2029.7758809253</v>
      </c>
      <c r="V28" s="1074">
        <f>+R28+T28</f>
        <v>1390</v>
      </c>
      <c r="W28" s="1461">
        <f>+W26*W29/100</f>
        <v>245.62446720286476</v>
      </c>
      <c r="X28" s="1042">
        <v>300</v>
      </c>
      <c r="Y28" s="1054">
        <f>O28+S28+W28</f>
        <v>1181.7051138657473</v>
      </c>
      <c r="Z28" s="1055">
        <f>P28+T28+X28</f>
        <v>920</v>
      </c>
      <c r="AA28" s="1057">
        <f>+U28+W28</f>
        <v>2275.4003481281648</v>
      </c>
      <c r="AB28" s="1058">
        <f>+V28+X28</f>
        <v>1690</v>
      </c>
      <c r="AC28" s="1461">
        <f>+AC26*AC29/100</f>
        <v>477.25008963076101</v>
      </c>
      <c r="AD28" s="1042">
        <v>310</v>
      </c>
      <c r="AE28" s="2437">
        <f>+AA28+AC28</f>
        <v>2752.6504377589258</v>
      </c>
      <c r="AF28" s="1074">
        <f>+AB28+AD28</f>
        <v>2000</v>
      </c>
      <c r="AG28" s="1461">
        <f>+AG26*AG29/100</f>
        <v>462.51446355184885</v>
      </c>
      <c r="AH28" s="1042">
        <v>300</v>
      </c>
      <c r="AI28" s="2437">
        <f>+AE28+AG28</f>
        <v>3215.1649013107744</v>
      </c>
      <c r="AJ28" s="1074">
        <f>+AF28+AH28</f>
        <v>2300</v>
      </c>
      <c r="AK28" s="1461">
        <f>+AK26*AK29/100</f>
        <v>477.25008963076101</v>
      </c>
      <c r="AL28" s="1042">
        <v>0</v>
      </c>
      <c r="AM28" s="1054">
        <f>AC28+AG28+AK28</f>
        <v>1417.014642813371</v>
      </c>
      <c r="AN28" s="1055">
        <f>AD28+AH28+AL28</f>
        <v>610</v>
      </c>
      <c r="AO28" s="2437">
        <f>+AI28+AK28</f>
        <v>3692.4149909415355</v>
      </c>
      <c r="AP28" s="1074">
        <f>+AJ28+AL28</f>
        <v>2300</v>
      </c>
      <c r="AQ28" s="1461">
        <f>+AQ26*AQ29/100</f>
        <v>484.61790267021735</v>
      </c>
      <c r="AR28" s="1042">
        <v>70</v>
      </c>
      <c r="AS28" s="2437">
        <f>+AO28+AQ28</f>
        <v>4177.032893611753</v>
      </c>
      <c r="AT28" s="1074">
        <f>+AP28+AR28</f>
        <v>2370</v>
      </c>
      <c r="AU28" s="1461">
        <f>+AU26*AU29/100</f>
        <v>433.04321139402543</v>
      </c>
      <c r="AV28" s="1042">
        <v>250</v>
      </c>
      <c r="AW28" s="2437">
        <f>+AS28+AU28</f>
        <v>4610.0761050057781</v>
      </c>
      <c r="AX28" s="1074">
        <f>+AT28+AV28</f>
        <v>2620</v>
      </c>
      <c r="AY28" s="1461">
        <f>+AY26*AY29/100</f>
        <v>484.61790267021735</v>
      </c>
      <c r="AZ28" s="1042">
        <v>270</v>
      </c>
      <c r="BA28" s="1054">
        <f>AQ28+AU28+AY28</f>
        <v>1402.2790167344601</v>
      </c>
      <c r="BB28" s="1055">
        <f>AR28+AV28+AZ28</f>
        <v>590</v>
      </c>
      <c r="BC28" s="1057">
        <f>AM28+BA28</f>
        <v>2819.2936595478313</v>
      </c>
      <c r="BD28" s="1057">
        <f>AN28+BB28</f>
        <v>1200</v>
      </c>
      <c r="BE28" s="2437">
        <f>+AW28+AY28</f>
        <v>5094.6940076759956</v>
      </c>
      <c r="BF28" s="1074">
        <f>+AX28+AZ28</f>
        <v>2890</v>
      </c>
      <c r="BG28" s="1111"/>
      <c r="BH28" s="1111"/>
      <c r="BI28" s="23"/>
      <c r="BJ28" s="23"/>
      <c r="BK28" s="3464"/>
    </row>
    <row r="29" spans="1:63" ht="15.6" x14ac:dyDescent="0.3">
      <c r="A29" s="137"/>
      <c r="B29" s="137"/>
      <c r="C29" s="2556" t="s">
        <v>585</v>
      </c>
      <c r="D29" s="2555" t="s">
        <v>49</v>
      </c>
      <c r="E29" s="4029">
        <v>7</v>
      </c>
      <c r="F29" s="1053">
        <f>+F28/F26*100</f>
        <v>4.7510452299505896</v>
      </c>
      <c r="G29" s="4029">
        <v>7</v>
      </c>
      <c r="H29" s="1053">
        <f>+H28/H26*100</f>
        <v>9.9502487562189064</v>
      </c>
      <c r="I29" s="2440">
        <f>+I28/I26*100</f>
        <v>7.0000000000000009</v>
      </c>
      <c r="J29" s="2475">
        <f>+J28/J26*100</f>
        <v>6.2893081761006293</v>
      </c>
      <c r="K29" s="4029">
        <v>7</v>
      </c>
      <c r="L29" s="1053">
        <f>+L28/L26*100</f>
        <v>5.3409293217019762</v>
      </c>
      <c r="M29" s="2438">
        <f>+M28/M26*100</f>
        <v>7.0000000000000009</v>
      </c>
      <c r="N29" s="2469">
        <f>+N28/N26*100</f>
        <v>5.8823529411764701</v>
      </c>
      <c r="O29" s="4029">
        <v>7</v>
      </c>
      <c r="P29" s="1053">
        <f>+P28/P26*100</f>
        <v>5.315500685871057</v>
      </c>
      <c r="Q29" s="2440">
        <f>+Q28/Q26*100</f>
        <v>7.0000000000000009</v>
      </c>
      <c r="R29" s="2475">
        <f>+R28/R26*100</f>
        <v>5.7076418983194168</v>
      </c>
      <c r="S29" s="4029">
        <v>7</v>
      </c>
      <c r="T29" s="1053">
        <f>+T28/T26*100</f>
        <v>5.8457476899868004</v>
      </c>
      <c r="U29" s="2440">
        <f>+U28/U26*100</f>
        <v>7.0000000000000009</v>
      </c>
      <c r="V29" s="2475">
        <f>+V28/V26*100</f>
        <v>5.7378740970072242</v>
      </c>
      <c r="W29" s="4029">
        <v>7</v>
      </c>
      <c r="X29" s="1053">
        <f>+X28/X26*100</f>
        <v>5.9031877213695401</v>
      </c>
      <c r="Y29" s="2438">
        <f>+Y28/Y26*100</f>
        <v>6.9999999999999991</v>
      </c>
      <c r="Z29" s="2469">
        <f>+Z28/Z26*100</f>
        <v>5.6730591354751185</v>
      </c>
      <c r="AA29" s="2439">
        <f>+AA28/AA26*100</f>
        <v>6.9999999999999991</v>
      </c>
      <c r="AB29" s="2462">
        <f>+AB28/AB26*100</f>
        <v>5.7665404169652303</v>
      </c>
      <c r="AC29" s="4029">
        <v>7</v>
      </c>
      <c r="AD29" s="1053">
        <f>+AD28/AD26*100</f>
        <v>7.5480886291697109</v>
      </c>
      <c r="AE29" s="2440">
        <f>+AE28/AE26*100</f>
        <v>6.9999999999999991</v>
      </c>
      <c r="AF29" s="2475">
        <f>+AF28/AF26*100</f>
        <v>5.9855150535703592</v>
      </c>
      <c r="AG29" s="4029">
        <v>7</v>
      </c>
      <c r="AH29" s="1053">
        <f>+AH28/AH26*100</f>
        <v>6.473888649115235</v>
      </c>
      <c r="AI29" s="2440">
        <f>+AI28/AI26*100</f>
        <v>6.9999999999999991</v>
      </c>
      <c r="AJ29" s="2475">
        <f>+AJ28/AJ26*100</f>
        <v>6.0449957947855344</v>
      </c>
      <c r="AK29" s="4029">
        <v>7</v>
      </c>
      <c r="AL29" s="1053" t="e">
        <f>+AL28/AL26*100</f>
        <v>#DIV/0!</v>
      </c>
      <c r="AM29" s="2438">
        <f>+AM28/AM26*100</f>
        <v>7.0000000000000009</v>
      </c>
      <c r="AN29" s="2469">
        <f>+AN28/AN26*100</f>
        <v>6.9786065667543768</v>
      </c>
      <c r="AO29" s="2440">
        <f>+AO28/AO26*100</f>
        <v>6.9999999999999991</v>
      </c>
      <c r="AP29" s="2475">
        <f>+AP28/AP26*100</f>
        <v>6.0449957947855344</v>
      </c>
      <c r="AQ29" s="4029">
        <v>7</v>
      </c>
      <c r="AR29" s="1053">
        <f>+AR28/AR26*100</f>
        <v>2.2965879265091864</v>
      </c>
      <c r="AS29" s="2440">
        <f>+AS28/AS26*100</f>
        <v>6.9999999999999991</v>
      </c>
      <c r="AT29" s="2475">
        <f>+AT28/AT26*100</f>
        <v>5.766984621374343</v>
      </c>
      <c r="AU29" s="4029">
        <v>7</v>
      </c>
      <c r="AV29" s="1053">
        <f>+AV28/AV26*100</f>
        <v>5.5940926381740885</v>
      </c>
      <c r="AW29" s="2440">
        <f>+AW28/AW26*100</f>
        <v>6.9999999999999991</v>
      </c>
      <c r="AX29" s="2475">
        <f>+AX28/AX26*100</f>
        <v>5.7500274333369914</v>
      </c>
      <c r="AY29" s="4029">
        <v>7</v>
      </c>
      <c r="AZ29" s="1053">
        <f>+AZ28/AZ26*100</f>
        <v>5.3571428571428568</v>
      </c>
      <c r="BA29" s="2438">
        <f t="shared" ref="BA29:BF29" si="13">+BA28/BA26*100</f>
        <v>7.0000000000000009</v>
      </c>
      <c r="BB29" s="2469">
        <f t="shared" si="13"/>
        <v>4.6985745002787285</v>
      </c>
      <c r="BC29" s="2439">
        <f t="shared" si="13"/>
        <v>7.0000000000000009</v>
      </c>
      <c r="BD29" s="2462">
        <f t="shared" si="13"/>
        <v>5.6343318621466807</v>
      </c>
      <c r="BE29" s="2440">
        <f t="shared" si="13"/>
        <v>6.9999999999999991</v>
      </c>
      <c r="BF29" s="2475">
        <f t="shared" si="13"/>
        <v>5.7108981325955934</v>
      </c>
      <c r="BG29" s="1111"/>
      <c r="BH29" s="1111"/>
      <c r="BI29" s="23"/>
      <c r="BJ29" s="23"/>
      <c r="BK29" s="3464"/>
    </row>
    <row r="30" spans="1:63" ht="15.6" x14ac:dyDescent="0.3">
      <c r="A30" s="137"/>
      <c r="B30" s="137"/>
      <c r="C30" s="2216" t="s">
        <v>590</v>
      </c>
      <c r="D30" s="2555"/>
      <c r="E30" s="6360">
        <v>100</v>
      </c>
      <c r="F30" s="1053"/>
      <c r="G30" s="6360">
        <v>110</v>
      </c>
      <c r="H30" s="1053"/>
      <c r="I30" s="6365">
        <f>+((E30*E26)+(G30*G26))/(I26)</f>
        <v>104.68750000000001</v>
      </c>
      <c r="J30" s="2475"/>
      <c r="K30" s="6377">
        <v>90</v>
      </c>
      <c r="L30" s="1053"/>
      <c r="M30" s="6369">
        <f>+((E30*E26)+(G26*G30)+(K26*K30))/M26</f>
        <v>98.476280484172946</v>
      </c>
      <c r="N30" s="2469"/>
      <c r="O30" s="6377">
        <v>90</v>
      </c>
      <c r="P30" s="1053"/>
      <c r="Q30" s="6365">
        <f>+((M30*M26)+(O30*O26))/(Q26)</f>
        <v>95.936003393618279</v>
      </c>
      <c r="R30" s="2475"/>
      <c r="S30" s="6377">
        <v>90</v>
      </c>
      <c r="T30" s="1053"/>
      <c r="U30" s="6365">
        <f>+((Q30*Q26)+(S30*S26))/(U26)</f>
        <v>94.56723703189607</v>
      </c>
      <c r="V30" s="2475"/>
      <c r="W30" s="6377">
        <v>90</v>
      </c>
      <c r="X30" s="1053"/>
      <c r="Y30" s="6369">
        <f>+((O30*O26)+(S26*S30)+(W26*W30))/Y26</f>
        <v>90.000000000000014</v>
      </c>
      <c r="Z30" s="2469"/>
      <c r="AA30" s="6375">
        <f>+((U30*U26)+(W30*W26))/(AA26)</f>
        <v>94.074213831178213</v>
      </c>
      <c r="AB30" s="2462"/>
      <c r="AC30" s="6382">
        <v>100</v>
      </c>
      <c r="AD30" s="1053"/>
      <c r="AE30" s="6365">
        <f>+((AA30*AA26)+(AC30*AC26))/(AE26)</f>
        <v>95.101617071854633</v>
      </c>
      <c r="AF30" s="2475"/>
      <c r="AG30" s="6382">
        <v>100</v>
      </c>
      <c r="AH30" s="1053"/>
      <c r="AI30" s="6365">
        <f>+((AE30*AE26)+(AG30*AG26))/(AI26)</f>
        <v>95.80626925045955</v>
      </c>
      <c r="AJ30" s="2475"/>
      <c r="AK30" s="6382">
        <v>110</v>
      </c>
      <c r="AL30" s="1053"/>
      <c r="AM30" s="6369">
        <f>+((AC30*AC26)+(AG26*AG30)+(AK26*AK30))/AM26</f>
        <v>103.36799688028077</v>
      </c>
      <c r="AN30" s="2469"/>
      <c r="AO30" s="6365">
        <f>+((AI30*AI26)+(AK30*AK26))/(AO26)</f>
        <v>97.640829907653099</v>
      </c>
      <c r="AP30" s="2475"/>
      <c r="AQ30" s="6382">
        <v>110</v>
      </c>
      <c r="AR30" s="1053"/>
      <c r="AS30" s="6365">
        <f>+((AO30*AO26)+(AQ30*AQ26))/(AS26)</f>
        <v>99.074736520660096</v>
      </c>
      <c r="AT30" s="2475"/>
      <c r="AU30" s="6382">
        <v>110</v>
      </c>
      <c r="AV30" s="1053"/>
      <c r="AW30" s="6365">
        <f>+((AS30*AS26)+(AU30*AU26))/(AW26)</f>
        <v>100.10099098472026</v>
      </c>
      <c r="AX30" s="2475"/>
      <c r="AY30" s="6360">
        <v>110</v>
      </c>
      <c r="AZ30" s="1053"/>
      <c r="BA30" s="6369">
        <f>+((AQ30*AQ26)+(AU26*AU30)+(AY26*AY30))/BA26</f>
        <v>110</v>
      </c>
      <c r="BB30" s="2469"/>
      <c r="BC30" s="6375">
        <f>+((AM30*AM26)+(BA30*BA26))/(BC26)</f>
        <v>106.66666666666667</v>
      </c>
      <c r="BD30" s="2462"/>
      <c r="BE30" s="6365">
        <f>+((AW30*AW26)+(AY30*AY26))/(BE26)</f>
        <v>101.04260533491883</v>
      </c>
      <c r="BF30" s="2475"/>
      <c r="BG30" s="1111"/>
      <c r="BH30" s="1111"/>
      <c r="BI30" s="23"/>
      <c r="BJ30" s="23"/>
      <c r="BK30" s="3464"/>
    </row>
    <row r="31" spans="1:63" ht="15.6" x14ac:dyDescent="0.3">
      <c r="A31" s="137"/>
      <c r="B31" s="137"/>
      <c r="C31" s="2455" t="s">
        <v>664</v>
      </c>
      <c r="D31" s="2555"/>
      <c r="E31" s="6361"/>
      <c r="F31" s="3609">
        <v>131.97999999999999</v>
      </c>
      <c r="G31" s="6361"/>
      <c r="H31" s="3609">
        <v>113.12</v>
      </c>
      <c r="I31" s="6365"/>
      <c r="J31" s="1075">
        <f>+((F31*F26)+(H26*H31))/(F26+H26)</f>
        <v>126.39998394219187</v>
      </c>
      <c r="K31" s="6377"/>
      <c r="L31" s="3609">
        <v>86.33</v>
      </c>
      <c r="M31" s="6369">
        <f t="shared" ref="M31:M32" si="14">+((E31*E25)+(G25*G31)+(K25*K31))/M25</f>
        <v>0</v>
      </c>
      <c r="N31" s="1062">
        <f>+((F31*F26)+(H26*H31)+(L26*L31))/N26</f>
        <v>109.20570588235293</v>
      </c>
      <c r="O31" s="6377"/>
      <c r="P31" s="3609">
        <v>123.22</v>
      </c>
      <c r="Q31" s="6365"/>
      <c r="R31" s="1075">
        <f>+((N31*N26)+(P26*P31))/(N26+P26)</f>
        <v>113.52508878554065</v>
      </c>
      <c r="S31" s="6377"/>
      <c r="T31" s="3609">
        <v>107.33</v>
      </c>
      <c r="U31" s="6365"/>
      <c r="V31" s="1075">
        <f>+((R31*R26)+(T26*T31))/(R26+T26)</f>
        <v>112.16894613003095</v>
      </c>
      <c r="W31" s="6377"/>
      <c r="X31" s="3609">
        <v>107.75</v>
      </c>
      <c r="Y31" s="6369">
        <f t="shared" ref="Y31:Y32" si="15">+((Q31*Q25)+(S25*S31)+(W25*W31))/Y25</f>
        <v>0</v>
      </c>
      <c r="Z31" s="1062">
        <f>+((P31*P26)+(T26*T31)+(X26*X31))/Z26</f>
        <v>113.17602084232595</v>
      </c>
      <c r="AA31" s="6375"/>
      <c r="AB31" s="1063">
        <f>(N31*N$26+Z31*Z$26)/AB$26</f>
        <v>111.40267581123963</v>
      </c>
      <c r="AC31" s="6382"/>
      <c r="AD31" s="3609">
        <v>81.84</v>
      </c>
      <c r="AE31" s="6365"/>
      <c r="AF31" s="1075">
        <f>+((AB31*AB26)+(AD26*AD31))/(AB26+AD26)</f>
        <v>107.7690518944155</v>
      </c>
      <c r="AG31" s="6382"/>
      <c r="AH31" s="3609">
        <v>61.37</v>
      </c>
      <c r="AI31" s="6365"/>
      <c r="AJ31" s="1075">
        <f>+((AF31*AF26)+(AH26*AH31))/(AF26+AH26)</f>
        <v>102.11794785534062</v>
      </c>
      <c r="AK31" s="6382"/>
      <c r="AL31" s="3609">
        <v>0</v>
      </c>
      <c r="AM31" s="6369">
        <f t="shared" ref="AM31:AM32" si="16">+((AE31*AE25)+(AG25*AG31)+(AK25*AK31))/AM25</f>
        <v>0</v>
      </c>
      <c r="AN31" s="1062">
        <f>+((AD31*AD26)+(AH26*AH31)+(AL26*AL31))/AN26</f>
        <v>70.98792586660565</v>
      </c>
      <c r="AO31" s="6365"/>
      <c r="AP31" s="1075">
        <f>+((AJ31*AJ26)+(AL26*AL31))/(AJ26+AL26)</f>
        <v>102.11794785534062</v>
      </c>
      <c r="AQ31" s="6382"/>
      <c r="AR31" s="3609">
        <v>108.43</v>
      </c>
      <c r="AS31" s="6365"/>
      <c r="AT31" s="1075">
        <f>+((AP31*AP26)+(AR26*AR31))/(AP26+AR26)</f>
        <v>102.58609889040294</v>
      </c>
      <c r="AU31" s="6382"/>
      <c r="AV31" s="3609">
        <v>125.27</v>
      </c>
      <c r="AW31" s="6365"/>
      <c r="AX31" s="1075">
        <f>+((AT31*AT26)+(AV26*AV31))/(AT26+AV26)</f>
        <v>104.81092834412377</v>
      </c>
      <c r="AY31" s="6361"/>
      <c r="AZ31" s="3609">
        <v>123.41</v>
      </c>
      <c r="BA31" s="6369">
        <f t="shared" ref="BA31:BA32" si="17">+((AS31*AS25)+(AU25*AU31)+(AY25*AY31))/BA25</f>
        <v>0</v>
      </c>
      <c r="BB31" s="1062">
        <f>+((AR31*AR26)+(AV26*AV31)+(AZ26*AZ31))/BB26</f>
        <v>120.43582623238034</v>
      </c>
      <c r="BC31" s="6375"/>
      <c r="BD31" s="1063">
        <f>(AN31*AN$26+BB31*BB$26)/BD$26</f>
        <v>100.1417095501925</v>
      </c>
      <c r="BE31" s="6365"/>
      <c r="BF31" s="1075">
        <f>+((AX31*AX26)+(AZ26*AZ31))/(AX26+AZ26)</f>
        <v>106.66330105720778</v>
      </c>
      <c r="BG31" s="1111"/>
      <c r="BH31" s="1111"/>
      <c r="BI31" s="23"/>
      <c r="BJ31" s="23"/>
      <c r="BK31" s="3464"/>
    </row>
    <row r="32" spans="1:63" ht="16.2" thickBot="1" x14ac:dyDescent="0.35">
      <c r="A32" s="137"/>
      <c r="B32" s="137"/>
      <c r="C32" s="2456" t="s">
        <v>663</v>
      </c>
      <c r="D32" s="2457"/>
      <c r="E32" s="6362"/>
      <c r="F32" s="3610"/>
      <c r="G32" s="6362"/>
      <c r="H32" s="3610"/>
      <c r="I32" s="6366"/>
      <c r="J32" s="1076">
        <f>+((F32*F26)+(H26*H32))/(F26+H26)</f>
        <v>0</v>
      </c>
      <c r="K32" s="6379"/>
      <c r="L32" s="3610">
        <v>128.47</v>
      </c>
      <c r="M32" s="6370">
        <f t="shared" si="14"/>
        <v>0</v>
      </c>
      <c r="N32" s="1064">
        <f>+((F32*F26)+(H26*H32)+(L26*L32))/N26</f>
        <v>55.127271963330784</v>
      </c>
      <c r="O32" s="6379"/>
      <c r="P32" s="3610">
        <v>88.87</v>
      </c>
      <c r="Q32" s="6366"/>
      <c r="R32" s="1076">
        <f>+((N32*N26)+(P26*P32))/(N26+P26)</f>
        <v>65.52720801183807</v>
      </c>
      <c r="S32" s="6379"/>
      <c r="T32" s="3610">
        <v>78.7</v>
      </c>
      <c r="U32" s="6366"/>
      <c r="V32" s="1076">
        <f>+((R32*R26)+(T26*T32))/(R26+T26)</f>
        <v>68.410812383900932</v>
      </c>
      <c r="W32" s="6379"/>
      <c r="X32" s="3610">
        <v>83.33</v>
      </c>
      <c r="Y32" s="6370">
        <f t="shared" si="15"/>
        <v>0</v>
      </c>
      <c r="Z32" s="1064">
        <f>+((P32*P26)+(T26*T32)+(X26*X32))/Z26</f>
        <v>83.808287599432688</v>
      </c>
      <c r="AA32" s="6376"/>
      <c r="AB32" s="1065">
        <f>(N32*N$26+Z32*Z$26)/AB$26</f>
        <v>70.997884123247005</v>
      </c>
      <c r="AC32" s="6383"/>
      <c r="AD32" s="3610">
        <v>64.09</v>
      </c>
      <c r="AE32" s="6366"/>
      <c r="AF32" s="1076">
        <f>+((AB32*AB26)+(AD26*AD32))/(AB26+AD26)</f>
        <v>70.148818459328425</v>
      </c>
      <c r="AG32" s="6383"/>
      <c r="AH32" s="3610">
        <v>48.33</v>
      </c>
      <c r="AI32" s="6366"/>
      <c r="AJ32" s="1076">
        <f>+((AF32*AF26)+(AH26*AH32))/(AF26+AH26)</f>
        <v>67.491427670311197</v>
      </c>
      <c r="AK32" s="6383"/>
      <c r="AL32" s="3610">
        <v>0</v>
      </c>
      <c r="AM32" s="6370">
        <f t="shared" si="16"/>
        <v>0</v>
      </c>
      <c r="AN32" s="1064">
        <f>+((AD32*AD26)+(AH26*AH32)+(AL26*AL32))/AN26</f>
        <v>55.734910193341719</v>
      </c>
      <c r="AO32" s="6366"/>
      <c r="AP32" s="1076">
        <f>+((AJ32*AJ26)+(AL26*AL32))/(AJ26+AL26)</f>
        <v>67.491427670311197</v>
      </c>
      <c r="AQ32" s="6383"/>
      <c r="AR32" s="3610">
        <v>82.77</v>
      </c>
      <c r="AS32" s="6366"/>
      <c r="AT32" s="1076">
        <f>+((AP32*AP26)+(AR26*AR32))/(AP26+AR26)</f>
        <v>68.624605801051203</v>
      </c>
      <c r="AU32" s="6383"/>
      <c r="AV32" s="3610">
        <v>108.92</v>
      </c>
      <c r="AW32" s="6366"/>
      <c r="AX32" s="1076">
        <f>+((AT32*AT26)+(AV26*AV32))/(AT26+AV26)</f>
        <v>72.576764621968621</v>
      </c>
      <c r="AY32" s="6362"/>
      <c r="AZ32" s="3610">
        <v>100.33</v>
      </c>
      <c r="BA32" s="6370">
        <f t="shared" si="17"/>
        <v>0</v>
      </c>
      <c r="BB32" s="1064">
        <f>+((AR32*AR26)+(AV26*AV32)+(AZ26*AZ32))/BB26</f>
        <v>99.124762283985021</v>
      </c>
      <c r="BC32" s="6376"/>
      <c r="BD32" s="1065">
        <f>(AN32*AN$26+BB32*BB$26)/BD$26</f>
        <v>81.316954174100843</v>
      </c>
      <c r="BE32" s="6366"/>
      <c r="BF32" s="1076">
        <f>+((AX32*AX26)+(AZ26*AZ32))/(AX26+AZ26)</f>
        <v>75.340845371010772</v>
      </c>
      <c r="BG32" s="1111"/>
      <c r="BH32" s="1111"/>
      <c r="BI32" s="23"/>
      <c r="BJ32" s="23"/>
      <c r="BK32" s="3464"/>
    </row>
    <row r="33" spans="1:63" ht="15" thickBot="1" x14ac:dyDescent="0.35">
      <c r="A33" s="137"/>
      <c r="B33" s="137"/>
      <c r="C33" s="556"/>
      <c r="D33" s="137"/>
      <c r="E33" s="137"/>
      <c r="F33" s="137"/>
      <c r="G33" s="137"/>
      <c r="H33" s="137"/>
      <c r="I33" s="137"/>
      <c r="J33" s="137"/>
      <c r="K33" s="137"/>
      <c r="L33" s="137"/>
      <c r="M33" s="137"/>
      <c r="N33" s="137"/>
      <c r="O33" s="137"/>
      <c r="P33" s="137"/>
      <c r="Q33" s="137"/>
      <c r="R33" s="137"/>
      <c r="S33" s="137"/>
      <c r="T33" s="137"/>
      <c r="U33" s="137"/>
      <c r="V33" s="137"/>
      <c r="W33" s="137"/>
      <c r="X33" s="137"/>
      <c r="Y33" s="137"/>
      <c r="Z33" s="137"/>
      <c r="AA33" s="137"/>
      <c r="AB33" s="137"/>
      <c r="AC33" s="137"/>
      <c r="AD33" s="137"/>
      <c r="AE33" s="137"/>
      <c r="AF33" s="137"/>
      <c r="AG33" s="137"/>
      <c r="AH33" s="137"/>
      <c r="AI33" s="137"/>
      <c r="AJ33" s="137"/>
      <c r="AK33" s="137"/>
      <c r="AL33" s="137"/>
      <c r="AM33" s="137"/>
      <c r="AN33" s="137"/>
      <c r="AO33" s="137"/>
      <c r="AP33" s="137"/>
      <c r="AQ33" s="137"/>
      <c r="AR33" s="137"/>
      <c r="AS33" s="137"/>
      <c r="AT33" s="137"/>
      <c r="AU33" s="137"/>
      <c r="AV33" s="137"/>
      <c r="AW33" s="137"/>
      <c r="AX33" s="137"/>
      <c r="AY33" s="137"/>
      <c r="AZ33" s="137"/>
      <c r="BA33" s="137"/>
      <c r="BB33" s="137"/>
      <c r="BC33" s="137"/>
      <c r="BD33" s="137"/>
      <c r="BE33" s="137"/>
      <c r="BF33" s="137"/>
      <c r="BG33" s="1111"/>
      <c r="BH33" s="1111"/>
      <c r="BI33" s="23"/>
      <c r="BJ33" s="23"/>
      <c r="BK33" s="3464"/>
    </row>
    <row r="34" spans="1:63" ht="16.2" thickBot="1" x14ac:dyDescent="0.35">
      <c r="A34" s="137"/>
      <c r="B34" s="137"/>
      <c r="C34" s="483" t="s">
        <v>266</v>
      </c>
      <c r="D34" s="1228" t="s">
        <v>50</v>
      </c>
      <c r="E34" s="484">
        <f>+SMS!E5</f>
        <v>193691.14877589454</v>
      </c>
      <c r="F34" s="485">
        <f>+SMS!F5</f>
        <v>223226</v>
      </c>
      <c r="G34" s="484">
        <f>+SMS!G5</f>
        <v>170903.95480225986</v>
      </c>
      <c r="H34" s="485">
        <f>+SMS!H5</f>
        <v>97961</v>
      </c>
      <c r="I34" s="484">
        <f>+SMS!I5</f>
        <v>364595.10357815441</v>
      </c>
      <c r="J34" s="485">
        <f>+SMS!J5</f>
        <v>321187</v>
      </c>
      <c r="K34" s="484">
        <f>+SMS!K5</f>
        <v>237110.48158640199</v>
      </c>
      <c r="L34" s="485">
        <f>+SMS!L5</f>
        <v>243453</v>
      </c>
      <c r="M34" s="1395">
        <f>+SMS!M5</f>
        <v>601705.5851645564</v>
      </c>
      <c r="N34" s="1396">
        <f>+SMS!N5</f>
        <v>564640</v>
      </c>
      <c r="O34" s="484">
        <f>+SMS!O5</f>
        <v>239943.34277620399</v>
      </c>
      <c r="P34" s="485">
        <f>+SMS!P5</f>
        <v>253662</v>
      </c>
      <c r="Q34" s="484">
        <f>+SMS!Q5</f>
        <v>841648.92794076039</v>
      </c>
      <c r="R34" s="485">
        <f>+SMS!R5</f>
        <v>818302</v>
      </c>
      <c r="S34" s="484">
        <f>+SMS!S5</f>
        <v>239943.34277620399</v>
      </c>
      <c r="T34" s="485">
        <f>+SMS!T5</f>
        <v>237622</v>
      </c>
      <c r="U34" s="484">
        <f>+SMS!U5</f>
        <v>1081592.2707169643</v>
      </c>
      <c r="V34" s="485">
        <f>+SMS!V5</f>
        <v>1055924</v>
      </c>
      <c r="W34" s="484">
        <f>+SMS!W5</f>
        <v>125920.679886686</v>
      </c>
      <c r="X34" s="485">
        <f>+SMS!X5</f>
        <v>226847</v>
      </c>
      <c r="Y34" s="1395">
        <f>+SMS!Y5</f>
        <v>605807.36543909402</v>
      </c>
      <c r="Z34" s="1396">
        <f>+SMS!Z5</f>
        <v>718131</v>
      </c>
      <c r="AA34" s="485">
        <f>+SMS!AA5</f>
        <v>1207512.9506036504</v>
      </c>
      <c r="AB34" s="485">
        <f>+SMS!AB5</f>
        <v>1282771</v>
      </c>
      <c r="AC34" s="484">
        <f>+SMS!AC5</f>
        <v>244664.77809253999</v>
      </c>
      <c r="AD34" s="485">
        <f>+SMS!AD5</f>
        <v>179201</v>
      </c>
      <c r="AE34" s="484">
        <f>+SMS!AE5</f>
        <v>1452177.7286961903</v>
      </c>
      <c r="AF34" s="485">
        <f>+SMS!AF5</f>
        <v>1461972</v>
      </c>
      <c r="AG34" s="484">
        <f>+SMS!AG5</f>
        <v>237110.48158640199</v>
      </c>
      <c r="AH34" s="485">
        <f>+SMS!AH5</f>
        <v>229502</v>
      </c>
      <c r="AI34" s="484">
        <f>+SMS!AI5</f>
        <v>1689288.2102825923</v>
      </c>
      <c r="AJ34" s="485">
        <f>+SMS!AJ5</f>
        <v>1691474</v>
      </c>
      <c r="AK34" s="484">
        <f>+SMS!AK5</f>
        <v>244664.77809253999</v>
      </c>
      <c r="AL34" s="485">
        <f>+SMS!AL5</f>
        <v>234365</v>
      </c>
      <c r="AM34" s="1395">
        <f>+SMS!AM5</f>
        <v>726440.03777148202</v>
      </c>
      <c r="AN34" s="1396">
        <f>+SMS!AN5</f>
        <v>643068</v>
      </c>
      <c r="AO34" s="484">
        <f>+SMS!AO5</f>
        <v>1933952.9883751324</v>
      </c>
      <c r="AP34" s="485">
        <f>+SMS!AP5</f>
        <v>1925839</v>
      </c>
      <c r="AQ34" s="484">
        <f>+SMS!AQ5</f>
        <v>248441.92634560907</v>
      </c>
      <c r="AR34" s="485">
        <f>+SMS!AR5</f>
        <v>228047</v>
      </c>
      <c r="AS34" s="484">
        <f>+SMS!AS5</f>
        <v>2182394.9147207416</v>
      </c>
      <c r="AT34" s="485">
        <f>+SMS!AT5</f>
        <v>2153886</v>
      </c>
      <c r="AU34" s="484">
        <f>+SMS!AU5</f>
        <v>222001.88857412653</v>
      </c>
      <c r="AV34" s="485">
        <f>+SMS!AV5</f>
        <v>185016</v>
      </c>
      <c r="AW34" s="484">
        <f>+SMS!AW5</f>
        <v>2404396.8032948682</v>
      </c>
      <c r="AX34" s="485">
        <f>+SMS!AX5</f>
        <v>2338902</v>
      </c>
      <c r="AY34" s="484">
        <f>+SMS!AY5</f>
        <v>248441.92634560907</v>
      </c>
      <c r="AZ34" s="485">
        <f>+SMS!AZ5</f>
        <v>241240</v>
      </c>
      <c r="BA34" s="1395">
        <f>+SMS!BA5</f>
        <v>718885.74126534467</v>
      </c>
      <c r="BB34" s="1396">
        <f>+SMS!BB5</f>
        <v>654303</v>
      </c>
      <c r="BC34" s="485">
        <f>+SMS!BC5</f>
        <v>1445325.7790368267</v>
      </c>
      <c r="BD34" s="485">
        <f>+SMS!BD5</f>
        <v>1297371</v>
      </c>
      <c r="BE34" s="1587">
        <f>+SMS!BE5</f>
        <v>2652838.7296404773</v>
      </c>
      <c r="BF34" s="1587">
        <f>+SMS!BF5</f>
        <v>2580142</v>
      </c>
      <c r="BG34" s="1111"/>
      <c r="BH34" s="1111"/>
      <c r="BI34" s="23"/>
      <c r="BJ34" s="23"/>
      <c r="BK34" s="3464"/>
    </row>
    <row r="35" spans="1:63" ht="16.5" hidden="1" customHeight="1" thickBot="1" x14ac:dyDescent="0.35">
      <c r="C35" s="1235" t="s">
        <v>510</v>
      </c>
      <c r="D35" s="1236"/>
      <c r="E35" s="88"/>
      <c r="F35" s="88"/>
      <c r="G35" s="27"/>
      <c r="H35" s="27"/>
      <c r="I35" s="27"/>
      <c r="M35" s="27"/>
      <c r="N35" s="27"/>
      <c r="Q35" s="27"/>
      <c r="R35" s="27"/>
      <c r="U35" s="27"/>
      <c r="V35" s="27"/>
      <c r="Y35" s="27"/>
      <c r="Z35" s="27"/>
      <c r="AA35" s="27"/>
      <c r="AB35" s="27"/>
      <c r="BG35" s="23"/>
      <c r="BH35" s="23"/>
      <c r="BI35" s="23"/>
      <c r="BJ35" s="23"/>
      <c r="BK35" s="3464"/>
    </row>
    <row r="36" spans="1:63" ht="15.75" hidden="1" customHeight="1" x14ac:dyDescent="0.3">
      <c r="C36" s="1101" t="s">
        <v>505</v>
      </c>
      <c r="D36" s="1367" t="s">
        <v>506</v>
      </c>
      <c r="E36" s="1232">
        <v>241.69179137179583</v>
      </c>
      <c r="F36" s="88"/>
      <c r="G36" s="27"/>
      <c r="H36" s="27"/>
      <c r="I36" s="27"/>
      <c r="M36" s="27"/>
      <c r="N36" s="27"/>
      <c r="Q36" s="27"/>
      <c r="R36" s="27"/>
      <c r="U36" s="27"/>
      <c r="V36" s="27"/>
      <c r="Y36" s="27"/>
      <c r="Z36" s="27"/>
      <c r="AA36" s="27"/>
      <c r="AB36" s="27"/>
      <c r="BG36" s="23"/>
      <c r="BH36" s="23"/>
      <c r="BI36" s="23"/>
      <c r="BJ36" s="23"/>
      <c r="BK36" s="3464"/>
    </row>
    <row r="37" spans="1:63" ht="15.75" hidden="1" customHeight="1" x14ac:dyDescent="0.3">
      <c r="C37" s="1237" t="s">
        <v>507</v>
      </c>
      <c r="D37" s="1368" t="s">
        <v>506</v>
      </c>
      <c r="E37" s="1232">
        <v>66.985868894092434</v>
      </c>
      <c r="F37" s="88"/>
      <c r="G37" s="27"/>
      <c r="H37" s="27"/>
      <c r="I37" s="27"/>
      <c r="M37" s="27"/>
      <c r="N37" s="27"/>
      <c r="Q37" s="27"/>
      <c r="R37" s="27"/>
      <c r="U37" s="27"/>
      <c r="V37" s="27"/>
      <c r="Y37" s="27"/>
      <c r="Z37" s="27"/>
      <c r="AA37" s="27"/>
      <c r="AB37" s="27"/>
      <c r="BG37" s="23"/>
      <c r="BH37" s="23"/>
      <c r="BI37" s="23"/>
      <c r="BJ37" s="23"/>
      <c r="BK37" s="3464"/>
    </row>
    <row r="38" spans="1:63" ht="15.75" hidden="1" customHeight="1" x14ac:dyDescent="0.3">
      <c r="C38" s="1238" t="s">
        <v>499</v>
      </c>
      <c r="D38" s="1198" t="s">
        <v>509</v>
      </c>
      <c r="E38" s="316">
        <v>300</v>
      </c>
      <c r="F38" s="88"/>
      <c r="G38" s="27"/>
      <c r="H38" s="27"/>
      <c r="I38" s="27"/>
      <c r="M38" s="27"/>
      <c r="N38" s="27"/>
      <c r="Q38" s="27"/>
      <c r="R38" s="27"/>
      <c r="U38" s="27"/>
      <c r="V38" s="27"/>
      <c r="Y38" s="27"/>
      <c r="Z38" s="27"/>
      <c r="AA38" s="27"/>
      <c r="AB38" s="27"/>
      <c r="BG38" s="23"/>
      <c r="BH38" s="23"/>
      <c r="BI38" s="23"/>
      <c r="BJ38" s="23"/>
      <c r="BK38" s="3464"/>
    </row>
    <row r="39" spans="1:63" ht="16.5" hidden="1" customHeight="1" thickBot="1" x14ac:dyDescent="0.35">
      <c r="C39" s="1098" t="s">
        <v>504</v>
      </c>
      <c r="D39" s="1369" t="s">
        <v>509</v>
      </c>
      <c r="E39" s="316">
        <v>100</v>
      </c>
      <c r="F39" s="88"/>
      <c r="G39" s="27"/>
      <c r="H39" s="27"/>
      <c r="I39" s="27"/>
      <c r="M39" s="27"/>
      <c r="N39" s="27"/>
      <c r="Q39" s="27"/>
      <c r="R39" s="27"/>
      <c r="U39" s="27"/>
      <c r="V39" s="27"/>
      <c r="Y39" s="27"/>
      <c r="Z39" s="27"/>
      <c r="AA39" s="27"/>
      <c r="AB39" s="27"/>
      <c r="BG39" s="23"/>
      <c r="BH39" s="23"/>
      <c r="BI39" s="23"/>
      <c r="BJ39" s="23"/>
      <c r="BK39" s="3464"/>
    </row>
    <row r="40" spans="1:63" ht="11.25" hidden="1" customHeight="1" x14ac:dyDescent="0.3">
      <c r="C40" s="4"/>
      <c r="D40" s="4"/>
      <c r="G40" s="4"/>
      <c r="H40" s="4"/>
      <c r="I40" s="4"/>
      <c r="M40" s="4"/>
      <c r="N40" s="4"/>
      <c r="Q40" s="4"/>
      <c r="R40" s="4"/>
      <c r="U40" s="4"/>
      <c r="V40" s="4"/>
      <c r="Y40" s="4"/>
      <c r="Z40" s="4"/>
      <c r="AA40" s="4"/>
      <c r="AB40" s="4"/>
      <c r="BG40" s="23"/>
      <c r="BH40" s="23"/>
      <c r="BI40" s="23"/>
      <c r="BJ40" s="23"/>
      <c r="BK40" s="3464"/>
    </row>
    <row r="41" spans="1:63" ht="15" hidden="1" customHeight="1" x14ac:dyDescent="0.3">
      <c r="C41" s="4"/>
      <c r="D41" s="4"/>
      <c r="G41" s="4"/>
      <c r="H41" s="4"/>
      <c r="I41" s="4"/>
      <c r="M41" s="4"/>
      <c r="N41" s="4"/>
      <c r="Q41" s="4"/>
      <c r="R41" s="4"/>
      <c r="U41" s="4"/>
      <c r="V41" s="4"/>
      <c r="Y41" s="4"/>
      <c r="Z41" s="4"/>
      <c r="AA41" s="4"/>
      <c r="AB41" s="4"/>
      <c r="BI41" s="3464"/>
      <c r="BJ41" s="3464"/>
    </row>
    <row r="42" spans="1:63" ht="15" hidden="1" customHeight="1" x14ac:dyDescent="0.3">
      <c r="C42" s="2243"/>
      <c r="D42" s="2243"/>
      <c r="G42" s="4"/>
      <c r="H42" s="4"/>
      <c r="I42" s="4"/>
      <c r="M42" s="4"/>
      <c r="N42" s="4"/>
      <c r="P42" s="4"/>
      <c r="Q42" s="4"/>
      <c r="R42" s="4"/>
      <c r="T42" s="4"/>
      <c r="U42" s="4"/>
      <c r="V42" s="4"/>
      <c r="X42" s="4"/>
      <c r="Y42" s="4"/>
      <c r="Z42" s="4"/>
      <c r="AA42" s="4"/>
      <c r="AB42" s="4"/>
      <c r="BI42" s="3464"/>
      <c r="BJ42" s="3464"/>
    </row>
    <row r="43" spans="1:63" ht="15" customHeight="1" x14ac:dyDescent="0.3">
      <c r="C43" s="4"/>
      <c r="D43" s="4"/>
      <c r="E43" s="4"/>
      <c r="F43" s="22"/>
      <c r="G43" s="4"/>
      <c r="H43" s="22"/>
      <c r="I43" s="4"/>
      <c r="J43" s="4"/>
      <c r="K43" s="4"/>
      <c r="L43" s="22">
        <f>+L7-RMHP!K60</f>
        <v>0</v>
      </c>
      <c r="M43" s="4"/>
      <c r="N43" s="4"/>
      <c r="P43" s="22">
        <f>+P7-RMHP!O60</f>
        <v>0</v>
      </c>
      <c r="Q43" s="4"/>
      <c r="R43" s="4"/>
      <c r="T43" s="22">
        <f>+T7-RMHP!S60</f>
        <v>0</v>
      </c>
      <c r="U43" s="4"/>
      <c r="V43" s="4"/>
      <c r="X43" s="22">
        <f>+X7-RMHP!W60</f>
        <v>0</v>
      </c>
      <c r="Y43" s="4"/>
      <c r="Z43" s="22">
        <f>+Z7-RMHP!Y60</f>
        <v>0</v>
      </c>
      <c r="AB43" s="22">
        <f>+AB7-RMHP!AA60</f>
        <v>0</v>
      </c>
      <c r="AD43" s="22">
        <f>+AD7-RMHP!AC60</f>
        <v>0</v>
      </c>
      <c r="AH43" s="22">
        <f>+AH7-RMHP!AG60</f>
        <v>0</v>
      </c>
      <c r="AL43" s="22">
        <f>+AL7-RMHP!AK60</f>
        <v>0</v>
      </c>
      <c r="AN43" s="22">
        <f>+AN7-RMHP!AM60</f>
        <v>0</v>
      </c>
      <c r="AP43" s="22">
        <f>+AP7-RMHP!AO60</f>
        <v>0</v>
      </c>
      <c r="AR43" s="22">
        <f>+AR7-RMHP!AQ60</f>
        <v>0</v>
      </c>
      <c r="AS43" s="22"/>
      <c r="AT43" s="22">
        <f>+AT7-RMHP!AS60</f>
        <v>0</v>
      </c>
      <c r="AV43" s="22">
        <f>+AV7-RMHP!AU60</f>
        <v>0</v>
      </c>
      <c r="AX43" s="22">
        <f>+AX7-RMHP!AW60</f>
        <v>0</v>
      </c>
      <c r="BI43" s="3464"/>
      <c r="BJ43" s="3464"/>
    </row>
    <row r="44" spans="1:63" ht="15" customHeight="1" x14ac:dyDescent="0.3">
      <c r="C44" s="4"/>
      <c r="D44" s="4"/>
      <c r="E44" s="4"/>
      <c r="F44" s="22"/>
      <c r="G44" s="4"/>
      <c r="H44" s="22"/>
      <c r="I44" s="4"/>
      <c r="J44" s="4"/>
      <c r="K44" s="4"/>
      <c r="L44" s="22">
        <f>+L22-RMHP!K61</f>
        <v>0</v>
      </c>
      <c r="M44" s="4"/>
      <c r="N44" s="4"/>
      <c r="P44" s="22">
        <f>+P22-RMHP!O61</f>
        <v>0</v>
      </c>
      <c r="Q44" s="4"/>
      <c r="R44" s="4"/>
      <c r="T44" s="22">
        <f>+T22-RMHP!S61</f>
        <v>0</v>
      </c>
      <c r="U44" s="4"/>
      <c r="V44" s="4"/>
      <c r="X44" s="22">
        <f>+X22-RMHP!W61</f>
        <v>0</v>
      </c>
      <c r="Y44" s="4"/>
      <c r="Z44" s="22">
        <f>+Z22-RMHP!Y61</f>
        <v>0</v>
      </c>
      <c r="AB44" s="22">
        <f>+AB22-RMHP!AA61</f>
        <v>0</v>
      </c>
      <c r="AD44" s="22">
        <f>+AD22-RMHP!AC61</f>
        <v>0</v>
      </c>
      <c r="AH44" s="22">
        <f>+AH22-RMHP!AG61</f>
        <v>0</v>
      </c>
      <c r="AL44" s="22">
        <f>+AL22-RMHP!AK61</f>
        <v>0</v>
      </c>
      <c r="AN44" s="22">
        <f>+AN22-RMHP!AM61</f>
        <v>0</v>
      </c>
      <c r="AP44" s="22">
        <f>+AP22-RMHP!AO61</f>
        <v>0</v>
      </c>
      <c r="AR44" s="22">
        <f>+AR22-RMHP!AQ61</f>
        <v>0</v>
      </c>
      <c r="AS44" s="22"/>
      <c r="AT44" s="22">
        <f>+AT22-RMHP!AS61</f>
        <v>0</v>
      </c>
      <c r="AV44" s="22">
        <f>+AV22-RMHP!AU61</f>
        <v>0</v>
      </c>
      <c r="AX44" s="22">
        <f>+AX22-RMHP!AW61</f>
        <v>0</v>
      </c>
      <c r="BI44" s="3464"/>
      <c r="BJ44" s="3464"/>
    </row>
    <row r="45" spans="1:63" ht="15" customHeight="1" x14ac:dyDescent="0.3">
      <c r="C45" s="4"/>
      <c r="D45" s="4"/>
      <c r="G45" s="4"/>
      <c r="H45" s="4"/>
      <c r="I45" s="4"/>
      <c r="J45" s="4"/>
      <c r="K45" s="4"/>
      <c r="L45" s="4"/>
      <c r="M45" s="4"/>
      <c r="N45" s="4"/>
      <c r="P45" s="4"/>
      <c r="Q45" s="4"/>
      <c r="R45" s="4"/>
      <c r="T45" s="4"/>
      <c r="U45" s="4"/>
      <c r="V45" s="4"/>
      <c r="Y45" s="4"/>
      <c r="Z45" s="4"/>
      <c r="BI45" s="3464"/>
      <c r="BJ45" s="3464"/>
    </row>
    <row r="46" spans="1:63" ht="15" customHeight="1" x14ac:dyDescent="0.3">
      <c r="C46" s="4"/>
      <c r="D46" s="4"/>
      <c r="G46" s="4"/>
      <c r="H46" s="4"/>
      <c r="I46" s="4"/>
      <c r="J46" s="4"/>
      <c r="K46" s="4"/>
      <c r="L46" s="4"/>
      <c r="M46" s="4"/>
      <c r="N46" s="4"/>
      <c r="P46" s="4"/>
      <c r="Q46" s="4"/>
      <c r="R46" s="4"/>
      <c r="T46" s="4"/>
      <c r="U46" s="4"/>
      <c r="V46" s="4"/>
      <c r="Y46" s="4"/>
      <c r="Z46" s="4"/>
      <c r="BI46" s="3464"/>
      <c r="BJ46" s="3464"/>
    </row>
    <row r="47" spans="1:63" ht="15" customHeight="1" x14ac:dyDescent="0.3">
      <c r="C47" s="4"/>
      <c r="D47" s="4"/>
      <c r="G47" s="4"/>
      <c r="H47" s="4"/>
      <c r="I47" s="4"/>
      <c r="J47" s="4"/>
      <c r="K47" s="4"/>
      <c r="L47" s="4"/>
      <c r="M47" s="4"/>
      <c r="N47" s="4"/>
      <c r="P47" s="4"/>
      <c r="Q47" s="4"/>
      <c r="R47" s="4"/>
      <c r="T47" s="4"/>
      <c r="U47" s="4"/>
      <c r="V47" s="4"/>
      <c r="Y47" s="4"/>
      <c r="Z47" s="4"/>
      <c r="BI47" s="3464"/>
      <c r="BJ47" s="3464"/>
    </row>
    <row r="48" spans="1:63" ht="15" customHeight="1" x14ac:dyDescent="0.3">
      <c r="C48" s="4"/>
      <c r="D48" s="4"/>
      <c r="G48" s="4"/>
      <c r="H48" s="4"/>
      <c r="I48" s="4"/>
      <c r="J48" s="4"/>
      <c r="K48" s="326"/>
      <c r="L48" s="141"/>
      <c r="M48" s="4"/>
      <c r="N48" s="4"/>
      <c r="P48" s="4"/>
      <c r="Q48" s="4"/>
      <c r="R48" s="4"/>
      <c r="T48" s="4"/>
      <c r="U48" s="4"/>
      <c r="V48" s="4"/>
      <c r="Y48" s="4"/>
      <c r="Z48" s="4"/>
      <c r="BI48" s="3464"/>
      <c r="BJ48" s="3464"/>
    </row>
    <row r="49" spans="3:62" ht="15" customHeight="1" x14ac:dyDescent="0.3">
      <c r="C49" s="4"/>
      <c r="D49" s="4"/>
      <c r="G49" s="4"/>
      <c r="H49" s="4"/>
      <c r="I49" s="4"/>
      <c r="J49" s="4"/>
      <c r="K49" s="4"/>
      <c r="L49" s="4"/>
      <c r="M49" s="4"/>
      <c r="N49" s="4"/>
      <c r="P49" s="4"/>
      <c r="Q49" s="4"/>
      <c r="R49" s="4"/>
      <c r="T49" s="4"/>
      <c r="U49" s="4"/>
      <c r="V49" s="4"/>
      <c r="Y49" s="4"/>
      <c r="Z49" s="4"/>
      <c r="BI49" s="3464"/>
      <c r="BJ49" s="3464"/>
    </row>
    <row r="50" spans="3:62" ht="15" customHeight="1" x14ac:dyDescent="0.3">
      <c r="C50" s="4"/>
      <c r="D50" s="4"/>
      <c r="G50" s="4"/>
      <c r="H50" s="4"/>
      <c r="I50" s="4"/>
      <c r="J50" s="4"/>
      <c r="K50" s="4"/>
      <c r="L50" s="4"/>
      <c r="M50" s="4"/>
      <c r="N50" s="4"/>
      <c r="P50" s="4"/>
      <c r="Q50" s="4"/>
      <c r="R50" s="4"/>
      <c r="T50" s="4"/>
      <c r="U50" s="4"/>
      <c r="V50" s="4"/>
      <c r="Y50" s="4"/>
      <c r="Z50" s="4"/>
      <c r="BI50" s="3464"/>
      <c r="BJ50" s="3464"/>
    </row>
    <row r="51" spans="3:62" ht="15" customHeight="1" x14ac:dyDescent="0.3">
      <c r="C51" s="4"/>
      <c r="D51" s="4"/>
      <c r="G51" s="4"/>
      <c r="H51" s="4"/>
      <c r="I51" s="4"/>
      <c r="J51" s="4"/>
      <c r="K51" s="4"/>
      <c r="L51" s="4"/>
      <c r="M51" s="4"/>
      <c r="N51" s="4"/>
      <c r="P51" s="4"/>
      <c r="Q51" s="4"/>
      <c r="R51" s="4"/>
      <c r="T51" s="4"/>
      <c r="U51" s="4"/>
      <c r="V51" s="4"/>
      <c r="Y51" s="4"/>
      <c r="Z51" s="4"/>
      <c r="BI51" s="3464"/>
      <c r="BJ51" s="3464"/>
    </row>
    <row r="52" spans="3:62" ht="15" customHeight="1" x14ac:dyDescent="0.3">
      <c r="C52" s="4"/>
      <c r="D52" s="4"/>
      <c r="G52" s="4"/>
      <c r="H52" s="4"/>
      <c r="I52" s="4"/>
      <c r="J52" s="4"/>
      <c r="K52" s="4"/>
      <c r="L52" s="4"/>
      <c r="M52" s="4"/>
      <c r="N52" s="4"/>
      <c r="P52" s="4"/>
      <c r="Q52" s="4"/>
      <c r="R52" s="4"/>
      <c r="T52" s="4"/>
      <c r="U52" s="4"/>
      <c r="V52" s="4"/>
      <c r="BI52" s="3464"/>
      <c r="BJ52" s="3464"/>
    </row>
    <row r="53" spans="3:62" ht="15" customHeight="1" x14ac:dyDescent="0.3">
      <c r="C53" s="4"/>
      <c r="D53" s="4"/>
      <c r="G53" s="4"/>
      <c r="H53" s="4"/>
      <c r="I53" s="4"/>
      <c r="J53" s="4"/>
      <c r="K53" s="4"/>
      <c r="L53" s="4"/>
      <c r="M53" s="4"/>
      <c r="N53" s="4"/>
      <c r="P53" s="4"/>
      <c r="Q53" s="4"/>
      <c r="R53" s="4"/>
      <c r="T53" s="4"/>
      <c r="U53" s="4"/>
      <c r="V53" s="4"/>
      <c r="BI53" s="3464"/>
      <c r="BJ53" s="3464"/>
    </row>
    <row r="54" spans="3:62" ht="15" customHeight="1" x14ac:dyDescent="0.3">
      <c r="C54" s="4"/>
      <c r="D54" s="4"/>
      <c r="G54" s="4"/>
      <c r="H54" s="4"/>
      <c r="I54" s="4"/>
      <c r="J54" s="4"/>
      <c r="K54" s="4"/>
      <c r="L54" s="4"/>
      <c r="M54" s="4"/>
      <c r="N54" s="4"/>
      <c r="P54" s="4"/>
      <c r="Q54" s="4"/>
      <c r="R54" s="4"/>
      <c r="T54" s="4"/>
      <c r="U54" s="4"/>
      <c r="V54" s="4"/>
      <c r="BI54" s="3464"/>
      <c r="BJ54" s="3464"/>
    </row>
    <row r="55" spans="3:62" ht="15" customHeight="1" x14ac:dyDescent="0.3">
      <c r="C55" s="4"/>
      <c r="D55" s="4"/>
      <c r="G55" s="4"/>
      <c r="H55" s="4"/>
      <c r="I55" s="4"/>
      <c r="J55" s="4"/>
      <c r="K55" s="4"/>
      <c r="L55" s="4"/>
      <c r="M55" s="4"/>
      <c r="N55" s="4"/>
      <c r="P55" s="4"/>
      <c r="Q55" s="4"/>
      <c r="R55" s="4"/>
      <c r="T55" s="4"/>
      <c r="U55" s="4"/>
      <c r="V55" s="4"/>
      <c r="BI55" s="3464"/>
      <c r="BJ55" s="3464"/>
    </row>
    <row r="56" spans="3:62" ht="15" customHeight="1" x14ac:dyDescent="0.3">
      <c r="C56" s="4"/>
      <c r="D56" s="4"/>
      <c r="G56" s="4"/>
      <c r="H56" s="4"/>
      <c r="I56" s="4"/>
      <c r="J56" s="4"/>
      <c r="K56" s="4"/>
      <c r="L56" s="4"/>
      <c r="M56" s="4"/>
      <c r="N56" s="4"/>
      <c r="P56" s="4"/>
      <c r="Q56" s="4"/>
      <c r="R56" s="4"/>
      <c r="T56" s="4"/>
      <c r="U56" s="4"/>
      <c r="V56" s="4"/>
      <c r="BI56" s="3464"/>
      <c r="BJ56" s="3464"/>
    </row>
    <row r="57" spans="3:62" ht="15" customHeight="1" x14ac:dyDescent="0.3">
      <c r="C57" s="4"/>
      <c r="D57" s="4"/>
      <c r="G57" s="4"/>
      <c r="H57" s="4"/>
      <c r="I57" s="4"/>
      <c r="J57" s="4"/>
      <c r="K57" s="4"/>
      <c r="L57" s="4"/>
      <c r="M57" s="4"/>
      <c r="N57" s="4"/>
      <c r="P57" s="4"/>
      <c r="Q57" s="4"/>
      <c r="R57" s="4"/>
      <c r="T57" s="4"/>
      <c r="U57" s="4"/>
      <c r="V57" s="4"/>
      <c r="BI57" s="3464"/>
      <c r="BJ57" s="3464"/>
    </row>
    <row r="58" spans="3:62" ht="15" customHeight="1" x14ac:dyDescent="0.3">
      <c r="C58" s="4"/>
      <c r="D58" s="4"/>
      <c r="G58" s="4"/>
      <c r="H58" s="4"/>
      <c r="I58" s="4"/>
      <c r="J58" s="4"/>
      <c r="K58" s="4"/>
      <c r="L58" s="4"/>
      <c r="M58" s="4"/>
      <c r="N58" s="4"/>
      <c r="P58" s="4"/>
      <c r="Q58" s="4"/>
      <c r="R58" s="4"/>
      <c r="T58" s="4"/>
      <c r="U58" s="4"/>
      <c r="V58" s="4"/>
      <c r="BI58" s="3464"/>
      <c r="BJ58" s="3464"/>
    </row>
    <row r="59" spans="3:62" ht="15" customHeight="1" x14ac:dyDescent="0.3">
      <c r="C59" s="4"/>
      <c r="D59" s="4"/>
      <c r="G59" s="4"/>
      <c r="H59" s="4"/>
      <c r="I59" s="4"/>
      <c r="J59" s="4"/>
      <c r="K59" s="4"/>
      <c r="L59" s="4"/>
      <c r="M59" s="4"/>
      <c r="N59" s="4"/>
      <c r="P59" s="4"/>
      <c r="Q59" s="4"/>
      <c r="R59" s="4"/>
      <c r="T59" s="4"/>
      <c r="U59" s="4"/>
      <c r="V59" s="4"/>
      <c r="BI59" s="3464"/>
      <c r="BJ59" s="3464"/>
    </row>
    <row r="60" spans="3:62" ht="15" customHeight="1" x14ac:dyDescent="0.3">
      <c r="C60" s="4"/>
      <c r="D60" s="4"/>
      <c r="G60" s="4"/>
      <c r="H60" s="4"/>
      <c r="I60" s="4"/>
      <c r="J60" s="4"/>
      <c r="K60" s="4"/>
      <c r="L60" s="4"/>
      <c r="M60" s="4"/>
      <c r="N60" s="4"/>
      <c r="P60" s="4"/>
      <c r="Q60" s="4"/>
      <c r="R60" s="4"/>
      <c r="T60" s="4"/>
      <c r="U60" s="4"/>
      <c r="V60" s="4"/>
      <c r="BI60" s="3464"/>
      <c r="BJ60" s="3464"/>
    </row>
    <row r="61" spans="3:62" ht="15" customHeight="1" x14ac:dyDescent="0.3">
      <c r="C61" s="4"/>
      <c r="D61" s="4"/>
      <c r="G61" s="4"/>
      <c r="H61" s="4"/>
      <c r="I61" s="4"/>
      <c r="J61" s="4"/>
      <c r="K61" s="4"/>
      <c r="L61" s="4"/>
      <c r="M61" s="4"/>
      <c r="N61" s="4"/>
      <c r="P61" s="4"/>
      <c r="Q61" s="4"/>
      <c r="R61" s="4"/>
      <c r="T61" s="4"/>
      <c r="U61" s="4"/>
      <c r="V61" s="4"/>
      <c r="BI61" s="3464"/>
      <c r="BJ61" s="3464"/>
    </row>
    <row r="62" spans="3:62" ht="15" customHeight="1" x14ac:dyDescent="0.3">
      <c r="C62" s="4"/>
      <c r="D62" s="4"/>
      <c r="G62" s="4"/>
      <c r="H62" s="4"/>
      <c r="I62" s="4"/>
      <c r="J62" s="4"/>
      <c r="K62" s="4"/>
      <c r="L62" s="4"/>
      <c r="M62" s="4"/>
      <c r="N62" s="4"/>
      <c r="P62" s="4"/>
      <c r="Q62" s="4"/>
      <c r="R62" s="4"/>
      <c r="T62" s="4"/>
      <c r="U62" s="4"/>
      <c r="V62" s="4"/>
      <c r="BI62" s="3464"/>
      <c r="BJ62" s="3464"/>
    </row>
    <row r="63" spans="3:62" ht="15" customHeight="1" x14ac:dyDescent="0.3">
      <c r="C63" s="4"/>
      <c r="D63" s="4"/>
      <c r="G63" s="4"/>
      <c r="H63" s="4"/>
      <c r="I63" s="4"/>
      <c r="J63" s="4"/>
      <c r="K63" s="4"/>
      <c r="L63" s="4"/>
      <c r="M63" s="4"/>
      <c r="N63" s="4"/>
      <c r="P63" s="4"/>
      <c r="Q63" s="4"/>
      <c r="R63" s="4"/>
      <c r="T63" s="4"/>
      <c r="U63" s="4"/>
      <c r="V63" s="4"/>
      <c r="BI63" s="3464"/>
      <c r="BJ63" s="3464"/>
    </row>
    <row r="64" spans="3:62" ht="15" customHeight="1" x14ac:dyDescent="0.3">
      <c r="C64" s="4"/>
      <c r="D64" s="4"/>
      <c r="G64" s="4"/>
      <c r="H64" s="4"/>
      <c r="I64" s="4"/>
      <c r="J64" s="4"/>
      <c r="K64" s="4"/>
      <c r="L64" s="4"/>
      <c r="M64" s="4"/>
      <c r="N64" s="4"/>
      <c r="P64" s="4"/>
      <c r="Q64" s="4"/>
      <c r="R64" s="4"/>
      <c r="T64" s="4"/>
      <c r="U64" s="4"/>
      <c r="V64" s="4"/>
      <c r="BI64" s="3464"/>
      <c r="BJ64" s="3464"/>
    </row>
    <row r="65" spans="3:62" ht="15" customHeight="1" x14ac:dyDescent="0.3">
      <c r="C65" s="4"/>
      <c r="D65" s="4"/>
      <c r="G65" s="4"/>
      <c r="H65" s="4"/>
      <c r="I65" s="4"/>
      <c r="J65" s="4"/>
      <c r="K65" s="4"/>
      <c r="L65" s="4"/>
      <c r="M65" s="4"/>
      <c r="N65" s="4"/>
      <c r="P65" s="4"/>
      <c r="Q65" s="4"/>
      <c r="R65" s="4"/>
      <c r="T65" s="4"/>
      <c r="U65" s="4"/>
      <c r="V65" s="4"/>
      <c r="BI65" s="3464"/>
      <c r="BJ65" s="3464"/>
    </row>
    <row r="66" spans="3:62" ht="15" customHeight="1" x14ac:dyDescent="0.3">
      <c r="C66" s="4"/>
      <c r="D66" s="4"/>
      <c r="G66" s="4"/>
      <c r="H66" s="4"/>
      <c r="I66" s="4"/>
      <c r="J66" s="4"/>
      <c r="K66" s="4"/>
      <c r="L66" s="4"/>
      <c r="M66" s="4"/>
      <c r="N66" s="4"/>
      <c r="P66" s="4"/>
      <c r="Q66" s="4"/>
      <c r="R66" s="4"/>
      <c r="T66" s="4"/>
      <c r="U66" s="4"/>
      <c r="V66" s="4"/>
      <c r="BI66" s="3464"/>
      <c r="BJ66" s="3464"/>
    </row>
    <row r="67" spans="3:62" ht="15" customHeight="1" x14ac:dyDescent="0.3">
      <c r="C67" s="4"/>
      <c r="D67" s="4"/>
      <c r="G67" s="4"/>
      <c r="H67" s="4"/>
      <c r="I67" s="4"/>
      <c r="J67" s="4"/>
      <c r="K67" s="4"/>
      <c r="L67" s="4"/>
      <c r="M67" s="4"/>
      <c r="N67" s="4"/>
      <c r="P67" s="4"/>
      <c r="Q67" s="4"/>
      <c r="R67" s="4"/>
      <c r="T67" s="4"/>
      <c r="U67" s="4"/>
      <c r="V67" s="4"/>
    </row>
    <row r="68" spans="3:62" ht="15" customHeight="1" x14ac:dyDescent="0.3">
      <c r="C68" s="4"/>
      <c r="D68" s="4"/>
      <c r="G68" s="4"/>
      <c r="H68" s="4"/>
      <c r="I68" s="4"/>
      <c r="J68" s="4"/>
      <c r="K68" s="4"/>
      <c r="L68" s="4"/>
      <c r="M68" s="4"/>
      <c r="N68" s="4"/>
      <c r="P68" s="4"/>
      <c r="Q68" s="4"/>
      <c r="R68" s="4"/>
      <c r="T68" s="4"/>
      <c r="U68" s="4"/>
      <c r="V68" s="4"/>
    </row>
    <row r="69" spans="3:62" ht="15" customHeight="1" x14ac:dyDescent="0.3">
      <c r="C69" s="4"/>
      <c r="D69" s="4"/>
      <c r="G69" s="4"/>
      <c r="H69" s="4"/>
      <c r="I69" s="4"/>
      <c r="J69" s="4"/>
      <c r="K69" s="4"/>
      <c r="L69" s="4"/>
      <c r="M69" s="4"/>
      <c r="N69" s="4"/>
      <c r="P69" s="4"/>
      <c r="Q69" s="4"/>
      <c r="R69" s="4"/>
      <c r="T69" s="4"/>
      <c r="U69" s="4"/>
      <c r="V69" s="4"/>
    </row>
    <row r="70" spans="3:62" x14ac:dyDescent="0.3">
      <c r="C70" s="4"/>
      <c r="D70" s="4"/>
      <c r="G70" s="4"/>
      <c r="H70" s="4"/>
      <c r="I70" s="4"/>
      <c r="J70" s="4"/>
      <c r="K70" s="4"/>
      <c r="L70" s="4"/>
      <c r="M70" s="4"/>
      <c r="N70" s="4"/>
      <c r="P70" s="4"/>
      <c r="Q70" s="4"/>
      <c r="R70" s="4"/>
      <c r="T70" s="4"/>
      <c r="U70" s="4"/>
      <c r="V70" s="4"/>
    </row>
    <row r="71" spans="3:62" x14ac:dyDescent="0.3">
      <c r="C71" s="4"/>
      <c r="D71" s="4"/>
      <c r="G71" s="4"/>
      <c r="H71" s="4"/>
      <c r="I71" s="4"/>
      <c r="J71" s="4"/>
      <c r="K71" s="4"/>
      <c r="L71" s="4"/>
      <c r="M71" s="4"/>
      <c r="N71" s="4"/>
      <c r="P71" s="4"/>
      <c r="Q71" s="4"/>
      <c r="R71" s="4"/>
      <c r="T71" s="4"/>
      <c r="U71" s="4"/>
      <c r="V71" s="4"/>
    </row>
    <row r="72" spans="3:62" x14ac:dyDescent="0.3">
      <c r="C72" s="4"/>
      <c r="D72" s="4"/>
      <c r="G72" s="4"/>
      <c r="H72" s="4"/>
      <c r="I72" s="4"/>
      <c r="J72" s="4"/>
      <c r="K72" s="4"/>
      <c r="L72" s="4"/>
      <c r="M72" s="4"/>
      <c r="N72" s="4"/>
      <c r="P72" s="4"/>
      <c r="Q72" s="4"/>
      <c r="R72" s="4"/>
      <c r="T72" s="4"/>
      <c r="U72" s="4"/>
      <c r="V72" s="4"/>
    </row>
    <row r="73" spans="3:62" x14ac:dyDescent="0.3">
      <c r="C73" s="4"/>
      <c r="D73" s="4"/>
      <c r="G73" s="4"/>
      <c r="H73" s="4"/>
      <c r="I73" s="4"/>
      <c r="J73" s="4"/>
      <c r="K73" s="4"/>
      <c r="L73" s="4"/>
      <c r="M73" s="4"/>
      <c r="N73" s="4"/>
      <c r="P73" s="4"/>
      <c r="Q73" s="4"/>
      <c r="R73" s="4"/>
      <c r="T73" s="4"/>
      <c r="U73" s="4"/>
      <c r="V73" s="4"/>
    </row>
    <row r="74" spans="3:62" x14ac:dyDescent="0.3">
      <c r="C74" s="4"/>
      <c r="D74" s="4"/>
      <c r="G74" s="4"/>
      <c r="H74" s="4"/>
      <c r="I74" s="4"/>
      <c r="J74" s="4"/>
      <c r="K74" s="4"/>
      <c r="L74" s="4"/>
      <c r="M74" s="4"/>
      <c r="N74" s="4"/>
      <c r="P74" s="4"/>
      <c r="Q74" s="4"/>
      <c r="R74" s="4"/>
      <c r="T74" s="4"/>
      <c r="U74" s="4"/>
      <c r="V74" s="4"/>
    </row>
    <row r="75" spans="3:62" x14ac:dyDescent="0.3">
      <c r="C75" s="4"/>
      <c r="D75" s="4"/>
      <c r="G75" s="4"/>
      <c r="H75" s="4"/>
      <c r="I75" s="4"/>
      <c r="J75" s="4"/>
      <c r="K75" s="4"/>
      <c r="L75" s="4"/>
      <c r="M75" s="4"/>
      <c r="N75" s="4"/>
      <c r="P75" s="4"/>
      <c r="Q75" s="4"/>
      <c r="R75" s="4"/>
      <c r="T75" s="4"/>
      <c r="U75" s="4"/>
      <c r="V75" s="4"/>
    </row>
  </sheetData>
  <mergeCells count="87">
    <mergeCell ref="AQ4:AR4"/>
    <mergeCell ref="AQ15:AQ20"/>
    <mergeCell ref="AQ30:AQ32"/>
    <mergeCell ref="AS4:AT4"/>
    <mergeCell ref="AS15:AS20"/>
    <mergeCell ref="AS30:AS32"/>
    <mergeCell ref="S4:T4"/>
    <mergeCell ref="U4:V4"/>
    <mergeCell ref="S15:S20"/>
    <mergeCell ref="U15:U20"/>
    <mergeCell ref="S30:S32"/>
    <mergeCell ref="U30:U32"/>
    <mergeCell ref="M30:M32"/>
    <mergeCell ref="E30:E32"/>
    <mergeCell ref="D17:D20"/>
    <mergeCell ref="O4:P4"/>
    <mergeCell ref="Q4:R4"/>
    <mergeCell ref="G30:G32"/>
    <mergeCell ref="I30:I32"/>
    <mergeCell ref="K15:K20"/>
    <mergeCell ref="K30:K32"/>
    <mergeCell ref="M15:M20"/>
    <mergeCell ref="O15:O20"/>
    <mergeCell ref="Q15:Q20"/>
    <mergeCell ref="O30:O32"/>
    <mergeCell ref="Q30:Q32"/>
    <mergeCell ref="I4:J4"/>
    <mergeCell ref="K4:L4"/>
    <mergeCell ref="C2:C3"/>
    <mergeCell ref="C4:C5"/>
    <mergeCell ref="D4:D5"/>
    <mergeCell ref="E4:F4"/>
    <mergeCell ref="G4:H4"/>
    <mergeCell ref="C8:C9"/>
    <mergeCell ref="C23:C24"/>
    <mergeCell ref="M4:N4"/>
    <mergeCell ref="E15:E20"/>
    <mergeCell ref="G15:G20"/>
    <mergeCell ref="I15:I20"/>
    <mergeCell ref="W4:X4"/>
    <mergeCell ref="AA4:AB4"/>
    <mergeCell ref="W15:W20"/>
    <mergeCell ref="AA15:AA20"/>
    <mergeCell ref="W30:W32"/>
    <mergeCell ref="AA30:AA32"/>
    <mergeCell ref="Y4:Z4"/>
    <mergeCell ref="Y15:Y20"/>
    <mergeCell ref="Y30:Y32"/>
    <mergeCell ref="AC4:AD4"/>
    <mergeCell ref="AC15:AC20"/>
    <mergeCell ref="AC30:AC32"/>
    <mergeCell ref="AE4:AF4"/>
    <mergeCell ref="AE15:AE20"/>
    <mergeCell ref="AE30:AE32"/>
    <mergeCell ref="AG4:AH4"/>
    <mergeCell ref="AI4:AJ4"/>
    <mergeCell ref="AG15:AG20"/>
    <mergeCell ref="AI15:AI20"/>
    <mergeCell ref="AG30:AG32"/>
    <mergeCell ref="AI30:AI32"/>
    <mergeCell ref="AK4:AL4"/>
    <mergeCell ref="AO4:AP4"/>
    <mergeCell ref="AK15:AK20"/>
    <mergeCell ref="AO15:AO20"/>
    <mergeCell ref="AK30:AK32"/>
    <mergeCell ref="AO30:AO32"/>
    <mergeCell ref="AM4:AN4"/>
    <mergeCell ref="AM15:AM20"/>
    <mergeCell ref="AM30:AM32"/>
    <mergeCell ref="AU4:AV4"/>
    <mergeCell ref="AW4:AX4"/>
    <mergeCell ref="AU15:AU20"/>
    <mergeCell ref="AW15:AW20"/>
    <mergeCell ref="AU30:AU32"/>
    <mergeCell ref="AW30:AW32"/>
    <mergeCell ref="AY4:AZ4"/>
    <mergeCell ref="BE4:BF4"/>
    <mergeCell ref="AY15:AY20"/>
    <mergeCell ref="BE15:BE20"/>
    <mergeCell ref="AY30:AY32"/>
    <mergeCell ref="BE30:BE32"/>
    <mergeCell ref="BA4:BB4"/>
    <mergeCell ref="BA15:BA20"/>
    <mergeCell ref="BA30:BA32"/>
    <mergeCell ref="BC4:BD4"/>
    <mergeCell ref="BC15:BC20"/>
    <mergeCell ref="BC30:BC32"/>
  </mergeCells>
  <pageMargins left="0.7" right="0.7" top="0.75" bottom="0.75" header="0.3" footer="0.3"/>
  <pageSetup scale="78"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tabColor rgb="FF003300"/>
    <pageSetUpPr fitToPage="1"/>
  </sheetPr>
  <dimension ref="A1:BJ42"/>
  <sheetViews>
    <sheetView zoomScale="85" zoomScaleNormal="85" workbookViewId="0">
      <pane xSplit="3" topLeftCell="D1" activePane="topRight" state="frozen"/>
      <selection pane="topRight" activeCell="BG36" sqref="BG36"/>
    </sheetView>
  </sheetViews>
  <sheetFormatPr defaultColWidth="8.88671875" defaultRowHeight="14.4" x14ac:dyDescent="0.3"/>
  <cols>
    <col min="1" max="1" width="9.109375"/>
    <col min="2" max="2" width="28.88671875" bestFit="1" customWidth="1"/>
    <col min="3" max="3" width="16.44140625" bestFit="1" customWidth="1"/>
    <col min="4" max="4" width="10.33203125" customWidth="1"/>
    <col min="5" max="5" width="10" customWidth="1"/>
    <col min="6" max="6" width="7.6640625" customWidth="1"/>
    <col min="7" max="7" width="11" customWidth="1"/>
    <col min="8" max="9" width="7.6640625" customWidth="1"/>
    <col min="10" max="11" width="7.88671875" hidden="1" customWidth="1"/>
    <col min="12" max="13" width="9" hidden="1" customWidth="1"/>
    <col min="14" max="15" width="7.6640625" hidden="1" customWidth="1"/>
    <col min="16" max="17" width="9" hidden="1" customWidth="1"/>
    <col min="18" max="18" width="11.5546875" hidden="1" customWidth="1"/>
    <col min="19" max="19" width="7.6640625" hidden="1" customWidth="1"/>
    <col min="20" max="21" width="9" hidden="1" customWidth="1"/>
    <col min="22" max="23" width="7.6640625" hidden="1" customWidth="1"/>
    <col min="24" max="25" width="9.6640625" hidden="1" customWidth="1"/>
    <col min="26" max="27" width="9" hidden="1" customWidth="1"/>
    <col min="28" max="41" width="8.88671875" hidden="1" customWidth="1"/>
    <col min="42" max="42" width="8.5546875" hidden="1" customWidth="1"/>
    <col min="43" max="46" width="8.88671875" hidden="1" customWidth="1"/>
    <col min="47" max="47" width="7.88671875" hidden="1" customWidth="1"/>
    <col min="48" max="49" width="8.88671875" hidden="1" customWidth="1"/>
    <col min="50" max="50" width="12.5546875" hidden="1" customWidth="1"/>
    <col min="51" max="51" width="13.109375" hidden="1" customWidth="1"/>
    <col min="52" max="57" width="8.88671875" hidden="1" customWidth="1"/>
    <col min="58" max="58" width="9.6640625" hidden="1" customWidth="1"/>
    <col min="59" max="59" width="9.44140625" customWidth="1"/>
    <col min="60" max="67" width="8.88671875" customWidth="1"/>
  </cols>
  <sheetData>
    <row r="1" spans="1:62" ht="18" x14ac:dyDescent="0.35">
      <c r="A1" s="2017"/>
      <c r="B1" s="2018" t="s">
        <v>99</v>
      </c>
      <c r="C1" s="2019"/>
      <c r="D1" s="2019"/>
      <c r="E1" s="2019"/>
      <c r="F1" s="2019"/>
      <c r="G1" s="2019"/>
      <c r="H1" s="2019"/>
      <c r="I1" s="2019"/>
      <c r="J1" s="2020"/>
      <c r="K1" s="2021"/>
      <c r="L1" s="2021"/>
      <c r="M1" s="2021"/>
      <c r="N1" s="2020"/>
      <c r="O1" s="2020"/>
      <c r="P1" s="2021"/>
      <c r="Q1" s="2021"/>
      <c r="R1" s="2020"/>
      <c r="S1" s="2020"/>
      <c r="T1" s="2021"/>
      <c r="U1" s="2021"/>
      <c r="V1" s="2021"/>
      <c r="W1" s="2021"/>
      <c r="X1" s="2021"/>
      <c r="Y1" s="2021"/>
      <c r="Z1" s="2021"/>
      <c r="AA1" s="2021"/>
    </row>
    <row r="2" spans="1:62" ht="18.600000000000001" thickBot="1" x14ac:dyDescent="0.4">
      <c r="A2" s="2021"/>
      <c r="B2" s="2023"/>
      <c r="C2" s="2023"/>
      <c r="D2" s="2024">
        <v>30</v>
      </c>
      <c r="E2" s="2024">
        <v>30</v>
      </c>
      <c r="F2" s="2024">
        <v>31</v>
      </c>
      <c r="G2" s="2024">
        <v>31</v>
      </c>
      <c r="H2" s="2024">
        <f>+D2+F2</f>
        <v>61</v>
      </c>
      <c r="I2" s="2024">
        <f>+E2+G2</f>
        <v>61</v>
      </c>
      <c r="J2" s="244">
        <v>30</v>
      </c>
      <c r="K2" s="2024">
        <v>30</v>
      </c>
      <c r="L2" s="2024">
        <f>+H2+J2</f>
        <v>91</v>
      </c>
      <c r="M2" s="2024">
        <f>+I2+K2</f>
        <v>91</v>
      </c>
      <c r="N2" s="244">
        <v>31</v>
      </c>
      <c r="O2" s="244">
        <v>31</v>
      </c>
      <c r="P2" s="2024">
        <f>+L2+N2</f>
        <v>122</v>
      </c>
      <c r="Q2" s="2024">
        <f>+M2+O2</f>
        <v>122</v>
      </c>
      <c r="R2" s="244">
        <v>31</v>
      </c>
      <c r="S2" s="244">
        <v>31</v>
      </c>
      <c r="T2" s="2024">
        <f>+P2+R2</f>
        <v>153</v>
      </c>
      <c r="U2" s="2024">
        <f>+Q2+S2</f>
        <v>153</v>
      </c>
      <c r="V2" s="2024">
        <v>30</v>
      </c>
      <c r="W2" s="2024">
        <v>30</v>
      </c>
      <c r="X2" s="2024">
        <f>+N2+R2+V2</f>
        <v>92</v>
      </c>
      <c r="Y2" s="2024">
        <f>+O2+S2+W2</f>
        <v>92</v>
      </c>
      <c r="Z2" s="2024">
        <f>+T2+V2</f>
        <v>183</v>
      </c>
      <c r="AA2" s="2024">
        <f>+U2+W2</f>
        <v>183</v>
      </c>
      <c r="AB2" s="2024">
        <v>31</v>
      </c>
      <c r="AC2" s="2024">
        <v>31</v>
      </c>
      <c r="AD2" s="2024">
        <f>+Z2+AB2</f>
        <v>214</v>
      </c>
      <c r="AE2" s="2024">
        <f>+AA2+AC2</f>
        <v>214</v>
      </c>
      <c r="AF2" s="2024">
        <v>30</v>
      </c>
      <c r="AG2" s="2024">
        <v>30</v>
      </c>
      <c r="AH2" s="2024">
        <f>+AD2+AF2</f>
        <v>244</v>
      </c>
      <c r="AI2" s="2024">
        <f>+AE2+AG2</f>
        <v>244</v>
      </c>
      <c r="AJ2" s="2024">
        <v>31</v>
      </c>
      <c r="AK2" s="2024">
        <v>31</v>
      </c>
      <c r="AL2" s="2024">
        <f>+AB2+AF2+AJ2</f>
        <v>92</v>
      </c>
      <c r="AM2" s="2024">
        <f>+AC2+AG2+AK2</f>
        <v>92</v>
      </c>
      <c r="AN2" s="2024">
        <f>+AH2+AJ2</f>
        <v>275</v>
      </c>
      <c r="AO2" s="2024">
        <f>+AI2+AK2</f>
        <v>275</v>
      </c>
      <c r="AP2" s="2024">
        <v>31</v>
      </c>
      <c r="AQ2" s="2024">
        <v>31</v>
      </c>
      <c r="AR2" s="2024">
        <f>+AN2+AP2</f>
        <v>306</v>
      </c>
      <c r="AS2" s="2024">
        <f>+AO2+AQ2</f>
        <v>306</v>
      </c>
      <c r="AT2" s="2024">
        <v>28</v>
      </c>
      <c r="AU2" s="2024">
        <v>28</v>
      </c>
      <c r="AV2" s="2024">
        <f>+AR2+AT2</f>
        <v>334</v>
      </c>
      <c r="AW2" s="2024">
        <f>+AS2+AU2</f>
        <v>334</v>
      </c>
      <c r="AX2" s="2024">
        <v>31</v>
      </c>
      <c r="AY2" s="2024">
        <v>31</v>
      </c>
      <c r="AZ2" s="2024">
        <f>+AP2+AT2+AX2</f>
        <v>90</v>
      </c>
      <c r="BA2" s="2024">
        <f>+AQ2+AU2+AY2</f>
        <v>90</v>
      </c>
      <c r="BB2" s="2024">
        <f>+AL2+AZ2</f>
        <v>182</v>
      </c>
      <c r="BC2" s="2024">
        <f>+AM2+BA2</f>
        <v>182</v>
      </c>
      <c r="BD2" s="2024">
        <f>+AV2+AX2</f>
        <v>365</v>
      </c>
      <c r="BE2" s="2024">
        <f>+AW2+AY2</f>
        <v>365</v>
      </c>
    </row>
    <row r="3" spans="1:62" ht="18" x14ac:dyDescent="0.35">
      <c r="A3" s="2021"/>
      <c r="B3" s="6406" t="s">
        <v>170</v>
      </c>
      <c r="C3" s="6408" t="s">
        <v>171</v>
      </c>
      <c r="D3" s="6402" t="s">
        <v>2211</v>
      </c>
      <c r="E3" s="6403"/>
      <c r="F3" s="6402" t="s">
        <v>2260</v>
      </c>
      <c r="G3" s="6403"/>
      <c r="H3" s="6404" t="s">
        <v>14</v>
      </c>
      <c r="I3" s="6405"/>
      <c r="J3" s="6402" t="s">
        <v>1963</v>
      </c>
      <c r="K3" s="6403"/>
      <c r="L3" s="6397" t="s">
        <v>604</v>
      </c>
      <c r="M3" s="6130"/>
      <c r="N3" s="6129" t="s">
        <v>1985</v>
      </c>
      <c r="O3" s="6129"/>
      <c r="P3" s="6127" t="s">
        <v>17</v>
      </c>
      <c r="Q3" s="6127"/>
      <c r="R3" s="6129" t="s">
        <v>1988</v>
      </c>
      <c r="S3" s="6129"/>
      <c r="T3" s="6127" t="s">
        <v>18</v>
      </c>
      <c r="U3" s="6127"/>
      <c r="V3" s="6129" t="s">
        <v>2019</v>
      </c>
      <c r="W3" s="6129"/>
      <c r="X3" s="6130" t="s">
        <v>625</v>
      </c>
      <c r="Y3" s="6130"/>
      <c r="Z3" s="6128" t="s">
        <v>623</v>
      </c>
      <c r="AA3" s="6128"/>
      <c r="AB3" s="6129" t="s">
        <v>2043</v>
      </c>
      <c r="AC3" s="6129"/>
      <c r="AD3" s="6127" t="s">
        <v>24</v>
      </c>
      <c r="AE3" s="6127"/>
      <c r="AF3" s="6129" t="s">
        <v>2064</v>
      </c>
      <c r="AG3" s="6129"/>
      <c r="AH3" s="6127" t="s">
        <v>27</v>
      </c>
      <c r="AI3" s="6127"/>
      <c r="AJ3" s="6129" t="s">
        <v>2088</v>
      </c>
      <c r="AK3" s="6129"/>
      <c r="AL3" s="6130" t="s">
        <v>627</v>
      </c>
      <c r="AM3" s="6130"/>
      <c r="AN3" s="6127" t="s">
        <v>1565</v>
      </c>
      <c r="AO3" s="6127"/>
      <c r="AP3" s="6129" t="s">
        <v>2099</v>
      </c>
      <c r="AQ3" s="6129"/>
      <c r="AR3" s="6127" t="s">
        <v>28</v>
      </c>
      <c r="AS3" s="6127"/>
      <c r="AT3" s="6129" t="s">
        <v>2136</v>
      </c>
      <c r="AU3" s="6129"/>
      <c r="AV3" s="6127" t="s">
        <v>30</v>
      </c>
      <c r="AW3" s="6127"/>
      <c r="AX3" s="6129" t="s">
        <v>2154</v>
      </c>
      <c r="AY3" s="6129"/>
      <c r="AZ3" s="6130" t="s">
        <v>628</v>
      </c>
      <c r="BA3" s="6130"/>
      <c r="BB3" s="6128" t="s">
        <v>634</v>
      </c>
      <c r="BC3" s="6128"/>
      <c r="BD3" s="6127" t="s">
        <v>1961</v>
      </c>
      <c r="BE3" s="6127"/>
    </row>
    <row r="4" spans="1:62" ht="18" x14ac:dyDescent="0.35">
      <c r="A4" s="2021"/>
      <c r="B4" s="6407"/>
      <c r="C4" s="6132"/>
      <c r="D4" s="1866" t="s">
        <v>172</v>
      </c>
      <c r="E4" s="2025" t="s">
        <v>173</v>
      </c>
      <c r="F4" s="1866" t="s">
        <v>172</v>
      </c>
      <c r="G4" s="2025" t="s">
        <v>173</v>
      </c>
      <c r="H4" s="776" t="s">
        <v>172</v>
      </c>
      <c r="I4" s="2026" t="s">
        <v>173</v>
      </c>
      <c r="J4" s="1227" t="s">
        <v>172</v>
      </c>
      <c r="K4" s="2025" t="s">
        <v>173</v>
      </c>
      <c r="L4" s="777" t="s">
        <v>172</v>
      </c>
      <c r="M4" s="1877" t="s">
        <v>173</v>
      </c>
      <c r="N4" s="242" t="s">
        <v>172</v>
      </c>
      <c r="O4" s="242" t="s">
        <v>173</v>
      </c>
      <c r="P4" s="1878" t="s">
        <v>172</v>
      </c>
      <c r="Q4" s="1878" t="s">
        <v>173</v>
      </c>
      <c r="R4" s="242" t="s">
        <v>172</v>
      </c>
      <c r="S4" s="242" t="s">
        <v>173</v>
      </c>
      <c r="T4" s="1878" t="s">
        <v>172</v>
      </c>
      <c r="U4" s="1878" t="s">
        <v>173</v>
      </c>
      <c r="V4" s="242" t="s">
        <v>172</v>
      </c>
      <c r="W4" s="242" t="s">
        <v>173</v>
      </c>
      <c r="X4" s="1877" t="s">
        <v>172</v>
      </c>
      <c r="Y4" s="1877" t="s">
        <v>173</v>
      </c>
      <c r="Z4" s="2027" t="s">
        <v>172</v>
      </c>
      <c r="AA4" s="2027" t="s">
        <v>173</v>
      </c>
      <c r="AB4" s="242" t="s">
        <v>172</v>
      </c>
      <c r="AC4" s="242" t="s">
        <v>173</v>
      </c>
      <c r="AD4" s="1878" t="s">
        <v>172</v>
      </c>
      <c r="AE4" s="1878" t="s">
        <v>173</v>
      </c>
      <c r="AF4" s="242" t="s">
        <v>172</v>
      </c>
      <c r="AG4" s="242" t="s">
        <v>173</v>
      </c>
      <c r="AH4" s="1878" t="s">
        <v>172</v>
      </c>
      <c r="AI4" s="1878" t="s">
        <v>173</v>
      </c>
      <c r="AJ4" s="242" t="s">
        <v>172</v>
      </c>
      <c r="AK4" s="242" t="s">
        <v>173</v>
      </c>
      <c r="AL4" s="1877" t="s">
        <v>172</v>
      </c>
      <c r="AM4" s="1877" t="s">
        <v>173</v>
      </c>
      <c r="AN4" s="1878" t="s">
        <v>172</v>
      </c>
      <c r="AO4" s="1878" t="s">
        <v>173</v>
      </c>
      <c r="AP4" s="242" t="s">
        <v>172</v>
      </c>
      <c r="AQ4" s="242" t="s">
        <v>173</v>
      </c>
      <c r="AR4" s="1878" t="s">
        <v>172</v>
      </c>
      <c r="AS4" s="1878" t="s">
        <v>173</v>
      </c>
      <c r="AT4" s="242" t="s">
        <v>172</v>
      </c>
      <c r="AU4" s="242" t="s">
        <v>173</v>
      </c>
      <c r="AV4" s="1878" t="s">
        <v>172</v>
      </c>
      <c r="AW4" s="1878" t="s">
        <v>173</v>
      </c>
      <c r="AX4" s="242" t="s">
        <v>172</v>
      </c>
      <c r="AY4" s="242" t="s">
        <v>173</v>
      </c>
      <c r="AZ4" s="1877" t="s">
        <v>172</v>
      </c>
      <c r="BA4" s="1877" t="s">
        <v>173</v>
      </c>
      <c r="BB4" s="2027" t="s">
        <v>172</v>
      </c>
      <c r="BC4" s="2027" t="s">
        <v>173</v>
      </c>
      <c r="BD4" s="1878" t="s">
        <v>172</v>
      </c>
      <c r="BE4" s="1878" t="s">
        <v>173</v>
      </c>
    </row>
    <row r="5" spans="1:62" ht="18" x14ac:dyDescent="0.35">
      <c r="A5" s="2017"/>
      <c r="B5" s="1348" t="s">
        <v>0</v>
      </c>
      <c r="C5" s="1233"/>
      <c r="D5" s="1352"/>
      <c r="E5" s="1349"/>
      <c r="F5" s="1352"/>
      <c r="G5" s="1349"/>
      <c r="H5" s="1346"/>
      <c r="I5" s="1349"/>
      <c r="J5" s="1353"/>
      <c r="K5" s="1349"/>
      <c r="L5" s="1346"/>
      <c r="M5" s="874"/>
      <c r="N5" s="875"/>
      <c r="O5" s="875"/>
      <c r="P5" s="874"/>
      <c r="Q5" s="874"/>
      <c r="R5" s="875"/>
      <c r="S5" s="875"/>
      <c r="T5" s="874"/>
      <c r="U5" s="874"/>
      <c r="V5" s="875"/>
      <c r="W5" s="875"/>
      <c r="X5" s="1346"/>
      <c r="Y5" s="874"/>
      <c r="Z5" s="874"/>
      <c r="AA5" s="874"/>
      <c r="AB5" s="875"/>
      <c r="AC5" s="875"/>
      <c r="AD5" s="874"/>
      <c r="AE5" s="874"/>
      <c r="AF5" s="875"/>
      <c r="AG5" s="875"/>
      <c r="AH5" s="874"/>
      <c r="AI5" s="874"/>
      <c r="AJ5" s="875"/>
      <c r="AK5" s="875"/>
      <c r="AL5" s="1346"/>
      <c r="AM5" s="874"/>
      <c r="AN5" s="874"/>
      <c r="AO5" s="874"/>
      <c r="AP5" s="875"/>
      <c r="AQ5" s="875"/>
      <c r="AR5" s="874"/>
      <c r="AS5" s="874"/>
      <c r="AT5" s="875"/>
      <c r="AU5" s="875"/>
      <c r="AV5" s="874"/>
      <c r="AW5" s="874"/>
      <c r="AX5" s="875"/>
      <c r="AY5" s="875"/>
      <c r="AZ5" s="1346"/>
      <c r="BA5" s="874"/>
      <c r="BB5" s="874"/>
      <c r="BC5" s="874"/>
      <c r="BD5" s="874"/>
      <c r="BE5" s="874"/>
    </row>
    <row r="6" spans="1:62" ht="18" x14ac:dyDescent="0.35">
      <c r="A6" s="2017"/>
      <c r="B6" s="6401" t="s">
        <v>396</v>
      </c>
      <c r="C6" s="46" t="s">
        <v>395</v>
      </c>
      <c r="D6" s="680">
        <v>1043.04</v>
      </c>
      <c r="E6" s="1864">
        <v>1216.95</v>
      </c>
      <c r="F6" s="680">
        <v>1023.36</v>
      </c>
      <c r="G6" s="1864">
        <v>910.9799999999999</v>
      </c>
      <c r="H6" s="319">
        <f>+D6+F6</f>
        <v>2066.4</v>
      </c>
      <c r="I6" s="196">
        <f>+E6+G6</f>
        <v>2127.9299999999998</v>
      </c>
      <c r="J6" s="680">
        <v>1180.8</v>
      </c>
      <c r="K6" s="1864">
        <v>1211.2800000000004</v>
      </c>
      <c r="L6" s="373">
        <f>+D6+F6+J6</f>
        <v>3247.2</v>
      </c>
      <c r="M6" s="373">
        <f>+E6+G6+K6</f>
        <v>3339.21</v>
      </c>
      <c r="N6" s="680">
        <v>1220.1600000000001</v>
      </c>
      <c r="O6" s="1864">
        <v>1235.08</v>
      </c>
      <c r="P6" s="1959">
        <f>+L6+N6</f>
        <v>4467.3599999999997</v>
      </c>
      <c r="Q6" s="1959">
        <f>+M6+O6</f>
        <v>4574.29</v>
      </c>
      <c r="R6" s="680">
        <v>1220.1600000000001</v>
      </c>
      <c r="S6" s="1864">
        <v>1241.5899999999997</v>
      </c>
      <c r="T6" s="1959">
        <f>+P6+R6</f>
        <v>5687.5199999999995</v>
      </c>
      <c r="U6" s="1959">
        <f>+Q6+S6</f>
        <v>5815.8799999999992</v>
      </c>
      <c r="V6" s="680">
        <v>787.2</v>
      </c>
      <c r="W6" s="1864">
        <v>1216.18</v>
      </c>
      <c r="X6" s="373">
        <f>N6+R6+V6</f>
        <v>3227.5200000000004</v>
      </c>
      <c r="Y6" s="373">
        <f>O6+S6+W6</f>
        <v>3692.8499999999995</v>
      </c>
      <c r="Z6" s="461">
        <f>L6+X6</f>
        <v>6474.72</v>
      </c>
      <c r="AA6" s="461">
        <f>M6+Y6</f>
        <v>7032.0599999999995</v>
      </c>
      <c r="AB6" s="680">
        <v>1220.1600000000001</v>
      </c>
      <c r="AC6" s="1864">
        <v>1237.04</v>
      </c>
      <c r="AD6" s="1959">
        <f>+Z6+AB6</f>
        <v>7694.88</v>
      </c>
      <c r="AE6" s="1959">
        <f>+AA6+AC6</f>
        <v>8269.0999999999985</v>
      </c>
      <c r="AF6" s="680">
        <v>1180.8</v>
      </c>
      <c r="AG6" s="1864">
        <v>1207.92</v>
      </c>
      <c r="AH6" s="1959">
        <f>+AD6+AF6</f>
        <v>8875.68</v>
      </c>
      <c r="AI6" s="1959">
        <f>+AE6+AG6</f>
        <v>9477.0199999999986</v>
      </c>
      <c r="AJ6" s="680">
        <v>1220.1600000000001</v>
      </c>
      <c r="AK6" s="1864">
        <v>1254.4000000000003</v>
      </c>
      <c r="AL6" s="373">
        <f>AB6+AF6+AJ6</f>
        <v>3621.12</v>
      </c>
      <c r="AM6" s="373">
        <f>AC6+AG6+AK6</f>
        <v>3699.3600000000006</v>
      </c>
      <c r="AN6" s="1959">
        <f>+AH6+AJ6</f>
        <v>10095.84</v>
      </c>
      <c r="AO6" s="1959">
        <f>+AI6+AK6</f>
        <v>10731.419999999998</v>
      </c>
      <c r="AP6" s="680">
        <v>1220.1600000000001</v>
      </c>
      <c r="AQ6" s="1864">
        <v>1227.8</v>
      </c>
      <c r="AR6" s="1959">
        <f>+AN6+AP6</f>
        <v>11316</v>
      </c>
      <c r="AS6" s="1959">
        <f>+AO6+AQ6</f>
        <v>11959.219999999998</v>
      </c>
      <c r="AT6" s="680">
        <v>1102.08</v>
      </c>
      <c r="AU6" s="1864">
        <v>1130.57</v>
      </c>
      <c r="AV6" s="1959">
        <f>+AR6+AT6</f>
        <v>12418.08</v>
      </c>
      <c r="AW6" s="1959">
        <f>+AS6+AU6</f>
        <v>13089.789999999997</v>
      </c>
      <c r="AX6" s="680">
        <v>1220.1600000000001</v>
      </c>
      <c r="AY6" s="1864">
        <v>1239.7699999999998</v>
      </c>
      <c r="AZ6" s="373">
        <f>AP6+AT6+AX6</f>
        <v>3542.3999999999996</v>
      </c>
      <c r="BA6" s="373">
        <f>AQ6+AU6+AY6</f>
        <v>3598.1399999999994</v>
      </c>
      <c r="BB6" s="461">
        <f>AL6+AZ6</f>
        <v>7163.5199999999995</v>
      </c>
      <c r="BC6" s="461">
        <f>AM6+BA6</f>
        <v>7297.5</v>
      </c>
      <c r="BD6" s="1959">
        <f>+AV6+AX6</f>
        <v>13638.24</v>
      </c>
      <c r="BE6" s="1959">
        <f>+AW6+AY6</f>
        <v>14329.559999999998</v>
      </c>
      <c r="BF6" s="1111"/>
      <c r="BG6" s="1111"/>
      <c r="BH6" s="1111"/>
      <c r="BI6" s="23"/>
      <c r="BJ6" s="23"/>
    </row>
    <row r="7" spans="1:62" ht="18" x14ac:dyDescent="0.35">
      <c r="A7" s="2017"/>
      <c r="B7" s="6401"/>
      <c r="C7" s="46" t="s">
        <v>50</v>
      </c>
      <c r="D7" s="680">
        <v>1490.0571428571429</v>
      </c>
      <c r="E7" s="1864">
        <v>1738.5</v>
      </c>
      <c r="F7" s="680">
        <v>1461.9428571428571</v>
      </c>
      <c r="G7" s="1864">
        <v>1301.3999999999999</v>
      </c>
      <c r="H7" s="319">
        <f t="shared" ref="H7:H15" si="0">+D7+F7</f>
        <v>2952</v>
      </c>
      <c r="I7" s="196">
        <f t="shared" ref="I7:I15" si="1">+E7+G7</f>
        <v>3039.8999999999996</v>
      </c>
      <c r="J7" s="680">
        <v>1686.8571428571429</v>
      </c>
      <c r="K7" s="1864">
        <v>1730.4000000000005</v>
      </c>
      <c r="L7" s="373">
        <f t="shared" ref="L7:L15" si="2">+D7+F7+J7</f>
        <v>4638.8571428571431</v>
      </c>
      <c r="M7" s="373">
        <f t="shared" ref="M7:M15" si="3">+E7+G7+K7</f>
        <v>4770.3</v>
      </c>
      <c r="N7" s="680">
        <v>1743.0857142857144</v>
      </c>
      <c r="O7" s="1864">
        <v>1764.3999999999999</v>
      </c>
      <c r="P7" s="1959">
        <f t="shared" ref="P7:Q15" si="4">+L7+N7</f>
        <v>6381.942857142858</v>
      </c>
      <c r="Q7" s="1959">
        <f t="shared" si="4"/>
        <v>6534.7</v>
      </c>
      <c r="R7" s="680">
        <v>1743.0857142857144</v>
      </c>
      <c r="S7" s="1864">
        <v>1773.6999999999998</v>
      </c>
      <c r="T7" s="1959">
        <f t="shared" ref="T7:T15" si="5">+P7+R7</f>
        <v>8125.0285714285728</v>
      </c>
      <c r="U7" s="1959">
        <f t="shared" ref="U7:U15" si="6">+Q7+S7</f>
        <v>8308.4</v>
      </c>
      <c r="V7" s="680">
        <v>1124.5714285714287</v>
      </c>
      <c r="W7" s="1864">
        <v>1737.4</v>
      </c>
      <c r="X7" s="373">
        <f t="shared" ref="X7:X15" si="7">N7+R7+V7</f>
        <v>4610.7428571428572</v>
      </c>
      <c r="Y7" s="373">
        <f t="shared" ref="Y7:Y15" si="8">O7+S7+W7</f>
        <v>5275.5</v>
      </c>
      <c r="Z7" s="461">
        <f t="shared" ref="Z7:Z15" si="9">L7+X7</f>
        <v>9249.6</v>
      </c>
      <c r="AA7" s="461">
        <f t="shared" ref="AA7:AA15" si="10">M7+Y7</f>
        <v>10045.799999999999</v>
      </c>
      <c r="AB7" s="680">
        <v>1743.0857142857144</v>
      </c>
      <c r="AC7" s="1864">
        <v>1767.2</v>
      </c>
      <c r="AD7" s="1959">
        <f t="shared" ref="AD7:AD15" si="11">+Z7+AB7</f>
        <v>10992.685714285715</v>
      </c>
      <c r="AE7" s="1959">
        <f t="shared" ref="AE7:AE15" si="12">+AA7+AC7</f>
        <v>11813</v>
      </c>
      <c r="AF7" s="680">
        <v>1686.8571428571429</v>
      </c>
      <c r="AG7" s="1864">
        <v>1725.6</v>
      </c>
      <c r="AH7" s="1959">
        <f t="shared" ref="AH7:AH15" si="13">+AD7+AF7</f>
        <v>12679.542857142858</v>
      </c>
      <c r="AI7" s="1959">
        <f t="shared" ref="AI7:AI15" si="14">+AE7+AG7</f>
        <v>13538.6</v>
      </c>
      <c r="AJ7" s="680">
        <v>1743.0857142857144</v>
      </c>
      <c r="AK7" s="1864">
        <v>1792.0000000000002</v>
      </c>
      <c r="AL7" s="373">
        <f t="shared" ref="AL7:AL15" si="15">AB7+AF7+AJ7</f>
        <v>5173.028571428571</v>
      </c>
      <c r="AM7" s="373">
        <f t="shared" ref="AM7:AM15" si="16">AC7+AG7+AK7</f>
        <v>5284.8</v>
      </c>
      <c r="AN7" s="1959">
        <f t="shared" ref="AN7:AN15" si="17">+AH7+AJ7</f>
        <v>14422.628571428573</v>
      </c>
      <c r="AO7" s="1959">
        <f t="shared" ref="AO7:AO15" si="18">+AI7+AK7</f>
        <v>15330.6</v>
      </c>
      <c r="AP7" s="680">
        <v>1743.0857142857144</v>
      </c>
      <c r="AQ7" s="1864">
        <v>1754</v>
      </c>
      <c r="AR7" s="1959">
        <f t="shared" ref="AR7:AR15" si="19">+AN7+AP7</f>
        <v>16165.714285714288</v>
      </c>
      <c r="AS7" s="1959">
        <f t="shared" ref="AS7:AS15" si="20">+AO7+AQ7</f>
        <v>17084.599999999999</v>
      </c>
      <c r="AT7" s="680">
        <v>1574.4</v>
      </c>
      <c r="AU7" s="1864">
        <v>1615.1</v>
      </c>
      <c r="AV7" s="1959">
        <f t="shared" ref="AV7:AV15" si="21">+AR7+AT7</f>
        <v>17740.114285714288</v>
      </c>
      <c r="AW7" s="1959">
        <f t="shared" ref="AW7:AW15" si="22">+AS7+AU7</f>
        <v>18699.699999999997</v>
      </c>
      <c r="AX7" s="680">
        <v>1743.0857142857144</v>
      </c>
      <c r="AY7" s="1864">
        <v>1771.0999999999997</v>
      </c>
      <c r="AZ7" s="373">
        <f t="shared" ref="AZ7:AZ13" si="23">AP7+AT7+AX7</f>
        <v>5060.5714285714294</v>
      </c>
      <c r="BA7" s="373">
        <f t="shared" ref="BA7:BA13" si="24">AQ7+AU7+AY7</f>
        <v>5140.2</v>
      </c>
      <c r="BB7" s="461">
        <f t="shared" ref="BB7:BB15" si="25">AL7+AZ7</f>
        <v>10233.6</v>
      </c>
      <c r="BC7" s="461">
        <f t="shared" ref="BC7:BC15" si="26">AM7+BA7</f>
        <v>10425</v>
      </c>
      <c r="BD7" s="1959">
        <f t="shared" ref="BD7:BD15" si="27">+AV7+AX7</f>
        <v>19483.2</v>
      </c>
      <c r="BE7" s="1959">
        <f t="shared" ref="BE7:BE15" si="28">+AW7+AY7</f>
        <v>20470.799999999996</v>
      </c>
      <c r="BF7" s="1111"/>
      <c r="BG7" s="1111"/>
      <c r="BH7" s="23"/>
      <c r="BI7" s="23"/>
      <c r="BJ7" s="23"/>
    </row>
    <row r="8" spans="1:62" ht="18" x14ac:dyDescent="0.35">
      <c r="A8" s="2017"/>
      <c r="B8" s="6401" t="s">
        <v>397</v>
      </c>
      <c r="C8" s="46" t="s">
        <v>395</v>
      </c>
      <c r="D8" s="680">
        <v>25225.199999999997</v>
      </c>
      <c r="E8" s="1864">
        <v>29448.790000000005</v>
      </c>
      <c r="F8" s="680">
        <v>24741.360000000001</v>
      </c>
      <c r="G8" s="1864">
        <v>22101.659999999996</v>
      </c>
      <c r="H8" s="319">
        <f t="shared" si="0"/>
        <v>49966.559999999998</v>
      </c>
      <c r="I8" s="196">
        <f t="shared" si="1"/>
        <v>51550.45</v>
      </c>
      <c r="J8" s="680">
        <v>28728</v>
      </c>
      <c r="K8" s="1864">
        <v>29278.96999999999</v>
      </c>
      <c r="L8" s="373">
        <f t="shared" si="2"/>
        <v>78694.559999999998</v>
      </c>
      <c r="M8" s="373">
        <f t="shared" si="3"/>
        <v>80829.419999999984</v>
      </c>
      <c r="N8" s="680">
        <v>29685.599999999999</v>
      </c>
      <c r="O8" s="1864">
        <v>30255.820000000007</v>
      </c>
      <c r="P8" s="1959">
        <f t="shared" si="4"/>
        <v>108380.16</v>
      </c>
      <c r="Q8" s="1959">
        <f t="shared" si="4"/>
        <v>111085.23999999999</v>
      </c>
      <c r="R8" s="680">
        <v>29685.599999999999</v>
      </c>
      <c r="S8" s="1864">
        <v>30027.060000000005</v>
      </c>
      <c r="T8" s="1959">
        <f t="shared" si="5"/>
        <v>138065.76</v>
      </c>
      <c r="U8" s="1959">
        <f t="shared" si="6"/>
        <v>141112.29999999999</v>
      </c>
      <c r="V8" s="680">
        <v>19152</v>
      </c>
      <c r="W8" s="1864">
        <v>29254.190000000002</v>
      </c>
      <c r="X8" s="373">
        <f t="shared" si="7"/>
        <v>78523.199999999997</v>
      </c>
      <c r="Y8" s="373">
        <f t="shared" si="8"/>
        <v>89537.07</v>
      </c>
      <c r="Z8" s="461">
        <f t="shared" si="9"/>
        <v>157217.76</v>
      </c>
      <c r="AA8" s="461">
        <f t="shared" si="10"/>
        <v>170366.49</v>
      </c>
      <c r="AB8" s="680">
        <v>29685.599999999999</v>
      </c>
      <c r="AC8" s="1864">
        <v>29668.170000000006</v>
      </c>
      <c r="AD8" s="1959">
        <f t="shared" si="11"/>
        <v>186903.36000000002</v>
      </c>
      <c r="AE8" s="1959">
        <f t="shared" si="12"/>
        <v>200034.66</v>
      </c>
      <c r="AF8" s="680">
        <v>28728</v>
      </c>
      <c r="AG8" s="1864">
        <v>29314.040000000005</v>
      </c>
      <c r="AH8" s="1959">
        <f t="shared" si="13"/>
        <v>215631.36000000002</v>
      </c>
      <c r="AI8" s="1959">
        <f t="shared" si="14"/>
        <v>229348.7</v>
      </c>
      <c r="AJ8" s="680">
        <v>29685.599999999999</v>
      </c>
      <c r="AK8" s="1864">
        <v>30443.559999999998</v>
      </c>
      <c r="AL8" s="373">
        <f t="shared" si="15"/>
        <v>88099.199999999997</v>
      </c>
      <c r="AM8" s="373">
        <f t="shared" si="16"/>
        <v>89425.77</v>
      </c>
      <c r="AN8" s="1959">
        <f t="shared" si="17"/>
        <v>245316.96000000002</v>
      </c>
      <c r="AO8" s="1959">
        <f t="shared" si="18"/>
        <v>259792.26</v>
      </c>
      <c r="AP8" s="680">
        <v>29685.599999999999</v>
      </c>
      <c r="AQ8" s="1864">
        <v>29716.82</v>
      </c>
      <c r="AR8" s="1959">
        <f t="shared" si="19"/>
        <v>275002.56</v>
      </c>
      <c r="AS8" s="1959">
        <f t="shared" si="20"/>
        <v>289509.08</v>
      </c>
      <c r="AT8" s="680">
        <v>26812.799999999999</v>
      </c>
      <c r="AU8" s="1864">
        <v>27579.299999999996</v>
      </c>
      <c r="AV8" s="1959">
        <f t="shared" si="21"/>
        <v>301815.36</v>
      </c>
      <c r="AW8" s="1959">
        <f t="shared" si="22"/>
        <v>317088.38</v>
      </c>
      <c r="AX8" s="680">
        <v>29685.599999999999</v>
      </c>
      <c r="AY8" s="1864">
        <v>30212.279999999995</v>
      </c>
      <c r="AZ8" s="373">
        <f>AP8+AT8+AX10</f>
        <v>57108.479999999996</v>
      </c>
      <c r="BA8" s="373">
        <f t="shared" si="24"/>
        <v>87508.4</v>
      </c>
      <c r="BB8" s="461">
        <f t="shared" si="25"/>
        <v>145207.67999999999</v>
      </c>
      <c r="BC8" s="461">
        <f t="shared" si="26"/>
        <v>176934.16999999998</v>
      </c>
      <c r="BD8" s="1959">
        <f t="shared" si="27"/>
        <v>331500.95999999996</v>
      </c>
      <c r="BE8" s="1959">
        <f t="shared" si="28"/>
        <v>347300.66</v>
      </c>
      <c r="BF8" s="1111"/>
      <c r="BG8" s="1111"/>
      <c r="BH8" s="23"/>
      <c r="BI8" s="23"/>
      <c r="BJ8" s="23"/>
    </row>
    <row r="9" spans="1:62" ht="18" x14ac:dyDescent="0.35">
      <c r="A9" s="2017"/>
      <c r="B9" s="6401"/>
      <c r="C9" s="46" t="s">
        <v>50</v>
      </c>
      <c r="D9" s="680">
        <v>36036</v>
      </c>
      <c r="E9" s="1864">
        <v>42069.700000000004</v>
      </c>
      <c r="F9" s="680">
        <v>35344.800000000003</v>
      </c>
      <c r="G9" s="1864">
        <v>31573.799999999996</v>
      </c>
      <c r="H9" s="319">
        <f t="shared" si="0"/>
        <v>71380.800000000003</v>
      </c>
      <c r="I9" s="196">
        <f t="shared" si="1"/>
        <v>73643.5</v>
      </c>
      <c r="J9" s="680">
        <v>41040</v>
      </c>
      <c r="K9" s="1864">
        <v>41827.099999999984</v>
      </c>
      <c r="L9" s="373">
        <f t="shared" si="2"/>
        <v>112420.8</v>
      </c>
      <c r="M9" s="373">
        <f t="shared" si="3"/>
        <v>115470.59999999998</v>
      </c>
      <c r="N9" s="680">
        <v>42408</v>
      </c>
      <c r="O9" s="1864">
        <v>43222.600000000013</v>
      </c>
      <c r="P9" s="1959">
        <f t="shared" si="4"/>
        <v>154828.79999999999</v>
      </c>
      <c r="Q9" s="1959">
        <f t="shared" si="4"/>
        <v>158693.19999999998</v>
      </c>
      <c r="R9" s="680">
        <v>42408</v>
      </c>
      <c r="S9" s="1864">
        <v>42895.8</v>
      </c>
      <c r="T9" s="1959">
        <f t="shared" si="5"/>
        <v>197236.8</v>
      </c>
      <c r="U9" s="1959">
        <f t="shared" si="6"/>
        <v>201589</v>
      </c>
      <c r="V9" s="680">
        <v>27360</v>
      </c>
      <c r="W9" s="1864">
        <v>41791.700000000004</v>
      </c>
      <c r="X9" s="373">
        <f t="shared" si="7"/>
        <v>112176</v>
      </c>
      <c r="Y9" s="373">
        <f t="shared" si="8"/>
        <v>127910.10000000003</v>
      </c>
      <c r="Z9" s="461">
        <f t="shared" si="9"/>
        <v>224596.8</v>
      </c>
      <c r="AA9" s="461">
        <f t="shared" si="10"/>
        <v>243380.7</v>
      </c>
      <c r="AB9" s="680">
        <v>42408</v>
      </c>
      <c r="AC9" s="1864">
        <v>42383.100000000006</v>
      </c>
      <c r="AD9" s="1959">
        <f t="shared" si="11"/>
        <v>267004.79999999999</v>
      </c>
      <c r="AE9" s="1959">
        <f t="shared" si="12"/>
        <v>285763.80000000005</v>
      </c>
      <c r="AF9" s="680">
        <v>41040</v>
      </c>
      <c r="AG9" s="1864">
        <v>41877.200000000004</v>
      </c>
      <c r="AH9" s="1959">
        <f t="shared" si="13"/>
        <v>308044.79999999999</v>
      </c>
      <c r="AI9" s="1959">
        <f t="shared" si="14"/>
        <v>327641.00000000006</v>
      </c>
      <c r="AJ9" s="680">
        <v>42408</v>
      </c>
      <c r="AK9" s="1864">
        <v>43490.799999999996</v>
      </c>
      <c r="AL9" s="373">
        <f t="shared" si="15"/>
        <v>125856</v>
      </c>
      <c r="AM9" s="373">
        <f t="shared" si="16"/>
        <v>127751.1</v>
      </c>
      <c r="AN9" s="1959">
        <f t="shared" si="17"/>
        <v>350452.8</v>
      </c>
      <c r="AO9" s="1959">
        <f t="shared" si="18"/>
        <v>371131.80000000005</v>
      </c>
      <c r="AP9" s="680">
        <v>42408</v>
      </c>
      <c r="AQ9" s="1864">
        <v>42452.6</v>
      </c>
      <c r="AR9" s="1959">
        <f t="shared" si="19"/>
        <v>392860.8</v>
      </c>
      <c r="AS9" s="1959">
        <f t="shared" si="20"/>
        <v>413584.4</v>
      </c>
      <c r="AT9" s="680">
        <v>38304</v>
      </c>
      <c r="AU9" s="1864">
        <v>39398.999999999993</v>
      </c>
      <c r="AV9" s="1959">
        <f t="shared" si="21"/>
        <v>431164.8</v>
      </c>
      <c r="AW9" s="1959">
        <f t="shared" si="22"/>
        <v>452983.4</v>
      </c>
      <c r="AX9" s="680">
        <v>42408</v>
      </c>
      <c r="AY9" s="1864">
        <v>43160.399999999994</v>
      </c>
      <c r="AZ9" s="373">
        <f>AP9+AT9+AX11</f>
        <v>81474.600000000006</v>
      </c>
      <c r="BA9" s="373">
        <f t="shared" si="24"/>
        <v>125011.99999999999</v>
      </c>
      <c r="BB9" s="461">
        <f t="shared" si="25"/>
        <v>207330.6</v>
      </c>
      <c r="BC9" s="461">
        <f t="shared" si="26"/>
        <v>252763.09999999998</v>
      </c>
      <c r="BD9" s="1959">
        <f t="shared" si="27"/>
        <v>473572.8</v>
      </c>
      <c r="BE9" s="1959">
        <f t="shared" si="28"/>
        <v>496143.80000000005</v>
      </c>
      <c r="BF9" s="1111"/>
      <c r="BG9" s="1111"/>
      <c r="BH9" s="23"/>
      <c r="BI9" s="23"/>
      <c r="BJ9" s="23"/>
    </row>
    <row r="10" spans="1:62" ht="18" x14ac:dyDescent="0.35">
      <c r="A10" s="2017"/>
      <c r="B10" s="6401" t="s">
        <v>398</v>
      </c>
      <c r="C10" s="46" t="s">
        <v>395</v>
      </c>
      <c r="D10" s="680">
        <v>521.52</v>
      </c>
      <c r="E10" s="1864">
        <v>337.75999999999993</v>
      </c>
      <c r="F10" s="680">
        <v>511.68</v>
      </c>
      <c r="G10" s="1864">
        <v>479.2</v>
      </c>
      <c r="H10" s="319">
        <f t="shared" si="0"/>
        <v>1033.2</v>
      </c>
      <c r="I10" s="196">
        <f t="shared" si="1"/>
        <v>816.95999999999992</v>
      </c>
      <c r="J10" s="680">
        <v>590.4</v>
      </c>
      <c r="K10" s="1864">
        <v>336.63999999999993</v>
      </c>
      <c r="L10" s="373">
        <f t="shared" si="2"/>
        <v>1623.6</v>
      </c>
      <c r="M10" s="373">
        <f t="shared" si="3"/>
        <v>1153.5999999999999</v>
      </c>
      <c r="N10" s="680">
        <v>610.08000000000004</v>
      </c>
      <c r="O10" s="1864">
        <v>344.23999999999995</v>
      </c>
      <c r="P10" s="1959">
        <f t="shared" si="4"/>
        <v>2233.6799999999998</v>
      </c>
      <c r="Q10" s="1959">
        <f t="shared" si="4"/>
        <v>1497.84</v>
      </c>
      <c r="R10" s="680">
        <v>610.08000000000004</v>
      </c>
      <c r="S10" s="1864">
        <v>341.68</v>
      </c>
      <c r="T10" s="1959">
        <f t="shared" si="5"/>
        <v>2843.7599999999998</v>
      </c>
      <c r="U10" s="1959">
        <f t="shared" si="6"/>
        <v>1839.52</v>
      </c>
      <c r="V10" s="680">
        <v>393.6</v>
      </c>
      <c r="W10" s="1864">
        <v>337.19999999999993</v>
      </c>
      <c r="X10" s="373">
        <f t="shared" si="7"/>
        <v>1613.7600000000002</v>
      </c>
      <c r="Y10" s="373">
        <f t="shared" si="8"/>
        <v>1023.1199999999999</v>
      </c>
      <c r="Z10" s="461">
        <f t="shared" si="9"/>
        <v>3237.36</v>
      </c>
      <c r="AA10" s="461">
        <f t="shared" si="10"/>
        <v>2176.7199999999998</v>
      </c>
      <c r="AB10" s="680">
        <v>610.08000000000004</v>
      </c>
      <c r="AC10" s="1864">
        <v>344</v>
      </c>
      <c r="AD10" s="1959">
        <f t="shared" si="11"/>
        <v>3847.44</v>
      </c>
      <c r="AE10" s="1959">
        <f t="shared" si="12"/>
        <v>2520.7199999999998</v>
      </c>
      <c r="AF10" s="680">
        <v>590.4</v>
      </c>
      <c r="AG10" s="1864">
        <v>333.19999999999987</v>
      </c>
      <c r="AH10" s="1959">
        <f t="shared" si="13"/>
        <v>4437.84</v>
      </c>
      <c r="AI10" s="1959">
        <f t="shared" si="14"/>
        <v>2853.9199999999996</v>
      </c>
      <c r="AJ10" s="680">
        <v>610.08000000000004</v>
      </c>
      <c r="AK10" s="1864">
        <v>345.44000000000005</v>
      </c>
      <c r="AL10" s="373">
        <f t="shared" si="15"/>
        <v>1810.56</v>
      </c>
      <c r="AM10" s="373">
        <f t="shared" si="16"/>
        <v>1022.6399999999999</v>
      </c>
      <c r="AN10" s="1959">
        <f t="shared" si="17"/>
        <v>5047.92</v>
      </c>
      <c r="AO10" s="1959">
        <f t="shared" si="18"/>
        <v>3199.3599999999997</v>
      </c>
      <c r="AP10" s="680">
        <v>610.08000000000004</v>
      </c>
      <c r="AQ10" s="1864">
        <v>348.23999999999995</v>
      </c>
      <c r="AR10" s="1959">
        <f t="shared" si="19"/>
        <v>5658</v>
      </c>
      <c r="AS10" s="1959">
        <f t="shared" si="20"/>
        <v>3547.5999999999995</v>
      </c>
      <c r="AT10" s="680">
        <v>551.04</v>
      </c>
      <c r="AU10" s="1864">
        <v>313.92</v>
      </c>
      <c r="AV10" s="1959">
        <f t="shared" si="21"/>
        <v>6209.04</v>
      </c>
      <c r="AW10" s="1959">
        <f t="shared" si="22"/>
        <v>3861.5199999999995</v>
      </c>
      <c r="AX10" s="680">
        <v>610.08000000000004</v>
      </c>
      <c r="AY10" s="1864">
        <v>345.83999999999992</v>
      </c>
      <c r="AZ10" s="373">
        <f>AP10+AT10+AX14</f>
        <v>2219.0879999999997</v>
      </c>
      <c r="BA10" s="373">
        <f t="shared" si="24"/>
        <v>1007.9999999999999</v>
      </c>
      <c r="BB10" s="461">
        <f t="shared" si="25"/>
        <v>4029.6479999999997</v>
      </c>
      <c r="BC10" s="461">
        <f t="shared" si="26"/>
        <v>2030.6399999999999</v>
      </c>
      <c r="BD10" s="1959">
        <f t="shared" si="27"/>
        <v>6819.12</v>
      </c>
      <c r="BE10" s="1959">
        <f t="shared" si="28"/>
        <v>4207.3599999999997</v>
      </c>
      <c r="BF10" s="1111"/>
      <c r="BG10" s="1111"/>
      <c r="BH10" s="23"/>
      <c r="BI10" s="23"/>
      <c r="BJ10" s="23"/>
    </row>
    <row r="11" spans="1:62" ht="18" x14ac:dyDescent="0.35">
      <c r="A11" s="2017"/>
      <c r="B11" s="6401"/>
      <c r="C11" s="46" t="s">
        <v>50</v>
      </c>
      <c r="D11" s="680">
        <v>651.89999999999986</v>
      </c>
      <c r="E11" s="1864">
        <v>422.19999999999993</v>
      </c>
      <c r="F11" s="680">
        <v>639.59999999999991</v>
      </c>
      <c r="G11" s="1864">
        <v>599</v>
      </c>
      <c r="H11" s="319">
        <f t="shared" si="0"/>
        <v>1291.4999999999998</v>
      </c>
      <c r="I11" s="196">
        <f t="shared" si="1"/>
        <v>1021.1999999999999</v>
      </c>
      <c r="J11" s="680">
        <v>737.99999999999989</v>
      </c>
      <c r="K11" s="1864">
        <v>420.79999999999995</v>
      </c>
      <c r="L11" s="373">
        <f t="shared" si="2"/>
        <v>2029.4999999999995</v>
      </c>
      <c r="M11" s="373">
        <f t="shared" si="3"/>
        <v>1442</v>
      </c>
      <c r="N11" s="680">
        <v>762.6</v>
      </c>
      <c r="O11" s="1864">
        <v>430.29999999999995</v>
      </c>
      <c r="P11" s="1959">
        <f t="shared" si="4"/>
        <v>2792.0999999999995</v>
      </c>
      <c r="Q11" s="1959">
        <f t="shared" si="4"/>
        <v>1872.3</v>
      </c>
      <c r="R11" s="680">
        <v>762.6</v>
      </c>
      <c r="S11" s="1864">
        <v>427.09999999999997</v>
      </c>
      <c r="T11" s="1959">
        <f t="shared" si="5"/>
        <v>3554.6999999999994</v>
      </c>
      <c r="U11" s="1959">
        <f t="shared" si="6"/>
        <v>2299.4</v>
      </c>
      <c r="V11" s="680">
        <v>491.99999999999994</v>
      </c>
      <c r="W11" s="1864">
        <v>421.49999999999994</v>
      </c>
      <c r="X11" s="373">
        <f t="shared" si="7"/>
        <v>2017.2</v>
      </c>
      <c r="Y11" s="373">
        <f t="shared" si="8"/>
        <v>1278.8999999999999</v>
      </c>
      <c r="Z11" s="461">
        <f t="shared" si="9"/>
        <v>4046.7</v>
      </c>
      <c r="AA11" s="461">
        <f t="shared" si="10"/>
        <v>2720.8999999999996</v>
      </c>
      <c r="AB11" s="680">
        <v>762.6</v>
      </c>
      <c r="AC11" s="1864">
        <v>430</v>
      </c>
      <c r="AD11" s="1959">
        <f t="shared" si="11"/>
        <v>4809.3</v>
      </c>
      <c r="AE11" s="1959">
        <f t="shared" si="12"/>
        <v>3150.8999999999996</v>
      </c>
      <c r="AF11" s="680">
        <v>737.99999999999989</v>
      </c>
      <c r="AG11" s="1864">
        <v>416.49999999999989</v>
      </c>
      <c r="AH11" s="1959">
        <f t="shared" si="13"/>
        <v>5547.3</v>
      </c>
      <c r="AI11" s="1959">
        <f t="shared" si="14"/>
        <v>3567.3999999999996</v>
      </c>
      <c r="AJ11" s="680">
        <v>762.6</v>
      </c>
      <c r="AK11" s="1864">
        <v>431.80000000000007</v>
      </c>
      <c r="AL11" s="373">
        <f t="shared" si="15"/>
        <v>2263.1999999999998</v>
      </c>
      <c r="AM11" s="373">
        <f t="shared" si="16"/>
        <v>1278.3</v>
      </c>
      <c r="AN11" s="1959">
        <f t="shared" si="17"/>
        <v>6309.9000000000005</v>
      </c>
      <c r="AO11" s="1959">
        <f t="shared" si="18"/>
        <v>3999.2</v>
      </c>
      <c r="AP11" s="680">
        <v>762.6</v>
      </c>
      <c r="AQ11" s="1864">
        <v>435.29999999999995</v>
      </c>
      <c r="AR11" s="1959">
        <f t="shared" si="19"/>
        <v>7072.5000000000009</v>
      </c>
      <c r="AS11" s="1959">
        <f t="shared" si="20"/>
        <v>4434.5</v>
      </c>
      <c r="AT11" s="680">
        <v>688.8</v>
      </c>
      <c r="AU11" s="1864">
        <v>392.4</v>
      </c>
      <c r="AV11" s="1959">
        <f t="shared" si="21"/>
        <v>7761.3000000000011</v>
      </c>
      <c r="AW11" s="1959">
        <f t="shared" si="22"/>
        <v>4826.8999999999996</v>
      </c>
      <c r="AX11" s="680">
        <v>762.6</v>
      </c>
      <c r="AY11" s="1864">
        <v>432.29999999999995</v>
      </c>
      <c r="AZ11" s="373">
        <f>AP11+AT11+AX15</f>
        <v>3340.6285714285714</v>
      </c>
      <c r="BA11" s="373">
        <f t="shared" si="24"/>
        <v>1260</v>
      </c>
      <c r="BB11" s="461">
        <f t="shared" si="25"/>
        <v>5603.8285714285712</v>
      </c>
      <c r="BC11" s="461">
        <f t="shared" si="26"/>
        <v>2538.3000000000002</v>
      </c>
      <c r="BD11" s="1959">
        <f t="shared" si="27"/>
        <v>8523.9000000000015</v>
      </c>
      <c r="BE11" s="1959">
        <f t="shared" si="28"/>
        <v>5259.2</v>
      </c>
      <c r="BF11" s="1111"/>
      <c r="BG11" s="1111"/>
      <c r="BH11" s="23"/>
      <c r="BI11" s="23"/>
      <c r="BJ11" s="23"/>
    </row>
    <row r="12" spans="1:62" ht="18" x14ac:dyDescent="0.35">
      <c r="A12" s="2017"/>
      <c r="B12" s="6401" t="s">
        <v>399</v>
      </c>
      <c r="C12" s="46" t="s">
        <v>395</v>
      </c>
      <c r="D12" s="680">
        <v>20463</v>
      </c>
      <c r="E12" s="1864">
        <v>26865.759999999995</v>
      </c>
      <c r="F12" s="680">
        <v>20041.2</v>
      </c>
      <c r="G12" s="1864">
        <v>21029.920000000006</v>
      </c>
      <c r="H12" s="319">
        <f t="shared" si="0"/>
        <v>40504.199999999997</v>
      </c>
      <c r="I12" s="196">
        <f t="shared" si="1"/>
        <v>47895.68</v>
      </c>
      <c r="J12" s="680">
        <v>23256</v>
      </c>
      <c r="K12" s="1864">
        <v>27245.280000000002</v>
      </c>
      <c r="L12" s="373">
        <f t="shared" si="2"/>
        <v>63760.2</v>
      </c>
      <c r="M12" s="373">
        <f t="shared" si="3"/>
        <v>75140.960000000006</v>
      </c>
      <c r="N12" s="680">
        <v>24031.200000000001</v>
      </c>
      <c r="O12" s="1864">
        <v>28681.360000000008</v>
      </c>
      <c r="P12" s="1959">
        <f t="shared" si="4"/>
        <v>87791.4</v>
      </c>
      <c r="Q12" s="1959">
        <f t="shared" si="4"/>
        <v>103822.32</v>
      </c>
      <c r="R12" s="680">
        <v>24031.200000000001</v>
      </c>
      <c r="S12" s="1864">
        <v>28437.119999999995</v>
      </c>
      <c r="T12" s="1959">
        <f t="shared" si="5"/>
        <v>111822.59999999999</v>
      </c>
      <c r="U12" s="1959">
        <f t="shared" si="6"/>
        <v>132259.44</v>
      </c>
      <c r="V12" s="680">
        <v>15276</v>
      </c>
      <c r="W12" s="1864">
        <v>27652.880000000001</v>
      </c>
      <c r="X12" s="373">
        <f t="shared" si="7"/>
        <v>63338.400000000001</v>
      </c>
      <c r="Y12" s="373">
        <f t="shared" si="8"/>
        <v>84771.36</v>
      </c>
      <c r="Z12" s="461">
        <f t="shared" si="9"/>
        <v>127098.6</v>
      </c>
      <c r="AA12" s="461">
        <f t="shared" si="10"/>
        <v>159912.32000000001</v>
      </c>
      <c r="AB12" s="680">
        <v>24031.200000000001</v>
      </c>
      <c r="AC12" s="1864">
        <v>27482.400000000009</v>
      </c>
      <c r="AD12" s="1959">
        <f t="shared" si="11"/>
        <v>151129.80000000002</v>
      </c>
      <c r="AE12" s="1959">
        <f t="shared" si="12"/>
        <v>187394.72000000003</v>
      </c>
      <c r="AF12" s="680">
        <v>23256</v>
      </c>
      <c r="AG12" s="1864">
        <v>27081.839999999993</v>
      </c>
      <c r="AH12" s="1959">
        <f t="shared" si="13"/>
        <v>174385.80000000002</v>
      </c>
      <c r="AI12" s="1959">
        <f t="shared" si="14"/>
        <v>214476.56000000003</v>
      </c>
      <c r="AJ12" s="680">
        <v>24031.200000000001</v>
      </c>
      <c r="AK12" s="1864">
        <v>28873.992000000002</v>
      </c>
      <c r="AL12" s="373">
        <f t="shared" si="15"/>
        <v>71318.399999999994</v>
      </c>
      <c r="AM12" s="373">
        <f t="shared" si="16"/>
        <v>83438.232000000004</v>
      </c>
      <c r="AN12" s="1959">
        <f t="shared" si="17"/>
        <v>198417.00000000003</v>
      </c>
      <c r="AO12" s="1959">
        <f t="shared" si="18"/>
        <v>243350.55200000003</v>
      </c>
      <c r="AP12" s="680">
        <v>24031.200000000001</v>
      </c>
      <c r="AQ12" s="1864">
        <v>27605.759999999995</v>
      </c>
      <c r="AR12" s="1959">
        <f t="shared" si="19"/>
        <v>222448.20000000004</v>
      </c>
      <c r="AS12" s="1959">
        <f t="shared" si="20"/>
        <v>270956.31200000003</v>
      </c>
      <c r="AT12" s="680">
        <v>21705.599999999999</v>
      </c>
      <c r="AU12" s="1864">
        <v>25277.919999999998</v>
      </c>
      <c r="AV12" s="1959">
        <f t="shared" si="21"/>
        <v>244153.80000000005</v>
      </c>
      <c r="AW12" s="1959">
        <f t="shared" si="22"/>
        <v>296234.23200000002</v>
      </c>
      <c r="AX12" s="680">
        <v>24031.200000000001</v>
      </c>
      <c r="AY12" s="1864">
        <v>27788.799999999999</v>
      </c>
      <c r="AZ12" s="373">
        <f t="shared" si="23"/>
        <v>69768</v>
      </c>
      <c r="BA12" s="373">
        <f t="shared" si="24"/>
        <v>80672.479999999996</v>
      </c>
      <c r="BB12" s="461">
        <f t="shared" si="25"/>
        <v>141086.39999999999</v>
      </c>
      <c r="BC12" s="461">
        <f t="shared" si="26"/>
        <v>164110.712</v>
      </c>
      <c r="BD12" s="1959">
        <f t="shared" si="27"/>
        <v>268185.00000000006</v>
      </c>
      <c r="BE12" s="1959">
        <f t="shared" si="28"/>
        <v>324023.03200000001</v>
      </c>
      <c r="BF12" s="1111"/>
      <c r="BG12" s="1111"/>
      <c r="BH12" s="23"/>
      <c r="BI12" s="23"/>
      <c r="BJ12" s="23"/>
    </row>
    <row r="13" spans="1:62" ht="18.600000000000001" thickBot="1" x14ac:dyDescent="0.4">
      <c r="A13" s="2017"/>
      <c r="B13" s="6401"/>
      <c r="C13" s="46" t="s">
        <v>50</v>
      </c>
      <c r="D13" s="680">
        <v>25578.75</v>
      </c>
      <c r="E13" s="1864">
        <v>33582.199999999997</v>
      </c>
      <c r="F13" s="680">
        <v>25051.5</v>
      </c>
      <c r="G13" s="1864">
        <v>26287.400000000005</v>
      </c>
      <c r="H13" s="319">
        <f t="shared" si="0"/>
        <v>50630.25</v>
      </c>
      <c r="I13" s="196">
        <f t="shared" si="1"/>
        <v>59869.600000000006</v>
      </c>
      <c r="J13" s="680">
        <v>29070</v>
      </c>
      <c r="K13" s="1864">
        <v>34056.600000000006</v>
      </c>
      <c r="L13" s="373">
        <f t="shared" si="2"/>
        <v>79700.25</v>
      </c>
      <c r="M13" s="373">
        <f t="shared" si="3"/>
        <v>93926.200000000012</v>
      </c>
      <c r="N13" s="680">
        <v>30039</v>
      </c>
      <c r="O13" s="1864">
        <v>35851.700000000012</v>
      </c>
      <c r="P13" s="1959">
        <f t="shared" si="4"/>
        <v>109739.25</v>
      </c>
      <c r="Q13" s="1959">
        <f t="shared" si="4"/>
        <v>129777.90000000002</v>
      </c>
      <c r="R13" s="680">
        <v>30039</v>
      </c>
      <c r="S13" s="1864">
        <v>35546.399999999994</v>
      </c>
      <c r="T13" s="1959">
        <f t="shared" si="5"/>
        <v>139778.25</v>
      </c>
      <c r="U13" s="1959">
        <f t="shared" si="6"/>
        <v>165324.30000000002</v>
      </c>
      <c r="V13" s="680">
        <v>19095</v>
      </c>
      <c r="W13" s="1864">
        <v>34566.1</v>
      </c>
      <c r="X13" s="373">
        <f t="shared" si="7"/>
        <v>79173</v>
      </c>
      <c r="Y13" s="373">
        <f t="shared" si="8"/>
        <v>105964.20000000001</v>
      </c>
      <c r="Z13" s="461">
        <f t="shared" si="9"/>
        <v>158873.25</v>
      </c>
      <c r="AA13" s="461">
        <f t="shared" si="10"/>
        <v>199890.40000000002</v>
      </c>
      <c r="AB13" s="680">
        <v>30039</v>
      </c>
      <c r="AC13" s="1864">
        <v>34353.000000000007</v>
      </c>
      <c r="AD13" s="1959">
        <f t="shared" si="11"/>
        <v>188912.25</v>
      </c>
      <c r="AE13" s="1959">
        <f t="shared" si="12"/>
        <v>234243.40000000002</v>
      </c>
      <c r="AF13" s="680">
        <v>29070</v>
      </c>
      <c r="AG13" s="1864">
        <v>33852.299999999988</v>
      </c>
      <c r="AH13" s="1959">
        <f t="shared" si="13"/>
        <v>217982.25</v>
      </c>
      <c r="AI13" s="1959">
        <f t="shared" si="14"/>
        <v>268095.7</v>
      </c>
      <c r="AJ13" s="680">
        <v>30039</v>
      </c>
      <c r="AK13" s="1864">
        <v>36092.490000000005</v>
      </c>
      <c r="AL13" s="373">
        <f t="shared" si="15"/>
        <v>89148</v>
      </c>
      <c r="AM13" s="373">
        <f t="shared" si="16"/>
        <v>104297.79</v>
      </c>
      <c r="AN13" s="1959">
        <f t="shared" si="17"/>
        <v>248021.25</v>
      </c>
      <c r="AO13" s="1959">
        <f t="shared" si="18"/>
        <v>304188.19</v>
      </c>
      <c r="AP13" s="680">
        <v>30039</v>
      </c>
      <c r="AQ13" s="1864">
        <v>34507.199999999997</v>
      </c>
      <c r="AR13" s="1959">
        <f t="shared" si="19"/>
        <v>278060.25</v>
      </c>
      <c r="AS13" s="1959">
        <f t="shared" si="20"/>
        <v>338695.39</v>
      </c>
      <c r="AT13" s="680">
        <v>27132</v>
      </c>
      <c r="AU13" s="1864">
        <v>31597.399999999998</v>
      </c>
      <c r="AV13" s="1959">
        <f t="shared" si="21"/>
        <v>305192.25</v>
      </c>
      <c r="AW13" s="1959">
        <f t="shared" si="22"/>
        <v>370292.79000000004</v>
      </c>
      <c r="AX13" s="680">
        <v>30039</v>
      </c>
      <c r="AY13" s="1864">
        <v>34736</v>
      </c>
      <c r="AZ13" s="373">
        <f t="shared" si="23"/>
        <v>87210</v>
      </c>
      <c r="BA13" s="373">
        <f t="shared" si="24"/>
        <v>100840.59999999999</v>
      </c>
      <c r="BB13" s="461">
        <f t="shared" si="25"/>
        <v>176358</v>
      </c>
      <c r="BC13" s="461">
        <f t="shared" si="26"/>
        <v>205138.38999999998</v>
      </c>
      <c r="BD13" s="1959">
        <f t="shared" si="27"/>
        <v>335231.25</v>
      </c>
      <c r="BE13" s="1959">
        <f t="shared" si="28"/>
        <v>405028.79000000004</v>
      </c>
      <c r="BF13" s="1111"/>
      <c r="BG13" s="1111"/>
      <c r="BH13" s="23"/>
      <c r="BI13" s="23"/>
      <c r="BJ13" s="23"/>
    </row>
    <row r="14" spans="1:62" ht="18" x14ac:dyDescent="0.35">
      <c r="A14" s="2017"/>
      <c r="B14" s="6401" t="s">
        <v>400</v>
      </c>
      <c r="C14" s="46" t="s">
        <v>395</v>
      </c>
      <c r="D14" s="680">
        <v>854.14800000000002</v>
      </c>
      <c r="E14" s="1864">
        <v>929.76800000000026</v>
      </c>
      <c r="F14" s="680">
        <v>805.8</v>
      </c>
      <c r="G14" s="1864">
        <v>655.36800000000005</v>
      </c>
      <c r="H14" s="319">
        <f t="shared" si="0"/>
        <v>1659.9479999999999</v>
      </c>
      <c r="I14" s="196">
        <f t="shared" si="1"/>
        <v>1585.1360000000004</v>
      </c>
      <c r="J14" s="680">
        <v>1023.84</v>
      </c>
      <c r="K14" s="1864">
        <v>928.14399999999978</v>
      </c>
      <c r="L14" s="373">
        <f t="shared" si="2"/>
        <v>2683.788</v>
      </c>
      <c r="M14" s="373">
        <f t="shared" si="3"/>
        <v>2513.2800000000002</v>
      </c>
      <c r="N14" s="680">
        <v>1057.9680000000001</v>
      </c>
      <c r="O14" s="1864">
        <v>937.72</v>
      </c>
      <c r="P14" s="1959">
        <f t="shared" si="4"/>
        <v>3741.7560000000003</v>
      </c>
      <c r="Q14" s="1959">
        <f t="shared" si="4"/>
        <v>3451</v>
      </c>
      <c r="R14" s="680">
        <v>1057.9680000000001</v>
      </c>
      <c r="S14" s="1864">
        <v>912.4079999999999</v>
      </c>
      <c r="T14" s="1959">
        <f t="shared" si="5"/>
        <v>4799.7240000000002</v>
      </c>
      <c r="U14" s="1959">
        <f t="shared" si="6"/>
        <v>4363.4079999999994</v>
      </c>
      <c r="V14" s="680">
        <v>682.56</v>
      </c>
      <c r="W14" s="1864">
        <v>927.47200000000043</v>
      </c>
      <c r="X14" s="373">
        <f t="shared" si="7"/>
        <v>2798.4960000000001</v>
      </c>
      <c r="Y14" s="373">
        <f t="shared" si="8"/>
        <v>2777.6000000000004</v>
      </c>
      <c r="Z14" s="461">
        <f t="shared" si="9"/>
        <v>5482.2839999999997</v>
      </c>
      <c r="AA14" s="461">
        <f t="shared" si="10"/>
        <v>5290.880000000001</v>
      </c>
      <c r="AB14" s="680">
        <v>1057.9680000000001</v>
      </c>
      <c r="AC14" s="1864">
        <v>928.64800000000014</v>
      </c>
      <c r="AD14" s="1959">
        <f t="shared" si="11"/>
        <v>6540.2519999999995</v>
      </c>
      <c r="AE14" s="1959">
        <f t="shared" si="12"/>
        <v>6219.5280000000012</v>
      </c>
      <c r="AF14" s="680">
        <v>1023.84</v>
      </c>
      <c r="AG14" s="1864">
        <v>906.92</v>
      </c>
      <c r="AH14" s="1959">
        <f t="shared" si="13"/>
        <v>7564.0919999999996</v>
      </c>
      <c r="AI14" s="1959">
        <f t="shared" si="14"/>
        <v>7126.4480000000012</v>
      </c>
      <c r="AJ14" s="680">
        <v>1057.9680000000001</v>
      </c>
      <c r="AK14" s="1864">
        <v>957.2639999999999</v>
      </c>
      <c r="AL14" s="373">
        <f t="shared" si="15"/>
        <v>3139.7759999999998</v>
      </c>
      <c r="AM14" s="373">
        <f t="shared" si="16"/>
        <v>2792.8320000000003</v>
      </c>
      <c r="AN14" s="1959">
        <f t="shared" si="17"/>
        <v>8622.06</v>
      </c>
      <c r="AO14" s="1959">
        <f t="shared" si="18"/>
        <v>8083.7120000000014</v>
      </c>
      <c r="AP14" s="680">
        <v>1057.9680000000001</v>
      </c>
      <c r="AQ14" s="1864">
        <v>899.47199999999987</v>
      </c>
      <c r="AR14" s="1959">
        <f t="shared" si="19"/>
        <v>9680.0280000000002</v>
      </c>
      <c r="AS14" s="1959">
        <f t="shared" si="20"/>
        <v>8983.1840000000011</v>
      </c>
      <c r="AT14" s="680">
        <v>955.58399999999995</v>
      </c>
      <c r="AU14" s="1864">
        <v>866.32</v>
      </c>
      <c r="AV14" s="1959">
        <f t="shared" si="21"/>
        <v>10635.612000000001</v>
      </c>
      <c r="AW14" s="1959">
        <f t="shared" si="22"/>
        <v>9849.5040000000008</v>
      </c>
      <c r="AX14" s="680">
        <v>1057.9680000000001</v>
      </c>
      <c r="AY14" s="1864">
        <v>927.24800000000005</v>
      </c>
      <c r="AZ14" s="373">
        <f t="shared" ref="AZ14:AZ15" si="29">AP14+AT14+AX14</f>
        <v>3071.5200000000004</v>
      </c>
      <c r="BA14" s="373">
        <f t="shared" ref="BA14:BA15" si="30">AQ14+AU14+AY14</f>
        <v>2693.04</v>
      </c>
      <c r="BB14" s="461">
        <f t="shared" si="25"/>
        <v>6211.2960000000003</v>
      </c>
      <c r="BC14" s="461">
        <f t="shared" si="26"/>
        <v>5485.8720000000003</v>
      </c>
      <c r="BD14" s="1959">
        <f t="shared" si="27"/>
        <v>11693.580000000002</v>
      </c>
      <c r="BE14" s="1959">
        <f t="shared" si="28"/>
        <v>10776.752</v>
      </c>
      <c r="BF14" s="4945"/>
      <c r="BG14" s="1111"/>
      <c r="BH14" s="23"/>
      <c r="BI14" s="23"/>
      <c r="BJ14" s="23"/>
    </row>
    <row r="15" spans="1:62" ht="18.600000000000001" thickBot="1" x14ac:dyDescent="0.4">
      <c r="A15" s="2017"/>
      <c r="B15" s="6401"/>
      <c r="C15" s="46" t="s">
        <v>50</v>
      </c>
      <c r="D15" s="680">
        <v>1525.2642857142855</v>
      </c>
      <c r="E15" s="1864">
        <v>1660.3000000000004</v>
      </c>
      <c r="F15" s="680">
        <v>1438.9285714285713</v>
      </c>
      <c r="G15" s="1864">
        <v>1170.3</v>
      </c>
      <c r="H15" s="319">
        <f t="shared" si="0"/>
        <v>2964.1928571428571</v>
      </c>
      <c r="I15" s="196">
        <f t="shared" si="1"/>
        <v>2830.6000000000004</v>
      </c>
      <c r="J15" s="680">
        <v>1828.2857142857142</v>
      </c>
      <c r="K15" s="1864">
        <v>1657.3999999999996</v>
      </c>
      <c r="L15" s="373">
        <f t="shared" si="2"/>
        <v>4792.4785714285717</v>
      </c>
      <c r="M15" s="373">
        <f t="shared" si="3"/>
        <v>4488</v>
      </c>
      <c r="N15" s="680">
        <v>1889.2285714285713</v>
      </c>
      <c r="O15" s="1864">
        <v>1674.5</v>
      </c>
      <c r="P15" s="1959">
        <f t="shared" si="4"/>
        <v>6681.7071428571435</v>
      </c>
      <c r="Q15" s="1959">
        <f t="shared" si="4"/>
        <v>6162.5</v>
      </c>
      <c r="R15" s="680">
        <v>1889.2285714285713</v>
      </c>
      <c r="S15" s="1864">
        <v>1629.2999999999997</v>
      </c>
      <c r="T15" s="1959">
        <f t="shared" si="5"/>
        <v>8570.9357142857152</v>
      </c>
      <c r="U15" s="1959">
        <f t="shared" si="6"/>
        <v>7791.7999999999993</v>
      </c>
      <c r="V15" s="680">
        <v>1218.8571428571427</v>
      </c>
      <c r="W15" s="1864">
        <v>1656.2000000000007</v>
      </c>
      <c r="X15" s="373">
        <f t="shared" si="7"/>
        <v>4997.3142857142848</v>
      </c>
      <c r="Y15" s="373">
        <f t="shared" si="8"/>
        <v>4960</v>
      </c>
      <c r="Z15" s="461">
        <f t="shared" si="9"/>
        <v>9789.7928571428565</v>
      </c>
      <c r="AA15" s="461">
        <f t="shared" si="10"/>
        <v>9448</v>
      </c>
      <c r="AB15" s="680">
        <v>1889.2285714285713</v>
      </c>
      <c r="AC15" s="1864">
        <v>1658.3000000000002</v>
      </c>
      <c r="AD15" s="1959">
        <f t="shared" si="11"/>
        <v>11679.021428571428</v>
      </c>
      <c r="AE15" s="1959">
        <f t="shared" si="12"/>
        <v>11106.3</v>
      </c>
      <c r="AF15" s="680">
        <v>1828.2857142857142</v>
      </c>
      <c r="AG15" s="1864">
        <v>1619.5</v>
      </c>
      <c r="AH15" s="1959">
        <f t="shared" si="13"/>
        <v>13507.307142857142</v>
      </c>
      <c r="AI15" s="1959">
        <f t="shared" si="14"/>
        <v>12725.8</v>
      </c>
      <c r="AJ15" s="680">
        <v>1889.2285714285713</v>
      </c>
      <c r="AK15" s="1864">
        <v>1709.3999999999999</v>
      </c>
      <c r="AL15" s="373">
        <f t="shared" si="15"/>
        <v>5606.7428571428572</v>
      </c>
      <c r="AM15" s="373">
        <f t="shared" si="16"/>
        <v>4987.2</v>
      </c>
      <c r="AN15" s="1959">
        <f t="shared" si="17"/>
        <v>15396.535714285714</v>
      </c>
      <c r="AO15" s="1959">
        <f t="shared" si="18"/>
        <v>14435.199999999999</v>
      </c>
      <c r="AP15" s="680">
        <v>1889.2285714285713</v>
      </c>
      <c r="AQ15" s="1864">
        <v>1606.1999999999998</v>
      </c>
      <c r="AR15" s="1959">
        <f t="shared" si="19"/>
        <v>17285.764285714286</v>
      </c>
      <c r="AS15" s="1959">
        <f t="shared" si="20"/>
        <v>16041.399999999998</v>
      </c>
      <c r="AT15" s="680">
        <v>1706.3999999999996</v>
      </c>
      <c r="AU15" s="1864">
        <v>1547</v>
      </c>
      <c r="AV15" s="1959">
        <f t="shared" si="21"/>
        <v>18992.164285714287</v>
      </c>
      <c r="AW15" s="1959">
        <f t="shared" si="22"/>
        <v>17588.399999999998</v>
      </c>
      <c r="AX15" s="680">
        <v>1889.2285714285713</v>
      </c>
      <c r="AY15" s="1864">
        <v>1655.8</v>
      </c>
      <c r="AZ15" s="373">
        <f t="shared" si="29"/>
        <v>5484.8571428571422</v>
      </c>
      <c r="BA15" s="373">
        <f t="shared" si="30"/>
        <v>4809</v>
      </c>
      <c r="BB15" s="461">
        <f t="shared" si="25"/>
        <v>11091.599999999999</v>
      </c>
      <c r="BC15" s="461">
        <f t="shared" si="26"/>
        <v>9796.2000000000007</v>
      </c>
      <c r="BD15" s="1959">
        <f t="shared" si="27"/>
        <v>20881.392857142859</v>
      </c>
      <c r="BE15" s="1959">
        <f t="shared" si="28"/>
        <v>19244.199999999997</v>
      </c>
      <c r="BF15" s="4946"/>
      <c r="BG15" s="1111"/>
      <c r="BH15" s="23"/>
      <c r="BI15" s="23"/>
      <c r="BJ15" s="23"/>
    </row>
    <row r="16" spans="1:62" ht="18" x14ac:dyDescent="0.35">
      <c r="A16" s="2028"/>
      <c r="B16" s="1350" t="s">
        <v>332</v>
      </c>
      <c r="C16" s="1234"/>
      <c r="D16" s="1353"/>
      <c r="E16" s="1351"/>
      <c r="F16" s="1353"/>
      <c r="G16" s="1351"/>
      <c r="H16" s="1347"/>
      <c r="I16" s="1351"/>
      <c r="J16" s="1353"/>
      <c r="K16" s="1351"/>
      <c r="L16" s="1347"/>
      <c r="M16" s="1351"/>
      <c r="N16" s="1353"/>
      <c r="O16" s="1351"/>
      <c r="P16" s="875"/>
      <c r="Q16" s="875"/>
      <c r="R16" s="1353"/>
      <c r="S16" s="1351"/>
      <c r="T16" s="875"/>
      <c r="U16" s="875"/>
      <c r="V16" s="1353"/>
      <c r="W16" s="1351"/>
      <c r="X16" s="1347"/>
      <c r="Y16" s="1351"/>
      <c r="Z16" s="875"/>
      <c r="AA16" s="875"/>
      <c r="AB16" s="1353"/>
      <c r="AC16" s="1351"/>
      <c r="AD16" s="875"/>
      <c r="AE16" s="875"/>
      <c r="AF16" s="1353"/>
      <c r="AG16" s="1351"/>
      <c r="AH16" s="875"/>
      <c r="AI16" s="875"/>
      <c r="AJ16" s="1353"/>
      <c r="AK16" s="1351"/>
      <c r="AL16" s="1347"/>
      <c r="AM16" s="1351"/>
      <c r="AN16" s="875"/>
      <c r="AO16" s="875"/>
      <c r="AP16" s="1353"/>
      <c r="AQ16" s="1351"/>
      <c r="AR16" s="875"/>
      <c r="AS16" s="875"/>
      <c r="AT16" s="1353"/>
      <c r="AU16" s="1351"/>
      <c r="AV16" s="875"/>
      <c r="AW16" s="875"/>
      <c r="AX16" s="1353"/>
      <c r="AY16" s="1351"/>
      <c r="AZ16" s="1347"/>
      <c r="BA16" s="1351"/>
      <c r="BB16" s="875"/>
      <c r="BC16" s="875"/>
      <c r="BD16" s="875"/>
      <c r="BE16" s="875"/>
      <c r="BF16" s="1111"/>
      <c r="BG16" s="1111"/>
      <c r="BH16" s="23"/>
      <c r="BI16" s="23"/>
      <c r="BJ16" s="23"/>
    </row>
    <row r="17" spans="1:62" ht="18" x14ac:dyDescent="0.35">
      <c r="A17" s="2028"/>
      <c r="B17" s="1350" t="s">
        <v>100</v>
      </c>
      <c r="C17" s="1234"/>
      <c r="D17" s="1353"/>
      <c r="E17" s="1351"/>
      <c r="F17" s="1353"/>
      <c r="G17" s="1351"/>
      <c r="H17" s="1347"/>
      <c r="I17" s="1351"/>
      <c r="J17" s="1353"/>
      <c r="K17" s="1351"/>
      <c r="L17" s="1347"/>
      <c r="M17" s="1351"/>
      <c r="N17" s="1353"/>
      <c r="O17" s="1351"/>
      <c r="P17" s="875"/>
      <c r="Q17" s="875"/>
      <c r="R17" s="1353"/>
      <c r="S17" s="1351"/>
      <c r="T17" s="875"/>
      <c r="U17" s="875"/>
      <c r="V17" s="1353"/>
      <c r="W17" s="1351"/>
      <c r="X17" s="1347"/>
      <c r="Y17" s="1351"/>
      <c r="Z17" s="875"/>
      <c r="AA17" s="875"/>
      <c r="AB17" s="1353"/>
      <c r="AC17" s="1351"/>
      <c r="AD17" s="875"/>
      <c r="AE17" s="875"/>
      <c r="AF17" s="1353"/>
      <c r="AG17" s="1351"/>
      <c r="AH17" s="875"/>
      <c r="AI17" s="875"/>
      <c r="AJ17" s="1353"/>
      <c r="AK17" s="1351"/>
      <c r="AL17" s="1347"/>
      <c r="AM17" s="1351"/>
      <c r="AN17" s="875"/>
      <c r="AO17" s="875"/>
      <c r="AP17" s="1353"/>
      <c r="AQ17" s="1351"/>
      <c r="AR17" s="875"/>
      <c r="AS17" s="875"/>
      <c r="AT17" s="1353"/>
      <c r="AU17" s="1351"/>
      <c r="AV17" s="875"/>
      <c r="AW17" s="875"/>
      <c r="AX17" s="1353"/>
      <c r="AY17" s="1351"/>
      <c r="AZ17" s="1347"/>
      <c r="BA17" s="1351"/>
      <c r="BB17" s="875"/>
      <c r="BC17" s="875"/>
      <c r="BD17" s="875"/>
      <c r="BE17" s="875"/>
      <c r="BF17" s="1111"/>
      <c r="BG17" s="1111"/>
      <c r="BH17" s="23"/>
      <c r="BI17" s="23"/>
      <c r="BJ17" s="23"/>
    </row>
    <row r="18" spans="1:62" ht="18" x14ac:dyDescent="0.35">
      <c r="A18" s="2017"/>
      <c r="B18" s="2029" t="s">
        <v>772</v>
      </c>
      <c r="C18" s="46" t="s">
        <v>532</v>
      </c>
      <c r="D18" s="1865">
        <v>1.5</v>
      </c>
      <c r="E18" s="2557">
        <f>767.27/(24*E$2)</f>
        <v>1.0656527777777778</v>
      </c>
      <c r="F18" s="1865">
        <v>1.8</v>
      </c>
      <c r="G18" s="2557">
        <f>653.45/(24*G$2)</f>
        <v>0.87829301075268829</v>
      </c>
      <c r="H18" s="1867">
        <f t="shared" ref="H18:I22" si="31">+((D18*D$2)+(F18*F$2))/H$2</f>
        <v>1.6524590163934427</v>
      </c>
      <c r="I18" s="2558">
        <f t="shared" si="31"/>
        <v>0.97043715846994549</v>
      </c>
      <c r="J18" s="1865">
        <f>1800/1000</f>
        <v>1.8</v>
      </c>
      <c r="K18" s="2557">
        <f>980.63/(24*K$2)</f>
        <v>1.3619861111111111</v>
      </c>
      <c r="L18" s="2030">
        <f t="shared" ref="L18:M22" si="32">+((D18*D$2)+(F18*F$2)+(J18*J$2))/L$2</f>
        <v>1.7010989010989013</v>
      </c>
      <c r="M18" s="2030">
        <f t="shared" si="32"/>
        <v>1.0995192307692307</v>
      </c>
      <c r="N18" s="1865">
        <f>1800/1000</f>
        <v>1.8</v>
      </c>
      <c r="O18" s="2557">
        <f>1023.19/(24*O$2)</f>
        <v>1.375255376344086</v>
      </c>
      <c r="P18" s="318">
        <f t="shared" ref="P18:Q22" si="33">+((L18*L$2)+(N18*N$2))/P$2</f>
        <v>1.7262295081967216</v>
      </c>
      <c r="Q18" s="318">
        <f t="shared" si="33"/>
        <v>1.1695833333333334</v>
      </c>
      <c r="R18" s="1865">
        <f>1800/1000</f>
        <v>1.8</v>
      </c>
      <c r="S18" s="2557">
        <f>986.02/(24*S$2)</f>
        <v>1.3252956989247311</v>
      </c>
      <c r="T18" s="318">
        <f t="shared" ref="T18:T22" si="34">+((P18*P$2)+(R18*R$2))/T$2</f>
        <v>1.7411764705882355</v>
      </c>
      <c r="U18" s="318">
        <f t="shared" ref="U18:U22" si="35">+((Q18*Q$2)+(S18*S$2))/U$2</f>
        <v>1.2011328976034856</v>
      </c>
      <c r="V18" s="1865">
        <f>1100/1000</f>
        <v>1.1000000000000001</v>
      </c>
      <c r="W18" s="2557">
        <f>869.47/(24*W$2)</f>
        <v>1.2075972222222222</v>
      </c>
      <c r="X18" s="2030">
        <f t="shared" ref="X18:Y20" si="36">(N18*N$2+R18*R$2+V18*V$2)/X$2</f>
        <v>1.5717391304347827</v>
      </c>
      <c r="Y18" s="2030">
        <f t="shared" si="36"/>
        <v>1.30375</v>
      </c>
      <c r="Z18" s="462">
        <f t="shared" ref="Z18:AA22" si="37">+((T18*T$2)+(V18*V$2))/Z$2</f>
        <v>1.6360655737704919</v>
      </c>
      <c r="AA18" s="462">
        <f t="shared" si="37"/>
        <v>1.2021926229508195</v>
      </c>
      <c r="AB18" s="1865">
        <v>1.8</v>
      </c>
      <c r="AC18" s="2557">
        <f>805.98/(24*AC$2)</f>
        <v>1.0833064516129032</v>
      </c>
      <c r="AD18" s="318">
        <f t="shared" ref="AD18:AD22" si="38">+((Z18*Z$2)+(AB18*AB$2))/AD$2</f>
        <v>1.6598130841121497</v>
      </c>
      <c r="AE18" s="318">
        <f t="shared" ref="AE18:AE22" si="39">+((AA18*AA$2)+(AC18*AC$2))/AE$2</f>
        <v>1.1849707943925232</v>
      </c>
      <c r="AF18" s="1865">
        <v>1.8</v>
      </c>
      <c r="AG18" s="2557">
        <f>872.27/(24*AG$2)</f>
        <v>1.211486111111111</v>
      </c>
      <c r="AH18" s="318">
        <f t="shared" ref="AH18:AH22" si="40">+((AD18*AD$2)+(AF18*AF$2))/AH$2</f>
        <v>1.6770491803278691</v>
      </c>
      <c r="AI18" s="318">
        <f t="shared" ref="AI18:AI22" si="41">+((AE18*AE$2)+(AG18*AG$2))/AI$2</f>
        <v>1.1882308743169396</v>
      </c>
      <c r="AJ18" s="1865">
        <v>1.8</v>
      </c>
      <c r="AK18" s="2557">
        <f>860.23/(24*AK$2)</f>
        <v>1.1562231182795699</v>
      </c>
      <c r="AL18" s="2030">
        <f t="shared" ref="AL18:AL22" si="42">(AB18*AB$2+AF18*AF$2+AJ18*AJ$2)/AL$2</f>
        <v>1.8000000000000003</v>
      </c>
      <c r="AM18" s="2030">
        <f t="shared" ref="AM18:AM22" si="43">(AC18*AC$2+AG18*AG$2+AK18*AK$2)/AM$2</f>
        <v>1.1496739130434783</v>
      </c>
      <c r="AN18" s="318">
        <f t="shared" ref="AN18:AN22" si="44">+((AH18*AH$2)+(AJ18*AJ$2))/AN$2</f>
        <v>1.6909090909090911</v>
      </c>
      <c r="AO18" s="318">
        <f t="shared" ref="AO18:AO22" si="45">+((AI18*AI$2)+(AK18*AK$2))/AO$2</f>
        <v>1.184622727272727</v>
      </c>
      <c r="AP18" s="1865">
        <f>1800/1000</f>
        <v>1.8</v>
      </c>
      <c r="AQ18" s="2557">
        <f>790.51/(24*AQ$2)</f>
        <v>1.062513440860215</v>
      </c>
      <c r="AR18" s="318">
        <f t="shared" ref="AR18:AR22" si="46">+((AN18*AN$2)+(AP18*AP$2))/AR$2</f>
        <v>1.7019607843137257</v>
      </c>
      <c r="AS18" s="318">
        <f t="shared" ref="AS18:AS22" si="47">+((AO18*AO$2)+(AQ18*AQ$2))/AS$2</f>
        <v>1.172252178649237</v>
      </c>
      <c r="AT18" s="1865">
        <f>1800/1000</f>
        <v>1.8</v>
      </c>
      <c r="AU18" s="2557">
        <f>646.31/(24*AU$2)</f>
        <v>0.96177083333333324</v>
      </c>
      <c r="AV18" s="318">
        <f t="shared" ref="AV18:AV22" si="48">+((AR18*AR$2)+(AT18*AT$2))/AV$2</f>
        <v>1.710179640718563</v>
      </c>
      <c r="AW18" s="318">
        <f t="shared" ref="AW18:AW22" si="49">+((AS18*AS$2)+(AU18*AU$2))/AW$2</f>
        <v>1.1546070359281433</v>
      </c>
      <c r="AX18" s="1865">
        <v>1.8</v>
      </c>
      <c r="AY18" s="2557">
        <f>849.87/(24*AY$2)</f>
        <v>1.1422983870967742</v>
      </c>
      <c r="AZ18" s="2030">
        <f t="shared" ref="AZ18:AZ22" si="50">(AP18*AP$2+AT18*AT$2+AX18*AX$2)/AZ$2</f>
        <v>1.8</v>
      </c>
      <c r="BA18" s="2030">
        <f t="shared" ref="BA18:BA22" si="51">(AQ18*AQ$2+AU18*AU$2+AY18*AY$2)/BA$2</f>
        <v>1.0586527777777779</v>
      </c>
      <c r="BB18" s="462">
        <f t="shared" ref="BB18:BC22" si="52">+((AL18*AL$2)+(AZ18*AZ$2))/BB$2</f>
        <v>1.8</v>
      </c>
      <c r="BC18" s="462">
        <f t="shared" si="52"/>
        <v>1.1046634615384618</v>
      </c>
      <c r="BD18" s="318">
        <f t="shared" ref="BD18:BD22" si="53">+((AV18*AV$2)+(AX18*AX$2))/BD$2</f>
        <v>1.7178082191780821</v>
      </c>
      <c r="BE18" s="318">
        <f t="shared" ref="BE18:BE22" si="54">+((AW18*AW$2)+(AY18*AY$2))/BE$2</f>
        <v>1.153561643835616</v>
      </c>
      <c r="BF18" s="1111"/>
      <c r="BG18" s="1111"/>
      <c r="BH18" s="23"/>
      <c r="BI18" s="23"/>
      <c r="BJ18" s="23"/>
    </row>
    <row r="19" spans="1:62" ht="18" x14ac:dyDescent="0.35">
      <c r="A19" s="2017"/>
      <c r="B19" s="2029" t="s">
        <v>15</v>
      </c>
      <c r="C19" s="46" t="s">
        <v>532</v>
      </c>
      <c r="D19" s="1865">
        <v>24</v>
      </c>
      <c r="E19" s="2557">
        <f>13057.31/(24*E$2)</f>
        <v>18.135152777777776</v>
      </c>
      <c r="F19" s="1865">
        <v>24</v>
      </c>
      <c r="G19" s="2557">
        <f>5131.35/(24*G$2)</f>
        <v>6.8969758064516133</v>
      </c>
      <c r="H19" s="1867">
        <f t="shared" si="31"/>
        <v>24</v>
      </c>
      <c r="I19" s="2558">
        <f t="shared" si="31"/>
        <v>12.423948087431693</v>
      </c>
      <c r="J19" s="1865">
        <v>21.5</v>
      </c>
      <c r="K19" s="2557">
        <f>14896.84/(24*K$2)</f>
        <v>20.690055555555556</v>
      </c>
      <c r="L19" s="2030">
        <f t="shared" si="32"/>
        <v>23.175824175824175</v>
      </c>
      <c r="M19" s="2030">
        <f t="shared" si="32"/>
        <v>15.149038461538462</v>
      </c>
      <c r="N19" s="1865">
        <f>21500/1000</f>
        <v>21.5</v>
      </c>
      <c r="O19" s="2557">
        <f>16309.58/(24*O$2)</f>
        <v>21.921478494623656</v>
      </c>
      <c r="P19" s="318">
        <f t="shared" si="33"/>
        <v>22.75</v>
      </c>
      <c r="Q19" s="318">
        <f t="shared" si="33"/>
        <v>16.869904371584699</v>
      </c>
      <c r="R19" s="1865">
        <f>21500/1000</f>
        <v>21.5</v>
      </c>
      <c r="S19" s="2557">
        <f>15230.74/(24*S$2)</f>
        <v>20.471424731182797</v>
      </c>
      <c r="T19" s="318">
        <f t="shared" si="34"/>
        <v>22.496732026143789</v>
      </c>
      <c r="U19" s="318">
        <f t="shared" si="35"/>
        <v>17.599624183006537</v>
      </c>
      <c r="V19" s="1865">
        <f>14166.6666666667/1000</f>
        <v>14.1666666666667</v>
      </c>
      <c r="W19" s="2557">
        <f>14173.74/(24*W$2)</f>
        <v>19.685749999999999</v>
      </c>
      <c r="X19" s="2030">
        <f t="shared" si="36"/>
        <v>19.108695652173925</v>
      </c>
      <c r="Y19" s="2030">
        <f t="shared" si="36"/>
        <v>20.703831521739129</v>
      </c>
      <c r="Z19" s="462">
        <f t="shared" si="37"/>
        <v>21.131147540983608</v>
      </c>
      <c r="AA19" s="462">
        <f t="shared" si="37"/>
        <v>17.941612021857928</v>
      </c>
      <c r="AB19" s="1865">
        <v>21.5</v>
      </c>
      <c r="AC19" s="2557">
        <f>10676.82/(24*AC$2)</f>
        <v>14.350564516129031</v>
      </c>
      <c r="AD19" s="318">
        <f t="shared" si="38"/>
        <v>21.184579439252335</v>
      </c>
      <c r="AE19" s="318">
        <f t="shared" si="39"/>
        <v>17.421413551401873</v>
      </c>
      <c r="AF19" s="1865">
        <v>21.5</v>
      </c>
      <c r="AG19" s="2557">
        <f>13834.31/(24*AG$2)</f>
        <v>19.214319444444445</v>
      </c>
      <c r="AH19" s="318">
        <f t="shared" si="40"/>
        <v>21.223360655737704</v>
      </c>
      <c r="AI19" s="318">
        <f t="shared" si="41"/>
        <v>17.641852800546452</v>
      </c>
      <c r="AJ19" s="1865">
        <v>21.5</v>
      </c>
      <c r="AK19" s="2557">
        <f>14802.83/(24*AK$2)</f>
        <v>19.896276881720429</v>
      </c>
      <c r="AL19" s="2030">
        <f t="shared" si="42"/>
        <v>21.5</v>
      </c>
      <c r="AM19" s="2030">
        <f t="shared" si="43"/>
        <v>17.805235507246376</v>
      </c>
      <c r="AN19" s="318">
        <f t="shared" si="44"/>
        <v>21.254545454545454</v>
      </c>
      <c r="AO19" s="318">
        <f t="shared" si="45"/>
        <v>17.895987878787881</v>
      </c>
      <c r="AP19" s="1865">
        <v>21.5</v>
      </c>
      <c r="AQ19" s="2557">
        <f>12897.29/(24*AQ$2)</f>
        <v>17.335067204301076</v>
      </c>
      <c r="AR19" s="318">
        <f t="shared" si="46"/>
        <v>21.279411764705884</v>
      </c>
      <c r="AS19" s="318">
        <f t="shared" si="47"/>
        <v>17.839162581699348</v>
      </c>
      <c r="AT19" s="1865">
        <v>21.5</v>
      </c>
      <c r="AU19" s="2557">
        <f>5956.3/(24*AU$2)</f>
        <v>8.8635416666666664</v>
      </c>
      <c r="AV19" s="2292">
        <f t="shared" si="48"/>
        <v>21.29790419161677</v>
      </c>
      <c r="AW19" s="2292">
        <f t="shared" si="49"/>
        <v>17.086715319361279</v>
      </c>
      <c r="AX19" s="1865">
        <v>21.5</v>
      </c>
      <c r="AY19" s="1464">
        <f>14452.69/(24*AY$2)</f>
        <v>19.425658602150538</v>
      </c>
      <c r="AZ19" s="2032">
        <f t="shared" si="50"/>
        <v>21.5</v>
      </c>
      <c r="BA19" s="2032">
        <f t="shared" si="51"/>
        <v>15.419574074074076</v>
      </c>
      <c r="BB19" s="4098">
        <f t="shared" si="52"/>
        <v>21.5</v>
      </c>
      <c r="BC19" s="4098">
        <f t="shared" si="52"/>
        <v>16.625512820512821</v>
      </c>
      <c r="BD19" s="2292">
        <f t="shared" si="53"/>
        <v>21.315068493150687</v>
      </c>
      <c r="BE19" s="2292">
        <f t="shared" si="54"/>
        <v>17.285365296803654</v>
      </c>
      <c r="BF19" s="1111"/>
      <c r="BG19" s="1111"/>
      <c r="BH19" s="23"/>
      <c r="BI19" s="23"/>
      <c r="BJ19" s="23"/>
    </row>
    <row r="20" spans="1:62" ht="18" x14ac:dyDescent="0.35">
      <c r="A20" s="2017"/>
      <c r="B20" s="2029" t="s">
        <v>57</v>
      </c>
      <c r="C20" s="46" t="s">
        <v>532</v>
      </c>
      <c r="D20" s="1865">
        <v>13.719789704959197</v>
      </c>
      <c r="E20" s="2557">
        <f>11071.2/(24*E$2)</f>
        <v>15.376666666666667</v>
      </c>
      <c r="F20" s="1865">
        <v>11.7151904501549</v>
      </c>
      <c r="G20" s="2557">
        <f>5957.7/(24*G$2)</f>
        <v>8.0076612903225808</v>
      </c>
      <c r="H20" s="1867">
        <f t="shared" si="31"/>
        <v>12.701058936124227</v>
      </c>
      <c r="I20" s="2558">
        <f t="shared" si="31"/>
        <v>11.631762295081968</v>
      </c>
      <c r="J20" s="1865">
        <v>16.795325779036801</v>
      </c>
      <c r="K20" s="2557">
        <f>12008.29/(24*K$2)</f>
        <v>16.678180555555556</v>
      </c>
      <c r="L20" s="2030">
        <f t="shared" si="32"/>
        <v>14.050817235985516</v>
      </c>
      <c r="M20" s="2030">
        <f t="shared" si="32"/>
        <v>13.295416666666666</v>
      </c>
      <c r="N20" s="1865">
        <f>16447.7291419172/1000</f>
        <v>16.4477291419172</v>
      </c>
      <c r="O20" s="2557">
        <f>12814.2/(24*O$2)</f>
        <v>17.223387096774193</v>
      </c>
      <c r="P20" s="318">
        <f t="shared" si="33"/>
        <v>14.659868621918976</v>
      </c>
      <c r="Q20" s="318">
        <f t="shared" si="33"/>
        <v>14.293507513661202</v>
      </c>
      <c r="R20" s="1865">
        <f>16447.7291419172/1000</f>
        <v>16.4477291419172</v>
      </c>
      <c r="S20" s="2557">
        <f>13174/(24*S$2)</f>
        <v>17.706989247311828</v>
      </c>
      <c r="T20" s="318">
        <f t="shared" si="34"/>
        <v>15.022114871068942</v>
      </c>
      <c r="U20" s="318">
        <f t="shared" si="35"/>
        <v>14.985127995642701</v>
      </c>
      <c r="V20" s="1865">
        <f>12000/1000</f>
        <v>12</v>
      </c>
      <c r="W20" s="2557">
        <f>12699.12/(24*W$2)</f>
        <v>17.637666666666668</v>
      </c>
      <c r="X20" s="2030">
        <f t="shared" si="36"/>
        <v>14.997382682596374</v>
      </c>
      <c r="Y20" s="2030">
        <f t="shared" si="36"/>
        <v>17.521431159420292</v>
      </c>
      <c r="Z20" s="462">
        <f t="shared" si="37"/>
        <v>14.52668620368059</v>
      </c>
      <c r="AA20" s="462">
        <f t="shared" si="37"/>
        <v>15.419970400728596</v>
      </c>
      <c r="AB20" s="1865">
        <f>16771.3759176338/1000</f>
        <v>16.771375917633797</v>
      </c>
      <c r="AC20" s="2557">
        <f>10480.89/(24*AC$2)</f>
        <v>14.087217741935483</v>
      </c>
      <c r="AD20" s="318">
        <f t="shared" si="38"/>
        <v>14.851851536075682</v>
      </c>
      <c r="AE20" s="318">
        <f t="shared" si="39"/>
        <v>15.226908099688474</v>
      </c>
      <c r="AF20" s="1865">
        <f>16795.3257790368/1000</f>
        <v>16.795325779036801</v>
      </c>
      <c r="AG20" s="2557">
        <f>12761.77/(24*AG$2)</f>
        <v>17.724680555555555</v>
      </c>
      <c r="AH20" s="318">
        <f t="shared" si="40"/>
        <v>15.090803287259426</v>
      </c>
      <c r="AI20" s="318">
        <f t="shared" si="41"/>
        <v>15.534011270491803</v>
      </c>
      <c r="AJ20" s="1865">
        <v>16.771375917633801</v>
      </c>
      <c r="AK20" s="2557">
        <f>12808.67/(24*AK$2)</f>
        <v>17.215954301075268</v>
      </c>
      <c r="AL20" s="2030">
        <f t="shared" si="42"/>
        <v>16.779185655047819</v>
      </c>
      <c r="AM20" s="2030">
        <f t="shared" si="43"/>
        <v>16.327595108695654</v>
      </c>
      <c r="AN20" s="318">
        <f t="shared" si="44"/>
        <v>15.280249656501629</v>
      </c>
      <c r="AO20" s="318">
        <f t="shared" si="45"/>
        <v>15.723612121212119</v>
      </c>
      <c r="AP20" s="1865">
        <v>17.030293338207073</v>
      </c>
      <c r="AQ20" s="2557">
        <f>12352.27/(24*AQ$2)</f>
        <v>16.602513440860214</v>
      </c>
      <c r="AR20" s="318">
        <f t="shared" si="46"/>
        <v>15.457541663471789</v>
      </c>
      <c r="AS20" s="318">
        <f t="shared" si="47"/>
        <v>15.812651143790848</v>
      </c>
      <c r="AT20" s="1865">
        <v>16.848357615000673</v>
      </c>
      <c r="AU20" s="2557">
        <f>9804.27/(24*AU$2)</f>
        <v>14.5896875</v>
      </c>
      <c r="AV20" s="318">
        <f t="shared" si="48"/>
        <v>15.574137012701755</v>
      </c>
      <c r="AW20" s="318">
        <f t="shared" si="49"/>
        <v>15.710127245508978</v>
      </c>
      <c r="AX20" s="1865">
        <v>17.030293338207073</v>
      </c>
      <c r="AY20" s="2557">
        <f>12428.43/(24*AY$2)</f>
        <v>16.704879032258066</v>
      </c>
      <c r="AZ20" s="2030">
        <f t="shared" si="50"/>
        <v>16.973691113209526</v>
      </c>
      <c r="BA20" s="2030">
        <f t="shared" si="51"/>
        <v>16.011560185185186</v>
      </c>
      <c r="BB20" s="462">
        <f t="shared" si="52"/>
        <v>16.875369672820092</v>
      </c>
      <c r="BC20" s="462">
        <f t="shared" si="52"/>
        <v>16.171314102564104</v>
      </c>
      <c r="BD20" s="318">
        <f t="shared" si="53"/>
        <v>15.697810563635084</v>
      </c>
      <c r="BE20" s="318">
        <f t="shared" si="54"/>
        <v>15.794613013698626</v>
      </c>
      <c r="BF20" s="1111"/>
      <c r="BG20" s="1111"/>
      <c r="BH20" s="23"/>
      <c r="BI20" s="23"/>
      <c r="BJ20" s="23"/>
    </row>
    <row r="21" spans="1:62" ht="18" x14ac:dyDescent="0.35">
      <c r="A21" s="2017"/>
      <c r="B21" s="2029" t="s">
        <v>706</v>
      </c>
      <c r="C21" s="46" t="s">
        <v>532</v>
      </c>
      <c r="D21" s="1865">
        <v>0.18054362837413102</v>
      </c>
      <c r="E21" s="2557">
        <f>0/(24*E$2)</f>
        <v>0</v>
      </c>
      <c r="F21" s="1865">
        <v>3.1476216511751802E-2</v>
      </c>
      <c r="G21" s="2557">
        <f>0/(24*G$2)</f>
        <v>0</v>
      </c>
      <c r="H21" s="1867">
        <f t="shared" si="31"/>
        <v>0.10478805841128255</v>
      </c>
      <c r="I21" s="2558">
        <f t="shared" si="31"/>
        <v>0</v>
      </c>
      <c r="J21" s="1865">
        <v>1.44467422096317</v>
      </c>
      <c r="K21" s="2557">
        <f>0/(24*K$2)</f>
        <v>0</v>
      </c>
      <c r="L21" s="2030">
        <f t="shared" si="32"/>
        <v>0.54650877134047626</v>
      </c>
      <c r="M21" s="2030">
        <f t="shared" si="32"/>
        <v>0</v>
      </c>
      <c r="N21" s="1865">
        <f>1792.27085808279/1000</f>
        <v>1.79227085808279</v>
      </c>
      <c r="O21" s="2557">
        <f>0/(24*O$2)</f>
        <v>0</v>
      </c>
      <c r="P21" s="318">
        <f t="shared" si="33"/>
        <v>0.86305487534876912</v>
      </c>
      <c r="Q21" s="318">
        <f t="shared" si="33"/>
        <v>0</v>
      </c>
      <c r="R21" s="1865">
        <f>1792.27085808279/1000</f>
        <v>1.79227085808279</v>
      </c>
      <c r="S21" s="2557">
        <f>0/(24*S$2)</f>
        <v>0</v>
      </c>
      <c r="T21" s="318">
        <f t="shared" si="34"/>
        <v>1.0513273947262505</v>
      </c>
      <c r="U21" s="318">
        <f t="shared" si="35"/>
        <v>0</v>
      </c>
      <c r="V21" s="1865">
        <f>426.666666666631/1000</f>
        <v>0.426666666666631</v>
      </c>
      <c r="W21" s="2557">
        <f>0/(24*W$2)</f>
        <v>0</v>
      </c>
      <c r="X21" s="2030">
        <f t="shared" ref="X21:X22" si="55">(N21*N$2+R21*R$2+V21*V$2)/X$2</f>
        <v>1.3469651434905643</v>
      </c>
      <c r="Y21" s="2030">
        <f t="shared" ref="Y21:Y22" si="56">(O21*O$2+S21*S$2+W21*W$2)/Y$2</f>
        <v>0</v>
      </c>
      <c r="Z21" s="462">
        <f t="shared" si="37"/>
        <v>0.94892399668368999</v>
      </c>
      <c r="AA21" s="462">
        <f t="shared" si="37"/>
        <v>0</v>
      </c>
      <c r="AB21" s="1865">
        <v>1.4686240823662</v>
      </c>
      <c r="AC21" s="2557">
        <f>0/(24*AC$2)</f>
        <v>0</v>
      </c>
      <c r="AD21" s="318">
        <f t="shared" si="38"/>
        <v>1.0242076539554554</v>
      </c>
      <c r="AE21" s="318">
        <f t="shared" si="39"/>
        <v>0</v>
      </c>
      <c r="AF21" s="1865">
        <v>1.44467422096317</v>
      </c>
      <c r="AG21" s="2557">
        <f>0/(24*AG$2)</f>
        <v>0</v>
      </c>
      <c r="AH21" s="318">
        <f t="shared" si="40"/>
        <v>1.075904363013781</v>
      </c>
      <c r="AI21" s="318">
        <f t="shared" si="41"/>
        <v>0</v>
      </c>
      <c r="AJ21" s="1865">
        <f>1468.6240823662/1000</f>
        <v>1.4686240823661998</v>
      </c>
      <c r="AK21" s="2557">
        <f>0/(24*AK$2)</f>
        <v>0</v>
      </c>
      <c r="AL21" s="2030">
        <f t="shared" si="42"/>
        <v>1.4608143449521684</v>
      </c>
      <c r="AM21" s="2030">
        <f t="shared" si="43"/>
        <v>0</v>
      </c>
      <c r="AN21" s="318">
        <f t="shared" si="44"/>
        <v>1.1201745859225991</v>
      </c>
      <c r="AO21" s="318">
        <f t="shared" si="45"/>
        <v>0</v>
      </c>
      <c r="AP21" s="1865">
        <f>1209.71/1000</f>
        <v>1.2097100000000001</v>
      </c>
      <c r="AQ21" s="2557">
        <f>0/(24*AQ$2)</f>
        <v>0</v>
      </c>
      <c r="AR21" s="318">
        <f t="shared" si="46"/>
        <v>1.1292451670873032</v>
      </c>
      <c r="AS21" s="318">
        <f t="shared" si="47"/>
        <v>0</v>
      </c>
      <c r="AT21" s="1865">
        <f>1392/1000</f>
        <v>1.3919999999999999</v>
      </c>
      <c r="AU21" s="2557">
        <f>0/(24*AU$2)</f>
        <v>0</v>
      </c>
      <c r="AV21" s="318">
        <f t="shared" si="48"/>
        <v>1.1512725183494454</v>
      </c>
      <c r="AW21" s="318">
        <f t="shared" si="49"/>
        <v>0</v>
      </c>
      <c r="AX21" s="1865">
        <v>1.2097066617929269</v>
      </c>
      <c r="AY21" s="2557">
        <f>0/(24*AY$2)</f>
        <v>0</v>
      </c>
      <c r="AZ21" s="2030">
        <f t="shared" si="50"/>
        <v>1.2664212946175639</v>
      </c>
      <c r="BA21" s="2030">
        <f t="shared" si="51"/>
        <v>0</v>
      </c>
      <c r="BB21" s="462">
        <f t="shared" si="52"/>
        <v>1.3646859134680236</v>
      </c>
      <c r="BC21" s="462">
        <f t="shared" si="52"/>
        <v>0</v>
      </c>
      <c r="BD21" s="318">
        <f t="shared" si="53"/>
        <v>1.1562354182035492</v>
      </c>
      <c r="BE21" s="318">
        <f t="shared" si="54"/>
        <v>0</v>
      </c>
      <c r="BF21" s="1111"/>
      <c r="BG21" s="1111"/>
      <c r="BH21" s="23"/>
      <c r="BI21" s="23"/>
      <c r="BJ21" s="23"/>
    </row>
    <row r="22" spans="1:62" ht="18" x14ac:dyDescent="0.35">
      <c r="A22" s="2017"/>
      <c r="B22" s="2029" t="s">
        <v>101</v>
      </c>
      <c r="C22" s="46" t="s">
        <v>532</v>
      </c>
      <c r="D22" s="1865"/>
      <c r="E22" s="2557">
        <f>0/(24*E$2)</f>
        <v>0</v>
      </c>
      <c r="F22" s="1865"/>
      <c r="G22" s="2557">
        <f>0/(24*G$2)</f>
        <v>0</v>
      </c>
      <c r="H22" s="319">
        <f t="shared" si="31"/>
        <v>0</v>
      </c>
      <c r="I22" s="196">
        <f t="shared" si="31"/>
        <v>0</v>
      </c>
      <c r="J22" s="1865">
        <v>0</v>
      </c>
      <c r="K22" s="2557">
        <f>0/(24*K$2)</f>
        <v>0</v>
      </c>
      <c r="L22" s="2030">
        <f t="shared" si="32"/>
        <v>0</v>
      </c>
      <c r="M22" s="2030">
        <f t="shared" si="32"/>
        <v>0</v>
      </c>
      <c r="N22" s="1865">
        <v>0</v>
      </c>
      <c r="O22" s="2557">
        <f>0/(24*O$2)</f>
        <v>0</v>
      </c>
      <c r="P22" s="318">
        <f t="shared" si="33"/>
        <v>0</v>
      </c>
      <c r="Q22" s="318">
        <f t="shared" si="33"/>
        <v>0</v>
      </c>
      <c r="R22" s="1865">
        <v>0</v>
      </c>
      <c r="S22" s="2557">
        <f>0/(24*S$2)</f>
        <v>0</v>
      </c>
      <c r="T22" s="318">
        <f t="shared" si="34"/>
        <v>0</v>
      </c>
      <c r="U22" s="318">
        <f t="shared" si="35"/>
        <v>0</v>
      </c>
      <c r="V22" s="1865">
        <v>0</v>
      </c>
      <c r="W22" s="2557">
        <f>0/(24*W$2)</f>
        <v>0</v>
      </c>
      <c r="X22" s="2030">
        <f t="shared" si="55"/>
        <v>0</v>
      </c>
      <c r="Y22" s="2030">
        <f t="shared" si="56"/>
        <v>0</v>
      </c>
      <c r="Z22" s="462">
        <f t="shared" si="37"/>
        <v>0</v>
      </c>
      <c r="AA22" s="462">
        <f t="shared" si="37"/>
        <v>0</v>
      </c>
      <c r="AB22" s="1865">
        <v>0</v>
      </c>
      <c r="AC22" s="2557">
        <f>0/(24*AC$2)</f>
        <v>0</v>
      </c>
      <c r="AD22" s="318">
        <f t="shared" si="38"/>
        <v>0</v>
      </c>
      <c r="AE22" s="318">
        <f t="shared" si="39"/>
        <v>0</v>
      </c>
      <c r="AF22" s="1865">
        <v>0</v>
      </c>
      <c r="AG22" s="2557">
        <f>0/(24*AG$2)</f>
        <v>0</v>
      </c>
      <c r="AH22" s="318">
        <f t="shared" si="40"/>
        <v>0</v>
      </c>
      <c r="AI22" s="318">
        <f t="shared" si="41"/>
        <v>0</v>
      </c>
      <c r="AJ22" s="1865">
        <v>0</v>
      </c>
      <c r="AK22" s="2557">
        <f>0/(24*AK$2)</f>
        <v>0</v>
      </c>
      <c r="AL22" s="2030">
        <f t="shared" si="42"/>
        <v>0</v>
      </c>
      <c r="AM22" s="2030">
        <f t="shared" si="43"/>
        <v>0</v>
      </c>
      <c r="AN22" s="318">
        <f t="shared" si="44"/>
        <v>0</v>
      </c>
      <c r="AO22" s="318">
        <f t="shared" si="45"/>
        <v>0</v>
      </c>
      <c r="AP22" s="1865">
        <v>0</v>
      </c>
      <c r="AQ22" s="2557">
        <f>0/(24*AQ$2)</f>
        <v>0</v>
      </c>
      <c r="AR22" s="318">
        <f t="shared" si="46"/>
        <v>0</v>
      </c>
      <c r="AS22" s="318">
        <f t="shared" si="47"/>
        <v>0</v>
      </c>
      <c r="AT22" s="1865">
        <v>0</v>
      </c>
      <c r="AU22" s="2557">
        <f>0/(24*AU$2)</f>
        <v>0</v>
      </c>
      <c r="AV22" s="318">
        <f t="shared" si="48"/>
        <v>0</v>
      </c>
      <c r="AW22" s="318">
        <f t="shared" si="49"/>
        <v>0</v>
      </c>
      <c r="AX22" s="1865">
        <v>0</v>
      </c>
      <c r="AY22" s="2557">
        <v>0</v>
      </c>
      <c r="AZ22" s="2030">
        <f t="shared" si="50"/>
        <v>0</v>
      </c>
      <c r="BA22" s="2030">
        <f t="shared" si="51"/>
        <v>0</v>
      </c>
      <c r="BB22" s="462">
        <f t="shared" si="52"/>
        <v>0</v>
      </c>
      <c r="BC22" s="462">
        <f t="shared" si="52"/>
        <v>0</v>
      </c>
      <c r="BD22" s="318">
        <f t="shared" si="53"/>
        <v>0</v>
      </c>
      <c r="BE22" s="318">
        <f t="shared" si="54"/>
        <v>0</v>
      </c>
      <c r="BF22" s="1111"/>
      <c r="BG22" s="1111"/>
      <c r="BH22" s="23"/>
      <c r="BI22" s="23"/>
      <c r="BJ22" s="23"/>
    </row>
    <row r="23" spans="1:62" ht="18" x14ac:dyDescent="0.35">
      <c r="A23" s="2017"/>
      <c r="B23" s="2029" t="s">
        <v>101</v>
      </c>
      <c r="C23" s="46" t="s">
        <v>50</v>
      </c>
      <c r="D23" s="680"/>
      <c r="E23" s="1864">
        <v>0</v>
      </c>
      <c r="F23" s="680"/>
      <c r="G23" s="1864">
        <v>0</v>
      </c>
      <c r="H23" s="319">
        <f>+D23+F23</f>
        <v>0</v>
      </c>
      <c r="I23" s="196">
        <f>+E23+G23</f>
        <v>0</v>
      </c>
      <c r="J23" s="680">
        <v>0</v>
      </c>
      <c r="K23" s="1864">
        <v>0</v>
      </c>
      <c r="L23" s="373">
        <f>+D23+F23+J23</f>
        <v>0</v>
      </c>
      <c r="M23" s="373">
        <f>+E23+G23+K23</f>
        <v>0</v>
      </c>
      <c r="N23" s="680">
        <v>0</v>
      </c>
      <c r="O23" s="1864">
        <v>0</v>
      </c>
      <c r="P23" s="1959">
        <f>+L23+N23</f>
        <v>0</v>
      </c>
      <c r="Q23" s="1959">
        <f>+M23+O23</f>
        <v>0</v>
      </c>
      <c r="R23" s="680">
        <v>0</v>
      </c>
      <c r="S23" s="1864">
        <v>0</v>
      </c>
      <c r="T23" s="1959">
        <f>+P23+R23</f>
        <v>0</v>
      </c>
      <c r="U23" s="1959">
        <f>+Q23+S23</f>
        <v>0</v>
      </c>
      <c r="V23" s="680">
        <v>0</v>
      </c>
      <c r="W23" s="1864">
        <v>0</v>
      </c>
      <c r="X23" s="373">
        <f>N23+R23+V23</f>
        <v>0</v>
      </c>
      <c r="Y23" s="373">
        <f>O23+S23+W23</f>
        <v>0</v>
      </c>
      <c r="Z23" s="461">
        <f>+T23+V23</f>
        <v>0</v>
      </c>
      <c r="AA23" s="461">
        <f>+U23+W23</f>
        <v>0</v>
      </c>
      <c r="AB23" s="680">
        <v>0</v>
      </c>
      <c r="AC23" s="1864">
        <v>0</v>
      </c>
      <c r="AD23" s="1959">
        <f>+Z23+AB23</f>
        <v>0</v>
      </c>
      <c r="AE23" s="1959">
        <f>+AA23+AC23</f>
        <v>0</v>
      </c>
      <c r="AF23" s="680">
        <v>0</v>
      </c>
      <c r="AG23" s="1864">
        <v>0</v>
      </c>
      <c r="AH23" s="1959">
        <f>+AD23+AF23</f>
        <v>0</v>
      </c>
      <c r="AI23" s="1959">
        <f>+AE23+AG23</f>
        <v>0</v>
      </c>
      <c r="AJ23" s="680">
        <v>0</v>
      </c>
      <c r="AK23" s="1864">
        <v>0</v>
      </c>
      <c r="AL23" s="373">
        <f>AB23+AF23+AJ23</f>
        <v>0</v>
      </c>
      <c r="AM23" s="373">
        <f>AC23+AG23+AK23</f>
        <v>0</v>
      </c>
      <c r="AN23" s="1959">
        <f>+AH23+AJ23</f>
        <v>0</v>
      </c>
      <c r="AO23" s="1959">
        <f>+AI23+AK23</f>
        <v>0</v>
      </c>
      <c r="AP23" s="680">
        <v>0</v>
      </c>
      <c r="AQ23" s="1864">
        <v>0</v>
      </c>
      <c r="AR23" s="1959">
        <f>+AN23+AP23</f>
        <v>0</v>
      </c>
      <c r="AS23" s="1959">
        <f>+AO23+AQ23</f>
        <v>0</v>
      </c>
      <c r="AT23" s="680">
        <v>0</v>
      </c>
      <c r="AU23" s="1864">
        <v>0</v>
      </c>
      <c r="AV23" s="1959">
        <f>+AR23+AT23</f>
        <v>0</v>
      </c>
      <c r="AW23" s="1959">
        <f>+AS23+AU23</f>
        <v>0</v>
      </c>
      <c r="AX23" s="680">
        <v>0</v>
      </c>
      <c r="AY23" s="1864">
        <v>0</v>
      </c>
      <c r="AZ23" s="373">
        <f>AP23+AT23+AX23</f>
        <v>0</v>
      </c>
      <c r="BA23" s="373">
        <f>AQ23+AU23+AY23</f>
        <v>0</v>
      </c>
      <c r="BB23" s="461">
        <f>+AL23+AZ23</f>
        <v>0</v>
      </c>
      <c r="BC23" s="461">
        <f>+AM23+BA23</f>
        <v>0</v>
      </c>
      <c r="BD23" s="1959">
        <f>+AV23+AX23</f>
        <v>0</v>
      </c>
      <c r="BE23" s="1959">
        <f>+AW23+AY23</f>
        <v>0</v>
      </c>
      <c r="BF23" s="1111"/>
      <c r="BG23" s="1111"/>
      <c r="BH23" s="23"/>
      <c r="BI23" s="23"/>
      <c r="BJ23" s="23"/>
    </row>
    <row r="24" spans="1:62" ht="18" x14ac:dyDescent="0.35">
      <c r="A24" s="2028"/>
      <c r="B24" s="2031" t="s">
        <v>21</v>
      </c>
      <c r="C24" s="774" t="s">
        <v>532</v>
      </c>
      <c r="D24" s="1865">
        <f t="shared" ref="D24:AA24" si="57">SUM(D18:D22)</f>
        <v>39.400333333333329</v>
      </c>
      <c r="E24" s="2557">
        <f t="shared" si="57"/>
        <v>34.57747222222222</v>
      </c>
      <c r="F24" s="1865">
        <f t="shared" ref="F24:G24" si="58">SUM(F18:F22)</f>
        <v>37.546666666666653</v>
      </c>
      <c r="G24" s="2557">
        <f t="shared" si="58"/>
        <v>15.782930107526882</v>
      </c>
      <c r="H24" s="1867">
        <f t="shared" si="57"/>
        <v>38.458306010928951</v>
      </c>
      <c r="I24" s="2558">
        <f t="shared" si="57"/>
        <v>25.026147540983608</v>
      </c>
      <c r="J24" s="1865">
        <f t="shared" ref="J24:K24" si="59">SUM(J18:J22)</f>
        <v>41.539999999999971</v>
      </c>
      <c r="K24" s="2557">
        <f t="shared" si="59"/>
        <v>38.730222222222224</v>
      </c>
      <c r="L24" s="2032">
        <f t="shared" si="57"/>
        <v>39.474249084249074</v>
      </c>
      <c r="M24" s="1868">
        <f t="shared" si="57"/>
        <v>29.54397435897436</v>
      </c>
      <c r="N24" s="1865">
        <f t="shared" ref="N24:O24" si="60">SUM(N18:N22)</f>
        <v>41.539999999999992</v>
      </c>
      <c r="O24" s="2557">
        <f t="shared" si="60"/>
        <v>40.520120967741931</v>
      </c>
      <c r="P24" s="318">
        <f t="shared" si="57"/>
        <v>39.999153005464464</v>
      </c>
      <c r="Q24" s="318">
        <f t="shared" si="57"/>
        <v>32.332995218579235</v>
      </c>
      <c r="R24" s="1865">
        <f t="shared" ref="R24:S24" si="61">SUM(R18:R22)</f>
        <v>41.539999999999992</v>
      </c>
      <c r="S24" s="2557">
        <f t="shared" si="61"/>
        <v>39.503709677419351</v>
      </c>
      <c r="T24" s="318">
        <f t="shared" ref="T24:W24" si="62">SUM(T18:T22)</f>
        <v>40.311350762527219</v>
      </c>
      <c r="U24" s="318">
        <f t="shared" si="62"/>
        <v>33.785885076252725</v>
      </c>
      <c r="V24" s="1865">
        <f t="shared" si="62"/>
        <v>27.693333333333332</v>
      </c>
      <c r="W24" s="2557">
        <f t="shared" si="62"/>
        <v>38.531013888888893</v>
      </c>
      <c r="X24" s="2030">
        <f>SUM(X18:X22)</f>
        <v>37.024782608695645</v>
      </c>
      <c r="Y24" s="2030">
        <f>SUM(Y18:Y22)</f>
        <v>39.529012681159422</v>
      </c>
      <c r="Z24" s="2042">
        <f t="shared" si="57"/>
        <v>38.242823315118379</v>
      </c>
      <c r="AA24" s="2042">
        <f t="shared" si="57"/>
        <v>34.563775045537341</v>
      </c>
      <c r="AB24" s="1865">
        <f>SUM(AB18:AB23)</f>
        <v>41.54</v>
      </c>
      <c r="AC24" s="2557">
        <f t="shared" ref="AC24" si="63">SUM(AC18:AC22)</f>
        <v>29.521088709677418</v>
      </c>
      <c r="AD24" s="318">
        <f t="shared" ref="AD24:AE24" si="64">SUM(AD18:AD22)</f>
        <v>38.720451713395619</v>
      </c>
      <c r="AE24" s="318">
        <f t="shared" si="64"/>
        <v>33.833292445482869</v>
      </c>
      <c r="AF24" s="1865">
        <f>SUM(AF18:AF23)</f>
        <v>41.539999999999971</v>
      </c>
      <c r="AG24" s="2557">
        <f t="shared" ref="AG24" si="65">SUM(AG18:AG22)</f>
        <v>38.150486111111107</v>
      </c>
      <c r="AH24" s="318">
        <f t="shared" ref="AH24:AI24" si="66">SUM(AH18:AH22)</f>
        <v>39.06711748633878</v>
      </c>
      <c r="AI24" s="318">
        <f t="shared" si="66"/>
        <v>34.364094945355191</v>
      </c>
      <c r="AJ24" s="1865">
        <f>SUM(AJ18:AJ23)</f>
        <v>41.54</v>
      </c>
      <c r="AK24" s="2557">
        <f t="shared" ref="AK24" si="67">SUM(AK18:AK22)</f>
        <v>38.268454301075266</v>
      </c>
      <c r="AL24" s="2030">
        <f>SUM(AL18:AL22)</f>
        <v>41.539999999999992</v>
      </c>
      <c r="AM24" s="2030">
        <f>SUM(AM18:AM22)</f>
        <v>35.282504528985513</v>
      </c>
      <c r="AN24" s="318">
        <f t="shared" ref="AN24:AO24" si="68">SUM(AN18:AN22)</f>
        <v>39.345878787878775</v>
      </c>
      <c r="AO24" s="318">
        <f t="shared" si="68"/>
        <v>34.80422272727273</v>
      </c>
      <c r="AP24" s="4899">
        <f>SUM(AP18:AP23)</f>
        <v>41.540003338207072</v>
      </c>
      <c r="AQ24" s="2557">
        <f t="shared" ref="AQ24" si="69">SUM(AQ18:AQ22)</f>
        <v>35.000094086021505</v>
      </c>
      <c r="AR24" s="318">
        <f t="shared" ref="AR24:AS24" si="70">SUM(AR18:AR22)</f>
        <v>39.568159379578702</v>
      </c>
      <c r="AS24" s="318">
        <f t="shared" si="70"/>
        <v>34.824065904139431</v>
      </c>
      <c r="AT24" s="1865">
        <f>SUM(AT18:AT23)</f>
        <v>41.54035761500068</v>
      </c>
      <c r="AU24" s="1464">
        <f t="shared" ref="AU24" si="71">SUM(AU18:AU22)</f>
        <v>24.414999999999999</v>
      </c>
      <c r="AV24" s="318">
        <f t="shared" ref="AV24:AW24" si="72">SUM(AV18:AV22)</f>
        <v>39.733493363386529</v>
      </c>
      <c r="AW24" s="318">
        <f t="shared" si="72"/>
        <v>33.951449600798398</v>
      </c>
      <c r="AX24" s="1865">
        <f>SUM(AX18:AX23)</f>
        <v>41.54</v>
      </c>
      <c r="AY24" s="1464">
        <f t="shared" ref="AY24" si="73">SUM(AY18:AY22)</f>
        <v>37.272836021505377</v>
      </c>
      <c r="AZ24" s="2030">
        <f>SUM(AZ18:AZ22)</f>
        <v>41.540112407827088</v>
      </c>
      <c r="BA24" s="2030">
        <f>SUM(BA18:BA22)</f>
        <v>32.48978703703704</v>
      </c>
      <c r="BB24" s="2042">
        <f t="shared" ref="BB24:BC24" si="74">SUM(BB18:BB22)</f>
        <v>41.540055586288119</v>
      </c>
      <c r="BC24" s="2042">
        <f t="shared" si="74"/>
        <v>33.901490384615386</v>
      </c>
      <c r="BD24" s="318">
        <f t="shared" ref="BD24:BE24" si="75">SUM(BD18:BD22)</f>
        <v>39.886922694167403</v>
      </c>
      <c r="BE24" s="318">
        <f t="shared" si="75"/>
        <v>34.2335399543379</v>
      </c>
      <c r="BF24" s="1111"/>
      <c r="BG24" s="1111"/>
      <c r="BH24" s="23"/>
      <c r="BI24" s="23"/>
      <c r="BJ24" s="23"/>
    </row>
    <row r="25" spans="1:62" ht="18" x14ac:dyDescent="0.35">
      <c r="A25" s="2028"/>
      <c r="B25" s="1350" t="s">
        <v>102</v>
      </c>
      <c r="C25" s="1234"/>
      <c r="D25" s="2033"/>
      <c r="E25" s="2034"/>
      <c r="F25" s="2033"/>
      <c r="G25" s="2034"/>
      <c r="H25" s="2840"/>
      <c r="I25" s="2841"/>
      <c r="J25" s="2033"/>
      <c r="K25" s="2034"/>
      <c r="L25" s="2035"/>
      <c r="M25" s="2034"/>
      <c r="N25" s="2033"/>
      <c r="O25" s="2034"/>
      <c r="P25" s="2036"/>
      <c r="Q25" s="2036"/>
      <c r="R25" s="2033"/>
      <c r="S25" s="2034"/>
      <c r="T25" s="2036"/>
      <c r="U25" s="2036"/>
      <c r="V25" s="2033"/>
      <c r="W25" s="2034"/>
      <c r="X25" s="2035"/>
      <c r="Y25" s="2034"/>
      <c r="Z25" s="2036"/>
      <c r="AA25" s="2036"/>
      <c r="AB25" s="2033"/>
      <c r="AC25" s="2034"/>
      <c r="AD25" s="2036"/>
      <c r="AE25" s="2036"/>
      <c r="AF25" s="2033"/>
      <c r="AG25" s="2034"/>
      <c r="AH25" s="2036"/>
      <c r="AI25" s="2036"/>
      <c r="AJ25" s="2033"/>
      <c r="AK25" s="2034"/>
      <c r="AL25" s="2035"/>
      <c r="AM25" s="2034"/>
      <c r="AN25" s="2036"/>
      <c r="AO25" s="2036"/>
      <c r="AP25" s="2033"/>
      <c r="AQ25" s="2034"/>
      <c r="AR25" s="2036"/>
      <c r="AS25" s="2036"/>
      <c r="AT25" s="2033"/>
      <c r="AU25" s="2034"/>
      <c r="AV25" s="2036"/>
      <c r="AW25" s="2036"/>
      <c r="AX25" s="2033"/>
      <c r="AY25" s="2034"/>
      <c r="AZ25" s="2035"/>
      <c r="BA25" s="2034"/>
      <c r="BB25" s="2036"/>
      <c r="BC25" s="2036"/>
      <c r="BD25" s="2036"/>
      <c r="BE25" s="2036"/>
      <c r="BF25" s="1111"/>
      <c r="BG25" s="1111"/>
      <c r="BH25" s="23"/>
      <c r="BI25" s="23"/>
      <c r="BJ25" s="23"/>
    </row>
    <row r="26" spans="1:62" ht="18" x14ac:dyDescent="0.35">
      <c r="A26" s="2017"/>
      <c r="B26" s="2029" t="s">
        <v>15</v>
      </c>
      <c r="C26" s="46" t="s">
        <v>532</v>
      </c>
      <c r="D26" s="1392">
        <v>15.5</v>
      </c>
      <c r="E26" s="2557">
        <f>4100/(24*E$2)</f>
        <v>5.6944444444444446</v>
      </c>
      <c r="F26" s="1392">
        <v>15</v>
      </c>
      <c r="G26" s="2557">
        <f>4100/(24*G$2)</f>
        <v>5.510752688172043</v>
      </c>
      <c r="H26" s="1867">
        <f t="shared" ref="H26:I28" si="76">+((D26*D$2)+(F26*F$2))/H$2</f>
        <v>15.245901639344263</v>
      </c>
      <c r="I26" s="2558">
        <f t="shared" si="76"/>
        <v>5.6010928961748636</v>
      </c>
      <c r="J26" s="1392">
        <v>17</v>
      </c>
      <c r="K26" s="2557">
        <f>4100/(24*K$2)</f>
        <v>5.6944444444444446</v>
      </c>
      <c r="L26" s="2030">
        <f t="shared" ref="L26:M31" si="77">+((D26*D$2)+(F26*F$2)+(J26*J$2))/L$2</f>
        <v>15.824175824175825</v>
      </c>
      <c r="M26" s="2030">
        <f>+((E26*E$2)+(G26*G$2)+(K26*K$2))/M$2</f>
        <v>5.6318681318681323</v>
      </c>
      <c r="N26" s="1392">
        <v>17</v>
      </c>
      <c r="O26" s="2557">
        <f>4100/(24*O$2)</f>
        <v>5.510752688172043</v>
      </c>
      <c r="P26" s="318">
        <f>+((L26*L$2)+(N26*N$2))/P$2</f>
        <v>16.122950819672131</v>
      </c>
      <c r="Q26" s="318">
        <f>+((M26*M$2)+(O26*O$2))/Q$2</f>
        <v>5.6010928961748636</v>
      </c>
      <c r="R26" s="1392">
        <v>17</v>
      </c>
      <c r="S26" s="2557">
        <f>4100/(24*S$2)</f>
        <v>5.510752688172043</v>
      </c>
      <c r="T26" s="318">
        <f>+((P26*P$2)+(R26*R$2))/T$2</f>
        <v>16.300653594771241</v>
      </c>
      <c r="U26" s="318">
        <f>+((Q26*Q$2)+(S26*S$2))/U$2</f>
        <v>5.582788671023966</v>
      </c>
      <c r="V26" s="1392">
        <f>10333.3333333333/1000</f>
        <v>10.3333333333333</v>
      </c>
      <c r="W26" s="2557">
        <f>4100/(24*W$2)</f>
        <v>5.6944444444444446</v>
      </c>
      <c r="X26" s="2030">
        <f>(N26*N$2+R26*R$2+V26*V$2)/X$2</f>
        <v>14.826086956521729</v>
      </c>
      <c r="Y26" s="2030">
        <f>(O26*O$2+S26*S$2+W26*W$2)/Y$2</f>
        <v>5.5706521739130439</v>
      </c>
      <c r="Z26" s="462">
        <f>(L26*L$2+X26*X$2)/Z$2</f>
        <v>15.322404371584694</v>
      </c>
      <c r="AA26" s="462">
        <f>(M26*M$2+Y26*Y$2)/AA$2</f>
        <v>5.6010928961748636</v>
      </c>
      <c r="AB26" s="1392">
        <v>17</v>
      </c>
      <c r="AC26" s="2557">
        <f>4100/(24*AC$2)</f>
        <v>5.510752688172043</v>
      </c>
      <c r="AD26" s="318">
        <f>+((Z26*Z$2)+(AB26*AB$2))/AD$2</f>
        <v>15.565420560747659</v>
      </c>
      <c r="AE26" s="318">
        <f>+((AA26*AA$2)+(AC26*AC$2))/AE$2</f>
        <v>5.5880062305295946</v>
      </c>
      <c r="AF26" s="1392">
        <v>17</v>
      </c>
      <c r="AG26" s="2557">
        <f>4100/(24*AG$2)</f>
        <v>5.6944444444444446</v>
      </c>
      <c r="AH26" s="318">
        <f>+((AD26*AD$2)+(AF26*AF$2))/AH$2</f>
        <v>15.74180327868852</v>
      </c>
      <c r="AI26" s="318">
        <f>+((AE26*AE$2)+(AG26*AG$2))/AI$2</f>
        <v>5.6010928961748627</v>
      </c>
      <c r="AJ26" s="1392">
        <v>17</v>
      </c>
      <c r="AK26" s="2557">
        <f>4100/(24*AK$2)</f>
        <v>5.510752688172043</v>
      </c>
      <c r="AL26" s="2030">
        <f>(AB26*AB$2+AF26*AF$2+AJ26*AJ$2)/AL$2</f>
        <v>17</v>
      </c>
      <c r="AM26" s="2030">
        <f>(AC26*AC$2+AG26*AG$2+AK26*AK$2)/AM$2</f>
        <v>5.5706521739130439</v>
      </c>
      <c r="AN26" s="318">
        <f>+((AH26*AH$2)+(AJ26*AJ$2))/AN$2</f>
        <v>15.883636363636361</v>
      </c>
      <c r="AO26" s="318">
        <f>+((AI26*AI$2)+(AK26*AK$2))/AO$2</f>
        <v>5.5909090909090899</v>
      </c>
      <c r="AP26" s="1392">
        <v>17</v>
      </c>
      <c r="AQ26" s="2557">
        <f>4100/(24*AQ$2)</f>
        <v>5.510752688172043</v>
      </c>
      <c r="AR26" s="318">
        <f>+((AN26*AN$2)+(AP26*AP$2))/AR$2</f>
        <v>15.996732026143787</v>
      </c>
      <c r="AS26" s="318">
        <f>+((AO26*AO$2)+(AQ26*AQ$2))/AS$2</f>
        <v>5.5827886710239643</v>
      </c>
      <c r="AT26" s="1392">
        <v>17</v>
      </c>
      <c r="AU26" s="2557">
        <f>4100/(24*AU$2)</f>
        <v>6.1011904761904763</v>
      </c>
      <c r="AV26" s="318">
        <f>+((AR26*AR$2)+(AT26*AT$2))/AV$2</f>
        <v>16.080838323353291</v>
      </c>
      <c r="AW26" s="318">
        <f>+((AS26*AS$2)+(AU26*AU$2))/AW$2</f>
        <v>5.6262475049900189</v>
      </c>
      <c r="AX26" s="1392">
        <v>17</v>
      </c>
      <c r="AY26" s="2557">
        <f>4100/(24*AY$2)</f>
        <v>5.510752688172043</v>
      </c>
      <c r="AZ26" s="2030">
        <f>(AP26*AP$2+AT26*AT$2+AX26*AX$2)/AZ$2</f>
        <v>17</v>
      </c>
      <c r="BA26" s="2030">
        <f>(AQ26*AQ$2+AU26*AU$2+AY26*AY$2)/BA$2</f>
        <v>5.6944444444444446</v>
      </c>
      <c r="BB26" s="462">
        <f t="shared" ref="BB26:BC29" si="78">(AL26*AL$2+AZ26*AZ$2)/BB$2</f>
        <v>17</v>
      </c>
      <c r="BC26" s="462">
        <f t="shared" si="78"/>
        <v>5.6318681318681323</v>
      </c>
      <c r="BD26" s="318">
        <f>+((AV26*AV$2)+(AX26*AX$2))/BD$2</f>
        <v>16.158904109589038</v>
      </c>
      <c r="BE26" s="318">
        <f>+((AW26*AW$2)+(AY26*AY$2))/BE$2</f>
        <v>5.616438356164382</v>
      </c>
      <c r="BF26" s="1111"/>
      <c r="BG26" s="1111"/>
      <c r="BH26" s="23"/>
      <c r="BI26" s="23"/>
      <c r="BJ26" s="23"/>
    </row>
    <row r="27" spans="1:62" ht="18" x14ac:dyDescent="0.35">
      <c r="A27" s="2017"/>
      <c r="B27" s="2029" t="s">
        <v>57</v>
      </c>
      <c r="C27" s="46" t="s">
        <v>532</v>
      </c>
      <c r="D27" s="1392">
        <v>10.5</v>
      </c>
      <c r="E27" s="2557">
        <f>7084.32/(24*E$2)</f>
        <v>9.8393333333333324</v>
      </c>
      <c r="F27" s="1392">
        <v>9.5</v>
      </c>
      <c r="G27" s="2557">
        <f>4550.4/(24*G$2)</f>
        <v>6.1161290322580637</v>
      </c>
      <c r="H27" s="1867">
        <f t="shared" si="76"/>
        <v>9.9918032786885238</v>
      </c>
      <c r="I27" s="2558">
        <f t="shared" si="76"/>
        <v>7.9472131147540974</v>
      </c>
      <c r="J27" s="1392">
        <f>11500/1000</f>
        <v>11.5</v>
      </c>
      <c r="K27" s="2557">
        <f>6778.16/(24*K$2)</f>
        <v>9.4141111111111115</v>
      </c>
      <c r="L27" s="2030">
        <f t="shared" si="77"/>
        <v>10.489010989010989</v>
      </c>
      <c r="M27" s="2030">
        <f>+((E27*E$2)+(G27*G$2)+(K27*K$2))/M$2</f>
        <v>8.4308058608058598</v>
      </c>
      <c r="N27" s="1392">
        <f>11500/1000</f>
        <v>11.5</v>
      </c>
      <c r="O27" s="2557">
        <f>7110.32/(24*O$2)</f>
        <v>9.5568817204301073</v>
      </c>
      <c r="P27" s="318">
        <f>+((L27*L$2)+(N27*N$2))/P$2</f>
        <v>10.745901639344263</v>
      </c>
      <c r="Q27" s="318">
        <f>+((M27*M$2)+(O27*O$2))/Q$2</f>
        <v>8.7169398907103819</v>
      </c>
      <c r="R27" s="1392">
        <f>11500/1000</f>
        <v>11.5</v>
      </c>
      <c r="S27" s="2557">
        <f>7037.44/(24*S$2)</f>
        <v>9.4589247311827958</v>
      </c>
      <c r="T27" s="318">
        <f>+((P27*P$2)+(R27*R$2))/T$2</f>
        <v>10.898692810457517</v>
      </c>
      <c r="U27" s="318">
        <f>+((Q27*Q$2)+(S27*S$2))/U$2</f>
        <v>8.8672766884531597</v>
      </c>
      <c r="V27" s="1392">
        <f>7833.33333333333/1000</f>
        <v>7.8333333333333304</v>
      </c>
      <c r="W27" s="2557">
        <f>6829.28/(24*W$2)</f>
        <v>9.4851111111111113</v>
      </c>
      <c r="X27" s="2030">
        <f t="shared" ref="X27:X30" si="79">(N27*N$2+R27*R$2+V27*V$2)/X$2</f>
        <v>10.304347826086955</v>
      </c>
      <c r="Y27" s="2030">
        <f t="shared" ref="Y27:Y28" si="80">(O27*O$2+S27*S$2+W27*W$2)/Y$2</f>
        <v>9.5004710144927529</v>
      </c>
      <c r="Z27" s="462">
        <f t="shared" ref="Z27:Z28" si="81">(L27*L$2+X27*X$2)/Z$2</f>
        <v>10.396174863387978</v>
      </c>
      <c r="AA27" s="462">
        <f t="shared" ref="AA27:AA28" si="82">(M27*M$2+Y27*Y$2)/AA$2</f>
        <v>8.9685610200364287</v>
      </c>
      <c r="AB27" s="1392">
        <v>11.5</v>
      </c>
      <c r="AC27" s="2557">
        <f>5776.48/(24*AC$2)</f>
        <v>7.764086021505376</v>
      </c>
      <c r="AD27" s="318">
        <f>+((Z27*Z$2)+(AB27*AB$2))/AD$2</f>
        <v>10.55607476635514</v>
      </c>
      <c r="AE27" s="318">
        <f>+((AA27*AA$2)+(AC27*AC$2))/AE$2</f>
        <v>8.794080996884734</v>
      </c>
      <c r="AF27" s="1392">
        <v>11.5</v>
      </c>
      <c r="AG27" s="2557">
        <f>6728.32/(24*AG$2)</f>
        <v>9.3448888888888888</v>
      </c>
      <c r="AH27" s="318">
        <f>+((AD27*AD$2)+(AF27*AF$2))/AH$2</f>
        <v>10.672131147540984</v>
      </c>
      <c r="AI27" s="318">
        <f>+((AE27*AE$2)+(AG27*AG$2))/AI$2</f>
        <v>8.861803278688523</v>
      </c>
      <c r="AJ27" s="1392">
        <v>11.5</v>
      </c>
      <c r="AK27" s="2557">
        <f>7038.64/(24*AK$2)</f>
        <v>9.4605376344086025</v>
      </c>
      <c r="AL27" s="2030">
        <f t="shared" ref="AL27:AL31" si="83">(AB27*AB$2+AF27*AF$2+AJ27*AJ$2)/AL$2</f>
        <v>11.5</v>
      </c>
      <c r="AM27" s="2030">
        <f t="shared" ref="AM27:AM28" si="84">(AC27*AC$2+AG27*AG$2+AK27*AK$2)/AM$2</f>
        <v>8.8511956521739119</v>
      </c>
      <c r="AN27" s="318">
        <f>+((AH27*AH$2)+(AJ27*AJ$2))/AN$2</f>
        <v>10.765454545454546</v>
      </c>
      <c r="AO27" s="318">
        <f>+((AI27*AI$2)+(AK27*AK$2))/AO$2</f>
        <v>8.9292969696969688</v>
      </c>
      <c r="AP27" s="1392">
        <v>11.5</v>
      </c>
      <c r="AQ27" s="2557">
        <f>6952.24/(24*AQ$2)</f>
        <v>9.344408602150537</v>
      </c>
      <c r="AR27" s="318">
        <f>+((AN27*AN$2)+(AP27*AP$2))/AR$2</f>
        <v>10.839869281045752</v>
      </c>
      <c r="AS27" s="318">
        <f>+((AO27*AO$2)+(AQ27*AQ$2))/AS$2</f>
        <v>8.9713507625272317</v>
      </c>
      <c r="AT27" s="1392">
        <v>11.5</v>
      </c>
      <c r="AU27" s="2557">
        <f>6020/(24*AU$2)</f>
        <v>8.9583333333333339</v>
      </c>
      <c r="AV27" s="318">
        <f>+((AR27*AR$2)+(AT27*AT$2))/AV$2</f>
        <v>10.895209580838323</v>
      </c>
      <c r="AW27" s="318">
        <f>+((AS27*AS$2)+(AU27*AU$2))/AW$2</f>
        <v>8.9702594810379246</v>
      </c>
      <c r="AX27" s="1392">
        <v>11.5</v>
      </c>
      <c r="AY27" s="2557">
        <f>6954.08/(24*AY$2)</f>
        <v>9.3468817204301082</v>
      </c>
      <c r="AZ27" s="2030">
        <f t="shared" ref="AZ27:AZ31" si="85">(AP27*AP$2+AT27*AT$2+AX27*AX$2)/AZ$2</f>
        <v>11.5</v>
      </c>
      <c r="BA27" s="2030">
        <f t="shared" ref="BA27:BA28" si="86">(AQ27*AQ$2+AU27*AU$2+AY27*AY$2)/BA$2</f>
        <v>9.2251481481481488</v>
      </c>
      <c r="BB27" s="462">
        <f t="shared" si="78"/>
        <v>11.5</v>
      </c>
      <c r="BC27" s="462">
        <f t="shared" si="78"/>
        <v>9.0361172161172156</v>
      </c>
      <c r="BD27" s="318">
        <f>+((AV27*AV$2)+(AX27*AX$2))/BD$2</f>
        <v>10.946575342465753</v>
      </c>
      <c r="BE27" s="318">
        <f>+((AW27*AW$2)+(AY27*AY$2))/BE$2</f>
        <v>9.0022465753424648</v>
      </c>
      <c r="BF27" s="1111"/>
      <c r="BG27" s="1111"/>
      <c r="BH27" s="23"/>
      <c r="BI27" s="23"/>
      <c r="BJ27" s="23"/>
    </row>
    <row r="28" spans="1:62" ht="18" x14ac:dyDescent="0.35">
      <c r="A28" s="2017"/>
      <c r="B28" s="2029" t="s">
        <v>770</v>
      </c>
      <c r="C28" s="46" t="s">
        <v>532</v>
      </c>
      <c r="D28" s="1392">
        <v>1.5</v>
      </c>
      <c r="E28" s="2557">
        <f>864/(24*E$2)</f>
        <v>1.2</v>
      </c>
      <c r="F28" s="1392">
        <v>1.5</v>
      </c>
      <c r="G28" s="2557">
        <f>892.8/(24*G$2)</f>
        <v>1.2</v>
      </c>
      <c r="H28" s="1867">
        <f t="shared" si="76"/>
        <v>1.5</v>
      </c>
      <c r="I28" s="2558">
        <f t="shared" si="76"/>
        <v>1.1999999999999997</v>
      </c>
      <c r="J28" s="1392">
        <f>2000/1000</f>
        <v>2</v>
      </c>
      <c r="K28" s="2557">
        <f>864/(24*K$2)</f>
        <v>1.2</v>
      </c>
      <c r="L28" s="2030">
        <f t="shared" si="77"/>
        <v>1.6648351648351649</v>
      </c>
      <c r="M28" s="2030">
        <f>+((E28*E$2)+(G28*G$2)+(K28*K$2))/M$2</f>
        <v>1.2</v>
      </c>
      <c r="N28" s="1392">
        <v>2</v>
      </c>
      <c r="O28" s="2557">
        <f>892.8/(24*O$2)</f>
        <v>1.2</v>
      </c>
      <c r="P28" s="318">
        <f>+((L28*L$2)+(N28*N$2))/P$2</f>
        <v>1.75</v>
      </c>
      <c r="Q28" s="318">
        <f>+((M28*M$2)+((O28*O$2)))/Q$2</f>
        <v>1.2</v>
      </c>
      <c r="R28" s="1392">
        <v>2</v>
      </c>
      <c r="S28" s="2557">
        <f>892.8/(24*S$2)</f>
        <v>1.2</v>
      </c>
      <c r="T28" s="318">
        <f>+((P28*P$2)+(R28*R$2))/T$2</f>
        <v>1.8006535947712419</v>
      </c>
      <c r="U28" s="318">
        <f>+((Q28*Q$2)+((S28*S$2)))/U$2</f>
        <v>1.2</v>
      </c>
      <c r="V28" s="1392">
        <v>2</v>
      </c>
      <c r="W28" s="2557">
        <f>864/(24*W$2)</f>
        <v>1.2</v>
      </c>
      <c r="X28" s="2030">
        <f t="shared" si="79"/>
        <v>2</v>
      </c>
      <c r="Y28" s="2030">
        <f t="shared" si="80"/>
        <v>1.2</v>
      </c>
      <c r="Z28" s="462">
        <f t="shared" si="81"/>
        <v>1.8333333333333333</v>
      </c>
      <c r="AA28" s="462">
        <f t="shared" si="82"/>
        <v>1.2</v>
      </c>
      <c r="AB28" s="1392">
        <v>2</v>
      </c>
      <c r="AC28" s="2557">
        <f>892.8/(24*AC$2)</f>
        <v>1.2</v>
      </c>
      <c r="AD28" s="318">
        <f>+((Z28*Z$2)+(AB28*AB$2))/AD$2</f>
        <v>1.8574766355140186</v>
      </c>
      <c r="AE28" s="318">
        <f>+((AA28*AA$2)+((AC28*AC$2)))/AE$2</f>
        <v>1.2</v>
      </c>
      <c r="AF28" s="1392">
        <v>2</v>
      </c>
      <c r="AG28" s="2557">
        <f>864/(24*AG$2)</f>
        <v>1.2</v>
      </c>
      <c r="AH28" s="318">
        <f>+((AD28*AD$2)+(AF28*AF$2))/AH$2</f>
        <v>1.875</v>
      </c>
      <c r="AI28" s="318">
        <f>+((AE28*AE$2)+((AG28*AG$2)))/AI$2</f>
        <v>1.2</v>
      </c>
      <c r="AJ28" s="1392">
        <v>2</v>
      </c>
      <c r="AK28" s="2557">
        <f>892.8/(24*AK$2)</f>
        <v>1.2</v>
      </c>
      <c r="AL28" s="2030">
        <f>(AB28*AB$2+AF28*AF$2+AJ28*AJ$2)/AL$2</f>
        <v>2</v>
      </c>
      <c r="AM28" s="2030">
        <f t="shared" si="84"/>
        <v>1.1999999999999997</v>
      </c>
      <c r="AN28" s="318">
        <f>+((AH28*AH$2)+(AJ28*AJ$2))/AN$2</f>
        <v>1.8890909090909092</v>
      </c>
      <c r="AO28" s="318">
        <f>+((AI28*AI$2)+((AK28*AK$2)))/AO$2</f>
        <v>1.2</v>
      </c>
      <c r="AP28" s="1392">
        <v>2</v>
      </c>
      <c r="AQ28" s="2557">
        <f>892.8/(24*AQ$2)</f>
        <v>1.2</v>
      </c>
      <c r="AR28" s="318">
        <f>+((AN28*AN$2)+(AP28*AP$2))/AR$2</f>
        <v>1.9003267973856208</v>
      </c>
      <c r="AS28" s="318">
        <f>+((AO28*AO$2)+((AQ28*AQ$2)))/AS$2</f>
        <v>1.2</v>
      </c>
      <c r="AT28" s="1392">
        <v>2</v>
      </c>
      <c r="AU28" s="2557">
        <f>806.4/(24*AU$2)</f>
        <v>1.2</v>
      </c>
      <c r="AV28" s="318">
        <f>+((AR28*AR$2)+(AT28*AT$2))/AV$2</f>
        <v>1.908682634730539</v>
      </c>
      <c r="AW28" s="318">
        <f>+((AS28*AS$2)+((AU28*AU$2)))/AW$2</f>
        <v>1.2</v>
      </c>
      <c r="AX28" s="1392">
        <v>2</v>
      </c>
      <c r="AY28" s="2557">
        <f>892.8/(24*AY$2)</f>
        <v>1.2</v>
      </c>
      <c r="AZ28" s="2030">
        <f t="shared" si="85"/>
        <v>2</v>
      </c>
      <c r="BA28" s="2030">
        <f t="shared" si="86"/>
        <v>1.2</v>
      </c>
      <c r="BB28" s="462">
        <f t="shared" si="78"/>
        <v>2</v>
      </c>
      <c r="BC28" s="462">
        <f t="shared" si="78"/>
        <v>1.2</v>
      </c>
      <c r="BD28" s="318">
        <f>+((AV28*AV$2)+(AX28*AX$2))/BD$2</f>
        <v>1.9164383561643836</v>
      </c>
      <c r="BE28" s="318">
        <f>+((AW28*AW$2)+((AY28*AY$2)))/BE$2</f>
        <v>1.2</v>
      </c>
      <c r="BF28" s="1111"/>
      <c r="BG28" s="1111"/>
      <c r="BH28" s="23"/>
      <c r="BI28" s="23"/>
      <c r="BJ28" s="23"/>
    </row>
    <row r="29" spans="1:62" ht="18" x14ac:dyDescent="0.35">
      <c r="A29" s="2017"/>
      <c r="B29" s="2029" t="s">
        <v>771</v>
      </c>
      <c r="C29" s="46" t="s">
        <v>532</v>
      </c>
      <c r="D29" s="1392">
        <v>1.5</v>
      </c>
      <c r="E29" s="6395">
        <f>14917.12/(24*E$2)</f>
        <v>20.718222222222224</v>
      </c>
      <c r="F29" s="1392">
        <v>1.5</v>
      </c>
      <c r="G29" s="6395">
        <f>12776.944/(24*G$2)</f>
        <v>17.17331182795699</v>
      </c>
      <c r="H29" s="1867">
        <f>+((D29*D$2)+(F29*F$2))/H$2</f>
        <v>1.5</v>
      </c>
      <c r="I29" s="6409">
        <f>+((E29*E$2)+(G29*G$2))/I$2</f>
        <v>18.91671038251366</v>
      </c>
      <c r="J29" s="1392">
        <v>2</v>
      </c>
      <c r="K29" s="6395">
        <f>14622.48/(24*K$2)</f>
        <v>20.309000000000001</v>
      </c>
      <c r="L29" s="2030">
        <f t="shared" si="77"/>
        <v>1.6648351648351649</v>
      </c>
      <c r="M29" s="6399">
        <f>+((E29*E$2)+(G29*G$2)+(K29*K$2))/M$2</f>
        <v>19.37570695970696</v>
      </c>
      <c r="N29" s="1392">
        <v>2.5</v>
      </c>
      <c r="O29" s="6395">
        <f>14954.88/(24*O$2)</f>
        <v>20.10064516129032</v>
      </c>
      <c r="P29" s="318">
        <f>+((L29*L$2)+(N29*N$2))/P$2</f>
        <v>1.8770491803278688</v>
      </c>
      <c r="Q29" s="6396">
        <f>+((M29*M$2)+(O29*O$2))/Q$2</f>
        <v>19.559912568306014</v>
      </c>
      <c r="R29" s="1392">
        <v>2.5</v>
      </c>
      <c r="S29" s="6395">
        <f>15504.48/(24*S$2)</f>
        <v>20.839354838709678</v>
      </c>
      <c r="T29" s="318">
        <f>+((P29*P$2)+(R29*R$2))/T$2</f>
        <v>2.0032679738562091</v>
      </c>
      <c r="U29" s="6396">
        <f>+((Q29*Q$2)+(S29*S$2))/U$2</f>
        <v>19.819145969498912</v>
      </c>
      <c r="V29" s="1392">
        <v>1.5</v>
      </c>
      <c r="W29" s="6395">
        <f>15348.96/(24*W$2)</f>
        <v>21.317999999999998</v>
      </c>
      <c r="X29" s="2030">
        <f t="shared" si="79"/>
        <v>2.1739130434782608</v>
      </c>
      <c r="Y29" s="6399">
        <f>(O29*O$2+S29*S$2+W29*W$2)/Y$2</f>
        <v>20.746521739130433</v>
      </c>
      <c r="Z29" s="462">
        <f>(L29*L$2+X29*X$2)/Z$2</f>
        <v>1.9207650273224044</v>
      </c>
      <c r="AA29" s="6398">
        <f>(M29*M$2+Y29*Y$2)/AA$2</f>
        <v>20.064859744990891</v>
      </c>
      <c r="AB29" s="1392">
        <v>2.5</v>
      </c>
      <c r="AC29" s="6395">
        <f>16424.4/(24*AC$2)</f>
        <v>22.075806451612905</v>
      </c>
      <c r="AD29" s="318">
        <f>+((Z29*Z$2)+(AB29*AB$2))/AD$2</f>
        <v>2.0046728971962615</v>
      </c>
      <c r="AE29" s="6396">
        <f>+((AA29*AA$2)+(AC29*AC$2))/AE$2</f>
        <v>20.356165109034269</v>
      </c>
      <c r="AF29" s="1392">
        <v>2.5</v>
      </c>
      <c r="AG29" s="6395">
        <f>15122.16/(24*AG$2)</f>
        <v>21.003</v>
      </c>
      <c r="AH29" s="318">
        <f>+((AD29*AD$2)+(AF29*AF$2))/AH$2</f>
        <v>2.0655737704918029</v>
      </c>
      <c r="AI29" s="6396">
        <f>+((AE29*AE$2)+(AG29*AG$2))/AI$2</f>
        <v>20.435693989071041</v>
      </c>
      <c r="AJ29" s="1392">
        <v>2.5</v>
      </c>
      <c r="AK29" s="6395">
        <f>15828.64/(24*AK$2)</f>
        <v>21.275053763440859</v>
      </c>
      <c r="AL29" s="2030">
        <f t="shared" si="83"/>
        <v>2.5</v>
      </c>
      <c r="AM29" s="6399">
        <f>(AC29*AC$2+AG29*AG$2+AK29*AK$2)/AM$2</f>
        <v>21.456159420289854</v>
      </c>
      <c r="AN29" s="318">
        <f>+((AH29*AH$2)+(AJ29*AJ$2))/AN$2</f>
        <v>2.1145454545454543</v>
      </c>
      <c r="AO29" s="6396">
        <f>+((AI29*AI$2)+(AK29*AK$2))/AO$2</f>
        <v>20.530312727272729</v>
      </c>
      <c r="AP29" s="1392">
        <v>2.5</v>
      </c>
      <c r="AQ29" s="6395">
        <f>15246.8/(24*AQ$2)</f>
        <v>20.493010752688171</v>
      </c>
      <c r="AR29" s="318">
        <f>+((AN29*AN$2)+(AP29*AP$2))/AR$2</f>
        <v>2.1535947712418295</v>
      </c>
      <c r="AS29" s="6396">
        <f>+((AO29*AO$2)+(AQ29*AQ$2))/AS$2</f>
        <v>20.526533769063182</v>
      </c>
      <c r="AT29" s="1392">
        <v>2.5</v>
      </c>
      <c r="AU29" s="6395">
        <f>14365.68/(24*AU$2)</f>
        <v>21.377500000000001</v>
      </c>
      <c r="AV29" s="318">
        <f>+((AR29*AR$2)+(AT29*AT$2))/AV$2</f>
        <v>2.182634730538922</v>
      </c>
      <c r="AW29" s="6396">
        <f>+((AS29*AS$2)+(AU29*AU$2))/AW$2</f>
        <v>20.597872255489023</v>
      </c>
      <c r="AX29" s="1392">
        <v>2.5</v>
      </c>
      <c r="AY29" s="6395">
        <f>15964.64/(24*AY$2)</f>
        <v>21.457849462365591</v>
      </c>
      <c r="AZ29" s="2030">
        <f t="shared" si="85"/>
        <v>2.5</v>
      </c>
      <c r="BA29" s="6399">
        <f>(AQ29*AQ$2+AU29*AU$2+AY29*AY$2)/BA$2</f>
        <v>21.10051851851852</v>
      </c>
      <c r="BB29" s="462">
        <f t="shared" si="78"/>
        <v>2.5</v>
      </c>
      <c r="BC29" s="6398">
        <f t="shared" si="78"/>
        <v>21.280293040293039</v>
      </c>
      <c r="BD29" s="318">
        <f>+((AV29*AV$2)+(AX29*AX$2))/BD$2</f>
        <v>2.2095890410958905</v>
      </c>
      <c r="BE29" s="6396">
        <f>+((AW29*AW$2)+(AY29*AY$2))/BE$2</f>
        <v>20.670911415525115</v>
      </c>
      <c r="BF29" s="1111"/>
      <c r="BG29" s="1111"/>
      <c r="BH29" s="23"/>
      <c r="BI29" s="23"/>
      <c r="BJ29" s="23"/>
    </row>
    <row r="30" spans="1:62" ht="18" x14ac:dyDescent="0.35">
      <c r="A30" s="2017"/>
      <c r="B30" s="2029" t="s">
        <v>665</v>
      </c>
      <c r="C30" s="46" t="s">
        <v>532</v>
      </c>
      <c r="D30" s="1392">
        <v>0.14516666666666789</v>
      </c>
      <c r="E30" s="6395"/>
      <c r="F30" s="1392">
        <v>0.12483870967742</v>
      </c>
      <c r="G30" s="6395"/>
      <c r="H30" s="1867">
        <f>+((D30*D$2)+(F30*F$2))/H$2</f>
        <v>0.13483606557377142</v>
      </c>
      <c r="I30" s="6409"/>
      <c r="J30" s="1392">
        <v>0.62</v>
      </c>
      <c r="K30" s="6395"/>
      <c r="L30" s="2030">
        <f t="shared" si="77"/>
        <v>0.29478021978022045</v>
      </c>
      <c r="M30" s="6400"/>
      <c r="N30" s="1392">
        <v>0.12</v>
      </c>
      <c r="O30" s="6395"/>
      <c r="P30" s="318">
        <f>+((L30*L$2)+(N30*N$2))/P$2</f>
        <v>0.25036885245901686</v>
      </c>
      <c r="Q30" s="6396"/>
      <c r="R30" s="1392">
        <v>0.12</v>
      </c>
      <c r="S30" s="6395"/>
      <c r="T30" s="318">
        <f>+((P30*P$2)+(R30*R$2))/T$2</f>
        <v>0.22395424836601344</v>
      </c>
      <c r="U30" s="6396"/>
      <c r="V30" s="1392">
        <v>9.6666666666703302E-2</v>
      </c>
      <c r="W30" s="6395"/>
      <c r="X30" s="2030">
        <f t="shared" si="79"/>
        <v>0.11239130434783802</v>
      </c>
      <c r="Y30" s="6400"/>
      <c r="Z30" s="462">
        <f>(L30*L$2+X30*X$2)/Z$2</f>
        <v>0.2030874316939954</v>
      </c>
      <c r="AA30" s="6398"/>
      <c r="AB30" s="1392">
        <v>0.120000000000007</v>
      </c>
      <c r="AC30" s="6395"/>
      <c r="AD30" s="318">
        <f>+((Z30*Z$2)+(AB30*AB$2))/AD$2</f>
        <v>0.1910514018691653</v>
      </c>
      <c r="AE30" s="6396"/>
      <c r="AF30" s="1392">
        <v>0.12</v>
      </c>
      <c r="AG30" s="6395"/>
      <c r="AH30" s="318">
        <f>+((AD30*AD$2)+(AF30*AF$2))/AH$2</f>
        <v>0.18231557377049745</v>
      </c>
      <c r="AI30" s="6396"/>
      <c r="AJ30" s="1392">
        <v>0.12</v>
      </c>
      <c r="AK30" s="6395"/>
      <c r="AL30" s="2030">
        <f t="shared" si="83"/>
        <v>0.12000000000000234</v>
      </c>
      <c r="AM30" s="6400"/>
      <c r="AN30" s="318">
        <f>+((AH30*AH$2)+(AJ30*AJ$2))/AN$2</f>
        <v>0.1752909090909141</v>
      </c>
      <c r="AO30" s="6396"/>
      <c r="AP30" s="1392">
        <v>0.12000000000000728</v>
      </c>
      <c r="AQ30" s="6395"/>
      <c r="AR30" s="318">
        <f>+((AN30*AN$2)+(AP30*AP$2))/AR$2</f>
        <v>0.16968954248366536</v>
      </c>
      <c r="AS30" s="6396"/>
      <c r="AT30" s="1392">
        <v>0.12000000000000728</v>
      </c>
      <c r="AU30" s="6395"/>
      <c r="AV30" s="318">
        <f>+((AR30*AR$2)+(AT30*AT$2))/AV$2</f>
        <v>0.16552395209581378</v>
      </c>
      <c r="AW30" s="6396"/>
      <c r="AX30" s="1392">
        <v>0.12000000000000728</v>
      </c>
      <c r="AY30" s="6395"/>
      <c r="AZ30" s="2030">
        <f t="shared" si="85"/>
        <v>0.1200000000000073</v>
      </c>
      <c r="BA30" s="6400"/>
      <c r="BB30" s="462">
        <f>(AL30*AL$2+AZ30*AZ$2)/BB$2</f>
        <v>0.12000000000000478</v>
      </c>
      <c r="BC30" s="6398"/>
      <c r="BD30" s="318">
        <f>+((AV30*AV$2)+(AX30*AX$2))/BD$2</f>
        <v>0.16165753424658089</v>
      </c>
      <c r="BE30" s="6396"/>
      <c r="BF30" s="1111"/>
      <c r="BG30" s="1111"/>
      <c r="BH30" s="23"/>
      <c r="BI30" s="23"/>
      <c r="BJ30" s="23"/>
    </row>
    <row r="31" spans="1:62" ht="18" x14ac:dyDescent="0.35">
      <c r="A31" s="2017"/>
      <c r="B31" s="6401" t="s">
        <v>101</v>
      </c>
      <c r="C31" s="46" t="s">
        <v>532</v>
      </c>
      <c r="D31" s="1392"/>
      <c r="E31" s="2557"/>
      <c r="F31" s="1392"/>
      <c r="G31" s="2557"/>
      <c r="H31" s="319">
        <f>+((D31*D$2)+(F31*F$2))/H$2</f>
        <v>0</v>
      </c>
      <c r="I31" s="196">
        <f>+((E31*E$2)+(G31*G$2))/I$2</f>
        <v>0</v>
      </c>
      <c r="J31" s="1392">
        <v>0</v>
      </c>
      <c r="K31" s="2557">
        <v>0</v>
      </c>
      <c r="L31" s="2030">
        <f t="shared" si="77"/>
        <v>0</v>
      </c>
      <c r="M31" s="2030">
        <f t="shared" si="77"/>
        <v>0</v>
      </c>
      <c r="N31" s="1392">
        <v>0</v>
      </c>
      <c r="O31" s="2557">
        <v>0</v>
      </c>
      <c r="P31" s="318">
        <f>+((L31*L$2)+(N31*N$2))/P$2</f>
        <v>0</v>
      </c>
      <c r="Q31" s="318">
        <f>+((M31*M$2)+(O31*O$2))/Q$2</f>
        <v>0</v>
      </c>
      <c r="R31" s="1392">
        <v>0</v>
      </c>
      <c r="S31" s="2557">
        <v>0</v>
      </c>
      <c r="T31" s="318">
        <f>+((P31*P$2)+(R31*R$2))/T$2</f>
        <v>0</v>
      </c>
      <c r="U31" s="318">
        <f>+((Q31*Q$2)+(S31*S$2))/U$2</f>
        <v>0</v>
      </c>
      <c r="V31" s="1392">
        <v>0</v>
      </c>
      <c r="W31" s="2557">
        <v>0</v>
      </c>
      <c r="X31" s="2030">
        <f t="shared" ref="X31" si="87">(N31*N$2+R31*R$2+V31*V$2)/X$2</f>
        <v>0</v>
      </c>
      <c r="Y31" s="2030">
        <f t="shared" ref="Y31" si="88">(O31*O$2+S31*S$2+W31*W$2)/Y$2</f>
        <v>0</v>
      </c>
      <c r="Z31" s="462">
        <f t="shared" ref="Z31" si="89">(L31*L$2+X31*X$2)/Z$2</f>
        <v>0</v>
      </c>
      <c r="AA31" s="462">
        <f t="shared" ref="AA31" si="90">(M31*M$2+Y31*Y$2)/AA$2</f>
        <v>0</v>
      </c>
      <c r="AB31" s="1392">
        <v>0</v>
      </c>
      <c r="AC31" s="2557">
        <v>0</v>
      </c>
      <c r="AD31" s="318">
        <f>+((Z31*Z$2)+(AB31*AB$2))/AD$2</f>
        <v>0</v>
      </c>
      <c r="AE31" s="318">
        <f>+((AA31*AA$2)+(AC31*AC$2))/AE$2</f>
        <v>0</v>
      </c>
      <c r="AF31" s="1392">
        <v>0</v>
      </c>
      <c r="AG31" s="2557">
        <v>0</v>
      </c>
      <c r="AH31" s="318">
        <f>+((AD31*AD$2)+(AF31*AF$2))/AH$2</f>
        <v>0</v>
      </c>
      <c r="AI31" s="318">
        <f>+((AE31*AE$2)+(AG31*AG$2))/AI$2</f>
        <v>0</v>
      </c>
      <c r="AJ31" s="1392">
        <v>0</v>
      </c>
      <c r="AK31" s="2557">
        <v>0</v>
      </c>
      <c r="AL31" s="2030">
        <f t="shared" si="83"/>
        <v>0</v>
      </c>
      <c r="AM31" s="2030">
        <f t="shared" ref="AM31" si="91">(AC31*AC$2+AG31*AG$2+AK31*AK$2)/AM$2</f>
        <v>0</v>
      </c>
      <c r="AN31" s="318">
        <f>+((AH31*AH$2)+(AJ31*AJ$2))/AN$2</f>
        <v>0</v>
      </c>
      <c r="AO31" s="318">
        <f>+((AI31*AI$2)+(AK31*AK$2))/AO$2</f>
        <v>0</v>
      </c>
      <c r="AP31" s="1392">
        <v>0</v>
      </c>
      <c r="AQ31" s="2557">
        <v>0</v>
      </c>
      <c r="AR31" s="318">
        <f>+((AN31*AN$2)+(AP31*AP$2))/AR$2</f>
        <v>0</v>
      </c>
      <c r="AS31" s="318">
        <f>+((AO31*AO$2)+(AQ31*AQ$2))/AS$2</f>
        <v>0</v>
      </c>
      <c r="AT31" s="1392">
        <v>0</v>
      </c>
      <c r="AU31" s="2557">
        <v>0</v>
      </c>
      <c r="AV31" s="318">
        <f>+((AR31*AR$2)+(AT31*AT$2))/AV$2</f>
        <v>0</v>
      </c>
      <c r="AW31" s="318">
        <f>+((AS31*AS$2)+(AU31*AU$2))/AW$2</f>
        <v>0</v>
      </c>
      <c r="AX31" s="1392">
        <v>0</v>
      </c>
      <c r="AY31" s="2557">
        <v>0</v>
      </c>
      <c r="AZ31" s="2030">
        <f t="shared" si="85"/>
        <v>0</v>
      </c>
      <c r="BA31" s="2030">
        <f t="shared" ref="BA31" si="92">(AQ31*AQ$2+AU31*AU$2+AY31*AY$2)/BA$2</f>
        <v>0</v>
      </c>
      <c r="BB31" s="462">
        <f>(AL31*AL$2+AZ31*AZ$2)/BB$2</f>
        <v>0</v>
      </c>
      <c r="BC31" s="462">
        <f>(AM31*AM$2+BA31*BA$2)/BC$2</f>
        <v>0</v>
      </c>
      <c r="BD31" s="318">
        <f>+((AV31*AV$2)+(AX31*AX$2))/BD$2</f>
        <v>0</v>
      </c>
      <c r="BE31" s="318">
        <f>+((AW31*AW$2)+(AY31*AY$2))/BE$2</f>
        <v>0</v>
      </c>
      <c r="BF31" s="1111"/>
      <c r="BG31" s="1111"/>
      <c r="BH31" s="23"/>
      <c r="BI31" s="23"/>
      <c r="BJ31" s="23"/>
    </row>
    <row r="32" spans="1:62" ht="15.75" customHeight="1" x14ac:dyDescent="0.35">
      <c r="A32" s="2017"/>
      <c r="B32" s="6401"/>
      <c r="C32" s="46" t="s">
        <v>50</v>
      </c>
      <c r="D32" s="680"/>
      <c r="E32" s="1864"/>
      <c r="F32" s="680"/>
      <c r="G32" s="1864"/>
      <c r="H32" s="319">
        <f>+D32+F32</f>
        <v>0</v>
      </c>
      <c r="I32" s="196">
        <f>+E32+G32</f>
        <v>0</v>
      </c>
      <c r="J32" s="680">
        <v>0</v>
      </c>
      <c r="K32" s="1864">
        <v>0</v>
      </c>
      <c r="L32" s="373">
        <f>+D32+F32+J32</f>
        <v>0</v>
      </c>
      <c r="M32" s="373">
        <f>+E32+G32+K32</f>
        <v>0</v>
      </c>
      <c r="N32" s="680">
        <v>0</v>
      </c>
      <c r="O32" s="1864">
        <v>0</v>
      </c>
      <c r="P32" s="1959">
        <f>+L32+N32</f>
        <v>0</v>
      </c>
      <c r="Q32" s="1959">
        <f>+M32+O32</f>
        <v>0</v>
      </c>
      <c r="R32" s="680">
        <v>0</v>
      </c>
      <c r="S32" s="1864">
        <v>0</v>
      </c>
      <c r="T32" s="1959">
        <f>+P32+R32</f>
        <v>0</v>
      </c>
      <c r="U32" s="1959">
        <f>+Q32+S32</f>
        <v>0</v>
      </c>
      <c r="V32" s="680">
        <v>0</v>
      </c>
      <c r="W32" s="1864">
        <v>0</v>
      </c>
      <c r="X32" s="2030">
        <f>N32+R32+V32</f>
        <v>0</v>
      </c>
      <c r="Y32" s="2030">
        <f>O32+S32+W32</f>
        <v>0</v>
      </c>
      <c r="Z32" s="461">
        <f>+L32+X32</f>
        <v>0</v>
      </c>
      <c r="AA32" s="461">
        <f>+M32+Y32</f>
        <v>0</v>
      </c>
      <c r="AB32" s="680">
        <v>0</v>
      </c>
      <c r="AC32" s="1864">
        <v>0</v>
      </c>
      <c r="AD32" s="1959">
        <f>+Z32+AB32</f>
        <v>0</v>
      </c>
      <c r="AE32" s="1959">
        <f>+AA32+AC32</f>
        <v>0</v>
      </c>
      <c r="AF32" s="680">
        <v>0</v>
      </c>
      <c r="AG32" s="1864">
        <v>0</v>
      </c>
      <c r="AH32" s="1959">
        <f>+AD32+AF32</f>
        <v>0</v>
      </c>
      <c r="AI32" s="1959">
        <f>+AE32+AG32</f>
        <v>0</v>
      </c>
      <c r="AJ32" s="680">
        <v>0</v>
      </c>
      <c r="AK32" s="1864">
        <v>0</v>
      </c>
      <c r="AL32" s="2030">
        <f>AB32+AF32+AJ32</f>
        <v>0</v>
      </c>
      <c r="AM32" s="2030">
        <f>AC32+AG32+AK32</f>
        <v>0</v>
      </c>
      <c r="AN32" s="1959">
        <f>+AH32+AJ32</f>
        <v>0</v>
      </c>
      <c r="AO32" s="1959">
        <f>+AI32+AK32</f>
        <v>0</v>
      </c>
      <c r="AP32" s="680">
        <v>0</v>
      </c>
      <c r="AQ32" s="1864">
        <v>0</v>
      </c>
      <c r="AR32" s="1959">
        <f>+AN32+AP32</f>
        <v>0</v>
      </c>
      <c r="AS32" s="1959">
        <f>+AO32+AQ32</f>
        <v>0</v>
      </c>
      <c r="AT32" s="680">
        <v>0</v>
      </c>
      <c r="AU32" s="1864">
        <v>0</v>
      </c>
      <c r="AV32" s="1959">
        <f>+AR32+AT32</f>
        <v>0</v>
      </c>
      <c r="AW32" s="1959">
        <f>+AS32+AU32</f>
        <v>0</v>
      </c>
      <c r="AX32" s="680">
        <v>0</v>
      </c>
      <c r="AY32" s="1864">
        <v>0</v>
      </c>
      <c r="AZ32" s="2030">
        <f>AP32+AT32+AX32</f>
        <v>0</v>
      </c>
      <c r="BA32" s="2030">
        <f>AQ32+AU32+AY32</f>
        <v>0</v>
      </c>
      <c r="BB32" s="461">
        <f>+AL32+AZ32</f>
        <v>0</v>
      </c>
      <c r="BC32" s="461">
        <f>+AM32+BA32</f>
        <v>0</v>
      </c>
      <c r="BD32" s="1959">
        <f>+AV32+AX32</f>
        <v>0</v>
      </c>
      <c r="BE32" s="1959">
        <f>+AW32+AY32</f>
        <v>0</v>
      </c>
      <c r="BF32" s="1111"/>
      <c r="BG32" s="1111"/>
      <c r="BH32" s="23"/>
      <c r="BI32" s="23"/>
      <c r="BJ32" s="23"/>
    </row>
    <row r="33" spans="1:62" ht="18" x14ac:dyDescent="0.35">
      <c r="A33" s="2028"/>
      <c r="B33" s="2031" t="s">
        <v>21</v>
      </c>
      <c r="C33" s="774" t="s">
        <v>532</v>
      </c>
      <c r="D33" s="1392">
        <f>SUM(D26:D32)</f>
        <v>29.145166666666668</v>
      </c>
      <c r="E33" s="2557">
        <f t="shared" ref="E33:G33" si="93">SUM(E26:E31)</f>
        <v>37.451999999999998</v>
      </c>
      <c r="F33" s="1392">
        <f>SUM(F26:F32)</f>
        <v>27.62483870967742</v>
      </c>
      <c r="G33" s="2557">
        <f t="shared" si="93"/>
        <v>30.000193548387095</v>
      </c>
      <c r="H33" s="1867">
        <f t="shared" ref="H33:AA33" si="94">SUM(H26:H31)</f>
        <v>28.372540983606559</v>
      </c>
      <c r="I33" s="2558">
        <f t="shared" si="94"/>
        <v>33.66501639344262</v>
      </c>
      <c r="J33" s="1392">
        <f>SUM(J26:J32)</f>
        <v>33.119999999999997</v>
      </c>
      <c r="K33" s="2557">
        <f t="shared" ref="K33" si="95">SUM(K26:K31)</f>
        <v>36.617555555555555</v>
      </c>
      <c r="L33" s="2030">
        <f t="shared" ref="L33:M33" si="96">SUM(L26:L31)</f>
        <v>29.937637362637364</v>
      </c>
      <c r="M33" s="1869">
        <f t="shared" si="96"/>
        <v>34.638380952380956</v>
      </c>
      <c r="N33" s="1392">
        <f>SUM(N26:N32)</f>
        <v>33.119999999999997</v>
      </c>
      <c r="O33" s="2557">
        <f t="shared" ref="O33" si="97">SUM(O26:O31)</f>
        <v>36.368279569892465</v>
      </c>
      <c r="P33" s="318">
        <f t="shared" si="94"/>
        <v>30.74627049180328</v>
      </c>
      <c r="Q33" s="318">
        <f t="shared" si="94"/>
        <v>35.077945355191261</v>
      </c>
      <c r="R33" s="1392">
        <f>SUM(R26:R32)</f>
        <v>33.119999999999997</v>
      </c>
      <c r="S33" s="2557">
        <f t="shared" ref="S33" si="98">SUM(S26:S31)</f>
        <v>37.009032258064515</v>
      </c>
      <c r="T33" s="318">
        <f t="shared" ref="T33:U33" si="99">SUM(T26:T31)</f>
        <v>31.227222222222224</v>
      </c>
      <c r="U33" s="318">
        <f t="shared" si="99"/>
        <v>35.469211328976037</v>
      </c>
      <c r="V33" s="1392">
        <f>SUM(V26:V32)</f>
        <v>21.763333333333332</v>
      </c>
      <c r="W33" s="2557">
        <f t="shared" ref="W33" si="100">SUM(W26:W31)</f>
        <v>37.697555555555553</v>
      </c>
      <c r="X33" s="2030">
        <f>SUM(X26:X31)</f>
        <v>29.416739130434784</v>
      </c>
      <c r="Y33" s="1869">
        <f>SUM(Y26:Y31)</f>
        <v>37.017644927536224</v>
      </c>
      <c r="Z33" s="2043">
        <f t="shared" si="94"/>
        <v>29.675765027322402</v>
      </c>
      <c r="AA33" s="2043">
        <f t="shared" si="94"/>
        <v>35.83451366120218</v>
      </c>
      <c r="AB33" s="1392">
        <f>SUM(AB26:AB32)</f>
        <v>33.120000000000005</v>
      </c>
      <c r="AC33" s="2557">
        <f t="shared" ref="AC33" si="101">SUM(AC26:AC31)</f>
        <v>36.550645161290319</v>
      </c>
      <c r="AD33" s="318">
        <f t="shared" ref="AD33:AE33" si="102">SUM(AD26:AD31)</f>
        <v>30.174696261682243</v>
      </c>
      <c r="AE33" s="318">
        <f t="shared" si="102"/>
        <v>35.938252336448599</v>
      </c>
      <c r="AF33" s="1392">
        <f>SUM(AF26:AF32)</f>
        <v>33.119999999999997</v>
      </c>
      <c r="AG33" s="2557">
        <f t="shared" ref="AG33" si="103">SUM(AG26:AG31)</f>
        <v>37.242333333333335</v>
      </c>
      <c r="AH33" s="318">
        <f t="shared" ref="AH33:AI33" si="104">SUM(AH26:AH31)</f>
        <v>30.536823770491804</v>
      </c>
      <c r="AI33" s="318">
        <f t="shared" si="104"/>
        <v>36.098590163934425</v>
      </c>
      <c r="AJ33" s="1392">
        <f>SUM(AJ26:AJ32)</f>
        <v>33.119999999999997</v>
      </c>
      <c r="AK33" s="2557">
        <f t="shared" ref="AK33" si="105">SUM(AK26:AK31)</f>
        <v>37.446344086021504</v>
      </c>
      <c r="AL33" s="2030">
        <f>SUM(AL26:AL31)</f>
        <v>33.120000000000005</v>
      </c>
      <c r="AM33" s="1869">
        <f>SUM(AM26:AM31)</f>
        <v>37.078007246376814</v>
      </c>
      <c r="AN33" s="318">
        <f t="shared" ref="AN33:AO33" si="106">SUM(AN26:AN31)</f>
        <v>30.828018181818187</v>
      </c>
      <c r="AO33" s="318">
        <f t="shared" si="106"/>
        <v>36.250518787878789</v>
      </c>
      <c r="AP33" s="1392">
        <f>SUM(AP26:AP32)</f>
        <v>33.120000000000005</v>
      </c>
      <c r="AQ33" s="2557">
        <f t="shared" ref="AQ33" si="107">SUM(AQ26:AQ31)</f>
        <v>36.548172043010752</v>
      </c>
      <c r="AR33" s="318">
        <f t="shared" ref="AR33:AS33" si="108">SUM(AR26:AR31)</f>
        <v>31.060212418300658</v>
      </c>
      <c r="AS33" s="318">
        <f t="shared" si="108"/>
        <v>36.280673202614381</v>
      </c>
      <c r="AT33" s="1392">
        <f>SUM(AT26:AT32)</f>
        <v>33.120000000000005</v>
      </c>
      <c r="AU33" s="2557">
        <f t="shared" ref="AU33" si="109">SUM(AU26:AU31)</f>
        <v>37.637023809523811</v>
      </c>
      <c r="AV33" s="318">
        <f t="shared" ref="AV33:AY33" si="110">SUM(AV26:AV31)</f>
        <v>31.232889221556889</v>
      </c>
      <c r="AW33" s="318">
        <f t="shared" si="110"/>
        <v>36.394379241516965</v>
      </c>
      <c r="AX33" s="1392">
        <f>SUM(AX26:AX32)</f>
        <v>33.120000000000005</v>
      </c>
      <c r="AY33" s="2557">
        <f t="shared" si="110"/>
        <v>37.515483870967742</v>
      </c>
      <c r="AZ33" s="2030">
        <f>SUM(AZ26:AZ31)</f>
        <v>33.120000000000005</v>
      </c>
      <c r="BA33" s="1869">
        <f>SUM(BA26:BA31)</f>
        <v>37.220111111111109</v>
      </c>
      <c r="BB33" s="2043">
        <f t="shared" ref="BB33:BC33" si="111">SUM(BB26:BB31)</f>
        <v>33.120000000000005</v>
      </c>
      <c r="BC33" s="2043">
        <f t="shared" si="111"/>
        <v>37.148278388278385</v>
      </c>
      <c r="BD33" s="318">
        <f t="shared" ref="BD33:BE33" si="112">SUM(BD26:BD31)</f>
        <v>31.393164383561647</v>
      </c>
      <c r="BE33" s="318">
        <f t="shared" si="112"/>
        <v>36.489596347031963</v>
      </c>
      <c r="BF33" s="1111"/>
      <c r="BG33" s="1111"/>
      <c r="BH33" s="23"/>
      <c r="BI33" s="23"/>
      <c r="BJ33" s="23"/>
    </row>
    <row r="34" spans="1:62" ht="18" x14ac:dyDescent="0.35">
      <c r="A34" s="2028"/>
      <c r="B34" s="1350" t="s">
        <v>103</v>
      </c>
      <c r="C34" s="1234"/>
      <c r="D34" s="2033"/>
      <c r="E34" s="2034"/>
      <c r="F34" s="2033"/>
      <c r="G34" s="2034"/>
      <c r="H34" s="2840"/>
      <c r="I34" s="2841"/>
      <c r="J34" s="2033"/>
      <c r="K34" s="2034"/>
      <c r="L34" s="2035"/>
      <c r="M34" s="2034"/>
      <c r="N34" s="2033"/>
      <c r="O34" s="2034"/>
      <c r="P34" s="2036"/>
      <c r="Q34" s="2036"/>
      <c r="R34" s="2033"/>
      <c r="S34" s="2034"/>
      <c r="T34" s="2036"/>
      <c r="U34" s="2036"/>
      <c r="V34" s="2033"/>
      <c r="W34" s="2034"/>
      <c r="X34" s="2035"/>
      <c r="Y34" s="2034"/>
      <c r="Z34" s="2036"/>
      <c r="AA34" s="2036"/>
      <c r="AB34" s="2033"/>
      <c r="AC34" s="2034"/>
      <c r="AD34" s="2036"/>
      <c r="AE34" s="2036"/>
      <c r="AF34" s="2033"/>
      <c r="AG34" s="2034"/>
      <c r="AH34" s="2036"/>
      <c r="AI34" s="2036"/>
      <c r="AJ34" s="2033"/>
      <c r="AK34" s="2034"/>
      <c r="AL34" s="2035"/>
      <c r="AM34" s="2034"/>
      <c r="AN34" s="2036"/>
      <c r="AO34" s="2036"/>
      <c r="AP34" s="2033"/>
      <c r="AQ34" s="2034"/>
      <c r="AR34" s="2036"/>
      <c r="AS34" s="2036"/>
      <c r="AT34" s="2033"/>
      <c r="AU34" s="2034"/>
      <c r="AV34" s="2036"/>
      <c r="AW34" s="2036"/>
      <c r="AX34" s="2033"/>
      <c r="AY34" s="2034"/>
      <c r="AZ34" s="2035"/>
      <c r="BA34" s="2034"/>
      <c r="BB34" s="2036"/>
      <c r="BC34" s="2036"/>
      <c r="BD34" s="2036"/>
      <c r="BE34" s="2036"/>
      <c r="BF34" s="1111"/>
      <c r="BG34" s="1111"/>
      <c r="BH34" s="23"/>
      <c r="BI34" s="23"/>
      <c r="BJ34" s="23"/>
    </row>
    <row r="35" spans="1:62" ht="18" x14ac:dyDescent="0.35">
      <c r="A35" s="2017"/>
      <c r="B35" s="2029" t="s">
        <v>57</v>
      </c>
      <c r="C35" s="46" t="s">
        <v>532</v>
      </c>
      <c r="D35" s="1392">
        <v>0.7</v>
      </c>
      <c r="E35" s="2557">
        <f>497.112/(24*E$2)</f>
        <v>0.69043333333333334</v>
      </c>
      <c r="F35" s="1392">
        <v>0.7</v>
      </c>
      <c r="G35" s="2557">
        <f>248.752/(24*G$2)</f>
        <v>0.33434408602150539</v>
      </c>
      <c r="H35" s="1867">
        <f t="shared" ref="H35:I37" si="113">+((D35*D$2)+(F35*F$2))/H$2</f>
        <v>0.70000000000000007</v>
      </c>
      <c r="I35" s="2558">
        <f t="shared" si="113"/>
        <v>0.50946994535519119</v>
      </c>
      <c r="J35" s="1392">
        <v>0.6</v>
      </c>
      <c r="K35" s="2557">
        <f>278.684/(24*K$2)</f>
        <v>0.38706111111111113</v>
      </c>
      <c r="L35" s="2030">
        <f t="shared" ref="L35:M37" si="114">+((D35*D$2)+(F35*F$2)+(J35*J$2))/L$2</f>
        <v>0.66703296703296711</v>
      </c>
      <c r="M35" s="2030">
        <f t="shared" si="114"/>
        <v>0.46911538461538455</v>
      </c>
      <c r="N35" s="1392">
        <v>0.6</v>
      </c>
      <c r="O35" s="2557">
        <f>546.224/(24*O$2)</f>
        <v>0.73417204301075278</v>
      </c>
      <c r="P35" s="318">
        <f t="shared" ref="P35:Q37" si="115">+((L35*L$2)+(N35*N$2))/P$2</f>
        <v>0.65000000000000013</v>
      </c>
      <c r="Q35" s="318">
        <f t="shared" si="115"/>
        <v>0.53646584699453559</v>
      </c>
      <c r="R35" s="1392">
        <v>0.6</v>
      </c>
      <c r="S35" s="2557">
        <f>530.432/(24*S$2)</f>
        <v>0.7129462365591398</v>
      </c>
      <c r="T35" s="318">
        <f t="shared" ref="T35:T37" si="116">+((P35*P$2)+(R35*R$2))/T$2</f>
        <v>0.63986928104575169</v>
      </c>
      <c r="U35" s="318">
        <f t="shared" ref="U35:U37" si="117">+((Q35*Q$2)+(S35*S$2))/U$2</f>
        <v>0.57222331154684103</v>
      </c>
      <c r="V35" s="1392">
        <v>0.3</v>
      </c>
      <c r="W35" s="2557">
        <f>492.8392/(24*W$2)</f>
        <v>0.68449888888888888</v>
      </c>
      <c r="X35" s="2030">
        <f t="shared" ref="X35:Y37" si="118">(N35*N$2+R35*R$2+V35*V$2)/X$2</f>
        <v>0.50217391304347825</v>
      </c>
      <c r="Y35" s="2030">
        <f t="shared" si="118"/>
        <v>0.71082210144927538</v>
      </c>
      <c r="Z35" s="462">
        <f t="shared" ref="Z35:Z37" si="119">(L35*L$2+X35*X$2)/Z$2</f>
        <v>0.5841530054644809</v>
      </c>
      <c r="AA35" s="462">
        <f t="shared" ref="AA35:AA37" si="120">(M35*M$2+Y35*Y$2)/AA$2</f>
        <v>0.59062914389799637</v>
      </c>
      <c r="AB35" s="1392">
        <v>0.6</v>
      </c>
      <c r="AC35" s="2557">
        <f>441.616/(24*AC$2)</f>
        <v>0.59356989247311831</v>
      </c>
      <c r="AD35" s="318">
        <f t="shared" ref="AD35:AD37" si="121">+((Z35*Z$2)+(AB35*AB$2))/AD$2</f>
        <v>0.58644859813084116</v>
      </c>
      <c r="AE35" s="318">
        <f t="shared" ref="AE35:AE37" si="122">+((AA35*AA$2)+(AC35*AC$2))/AE$2</f>
        <v>0.59105514018691585</v>
      </c>
      <c r="AF35" s="1392">
        <v>0.6</v>
      </c>
      <c r="AG35" s="2557">
        <f>464.688/(24*AG$2)</f>
        <v>0.64539999999999997</v>
      </c>
      <c r="AH35" s="318">
        <f t="shared" ref="AH35:AH37" si="123">+((AD35*AD$2)+(AF35*AF$2))/AH$2</f>
        <v>0.58811475409836067</v>
      </c>
      <c r="AI35" s="318">
        <f t="shared" ref="AI35:AI37" si="124">+((AE35*AE$2)+(AG35*AG$2))/AI$2</f>
        <v>0.59773688524590163</v>
      </c>
      <c r="AJ35" s="1392">
        <v>0.6</v>
      </c>
      <c r="AK35" s="2557">
        <f>478.296/(24*AK$2)</f>
        <v>0.64287096774193553</v>
      </c>
      <c r="AL35" s="2030">
        <f t="shared" ref="AL35:AL37" si="125">(AB35*AB$2+AF35*AF$2+AJ35*AJ$2)/AL$2</f>
        <v>0.59999999999999987</v>
      </c>
      <c r="AM35" s="2030">
        <f t="shared" ref="AM35:AM37" si="126">(AC35*AC$2+AG35*AG$2+AK35*AK$2)/AM$2</f>
        <v>0.62708333333333333</v>
      </c>
      <c r="AN35" s="318">
        <f t="shared" ref="AN35:AN37" si="127">+((AH35*AH$2)+(AJ35*AJ$2))/AN$2</f>
        <v>0.58945454545454545</v>
      </c>
      <c r="AO35" s="318">
        <f t="shared" ref="AO35:AO37" si="128">+((AI35*AI$2)+(AK35*AK$2))/AO$2</f>
        <v>0.60282472727272729</v>
      </c>
      <c r="AP35" s="1392">
        <v>0.6</v>
      </c>
      <c r="AQ35" s="2557">
        <f>470.68/(24*AQ$2)</f>
        <v>0.63263440860215059</v>
      </c>
      <c r="AR35" s="318">
        <f t="shared" ref="AR35:AR37" si="129">+((AN35*AN$2)+(AP35*AP$2))/AR$2</f>
        <v>0.59052287581699348</v>
      </c>
      <c r="AS35" s="318">
        <f t="shared" ref="AS35:AS37" si="130">+((AO35*AO$2)+(AQ35*AQ$2))/AS$2</f>
        <v>0.60584466230936829</v>
      </c>
      <c r="AT35" s="1392">
        <v>0.6</v>
      </c>
      <c r="AU35" s="2557">
        <f>416.53/(24*AU$2)</f>
        <v>0.61983630952380953</v>
      </c>
      <c r="AV35" s="318">
        <f t="shared" ref="AV35:AV37" si="131">+((AR35*AR$2)+(AT35*AT$2))/AV$2</f>
        <v>0.59131736526946121</v>
      </c>
      <c r="AW35" s="318">
        <f t="shared" ref="AW35:AW37" si="132">+((AS35*AS$2)+(AU35*AU$2))/AW$2</f>
        <v>0.60701761477045912</v>
      </c>
      <c r="AX35" s="1392">
        <v>0.6</v>
      </c>
      <c r="AY35" s="2557">
        <f>507.98/(24*AY$2)</f>
        <v>0.68276881720430105</v>
      </c>
      <c r="AZ35" s="2030">
        <f t="shared" ref="AZ35:AZ37" si="133">(AP35*AP$2+AT35*AT$2+AX35*AX$2)/AZ$2</f>
        <v>0.6</v>
      </c>
      <c r="BA35" s="2030">
        <f t="shared" ref="BA35:BA37" si="134">(AQ35*AQ$2+AU35*AU$2+AY35*AY$2)/BA$2</f>
        <v>0.64592129629629624</v>
      </c>
      <c r="BB35" s="462">
        <f t="shared" ref="BB35:BC37" si="135">(AL35*AL$2+AZ35*AZ$2)/BB$2</f>
        <v>0.6</v>
      </c>
      <c r="BC35" s="462">
        <f t="shared" si="135"/>
        <v>0.63639880952380945</v>
      </c>
      <c r="BD35" s="318">
        <f t="shared" ref="BD35:BD37" si="136">+((AV35*AV$2)+(AX35*AX$2))/BD$2</f>
        <v>0.5920547945205481</v>
      </c>
      <c r="BE35" s="318">
        <f t="shared" ref="BE35:BE37" si="137">+((AW35*AW$2)+(AY35*AY$2))/BE$2</f>
        <v>0.61345127853881276</v>
      </c>
      <c r="BF35" s="1111"/>
      <c r="BG35" s="1111"/>
      <c r="BH35" s="23"/>
      <c r="BI35" s="23"/>
      <c r="BJ35" s="23"/>
    </row>
    <row r="36" spans="1:62" ht="18" x14ac:dyDescent="0.35">
      <c r="A36" s="2017"/>
      <c r="B36" s="2029" t="s">
        <v>533</v>
      </c>
      <c r="C36" s="46" t="s">
        <v>532</v>
      </c>
      <c r="D36" s="1392">
        <v>0.18298333333333369</v>
      </c>
      <c r="E36" s="2557">
        <f>0/(24*E$2)</f>
        <v>0</v>
      </c>
      <c r="F36" s="1392">
        <v>0.103064516129033</v>
      </c>
      <c r="G36" s="2557">
        <f>0/(24*G$2)</f>
        <v>0</v>
      </c>
      <c r="H36" s="1867">
        <f t="shared" si="113"/>
        <v>0.14236885245901695</v>
      </c>
      <c r="I36" s="2558">
        <f t="shared" si="113"/>
        <v>0</v>
      </c>
      <c r="J36" s="1392">
        <v>0.238666666666668</v>
      </c>
      <c r="K36" s="2557">
        <f>0/(24*K$2)</f>
        <v>0</v>
      </c>
      <c r="L36" s="2030">
        <f t="shared" si="114"/>
        <v>0.17411538461538545</v>
      </c>
      <c r="M36" s="2030">
        <f t="shared" si="114"/>
        <v>0</v>
      </c>
      <c r="N36" s="1392">
        <f>238.666666666668/1000</f>
        <v>0.238666666666668</v>
      </c>
      <c r="O36" s="2557">
        <f>0/(24*O$2)</f>
        <v>0</v>
      </c>
      <c r="P36" s="318">
        <f t="shared" si="115"/>
        <v>0.1905177595628425</v>
      </c>
      <c r="Q36" s="318">
        <f t="shared" si="115"/>
        <v>0</v>
      </c>
      <c r="R36" s="1392">
        <f>238.666666666668/1000</f>
        <v>0.238666666666668</v>
      </c>
      <c r="S36" s="2557">
        <f>0/(24*S$2)</f>
        <v>0</v>
      </c>
      <c r="T36" s="318">
        <f t="shared" si="116"/>
        <v>0.20027342047930388</v>
      </c>
      <c r="U36" s="318">
        <f t="shared" si="117"/>
        <v>0</v>
      </c>
      <c r="V36" s="1392">
        <v>0.34466666666666701</v>
      </c>
      <c r="W36" s="2557">
        <f>0/(24*W$2)</f>
        <v>0</v>
      </c>
      <c r="X36" s="2030">
        <f t="shared" si="118"/>
        <v>0.27323188405797205</v>
      </c>
      <c r="Y36" s="2030">
        <f t="shared" si="118"/>
        <v>0</v>
      </c>
      <c r="Z36" s="462">
        <f t="shared" si="119"/>
        <v>0.22394444444444539</v>
      </c>
      <c r="AA36" s="462">
        <f t="shared" si="120"/>
        <v>0</v>
      </c>
      <c r="AB36" s="1392">
        <v>0.238666666666668</v>
      </c>
      <c r="AC36" s="2557">
        <f>0/(24*AC$2)</f>
        <v>0</v>
      </c>
      <c r="AD36" s="318">
        <f t="shared" si="121"/>
        <v>0.2260771028037393</v>
      </c>
      <c r="AE36" s="318">
        <f t="shared" si="122"/>
        <v>0</v>
      </c>
      <c r="AF36" s="1392">
        <v>0.238666666666668</v>
      </c>
      <c r="AG36" s="2557">
        <f>0/(24*AG$2)</f>
        <v>0</v>
      </c>
      <c r="AH36" s="318">
        <f t="shared" si="123"/>
        <v>0.22762500000000102</v>
      </c>
      <c r="AI36" s="318">
        <f t="shared" si="124"/>
        <v>0</v>
      </c>
      <c r="AJ36" s="1392">
        <v>0.238666666666668</v>
      </c>
      <c r="AK36" s="2557">
        <f>0/(24*AK$2)</f>
        <v>0</v>
      </c>
      <c r="AL36" s="2030">
        <f t="shared" si="125"/>
        <v>0.23866666666666803</v>
      </c>
      <c r="AM36" s="2030">
        <f t="shared" si="126"/>
        <v>0</v>
      </c>
      <c r="AN36" s="318">
        <f t="shared" si="127"/>
        <v>0.22886969696969803</v>
      </c>
      <c r="AO36" s="318">
        <f t="shared" si="128"/>
        <v>0</v>
      </c>
      <c r="AP36" s="1392">
        <v>0.23866666666666753</v>
      </c>
      <c r="AQ36" s="2557">
        <f>0/(24*AQ$2)</f>
        <v>0</v>
      </c>
      <c r="AR36" s="318">
        <f t="shared" si="129"/>
        <v>0.22986220043573088</v>
      </c>
      <c r="AS36" s="318">
        <f t="shared" si="130"/>
        <v>0</v>
      </c>
      <c r="AT36" s="1392">
        <v>0.23866666666666753</v>
      </c>
      <c r="AU36" s="2557">
        <f>0/(24*AU$2)</f>
        <v>0</v>
      </c>
      <c r="AV36" s="318">
        <f t="shared" si="131"/>
        <v>0.23060029940119861</v>
      </c>
      <c r="AW36" s="318">
        <f t="shared" si="132"/>
        <v>0</v>
      </c>
      <c r="AX36" s="1392">
        <v>0.23866666666666753</v>
      </c>
      <c r="AY36" s="2557">
        <f>0/(24*AY$2)</f>
        <v>0</v>
      </c>
      <c r="AZ36" s="2030">
        <f t="shared" si="133"/>
        <v>0.2386666666666675</v>
      </c>
      <c r="BA36" s="2030">
        <f t="shared" si="134"/>
        <v>0</v>
      </c>
      <c r="BB36" s="462">
        <f t="shared" si="135"/>
        <v>0.23866666666666778</v>
      </c>
      <c r="BC36" s="462">
        <f t="shared" si="135"/>
        <v>0</v>
      </c>
      <c r="BD36" s="318">
        <f t="shared" si="136"/>
        <v>0.2312853881278549</v>
      </c>
      <c r="BE36" s="318">
        <f t="shared" si="137"/>
        <v>0</v>
      </c>
      <c r="BF36" s="1111"/>
      <c r="BG36" s="1111"/>
      <c r="BH36" s="23"/>
      <c r="BI36" s="23"/>
      <c r="BJ36" s="23"/>
    </row>
    <row r="37" spans="1:62" ht="18" x14ac:dyDescent="0.35">
      <c r="A37" s="2017"/>
      <c r="B37" s="6401" t="s">
        <v>101</v>
      </c>
      <c r="C37" s="46" t="s">
        <v>532</v>
      </c>
      <c r="D37" s="1392">
        <v>0.3033333333333329</v>
      </c>
      <c r="E37" s="2557">
        <f>330.876/(24*E$2)</f>
        <v>0.45954999999999996</v>
      </c>
      <c r="F37" s="1392">
        <v>0.28000000000000003</v>
      </c>
      <c r="G37" s="2557">
        <f>269.5504/(24*G$2)</f>
        <v>0.3622989247311828</v>
      </c>
      <c r="H37" s="1867">
        <f t="shared" si="113"/>
        <v>0.29147540983606535</v>
      </c>
      <c r="I37" s="2558">
        <f t="shared" si="113"/>
        <v>0.41012732240437161</v>
      </c>
      <c r="J37" s="1392">
        <v>0.58333333333333204</v>
      </c>
      <c r="K37" s="2557">
        <f>518/(24*K$2)</f>
        <v>0.71944444444444444</v>
      </c>
      <c r="L37" s="2030">
        <f t="shared" si="114"/>
        <v>0.38769230769230706</v>
      </c>
      <c r="M37" s="2030">
        <f t="shared" si="114"/>
        <v>0.5121</v>
      </c>
      <c r="N37" s="1392">
        <v>0.58333333333333204</v>
      </c>
      <c r="O37" s="2557">
        <f>221.7376/(24*O$2)</f>
        <v>0.29803440860215052</v>
      </c>
      <c r="P37" s="318">
        <f t="shared" si="115"/>
        <v>0.43740437158469869</v>
      </c>
      <c r="Q37" s="318">
        <f t="shared" si="115"/>
        <v>0.45770628415300546</v>
      </c>
      <c r="R37" s="1392">
        <v>0.58333333333333204</v>
      </c>
      <c r="S37" s="2557">
        <f>228.0208/(24*S$2)</f>
        <v>0.3064795698924731</v>
      </c>
      <c r="T37" s="318">
        <f t="shared" si="116"/>
        <v>0.46697167755991198</v>
      </c>
      <c r="U37" s="318">
        <f t="shared" si="117"/>
        <v>0.42706557734204798</v>
      </c>
      <c r="V37" s="1392">
        <v>0.30333333333333301</v>
      </c>
      <c r="W37" s="2557">
        <f>228.7488/(24*W$2)</f>
        <v>0.31770666666666664</v>
      </c>
      <c r="X37" s="2030">
        <f t="shared" si="118"/>
        <v>0.49202898550724544</v>
      </c>
      <c r="Y37" s="2030">
        <f t="shared" si="118"/>
        <v>0.30729492753623189</v>
      </c>
      <c r="Z37" s="462">
        <f t="shared" si="119"/>
        <v>0.44014571948998099</v>
      </c>
      <c r="AA37" s="462">
        <f t="shared" si="120"/>
        <v>0.40913788706739529</v>
      </c>
      <c r="AB37" s="1392">
        <f>583.333333333332/1000</f>
        <v>0.58333333333333204</v>
      </c>
      <c r="AC37" s="2557">
        <f>286.6472/(24*AC$2)</f>
        <v>0.38527849462365593</v>
      </c>
      <c r="AD37" s="318">
        <f t="shared" si="121"/>
        <v>0.46088785046728892</v>
      </c>
      <c r="AE37" s="318">
        <f t="shared" si="122"/>
        <v>0.40568161993769475</v>
      </c>
      <c r="AF37" s="1392">
        <v>0.58333333333333204</v>
      </c>
      <c r="AG37" s="2557">
        <f>331.5928/(24*AG$2)</f>
        <v>0.4605455555555556</v>
      </c>
      <c r="AH37" s="318">
        <f t="shared" si="123"/>
        <v>0.47594262295081879</v>
      </c>
      <c r="AI37" s="318">
        <f t="shared" si="124"/>
        <v>0.41242718579234977</v>
      </c>
      <c r="AJ37" s="1392">
        <f>583.333333333332/1000</f>
        <v>0.58333333333333204</v>
      </c>
      <c r="AK37" s="2557">
        <f>411.1016/(24*AK$2)</f>
        <v>0.55255591397849468</v>
      </c>
      <c r="AL37" s="2030">
        <f t="shared" si="125"/>
        <v>0.58333333333333204</v>
      </c>
      <c r="AM37" s="2030">
        <f t="shared" si="126"/>
        <v>0.46618731884057973</v>
      </c>
      <c r="AN37" s="318">
        <f t="shared" si="127"/>
        <v>0.48804848484848395</v>
      </c>
      <c r="AO37" s="318">
        <f t="shared" si="128"/>
        <v>0.42822351515151519</v>
      </c>
      <c r="AP37" s="1392">
        <v>0.58333333333333248</v>
      </c>
      <c r="AQ37" s="2557">
        <f>307.05/(24*AQ$2)</f>
        <v>0.41270161290322582</v>
      </c>
      <c r="AR37" s="318">
        <f t="shared" si="129"/>
        <v>0.49770152505446535</v>
      </c>
      <c r="AS37" s="318">
        <f t="shared" si="130"/>
        <v>0.42665103485838779</v>
      </c>
      <c r="AT37" s="1392">
        <v>0.58333333333333248</v>
      </c>
      <c r="AU37" s="2557">
        <f>379.05/(24*AU$2)</f>
        <v>0.56406250000000002</v>
      </c>
      <c r="AV37" s="318">
        <f t="shared" si="131"/>
        <v>0.50488023952095717</v>
      </c>
      <c r="AW37" s="318">
        <f t="shared" si="132"/>
        <v>0.43817055888223549</v>
      </c>
      <c r="AX37" s="1392">
        <v>0.58333333333333248</v>
      </c>
      <c r="AY37" s="2557">
        <f>287.96/(24*AY$2)</f>
        <v>0.38704301075268815</v>
      </c>
      <c r="AZ37" s="2030">
        <f t="shared" si="133"/>
        <v>0.58333333333333248</v>
      </c>
      <c r="BA37" s="2030">
        <f t="shared" si="134"/>
        <v>0.45095370370370369</v>
      </c>
      <c r="BB37" s="462">
        <f t="shared" si="135"/>
        <v>0.58333333333333226</v>
      </c>
      <c r="BC37" s="462">
        <f t="shared" si="135"/>
        <v>0.45865421245421245</v>
      </c>
      <c r="BD37" s="318">
        <f t="shared" si="136"/>
        <v>0.5115433789954329</v>
      </c>
      <c r="BE37" s="318">
        <f t="shared" si="137"/>
        <v>0.43382821917808218</v>
      </c>
      <c r="BF37" s="1111"/>
      <c r="BG37" s="1111"/>
      <c r="BH37" s="23"/>
      <c r="BI37" s="23"/>
      <c r="BJ37" s="23"/>
    </row>
    <row r="38" spans="1:62" ht="18" x14ac:dyDescent="0.35">
      <c r="A38" s="2017"/>
      <c r="B38" s="6401"/>
      <c r="C38" s="46" t="s">
        <v>50</v>
      </c>
      <c r="D38" s="680">
        <v>390</v>
      </c>
      <c r="E38" s="1864">
        <v>590.85</v>
      </c>
      <c r="F38" s="680">
        <v>372</v>
      </c>
      <c r="G38" s="1864">
        <v>481.34</v>
      </c>
      <c r="H38" s="319">
        <f>+D38+F38</f>
        <v>762</v>
      </c>
      <c r="I38" s="196">
        <f>+E38+G38</f>
        <v>1072.19</v>
      </c>
      <c r="J38" s="680">
        <v>750</v>
      </c>
      <c r="K38" s="1864">
        <v>925</v>
      </c>
      <c r="L38" s="373">
        <f>+D38+F38+J38</f>
        <v>1512</v>
      </c>
      <c r="M38" s="373">
        <f>+E38+G38+K38</f>
        <v>1997.19</v>
      </c>
      <c r="N38" s="680">
        <v>775</v>
      </c>
      <c r="O38" s="1864">
        <v>395.96</v>
      </c>
      <c r="P38" s="1959">
        <f>+L38+N38</f>
        <v>2287</v>
      </c>
      <c r="Q38" s="1959">
        <f>+M38+O38</f>
        <v>2393.15</v>
      </c>
      <c r="R38" s="680">
        <v>775</v>
      </c>
      <c r="S38" s="1864">
        <v>407.18</v>
      </c>
      <c r="T38" s="1959">
        <f>+P38+R38</f>
        <v>3062</v>
      </c>
      <c r="U38" s="1959">
        <f>+Q38+S38</f>
        <v>2800.33</v>
      </c>
      <c r="V38" s="680">
        <v>390</v>
      </c>
      <c r="W38" s="1864">
        <v>408.48000000000008</v>
      </c>
      <c r="X38" s="373">
        <f>N38+R38+V38</f>
        <v>1940</v>
      </c>
      <c r="Y38" s="373">
        <f>O38+S38+W38</f>
        <v>1211.6200000000001</v>
      </c>
      <c r="Z38" s="461">
        <f>L38+X38</f>
        <v>3452</v>
      </c>
      <c r="AA38" s="461">
        <f>M38+Y38</f>
        <v>3208.8100000000004</v>
      </c>
      <c r="AB38" s="680">
        <v>775</v>
      </c>
      <c r="AC38" s="1864">
        <v>511.87</v>
      </c>
      <c r="AD38" s="1959">
        <f>+Z38+AB38</f>
        <v>4227</v>
      </c>
      <c r="AE38" s="1959">
        <f>+AA38+AC38</f>
        <v>3720.6800000000003</v>
      </c>
      <c r="AF38" s="680">
        <v>750</v>
      </c>
      <c r="AG38" s="1864">
        <v>592.13</v>
      </c>
      <c r="AH38" s="1959">
        <f>+AD38+AF38</f>
        <v>4977</v>
      </c>
      <c r="AI38" s="1959">
        <f>+AE38+AG38</f>
        <v>4312.8100000000004</v>
      </c>
      <c r="AJ38" s="680">
        <v>775</v>
      </c>
      <c r="AK38" s="1864">
        <v>734.11</v>
      </c>
      <c r="AL38" s="373">
        <f>AB38+AF38+AJ38</f>
        <v>2300</v>
      </c>
      <c r="AM38" s="373">
        <f>AC38+AG38+AK38</f>
        <v>1838.1100000000001</v>
      </c>
      <c r="AN38" s="1959">
        <f>+AH38+AJ38</f>
        <v>5752</v>
      </c>
      <c r="AO38" s="1959">
        <f>+AI38+AK38</f>
        <v>5046.92</v>
      </c>
      <c r="AP38" s="680">
        <v>775</v>
      </c>
      <c r="AQ38" s="1864">
        <v>548.29999999999995</v>
      </c>
      <c r="AR38" s="1959">
        <f>+AN38+AP38</f>
        <v>6527</v>
      </c>
      <c r="AS38" s="1959">
        <f>+AO38+AQ38</f>
        <v>5595.22</v>
      </c>
      <c r="AT38" s="680">
        <v>775</v>
      </c>
      <c r="AU38" s="1864">
        <v>676.88</v>
      </c>
      <c r="AV38" s="1959">
        <f>+AR38+AT38</f>
        <v>7302</v>
      </c>
      <c r="AW38" s="1959">
        <f>+AS38+AU38</f>
        <v>6272.1</v>
      </c>
      <c r="AX38" s="680">
        <v>775</v>
      </c>
      <c r="AY38" s="1864"/>
      <c r="AZ38" s="373">
        <f>AP38+AT38+AX38</f>
        <v>2325</v>
      </c>
      <c r="BA38" s="373">
        <f>AQ38+AU38+AY38</f>
        <v>1225.1799999999998</v>
      </c>
      <c r="BB38" s="461">
        <f>AL38+AZ38</f>
        <v>4625</v>
      </c>
      <c r="BC38" s="461">
        <f>AM38+BA38</f>
        <v>3063.29</v>
      </c>
      <c r="BD38" s="1959">
        <f>+AV38+AX38</f>
        <v>8077</v>
      </c>
      <c r="BE38" s="1959">
        <f>+AW38+AY38</f>
        <v>6272.1</v>
      </c>
      <c r="BF38" s="1111"/>
      <c r="BG38" s="1111"/>
      <c r="BH38" s="23"/>
      <c r="BI38" s="23"/>
      <c r="BJ38" s="23"/>
    </row>
    <row r="39" spans="1:62" ht="18.600000000000001" thickBot="1" x14ac:dyDescent="0.4">
      <c r="A39" s="2028"/>
      <c r="B39" s="2037" t="s">
        <v>21</v>
      </c>
      <c r="C39" s="2038" t="s">
        <v>532</v>
      </c>
      <c r="D39" s="2839">
        <f>SUM(D35:D37)</f>
        <v>1.1863166666666665</v>
      </c>
      <c r="E39" s="2838">
        <f t="shared" ref="E39:G39" si="138">SUM(E35:E37)</f>
        <v>1.1499833333333334</v>
      </c>
      <c r="F39" s="2839">
        <f>SUM(F35:F37)</f>
        <v>1.0830645161290331</v>
      </c>
      <c r="G39" s="2838">
        <f t="shared" si="138"/>
        <v>0.6966430107526882</v>
      </c>
      <c r="H39" s="2842">
        <f t="shared" ref="H39:AE39" si="139">SUM(H35:H37)</f>
        <v>1.1338442622950824</v>
      </c>
      <c r="I39" s="2843">
        <f t="shared" si="139"/>
        <v>0.91959726775956274</v>
      </c>
      <c r="J39" s="2839">
        <f>SUM(J35:J37)</f>
        <v>1.4220000000000002</v>
      </c>
      <c r="K39" s="2838">
        <f t="shared" ref="K39" si="140">SUM(K35:K37)</f>
        <v>1.1065055555555556</v>
      </c>
      <c r="L39" s="2040">
        <f>SUM(L35:L37)</f>
        <v>1.2288406593406596</v>
      </c>
      <c r="M39" s="2041">
        <f>SUM(M35:M37)</f>
        <v>0.9812153846153846</v>
      </c>
      <c r="N39" s="2839">
        <f>SUM(N35:N37)</f>
        <v>1.4220000000000002</v>
      </c>
      <c r="O39" s="2838">
        <f t="shared" ref="O39" si="141">SUM(O35:O37)</f>
        <v>1.0322064516129033</v>
      </c>
      <c r="P39" s="318">
        <f t="shared" si="139"/>
        <v>1.2779221311475413</v>
      </c>
      <c r="Q39" s="318">
        <f t="shared" si="139"/>
        <v>0.9941721311475411</v>
      </c>
      <c r="R39" s="2839">
        <f>SUM(R35:R37)</f>
        <v>1.4220000000000002</v>
      </c>
      <c r="S39" s="2838">
        <f t="shared" ref="S39" si="142">SUM(S35:S37)</f>
        <v>1.0194258064516128</v>
      </c>
      <c r="T39" s="318">
        <f t="shared" ref="T39:U39" si="143">SUM(T35:T37)</f>
        <v>1.3071143790849675</v>
      </c>
      <c r="U39" s="318">
        <f t="shared" si="143"/>
        <v>0.999288888888889</v>
      </c>
      <c r="V39" s="2839">
        <f>SUM(V35:V37)</f>
        <v>0.94799999999999995</v>
      </c>
      <c r="W39" s="2838">
        <f t="shared" ref="W39" si="144">SUM(W35:W37)</f>
        <v>1.0022055555555556</v>
      </c>
      <c r="X39" s="2040">
        <f>SUM(X35:X37)</f>
        <v>1.2674347826086958</v>
      </c>
      <c r="Y39" s="2041">
        <f>SUM(Y35:Y37)</f>
        <v>1.0181170289855073</v>
      </c>
      <c r="Z39" s="2044">
        <f t="shared" si="139"/>
        <v>1.2482431693989073</v>
      </c>
      <c r="AA39" s="4591">
        <f t="shared" si="139"/>
        <v>0.99976703096539166</v>
      </c>
      <c r="AB39" s="2839">
        <f>SUM(AB35:AB37)</f>
        <v>1.4220000000000002</v>
      </c>
      <c r="AC39" s="2838">
        <f t="shared" ref="AC39" si="145">SUM(AC35:AC37)</f>
        <v>0.97884838709677424</v>
      </c>
      <c r="AD39" s="318">
        <f t="shared" si="139"/>
        <v>1.2734135514018694</v>
      </c>
      <c r="AE39" s="318">
        <f t="shared" si="139"/>
        <v>0.99673676012461065</v>
      </c>
      <c r="AF39" s="2839">
        <f>SUM(AF35:AF37)</f>
        <v>1.4220000000000002</v>
      </c>
      <c r="AG39" s="2838">
        <f t="shared" ref="AG39" si="146">SUM(AG35:AG37)</f>
        <v>1.1059455555555555</v>
      </c>
      <c r="AH39" s="318">
        <f t="shared" ref="AH39:AI39" si="147">SUM(AH35:AH37)</f>
        <v>1.2916823770491805</v>
      </c>
      <c r="AI39" s="318">
        <f t="shared" si="147"/>
        <v>1.0101640710382513</v>
      </c>
      <c r="AJ39" s="2839">
        <f>SUM(AJ35:AJ37)</f>
        <v>1.4220000000000002</v>
      </c>
      <c r="AK39" s="2838">
        <f t="shared" ref="AK39" si="148">SUM(AK35:AK37)</f>
        <v>1.1954268817204303</v>
      </c>
      <c r="AL39" s="2040">
        <f>SUM(AL35:AL37)</f>
        <v>1.4219999999999999</v>
      </c>
      <c r="AM39" s="2041">
        <f>SUM(AM35:AM37)</f>
        <v>1.0932706521739131</v>
      </c>
      <c r="AN39" s="318">
        <f t="shared" ref="AN39:AS39" si="149">SUM(AN35:AN37)</f>
        <v>1.3063727272727275</v>
      </c>
      <c r="AO39" s="318">
        <f t="shared" si="149"/>
        <v>1.0310482424242424</v>
      </c>
      <c r="AP39" s="2839">
        <f>SUM(AP35:AP37)</f>
        <v>1.4220000000000002</v>
      </c>
      <c r="AQ39" s="2838">
        <f t="shared" ref="AQ39" si="150">SUM(AQ35:AQ37)</f>
        <v>1.0453360215053764</v>
      </c>
      <c r="AR39" s="318">
        <f t="shared" si="149"/>
        <v>1.3180866013071897</v>
      </c>
      <c r="AS39" s="318">
        <f t="shared" si="149"/>
        <v>1.0324956971677561</v>
      </c>
      <c r="AT39" s="2839">
        <f>SUM(AT35:AT37)</f>
        <v>1.4220000000000002</v>
      </c>
      <c r="AU39" s="2838">
        <f t="shared" ref="AU39" si="151">SUM(AU35:AU37)</f>
        <v>1.1838988095238094</v>
      </c>
      <c r="AV39" s="318">
        <f t="shared" ref="AV39:AW39" si="152">SUM(AV35:AV37)</f>
        <v>1.3267979041916171</v>
      </c>
      <c r="AW39" s="318">
        <f t="shared" si="152"/>
        <v>1.0451881736526947</v>
      </c>
      <c r="AX39" s="2039">
        <f t="shared" ref="AX39:AY39" si="153">SUM(AX35:AX37)</f>
        <v>1.4220000000000002</v>
      </c>
      <c r="AY39" s="2838">
        <f t="shared" si="153"/>
        <v>1.0698118279569893</v>
      </c>
      <c r="AZ39" s="2040">
        <f>SUM(AZ35:AZ37)</f>
        <v>1.4219999999999999</v>
      </c>
      <c r="BA39" s="2041">
        <f>SUM(BA35:BA37)</f>
        <v>1.0968749999999998</v>
      </c>
      <c r="BB39" s="2044">
        <f t="shared" ref="BB39:BC39" si="154">SUM(BB35:BB37)</f>
        <v>1.4220000000000002</v>
      </c>
      <c r="BC39" s="2044">
        <f t="shared" si="154"/>
        <v>1.0950530219780219</v>
      </c>
      <c r="BD39" s="318">
        <f t="shared" ref="BD39:BE39" si="155">SUM(BD35:BD37)</f>
        <v>1.3348835616438359</v>
      </c>
      <c r="BE39" s="318">
        <f t="shared" si="155"/>
        <v>1.0472794977168949</v>
      </c>
      <c r="BF39" s="1111"/>
      <c r="BG39" s="1111"/>
      <c r="BH39" s="23"/>
      <c r="BI39" s="23"/>
      <c r="BJ39" s="23"/>
    </row>
    <row r="40" spans="1:62" x14ac:dyDescent="0.3">
      <c r="AF40" s="23"/>
      <c r="AG40" s="23"/>
      <c r="AH40" s="23"/>
      <c r="AI40" s="23"/>
      <c r="AJ40" s="23"/>
      <c r="AK40" s="23"/>
      <c r="AL40" s="23"/>
      <c r="AM40" s="23"/>
      <c r="AN40" s="23"/>
      <c r="AO40" s="23"/>
      <c r="AV40" s="23"/>
      <c r="AW40" s="23"/>
    </row>
    <row r="42" spans="1:62" x14ac:dyDescent="0.3">
      <c r="S42" s="491"/>
    </row>
  </sheetData>
  <mergeCells count="63">
    <mergeCell ref="AX3:AY3"/>
    <mergeCell ref="BD3:BE3"/>
    <mergeCell ref="AY29:AY30"/>
    <mergeCell ref="BE29:BE30"/>
    <mergeCell ref="AZ3:BA3"/>
    <mergeCell ref="BA29:BA30"/>
    <mergeCell ref="BB3:BC3"/>
    <mergeCell ref="BC29:BC30"/>
    <mergeCell ref="AJ3:AK3"/>
    <mergeCell ref="AN3:AO3"/>
    <mergeCell ref="AK29:AK30"/>
    <mergeCell ref="AO29:AO30"/>
    <mergeCell ref="AL3:AM3"/>
    <mergeCell ref="AM29:AM30"/>
    <mergeCell ref="B37:B38"/>
    <mergeCell ref="F3:G3"/>
    <mergeCell ref="H3:I3"/>
    <mergeCell ref="J3:K3"/>
    <mergeCell ref="B8:B9"/>
    <mergeCell ref="B10:B11"/>
    <mergeCell ref="D3:E3"/>
    <mergeCell ref="B6:B7"/>
    <mergeCell ref="B3:B4"/>
    <mergeCell ref="B12:B13"/>
    <mergeCell ref="B14:B15"/>
    <mergeCell ref="C3:C4"/>
    <mergeCell ref="B31:B32"/>
    <mergeCell ref="E29:E30"/>
    <mergeCell ref="G29:G30"/>
    <mergeCell ref="I29:I30"/>
    <mergeCell ref="K29:K30"/>
    <mergeCell ref="AA29:AA30"/>
    <mergeCell ref="Y29:Y30"/>
    <mergeCell ref="M29:M30"/>
    <mergeCell ref="O29:O30"/>
    <mergeCell ref="Q29:Q30"/>
    <mergeCell ref="W29:W30"/>
    <mergeCell ref="S29:S30"/>
    <mergeCell ref="U29:U30"/>
    <mergeCell ref="L3:M3"/>
    <mergeCell ref="P3:Q3"/>
    <mergeCell ref="N3:O3"/>
    <mergeCell ref="V3:W3"/>
    <mergeCell ref="Z3:AA3"/>
    <mergeCell ref="X3:Y3"/>
    <mergeCell ref="R3:S3"/>
    <mergeCell ref="T3:U3"/>
    <mergeCell ref="AT3:AU3"/>
    <mergeCell ref="AV3:AW3"/>
    <mergeCell ref="AU29:AU30"/>
    <mergeCell ref="AW29:AW30"/>
    <mergeCell ref="AB3:AC3"/>
    <mergeCell ref="AD3:AE3"/>
    <mergeCell ref="AC29:AC30"/>
    <mergeCell ref="AE29:AE30"/>
    <mergeCell ref="AP3:AQ3"/>
    <mergeCell ref="AR3:AS3"/>
    <mergeCell ref="AQ29:AQ30"/>
    <mergeCell ref="AS29:AS30"/>
    <mergeCell ref="AF3:AG3"/>
    <mergeCell ref="AH3:AI3"/>
    <mergeCell ref="AG29:AG30"/>
    <mergeCell ref="AI29:AI30"/>
  </mergeCells>
  <pageMargins left="0.7" right="0.7" top="0.75" bottom="0.75" header="0.3" footer="0.3"/>
  <pageSetup scale="69"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theme="9" tint="-0.249977111117893"/>
    <pageSetUpPr fitToPage="1"/>
  </sheetPr>
  <dimension ref="C1:BF31"/>
  <sheetViews>
    <sheetView zoomScaleNormal="100" zoomScaleSheetLayoutView="130" workbookViewId="0">
      <pane xSplit="4" ySplit="1" topLeftCell="E2" activePane="bottomRight" state="frozen"/>
      <selection pane="topRight" activeCell="E1" sqref="E1"/>
      <selection pane="bottomLeft" activeCell="A2" sqref="A2"/>
      <selection pane="bottomRight" activeCell="BK33" sqref="BK33"/>
    </sheetView>
  </sheetViews>
  <sheetFormatPr defaultRowHeight="14.4" x14ac:dyDescent="0.3"/>
  <cols>
    <col min="3" max="3" width="19" customWidth="1"/>
    <col min="4" max="4" width="23.33203125" bestFit="1" customWidth="1"/>
    <col min="5" max="5" width="13.6640625" customWidth="1"/>
    <col min="6" max="6" width="12.6640625" customWidth="1"/>
    <col min="7" max="7" width="12.5546875" customWidth="1"/>
    <col min="8" max="10" width="11.88671875" customWidth="1"/>
    <col min="11" max="11" width="11.109375" hidden="1" customWidth="1"/>
    <col min="12" max="12" width="9.6640625" hidden="1" customWidth="1"/>
    <col min="13" max="13" width="11.109375" hidden="1" customWidth="1"/>
    <col min="14" max="14" width="9.6640625" hidden="1" customWidth="1"/>
    <col min="15" max="15" width="11.109375" hidden="1" customWidth="1"/>
    <col min="16" max="16" width="9.6640625" hidden="1" customWidth="1"/>
    <col min="17" max="17" width="11.109375" hidden="1" customWidth="1"/>
    <col min="18" max="18" width="9.6640625" hidden="1" customWidth="1"/>
    <col min="19" max="19" width="11.109375" hidden="1" customWidth="1"/>
    <col min="20" max="20" width="9.6640625" hidden="1" customWidth="1"/>
    <col min="21" max="21" width="13" hidden="1" customWidth="1"/>
    <col min="22" max="22" width="11.6640625" hidden="1" customWidth="1"/>
    <col min="23" max="23" width="11.109375" hidden="1" customWidth="1"/>
    <col min="24" max="24" width="9.6640625" hidden="1" customWidth="1"/>
    <col min="25" max="25" width="11.109375" hidden="1" customWidth="1"/>
    <col min="26" max="26" width="9.6640625" hidden="1" customWidth="1"/>
    <col min="27" max="27" width="11.109375" hidden="1" customWidth="1"/>
    <col min="28" max="28" width="9.6640625" hidden="1" customWidth="1"/>
    <col min="29" max="29" width="11.109375" hidden="1" customWidth="1"/>
    <col min="30" max="30" width="9.109375" hidden="1" customWidth="1"/>
    <col min="31" max="31" width="11.109375" hidden="1" customWidth="1"/>
    <col min="32" max="32" width="9.6640625" hidden="1" customWidth="1"/>
    <col min="33" max="33" width="11.109375" hidden="1" customWidth="1"/>
    <col min="34" max="34" width="9.6640625" hidden="1" customWidth="1"/>
    <col min="35" max="35" width="11.109375" hidden="1" customWidth="1"/>
    <col min="36" max="36" width="9.6640625" hidden="1" customWidth="1"/>
    <col min="37" max="37" width="11.109375" hidden="1" customWidth="1"/>
    <col min="38" max="38" width="9.6640625" hidden="1" customWidth="1"/>
    <col min="39" max="39" width="11.109375" hidden="1" customWidth="1"/>
    <col min="40" max="40" width="9.6640625" hidden="1" customWidth="1"/>
    <col min="41" max="41" width="11.109375" hidden="1" customWidth="1"/>
    <col min="42" max="42" width="9.6640625" hidden="1" customWidth="1"/>
    <col min="43" max="43" width="11.109375" hidden="1" customWidth="1"/>
    <col min="44" max="44" width="9.109375" hidden="1" customWidth="1"/>
    <col min="45" max="45" width="11.109375" hidden="1" customWidth="1"/>
    <col min="46" max="46" width="9.6640625" hidden="1" customWidth="1"/>
    <col min="47" max="47" width="11.109375" hidden="1" customWidth="1"/>
    <col min="48" max="48" width="9.6640625" hidden="1" customWidth="1"/>
    <col min="49" max="49" width="11.109375" hidden="1" customWidth="1"/>
    <col min="50" max="50" width="9.6640625" hidden="1" customWidth="1"/>
    <col min="51" max="51" width="11.109375" hidden="1" customWidth="1"/>
    <col min="52" max="52" width="9.6640625" hidden="1" customWidth="1"/>
    <col min="53" max="53" width="11.109375" hidden="1" customWidth="1"/>
    <col min="54" max="54" width="9.6640625" hidden="1" customWidth="1"/>
    <col min="55" max="55" width="11.109375" hidden="1" customWidth="1"/>
    <col min="56" max="56" width="9.6640625" hidden="1" customWidth="1"/>
    <col min="57" max="57" width="11.109375" hidden="1" customWidth="1"/>
    <col min="58" max="58" width="9.6640625" hidden="1" customWidth="1"/>
  </cols>
  <sheetData>
    <row r="1" spans="3:58" ht="23.4" x14ac:dyDescent="0.45">
      <c r="C1" s="6416" t="s">
        <v>954</v>
      </c>
      <c r="D1" s="6416"/>
      <c r="E1" s="6416"/>
      <c r="F1" s="6416"/>
      <c r="G1" s="6416"/>
      <c r="H1" s="6416"/>
      <c r="I1" s="6416"/>
      <c r="J1" s="6416"/>
      <c r="K1" s="6416"/>
      <c r="L1" s="6416"/>
      <c r="M1" s="6416"/>
      <c r="N1" s="6416"/>
      <c r="O1" s="6416"/>
      <c r="P1" s="6416"/>
      <c r="Q1" s="6416"/>
      <c r="R1" s="6416"/>
      <c r="S1" s="6416"/>
      <c r="T1" s="6416"/>
    </row>
    <row r="2" spans="3:58" ht="24" thickBot="1" x14ac:dyDescent="0.5">
      <c r="C2" s="991"/>
      <c r="D2" s="991"/>
      <c r="E2" s="991"/>
      <c r="F2" s="991"/>
      <c r="G2" s="991"/>
      <c r="H2" s="991"/>
      <c r="I2" s="991"/>
      <c r="J2" s="991"/>
      <c r="K2" s="991"/>
      <c r="L2" s="991"/>
      <c r="M2" s="991"/>
      <c r="N2" s="991"/>
      <c r="O2" s="991"/>
      <c r="P2" s="991"/>
      <c r="Q2" s="991"/>
      <c r="R2" s="991"/>
      <c r="S2" s="991"/>
      <c r="T2" s="991"/>
    </row>
    <row r="3" spans="3:58" ht="15" thickBot="1" x14ac:dyDescent="0.35">
      <c r="C3" s="1014"/>
      <c r="D3" s="1015"/>
      <c r="E3" s="6410" t="s">
        <v>2239</v>
      </c>
      <c r="F3" s="6411"/>
      <c r="G3" s="6410" t="s">
        <v>2260</v>
      </c>
      <c r="H3" s="6411"/>
      <c r="I3" s="6412" t="s">
        <v>624</v>
      </c>
      <c r="J3" s="6413"/>
      <c r="K3" s="6417" t="s">
        <v>1963</v>
      </c>
      <c r="L3" s="6417"/>
      <c r="M3" s="6418" t="s">
        <v>604</v>
      </c>
      <c r="N3" s="6419"/>
      <c r="O3" s="6410" t="s">
        <v>1985</v>
      </c>
      <c r="P3" s="6411"/>
      <c r="Q3" s="6412" t="s">
        <v>617</v>
      </c>
      <c r="R3" s="6413"/>
      <c r="S3" s="6410" t="s">
        <v>1988</v>
      </c>
      <c r="T3" s="6411"/>
      <c r="U3" s="6412" t="s">
        <v>794</v>
      </c>
      <c r="V3" s="6413"/>
      <c r="W3" s="6417" t="s">
        <v>2019</v>
      </c>
      <c r="X3" s="6417"/>
      <c r="Y3" s="6418" t="s">
        <v>625</v>
      </c>
      <c r="Z3" s="6419"/>
      <c r="AA3" s="6427" t="s">
        <v>623</v>
      </c>
      <c r="AB3" s="6428"/>
      <c r="AC3" s="6410" t="s">
        <v>2043</v>
      </c>
      <c r="AD3" s="6411"/>
      <c r="AE3" s="6412" t="s">
        <v>1051</v>
      </c>
      <c r="AF3" s="6413"/>
      <c r="AG3" s="6410" t="s">
        <v>2064</v>
      </c>
      <c r="AH3" s="6411"/>
      <c r="AI3" s="6412" t="s">
        <v>1552</v>
      </c>
      <c r="AJ3" s="6413"/>
      <c r="AK3" s="6410" t="s">
        <v>2088</v>
      </c>
      <c r="AL3" s="6411"/>
      <c r="AM3" s="6414" t="s">
        <v>627</v>
      </c>
      <c r="AN3" s="6415"/>
      <c r="AO3" s="6412" t="s">
        <v>872</v>
      </c>
      <c r="AP3" s="6413"/>
      <c r="AQ3" s="6410" t="s">
        <v>2099</v>
      </c>
      <c r="AR3" s="6411"/>
      <c r="AS3" s="6412" t="s">
        <v>1583</v>
      </c>
      <c r="AT3" s="6413"/>
      <c r="AU3" s="6410" t="s">
        <v>2136</v>
      </c>
      <c r="AV3" s="6411"/>
      <c r="AW3" s="6412" t="s">
        <v>1589</v>
      </c>
      <c r="AX3" s="6413"/>
      <c r="AY3" s="6410" t="s">
        <v>2154</v>
      </c>
      <c r="AZ3" s="6411"/>
      <c r="BA3" s="6414" t="s">
        <v>628</v>
      </c>
      <c r="BB3" s="6415"/>
      <c r="BC3" s="6420" t="s">
        <v>634</v>
      </c>
      <c r="BD3" s="6421"/>
      <c r="BE3" s="6412" t="s">
        <v>1961</v>
      </c>
      <c r="BF3" s="6413"/>
    </row>
    <row r="4" spans="3:58" ht="15" thickBot="1" x14ac:dyDescent="0.35">
      <c r="C4" s="526" t="s">
        <v>937</v>
      </c>
      <c r="D4" s="522"/>
      <c r="E4" s="1379" t="s">
        <v>940</v>
      </c>
      <c r="F4" s="526" t="s">
        <v>941</v>
      </c>
      <c r="G4" s="1379" t="s">
        <v>940</v>
      </c>
      <c r="H4" s="526" t="s">
        <v>941</v>
      </c>
      <c r="I4" s="1380" t="s">
        <v>940</v>
      </c>
      <c r="J4" s="1336" t="s">
        <v>941</v>
      </c>
      <c r="K4" s="1378" t="s">
        <v>940</v>
      </c>
      <c r="L4" s="1379" t="s">
        <v>941</v>
      </c>
      <c r="M4" s="3658" t="s">
        <v>940</v>
      </c>
      <c r="N4" s="3659" t="s">
        <v>941</v>
      </c>
      <c r="O4" s="1379" t="s">
        <v>940</v>
      </c>
      <c r="P4" s="526" t="s">
        <v>941</v>
      </c>
      <c r="Q4" s="1380" t="s">
        <v>940</v>
      </c>
      <c r="R4" s="1336" t="s">
        <v>941</v>
      </c>
      <c r="S4" s="1379" t="s">
        <v>940</v>
      </c>
      <c r="T4" s="526" t="s">
        <v>941</v>
      </c>
      <c r="U4" s="1380" t="s">
        <v>940</v>
      </c>
      <c r="V4" s="1336" t="s">
        <v>941</v>
      </c>
      <c r="W4" s="1379" t="s">
        <v>940</v>
      </c>
      <c r="X4" s="526" t="s">
        <v>941</v>
      </c>
      <c r="Y4" s="3658" t="s">
        <v>940</v>
      </c>
      <c r="Z4" s="3659" t="s">
        <v>941</v>
      </c>
      <c r="AA4" s="3648" t="s">
        <v>940</v>
      </c>
      <c r="AB4" s="3649" t="s">
        <v>941</v>
      </c>
      <c r="AC4" s="1379" t="s">
        <v>940</v>
      </c>
      <c r="AD4" s="526" t="s">
        <v>941</v>
      </c>
      <c r="AE4" s="1380" t="s">
        <v>940</v>
      </c>
      <c r="AF4" s="1336" t="s">
        <v>941</v>
      </c>
      <c r="AG4" s="1379" t="s">
        <v>940</v>
      </c>
      <c r="AH4" s="526" t="s">
        <v>941</v>
      </c>
      <c r="AI4" s="1380" t="s">
        <v>940</v>
      </c>
      <c r="AJ4" s="1336" t="s">
        <v>941</v>
      </c>
      <c r="AK4" s="1379" t="s">
        <v>940</v>
      </c>
      <c r="AL4" s="526" t="s">
        <v>941</v>
      </c>
      <c r="AM4" s="1001" t="s">
        <v>940</v>
      </c>
      <c r="AN4" s="1002" t="s">
        <v>941</v>
      </c>
      <c r="AO4" s="1380" t="s">
        <v>940</v>
      </c>
      <c r="AP4" s="1336" t="s">
        <v>941</v>
      </c>
      <c r="AQ4" s="1379" t="s">
        <v>940</v>
      </c>
      <c r="AR4" s="526" t="s">
        <v>941</v>
      </c>
      <c r="AS4" s="1380" t="s">
        <v>940</v>
      </c>
      <c r="AT4" s="1336" t="s">
        <v>941</v>
      </c>
      <c r="AU4" s="1379" t="s">
        <v>940</v>
      </c>
      <c r="AV4" s="526" t="s">
        <v>941</v>
      </c>
      <c r="AW4" s="1380" t="s">
        <v>940</v>
      </c>
      <c r="AX4" s="1336" t="s">
        <v>941</v>
      </c>
      <c r="AY4" s="1379" t="s">
        <v>940</v>
      </c>
      <c r="AZ4" s="526" t="s">
        <v>941</v>
      </c>
      <c r="BA4" s="1001" t="s">
        <v>940</v>
      </c>
      <c r="BB4" s="1002" t="s">
        <v>941</v>
      </c>
      <c r="BC4" s="1485" t="s">
        <v>940</v>
      </c>
      <c r="BD4" s="1486" t="s">
        <v>941</v>
      </c>
      <c r="BE4" s="1380" t="s">
        <v>940</v>
      </c>
      <c r="BF4" s="1336" t="s">
        <v>941</v>
      </c>
    </row>
    <row r="5" spans="3:58" ht="15" hidden="1" thickBot="1" x14ac:dyDescent="0.35">
      <c r="C5" s="6424" t="s">
        <v>16</v>
      </c>
      <c r="D5" s="1870" t="s">
        <v>1237</v>
      </c>
      <c r="E5" s="517"/>
      <c r="F5" s="521"/>
      <c r="G5" s="517"/>
      <c r="H5" s="521"/>
      <c r="I5" s="1337">
        <f>+E5+G5</f>
        <v>0</v>
      </c>
      <c r="J5" s="1338">
        <f>+H5+F5</f>
        <v>0</v>
      </c>
      <c r="K5" s="1217"/>
      <c r="L5" s="517"/>
      <c r="M5" s="3660">
        <f t="shared" ref="M5:N8" si="0">+E5+G5+K5</f>
        <v>0</v>
      </c>
      <c r="N5" s="3667">
        <f t="shared" si="0"/>
        <v>0</v>
      </c>
      <c r="O5" s="1217"/>
      <c r="P5" s="517"/>
      <c r="Q5" s="1337">
        <f>+M5+O5</f>
        <v>0</v>
      </c>
      <c r="R5" s="1338">
        <f>+P5+N5</f>
        <v>0</v>
      </c>
      <c r="S5" s="517">
        <v>0</v>
      </c>
      <c r="T5" s="521">
        <v>0</v>
      </c>
      <c r="U5" s="1337">
        <f>+Q5+S5</f>
        <v>0</v>
      </c>
      <c r="V5" s="1338">
        <f>+T5+R5</f>
        <v>0</v>
      </c>
      <c r="W5" s="517"/>
      <c r="X5" s="521"/>
      <c r="Y5" s="3660">
        <f t="shared" ref="Y5:Z8" si="1">+O5+S5+W5</f>
        <v>0</v>
      </c>
      <c r="Z5" s="3660">
        <f t="shared" si="1"/>
        <v>0</v>
      </c>
      <c r="AA5" s="3650">
        <f t="shared" ref="AA5:AB8" si="2">+M5+Y5</f>
        <v>0</v>
      </c>
      <c r="AB5" s="3651">
        <f t="shared" si="2"/>
        <v>0</v>
      </c>
      <c r="AC5" s="517"/>
      <c r="AD5" s="521"/>
      <c r="AE5" s="1337">
        <f>+AA5+AC5</f>
        <v>0</v>
      </c>
      <c r="AF5" s="1338">
        <f>+AD5+AB5</f>
        <v>0</v>
      </c>
      <c r="AG5" s="517">
        <v>0</v>
      </c>
      <c r="AH5" s="521">
        <v>0</v>
      </c>
      <c r="AI5" s="1337">
        <f>+AE5+AG5</f>
        <v>0</v>
      </c>
      <c r="AJ5" s="1338">
        <f>+AH5+AF5</f>
        <v>0</v>
      </c>
      <c r="AK5" s="517">
        <v>0</v>
      </c>
      <c r="AL5" s="521">
        <v>0</v>
      </c>
      <c r="AM5" s="1003">
        <f t="shared" ref="AM5:AM8" si="3">+AC5+AG5+AK5</f>
        <v>0</v>
      </c>
      <c r="AN5" s="1003">
        <f t="shared" ref="AN5:AN8" si="4">+AD5+AH5+AL5</f>
        <v>0</v>
      </c>
      <c r="AO5" s="1337">
        <f>+AI5+AK5</f>
        <v>0</v>
      </c>
      <c r="AP5" s="1338">
        <f>+AL5+AJ5</f>
        <v>0</v>
      </c>
      <c r="AQ5" s="517">
        <v>0</v>
      </c>
      <c r="AR5" s="521">
        <v>0</v>
      </c>
      <c r="AS5" s="1337">
        <f>+AO5+AQ5</f>
        <v>0</v>
      </c>
      <c r="AT5" s="1338">
        <f>+AR5+AP5</f>
        <v>0</v>
      </c>
      <c r="AU5" s="517">
        <v>0</v>
      </c>
      <c r="AV5" s="521">
        <v>0</v>
      </c>
      <c r="AW5" s="1337">
        <f>+AS5+AU5</f>
        <v>0</v>
      </c>
      <c r="AX5" s="1338">
        <f>+AV5+AT5</f>
        <v>0</v>
      </c>
      <c r="AY5" s="517">
        <v>0</v>
      </c>
      <c r="AZ5" s="521">
        <v>0</v>
      </c>
      <c r="BA5" s="1003">
        <f t="shared" ref="BA5:BA8" si="5">+AQ5+AU5+AY5</f>
        <v>0</v>
      </c>
      <c r="BB5" s="1003">
        <f t="shared" ref="BB5:BB8" si="6">+AR5+AV5+AZ5</f>
        <v>0</v>
      </c>
      <c r="BC5" s="1487">
        <f>+AM5+BA5</f>
        <v>0</v>
      </c>
      <c r="BD5" s="1487">
        <f>+AN5+BB5</f>
        <v>0</v>
      </c>
      <c r="BE5" s="1337">
        <f>+AW5+AY5</f>
        <v>0</v>
      </c>
      <c r="BF5" s="1338">
        <f>+AZ5+AX5</f>
        <v>0</v>
      </c>
    </row>
    <row r="6" spans="3:58" ht="15" hidden="1" thickBot="1" x14ac:dyDescent="0.35">
      <c r="C6" s="6425"/>
      <c r="D6" s="1870" t="s">
        <v>1140</v>
      </c>
      <c r="E6" s="524"/>
      <c r="F6" s="521"/>
      <c r="G6" s="517"/>
      <c r="H6" s="521"/>
      <c r="I6" s="1337">
        <f>+E6+G6</f>
        <v>0</v>
      </c>
      <c r="J6" s="1338">
        <f>+H6+F6</f>
        <v>0</v>
      </c>
      <c r="K6" s="1217"/>
      <c r="L6" s="517"/>
      <c r="M6" s="3660">
        <f t="shared" si="0"/>
        <v>0</v>
      </c>
      <c r="N6" s="3667">
        <f t="shared" si="0"/>
        <v>0</v>
      </c>
      <c r="O6" s="1218"/>
      <c r="P6" s="517"/>
      <c r="Q6" s="1337">
        <f t="shared" ref="Q6:Q8" si="7">+M6+O6</f>
        <v>0</v>
      </c>
      <c r="R6" s="1338">
        <f t="shared" ref="R6:R8" si="8">+P6+N6</f>
        <v>0</v>
      </c>
      <c r="S6" s="524">
        <v>0</v>
      </c>
      <c r="T6" s="521">
        <v>0</v>
      </c>
      <c r="U6" s="1337">
        <f t="shared" ref="U6:U8" si="9">+Q6+S6</f>
        <v>0</v>
      </c>
      <c r="V6" s="1338">
        <f t="shared" ref="V6:V8" si="10">+T6+R6</f>
        <v>0</v>
      </c>
      <c r="W6" s="524"/>
      <c r="X6" s="521"/>
      <c r="Y6" s="3660">
        <f t="shared" si="1"/>
        <v>0</v>
      </c>
      <c r="Z6" s="3660">
        <f t="shared" si="1"/>
        <v>0</v>
      </c>
      <c r="AA6" s="3650">
        <f t="shared" si="2"/>
        <v>0</v>
      </c>
      <c r="AB6" s="3651">
        <f t="shared" si="2"/>
        <v>0</v>
      </c>
      <c r="AC6" s="524"/>
      <c r="AD6" s="521"/>
      <c r="AE6" s="1337">
        <f t="shared" ref="AE6:AE8" si="11">+AA6+AC6</f>
        <v>0</v>
      </c>
      <c r="AF6" s="1338">
        <f t="shared" ref="AF6:AF8" si="12">+AD6+AB6</f>
        <v>0</v>
      </c>
      <c r="AG6" s="524">
        <v>0</v>
      </c>
      <c r="AH6" s="521">
        <v>0</v>
      </c>
      <c r="AI6" s="1337">
        <f t="shared" ref="AI6:AI8" si="13">+AE6+AG6</f>
        <v>0</v>
      </c>
      <c r="AJ6" s="1338">
        <f t="shared" ref="AJ6:AJ8" si="14">+AH6+AF6</f>
        <v>0</v>
      </c>
      <c r="AK6" s="524">
        <v>0</v>
      </c>
      <c r="AL6" s="521">
        <v>0</v>
      </c>
      <c r="AM6" s="1003">
        <f t="shared" si="3"/>
        <v>0</v>
      </c>
      <c r="AN6" s="1003">
        <f t="shared" si="4"/>
        <v>0</v>
      </c>
      <c r="AO6" s="1337">
        <f t="shared" ref="AO6:AO8" si="15">+AI6+AK6</f>
        <v>0</v>
      </c>
      <c r="AP6" s="1338">
        <f t="shared" ref="AP6:AP8" si="16">+AL6+AJ6</f>
        <v>0</v>
      </c>
      <c r="AQ6" s="524">
        <v>0</v>
      </c>
      <c r="AR6" s="521">
        <v>0</v>
      </c>
      <c r="AS6" s="1337">
        <f t="shared" ref="AS6:AS8" si="17">+AO6+AQ6</f>
        <v>0</v>
      </c>
      <c r="AT6" s="1338">
        <f t="shared" ref="AT6:AT8" si="18">+AR6+AP6</f>
        <v>0</v>
      </c>
      <c r="AU6" s="524">
        <v>0</v>
      </c>
      <c r="AV6" s="521">
        <v>0</v>
      </c>
      <c r="AW6" s="1337">
        <f t="shared" ref="AW6:AW8" si="19">+AS6+AU6</f>
        <v>0</v>
      </c>
      <c r="AX6" s="1338">
        <f t="shared" ref="AX6:AX8" si="20">+AV6+AT6</f>
        <v>0</v>
      </c>
      <c r="AY6" s="524">
        <v>0</v>
      </c>
      <c r="AZ6" s="521">
        <v>0</v>
      </c>
      <c r="BA6" s="1003">
        <f t="shared" si="5"/>
        <v>0</v>
      </c>
      <c r="BB6" s="1003">
        <f t="shared" si="6"/>
        <v>0</v>
      </c>
      <c r="BC6" s="1487">
        <f t="shared" ref="BC6:BC8" si="21">+AM6+BA6</f>
        <v>0</v>
      </c>
      <c r="BD6" s="1487">
        <f t="shared" ref="BD6:BD8" si="22">+AN6+BB6</f>
        <v>0</v>
      </c>
      <c r="BE6" s="1337">
        <f t="shared" ref="BE6:BE8" si="23">+AW6+AY6</f>
        <v>0</v>
      </c>
      <c r="BF6" s="1338">
        <f t="shared" ref="BF6:BF8" si="24">+AZ6+AX6</f>
        <v>0</v>
      </c>
    </row>
    <row r="7" spans="3:58" ht="15" hidden="1" thickBot="1" x14ac:dyDescent="0.35">
      <c r="C7" s="6425"/>
      <c r="D7" s="4489" t="s">
        <v>1982</v>
      </c>
      <c r="E7" s="4490"/>
      <c r="F7" s="4491"/>
      <c r="G7" s="4492"/>
      <c r="H7" s="4491"/>
      <c r="I7" s="1337">
        <f>+E7+G7</f>
        <v>0</v>
      </c>
      <c r="J7" s="1338">
        <f>+H7+F7</f>
        <v>0</v>
      </c>
      <c r="K7" s="1218"/>
      <c r="L7" s="517"/>
      <c r="M7" s="3660">
        <f t="shared" ref="M7" si="25">+E7+G7+K7</f>
        <v>0</v>
      </c>
      <c r="N7" s="3667">
        <f t="shared" ref="N7" si="26">+F7+H7+L7</f>
        <v>0</v>
      </c>
      <c r="O7" s="1218"/>
      <c r="P7" s="517"/>
      <c r="Q7" s="1337">
        <f t="shared" ref="Q7" si="27">+M7+O7</f>
        <v>0</v>
      </c>
      <c r="R7" s="1338">
        <f t="shared" ref="R7" si="28">+P7+N7</f>
        <v>0</v>
      </c>
      <c r="S7" s="524">
        <v>0</v>
      </c>
      <c r="T7" s="521">
        <v>0</v>
      </c>
      <c r="U7" s="1337">
        <f t="shared" ref="U7" si="29">+Q7+S7</f>
        <v>0</v>
      </c>
      <c r="V7" s="1338">
        <f t="shared" ref="V7" si="30">+T7+R7</f>
        <v>0</v>
      </c>
      <c r="W7" s="524"/>
      <c r="X7" s="521"/>
      <c r="Y7" s="3660">
        <f t="shared" ref="Y7" si="31">+O7+S7+W7</f>
        <v>0</v>
      </c>
      <c r="Z7" s="3660">
        <f t="shared" ref="Z7" si="32">+P7+T7+X7</f>
        <v>0</v>
      </c>
      <c r="AA7" s="3650">
        <f t="shared" ref="AA7" si="33">+M7+Y7</f>
        <v>0</v>
      </c>
      <c r="AB7" s="3651">
        <f t="shared" ref="AB7" si="34">+N7+Z7</f>
        <v>0</v>
      </c>
      <c r="AC7" s="524"/>
      <c r="AD7" s="521"/>
      <c r="AE7" s="1337">
        <f t="shared" ref="AE7" si="35">+AA7+AC7</f>
        <v>0</v>
      </c>
      <c r="AF7" s="1338">
        <f t="shared" ref="AF7" si="36">+AD7+AB7</f>
        <v>0</v>
      </c>
      <c r="AG7" s="524">
        <v>0</v>
      </c>
      <c r="AH7" s="521">
        <v>0</v>
      </c>
      <c r="AI7" s="1337">
        <f t="shared" ref="AI7" si="37">+AE7+AG7</f>
        <v>0</v>
      </c>
      <c r="AJ7" s="1338">
        <f t="shared" ref="AJ7" si="38">+AH7+AF7</f>
        <v>0</v>
      </c>
      <c r="AK7" s="524">
        <v>0</v>
      </c>
      <c r="AL7" s="521">
        <v>0</v>
      </c>
      <c r="AM7" s="1003">
        <f t="shared" ref="AM7" si="39">+AC7+AG7+AK7</f>
        <v>0</v>
      </c>
      <c r="AN7" s="1003">
        <f t="shared" ref="AN7" si="40">+AD7+AH7+AL7</f>
        <v>0</v>
      </c>
      <c r="AO7" s="1337">
        <f t="shared" ref="AO7" si="41">+AI7+AK7</f>
        <v>0</v>
      </c>
      <c r="AP7" s="1338">
        <f t="shared" ref="AP7" si="42">+AL7+AJ7</f>
        <v>0</v>
      </c>
      <c r="AQ7" s="524">
        <v>0</v>
      </c>
      <c r="AR7" s="521">
        <v>0</v>
      </c>
      <c r="AS7" s="1337">
        <f t="shared" ref="AS7" si="43">+AO7+AQ7</f>
        <v>0</v>
      </c>
      <c r="AT7" s="1338">
        <f t="shared" ref="AT7" si="44">+AR7+AP7</f>
        <v>0</v>
      </c>
      <c r="AU7" s="524">
        <v>0</v>
      </c>
      <c r="AV7" s="521">
        <v>0</v>
      </c>
      <c r="AW7" s="1337">
        <f t="shared" ref="AW7" si="45">+AS7+AU7</f>
        <v>0</v>
      </c>
      <c r="AX7" s="1338">
        <f t="shared" ref="AX7" si="46">+AV7+AT7</f>
        <v>0</v>
      </c>
      <c r="AY7" s="524">
        <v>0</v>
      </c>
      <c r="AZ7" s="521">
        <v>0</v>
      </c>
      <c r="BA7" s="1003">
        <f t="shared" ref="BA7" si="47">+AQ7+AU7+AY7</f>
        <v>0</v>
      </c>
      <c r="BB7" s="1003">
        <f t="shared" ref="BB7" si="48">+AR7+AV7+AZ7</f>
        <v>0</v>
      </c>
      <c r="BC7" s="1487">
        <f t="shared" ref="BC7" si="49">+AM7+BA7</f>
        <v>0</v>
      </c>
      <c r="BD7" s="1487">
        <f t="shared" ref="BD7" si="50">+AN7+BB7</f>
        <v>0</v>
      </c>
      <c r="BE7" s="1337">
        <f t="shared" ref="BE7" si="51">+AW7+AY7</f>
        <v>0</v>
      </c>
      <c r="BF7" s="1338">
        <f t="shared" ref="BF7" si="52">+AZ7+AX7</f>
        <v>0</v>
      </c>
    </row>
    <row r="8" spans="3:58" ht="15" hidden="1" thickBot="1" x14ac:dyDescent="0.35">
      <c r="C8" s="6425"/>
      <c r="D8" s="1871" t="s">
        <v>1982</v>
      </c>
      <c r="E8" s="523"/>
      <c r="F8" s="519"/>
      <c r="G8" s="527"/>
      <c r="H8" s="519"/>
      <c r="I8" s="1337">
        <f>+E8+G8</f>
        <v>0</v>
      </c>
      <c r="J8" s="1338">
        <f>+H8+F8</f>
        <v>0</v>
      </c>
      <c r="K8" s="1219"/>
      <c r="L8" s="527"/>
      <c r="M8" s="3660">
        <f t="shared" si="0"/>
        <v>0</v>
      </c>
      <c r="N8" s="3667">
        <f t="shared" si="0"/>
        <v>0</v>
      </c>
      <c r="O8" s="1219"/>
      <c r="P8" s="527"/>
      <c r="Q8" s="1337">
        <f t="shared" si="7"/>
        <v>0</v>
      </c>
      <c r="R8" s="1338">
        <f t="shared" si="8"/>
        <v>0</v>
      </c>
      <c r="S8" s="527">
        <v>0</v>
      </c>
      <c r="T8" s="519">
        <v>0</v>
      </c>
      <c r="U8" s="1337">
        <f t="shared" si="9"/>
        <v>0</v>
      </c>
      <c r="V8" s="1338">
        <f t="shared" si="10"/>
        <v>0</v>
      </c>
      <c r="W8" s="527"/>
      <c r="X8" s="519"/>
      <c r="Y8" s="3660">
        <f t="shared" si="1"/>
        <v>0</v>
      </c>
      <c r="Z8" s="3660">
        <f t="shared" si="1"/>
        <v>0</v>
      </c>
      <c r="AA8" s="3650">
        <f t="shared" si="2"/>
        <v>0</v>
      </c>
      <c r="AB8" s="3651">
        <f t="shared" si="2"/>
        <v>0</v>
      </c>
      <c r="AC8" s="527"/>
      <c r="AD8" s="519"/>
      <c r="AE8" s="1337">
        <f t="shared" si="11"/>
        <v>0</v>
      </c>
      <c r="AF8" s="1338">
        <f t="shared" si="12"/>
        <v>0</v>
      </c>
      <c r="AG8" s="527">
        <v>0</v>
      </c>
      <c r="AH8" s="519">
        <v>0</v>
      </c>
      <c r="AI8" s="1337">
        <f t="shared" si="13"/>
        <v>0</v>
      </c>
      <c r="AJ8" s="1338">
        <f t="shared" si="14"/>
        <v>0</v>
      </c>
      <c r="AK8" s="527">
        <v>0</v>
      </c>
      <c r="AL8" s="519">
        <v>0</v>
      </c>
      <c r="AM8" s="1003">
        <f t="shared" si="3"/>
        <v>0</v>
      </c>
      <c r="AN8" s="1003">
        <f t="shared" si="4"/>
        <v>0</v>
      </c>
      <c r="AO8" s="1337">
        <f t="shared" si="15"/>
        <v>0</v>
      </c>
      <c r="AP8" s="1338">
        <f t="shared" si="16"/>
        <v>0</v>
      </c>
      <c r="AQ8" s="527">
        <v>0</v>
      </c>
      <c r="AR8" s="519">
        <v>0</v>
      </c>
      <c r="AS8" s="1337">
        <f t="shared" si="17"/>
        <v>0</v>
      </c>
      <c r="AT8" s="1338">
        <f t="shared" si="18"/>
        <v>0</v>
      </c>
      <c r="AU8" s="527">
        <v>0</v>
      </c>
      <c r="AV8" s="519">
        <v>0</v>
      </c>
      <c r="AW8" s="1337">
        <f t="shared" si="19"/>
        <v>0</v>
      </c>
      <c r="AX8" s="1338">
        <f t="shared" si="20"/>
        <v>0</v>
      </c>
      <c r="AY8" s="527">
        <v>0</v>
      </c>
      <c r="AZ8" s="519">
        <v>0</v>
      </c>
      <c r="BA8" s="1003">
        <f t="shared" si="5"/>
        <v>0</v>
      </c>
      <c r="BB8" s="1003">
        <f t="shared" si="6"/>
        <v>0</v>
      </c>
      <c r="BC8" s="1487">
        <f t="shared" si="21"/>
        <v>0</v>
      </c>
      <c r="BD8" s="1487">
        <f t="shared" si="22"/>
        <v>0</v>
      </c>
      <c r="BE8" s="1337">
        <f t="shared" si="23"/>
        <v>0</v>
      </c>
      <c r="BF8" s="1338">
        <f t="shared" si="24"/>
        <v>0</v>
      </c>
    </row>
    <row r="9" spans="3:58" ht="15" hidden="1" thickBot="1" x14ac:dyDescent="0.35">
      <c r="C9" s="6426"/>
      <c r="D9" s="1640" t="s">
        <v>2</v>
      </c>
      <c r="E9" s="528">
        <f t="shared" ref="E9:N9" si="53">SUM(E5:E8)</f>
        <v>0</v>
      </c>
      <c r="F9" s="518">
        <f t="shared" si="53"/>
        <v>0</v>
      </c>
      <c r="G9" s="528">
        <f t="shared" si="53"/>
        <v>0</v>
      </c>
      <c r="H9" s="518">
        <f t="shared" si="53"/>
        <v>0</v>
      </c>
      <c r="I9" s="1010">
        <f>SUM(I5:I8)</f>
        <v>0</v>
      </c>
      <c r="J9" s="1011">
        <f>SUM(J5:J8)</f>
        <v>0</v>
      </c>
      <c r="K9" s="1220">
        <f t="shared" si="53"/>
        <v>0</v>
      </c>
      <c r="L9" s="528">
        <f t="shared" si="53"/>
        <v>0</v>
      </c>
      <c r="M9" s="3661">
        <f t="shared" si="53"/>
        <v>0</v>
      </c>
      <c r="N9" s="3662">
        <f t="shared" si="53"/>
        <v>0</v>
      </c>
      <c r="O9" s="1220">
        <f t="shared" ref="O9:P9" si="54">SUM(O5:O8)</f>
        <v>0</v>
      </c>
      <c r="P9" s="528">
        <f t="shared" si="54"/>
        <v>0</v>
      </c>
      <c r="Q9" s="1010">
        <f t="shared" ref="Q9:AF9" si="55">SUM(Q5:Q8)</f>
        <v>0</v>
      </c>
      <c r="R9" s="1011">
        <f t="shared" si="55"/>
        <v>0</v>
      </c>
      <c r="S9" s="528">
        <f t="shared" ref="S9:V9" si="56">SUM(S5:S8)</f>
        <v>0</v>
      </c>
      <c r="T9" s="518">
        <f t="shared" si="56"/>
        <v>0</v>
      </c>
      <c r="U9" s="1010">
        <f t="shared" si="56"/>
        <v>0</v>
      </c>
      <c r="V9" s="1011">
        <f t="shared" si="56"/>
        <v>0</v>
      </c>
      <c r="W9" s="528">
        <f t="shared" ref="W9:X9" si="57">SUM(W5:W8)</f>
        <v>0</v>
      </c>
      <c r="X9" s="518">
        <f t="shared" si="57"/>
        <v>0</v>
      </c>
      <c r="Y9" s="3661">
        <f t="shared" si="55"/>
        <v>0</v>
      </c>
      <c r="Z9" s="3662">
        <f t="shared" si="55"/>
        <v>0</v>
      </c>
      <c r="AA9" s="3652">
        <f t="shared" si="55"/>
        <v>0</v>
      </c>
      <c r="AB9" s="3653">
        <f t="shared" si="55"/>
        <v>0</v>
      </c>
      <c r="AC9" s="528"/>
      <c r="AD9" s="518"/>
      <c r="AE9" s="1010">
        <f t="shared" si="55"/>
        <v>0</v>
      </c>
      <c r="AF9" s="1011">
        <f t="shared" si="55"/>
        <v>0</v>
      </c>
      <c r="AG9" s="528">
        <f t="shared" ref="AG9:AJ9" si="58">SUM(AG5:AG8)</f>
        <v>0</v>
      </c>
      <c r="AH9" s="518">
        <f t="shared" si="58"/>
        <v>0</v>
      </c>
      <c r="AI9" s="1010">
        <f t="shared" si="58"/>
        <v>0</v>
      </c>
      <c r="AJ9" s="1011">
        <f t="shared" si="58"/>
        <v>0</v>
      </c>
      <c r="AK9" s="528">
        <f t="shared" ref="AK9:AT9" si="59">SUM(AK5:AK8)</f>
        <v>0</v>
      </c>
      <c r="AL9" s="518">
        <f t="shared" si="59"/>
        <v>0</v>
      </c>
      <c r="AM9" s="1004">
        <f t="shared" si="59"/>
        <v>0</v>
      </c>
      <c r="AN9" s="1005">
        <f t="shared" si="59"/>
        <v>0</v>
      </c>
      <c r="AO9" s="1010">
        <f t="shared" si="59"/>
        <v>0</v>
      </c>
      <c r="AP9" s="1011">
        <f t="shared" si="59"/>
        <v>0</v>
      </c>
      <c r="AQ9" s="528">
        <f t="shared" si="59"/>
        <v>0</v>
      </c>
      <c r="AR9" s="518">
        <f t="shared" si="59"/>
        <v>0</v>
      </c>
      <c r="AS9" s="1010">
        <f t="shared" si="59"/>
        <v>0</v>
      </c>
      <c r="AT9" s="1011">
        <f t="shared" si="59"/>
        <v>0</v>
      </c>
      <c r="AU9" s="528">
        <f t="shared" ref="AU9:AX9" si="60">SUM(AU5:AU8)</f>
        <v>0</v>
      </c>
      <c r="AV9" s="518">
        <f t="shared" si="60"/>
        <v>0</v>
      </c>
      <c r="AW9" s="1010">
        <f t="shared" si="60"/>
        <v>0</v>
      </c>
      <c r="AX9" s="1011">
        <f t="shared" si="60"/>
        <v>0</v>
      </c>
      <c r="AY9" s="528">
        <f t="shared" ref="AY9:BF9" si="61">SUM(AY5:AY8)</f>
        <v>0</v>
      </c>
      <c r="AZ9" s="518">
        <f t="shared" si="61"/>
        <v>0</v>
      </c>
      <c r="BA9" s="1004">
        <f t="shared" si="61"/>
        <v>0</v>
      </c>
      <c r="BB9" s="1005">
        <f t="shared" si="61"/>
        <v>0</v>
      </c>
      <c r="BC9" s="1488">
        <f t="shared" si="61"/>
        <v>0</v>
      </c>
      <c r="BD9" s="1489">
        <f t="shared" si="61"/>
        <v>0</v>
      </c>
      <c r="BE9" s="1010">
        <f t="shared" si="61"/>
        <v>0</v>
      </c>
      <c r="BF9" s="1011">
        <f t="shared" si="61"/>
        <v>0</v>
      </c>
    </row>
    <row r="10" spans="3:58" x14ac:dyDescent="0.3">
      <c r="C10" s="6429" t="s">
        <v>938</v>
      </c>
      <c r="D10" s="1870" t="s">
        <v>1139</v>
      </c>
      <c r="E10" s="517"/>
      <c r="F10" s="521">
        <v>0</v>
      </c>
      <c r="G10" s="517"/>
      <c r="H10" s="521"/>
      <c r="I10" s="1337">
        <f>+E10+G10</f>
        <v>0</v>
      </c>
      <c r="J10" s="1338">
        <f>+H10+F10</f>
        <v>0</v>
      </c>
      <c r="K10" s="517"/>
      <c r="L10" s="521"/>
      <c r="M10" s="3660">
        <f t="shared" ref="M10:N15" si="62">+E10+G10+K10</f>
        <v>0</v>
      </c>
      <c r="N10" s="3667">
        <f t="shared" si="62"/>
        <v>0</v>
      </c>
      <c r="O10" s="517"/>
      <c r="P10" s="521"/>
      <c r="Q10" s="1337">
        <f>+M10+O10</f>
        <v>0</v>
      </c>
      <c r="R10" s="1338">
        <f>+P10+N10</f>
        <v>0</v>
      </c>
      <c r="S10" s="517"/>
      <c r="T10" s="521"/>
      <c r="U10" s="1337">
        <f>+Q10+S10</f>
        <v>0</v>
      </c>
      <c r="V10" s="1338">
        <f>+T10+R10</f>
        <v>0</v>
      </c>
      <c r="W10" s="517"/>
      <c r="X10" s="521"/>
      <c r="Y10" s="3660">
        <f t="shared" ref="Y10:Z15" si="63">+O10+S10+W10</f>
        <v>0</v>
      </c>
      <c r="Z10" s="3660">
        <f t="shared" si="63"/>
        <v>0</v>
      </c>
      <c r="AA10" s="3650">
        <f t="shared" ref="AA10:AB15" si="64">+M10+Y10</f>
        <v>0</v>
      </c>
      <c r="AB10" s="3651">
        <f t="shared" si="64"/>
        <v>0</v>
      </c>
      <c r="AC10" s="517"/>
      <c r="AD10" s="521"/>
      <c r="AE10" s="1337">
        <f>+AA10+AC10</f>
        <v>0</v>
      </c>
      <c r="AF10" s="1338">
        <f>+AD10+AB10</f>
        <v>0</v>
      </c>
      <c r="AG10" s="517"/>
      <c r="AH10" s="521"/>
      <c r="AI10" s="1337">
        <f>+AE10+AG10</f>
        <v>0</v>
      </c>
      <c r="AJ10" s="1338">
        <f>+AH10+AF10</f>
        <v>0</v>
      </c>
      <c r="AK10" s="517"/>
      <c r="AL10" s="521"/>
      <c r="AM10" s="1003">
        <f t="shared" ref="AM10:AM15" si="65">+AC10+AG10+AK10</f>
        <v>0</v>
      </c>
      <c r="AN10" s="1003">
        <f t="shared" ref="AN10:AN15" si="66">+AD10+AH10+AL10</f>
        <v>0</v>
      </c>
      <c r="AO10" s="1337">
        <f>+AI10+AK10</f>
        <v>0</v>
      </c>
      <c r="AP10" s="1338">
        <f>+AL10+AJ10</f>
        <v>0</v>
      </c>
      <c r="AQ10" s="517"/>
      <c r="AR10" s="521"/>
      <c r="AS10" s="1337">
        <f>+AO10+AQ10</f>
        <v>0</v>
      </c>
      <c r="AT10" s="1338">
        <f>+AR10+AP10</f>
        <v>0</v>
      </c>
      <c r="AU10" s="517"/>
      <c r="AV10" s="521"/>
      <c r="AW10" s="1337">
        <f>+AS10+AU10</f>
        <v>0</v>
      </c>
      <c r="AX10" s="1338">
        <f>+AV10+AT10</f>
        <v>0</v>
      </c>
      <c r="AY10" s="517"/>
      <c r="AZ10" s="521"/>
      <c r="BA10" s="1003">
        <f t="shared" ref="BA10:BA15" si="67">+AQ10+AU10+AY10</f>
        <v>0</v>
      </c>
      <c r="BB10" s="1003">
        <f t="shared" ref="BB10:BB15" si="68">+AR10+AV10+AZ10</f>
        <v>0</v>
      </c>
      <c r="BC10" s="1487">
        <f t="shared" ref="BC10:BC15" si="69">+AM10+BA10</f>
        <v>0</v>
      </c>
      <c r="BD10" s="1487">
        <f t="shared" ref="BD10:BD15" si="70">+AN10+BB10</f>
        <v>0</v>
      </c>
      <c r="BE10" s="1337">
        <f>+AW10+AY10</f>
        <v>0</v>
      </c>
      <c r="BF10" s="1338">
        <f>+AZ10+AX10</f>
        <v>0</v>
      </c>
    </row>
    <row r="11" spans="3:58" x14ac:dyDescent="0.3">
      <c r="C11" s="6430"/>
      <c r="D11" s="1870" t="s">
        <v>1819</v>
      </c>
      <c r="E11" s="517">
        <v>5108.4100000000035</v>
      </c>
      <c r="F11" s="521">
        <v>5096.1300000000019</v>
      </c>
      <c r="G11" s="517">
        <v>2838.4599999999991</v>
      </c>
      <c r="H11" s="521">
        <v>2079.3599999999997</v>
      </c>
      <c r="I11" s="1337">
        <f t="shared" ref="I11:I15" si="71">+E11+G11</f>
        <v>7946.8700000000026</v>
      </c>
      <c r="J11" s="1338">
        <f t="shared" ref="J11:J15" si="72">+H11+F11</f>
        <v>7175.4900000000016</v>
      </c>
      <c r="K11" s="517">
        <v>1650.3149999999996</v>
      </c>
      <c r="L11" s="521">
        <v>2553.2999999999997</v>
      </c>
      <c r="M11" s="3660">
        <f t="shared" si="62"/>
        <v>9597.1850000000013</v>
      </c>
      <c r="N11" s="3667">
        <f t="shared" si="62"/>
        <v>9728.7900000000009</v>
      </c>
      <c r="O11" s="517">
        <v>3276.0899999999988</v>
      </c>
      <c r="P11" s="521">
        <v>2770.58</v>
      </c>
      <c r="Q11" s="1337">
        <f t="shared" ref="Q11:Q15" si="73">+M11+O11</f>
        <v>12873.275</v>
      </c>
      <c r="R11" s="1338">
        <f t="shared" ref="R11:R15" si="74">+P11+N11</f>
        <v>12499.37</v>
      </c>
      <c r="S11" s="517"/>
      <c r="T11" s="521">
        <v>1418.6100000000001</v>
      </c>
      <c r="U11" s="1337">
        <f t="shared" ref="U11:U15" si="75">+Q11+S11</f>
        <v>12873.275</v>
      </c>
      <c r="V11" s="1338">
        <f t="shared" ref="V11:V15" si="76">+T11+R11</f>
        <v>13917.980000000001</v>
      </c>
      <c r="W11" s="517">
        <v>2259.7249999999995</v>
      </c>
      <c r="X11" s="521">
        <v>763.62000000000012</v>
      </c>
      <c r="Y11" s="3660">
        <f t="shared" si="63"/>
        <v>5535.8149999999987</v>
      </c>
      <c r="Z11" s="3660">
        <f t="shared" si="63"/>
        <v>4952.8100000000004</v>
      </c>
      <c r="AA11" s="3650">
        <f t="shared" si="64"/>
        <v>15133</v>
      </c>
      <c r="AB11" s="3651">
        <f t="shared" si="64"/>
        <v>14681.600000000002</v>
      </c>
      <c r="AC11" s="517"/>
      <c r="AD11" s="521">
        <v>1451.5499999999997</v>
      </c>
      <c r="AE11" s="1337">
        <f t="shared" ref="AE11:AE15" si="77">+AA11+AC11</f>
        <v>15133</v>
      </c>
      <c r="AF11" s="1338">
        <f t="shared" ref="AF11:AF15" si="78">+AD11+AB11</f>
        <v>16133.150000000001</v>
      </c>
      <c r="AG11" s="517">
        <v>1229.5600000000004</v>
      </c>
      <c r="AH11" s="521">
        <v>1039.394</v>
      </c>
      <c r="AI11" s="1337">
        <f t="shared" ref="AI11:AI15" si="79">+AE11+AG11</f>
        <v>16362.560000000001</v>
      </c>
      <c r="AJ11" s="1338">
        <f t="shared" ref="AJ11:AJ15" si="80">+AH11+AF11</f>
        <v>17172.544000000002</v>
      </c>
      <c r="AK11" s="517">
        <v>3130.8950000000009</v>
      </c>
      <c r="AL11" s="521">
        <v>3077.92</v>
      </c>
      <c r="AM11" s="1003">
        <f t="shared" si="65"/>
        <v>4360.4550000000017</v>
      </c>
      <c r="AN11" s="1003">
        <f t="shared" si="66"/>
        <v>5568.8639999999996</v>
      </c>
      <c r="AO11" s="1337">
        <f t="shared" ref="AO11:AO15" si="81">+AI11+AK11</f>
        <v>19493.455000000002</v>
      </c>
      <c r="AP11" s="1338">
        <f t="shared" ref="AP11:AP15" si="82">+AL11+AJ11</f>
        <v>20250.464</v>
      </c>
      <c r="AQ11" s="517">
        <v>5002.0700000000024</v>
      </c>
      <c r="AR11" s="521">
        <v>4885.92</v>
      </c>
      <c r="AS11" s="1337">
        <f>+AO11+AQ11</f>
        <v>24495.525000000005</v>
      </c>
      <c r="AT11" s="1338">
        <f t="shared" ref="AT11:AT15" si="83">+AR11+AP11</f>
        <v>25136.383999999998</v>
      </c>
      <c r="AU11" s="517">
        <v>5167.715000000002</v>
      </c>
      <c r="AV11" s="521">
        <v>5067.51</v>
      </c>
      <c r="AW11" s="1337">
        <f t="shared" ref="AW11:AW15" si="84">+AS11+AU11</f>
        <v>29663.240000000005</v>
      </c>
      <c r="AX11" s="1338">
        <f t="shared" ref="AX11:AX15" si="85">+AV11+AT11</f>
        <v>30203.894</v>
      </c>
      <c r="AY11" s="517">
        <v>6194.2521739959393</v>
      </c>
      <c r="AZ11" s="521">
        <v>6735.2</v>
      </c>
      <c r="BA11" s="1003">
        <f>+AQ11+AU11+AY11</f>
        <v>16364.037173995943</v>
      </c>
      <c r="BB11" s="1003">
        <f t="shared" si="68"/>
        <v>16688.63</v>
      </c>
      <c r="BC11" s="1487">
        <f t="shared" si="69"/>
        <v>20724.492173995946</v>
      </c>
      <c r="BD11" s="1487">
        <f t="shared" si="70"/>
        <v>22257.493999999999</v>
      </c>
      <c r="BE11" s="1337">
        <f t="shared" ref="BE11:BE15" si="86">+AW11+AY11</f>
        <v>35857.492173995946</v>
      </c>
      <c r="BF11" s="1338">
        <f t="shared" ref="BF11:BF15" si="87">+AZ11+AX11</f>
        <v>36939.093999999997</v>
      </c>
    </row>
    <row r="12" spans="3:58" x14ac:dyDescent="0.3">
      <c r="C12" s="6430"/>
      <c r="D12" s="1870" t="s">
        <v>1284</v>
      </c>
      <c r="E12" s="517"/>
      <c r="F12" s="521"/>
      <c r="G12" s="517"/>
      <c r="H12" s="521"/>
      <c r="I12" s="1337">
        <f t="shared" si="71"/>
        <v>0</v>
      </c>
      <c r="J12" s="1338">
        <f t="shared" si="72"/>
        <v>0</v>
      </c>
      <c r="K12" s="517"/>
      <c r="L12" s="521"/>
      <c r="M12" s="3660">
        <f t="shared" si="62"/>
        <v>0</v>
      </c>
      <c r="N12" s="3667">
        <f t="shared" si="62"/>
        <v>0</v>
      </c>
      <c r="O12" s="517"/>
      <c r="P12" s="521"/>
      <c r="Q12" s="1337">
        <f t="shared" si="73"/>
        <v>0</v>
      </c>
      <c r="R12" s="1338">
        <f t="shared" si="74"/>
        <v>0</v>
      </c>
      <c r="S12" s="517"/>
      <c r="T12" s="521"/>
      <c r="U12" s="1337">
        <f t="shared" si="75"/>
        <v>0</v>
      </c>
      <c r="V12" s="1338">
        <f t="shared" si="76"/>
        <v>0</v>
      </c>
      <c r="W12" s="517"/>
      <c r="X12" s="521"/>
      <c r="Y12" s="3660">
        <f t="shared" si="63"/>
        <v>0</v>
      </c>
      <c r="Z12" s="3660">
        <f t="shared" si="63"/>
        <v>0</v>
      </c>
      <c r="AA12" s="3650">
        <f t="shared" si="64"/>
        <v>0</v>
      </c>
      <c r="AB12" s="3651">
        <f t="shared" si="64"/>
        <v>0</v>
      </c>
      <c r="AC12" s="517"/>
      <c r="AD12" s="521"/>
      <c r="AE12" s="1337">
        <f t="shared" si="77"/>
        <v>0</v>
      </c>
      <c r="AF12" s="1338">
        <f t="shared" si="78"/>
        <v>0</v>
      </c>
      <c r="AG12" s="517"/>
      <c r="AH12" s="521">
        <v>24.324000000000002</v>
      </c>
      <c r="AI12" s="1337">
        <f t="shared" si="79"/>
        <v>0</v>
      </c>
      <c r="AJ12" s="1338">
        <f t="shared" si="80"/>
        <v>24.324000000000002</v>
      </c>
      <c r="AK12" s="517"/>
      <c r="AL12" s="521">
        <v>38.923000000000002</v>
      </c>
      <c r="AM12" s="1003">
        <f t="shared" si="65"/>
        <v>0</v>
      </c>
      <c r="AN12" s="1003">
        <f t="shared" si="66"/>
        <v>63.247</v>
      </c>
      <c r="AO12" s="1337">
        <f t="shared" si="81"/>
        <v>0</v>
      </c>
      <c r="AP12" s="1338">
        <f t="shared" si="82"/>
        <v>63.247</v>
      </c>
      <c r="AQ12" s="517"/>
      <c r="AR12" s="521"/>
      <c r="AS12" s="1337">
        <f t="shared" ref="AS12:AS15" si="88">+AO12+AQ12</f>
        <v>0</v>
      </c>
      <c r="AT12" s="1338">
        <f t="shared" si="83"/>
        <v>63.247</v>
      </c>
      <c r="AU12" s="517"/>
      <c r="AV12" s="521"/>
      <c r="AW12" s="1337">
        <f t="shared" si="84"/>
        <v>0</v>
      </c>
      <c r="AX12" s="1338">
        <f t="shared" si="85"/>
        <v>63.247</v>
      </c>
      <c r="AY12" s="517"/>
      <c r="AZ12" s="521"/>
      <c r="BA12" s="1003">
        <f t="shared" si="67"/>
        <v>0</v>
      </c>
      <c r="BB12" s="1003">
        <f t="shared" si="68"/>
        <v>0</v>
      </c>
      <c r="BC12" s="1487">
        <f t="shared" si="69"/>
        <v>0</v>
      </c>
      <c r="BD12" s="1487">
        <f t="shared" si="70"/>
        <v>63.247</v>
      </c>
      <c r="BE12" s="1337">
        <f t="shared" si="86"/>
        <v>0</v>
      </c>
      <c r="BF12" s="1338">
        <f t="shared" si="87"/>
        <v>63.247</v>
      </c>
    </row>
    <row r="13" spans="3:58" x14ac:dyDescent="0.3">
      <c r="C13" s="6430"/>
      <c r="D13" s="1870" t="s">
        <v>1143</v>
      </c>
      <c r="E13" s="517">
        <v>7979.5450000000001</v>
      </c>
      <c r="F13" s="521">
        <v>6518.2900000000027</v>
      </c>
      <c r="G13" s="521">
        <v>3356.3700000000013</v>
      </c>
      <c r="H13" s="521">
        <v>4042.4900000000002</v>
      </c>
      <c r="I13" s="1337">
        <f t="shared" si="71"/>
        <v>11335.915000000001</v>
      </c>
      <c r="J13" s="1338">
        <f t="shared" si="72"/>
        <v>10560.780000000002</v>
      </c>
      <c r="K13" s="517">
        <v>7993.1250000000064</v>
      </c>
      <c r="L13" s="521">
        <v>4807.3</v>
      </c>
      <c r="M13" s="3660">
        <f t="shared" si="62"/>
        <v>19329.040000000008</v>
      </c>
      <c r="N13" s="3667">
        <f t="shared" si="62"/>
        <v>15368.080000000002</v>
      </c>
      <c r="O13" s="517">
        <v>7960.655000000007</v>
      </c>
      <c r="P13" s="521">
        <v>11289.410000000002</v>
      </c>
      <c r="Q13" s="1337">
        <f t="shared" si="73"/>
        <v>27289.695000000014</v>
      </c>
      <c r="R13" s="1338">
        <f t="shared" si="74"/>
        <v>26657.490000000005</v>
      </c>
      <c r="S13" s="517">
        <v>7257.2500000000045</v>
      </c>
      <c r="T13" s="521">
        <v>9006</v>
      </c>
      <c r="U13" s="1337">
        <f t="shared" si="75"/>
        <v>34546.945000000022</v>
      </c>
      <c r="V13" s="1338">
        <f t="shared" si="76"/>
        <v>35663.490000000005</v>
      </c>
      <c r="W13" s="1094">
        <v>13499.48500000001</v>
      </c>
      <c r="X13" s="521">
        <v>8734.58</v>
      </c>
      <c r="Y13" s="3660">
        <f t="shared" si="63"/>
        <v>28717.390000000021</v>
      </c>
      <c r="Z13" s="3660">
        <f t="shared" si="63"/>
        <v>29029.990000000005</v>
      </c>
      <c r="AA13" s="3650">
        <f t="shared" si="64"/>
        <v>48046.430000000029</v>
      </c>
      <c r="AB13" s="3651">
        <f t="shared" si="64"/>
        <v>44398.070000000007</v>
      </c>
      <c r="AC13" s="517">
        <v>2618.8650000000002</v>
      </c>
      <c r="AD13" s="521">
        <v>5432.3600000000006</v>
      </c>
      <c r="AE13" s="1337">
        <f t="shared" si="77"/>
        <v>50665.295000000027</v>
      </c>
      <c r="AF13" s="1338">
        <f t="shared" si="78"/>
        <v>49830.430000000008</v>
      </c>
      <c r="AG13" s="517">
        <v>9189.830000000009</v>
      </c>
      <c r="AH13" s="521">
        <v>5347</v>
      </c>
      <c r="AI13" s="1337">
        <f t="shared" si="79"/>
        <v>59855.125000000036</v>
      </c>
      <c r="AJ13" s="1338">
        <f t="shared" si="80"/>
        <v>55177.430000000008</v>
      </c>
      <c r="AK13" s="517">
        <v>10765.490000000025</v>
      </c>
      <c r="AL13" s="521">
        <v>16629.539999999997</v>
      </c>
      <c r="AM13" s="1003">
        <f t="shared" si="65"/>
        <v>22574.185000000034</v>
      </c>
      <c r="AN13" s="1003">
        <f t="shared" si="66"/>
        <v>27408.899999999998</v>
      </c>
      <c r="AO13" s="1337">
        <f t="shared" si="81"/>
        <v>70620.615000000063</v>
      </c>
      <c r="AP13" s="1338">
        <f t="shared" si="82"/>
        <v>71806.97</v>
      </c>
      <c r="AQ13" s="517">
        <v>12092.485000000021</v>
      </c>
      <c r="AR13" s="521">
        <v>11554.129999999997</v>
      </c>
      <c r="AS13" s="1337">
        <f t="shared" si="88"/>
        <v>82713.100000000079</v>
      </c>
      <c r="AT13" s="1338">
        <f t="shared" si="83"/>
        <v>83361.100000000006</v>
      </c>
      <c r="AU13" s="517">
        <v>13334.820000000036</v>
      </c>
      <c r="AV13" s="521">
        <v>11769.44</v>
      </c>
      <c r="AW13" s="1337">
        <f t="shared" si="84"/>
        <v>96047.920000000115</v>
      </c>
      <c r="AX13" s="1338">
        <f t="shared" si="85"/>
        <v>95130.540000000008</v>
      </c>
      <c r="AY13" s="517">
        <v>8275.9339487280085</v>
      </c>
      <c r="AZ13" s="521">
        <v>10566.97</v>
      </c>
      <c r="BA13" s="1003">
        <f t="shared" si="67"/>
        <v>33703.238948728067</v>
      </c>
      <c r="BB13" s="1003">
        <f t="shared" si="68"/>
        <v>33890.54</v>
      </c>
      <c r="BC13" s="1487">
        <f t="shared" si="69"/>
        <v>56277.423948728101</v>
      </c>
      <c r="BD13" s="1487">
        <f t="shared" si="70"/>
        <v>61299.44</v>
      </c>
      <c r="BE13" s="1337">
        <f t="shared" si="86"/>
        <v>104323.85394872812</v>
      </c>
      <c r="BF13" s="1338">
        <f t="shared" si="87"/>
        <v>105697.51000000001</v>
      </c>
    </row>
    <row r="14" spans="3:58" x14ac:dyDescent="0.3">
      <c r="C14" s="6430"/>
      <c r="D14" s="1870" t="s">
        <v>1142</v>
      </c>
      <c r="E14" s="517">
        <v>10501.075000000015</v>
      </c>
      <c r="F14" s="521">
        <v>8493.3499999999985</v>
      </c>
      <c r="G14" s="517"/>
      <c r="H14" s="521">
        <v>1520.2869999999998</v>
      </c>
      <c r="I14" s="1337">
        <f t="shared" si="71"/>
        <v>10501.075000000015</v>
      </c>
      <c r="J14" s="1338">
        <f t="shared" si="72"/>
        <v>10013.636999999999</v>
      </c>
      <c r="K14" s="517">
        <v>10118.940000000015</v>
      </c>
      <c r="L14" s="521">
        <v>9903.4400000000023</v>
      </c>
      <c r="M14" s="3660">
        <f t="shared" si="62"/>
        <v>20620.015000000029</v>
      </c>
      <c r="N14" s="3667">
        <f t="shared" si="62"/>
        <v>19917.077000000001</v>
      </c>
      <c r="O14" s="517">
        <v>7626.2800000000061</v>
      </c>
      <c r="P14" s="521">
        <v>7580.22</v>
      </c>
      <c r="Q14" s="1337">
        <f t="shared" si="73"/>
        <v>28246.295000000035</v>
      </c>
      <c r="R14" s="1338">
        <f t="shared" si="74"/>
        <v>27497.297000000002</v>
      </c>
      <c r="S14" s="517">
        <v>10797.600000000008</v>
      </c>
      <c r="T14" s="521">
        <v>9293.1999999999971</v>
      </c>
      <c r="U14" s="1337">
        <f t="shared" si="75"/>
        <v>39043.89500000004</v>
      </c>
      <c r="V14" s="1338">
        <f t="shared" si="76"/>
        <v>36790.497000000003</v>
      </c>
      <c r="W14" s="1094">
        <v>4776.67</v>
      </c>
      <c r="X14" s="521">
        <v>3702.84</v>
      </c>
      <c r="Y14" s="3660">
        <f t="shared" si="63"/>
        <v>23200.55000000001</v>
      </c>
      <c r="Z14" s="3660">
        <f t="shared" si="63"/>
        <v>20576.259999999998</v>
      </c>
      <c r="AA14" s="3650">
        <f t="shared" si="64"/>
        <v>43820.565000000039</v>
      </c>
      <c r="AB14" s="3651">
        <f t="shared" si="64"/>
        <v>40493.337</v>
      </c>
      <c r="AC14" s="517">
        <v>2417.0249999999987</v>
      </c>
      <c r="AD14" s="521">
        <v>4872.78</v>
      </c>
      <c r="AE14" s="1337">
        <f t="shared" si="77"/>
        <v>46237.59000000004</v>
      </c>
      <c r="AF14" s="1338">
        <f t="shared" si="78"/>
        <v>45366.116999999998</v>
      </c>
      <c r="AG14" s="517">
        <v>7494.3600000000051</v>
      </c>
      <c r="AH14" s="521">
        <v>7003.2529999999997</v>
      </c>
      <c r="AI14" s="1337">
        <f t="shared" si="79"/>
        <v>53731.950000000048</v>
      </c>
      <c r="AJ14" s="1338">
        <f t="shared" si="80"/>
        <v>52369.369999999995</v>
      </c>
      <c r="AK14" s="517">
        <v>11453.70000000001</v>
      </c>
      <c r="AL14" s="521">
        <v>7532.5499999999993</v>
      </c>
      <c r="AM14" s="1003">
        <f t="shared" si="65"/>
        <v>21365.085000000014</v>
      </c>
      <c r="AN14" s="1003">
        <f t="shared" si="66"/>
        <v>19408.582999999999</v>
      </c>
      <c r="AO14" s="1337">
        <f t="shared" si="81"/>
        <v>65185.65000000006</v>
      </c>
      <c r="AP14" s="1338">
        <f t="shared" si="82"/>
        <v>59901.919999999998</v>
      </c>
      <c r="AQ14" s="517">
        <v>11605.375000000025</v>
      </c>
      <c r="AR14" s="521">
        <v>15680.570000000005</v>
      </c>
      <c r="AS14" s="1337">
        <f t="shared" si="88"/>
        <v>76791.025000000081</v>
      </c>
      <c r="AT14" s="1338">
        <f t="shared" si="83"/>
        <v>75582.490000000005</v>
      </c>
      <c r="AU14" s="517">
        <v>11638.095000000027</v>
      </c>
      <c r="AV14" s="521">
        <v>8051.41</v>
      </c>
      <c r="AW14" s="1337">
        <f t="shared" si="84"/>
        <v>88429.120000000112</v>
      </c>
      <c r="AX14" s="1338">
        <f t="shared" si="85"/>
        <v>83633.900000000009</v>
      </c>
      <c r="AY14" s="517">
        <v>4225.6220374120858</v>
      </c>
      <c r="AZ14" s="521">
        <v>9181.06</v>
      </c>
      <c r="BA14" s="1003">
        <f t="shared" si="67"/>
        <v>27469.092037412138</v>
      </c>
      <c r="BB14" s="1003">
        <f t="shared" si="68"/>
        <v>32913.040000000001</v>
      </c>
      <c r="BC14" s="1487">
        <f t="shared" si="69"/>
        <v>48834.177037412155</v>
      </c>
      <c r="BD14" s="1487">
        <f t="shared" si="70"/>
        <v>52321.623</v>
      </c>
      <c r="BE14" s="1337">
        <f t="shared" si="86"/>
        <v>92654.742037412201</v>
      </c>
      <c r="BF14" s="1338">
        <f t="shared" si="87"/>
        <v>92814.96</v>
      </c>
    </row>
    <row r="15" spans="3:58" ht="15" thickBot="1" x14ac:dyDescent="0.35">
      <c r="C15" s="6430"/>
      <c r="D15" s="1870" t="s">
        <v>1141</v>
      </c>
      <c r="E15" s="517">
        <v>10614.325000000003</v>
      </c>
      <c r="F15" s="521">
        <v>10462.859999999995</v>
      </c>
      <c r="G15" s="517">
        <v>7971.3000000000047</v>
      </c>
      <c r="H15" s="521">
        <v>8437.4600000000028</v>
      </c>
      <c r="I15" s="1337">
        <f t="shared" si="71"/>
        <v>18585.625000000007</v>
      </c>
      <c r="J15" s="1338">
        <f t="shared" si="72"/>
        <v>18900.32</v>
      </c>
      <c r="K15" s="517">
        <v>12248.71500000002</v>
      </c>
      <c r="L15" s="521">
        <v>11997.7</v>
      </c>
      <c r="M15" s="3660">
        <f t="shared" si="62"/>
        <v>30834.340000000026</v>
      </c>
      <c r="N15" s="3667">
        <f t="shared" si="62"/>
        <v>30898.02</v>
      </c>
      <c r="O15" s="517"/>
      <c r="P15" s="521">
        <v>70.990000000000009</v>
      </c>
      <c r="Q15" s="1337">
        <f t="shared" si="73"/>
        <v>30834.340000000026</v>
      </c>
      <c r="R15" s="1338">
        <f t="shared" si="74"/>
        <v>30969.010000000002</v>
      </c>
      <c r="S15" s="517">
        <v>10931.275000000014</v>
      </c>
      <c r="T15" s="521">
        <v>10838.53</v>
      </c>
      <c r="U15" s="1337">
        <f t="shared" si="75"/>
        <v>41765.615000000042</v>
      </c>
      <c r="V15" s="1338">
        <f t="shared" si="76"/>
        <v>41807.54</v>
      </c>
      <c r="W15" s="1094">
        <v>8653.0450000000092</v>
      </c>
      <c r="X15" s="521">
        <v>8827.9800000000014</v>
      </c>
      <c r="Y15" s="3660">
        <f t="shared" si="63"/>
        <v>19584.320000000022</v>
      </c>
      <c r="Z15" s="3660">
        <f t="shared" si="63"/>
        <v>19737.5</v>
      </c>
      <c r="AA15" s="3650">
        <f t="shared" si="64"/>
        <v>50418.660000000047</v>
      </c>
      <c r="AB15" s="3651">
        <f t="shared" si="64"/>
        <v>50635.520000000004</v>
      </c>
      <c r="AC15" s="517">
        <v>5541.9500000000025</v>
      </c>
      <c r="AD15" s="521">
        <v>5513.7300000000005</v>
      </c>
      <c r="AE15" s="1337">
        <f t="shared" si="77"/>
        <v>55960.610000000052</v>
      </c>
      <c r="AF15" s="1338">
        <f t="shared" si="78"/>
        <v>56149.250000000007</v>
      </c>
      <c r="AG15" s="517">
        <v>7396.3050000000067</v>
      </c>
      <c r="AH15" s="521">
        <v>6780.8000000000011</v>
      </c>
      <c r="AI15" s="1337">
        <f t="shared" si="79"/>
        <v>63356.915000000059</v>
      </c>
      <c r="AJ15" s="1338">
        <f t="shared" si="80"/>
        <v>62930.05000000001</v>
      </c>
      <c r="AK15" s="517">
        <v>5922.3600000000051</v>
      </c>
      <c r="AL15" s="521">
        <v>6591.4400000000005</v>
      </c>
      <c r="AM15" s="1003">
        <f t="shared" si="65"/>
        <v>18860.615000000013</v>
      </c>
      <c r="AN15" s="1003">
        <f t="shared" si="66"/>
        <v>18885.97</v>
      </c>
      <c r="AO15" s="1337">
        <f t="shared" si="81"/>
        <v>69279.275000000067</v>
      </c>
      <c r="AP15" s="1338">
        <f t="shared" si="82"/>
        <v>69521.490000000005</v>
      </c>
      <c r="AQ15" s="517"/>
      <c r="AR15" s="521">
        <v>61.52</v>
      </c>
      <c r="AS15" s="1337">
        <f t="shared" si="88"/>
        <v>69279.275000000067</v>
      </c>
      <c r="AT15" s="1338">
        <f t="shared" si="83"/>
        <v>69583.010000000009</v>
      </c>
      <c r="AU15" s="517">
        <v>12209.965000000022</v>
      </c>
      <c r="AV15" s="521">
        <v>12021.11</v>
      </c>
      <c r="AW15" s="1337">
        <f t="shared" si="84"/>
        <v>81489.240000000093</v>
      </c>
      <c r="AX15" s="1338">
        <f t="shared" si="85"/>
        <v>81604.12000000001</v>
      </c>
      <c r="AY15" s="517">
        <v>5896.0024687895275</v>
      </c>
      <c r="AZ15" s="521">
        <v>5845.46</v>
      </c>
      <c r="BA15" s="1003">
        <f t="shared" si="67"/>
        <v>18105.967468789549</v>
      </c>
      <c r="BB15" s="1003">
        <f t="shared" si="68"/>
        <v>17928.09</v>
      </c>
      <c r="BC15" s="1487">
        <f t="shared" si="69"/>
        <v>36966.582468789566</v>
      </c>
      <c r="BD15" s="1487">
        <f t="shared" si="70"/>
        <v>36814.06</v>
      </c>
      <c r="BE15" s="1337">
        <f t="shared" si="86"/>
        <v>87385.242468789627</v>
      </c>
      <c r="BF15" s="1338">
        <f t="shared" si="87"/>
        <v>87449.580000000016</v>
      </c>
    </row>
    <row r="16" spans="3:58" ht="15" thickBot="1" x14ac:dyDescent="0.35">
      <c r="C16" s="6431"/>
      <c r="D16" s="1872" t="s">
        <v>2</v>
      </c>
      <c r="E16" s="525">
        <f t="shared" ref="E16:AJ16" si="89">SUM(E10:E15)</f>
        <v>34203.355000000025</v>
      </c>
      <c r="F16" s="516">
        <f t="shared" si="89"/>
        <v>30570.629999999997</v>
      </c>
      <c r="G16" s="525">
        <f t="shared" si="89"/>
        <v>14166.130000000005</v>
      </c>
      <c r="H16" s="516">
        <f t="shared" si="89"/>
        <v>16079.597000000003</v>
      </c>
      <c r="I16" s="1339">
        <f t="shared" si="89"/>
        <v>48369.48500000003</v>
      </c>
      <c r="J16" s="1340">
        <f t="shared" si="89"/>
        <v>46650.226999999999</v>
      </c>
      <c r="K16" s="1221">
        <f t="shared" si="89"/>
        <v>32011.095000000038</v>
      </c>
      <c r="L16" s="1221">
        <f t="shared" si="89"/>
        <v>29261.74</v>
      </c>
      <c r="M16" s="3663">
        <f t="shared" si="89"/>
        <v>80380.58000000006</v>
      </c>
      <c r="N16" s="3668">
        <f t="shared" si="89"/>
        <v>75911.967000000004</v>
      </c>
      <c r="O16" s="1221">
        <f t="shared" ref="O16:P16" si="90">SUM(O10:O15)</f>
        <v>18863.025000000012</v>
      </c>
      <c r="P16" s="1221">
        <f t="shared" si="90"/>
        <v>21711.200000000004</v>
      </c>
      <c r="Q16" s="1339">
        <f t="shared" si="89"/>
        <v>99243.605000000069</v>
      </c>
      <c r="R16" s="1340">
        <f t="shared" si="89"/>
        <v>97623.167000000016</v>
      </c>
      <c r="S16" s="1221">
        <f t="shared" si="89"/>
        <v>28986.125000000029</v>
      </c>
      <c r="T16" s="516">
        <f t="shared" si="89"/>
        <v>30556.339999999997</v>
      </c>
      <c r="U16" s="1339">
        <f t="shared" si="89"/>
        <v>128229.7300000001</v>
      </c>
      <c r="V16" s="1340">
        <f t="shared" si="89"/>
        <v>128179.50700000001</v>
      </c>
      <c r="W16" s="1221">
        <f t="shared" si="89"/>
        <v>29188.925000000021</v>
      </c>
      <c r="X16" s="516">
        <f t="shared" si="89"/>
        <v>22029.020000000004</v>
      </c>
      <c r="Y16" s="3663">
        <f t="shared" si="89"/>
        <v>77038.075000000041</v>
      </c>
      <c r="Z16" s="3664">
        <f t="shared" si="89"/>
        <v>74296.56</v>
      </c>
      <c r="AA16" s="3654">
        <f t="shared" si="89"/>
        <v>157418.65500000012</v>
      </c>
      <c r="AB16" s="3655">
        <f t="shared" si="89"/>
        <v>150208.527</v>
      </c>
      <c r="AC16" s="1221">
        <f t="shared" si="89"/>
        <v>10577.840000000002</v>
      </c>
      <c r="AD16" s="516">
        <f t="shared" si="89"/>
        <v>17270.419999999998</v>
      </c>
      <c r="AE16" s="1339">
        <f t="shared" si="89"/>
        <v>167996.49500000011</v>
      </c>
      <c r="AF16" s="1340">
        <f t="shared" si="89"/>
        <v>167478.94700000001</v>
      </c>
      <c r="AG16" s="1221">
        <f t="shared" si="89"/>
        <v>25310.055000000022</v>
      </c>
      <c r="AH16" s="516">
        <f t="shared" si="89"/>
        <v>20194.771000000001</v>
      </c>
      <c r="AI16" s="1339">
        <f t="shared" si="89"/>
        <v>193306.55000000016</v>
      </c>
      <c r="AJ16" s="1340">
        <f t="shared" si="89"/>
        <v>187673.71800000002</v>
      </c>
      <c r="AK16" s="1221">
        <f t="shared" ref="AK16:BF16" si="91">SUM(AK10:AK15)</f>
        <v>31272.44500000004</v>
      </c>
      <c r="AL16" s="516">
        <f t="shared" si="91"/>
        <v>33870.373</v>
      </c>
      <c r="AM16" s="1006">
        <f t="shared" si="91"/>
        <v>67160.340000000055</v>
      </c>
      <c r="AN16" s="1007">
        <f t="shared" si="91"/>
        <v>71335.563999999998</v>
      </c>
      <c r="AO16" s="1339">
        <f t="shared" si="91"/>
        <v>224578.99500000017</v>
      </c>
      <c r="AP16" s="1340">
        <f t="shared" si="91"/>
        <v>221544.09100000001</v>
      </c>
      <c r="AQ16" s="1221">
        <f t="shared" si="91"/>
        <v>28699.930000000048</v>
      </c>
      <c r="AR16" s="516">
        <f t="shared" si="91"/>
        <v>32182.140000000003</v>
      </c>
      <c r="AS16" s="1339">
        <f t="shared" si="91"/>
        <v>253278.92500000022</v>
      </c>
      <c r="AT16" s="1340">
        <f t="shared" si="91"/>
        <v>253726.23100000003</v>
      </c>
      <c r="AU16" s="1221">
        <f t="shared" si="91"/>
        <v>42350.595000000088</v>
      </c>
      <c r="AV16" s="516">
        <f t="shared" si="91"/>
        <v>36909.47</v>
      </c>
      <c r="AW16" s="1339">
        <f t="shared" si="91"/>
        <v>295629.52000000031</v>
      </c>
      <c r="AX16" s="1340">
        <f t="shared" si="91"/>
        <v>290635.701</v>
      </c>
      <c r="AY16" s="1221">
        <f t="shared" si="91"/>
        <v>24591.810628925559</v>
      </c>
      <c r="AZ16" s="516">
        <f t="shared" si="91"/>
        <v>32328.689999999995</v>
      </c>
      <c r="BA16" s="1006">
        <f t="shared" si="91"/>
        <v>95642.335628925692</v>
      </c>
      <c r="BB16" s="1007">
        <f t="shared" si="91"/>
        <v>101420.29999999999</v>
      </c>
      <c r="BC16" s="1490">
        <f t="shared" si="91"/>
        <v>162802.67562892576</v>
      </c>
      <c r="BD16" s="1491">
        <f t="shared" si="91"/>
        <v>172755.864</v>
      </c>
      <c r="BE16" s="1339">
        <f t="shared" si="91"/>
        <v>320221.33062892588</v>
      </c>
      <c r="BF16" s="1340">
        <f t="shared" si="91"/>
        <v>322964.39100000006</v>
      </c>
    </row>
    <row r="17" spans="3:58" ht="18" thickBot="1" x14ac:dyDescent="0.35">
      <c r="C17" s="6422" t="s">
        <v>939</v>
      </c>
      <c r="D17" s="6423"/>
      <c r="E17" s="520">
        <f t="shared" ref="E17:AJ17" si="92">+E9+E16</f>
        <v>34203.355000000025</v>
      </c>
      <c r="F17" s="529">
        <f t="shared" si="92"/>
        <v>30570.629999999997</v>
      </c>
      <c r="G17" s="520">
        <f t="shared" si="92"/>
        <v>14166.130000000005</v>
      </c>
      <c r="H17" s="529">
        <f t="shared" si="92"/>
        <v>16079.597000000003</v>
      </c>
      <c r="I17" s="1012">
        <f t="shared" si="92"/>
        <v>48369.48500000003</v>
      </c>
      <c r="J17" s="1013">
        <f t="shared" si="92"/>
        <v>46650.226999999999</v>
      </c>
      <c r="K17" s="1222">
        <f t="shared" si="92"/>
        <v>32011.095000000038</v>
      </c>
      <c r="L17" s="520">
        <f t="shared" si="92"/>
        <v>29261.74</v>
      </c>
      <c r="M17" s="3665">
        <f t="shared" si="92"/>
        <v>80380.58000000006</v>
      </c>
      <c r="N17" s="3669">
        <f t="shared" si="92"/>
        <v>75911.967000000004</v>
      </c>
      <c r="O17" s="1222">
        <f t="shared" ref="O17:P17" si="93">+O9+O16</f>
        <v>18863.025000000012</v>
      </c>
      <c r="P17" s="520">
        <f t="shared" si="93"/>
        <v>21711.200000000004</v>
      </c>
      <c r="Q17" s="1012">
        <f t="shared" si="92"/>
        <v>99243.605000000069</v>
      </c>
      <c r="R17" s="1013">
        <f t="shared" si="92"/>
        <v>97623.167000000016</v>
      </c>
      <c r="S17" s="520">
        <f t="shared" si="92"/>
        <v>28986.125000000029</v>
      </c>
      <c r="T17" s="529">
        <f t="shared" si="92"/>
        <v>30556.339999999997</v>
      </c>
      <c r="U17" s="1012">
        <f t="shared" si="92"/>
        <v>128229.7300000001</v>
      </c>
      <c r="V17" s="1013">
        <f t="shared" si="92"/>
        <v>128179.50700000001</v>
      </c>
      <c r="W17" s="520">
        <f t="shared" si="92"/>
        <v>29188.925000000021</v>
      </c>
      <c r="X17" s="529">
        <f t="shared" si="92"/>
        <v>22029.020000000004</v>
      </c>
      <c r="Y17" s="3665">
        <f t="shared" si="92"/>
        <v>77038.075000000041</v>
      </c>
      <c r="Z17" s="3666">
        <f t="shared" si="92"/>
        <v>74296.56</v>
      </c>
      <c r="AA17" s="3656">
        <f t="shared" si="92"/>
        <v>157418.65500000012</v>
      </c>
      <c r="AB17" s="3657">
        <f t="shared" si="92"/>
        <v>150208.527</v>
      </c>
      <c r="AC17" s="520">
        <f t="shared" si="92"/>
        <v>10577.840000000002</v>
      </c>
      <c r="AD17" s="529">
        <f t="shared" si="92"/>
        <v>17270.419999999998</v>
      </c>
      <c r="AE17" s="1012">
        <f t="shared" si="92"/>
        <v>167996.49500000011</v>
      </c>
      <c r="AF17" s="1013">
        <f t="shared" si="92"/>
        <v>167478.94700000001</v>
      </c>
      <c r="AG17" s="520">
        <f t="shared" si="92"/>
        <v>25310.055000000022</v>
      </c>
      <c r="AH17" s="529">
        <f t="shared" si="92"/>
        <v>20194.771000000001</v>
      </c>
      <c r="AI17" s="1012">
        <f t="shared" si="92"/>
        <v>193306.55000000016</v>
      </c>
      <c r="AJ17" s="1013">
        <f t="shared" si="92"/>
        <v>187673.71800000002</v>
      </c>
      <c r="AK17" s="520">
        <f t="shared" ref="AK17:BF17" si="94">+AK9+AK16</f>
        <v>31272.44500000004</v>
      </c>
      <c r="AL17" s="529">
        <f t="shared" si="94"/>
        <v>33870.373</v>
      </c>
      <c r="AM17" s="1008">
        <f t="shared" si="94"/>
        <v>67160.340000000055</v>
      </c>
      <c r="AN17" s="1009">
        <f t="shared" si="94"/>
        <v>71335.563999999998</v>
      </c>
      <c r="AO17" s="1012">
        <f t="shared" si="94"/>
        <v>224578.99500000017</v>
      </c>
      <c r="AP17" s="1013">
        <f t="shared" si="94"/>
        <v>221544.09100000001</v>
      </c>
      <c r="AQ17" s="520">
        <f t="shared" si="94"/>
        <v>28699.930000000048</v>
      </c>
      <c r="AR17" s="529">
        <f t="shared" si="94"/>
        <v>32182.140000000003</v>
      </c>
      <c r="AS17" s="1012">
        <f t="shared" si="94"/>
        <v>253278.92500000022</v>
      </c>
      <c r="AT17" s="1013">
        <f t="shared" si="94"/>
        <v>253726.23100000003</v>
      </c>
      <c r="AU17" s="520">
        <f t="shared" si="94"/>
        <v>42350.595000000088</v>
      </c>
      <c r="AV17" s="529">
        <f t="shared" si="94"/>
        <v>36909.47</v>
      </c>
      <c r="AW17" s="1012">
        <f t="shared" si="94"/>
        <v>295629.52000000031</v>
      </c>
      <c r="AX17" s="1013">
        <f t="shared" si="94"/>
        <v>290635.701</v>
      </c>
      <c r="AY17" s="520">
        <f t="shared" si="94"/>
        <v>24591.810628925559</v>
      </c>
      <c r="AZ17" s="529">
        <f t="shared" si="94"/>
        <v>32328.689999999995</v>
      </c>
      <c r="BA17" s="1008">
        <f t="shared" si="94"/>
        <v>95642.335628925692</v>
      </c>
      <c r="BB17" s="1009">
        <f t="shared" si="94"/>
        <v>101420.29999999999</v>
      </c>
      <c r="BC17" s="1492">
        <f t="shared" si="94"/>
        <v>162802.67562892576</v>
      </c>
      <c r="BD17" s="1493">
        <f t="shared" si="94"/>
        <v>172755.864</v>
      </c>
      <c r="BE17" s="1012">
        <f t="shared" si="94"/>
        <v>320221.33062892588</v>
      </c>
      <c r="BF17" s="1013">
        <f t="shared" si="94"/>
        <v>322964.39100000006</v>
      </c>
    </row>
    <row r="19" spans="3:58" x14ac:dyDescent="0.3">
      <c r="Z19" s="23"/>
    </row>
    <row r="20" spans="3:58" x14ac:dyDescent="0.3">
      <c r="Z20" s="23"/>
    </row>
    <row r="21" spans="3:58" ht="23.4" hidden="1" x14ac:dyDescent="0.45">
      <c r="D21" s="6416" t="s">
        <v>1055</v>
      </c>
      <c r="E21" s="6416"/>
      <c r="F21" s="6416"/>
      <c r="G21" s="6416"/>
      <c r="H21" s="6416"/>
      <c r="I21" s="6416"/>
      <c r="J21" s="6416"/>
      <c r="K21" s="6416"/>
      <c r="L21" s="6416"/>
      <c r="M21" s="6416"/>
      <c r="N21" s="6416"/>
      <c r="O21" s="6416"/>
      <c r="P21" s="6416"/>
      <c r="Q21" s="6416"/>
      <c r="R21" s="6416"/>
      <c r="S21" s="6416"/>
      <c r="T21" s="6416"/>
    </row>
    <row r="22" spans="3:58" hidden="1" x14ac:dyDescent="0.3"/>
    <row r="23" spans="3:58" hidden="1" x14ac:dyDescent="0.3">
      <c r="D23" s="171"/>
      <c r="E23" s="171"/>
      <c r="F23" s="246" t="s">
        <v>920</v>
      </c>
      <c r="G23" s="246" t="s">
        <v>942</v>
      </c>
      <c r="H23" s="246" t="s">
        <v>946</v>
      </c>
      <c r="I23" s="246"/>
      <c r="J23" s="246"/>
      <c r="K23" s="246" t="s">
        <v>604</v>
      </c>
      <c r="L23" s="246" t="s">
        <v>955</v>
      </c>
      <c r="M23" s="246" t="s">
        <v>976</v>
      </c>
      <c r="N23" s="246" t="s">
        <v>1025</v>
      </c>
      <c r="O23" s="246" t="s">
        <v>625</v>
      </c>
      <c r="P23" s="246" t="s">
        <v>623</v>
      </c>
      <c r="Q23" s="246"/>
      <c r="R23" s="246"/>
      <c r="S23" s="246" t="s">
        <v>1050</v>
      </c>
      <c r="T23" s="246" t="s">
        <v>1051</v>
      </c>
    </row>
    <row r="24" spans="3:58" hidden="1" x14ac:dyDescent="0.3">
      <c r="D24" s="171" t="s">
        <v>925</v>
      </c>
      <c r="E24" s="171" t="s">
        <v>66</v>
      </c>
      <c r="F24" s="320">
        <v>0</v>
      </c>
      <c r="G24" s="320">
        <v>0</v>
      </c>
      <c r="H24" s="320">
        <v>1279.2</v>
      </c>
      <c r="I24" s="320"/>
      <c r="J24" s="320"/>
      <c r="K24" s="320">
        <f>SUM(F24:H24)</f>
        <v>1279.2</v>
      </c>
      <c r="L24" s="320">
        <v>0</v>
      </c>
      <c r="M24" s="320">
        <v>850.75</v>
      </c>
      <c r="N24" s="320">
        <v>1435</v>
      </c>
      <c r="O24" s="320">
        <f>SUM(L24:N24)</f>
        <v>2285.75</v>
      </c>
      <c r="P24" s="320">
        <f>+O24+K24</f>
        <v>3564.95</v>
      </c>
      <c r="Q24" s="320"/>
      <c r="R24" s="320"/>
      <c r="S24" s="320">
        <v>988.1</v>
      </c>
      <c r="T24" s="320">
        <f>P24+S24</f>
        <v>4553.05</v>
      </c>
    </row>
    <row r="25" spans="3:58" hidden="1" x14ac:dyDescent="0.3">
      <c r="D25" s="171" t="s">
        <v>928</v>
      </c>
      <c r="E25" s="171" t="s">
        <v>66</v>
      </c>
      <c r="F25" s="320">
        <v>516.12</v>
      </c>
      <c r="G25" s="320">
        <v>332.09999999999997</v>
      </c>
      <c r="H25" s="320">
        <v>0</v>
      </c>
      <c r="I25" s="320"/>
      <c r="J25" s="320"/>
      <c r="K25" s="320">
        <f t="shared" ref="K25:K31" si="95">SUM(F25:H25)</f>
        <v>848.22</v>
      </c>
      <c r="L25" s="320">
        <v>0</v>
      </c>
      <c r="M25" s="320">
        <v>0</v>
      </c>
      <c r="N25" s="320">
        <v>529</v>
      </c>
      <c r="O25" s="320">
        <f t="shared" ref="O25:O31" si="96">SUM(L25:N25)</f>
        <v>529</v>
      </c>
      <c r="P25" s="320">
        <f t="shared" ref="P25:P31" si="97">+O25+K25</f>
        <v>1377.22</v>
      </c>
      <c r="Q25" s="320"/>
      <c r="R25" s="320"/>
      <c r="S25" s="320">
        <v>740.05</v>
      </c>
      <c r="T25" s="320">
        <f t="shared" ref="T25:T30" si="98">P25+S25</f>
        <v>2117.27</v>
      </c>
    </row>
    <row r="26" spans="3:58" hidden="1" x14ac:dyDescent="0.3">
      <c r="D26" s="171" t="s">
        <v>927</v>
      </c>
      <c r="E26" s="171" t="s">
        <v>66</v>
      </c>
      <c r="F26" s="320">
        <v>367.24799999999999</v>
      </c>
      <c r="G26" s="320">
        <v>0</v>
      </c>
      <c r="H26" s="320">
        <v>393.6</v>
      </c>
      <c r="I26" s="320"/>
      <c r="J26" s="320"/>
      <c r="K26" s="320">
        <f t="shared" si="95"/>
        <v>760.84799999999996</v>
      </c>
      <c r="L26" s="320">
        <v>1521.1</v>
      </c>
      <c r="M26" s="320">
        <v>742.09999999999991</v>
      </c>
      <c r="N26" s="320">
        <v>845</v>
      </c>
      <c r="O26" s="320">
        <f t="shared" si="96"/>
        <v>3108.2</v>
      </c>
      <c r="P26" s="320">
        <f t="shared" si="97"/>
        <v>3869.0479999999998</v>
      </c>
      <c r="Q26" s="320"/>
      <c r="R26" s="320"/>
      <c r="S26" s="320">
        <v>1566.2</v>
      </c>
      <c r="T26" s="320">
        <f t="shared" si="98"/>
        <v>5435.2479999999996</v>
      </c>
    </row>
    <row r="27" spans="3:58" hidden="1" x14ac:dyDescent="0.3">
      <c r="D27" s="171" t="s">
        <v>929</v>
      </c>
      <c r="E27" s="171" t="s">
        <v>66</v>
      </c>
      <c r="F27" s="320">
        <v>1028.192</v>
      </c>
      <c r="G27" s="320">
        <v>313.64999999999998</v>
      </c>
      <c r="H27" s="320">
        <v>1558</v>
      </c>
      <c r="I27" s="320"/>
      <c r="J27" s="320"/>
      <c r="K27" s="320">
        <f t="shared" si="95"/>
        <v>2899.8420000000001</v>
      </c>
      <c r="L27" s="320">
        <v>1033.1999999999998</v>
      </c>
      <c r="M27" s="320">
        <v>491.99999999999994</v>
      </c>
      <c r="N27" s="320">
        <v>759</v>
      </c>
      <c r="O27" s="320">
        <f t="shared" si="96"/>
        <v>2284.1999999999998</v>
      </c>
      <c r="P27" s="320">
        <f t="shared" si="97"/>
        <v>5184.0419999999995</v>
      </c>
      <c r="Q27" s="320"/>
      <c r="R27" s="320"/>
      <c r="S27" s="320">
        <v>1221.8</v>
      </c>
      <c r="T27" s="320">
        <f t="shared" si="98"/>
        <v>6405.8419999999996</v>
      </c>
    </row>
    <row r="28" spans="3:58" hidden="1" x14ac:dyDescent="0.3">
      <c r="D28" s="171" t="s">
        <v>943</v>
      </c>
      <c r="E28" s="171" t="s">
        <v>66</v>
      </c>
      <c r="F28" s="320">
        <v>0</v>
      </c>
      <c r="G28" s="320">
        <v>143.5</v>
      </c>
      <c r="H28" s="320">
        <v>0</v>
      </c>
      <c r="I28" s="320"/>
      <c r="J28" s="320"/>
      <c r="K28" s="320">
        <f t="shared" si="95"/>
        <v>143.5</v>
      </c>
      <c r="L28" s="320">
        <v>0</v>
      </c>
      <c r="M28" s="320">
        <v>0</v>
      </c>
      <c r="N28" s="320">
        <v>0</v>
      </c>
      <c r="O28" s="320">
        <f t="shared" si="96"/>
        <v>0</v>
      </c>
      <c r="P28" s="320">
        <f t="shared" si="97"/>
        <v>143.5</v>
      </c>
      <c r="Q28" s="320"/>
      <c r="R28" s="320"/>
      <c r="S28" s="320">
        <v>0</v>
      </c>
      <c r="T28" s="320">
        <f t="shared" si="98"/>
        <v>143.5</v>
      </c>
    </row>
    <row r="29" spans="3:58" hidden="1" x14ac:dyDescent="0.3">
      <c r="D29" s="171" t="s">
        <v>930</v>
      </c>
      <c r="E29" s="171" t="s">
        <v>66</v>
      </c>
      <c r="F29" s="320">
        <v>42.84</v>
      </c>
      <c r="G29" s="320">
        <v>0</v>
      </c>
      <c r="H29" s="320">
        <v>0</v>
      </c>
      <c r="I29" s="320"/>
      <c r="J29" s="320"/>
      <c r="K29" s="320">
        <f t="shared" si="95"/>
        <v>42.84</v>
      </c>
      <c r="L29" s="320">
        <v>0</v>
      </c>
      <c r="M29" s="320">
        <v>153.75</v>
      </c>
      <c r="N29" s="320">
        <v>0</v>
      </c>
      <c r="O29" s="320">
        <f t="shared" si="96"/>
        <v>153.75</v>
      </c>
      <c r="P29" s="320">
        <f t="shared" si="97"/>
        <v>196.59</v>
      </c>
      <c r="Q29" s="320"/>
      <c r="R29" s="320"/>
      <c r="S29" s="320">
        <v>0</v>
      </c>
      <c r="T29" s="320">
        <f t="shared" si="98"/>
        <v>196.59</v>
      </c>
    </row>
    <row r="30" spans="3:58" hidden="1" x14ac:dyDescent="0.3">
      <c r="D30" s="171" t="s">
        <v>876</v>
      </c>
      <c r="E30" s="171" t="s">
        <v>66</v>
      </c>
      <c r="F30" s="320">
        <v>2756.5039999999999</v>
      </c>
      <c r="G30" s="320">
        <v>3013.4999999999995</v>
      </c>
      <c r="H30" s="320">
        <v>6814.2</v>
      </c>
      <c r="I30" s="320"/>
      <c r="J30" s="320"/>
      <c r="K30" s="320">
        <f t="shared" si="95"/>
        <v>12584.203999999998</v>
      </c>
      <c r="L30" s="320">
        <v>5334.0999999999995</v>
      </c>
      <c r="M30" s="320">
        <v>6262.75</v>
      </c>
      <c r="N30" s="320">
        <v>9301</v>
      </c>
      <c r="O30" s="320">
        <f t="shared" si="96"/>
        <v>20897.849999999999</v>
      </c>
      <c r="P30" s="320">
        <f t="shared" si="97"/>
        <v>33482.053999999996</v>
      </c>
      <c r="Q30" s="320"/>
      <c r="R30" s="320"/>
      <c r="S30" s="320">
        <v>7052</v>
      </c>
      <c r="T30" s="320">
        <f t="shared" si="98"/>
        <v>40534.053999999996</v>
      </c>
    </row>
    <row r="31" spans="3:58" ht="18" hidden="1" x14ac:dyDescent="0.35">
      <c r="D31" s="953" t="s">
        <v>2</v>
      </c>
      <c r="E31" s="953"/>
      <c r="F31" s="954">
        <f>SUM(F24:F30)</f>
        <v>4710.9039999999995</v>
      </c>
      <c r="G31" s="954">
        <f t="shared" ref="G31:S31" si="99">SUM(G24:G30)</f>
        <v>3802.7499999999995</v>
      </c>
      <c r="H31" s="954">
        <f t="shared" si="99"/>
        <v>10045</v>
      </c>
      <c r="I31" s="954"/>
      <c r="J31" s="954"/>
      <c r="K31" s="954">
        <f t="shared" si="95"/>
        <v>18558.653999999999</v>
      </c>
      <c r="L31" s="954">
        <f t="shared" si="99"/>
        <v>7888.4</v>
      </c>
      <c r="M31" s="954">
        <f t="shared" si="99"/>
        <v>8501.35</v>
      </c>
      <c r="N31" s="954">
        <f t="shared" si="99"/>
        <v>12869</v>
      </c>
      <c r="O31" s="954">
        <f t="shared" si="96"/>
        <v>29258.75</v>
      </c>
      <c r="P31" s="954">
        <f t="shared" si="97"/>
        <v>47817.403999999995</v>
      </c>
      <c r="Q31" s="954"/>
      <c r="R31" s="954"/>
      <c r="S31" s="954">
        <f t="shared" si="99"/>
        <v>11568.150000000001</v>
      </c>
      <c r="T31" s="954">
        <f>SUM(T24:T30)</f>
        <v>59385.553999999996</v>
      </c>
    </row>
  </sheetData>
  <mergeCells count="32">
    <mergeCell ref="AY3:AZ3"/>
    <mergeCell ref="BE3:BF3"/>
    <mergeCell ref="BA3:BB3"/>
    <mergeCell ref="BC3:BD3"/>
    <mergeCell ref="D21:T21"/>
    <mergeCell ref="C17:D17"/>
    <mergeCell ref="S3:T3"/>
    <mergeCell ref="O3:P3"/>
    <mergeCell ref="E3:F3"/>
    <mergeCell ref="C5:C9"/>
    <mergeCell ref="I3:J3"/>
    <mergeCell ref="K3:L3"/>
    <mergeCell ref="M3:N3"/>
    <mergeCell ref="Q3:R3"/>
    <mergeCell ref="AA3:AB3"/>
    <mergeCell ref="C10:C16"/>
    <mergeCell ref="C1:T1"/>
    <mergeCell ref="G3:H3"/>
    <mergeCell ref="U3:V3"/>
    <mergeCell ref="W3:X3"/>
    <mergeCell ref="Y3:Z3"/>
    <mergeCell ref="AU3:AV3"/>
    <mergeCell ref="AW3:AX3"/>
    <mergeCell ref="AG3:AH3"/>
    <mergeCell ref="AI3:AJ3"/>
    <mergeCell ref="AC3:AD3"/>
    <mergeCell ref="AE3:AF3"/>
    <mergeCell ref="AQ3:AR3"/>
    <mergeCell ref="AS3:AT3"/>
    <mergeCell ref="AK3:AL3"/>
    <mergeCell ref="AO3:AP3"/>
    <mergeCell ref="AM3:AN3"/>
  </mergeCells>
  <printOptions horizontalCentered="1" verticalCentered="1"/>
  <pageMargins left="0" right="0" top="0" bottom="0" header="0" footer="0"/>
  <pageSetup paperSize="9" scale="81"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tabColor rgb="FF92D050"/>
  </sheetPr>
  <dimension ref="D2:BM18"/>
  <sheetViews>
    <sheetView topLeftCell="C1" workbookViewId="0">
      <selection activeCell="BJ14" sqref="BJ14"/>
    </sheetView>
  </sheetViews>
  <sheetFormatPr defaultRowHeight="14.4" x14ac:dyDescent="0.3"/>
  <cols>
    <col min="1" max="2" width="0" hidden="1" customWidth="1"/>
    <col min="4" max="4" width="38.6640625" bestFit="1" customWidth="1"/>
    <col min="5" max="5" width="12.109375" customWidth="1"/>
    <col min="6" max="6" width="9.109375" hidden="1" customWidth="1"/>
    <col min="7" max="7" width="10.88671875" customWidth="1"/>
    <col min="8" max="8" width="2.6640625" hidden="1" customWidth="1"/>
    <col min="9" max="9" width="10.6640625" customWidth="1"/>
    <col min="10" max="10" width="2.6640625" hidden="1" customWidth="1"/>
    <col min="11" max="11" width="8.44140625" customWidth="1"/>
    <col min="12" max="12" width="2.6640625" hidden="1" customWidth="1"/>
    <col min="13" max="13" width="11.109375" hidden="1" customWidth="1"/>
    <col min="14" max="14" width="2.6640625" hidden="1" customWidth="1"/>
    <col min="15" max="15" width="10.33203125" hidden="1" customWidth="1"/>
    <col min="16" max="16" width="2.6640625" hidden="1" customWidth="1"/>
    <col min="17" max="17" width="10" hidden="1" customWidth="1"/>
    <col min="18" max="18" width="2.6640625" hidden="1" customWidth="1"/>
    <col min="19" max="19" width="8.44140625" hidden="1" customWidth="1"/>
    <col min="20" max="20" width="2.6640625" hidden="1" customWidth="1"/>
    <col min="21" max="21" width="9.5546875" hidden="1" customWidth="1"/>
    <col min="22" max="22" width="2.6640625" hidden="1" customWidth="1"/>
    <col min="23" max="23" width="10.88671875" hidden="1" customWidth="1"/>
    <col min="24" max="24" width="2.6640625" hidden="1" customWidth="1"/>
    <col min="25" max="25" width="8.44140625" hidden="1" customWidth="1"/>
    <col min="26" max="26" width="2.6640625" hidden="1" customWidth="1"/>
    <col min="27" max="27" width="8.88671875" hidden="1" customWidth="1"/>
    <col min="28" max="28" width="2.6640625" hidden="1" customWidth="1"/>
    <col min="29" max="29" width="8.44140625" hidden="1" customWidth="1"/>
    <col min="30" max="32" width="9.109375" hidden="1" customWidth="1"/>
    <col min="33" max="33" width="9.88671875" hidden="1" customWidth="1"/>
    <col min="34" max="36" width="9.109375" hidden="1" customWidth="1"/>
    <col min="37" max="37" width="9.88671875" hidden="1" customWidth="1"/>
    <col min="38" max="42" width="9.109375" hidden="1" customWidth="1"/>
    <col min="43" max="43" width="9.88671875" hidden="1" customWidth="1"/>
    <col min="44" max="46" width="9.109375" hidden="1" customWidth="1"/>
    <col min="47" max="47" width="9.88671875" hidden="1" customWidth="1"/>
    <col min="48" max="50" width="9.109375" hidden="1" customWidth="1"/>
    <col min="51" max="51" width="9.88671875" hidden="1" customWidth="1"/>
    <col min="52" max="56" width="9.109375" hidden="1" customWidth="1"/>
    <col min="57" max="57" width="9.88671875" hidden="1" customWidth="1"/>
    <col min="58" max="58" width="9.109375" hidden="1" customWidth="1"/>
    <col min="59" max="59" width="9.88671875" hidden="1" customWidth="1"/>
    <col min="60" max="61" width="9.109375" customWidth="1"/>
  </cols>
  <sheetData>
    <row r="2" spans="4:65" ht="26.4" thickBot="1" x14ac:dyDescent="0.55000000000000004">
      <c r="D2" s="6441" t="s">
        <v>1722</v>
      </c>
      <c r="E2" s="6441"/>
      <c r="F2" s="6441"/>
      <c r="G2" s="6441"/>
      <c r="H2" s="6441"/>
      <c r="I2" s="6441"/>
      <c r="J2" s="6441"/>
      <c r="K2" s="6441"/>
      <c r="L2" s="6441"/>
      <c r="M2" s="6441"/>
      <c r="N2" s="6441"/>
      <c r="O2" s="6441"/>
      <c r="P2" s="6441"/>
      <c r="Q2" s="6441"/>
      <c r="R2" s="6441"/>
      <c r="S2" s="6441"/>
      <c r="T2" s="6441"/>
      <c r="U2" s="6441"/>
      <c r="V2" s="6441"/>
      <c r="W2" s="6441"/>
      <c r="X2" s="6441"/>
      <c r="Y2" s="6441"/>
      <c r="Z2" s="6441"/>
      <c r="AA2" s="6441"/>
      <c r="AB2" s="6441"/>
      <c r="AC2" s="6441"/>
      <c r="AD2" s="6441"/>
      <c r="AE2" s="6441"/>
      <c r="AF2" s="6441"/>
      <c r="AG2" s="6441"/>
      <c r="AH2" s="6441"/>
      <c r="AI2" s="6441"/>
      <c r="AJ2" s="6441"/>
      <c r="AK2" s="6441"/>
    </row>
    <row r="3" spans="4:65" s="29" customFormat="1" ht="18" x14ac:dyDescent="0.3">
      <c r="D3" s="1067"/>
      <c r="E3" s="1068"/>
      <c r="F3" s="6432" t="s">
        <v>2239</v>
      </c>
      <c r="G3" s="6433"/>
      <c r="H3" s="6432" t="s">
        <v>2260</v>
      </c>
      <c r="I3" s="6433"/>
      <c r="J3" s="6434" t="s">
        <v>624</v>
      </c>
      <c r="K3" s="6435"/>
      <c r="L3" s="6432" t="s">
        <v>1963</v>
      </c>
      <c r="M3" s="6433"/>
      <c r="N3" s="6436" t="s">
        <v>604</v>
      </c>
      <c r="O3" s="6437"/>
      <c r="P3" s="6432" t="s">
        <v>1985</v>
      </c>
      <c r="Q3" s="6433"/>
      <c r="R3" s="6434" t="s">
        <v>617</v>
      </c>
      <c r="S3" s="6435"/>
      <c r="T3" s="6432" t="s">
        <v>1988</v>
      </c>
      <c r="U3" s="6433"/>
      <c r="V3" s="6434" t="s">
        <v>18</v>
      </c>
      <c r="W3" s="6435"/>
      <c r="X3" s="6432" t="s">
        <v>2019</v>
      </c>
      <c r="Y3" s="6433"/>
      <c r="Z3" s="6436" t="s">
        <v>625</v>
      </c>
      <c r="AA3" s="6437"/>
      <c r="AB3" s="6442" t="s">
        <v>623</v>
      </c>
      <c r="AC3" s="6443"/>
      <c r="AD3" s="6432" t="s">
        <v>2043</v>
      </c>
      <c r="AE3" s="6433"/>
      <c r="AF3" s="6434" t="s">
        <v>24</v>
      </c>
      <c r="AG3" s="6435"/>
      <c r="AH3" s="6432" t="s">
        <v>2064</v>
      </c>
      <c r="AI3" s="6433"/>
      <c r="AJ3" s="6434" t="s">
        <v>27</v>
      </c>
      <c r="AK3" s="6435"/>
      <c r="AL3" s="6432" t="s">
        <v>2088</v>
      </c>
      <c r="AM3" s="6433"/>
      <c r="AN3" s="6436" t="s">
        <v>627</v>
      </c>
      <c r="AO3" s="6437"/>
      <c r="AP3" s="6434" t="s">
        <v>1565</v>
      </c>
      <c r="AQ3" s="6435"/>
      <c r="AR3" s="6432" t="s">
        <v>2099</v>
      </c>
      <c r="AS3" s="6433"/>
      <c r="AT3" s="6434" t="s">
        <v>28</v>
      </c>
      <c r="AU3" s="6435"/>
      <c r="AV3" s="6432" t="s">
        <v>2136</v>
      </c>
      <c r="AW3" s="6433"/>
      <c r="AX3" s="6434" t="s">
        <v>30</v>
      </c>
      <c r="AY3" s="6435"/>
      <c r="AZ3" s="6432" t="s">
        <v>2154</v>
      </c>
      <c r="BA3" s="6433"/>
      <c r="BB3" s="6436" t="s">
        <v>628</v>
      </c>
      <c r="BC3" s="6437"/>
      <c r="BD3" s="6442" t="s">
        <v>634</v>
      </c>
      <c r="BE3" s="6443"/>
      <c r="BF3" s="6434" t="s">
        <v>1961</v>
      </c>
      <c r="BG3" s="6435"/>
    </row>
    <row r="4" spans="4:65" ht="18" x14ac:dyDescent="0.35">
      <c r="D4" s="1069" t="s">
        <v>925</v>
      </c>
      <c r="E4" s="6438" t="s">
        <v>66</v>
      </c>
      <c r="F4" s="1016"/>
      <c r="G4" s="1016">
        <f>+'Value added steel '!G12</f>
        <v>207.05</v>
      </c>
      <c r="H4" s="1016"/>
      <c r="I4" s="1016">
        <f>+'Value added steel '!I12</f>
        <v>1373.5</v>
      </c>
      <c r="J4" s="585"/>
      <c r="K4" s="585">
        <f>+G4+I4</f>
        <v>1580.55</v>
      </c>
      <c r="L4" s="1016"/>
      <c r="M4" s="1016">
        <f>+'Value added steel '!M12</f>
        <v>699.05000000000007</v>
      </c>
      <c r="N4" s="589"/>
      <c r="O4" s="589">
        <f>+G4+I4+M4</f>
        <v>2279.6</v>
      </c>
      <c r="P4" s="1016"/>
      <c r="Q4" s="1016">
        <f>+'Value added steel '!Q12</f>
        <v>455.09999999999997</v>
      </c>
      <c r="R4" s="585"/>
      <c r="S4" s="585">
        <f>+O4+Q4</f>
        <v>2734.7</v>
      </c>
      <c r="T4" s="1016"/>
      <c r="U4" s="1016">
        <f>+'Value added steel '!U12</f>
        <v>1242.3</v>
      </c>
      <c r="V4" s="585"/>
      <c r="W4" s="585">
        <f>+S4+U4</f>
        <v>3977</v>
      </c>
      <c r="X4" s="1016"/>
      <c r="Y4" s="1016">
        <f>+'Value added steel '!Y12</f>
        <v>742.1</v>
      </c>
      <c r="Z4" s="589"/>
      <c r="AA4" s="589">
        <f>+Q4+U4+Y4</f>
        <v>2439.5</v>
      </c>
      <c r="AB4" s="1066"/>
      <c r="AC4" s="1066">
        <f>+O4+AA4</f>
        <v>4719.1000000000004</v>
      </c>
      <c r="AD4" s="1016"/>
      <c r="AE4" s="1016">
        <f>+'Value added steel '!AE12</f>
        <v>0</v>
      </c>
      <c r="AF4" s="585"/>
      <c r="AG4" s="585">
        <f>+AC4+AE4</f>
        <v>4719.1000000000004</v>
      </c>
      <c r="AH4" s="1016"/>
      <c r="AI4" s="1016">
        <f>+'Value added steel '!AI12</f>
        <v>1869.6</v>
      </c>
      <c r="AJ4" s="585"/>
      <c r="AK4" s="585">
        <f>+AG4+AI4</f>
        <v>6588.7000000000007</v>
      </c>
      <c r="AL4" s="1016"/>
      <c r="AM4" s="1016">
        <f>+'Value added steel '!AM12</f>
        <v>399.75</v>
      </c>
      <c r="AN4" s="589"/>
      <c r="AO4" s="589">
        <f>+AE4+AI4+AM4</f>
        <v>2269.35</v>
      </c>
      <c r="AP4" s="585"/>
      <c r="AQ4" s="585">
        <f>+AK4+AM4</f>
        <v>6988.4500000000007</v>
      </c>
      <c r="AR4" s="1016"/>
      <c r="AS4" s="1016">
        <f>+'Value added steel '!AS12</f>
        <v>655.99999999999989</v>
      </c>
      <c r="AT4" s="585"/>
      <c r="AU4" s="585">
        <f>+AQ4+AS4</f>
        <v>7644.4500000000007</v>
      </c>
      <c r="AV4" s="1016"/>
      <c r="AW4" s="1016">
        <f>+'Value added steel '!AW12</f>
        <v>979.90000000000009</v>
      </c>
      <c r="AX4" s="585"/>
      <c r="AY4" s="585">
        <f>+AU4+AW4</f>
        <v>8624.35</v>
      </c>
      <c r="AZ4" s="1016"/>
      <c r="BA4" s="1016">
        <f>+'Value added steel '!BA12</f>
        <v>186.55</v>
      </c>
      <c r="BB4" s="589"/>
      <c r="BC4" s="589">
        <f>+AS4+AW4+BA4</f>
        <v>1822.45</v>
      </c>
      <c r="BD4" s="1066"/>
      <c r="BE4" s="1066">
        <f>+AO4+BC4</f>
        <v>4091.8</v>
      </c>
      <c r="BF4" s="585"/>
      <c r="BG4" s="585">
        <f>+AY4+BA4</f>
        <v>8810.9</v>
      </c>
      <c r="BH4" s="23"/>
      <c r="BI4" s="23"/>
      <c r="BJ4" s="23"/>
    </row>
    <row r="5" spans="4:65" ht="18" x14ac:dyDescent="0.35">
      <c r="D5" s="1069" t="s">
        <v>1535</v>
      </c>
      <c r="E5" s="6439"/>
      <c r="F5" s="1016"/>
      <c r="G5" s="1016">
        <f>+'Value added steel '!G13</f>
        <v>0</v>
      </c>
      <c r="H5" s="1016"/>
      <c r="I5" s="1016">
        <f>+'Value added steel '!I13</f>
        <v>0</v>
      </c>
      <c r="J5" s="585"/>
      <c r="K5" s="585">
        <f t="shared" ref="K5:K15" si="0">+G5+I5</f>
        <v>0</v>
      </c>
      <c r="L5" s="1016"/>
      <c r="M5" s="1016">
        <f>+'Value added steel '!M13</f>
        <v>0</v>
      </c>
      <c r="N5" s="589"/>
      <c r="O5" s="589">
        <f t="shared" ref="O5:O15" si="1">+G5+I5+M5</f>
        <v>0</v>
      </c>
      <c r="P5" s="1016"/>
      <c r="Q5" s="1016">
        <f>+'Value added steel '!Q13</f>
        <v>0</v>
      </c>
      <c r="R5" s="585"/>
      <c r="S5" s="585">
        <f t="shared" ref="S5:S15" si="2">+O5+Q5</f>
        <v>0</v>
      </c>
      <c r="T5" s="1016"/>
      <c r="U5" s="1016">
        <f>+'Value added steel '!U13</f>
        <v>0</v>
      </c>
      <c r="V5" s="585"/>
      <c r="W5" s="585">
        <f t="shared" ref="W5:W14" si="3">+S5+U5</f>
        <v>0</v>
      </c>
      <c r="X5" s="1016"/>
      <c r="Y5" s="1016">
        <f>+'Value added steel '!Y13</f>
        <v>0</v>
      </c>
      <c r="Z5" s="589"/>
      <c r="AA5" s="589">
        <f t="shared" ref="AA5:AA15" si="4">+Q5+U5+Y5</f>
        <v>0</v>
      </c>
      <c r="AB5" s="1066"/>
      <c r="AC5" s="1066">
        <f t="shared" ref="AC5:AC15" si="5">+O5+AA5</f>
        <v>0</v>
      </c>
      <c r="AD5" s="1016"/>
      <c r="AE5" s="1016">
        <f>+'Value added steel '!AE13</f>
        <v>0</v>
      </c>
      <c r="AF5" s="585"/>
      <c r="AG5" s="585">
        <f t="shared" ref="AG5:AG13" si="6">+AC5+AE5</f>
        <v>0</v>
      </c>
      <c r="AH5" s="1016"/>
      <c r="AI5" s="1016">
        <f>+'Value added steel '!AI13</f>
        <v>0</v>
      </c>
      <c r="AJ5" s="585"/>
      <c r="AK5" s="585">
        <f t="shared" ref="AK5:AK15" si="7">+AG5+AI5</f>
        <v>0</v>
      </c>
      <c r="AL5" s="1016"/>
      <c r="AM5" s="1016">
        <f>+'Value added steel '!AM13</f>
        <v>0</v>
      </c>
      <c r="AN5" s="589"/>
      <c r="AO5" s="589">
        <f t="shared" ref="AO5:AO15" si="8">+AE5+AI5+AM5</f>
        <v>0</v>
      </c>
      <c r="AP5" s="585"/>
      <c r="AQ5" s="585">
        <f t="shared" ref="AQ5:AQ14" si="9">+AK5+AM5</f>
        <v>0</v>
      </c>
      <c r="AR5" s="1016"/>
      <c r="AS5" s="1016">
        <f>+'Value added steel '!AS13</f>
        <v>0</v>
      </c>
      <c r="AT5" s="585"/>
      <c r="AU5" s="585">
        <f t="shared" ref="AU5:AU14" si="10">+AQ5+AS5</f>
        <v>0</v>
      </c>
      <c r="AV5" s="1016"/>
      <c r="AW5" s="1016">
        <f>+'Value added steel '!AW13</f>
        <v>0</v>
      </c>
      <c r="AX5" s="585"/>
      <c r="AY5" s="585">
        <f t="shared" ref="AY5:AY15" si="11">+AU5+AW5</f>
        <v>0</v>
      </c>
      <c r="AZ5" s="1016"/>
      <c r="BA5" s="1016">
        <f>+'Value added steel '!BA13</f>
        <v>0</v>
      </c>
      <c r="BB5" s="589"/>
      <c r="BC5" s="589">
        <f t="shared" ref="BC5:BC12" si="12">+AS5+AW5+BA5</f>
        <v>0</v>
      </c>
      <c r="BD5" s="1066"/>
      <c r="BE5" s="1066">
        <f t="shared" ref="BE5:BE12" si="13">+AO5+BC5</f>
        <v>0</v>
      </c>
      <c r="BF5" s="585"/>
      <c r="BG5" s="585">
        <f t="shared" ref="BG5:BG12" si="14">+AY5+BA5</f>
        <v>0</v>
      </c>
      <c r="BH5" s="23"/>
      <c r="BI5" s="23"/>
      <c r="BJ5" s="23"/>
    </row>
    <row r="6" spans="4:65" ht="18" x14ac:dyDescent="0.35">
      <c r="D6" s="1069" t="s">
        <v>928</v>
      </c>
      <c r="E6" s="6439"/>
      <c r="F6" s="3948"/>
      <c r="G6" s="1016">
        <f>+'Value added steel '!G14</f>
        <v>0</v>
      </c>
      <c r="H6" s="3948"/>
      <c r="I6" s="1016">
        <f>+'Value added steel '!I14</f>
        <v>528.90000000000009</v>
      </c>
      <c r="J6" s="3949"/>
      <c r="K6" s="585">
        <f t="shared" si="0"/>
        <v>528.90000000000009</v>
      </c>
      <c r="L6" s="3948"/>
      <c r="M6" s="1016">
        <f>+'Value added steel '!M14</f>
        <v>502.24999999999994</v>
      </c>
      <c r="N6" s="3950"/>
      <c r="O6" s="589">
        <f t="shared" si="1"/>
        <v>1031.1500000000001</v>
      </c>
      <c r="P6" s="3948"/>
      <c r="Q6" s="1016">
        <f>+'Value added steel '!Q14</f>
        <v>338.25</v>
      </c>
      <c r="R6" s="3949"/>
      <c r="S6" s="585">
        <f t="shared" si="2"/>
        <v>1369.4</v>
      </c>
      <c r="T6" s="3948"/>
      <c r="U6" s="1016">
        <f>+'Value added steel '!U14</f>
        <v>338.25</v>
      </c>
      <c r="V6" s="3949"/>
      <c r="W6" s="585">
        <f t="shared" si="3"/>
        <v>1707.65</v>
      </c>
      <c r="X6" s="3948"/>
      <c r="Y6" s="1016">
        <f>+'Value added steel '!Y14</f>
        <v>319.8</v>
      </c>
      <c r="Z6" s="3950"/>
      <c r="AA6" s="589">
        <f t="shared" si="4"/>
        <v>996.3</v>
      </c>
      <c r="AB6" s="3951"/>
      <c r="AC6" s="1066">
        <f t="shared" si="5"/>
        <v>2027.45</v>
      </c>
      <c r="AD6" s="3948"/>
      <c r="AE6" s="1016">
        <f>+'Value added steel '!AE14</f>
        <v>0</v>
      </c>
      <c r="AF6" s="3949"/>
      <c r="AG6" s="585">
        <f t="shared" si="6"/>
        <v>2027.45</v>
      </c>
      <c r="AH6" s="3948"/>
      <c r="AI6" s="1016">
        <f>+'Value added steel '!AI14</f>
        <v>0</v>
      </c>
      <c r="AJ6" s="3949"/>
      <c r="AK6" s="585">
        <f t="shared" si="7"/>
        <v>2027.45</v>
      </c>
      <c r="AL6" s="3948"/>
      <c r="AM6" s="1016">
        <f>+'Value added steel '!AM14</f>
        <v>709.30000000000007</v>
      </c>
      <c r="AN6" s="3950"/>
      <c r="AO6" s="589">
        <f t="shared" si="8"/>
        <v>709.30000000000007</v>
      </c>
      <c r="AP6" s="3949"/>
      <c r="AQ6" s="585">
        <f t="shared" si="9"/>
        <v>2736.75</v>
      </c>
      <c r="AR6" s="3948"/>
      <c r="AS6" s="1016">
        <f>+'Value added steel '!AS14</f>
        <v>699.05</v>
      </c>
      <c r="AT6" s="3949"/>
      <c r="AU6" s="585">
        <f t="shared" si="10"/>
        <v>3435.8</v>
      </c>
      <c r="AV6" s="3948"/>
      <c r="AW6" s="1016">
        <f>+'Value added steel '!AW14</f>
        <v>0</v>
      </c>
      <c r="AX6" s="3949"/>
      <c r="AY6" s="585">
        <f t="shared" si="11"/>
        <v>3435.8</v>
      </c>
      <c r="AZ6" s="3948"/>
      <c r="BA6" s="1016">
        <f>+'Value added steel '!BA14</f>
        <v>120.95</v>
      </c>
      <c r="BB6" s="3950"/>
      <c r="BC6" s="589">
        <f t="shared" si="12"/>
        <v>820</v>
      </c>
      <c r="BD6" s="3951"/>
      <c r="BE6" s="1066">
        <f t="shared" si="13"/>
        <v>1529.3000000000002</v>
      </c>
      <c r="BF6" s="3949"/>
      <c r="BG6" s="585">
        <f t="shared" si="14"/>
        <v>3556.75</v>
      </c>
      <c r="BH6" s="23"/>
      <c r="BI6" s="23"/>
      <c r="BJ6" s="23"/>
    </row>
    <row r="7" spans="4:65" ht="18" x14ac:dyDescent="0.35">
      <c r="D7" s="1069" t="s">
        <v>927</v>
      </c>
      <c r="E7" s="6439"/>
      <c r="F7" s="3948"/>
      <c r="G7" s="1016">
        <f>+'Value added steel '!G15</f>
        <v>1576.4499999999998</v>
      </c>
      <c r="H7" s="3948"/>
      <c r="I7" s="1016">
        <f>+'Value added steel '!I15</f>
        <v>1580.55</v>
      </c>
      <c r="J7" s="3949"/>
      <c r="K7" s="585">
        <f t="shared" si="0"/>
        <v>3157</v>
      </c>
      <c r="L7" s="3948"/>
      <c r="M7" s="1016">
        <f>+'Value added steel '!M15</f>
        <v>1012.7</v>
      </c>
      <c r="N7" s="3950"/>
      <c r="O7" s="589">
        <f t="shared" si="1"/>
        <v>4169.7</v>
      </c>
      <c r="P7" s="3948"/>
      <c r="Q7" s="1016">
        <f>+'Value added steel '!Q15</f>
        <v>1246.3999999999999</v>
      </c>
      <c r="R7" s="3949"/>
      <c r="S7" s="585">
        <f t="shared" si="2"/>
        <v>5416.0999999999995</v>
      </c>
      <c r="T7" s="3948"/>
      <c r="U7" s="1016">
        <f>+'Value added steel '!U15</f>
        <v>1609.25</v>
      </c>
      <c r="V7" s="3949"/>
      <c r="W7" s="585">
        <f t="shared" si="3"/>
        <v>7025.3499999999995</v>
      </c>
      <c r="X7" s="3948"/>
      <c r="Y7" s="1016">
        <f>+'Value added steel '!Y15</f>
        <v>1783.5</v>
      </c>
      <c r="Z7" s="3950"/>
      <c r="AA7" s="589">
        <f t="shared" si="4"/>
        <v>4639.1499999999996</v>
      </c>
      <c r="AB7" s="3951"/>
      <c r="AC7" s="1066">
        <f t="shared" si="5"/>
        <v>8808.8499999999985</v>
      </c>
      <c r="AD7" s="3948"/>
      <c r="AE7" s="1016">
        <f>+'Value added steel '!AE15</f>
        <v>813.85</v>
      </c>
      <c r="AF7" s="3949"/>
      <c r="AG7" s="585">
        <f t="shared" si="6"/>
        <v>9622.6999999999989</v>
      </c>
      <c r="AH7" s="3948"/>
      <c r="AI7" s="1016">
        <f>+'Value added steel '!AI15</f>
        <v>1603.1000000000001</v>
      </c>
      <c r="AJ7" s="3949"/>
      <c r="AK7" s="585">
        <f t="shared" si="7"/>
        <v>11225.8</v>
      </c>
      <c r="AL7" s="3948"/>
      <c r="AM7" s="1016">
        <f>+'Value added steel '!AM15</f>
        <v>1227.9500000000003</v>
      </c>
      <c r="AN7" s="3950"/>
      <c r="AO7" s="589">
        <f t="shared" si="8"/>
        <v>3644.9000000000005</v>
      </c>
      <c r="AP7" s="3949"/>
      <c r="AQ7" s="585">
        <f t="shared" si="9"/>
        <v>12453.75</v>
      </c>
      <c r="AR7" s="3948"/>
      <c r="AS7" s="1016">
        <f>+'Value added steel '!AS15</f>
        <v>2457.9500000000003</v>
      </c>
      <c r="AT7" s="3949"/>
      <c r="AU7" s="585">
        <f t="shared" si="10"/>
        <v>14911.7</v>
      </c>
      <c r="AV7" s="3948"/>
      <c r="AW7" s="1016">
        <f>+'Value added steel '!AW15</f>
        <v>1457.5500000000004</v>
      </c>
      <c r="AX7" s="3949"/>
      <c r="AY7" s="585">
        <f t="shared" si="11"/>
        <v>16369.250000000002</v>
      </c>
      <c r="AZ7" s="3948"/>
      <c r="BA7" s="1016">
        <f>+'Value added steel '!BA15</f>
        <v>1371.4499999999998</v>
      </c>
      <c r="BB7" s="3950"/>
      <c r="BC7" s="589">
        <f t="shared" si="12"/>
        <v>5286.9500000000007</v>
      </c>
      <c r="BD7" s="3951"/>
      <c r="BE7" s="1066">
        <f t="shared" si="13"/>
        <v>8931.8500000000022</v>
      </c>
      <c r="BF7" s="3949"/>
      <c r="BG7" s="585">
        <f t="shared" si="14"/>
        <v>17740.7</v>
      </c>
      <c r="BH7" s="23"/>
      <c r="BI7" s="23"/>
      <c r="BJ7" s="23"/>
    </row>
    <row r="8" spans="4:65" ht="18" x14ac:dyDescent="0.35">
      <c r="D8" s="1069" t="s">
        <v>1085</v>
      </c>
      <c r="E8" s="6439"/>
      <c r="F8" s="3948"/>
      <c r="G8" s="1016">
        <f>+'Value added steel '!G16</f>
        <v>123</v>
      </c>
      <c r="H8" s="3948"/>
      <c r="I8" s="1016">
        <f>+'Value added steel '!I16</f>
        <v>662.15000000000009</v>
      </c>
      <c r="J8" s="3949"/>
      <c r="K8" s="585">
        <f t="shared" si="0"/>
        <v>785.15000000000009</v>
      </c>
      <c r="L8" s="3948"/>
      <c r="M8" s="1016">
        <f>+'Value added steel '!M16</f>
        <v>0</v>
      </c>
      <c r="N8" s="3950"/>
      <c r="O8" s="589">
        <f t="shared" si="1"/>
        <v>785.15000000000009</v>
      </c>
      <c r="P8" s="3948"/>
      <c r="Q8" s="1016">
        <f>+'Value added steel '!Q16</f>
        <v>202.95</v>
      </c>
      <c r="R8" s="3949"/>
      <c r="S8" s="585">
        <f t="shared" si="2"/>
        <v>988.10000000000014</v>
      </c>
      <c r="T8" s="3948"/>
      <c r="U8" s="1016">
        <f>+'Value added steel '!U16</f>
        <v>399.74999999999994</v>
      </c>
      <c r="V8" s="3949"/>
      <c r="W8" s="585">
        <f t="shared" si="3"/>
        <v>1387.8500000000001</v>
      </c>
      <c r="X8" s="3948"/>
      <c r="Y8" s="1016">
        <f>+'Value added steel '!Y16</f>
        <v>0</v>
      </c>
      <c r="Z8" s="3950"/>
      <c r="AA8" s="589">
        <f t="shared" si="4"/>
        <v>602.69999999999993</v>
      </c>
      <c r="AB8" s="3951"/>
      <c r="AC8" s="1066">
        <f t="shared" si="5"/>
        <v>1387.85</v>
      </c>
      <c r="AD8" s="3948"/>
      <c r="AE8" s="1016">
        <f>+'Value added steel '!AE16</f>
        <v>0</v>
      </c>
      <c r="AF8" s="3949"/>
      <c r="AG8" s="585">
        <f t="shared" si="6"/>
        <v>1387.85</v>
      </c>
      <c r="AH8" s="3948"/>
      <c r="AI8" s="1016">
        <f>+'Value added steel '!AI16</f>
        <v>0</v>
      </c>
      <c r="AJ8" s="3949"/>
      <c r="AK8" s="585">
        <f t="shared" si="7"/>
        <v>1387.85</v>
      </c>
      <c r="AL8" s="3948"/>
      <c r="AM8" s="1016">
        <f>+'Value added steel '!AM16</f>
        <v>340.3</v>
      </c>
      <c r="AN8" s="3950"/>
      <c r="AO8" s="589">
        <f t="shared" si="8"/>
        <v>340.3</v>
      </c>
      <c r="AP8" s="3949"/>
      <c r="AQ8" s="585">
        <f t="shared" si="9"/>
        <v>1728.1499999999999</v>
      </c>
      <c r="AR8" s="3948"/>
      <c r="AS8" s="1016">
        <f>+'Value added steel '!AS16</f>
        <v>594.5</v>
      </c>
      <c r="AT8" s="3949"/>
      <c r="AU8" s="585">
        <f t="shared" si="10"/>
        <v>2322.6499999999996</v>
      </c>
      <c r="AV8" s="3948"/>
      <c r="AW8" s="1016">
        <f>+'Value added steel '!AW16</f>
        <v>291.10000000000002</v>
      </c>
      <c r="AX8" s="3949"/>
      <c r="AY8" s="585">
        <f t="shared" si="11"/>
        <v>2613.7499999999995</v>
      </c>
      <c r="AZ8" s="3948"/>
      <c r="BA8" s="1016">
        <f>+'Value added steel '!BA16</f>
        <v>0</v>
      </c>
      <c r="BB8" s="3950"/>
      <c r="BC8" s="589">
        <f t="shared" si="12"/>
        <v>885.6</v>
      </c>
      <c r="BD8" s="3951"/>
      <c r="BE8" s="1066">
        <f t="shared" si="13"/>
        <v>1225.9000000000001</v>
      </c>
      <c r="BF8" s="3949"/>
      <c r="BG8" s="585">
        <f t="shared" si="14"/>
        <v>2613.7499999999995</v>
      </c>
      <c r="BH8" s="23"/>
      <c r="BI8" s="23"/>
      <c r="BJ8" s="23"/>
    </row>
    <row r="9" spans="4:65" ht="18" x14ac:dyDescent="0.35">
      <c r="D9" s="1069" t="s">
        <v>929</v>
      </c>
      <c r="E9" s="6439"/>
      <c r="F9" s="3948"/>
      <c r="G9" s="1016">
        <f>+'Value added steel '!G17</f>
        <v>1970.0499999999997</v>
      </c>
      <c r="H9" s="3948"/>
      <c r="I9" s="1016">
        <f>+'Value added steel '!I17</f>
        <v>1994.6499999999999</v>
      </c>
      <c r="J9" s="3949"/>
      <c r="K9" s="585">
        <f t="shared" si="0"/>
        <v>3964.7</v>
      </c>
      <c r="L9" s="3948"/>
      <c r="M9" s="1016">
        <f>+'Value added steel '!M17</f>
        <v>1922.8999999999994</v>
      </c>
      <c r="N9" s="3950"/>
      <c r="O9" s="589">
        <f t="shared" si="1"/>
        <v>5887.5999999999995</v>
      </c>
      <c r="P9" s="3948"/>
      <c r="Q9" s="1016">
        <f>+'Value added steel '!Q17</f>
        <v>1215.6499999999999</v>
      </c>
      <c r="R9" s="3949"/>
      <c r="S9" s="585">
        <f t="shared" si="2"/>
        <v>7103.2499999999991</v>
      </c>
      <c r="T9" s="3948"/>
      <c r="U9" s="1016">
        <f>+'Value added steel '!U17</f>
        <v>2285.7500000000005</v>
      </c>
      <c r="V9" s="3949"/>
      <c r="W9" s="585">
        <f t="shared" si="3"/>
        <v>9389</v>
      </c>
      <c r="X9" s="3948"/>
      <c r="Y9" s="1016">
        <f>+'Value added steel '!Y17</f>
        <v>1029.0999999999999</v>
      </c>
      <c r="Z9" s="3950"/>
      <c r="AA9" s="589">
        <f t="shared" si="4"/>
        <v>4530.5</v>
      </c>
      <c r="AB9" s="3951"/>
      <c r="AC9" s="1066">
        <f t="shared" si="5"/>
        <v>10418.099999999999</v>
      </c>
      <c r="AD9" s="3948"/>
      <c r="AE9" s="1016">
        <f>+'Value added steel '!AE17</f>
        <v>861.00000000000023</v>
      </c>
      <c r="AF9" s="3949"/>
      <c r="AG9" s="585">
        <f t="shared" si="6"/>
        <v>11279.099999999999</v>
      </c>
      <c r="AH9" s="3948"/>
      <c r="AI9" s="1016">
        <f>+'Value added steel '!AI17</f>
        <v>2410.8000000000002</v>
      </c>
      <c r="AJ9" s="3949"/>
      <c r="AK9" s="585">
        <f t="shared" si="7"/>
        <v>13689.899999999998</v>
      </c>
      <c r="AL9" s="3948"/>
      <c r="AM9" s="1016">
        <f>+'Value added steel '!AM17</f>
        <v>711.34999999999991</v>
      </c>
      <c r="AN9" s="3950"/>
      <c r="AO9" s="589">
        <f t="shared" si="8"/>
        <v>3983.15</v>
      </c>
      <c r="AP9" s="3949"/>
      <c r="AQ9" s="585">
        <f t="shared" si="9"/>
        <v>14401.249999999998</v>
      </c>
      <c r="AR9" s="3948"/>
      <c r="AS9" s="1016">
        <f>+'Value added steel '!AS17</f>
        <v>2103.3000000000002</v>
      </c>
      <c r="AT9" s="3949"/>
      <c r="AU9" s="585">
        <f t="shared" si="10"/>
        <v>16504.55</v>
      </c>
      <c r="AV9" s="3948"/>
      <c r="AW9" s="1016">
        <f>+'Value added steel '!AW17</f>
        <v>1033.1999999999998</v>
      </c>
      <c r="AX9" s="3949"/>
      <c r="AY9" s="585">
        <f t="shared" si="11"/>
        <v>17537.75</v>
      </c>
      <c r="AZ9" s="3948"/>
      <c r="BA9" s="1016">
        <f>+'Value added steel '!BA17</f>
        <v>2339.0499999999997</v>
      </c>
      <c r="BB9" s="3950"/>
      <c r="BC9" s="589">
        <f t="shared" si="12"/>
        <v>5475.5499999999993</v>
      </c>
      <c r="BD9" s="3951"/>
      <c r="BE9" s="1066">
        <f t="shared" si="13"/>
        <v>9458.6999999999989</v>
      </c>
      <c r="BF9" s="3949"/>
      <c r="BG9" s="585">
        <f t="shared" si="14"/>
        <v>19876.8</v>
      </c>
      <c r="BH9" s="23"/>
      <c r="BI9" s="23"/>
      <c r="BJ9" s="23"/>
    </row>
    <row r="10" spans="4:65" ht="18" x14ac:dyDescent="0.35">
      <c r="D10" s="1069" t="s">
        <v>1089</v>
      </c>
      <c r="E10" s="6439"/>
      <c r="F10" s="2487"/>
      <c r="G10" s="1016">
        <f>+'Value added steel '!G18</f>
        <v>0</v>
      </c>
      <c r="H10" s="2487"/>
      <c r="I10" s="1016">
        <f>+'Value added steel '!I18</f>
        <v>0</v>
      </c>
      <c r="J10" s="2488"/>
      <c r="K10" s="585">
        <f t="shared" si="0"/>
        <v>0</v>
      </c>
      <c r="L10" s="2487"/>
      <c r="M10" s="1016">
        <f>+'Value added steel '!M18</f>
        <v>98.4</v>
      </c>
      <c r="N10" s="2489"/>
      <c r="O10" s="589">
        <f t="shared" si="1"/>
        <v>98.4</v>
      </c>
      <c r="P10" s="2487"/>
      <c r="Q10" s="1016">
        <f>+'Value added steel '!Q18</f>
        <v>6.1499999999999995</v>
      </c>
      <c r="R10" s="2488"/>
      <c r="S10" s="585">
        <f t="shared" si="2"/>
        <v>104.55000000000001</v>
      </c>
      <c r="T10" s="2487"/>
      <c r="U10" s="1016">
        <f>+'Value added steel '!U18</f>
        <v>6.15</v>
      </c>
      <c r="V10" s="2488"/>
      <c r="W10" s="585">
        <f t="shared" si="3"/>
        <v>110.70000000000002</v>
      </c>
      <c r="X10" s="2487"/>
      <c r="Y10" s="1016">
        <f>+'Value added steel '!Y18</f>
        <v>0</v>
      </c>
      <c r="Z10" s="2489"/>
      <c r="AA10" s="589">
        <f t="shared" si="4"/>
        <v>12.3</v>
      </c>
      <c r="AB10" s="1066"/>
      <c r="AC10" s="1066">
        <f t="shared" si="5"/>
        <v>110.7</v>
      </c>
      <c r="AD10" s="2487"/>
      <c r="AE10" s="1016">
        <f>+'Value added steel '!AE18</f>
        <v>94.3</v>
      </c>
      <c r="AF10" s="2488"/>
      <c r="AG10" s="585">
        <f t="shared" si="6"/>
        <v>205</v>
      </c>
      <c r="AH10" s="2487"/>
      <c r="AI10" s="1016">
        <f>+'Value added steel '!AI18</f>
        <v>2.0499999999999998</v>
      </c>
      <c r="AJ10" s="2488"/>
      <c r="AK10" s="585">
        <f t="shared" si="7"/>
        <v>207.05</v>
      </c>
      <c r="AL10" s="2487"/>
      <c r="AM10" s="1016">
        <f>+'Value added steel '!AM18</f>
        <v>92.25</v>
      </c>
      <c r="AN10" s="2489"/>
      <c r="AO10" s="589">
        <f t="shared" si="8"/>
        <v>188.6</v>
      </c>
      <c r="AP10" s="2488"/>
      <c r="AQ10" s="585">
        <f t="shared" si="9"/>
        <v>299.3</v>
      </c>
      <c r="AR10" s="2487"/>
      <c r="AS10" s="1016">
        <f>+'Value added steel '!AS18</f>
        <v>0</v>
      </c>
      <c r="AT10" s="2488"/>
      <c r="AU10" s="585">
        <f t="shared" si="10"/>
        <v>299.3</v>
      </c>
      <c r="AV10" s="2487"/>
      <c r="AW10" s="1016">
        <f>+'Value added steel '!AW18</f>
        <v>225.5</v>
      </c>
      <c r="AX10" s="2488"/>
      <c r="AY10" s="585">
        <f t="shared" si="11"/>
        <v>524.79999999999995</v>
      </c>
      <c r="AZ10" s="2487"/>
      <c r="BA10" s="1016">
        <f>+'Value added steel '!BA18</f>
        <v>53.3</v>
      </c>
      <c r="BB10" s="2489"/>
      <c r="BC10" s="589">
        <f t="shared" si="12"/>
        <v>278.8</v>
      </c>
      <c r="BD10" s="2490"/>
      <c r="BE10" s="1066">
        <f t="shared" si="13"/>
        <v>467.4</v>
      </c>
      <c r="BF10" s="2488"/>
      <c r="BG10" s="585">
        <f t="shared" si="14"/>
        <v>578.09999999999991</v>
      </c>
      <c r="BH10" s="23"/>
      <c r="BI10" s="23"/>
      <c r="BJ10" s="23"/>
      <c r="BM10" s="23"/>
    </row>
    <row r="11" spans="4:65" ht="18" x14ac:dyDescent="0.35">
      <c r="D11" s="1069" t="s">
        <v>930</v>
      </c>
      <c r="E11" s="6439"/>
      <c r="F11" s="1016"/>
      <c r="G11" s="1016">
        <f>+'Value added steel '!G19</f>
        <v>82</v>
      </c>
      <c r="H11" s="1016"/>
      <c r="I11" s="1016">
        <f>+'Value added steel '!I19</f>
        <v>0</v>
      </c>
      <c r="J11" s="585"/>
      <c r="K11" s="585">
        <f t="shared" si="0"/>
        <v>82</v>
      </c>
      <c r="L11" s="1016"/>
      <c r="M11" s="1016">
        <f>+'Value added steel '!M19</f>
        <v>0</v>
      </c>
      <c r="N11" s="589"/>
      <c r="O11" s="589">
        <f t="shared" si="1"/>
        <v>82</v>
      </c>
      <c r="P11" s="1016"/>
      <c r="Q11" s="1016">
        <f>+'Value added steel '!Q19</f>
        <v>0</v>
      </c>
      <c r="R11" s="585"/>
      <c r="S11" s="585">
        <f t="shared" si="2"/>
        <v>82</v>
      </c>
      <c r="T11" s="1016"/>
      <c r="U11" s="1016">
        <f>+'Value added steel '!U19</f>
        <v>0</v>
      </c>
      <c r="V11" s="585"/>
      <c r="W11" s="585">
        <f t="shared" si="3"/>
        <v>82</v>
      </c>
      <c r="X11" s="1016"/>
      <c r="Y11" s="1016">
        <f>+'Value added steel '!Y19</f>
        <v>0</v>
      </c>
      <c r="Z11" s="589"/>
      <c r="AA11" s="589">
        <f t="shared" si="4"/>
        <v>0</v>
      </c>
      <c r="AB11" s="1066"/>
      <c r="AC11" s="1066">
        <f t="shared" si="5"/>
        <v>82</v>
      </c>
      <c r="AD11" s="1016"/>
      <c r="AE11" s="1016">
        <f>+'Value added steel '!AE19</f>
        <v>0</v>
      </c>
      <c r="AF11" s="585"/>
      <c r="AG11" s="585">
        <f t="shared" si="6"/>
        <v>82</v>
      </c>
      <c r="AH11" s="1016"/>
      <c r="AI11" s="1016">
        <f>+'Value added steel '!AI19</f>
        <v>0</v>
      </c>
      <c r="AJ11" s="585"/>
      <c r="AK11" s="585">
        <f t="shared" si="7"/>
        <v>82</v>
      </c>
      <c r="AL11" s="1016"/>
      <c r="AM11" s="1016">
        <f>+'Value added steel '!AM19</f>
        <v>82</v>
      </c>
      <c r="AN11" s="589"/>
      <c r="AO11" s="589">
        <f t="shared" si="8"/>
        <v>82</v>
      </c>
      <c r="AP11" s="585"/>
      <c r="AQ11" s="585">
        <f t="shared" si="9"/>
        <v>164</v>
      </c>
      <c r="AR11" s="1016"/>
      <c r="AS11" s="1016">
        <f>+'Value added steel '!AS19</f>
        <v>0</v>
      </c>
      <c r="AT11" s="585"/>
      <c r="AU11" s="585">
        <f t="shared" si="10"/>
        <v>164</v>
      </c>
      <c r="AV11" s="1016"/>
      <c r="AW11" s="1016">
        <f>+'Value added steel '!AW19</f>
        <v>375.15</v>
      </c>
      <c r="AX11" s="585"/>
      <c r="AY11" s="585">
        <f t="shared" si="11"/>
        <v>539.15</v>
      </c>
      <c r="AZ11" s="1016"/>
      <c r="BA11" s="1016">
        <f>+'Value added steel '!BA19</f>
        <v>0</v>
      </c>
      <c r="BB11" s="589"/>
      <c r="BC11" s="589">
        <f t="shared" si="12"/>
        <v>375.15</v>
      </c>
      <c r="BD11" s="1066"/>
      <c r="BE11" s="1066">
        <f t="shared" si="13"/>
        <v>457.15</v>
      </c>
      <c r="BF11" s="585"/>
      <c r="BG11" s="585">
        <f t="shared" si="14"/>
        <v>539.15</v>
      </c>
      <c r="BH11" s="23"/>
      <c r="BI11" s="23"/>
      <c r="BJ11" s="23"/>
      <c r="BM11" s="23"/>
    </row>
    <row r="12" spans="4:65" ht="18" x14ac:dyDescent="0.35">
      <c r="D12" s="1069" t="s">
        <v>1793</v>
      </c>
      <c r="E12" s="6439"/>
      <c r="F12" s="1016"/>
      <c r="G12" s="1016">
        <f>+'Value added steel '!G20</f>
        <v>0</v>
      </c>
      <c r="H12" s="1016"/>
      <c r="I12" s="1016">
        <f>+'Value added steel '!I20</f>
        <v>0</v>
      </c>
      <c r="J12" s="585"/>
      <c r="K12" s="585">
        <f t="shared" si="0"/>
        <v>0</v>
      </c>
      <c r="L12" s="1016"/>
      <c r="M12" s="1016">
        <f>+'Value added steel '!M20</f>
        <v>79.95</v>
      </c>
      <c r="N12" s="589"/>
      <c r="O12" s="589">
        <f t="shared" si="1"/>
        <v>79.95</v>
      </c>
      <c r="P12" s="1016"/>
      <c r="Q12" s="1016">
        <f>+'Value added steel '!Q20</f>
        <v>0</v>
      </c>
      <c r="R12" s="585"/>
      <c r="S12" s="585">
        <f t="shared" si="2"/>
        <v>79.95</v>
      </c>
      <c r="T12" s="1016"/>
      <c r="U12" s="1016">
        <f>+'Value added steel '!U20</f>
        <v>0</v>
      </c>
      <c r="V12" s="585"/>
      <c r="W12" s="585">
        <f t="shared" si="3"/>
        <v>79.95</v>
      </c>
      <c r="X12" s="1016"/>
      <c r="Y12" s="1016">
        <f>+'Value added steel '!Y20</f>
        <v>0</v>
      </c>
      <c r="Z12" s="589"/>
      <c r="AA12" s="589">
        <f t="shared" si="4"/>
        <v>0</v>
      </c>
      <c r="AB12" s="1066"/>
      <c r="AC12" s="1066">
        <f t="shared" si="5"/>
        <v>79.95</v>
      </c>
      <c r="AD12" s="1016"/>
      <c r="AE12" s="1016">
        <f>+'Value added steel '!AE20</f>
        <v>0</v>
      </c>
      <c r="AF12" s="585"/>
      <c r="AG12" s="585">
        <f t="shared" si="6"/>
        <v>79.95</v>
      </c>
      <c r="AH12" s="1016"/>
      <c r="AI12" s="1016">
        <f>+'Value added steel '!AI20</f>
        <v>0</v>
      </c>
      <c r="AJ12" s="585"/>
      <c r="AK12" s="585">
        <f t="shared" si="7"/>
        <v>79.95</v>
      </c>
      <c r="AL12" s="1016"/>
      <c r="AM12" s="1016">
        <f>+'Value added steel '!AM20</f>
        <v>0</v>
      </c>
      <c r="AN12" s="589"/>
      <c r="AO12" s="589">
        <f t="shared" si="8"/>
        <v>0</v>
      </c>
      <c r="AP12" s="585"/>
      <c r="AQ12" s="585">
        <f t="shared" si="9"/>
        <v>79.95</v>
      </c>
      <c r="AR12" s="1016"/>
      <c r="AS12" s="1016">
        <f>+'Value added steel '!AS20</f>
        <v>0</v>
      </c>
      <c r="AT12" s="585"/>
      <c r="AU12" s="585">
        <f t="shared" si="10"/>
        <v>79.95</v>
      </c>
      <c r="AV12" s="1016"/>
      <c r="AW12" s="1016">
        <f>+'Value added steel '!AW20</f>
        <v>0</v>
      </c>
      <c r="AX12" s="585"/>
      <c r="AY12" s="585">
        <f t="shared" si="11"/>
        <v>79.95</v>
      </c>
      <c r="AZ12" s="1016"/>
      <c r="BA12" s="1016">
        <f>+'Value added steel '!BA20</f>
        <v>0</v>
      </c>
      <c r="BB12" s="589"/>
      <c r="BC12" s="589">
        <f t="shared" si="12"/>
        <v>0</v>
      </c>
      <c r="BD12" s="1066"/>
      <c r="BE12" s="1066">
        <f t="shared" si="13"/>
        <v>0</v>
      </c>
      <c r="BF12" s="585"/>
      <c r="BG12" s="585">
        <f t="shared" si="14"/>
        <v>79.95</v>
      </c>
      <c r="BH12" s="23"/>
      <c r="BI12" s="23"/>
      <c r="BJ12" s="23"/>
      <c r="BM12" s="23"/>
    </row>
    <row r="13" spans="4:65" ht="18" x14ac:dyDescent="0.35">
      <c r="D13" s="1069" t="s">
        <v>1794</v>
      </c>
      <c r="E13" s="6439"/>
      <c r="F13" s="1016"/>
      <c r="G13" s="1016">
        <f>+'Value added steel '!G21</f>
        <v>0</v>
      </c>
      <c r="H13" s="1016"/>
      <c r="I13" s="1016">
        <f>+'Value added steel '!I21</f>
        <v>0</v>
      </c>
      <c r="J13" s="585"/>
      <c r="K13" s="585">
        <f t="shared" si="0"/>
        <v>0</v>
      </c>
      <c r="L13" s="1016"/>
      <c r="M13" s="1016">
        <f>+'Value added steel '!M21</f>
        <v>434.6</v>
      </c>
      <c r="N13" s="589"/>
      <c r="O13" s="589">
        <f t="shared" si="1"/>
        <v>434.6</v>
      </c>
      <c r="P13" s="1016"/>
      <c r="Q13" s="1016">
        <f>+'Value added steel '!Q21</f>
        <v>0</v>
      </c>
      <c r="R13" s="585"/>
      <c r="S13" s="585">
        <f t="shared" si="2"/>
        <v>434.6</v>
      </c>
      <c r="T13" s="1016"/>
      <c r="U13" s="1016">
        <f>+'Value added steel '!U21</f>
        <v>0</v>
      </c>
      <c r="V13" s="585"/>
      <c r="W13" s="585">
        <f t="shared" si="3"/>
        <v>434.6</v>
      </c>
      <c r="X13" s="1016"/>
      <c r="Y13" s="1016">
        <f>+'Value added steel '!Y21</f>
        <v>0</v>
      </c>
      <c r="Z13" s="589"/>
      <c r="AA13" s="589">
        <f t="shared" si="4"/>
        <v>0</v>
      </c>
      <c r="AB13" s="1066"/>
      <c r="AC13" s="1066">
        <f t="shared" si="5"/>
        <v>434.6</v>
      </c>
      <c r="AD13" s="1016"/>
      <c r="AE13" s="1016">
        <f>+'Value added steel '!AE21</f>
        <v>0</v>
      </c>
      <c r="AF13" s="585"/>
      <c r="AG13" s="585">
        <f t="shared" si="6"/>
        <v>434.6</v>
      </c>
      <c r="AH13" s="1016"/>
      <c r="AI13" s="1016">
        <f>+'Value added steel '!AI21</f>
        <v>0</v>
      </c>
      <c r="AJ13" s="585"/>
      <c r="AK13" s="585">
        <f t="shared" si="7"/>
        <v>434.6</v>
      </c>
      <c r="AL13" s="1016"/>
      <c r="AM13" s="1016">
        <f>+'Value added steel '!AM21</f>
        <v>0</v>
      </c>
      <c r="AN13" s="589"/>
      <c r="AO13" s="589">
        <f t="shared" si="8"/>
        <v>0</v>
      </c>
      <c r="AP13" s="585"/>
      <c r="AQ13" s="585">
        <f t="shared" si="9"/>
        <v>434.6</v>
      </c>
      <c r="AR13" s="1016"/>
      <c r="AS13" s="1016">
        <f>+'Value added steel '!AS21</f>
        <v>0</v>
      </c>
      <c r="AT13" s="585"/>
      <c r="AU13" s="585">
        <f t="shared" si="10"/>
        <v>434.6</v>
      </c>
      <c r="AV13" s="1016"/>
      <c r="AW13" s="1016">
        <f>+'Value added steel '!AW21</f>
        <v>0</v>
      </c>
      <c r="AX13" s="585"/>
      <c r="AY13" s="585">
        <f t="shared" si="11"/>
        <v>434.6</v>
      </c>
      <c r="AZ13" s="1016"/>
      <c r="BA13" s="1016">
        <f>+'Value added steel '!BA21</f>
        <v>0</v>
      </c>
      <c r="BB13" s="589"/>
      <c r="BC13" s="589">
        <f t="shared" ref="BC13:BC15" si="15">+AS13+AW13+BA13</f>
        <v>0</v>
      </c>
      <c r="BD13" s="1066"/>
      <c r="BE13" s="1066">
        <f t="shared" ref="BE13:BE15" si="16">+AO13+BC13</f>
        <v>0</v>
      </c>
      <c r="BF13" s="585"/>
      <c r="BG13" s="585">
        <f t="shared" ref="BG13:BG15" si="17">+AY13+BA13</f>
        <v>434.6</v>
      </c>
      <c r="BH13" s="23"/>
      <c r="BI13" s="23"/>
      <c r="BJ13" s="23"/>
      <c r="BM13" s="23"/>
    </row>
    <row r="14" spans="4:65" ht="18" x14ac:dyDescent="0.35">
      <c r="D14" s="1069" t="s">
        <v>1757</v>
      </c>
      <c r="E14" s="6439"/>
      <c r="F14" s="1016"/>
      <c r="G14" s="1016">
        <f>+'Value added steel '!G22</f>
        <v>0</v>
      </c>
      <c r="H14" s="1016"/>
      <c r="I14" s="1016">
        <f>+'Value added steel '!I22</f>
        <v>0</v>
      </c>
      <c r="J14" s="585"/>
      <c r="K14" s="585">
        <f t="shared" si="0"/>
        <v>0</v>
      </c>
      <c r="L14" s="1016"/>
      <c r="M14" s="1016">
        <f>+'Value added steel '!M22</f>
        <v>0</v>
      </c>
      <c r="N14" s="589"/>
      <c r="O14" s="589">
        <f t="shared" si="1"/>
        <v>0</v>
      </c>
      <c r="P14" s="1016"/>
      <c r="Q14" s="1016">
        <f>+'Value added steel '!Q22</f>
        <v>0</v>
      </c>
      <c r="R14" s="585"/>
      <c r="S14" s="585">
        <f t="shared" si="2"/>
        <v>0</v>
      </c>
      <c r="T14" s="1016"/>
      <c r="U14" s="1016">
        <f>+'Value added steel '!U22</f>
        <v>0</v>
      </c>
      <c r="V14" s="585"/>
      <c r="W14" s="585">
        <f t="shared" si="3"/>
        <v>0</v>
      </c>
      <c r="X14" s="1016"/>
      <c r="Y14" s="1016">
        <f>+'Value added steel '!Y22</f>
        <v>0</v>
      </c>
      <c r="Z14" s="589"/>
      <c r="AA14" s="589">
        <f t="shared" si="4"/>
        <v>0</v>
      </c>
      <c r="AB14" s="1066"/>
      <c r="AC14" s="1066">
        <f t="shared" si="5"/>
        <v>0</v>
      </c>
      <c r="AD14" s="1016"/>
      <c r="AE14" s="1016">
        <f>+'Value added steel '!AE22</f>
        <v>0</v>
      </c>
      <c r="AF14" s="585"/>
      <c r="AG14" s="585">
        <f t="shared" ref="AG14:AG15" si="18">+AC14+AE14</f>
        <v>0</v>
      </c>
      <c r="AH14" s="1016"/>
      <c r="AI14" s="1016">
        <f>+'Value added steel '!AI22</f>
        <v>0</v>
      </c>
      <c r="AJ14" s="585"/>
      <c r="AK14" s="585">
        <f t="shared" si="7"/>
        <v>0</v>
      </c>
      <c r="AL14" s="1016"/>
      <c r="AM14" s="1016">
        <f>+'Value added steel '!AM22</f>
        <v>0</v>
      </c>
      <c r="AN14" s="589"/>
      <c r="AO14" s="589">
        <f t="shared" si="8"/>
        <v>0</v>
      </c>
      <c r="AP14" s="585"/>
      <c r="AQ14" s="585">
        <f t="shared" si="9"/>
        <v>0</v>
      </c>
      <c r="AR14" s="1016"/>
      <c r="AS14" s="1016">
        <f>+'Value added steel '!AS22</f>
        <v>0</v>
      </c>
      <c r="AT14" s="585"/>
      <c r="AU14" s="585">
        <f t="shared" si="10"/>
        <v>0</v>
      </c>
      <c r="AV14" s="1016"/>
      <c r="AW14" s="1016">
        <f>+'Value added steel '!AW22</f>
        <v>0</v>
      </c>
      <c r="AX14" s="585"/>
      <c r="AY14" s="585">
        <f t="shared" si="11"/>
        <v>0</v>
      </c>
      <c r="AZ14" s="1016"/>
      <c r="BA14" s="1016">
        <f>+'Value added steel '!BA22</f>
        <v>0</v>
      </c>
      <c r="BB14" s="589"/>
      <c r="BC14" s="589">
        <f t="shared" si="15"/>
        <v>0</v>
      </c>
      <c r="BD14" s="1066"/>
      <c r="BE14" s="1066">
        <f t="shared" si="16"/>
        <v>0</v>
      </c>
      <c r="BF14" s="585"/>
      <c r="BG14" s="585">
        <f t="shared" si="17"/>
        <v>0</v>
      </c>
      <c r="BH14" s="23"/>
      <c r="BI14" s="23"/>
      <c r="BJ14" s="23"/>
      <c r="BM14" s="23"/>
    </row>
    <row r="15" spans="4:65" ht="18" x14ac:dyDescent="0.35">
      <c r="D15" s="1069" t="s">
        <v>1090</v>
      </c>
      <c r="E15" s="6439"/>
      <c r="F15" s="1016"/>
      <c r="G15" s="1016">
        <f>+'Value added steel '!G24</f>
        <v>17759.149999999994</v>
      </c>
      <c r="H15" s="1016"/>
      <c r="I15" s="1016">
        <f>+'Value added steel '!I24</f>
        <v>0</v>
      </c>
      <c r="J15" s="585"/>
      <c r="K15" s="585">
        <f t="shared" si="0"/>
        <v>17759.149999999994</v>
      </c>
      <c r="L15" s="1016"/>
      <c r="M15" s="1016">
        <f>+'Value added steel '!M24</f>
        <v>6943.3499999999995</v>
      </c>
      <c r="N15" s="589"/>
      <c r="O15" s="589">
        <f t="shared" si="1"/>
        <v>24702.499999999993</v>
      </c>
      <c r="P15" s="1016"/>
      <c r="Q15" s="1016">
        <f>+'Value added steel '!Q24</f>
        <v>6264.8</v>
      </c>
      <c r="R15" s="585"/>
      <c r="S15" s="585">
        <f t="shared" si="2"/>
        <v>30967.299999999992</v>
      </c>
      <c r="T15" s="1016"/>
      <c r="U15" s="1016">
        <f>+'Value added steel '!U24</f>
        <v>4844.1500000000005</v>
      </c>
      <c r="V15" s="585"/>
      <c r="W15" s="585">
        <f t="shared" ref="W15" si="19">+S15+U15</f>
        <v>35811.44999999999</v>
      </c>
      <c r="X15" s="1016"/>
      <c r="Y15" s="1016">
        <f>+'Value added steel '!Y24</f>
        <v>6642</v>
      </c>
      <c r="Z15" s="589"/>
      <c r="AA15" s="589">
        <f t="shared" si="4"/>
        <v>17750.95</v>
      </c>
      <c r="AB15" s="1066"/>
      <c r="AC15" s="1066">
        <f t="shared" si="5"/>
        <v>42453.45</v>
      </c>
      <c r="AD15" s="1016"/>
      <c r="AE15" s="1016">
        <f>+'Value added steel '!AE24</f>
        <v>9739.5499999999993</v>
      </c>
      <c r="AF15" s="585"/>
      <c r="AG15" s="585">
        <f t="shared" si="18"/>
        <v>52193</v>
      </c>
      <c r="AH15" s="1016"/>
      <c r="AI15" s="1016">
        <f>+'Value added steel '!AI24</f>
        <v>5760.5</v>
      </c>
      <c r="AJ15" s="585"/>
      <c r="AK15" s="585">
        <f t="shared" si="7"/>
        <v>57953.5</v>
      </c>
      <c r="AL15" s="1016"/>
      <c r="AM15" s="1016">
        <f>+'Value added steel '!AM24</f>
        <v>8384.5</v>
      </c>
      <c r="AN15" s="589"/>
      <c r="AO15" s="589">
        <f t="shared" si="8"/>
        <v>23884.55</v>
      </c>
      <c r="AP15" s="585"/>
      <c r="AQ15" s="585">
        <f t="shared" ref="AQ15" si="20">+AK15+AM15</f>
        <v>66338</v>
      </c>
      <c r="AR15" s="1016"/>
      <c r="AS15" s="1016">
        <f>+'Value added steel '!AS24</f>
        <v>11320.100000000002</v>
      </c>
      <c r="AT15" s="585"/>
      <c r="AU15" s="585">
        <f t="shared" ref="AU15" si="21">+AQ15+AS15</f>
        <v>77658.100000000006</v>
      </c>
      <c r="AV15" s="1016"/>
      <c r="AW15" s="1016">
        <f>+'Value added steel '!AW24</f>
        <v>8419.35</v>
      </c>
      <c r="AX15" s="585"/>
      <c r="AY15" s="585">
        <f t="shared" si="11"/>
        <v>86077.450000000012</v>
      </c>
      <c r="AZ15" s="1016"/>
      <c r="BA15" s="1016">
        <f>+'Value added steel '!BA24</f>
        <v>9930.1999999999916</v>
      </c>
      <c r="BB15" s="589"/>
      <c r="BC15" s="589">
        <f t="shared" si="15"/>
        <v>29669.649999999994</v>
      </c>
      <c r="BD15" s="1066"/>
      <c r="BE15" s="1066">
        <f t="shared" si="16"/>
        <v>53554.2</v>
      </c>
      <c r="BF15" s="585"/>
      <c r="BG15" s="585">
        <f t="shared" si="17"/>
        <v>96007.650000000009</v>
      </c>
      <c r="BH15" s="23"/>
      <c r="BI15" s="23"/>
      <c r="BJ15" s="23"/>
      <c r="BM15" s="23"/>
    </row>
    <row r="16" spans="4:65" ht="18.600000000000001" thickBot="1" x14ac:dyDescent="0.4">
      <c r="D16" s="1070" t="s">
        <v>2</v>
      </c>
      <c r="E16" s="6440"/>
      <c r="F16" s="1071"/>
      <c r="G16" s="1071">
        <f>SUM(G4:G15)</f>
        <v>21717.699999999993</v>
      </c>
      <c r="H16" s="1071">
        <f t="shared" ref="H16:AK16" si="22">SUM(H4:H15)</f>
        <v>0</v>
      </c>
      <c r="I16" s="1071">
        <f>SUM(I4:I15)</f>
        <v>6139.75</v>
      </c>
      <c r="J16" s="1071">
        <f t="shared" si="22"/>
        <v>0</v>
      </c>
      <c r="K16" s="1071">
        <f t="shared" si="22"/>
        <v>27857.449999999993</v>
      </c>
      <c r="L16" s="1071">
        <f t="shared" si="22"/>
        <v>0</v>
      </c>
      <c r="M16" s="1071">
        <f>SUM(M4:M15)</f>
        <v>11693.199999999999</v>
      </c>
      <c r="N16" s="1071">
        <f t="shared" si="22"/>
        <v>0</v>
      </c>
      <c r="O16" s="1071">
        <f t="shared" si="22"/>
        <v>39550.649999999994</v>
      </c>
      <c r="P16" s="1071">
        <f t="shared" si="22"/>
        <v>0</v>
      </c>
      <c r="Q16" s="1071">
        <f t="shared" si="22"/>
        <v>9729.2999999999993</v>
      </c>
      <c r="R16" s="1071">
        <f t="shared" si="22"/>
        <v>0</v>
      </c>
      <c r="S16" s="1071">
        <f t="shared" si="22"/>
        <v>49279.94999999999</v>
      </c>
      <c r="T16" s="1071">
        <f t="shared" si="22"/>
        <v>0</v>
      </c>
      <c r="U16" s="1071">
        <f t="shared" si="22"/>
        <v>10725.600000000002</v>
      </c>
      <c r="V16" s="1071">
        <f t="shared" si="22"/>
        <v>0</v>
      </c>
      <c r="W16" s="1071">
        <f t="shared" si="22"/>
        <v>60005.549999999988</v>
      </c>
      <c r="X16" s="1071">
        <f t="shared" si="22"/>
        <v>0</v>
      </c>
      <c r="Y16" s="1071">
        <f t="shared" si="22"/>
        <v>10516.5</v>
      </c>
      <c r="Z16" s="1071">
        <f t="shared" si="22"/>
        <v>0</v>
      </c>
      <c r="AA16" s="1071">
        <f t="shared" si="22"/>
        <v>30971.4</v>
      </c>
      <c r="AB16" s="1071">
        <f t="shared" si="22"/>
        <v>0</v>
      </c>
      <c r="AC16" s="1071">
        <f t="shared" si="22"/>
        <v>70522.049999999988</v>
      </c>
      <c r="AD16" s="1071">
        <f t="shared" si="22"/>
        <v>0</v>
      </c>
      <c r="AE16" s="1071">
        <f t="shared" si="22"/>
        <v>11508.699999999999</v>
      </c>
      <c r="AF16" s="1071">
        <f t="shared" si="22"/>
        <v>0</v>
      </c>
      <c r="AG16" s="1071">
        <f t="shared" si="22"/>
        <v>82030.75</v>
      </c>
      <c r="AH16" s="1071">
        <f t="shared" si="22"/>
        <v>0</v>
      </c>
      <c r="AI16" s="1071">
        <f t="shared" si="22"/>
        <v>11646.05</v>
      </c>
      <c r="AJ16" s="1071">
        <f t="shared" si="22"/>
        <v>0</v>
      </c>
      <c r="AK16" s="1071">
        <f t="shared" si="22"/>
        <v>93676.799999999988</v>
      </c>
      <c r="AL16" s="1071">
        <f t="shared" ref="AL16:BG16" si="23">SUM(AL4:AL15)</f>
        <v>0</v>
      </c>
      <c r="AM16" s="1071">
        <f t="shared" si="23"/>
        <v>11947.400000000001</v>
      </c>
      <c r="AN16" s="1071">
        <f t="shared" si="23"/>
        <v>0</v>
      </c>
      <c r="AO16" s="1071">
        <f t="shared" si="23"/>
        <v>35102.15</v>
      </c>
      <c r="AP16" s="1071">
        <f t="shared" si="23"/>
        <v>0</v>
      </c>
      <c r="AQ16" s="1071">
        <f t="shared" si="23"/>
        <v>105624.2</v>
      </c>
      <c r="AR16" s="1071">
        <f t="shared" si="23"/>
        <v>0</v>
      </c>
      <c r="AS16" s="1071">
        <f t="shared" ref="AS16" si="24">SUM(AS4:AS15)</f>
        <v>17830.900000000001</v>
      </c>
      <c r="AT16" s="1071">
        <f t="shared" si="23"/>
        <v>0</v>
      </c>
      <c r="AU16" s="1071">
        <f t="shared" si="23"/>
        <v>123455.1</v>
      </c>
      <c r="AV16" s="1071">
        <f t="shared" si="23"/>
        <v>0</v>
      </c>
      <c r="AW16" s="1071">
        <f t="shared" si="23"/>
        <v>12781.75</v>
      </c>
      <c r="AX16" s="1071">
        <f t="shared" ref="AX16:AY16" si="25">SUM(AX4:AX15)</f>
        <v>0</v>
      </c>
      <c r="AY16" s="1071">
        <f t="shared" si="25"/>
        <v>136236.85</v>
      </c>
      <c r="AZ16" s="1071">
        <f t="shared" si="23"/>
        <v>0</v>
      </c>
      <c r="BA16" s="1071">
        <f t="shared" ref="BA16" si="26">SUM(BA4:BA15)</f>
        <v>14001.499999999991</v>
      </c>
      <c r="BB16" s="1071">
        <f t="shared" si="23"/>
        <v>0</v>
      </c>
      <c r="BC16" s="1071">
        <f t="shared" si="23"/>
        <v>44614.149999999994</v>
      </c>
      <c r="BD16" s="1071">
        <f t="shared" si="23"/>
        <v>0</v>
      </c>
      <c r="BE16" s="1071">
        <f t="shared" si="23"/>
        <v>79716.3</v>
      </c>
      <c r="BF16" s="1071">
        <f t="shared" si="23"/>
        <v>0</v>
      </c>
      <c r="BG16" s="1071">
        <f t="shared" si="23"/>
        <v>150238.35</v>
      </c>
      <c r="BH16" s="23"/>
      <c r="BI16" s="23"/>
      <c r="BJ16" s="23"/>
      <c r="BM16" s="23"/>
    </row>
    <row r="17" spans="65:65" x14ac:dyDescent="0.3">
      <c r="BM17" s="23"/>
    </row>
    <row r="18" spans="65:65" x14ac:dyDescent="0.3">
      <c r="BM18" s="23"/>
    </row>
  </sheetData>
  <mergeCells count="29">
    <mergeCell ref="D2:AK2"/>
    <mergeCell ref="AZ3:BA3"/>
    <mergeCell ref="BF3:BG3"/>
    <mergeCell ref="BB3:BC3"/>
    <mergeCell ref="BD3:BE3"/>
    <mergeCell ref="N3:O3"/>
    <mergeCell ref="P3:Q3"/>
    <mergeCell ref="R3:S3"/>
    <mergeCell ref="T3:U3"/>
    <mergeCell ref="V3:W3"/>
    <mergeCell ref="X3:Y3"/>
    <mergeCell ref="Z3:AA3"/>
    <mergeCell ref="AB3:AC3"/>
    <mergeCell ref="AV3:AW3"/>
    <mergeCell ref="AX3:AY3"/>
    <mergeCell ref="AH3:AI3"/>
    <mergeCell ref="E4:E16"/>
    <mergeCell ref="F3:G3"/>
    <mergeCell ref="H3:I3"/>
    <mergeCell ref="J3:K3"/>
    <mergeCell ref="L3:M3"/>
    <mergeCell ref="AR3:AS3"/>
    <mergeCell ref="AT3:AU3"/>
    <mergeCell ref="AD3:AE3"/>
    <mergeCell ref="AF3:AG3"/>
    <mergeCell ref="AL3:AM3"/>
    <mergeCell ref="AP3:AQ3"/>
    <mergeCell ref="AN3:AO3"/>
    <mergeCell ref="AJ3:AK3"/>
  </mergeCells>
  <pageMargins left="0.7" right="0.7" top="0.75" bottom="0.75" header="0.3" footer="0.3"/>
  <pageSetup paperSize="9" orientation="portrait" verticalDpi="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7620C-B804-4DAD-AC1C-C2C56EE881B3}">
  <sheetPr>
    <tabColor rgb="FFFFFF00"/>
    <pageSetUpPr fitToPage="1"/>
  </sheetPr>
  <dimension ref="A1:AA952"/>
  <sheetViews>
    <sheetView workbookViewId="0">
      <selection activeCell="O30" sqref="O30"/>
    </sheetView>
  </sheetViews>
  <sheetFormatPr defaultColWidth="14.44140625" defaultRowHeight="15" customHeight="1" x14ac:dyDescent="0.3"/>
  <cols>
    <col min="1" max="1" width="9.109375" style="5732" customWidth="1"/>
    <col min="2" max="2" width="30.6640625" style="5732" customWidth="1"/>
    <col min="3" max="14" width="10.6640625" style="5732" customWidth="1"/>
    <col min="15" max="16" width="12.6640625" style="5732" customWidth="1"/>
    <col min="17" max="17" width="10.33203125" style="5732" customWidth="1"/>
    <col min="18" max="18" width="13.33203125" style="5732" customWidth="1"/>
    <col min="19" max="19" width="10.88671875" style="5732" customWidth="1"/>
    <col min="20" max="20" width="8.6640625" style="5732" customWidth="1"/>
    <col min="21" max="21" width="10.44140625" style="5732" customWidth="1"/>
    <col min="22" max="27" width="8.6640625" style="5732" customWidth="1"/>
    <col min="28" max="16384" width="14.44140625" style="5732"/>
  </cols>
  <sheetData>
    <row r="1" spans="1:27" ht="14.4" x14ac:dyDescent="0.3">
      <c r="A1" s="2501"/>
      <c r="B1" s="2501"/>
      <c r="C1" s="2501"/>
      <c r="D1" s="2501"/>
      <c r="E1" s="2501"/>
      <c r="F1" s="2501"/>
      <c r="G1" s="2501"/>
      <c r="H1" s="2501"/>
      <c r="I1" s="2501"/>
      <c r="J1" s="2501"/>
      <c r="K1" s="2501"/>
      <c r="L1" s="2501"/>
      <c r="M1" s="2501"/>
      <c r="N1" s="2501"/>
      <c r="O1" s="2501"/>
      <c r="P1" s="2501"/>
      <c r="Q1" s="2501"/>
      <c r="R1" s="2501"/>
      <c r="S1" s="2501"/>
      <c r="T1" s="2501"/>
      <c r="U1" s="2501"/>
      <c r="V1" s="2501"/>
      <c r="W1" s="2501"/>
      <c r="X1" s="2501"/>
      <c r="Y1" s="2501"/>
      <c r="Z1" s="2501"/>
      <c r="AA1" s="2501"/>
    </row>
    <row r="2" spans="1:27" ht="21" x14ac:dyDescent="0.4">
      <c r="A2" s="2501"/>
      <c r="B2" s="6444" t="s">
        <v>2390</v>
      </c>
      <c r="C2" s="6445"/>
      <c r="D2" s="6445"/>
      <c r="E2" s="6445"/>
      <c r="F2" s="6445"/>
      <c r="G2" s="6445"/>
      <c r="H2" s="6445"/>
      <c r="I2" s="6445"/>
      <c r="J2" s="6445"/>
      <c r="K2" s="6445"/>
      <c r="L2" s="6445"/>
      <c r="M2" s="6445"/>
      <c r="N2" s="6445"/>
      <c r="O2" s="6445"/>
      <c r="P2" s="5733"/>
      <c r="Q2" s="2501"/>
      <c r="R2" s="2501"/>
      <c r="S2" s="2501"/>
      <c r="T2" s="2501"/>
      <c r="U2" s="2501"/>
      <c r="V2" s="2501"/>
      <c r="W2" s="2501"/>
      <c r="X2" s="2501"/>
      <c r="Y2" s="2501"/>
      <c r="Z2" s="2501"/>
      <c r="AA2" s="2501"/>
    </row>
    <row r="3" spans="1:27" ht="14.4" x14ac:dyDescent="0.3">
      <c r="A3" s="2501"/>
      <c r="B3" s="2501"/>
      <c r="C3" s="2501"/>
      <c r="D3" s="2501"/>
      <c r="E3" s="2501"/>
      <c r="F3" s="2501"/>
      <c r="G3" s="2501"/>
      <c r="H3" s="2501"/>
      <c r="I3" s="2501"/>
      <c r="J3" s="2501"/>
      <c r="K3" s="2501"/>
      <c r="L3" s="2501"/>
      <c r="M3" s="2501"/>
      <c r="N3" s="2501"/>
      <c r="O3" s="2501"/>
      <c r="P3" s="2501"/>
      <c r="Q3" s="2501"/>
      <c r="R3" s="2501"/>
      <c r="S3" s="2501"/>
      <c r="T3" s="2501"/>
      <c r="U3" s="2501"/>
      <c r="V3" s="2501"/>
      <c r="W3" s="2501"/>
      <c r="X3" s="2501"/>
      <c r="Y3" s="2501"/>
      <c r="Z3" s="2501"/>
      <c r="AA3" s="2501"/>
    </row>
    <row r="4" spans="1:27" ht="33.75" customHeight="1" x14ac:dyDescent="0.3">
      <c r="A4" s="2501"/>
      <c r="B4" s="5734" t="s">
        <v>2210</v>
      </c>
      <c r="C4" s="5735">
        <v>46113</v>
      </c>
      <c r="D4" s="5735">
        <v>46143</v>
      </c>
      <c r="E4" s="5735">
        <v>46174</v>
      </c>
      <c r="F4" s="5735">
        <v>46204</v>
      </c>
      <c r="G4" s="5735">
        <v>46235</v>
      </c>
      <c r="H4" s="5735">
        <v>46266</v>
      </c>
      <c r="I4" s="5735">
        <v>46296</v>
      </c>
      <c r="J4" s="5735">
        <v>46327</v>
      </c>
      <c r="K4" s="5735">
        <v>46357</v>
      </c>
      <c r="L4" s="5735">
        <v>46388</v>
      </c>
      <c r="M4" s="5735">
        <v>46419</v>
      </c>
      <c r="N4" s="5735">
        <v>46447</v>
      </c>
      <c r="O4" s="5736" t="s">
        <v>2257</v>
      </c>
      <c r="P4" s="5737" t="s">
        <v>2391</v>
      </c>
      <c r="Q4" s="2501"/>
      <c r="R4" s="2501"/>
      <c r="S4" s="2501"/>
      <c r="T4" s="2501"/>
      <c r="U4" s="2501"/>
      <c r="V4" s="2501"/>
      <c r="W4" s="2501"/>
      <c r="X4" s="2501"/>
      <c r="Y4" s="2501"/>
      <c r="Z4" s="2501"/>
      <c r="AA4" s="2501"/>
    </row>
    <row r="5" spans="1:27" ht="14.4" x14ac:dyDescent="0.3">
      <c r="A5" s="2501"/>
      <c r="B5" s="5738"/>
      <c r="C5" s="5738"/>
      <c r="D5" s="5738"/>
      <c r="E5" s="5738"/>
      <c r="F5" s="5738"/>
      <c r="G5" s="5738"/>
      <c r="H5" s="5738"/>
      <c r="I5" s="5738"/>
      <c r="J5" s="5738"/>
      <c r="K5" s="5738"/>
      <c r="L5" s="5738"/>
      <c r="M5" s="5738"/>
      <c r="N5" s="5738"/>
      <c r="O5" s="5738"/>
      <c r="P5" s="2501"/>
      <c r="Q5" s="2501"/>
      <c r="R5" s="2501"/>
      <c r="S5" s="2501"/>
      <c r="T5" s="2501"/>
      <c r="U5" s="2501"/>
      <c r="V5" s="2501"/>
      <c r="W5" s="2501"/>
      <c r="X5" s="2501"/>
      <c r="Y5" s="2501"/>
      <c r="Z5" s="2501"/>
      <c r="AA5" s="2501"/>
    </row>
    <row r="6" spans="1:27" thickBot="1" x14ac:dyDescent="0.35">
      <c r="A6" s="2501"/>
      <c r="B6" s="2501"/>
      <c r="C6" s="2501"/>
      <c r="D6" s="2501"/>
      <c r="E6" s="2501"/>
      <c r="F6" s="2501"/>
      <c r="G6" s="5739"/>
      <c r="H6" s="5739"/>
      <c r="I6" s="5739"/>
      <c r="J6" s="5739"/>
      <c r="K6" s="5739"/>
      <c r="L6" s="2501"/>
      <c r="M6" s="5739"/>
      <c r="N6" s="2501"/>
      <c r="O6" s="5740"/>
      <c r="P6" s="5741"/>
      <c r="Q6" s="2501"/>
      <c r="R6" s="2501"/>
      <c r="S6" s="2501"/>
      <c r="T6" s="2501"/>
      <c r="U6" s="2501"/>
      <c r="V6" s="2501"/>
      <c r="W6" s="2501"/>
      <c r="X6" s="2501"/>
      <c r="Y6" s="2501"/>
      <c r="Z6" s="2501"/>
      <c r="AA6" s="2501"/>
    </row>
    <row r="7" spans="1:27" ht="14.4" x14ac:dyDescent="0.3">
      <c r="A7" s="2501"/>
      <c r="B7" s="5138" t="s">
        <v>1631</v>
      </c>
      <c r="C7" s="5139">
        <v>26068</v>
      </c>
      <c r="D7" s="5140">
        <v>21530</v>
      </c>
      <c r="E7" s="5140"/>
      <c r="F7" s="5140"/>
      <c r="G7" s="5140"/>
      <c r="H7" s="5140"/>
      <c r="I7" s="5140"/>
      <c r="J7" s="5140"/>
      <c r="K7" s="5140"/>
      <c r="L7" s="5140"/>
      <c r="M7" s="5140"/>
      <c r="N7" s="5742"/>
      <c r="O7" s="5743">
        <f t="shared" ref="O7:O22" si="0">SUM(C7:N7)</f>
        <v>47598</v>
      </c>
      <c r="P7" s="5744">
        <f>O7/100000</f>
        <v>0.47598000000000001</v>
      </c>
      <c r="Q7" s="5745"/>
      <c r="R7" s="2501"/>
      <c r="S7" s="2501"/>
      <c r="T7" s="2501"/>
      <c r="U7" s="2501"/>
      <c r="V7" s="2501"/>
      <c r="W7" s="2501"/>
      <c r="X7" s="2501"/>
      <c r="Y7" s="2501"/>
      <c r="Z7" s="2501"/>
      <c r="AA7" s="2501"/>
    </row>
    <row r="8" spans="1:27" ht="14.4" x14ac:dyDescent="0.3">
      <c r="A8" s="2501"/>
      <c r="B8" s="5141" t="s">
        <v>1632</v>
      </c>
      <c r="C8" s="5142">
        <v>106322</v>
      </c>
      <c r="D8" s="5143">
        <v>65992</v>
      </c>
      <c r="E8" s="5143"/>
      <c r="F8" s="5143"/>
      <c r="G8" s="5143"/>
      <c r="H8" s="5143"/>
      <c r="I8" s="5143"/>
      <c r="J8" s="5143"/>
      <c r="K8" s="5143"/>
      <c r="L8" s="5143"/>
      <c r="M8" s="5143"/>
      <c r="N8" s="5746"/>
      <c r="O8" s="5747">
        <f t="shared" si="0"/>
        <v>172314</v>
      </c>
      <c r="P8" s="5748">
        <f t="shared" ref="P8:P22" si="1">O8/100000</f>
        <v>1.7231399999999999</v>
      </c>
      <c r="Q8" s="5745"/>
      <c r="R8" s="2501"/>
      <c r="S8" s="2501"/>
      <c r="T8" s="2501"/>
      <c r="U8" s="2501"/>
      <c r="V8" s="2501"/>
      <c r="W8" s="2501"/>
      <c r="X8" s="2501"/>
      <c r="Y8" s="2501"/>
      <c r="Z8" s="2501"/>
      <c r="AA8" s="2501"/>
    </row>
    <row r="9" spans="1:27" ht="14.4" x14ac:dyDescent="0.3">
      <c r="A9" s="2501"/>
      <c r="B9" s="5141" t="s">
        <v>1633</v>
      </c>
      <c r="C9" s="5142">
        <v>125391</v>
      </c>
      <c r="D9" s="5143">
        <v>74780</v>
      </c>
      <c r="E9" s="5143"/>
      <c r="F9" s="5143"/>
      <c r="G9" s="5143"/>
      <c r="H9" s="5143"/>
      <c r="I9" s="5143"/>
      <c r="J9" s="5143"/>
      <c r="K9" s="5143"/>
      <c r="L9" s="5143"/>
      <c r="M9" s="5143"/>
      <c r="N9" s="5746"/>
      <c r="O9" s="5747">
        <f t="shared" si="0"/>
        <v>200171</v>
      </c>
      <c r="P9" s="5748">
        <f t="shared" si="1"/>
        <v>2.0017100000000001</v>
      </c>
      <c r="Q9" s="5745"/>
      <c r="R9" s="2501"/>
      <c r="S9" s="2501"/>
      <c r="T9" s="2501"/>
      <c r="U9" s="2501"/>
      <c r="V9" s="2501"/>
      <c r="W9" s="2501"/>
      <c r="X9" s="2501"/>
      <c r="Y9" s="2501"/>
      <c r="Z9" s="2501"/>
      <c r="AA9" s="2501"/>
    </row>
    <row r="10" spans="1:27" ht="14.4" x14ac:dyDescent="0.3">
      <c r="A10" s="2501"/>
      <c r="B10" s="5141" t="s">
        <v>1634</v>
      </c>
      <c r="C10" s="5142">
        <v>64050</v>
      </c>
      <c r="D10" s="5143">
        <v>53641</v>
      </c>
      <c r="E10" s="5143"/>
      <c r="F10" s="5143"/>
      <c r="G10" s="5143"/>
      <c r="H10" s="5143"/>
      <c r="I10" s="5143"/>
      <c r="J10" s="5143"/>
      <c r="K10" s="5143"/>
      <c r="L10" s="5143"/>
      <c r="M10" s="5143"/>
      <c r="N10" s="5746"/>
      <c r="O10" s="5747">
        <f t="shared" si="0"/>
        <v>117691</v>
      </c>
      <c r="P10" s="5748">
        <f t="shared" si="1"/>
        <v>1.1769099999999999</v>
      </c>
      <c r="Q10" s="5745"/>
      <c r="R10" s="2501"/>
      <c r="S10" s="2501"/>
      <c r="T10" s="2501"/>
      <c r="U10" s="2501"/>
      <c r="V10" s="2501"/>
      <c r="W10" s="2501"/>
      <c r="X10" s="2501"/>
      <c r="Y10" s="2501"/>
      <c r="Z10" s="2501"/>
      <c r="AA10" s="2501"/>
    </row>
    <row r="11" spans="1:27" ht="14.4" x14ac:dyDescent="0.3">
      <c r="A11" s="2501"/>
      <c r="B11" s="5141" t="s">
        <v>15</v>
      </c>
      <c r="C11" s="5142">
        <v>166793</v>
      </c>
      <c r="D11" s="5143">
        <v>143941</v>
      </c>
      <c r="E11" s="5143"/>
      <c r="F11" s="5143"/>
      <c r="G11" s="5143"/>
      <c r="H11" s="5143"/>
      <c r="I11" s="5143"/>
      <c r="J11" s="5143"/>
      <c r="K11" s="5143"/>
      <c r="L11" s="5143"/>
      <c r="M11" s="5143"/>
      <c r="N11" s="5746"/>
      <c r="O11" s="5747">
        <f t="shared" si="0"/>
        <v>310734</v>
      </c>
      <c r="P11" s="5748">
        <f t="shared" si="1"/>
        <v>3.1073400000000002</v>
      </c>
      <c r="Q11" s="5745"/>
      <c r="R11" s="2501"/>
      <c r="S11" s="2501"/>
      <c r="T11" s="2501"/>
      <c r="U11" s="2501"/>
      <c r="V11" s="2501"/>
      <c r="W11" s="2501"/>
      <c r="X11" s="2501"/>
      <c r="Y11" s="2501"/>
      <c r="Z11" s="2501"/>
      <c r="AA11" s="2501"/>
    </row>
    <row r="12" spans="1:27" ht="15.75" customHeight="1" x14ac:dyDescent="0.3">
      <c r="A12" s="2501"/>
      <c r="B12" s="5141" t="s">
        <v>1635</v>
      </c>
      <c r="C12" s="5142">
        <v>0</v>
      </c>
      <c r="D12" s="5143">
        <v>0</v>
      </c>
      <c r="E12" s="5143"/>
      <c r="F12" s="5143"/>
      <c r="G12" s="5143"/>
      <c r="H12" s="5143"/>
      <c r="I12" s="5143"/>
      <c r="J12" s="5143"/>
      <c r="K12" s="5143"/>
      <c r="L12" s="5143"/>
      <c r="M12" s="5143"/>
      <c r="N12" s="5746"/>
      <c r="O12" s="5747">
        <f t="shared" si="0"/>
        <v>0</v>
      </c>
      <c r="P12" s="5748">
        <f t="shared" si="1"/>
        <v>0</v>
      </c>
      <c r="Q12" s="5745"/>
      <c r="R12" s="2501"/>
      <c r="S12" s="2501"/>
      <c r="T12" s="2501"/>
      <c r="U12" s="2501"/>
      <c r="V12" s="2501"/>
      <c r="W12" s="2501"/>
      <c r="X12" s="2501"/>
      <c r="Y12" s="2501"/>
      <c r="Z12" s="2501"/>
      <c r="AA12" s="2501"/>
    </row>
    <row r="13" spans="1:27" ht="15.75" customHeight="1" x14ac:dyDescent="0.3">
      <c r="A13" s="2501"/>
      <c r="B13" s="5141" t="s">
        <v>1636</v>
      </c>
      <c r="C13" s="5142">
        <v>9798</v>
      </c>
      <c r="D13" s="5143">
        <v>8136</v>
      </c>
      <c r="E13" s="5143"/>
      <c r="F13" s="5143"/>
      <c r="G13" s="5143"/>
      <c r="H13" s="5143"/>
      <c r="I13" s="5143"/>
      <c r="J13" s="5143"/>
      <c r="K13" s="5143"/>
      <c r="L13" s="5143"/>
      <c r="M13" s="5143"/>
      <c r="N13" s="5746"/>
      <c r="O13" s="5747">
        <f t="shared" si="0"/>
        <v>17934</v>
      </c>
      <c r="P13" s="5748">
        <f t="shared" si="1"/>
        <v>0.17934</v>
      </c>
      <c r="Q13" s="5745"/>
      <c r="R13" s="5745"/>
      <c r="S13" s="2501"/>
      <c r="T13" s="2501"/>
      <c r="U13" s="2501"/>
      <c r="V13" s="2501"/>
      <c r="W13" s="2501"/>
      <c r="X13" s="2501"/>
      <c r="Y13" s="2501"/>
      <c r="Z13" s="2501"/>
      <c r="AA13" s="2501"/>
    </row>
    <row r="14" spans="1:27" ht="15.75" customHeight="1" x14ac:dyDescent="0.3">
      <c r="A14" s="2501"/>
      <c r="B14" s="5141" t="s">
        <v>57</v>
      </c>
      <c r="C14" s="5142">
        <v>122575</v>
      </c>
      <c r="D14" s="5143">
        <v>111987</v>
      </c>
      <c r="E14" s="5143"/>
      <c r="F14" s="5143"/>
      <c r="G14" s="5143"/>
      <c r="H14" s="5143"/>
      <c r="I14" s="5143"/>
      <c r="J14" s="5143"/>
      <c r="K14" s="5143"/>
      <c r="L14" s="5143"/>
      <c r="M14" s="5143"/>
      <c r="N14" s="5746"/>
      <c r="O14" s="5747">
        <f t="shared" si="0"/>
        <v>234562</v>
      </c>
      <c r="P14" s="5748">
        <f t="shared" si="1"/>
        <v>2.3456199999999998</v>
      </c>
      <c r="Q14" s="5745"/>
      <c r="R14" s="2501"/>
      <c r="S14" s="2501"/>
      <c r="T14" s="2501"/>
      <c r="U14" s="5745"/>
      <c r="V14" s="2501"/>
      <c r="W14" s="2501"/>
      <c r="X14" s="2501"/>
      <c r="Y14" s="2501"/>
      <c r="Z14" s="2501"/>
      <c r="AA14" s="2501"/>
    </row>
    <row r="15" spans="1:27" ht="15.75" customHeight="1" x14ac:dyDescent="0.3">
      <c r="A15" s="2501"/>
      <c r="B15" s="5141" t="s">
        <v>58</v>
      </c>
      <c r="C15" s="5142">
        <v>89289</v>
      </c>
      <c r="D15" s="5143">
        <v>78863</v>
      </c>
      <c r="E15" s="5143"/>
      <c r="F15" s="5143"/>
      <c r="G15" s="5143"/>
      <c r="H15" s="5143"/>
      <c r="I15" s="5143"/>
      <c r="J15" s="5143"/>
      <c r="K15" s="5143"/>
      <c r="L15" s="5143"/>
      <c r="M15" s="5143"/>
      <c r="N15" s="5746"/>
      <c r="O15" s="5747">
        <f t="shared" si="0"/>
        <v>168152</v>
      </c>
      <c r="P15" s="5748">
        <f t="shared" si="1"/>
        <v>1.6815199999999999</v>
      </c>
      <c r="Q15" s="5745"/>
      <c r="R15" s="2501"/>
      <c r="S15" s="2501"/>
      <c r="T15" s="2501"/>
      <c r="U15" s="5745"/>
      <c r="V15" s="2501"/>
      <c r="W15" s="2501"/>
      <c r="X15" s="2501"/>
      <c r="Y15" s="2501"/>
      <c r="Z15" s="2501"/>
      <c r="AA15" s="2501"/>
    </row>
    <row r="16" spans="1:27" ht="15.75" customHeight="1" x14ac:dyDescent="0.3">
      <c r="A16" s="2501"/>
      <c r="B16" s="5141" t="s">
        <v>1239</v>
      </c>
      <c r="C16" s="5142">
        <v>64936</v>
      </c>
      <c r="D16" s="5143">
        <v>54744</v>
      </c>
      <c r="E16" s="5143"/>
      <c r="F16" s="5143"/>
      <c r="G16" s="5143"/>
      <c r="H16" s="5143"/>
      <c r="I16" s="5143"/>
      <c r="J16" s="5143"/>
      <c r="K16" s="5143"/>
      <c r="L16" s="5143"/>
      <c r="M16" s="5143"/>
      <c r="N16" s="5746"/>
      <c r="O16" s="5747">
        <f t="shared" si="0"/>
        <v>119680</v>
      </c>
      <c r="P16" s="5748">
        <f t="shared" si="1"/>
        <v>1.1968000000000001</v>
      </c>
      <c r="Q16" s="5745"/>
      <c r="R16" s="2501"/>
      <c r="S16" s="2501"/>
      <c r="T16" s="2501"/>
      <c r="U16" s="5745"/>
      <c r="V16" s="2501"/>
      <c r="W16" s="2501"/>
      <c r="X16" s="2501"/>
      <c r="Y16" s="2501"/>
      <c r="Z16" s="2501"/>
      <c r="AA16" s="2501"/>
    </row>
    <row r="17" spans="1:27" ht="15.75" customHeight="1" x14ac:dyDescent="0.3">
      <c r="A17" s="2501"/>
      <c r="B17" s="5141" t="s">
        <v>59</v>
      </c>
      <c r="C17" s="5142">
        <v>43389</v>
      </c>
      <c r="D17" s="5143">
        <v>35211</v>
      </c>
      <c r="E17" s="5143"/>
      <c r="F17" s="5143"/>
      <c r="G17" s="5143"/>
      <c r="H17" s="5143"/>
      <c r="I17" s="5143"/>
      <c r="J17" s="5143"/>
      <c r="K17" s="5143"/>
      <c r="L17" s="5143"/>
      <c r="M17" s="5143"/>
      <c r="N17" s="5746"/>
      <c r="O17" s="5747">
        <f t="shared" si="0"/>
        <v>78600</v>
      </c>
      <c r="P17" s="5748">
        <f t="shared" si="1"/>
        <v>0.78600000000000003</v>
      </c>
      <c r="Q17" s="5745"/>
      <c r="R17" s="2501"/>
      <c r="S17" s="2501"/>
      <c r="T17" s="2501"/>
      <c r="U17" s="5745"/>
      <c r="V17" s="2501"/>
      <c r="W17" s="2501"/>
      <c r="X17" s="2501"/>
      <c r="Y17" s="2501"/>
      <c r="Z17" s="2501"/>
      <c r="AA17" s="2501"/>
    </row>
    <row r="18" spans="1:27" ht="15.75" customHeight="1" x14ac:dyDescent="0.3">
      <c r="A18" s="2501"/>
      <c r="B18" s="5141" t="s">
        <v>1637</v>
      </c>
      <c r="C18" s="5142">
        <v>41730</v>
      </c>
      <c r="D18" s="5143">
        <v>32600</v>
      </c>
      <c r="E18" s="5143"/>
      <c r="F18" s="5143"/>
      <c r="G18" s="5749"/>
      <c r="H18" s="5143"/>
      <c r="I18" s="5749"/>
      <c r="J18" s="5143"/>
      <c r="K18" s="5143"/>
      <c r="L18" s="5143"/>
      <c r="M18" s="5143"/>
      <c r="N18" s="5746"/>
      <c r="O18" s="5747">
        <f t="shared" si="0"/>
        <v>74330</v>
      </c>
      <c r="P18" s="5748">
        <f t="shared" si="1"/>
        <v>0.74329999999999996</v>
      </c>
      <c r="Q18" s="5745"/>
      <c r="R18" s="2501"/>
      <c r="S18" s="2501"/>
      <c r="T18" s="2501"/>
      <c r="U18" s="5745"/>
      <c r="V18" s="2501"/>
      <c r="W18" s="2501"/>
      <c r="X18" s="2501"/>
      <c r="Y18" s="2501"/>
      <c r="Z18" s="2501"/>
      <c r="AA18" s="2501"/>
    </row>
    <row r="19" spans="1:27" ht="15.75" customHeight="1" x14ac:dyDescent="0.3">
      <c r="A19" s="2501"/>
      <c r="B19" s="5141" t="s">
        <v>1638</v>
      </c>
      <c r="C19" s="5142">
        <v>467125</v>
      </c>
      <c r="D19" s="5143">
        <v>399920</v>
      </c>
      <c r="E19" s="5143"/>
      <c r="F19" s="5143"/>
      <c r="G19" s="5143"/>
      <c r="H19" s="5143"/>
      <c r="I19" s="5143"/>
      <c r="J19" s="5143"/>
      <c r="K19" s="5143"/>
      <c r="L19" s="5143"/>
      <c r="M19" s="5143"/>
      <c r="N19" s="5746"/>
      <c r="O19" s="5747">
        <f t="shared" si="0"/>
        <v>867045</v>
      </c>
      <c r="P19" s="5748">
        <f t="shared" si="1"/>
        <v>8.6704500000000007</v>
      </c>
      <c r="Q19" s="5745"/>
      <c r="R19" s="2501"/>
      <c r="S19" s="2501"/>
      <c r="T19" s="2501"/>
      <c r="U19" s="5745"/>
      <c r="V19" s="2501"/>
      <c r="W19" s="2501"/>
      <c r="X19" s="2501"/>
      <c r="Y19" s="2501"/>
      <c r="Z19" s="2501"/>
      <c r="AA19" s="2501"/>
    </row>
    <row r="20" spans="1:27" ht="15.75" customHeight="1" x14ac:dyDescent="0.3">
      <c r="A20" s="2501"/>
      <c r="B20" s="5141" t="s">
        <v>1639</v>
      </c>
      <c r="C20" s="5142">
        <v>7247</v>
      </c>
      <c r="D20" s="5143">
        <v>5623</v>
      </c>
      <c r="E20" s="5143"/>
      <c r="F20" s="5143"/>
      <c r="G20" s="5143"/>
      <c r="H20" s="5143"/>
      <c r="I20" s="5143"/>
      <c r="J20" s="5143"/>
      <c r="K20" s="5143"/>
      <c r="L20" s="5143"/>
      <c r="M20" s="5143"/>
      <c r="N20" s="5746"/>
      <c r="O20" s="5747">
        <f t="shared" si="0"/>
        <v>12870</v>
      </c>
      <c r="P20" s="5748">
        <f t="shared" si="1"/>
        <v>0.12870000000000001</v>
      </c>
      <c r="Q20" s="5745"/>
      <c r="R20" s="2501"/>
      <c r="S20" s="2501"/>
      <c r="T20" s="2501"/>
      <c r="U20" s="5745"/>
      <c r="V20" s="2501"/>
      <c r="W20" s="2501"/>
      <c r="X20" s="2501"/>
      <c r="Y20" s="2501"/>
      <c r="Z20" s="2501"/>
      <c r="AA20" s="2501"/>
    </row>
    <row r="21" spans="1:27" ht="15.75" customHeight="1" thickBot="1" x14ac:dyDescent="0.35">
      <c r="A21" s="2501"/>
      <c r="B21" s="5144" t="s">
        <v>1640</v>
      </c>
      <c r="C21" s="5145">
        <v>18003</v>
      </c>
      <c r="D21" s="5146">
        <v>11946</v>
      </c>
      <c r="E21" s="5146"/>
      <c r="F21" s="5146"/>
      <c r="G21" s="5146"/>
      <c r="H21" s="5146"/>
      <c r="I21" s="5146"/>
      <c r="J21" s="5146"/>
      <c r="K21" s="5146"/>
      <c r="L21" s="5146"/>
      <c r="M21" s="5146"/>
      <c r="N21" s="5750"/>
      <c r="O21" s="5751">
        <f t="shared" si="0"/>
        <v>29949</v>
      </c>
      <c r="P21" s="5752">
        <f t="shared" si="1"/>
        <v>0.29948999999999998</v>
      </c>
      <c r="Q21" s="5745"/>
      <c r="R21" s="2501"/>
      <c r="S21" s="2501"/>
      <c r="T21" s="2501"/>
      <c r="U21" s="5745"/>
      <c r="V21" s="2501"/>
      <c r="W21" s="2501"/>
      <c r="X21" s="2501"/>
      <c r="Y21" s="2501"/>
      <c r="Z21" s="2501"/>
      <c r="AA21" s="2501"/>
    </row>
    <row r="22" spans="1:27" ht="15.75" customHeight="1" thickBot="1" x14ac:dyDescent="0.35">
      <c r="A22" s="5753"/>
      <c r="B22" s="5147" t="s">
        <v>1641</v>
      </c>
      <c r="C22" s="5148">
        <f t="shared" ref="C22:N22" si="2">SUM(C7:C21)</f>
        <v>1352716</v>
      </c>
      <c r="D22" s="5148">
        <f t="shared" si="2"/>
        <v>1098914</v>
      </c>
      <c r="E22" s="5148">
        <f t="shared" si="2"/>
        <v>0</v>
      </c>
      <c r="F22" s="5148">
        <f t="shared" si="2"/>
        <v>0</v>
      </c>
      <c r="G22" s="5148">
        <f t="shared" si="2"/>
        <v>0</v>
      </c>
      <c r="H22" s="5148">
        <f t="shared" si="2"/>
        <v>0</v>
      </c>
      <c r="I22" s="5148">
        <f t="shared" si="2"/>
        <v>0</v>
      </c>
      <c r="J22" s="5148">
        <f t="shared" si="2"/>
        <v>0</v>
      </c>
      <c r="K22" s="5148">
        <f t="shared" si="2"/>
        <v>0</v>
      </c>
      <c r="L22" s="5148">
        <f t="shared" si="2"/>
        <v>0</v>
      </c>
      <c r="M22" s="5754">
        <f t="shared" si="2"/>
        <v>0</v>
      </c>
      <c r="N22" s="5755">
        <f t="shared" si="2"/>
        <v>0</v>
      </c>
      <c r="O22" s="5754">
        <f t="shared" si="0"/>
        <v>2451630</v>
      </c>
      <c r="P22" s="5756">
        <f t="shared" si="1"/>
        <v>24.516300000000001</v>
      </c>
      <c r="Q22" s="5757"/>
      <c r="R22" s="5753"/>
      <c r="S22" s="5753"/>
      <c r="T22" s="5753"/>
      <c r="U22" s="5757"/>
      <c r="V22" s="5753"/>
      <c r="W22" s="5753"/>
      <c r="X22" s="5753"/>
      <c r="Y22" s="5753"/>
      <c r="Z22" s="5753"/>
      <c r="AA22" s="5753"/>
    </row>
    <row r="23" spans="1:27" ht="15.75" customHeight="1" x14ac:dyDescent="0.3">
      <c r="A23" s="2501"/>
      <c r="B23" s="2501"/>
      <c r="C23" s="2501"/>
      <c r="D23" s="2501"/>
      <c r="E23" s="2501"/>
      <c r="F23" s="2501"/>
      <c r="G23" s="5739"/>
      <c r="H23" s="5739"/>
      <c r="I23" s="5739"/>
      <c r="J23" s="5739"/>
      <c r="K23" s="5739"/>
      <c r="L23" s="2501"/>
      <c r="M23" s="5739"/>
      <c r="N23" s="2501"/>
      <c r="O23" s="5741"/>
      <c r="P23" s="5741"/>
      <c r="Q23" s="2501"/>
      <c r="R23" s="2501"/>
      <c r="S23" s="2501"/>
      <c r="T23" s="2501"/>
      <c r="U23" s="5745"/>
      <c r="V23" s="2501"/>
      <c r="W23" s="2501"/>
      <c r="X23" s="2501"/>
      <c r="Y23" s="2501"/>
      <c r="Z23" s="2501"/>
      <c r="AA23" s="2501"/>
    </row>
    <row r="24" spans="1:27" ht="15.75" customHeight="1" x14ac:dyDescent="0.3">
      <c r="A24" s="2501"/>
      <c r="B24" s="2501"/>
      <c r="C24" s="2501"/>
      <c r="D24" s="2501"/>
      <c r="E24" s="2501"/>
      <c r="F24" s="2501"/>
      <c r="G24" s="2501"/>
      <c r="H24" s="2501"/>
      <c r="I24" s="2501"/>
      <c r="J24" s="2501"/>
      <c r="K24" s="2501"/>
      <c r="L24" s="2501"/>
      <c r="M24" s="2501"/>
      <c r="N24" s="2501"/>
      <c r="O24" s="2501"/>
      <c r="P24" s="2501"/>
      <c r="Q24" s="2501"/>
      <c r="R24" s="2501"/>
      <c r="S24" s="2501"/>
      <c r="T24" s="2501"/>
      <c r="U24" s="2501"/>
      <c r="V24" s="2501"/>
      <c r="W24" s="2501"/>
      <c r="X24" s="2501"/>
      <c r="Y24" s="2501"/>
      <c r="Z24" s="2501"/>
      <c r="AA24" s="2501"/>
    </row>
    <row r="25" spans="1:27" ht="15.75" customHeight="1" x14ac:dyDescent="0.3">
      <c r="A25" s="2501"/>
      <c r="B25" s="2501"/>
      <c r="C25" s="2501"/>
      <c r="D25" s="2501"/>
      <c r="E25" s="2501"/>
      <c r="F25" s="2501"/>
      <c r="G25" s="2501"/>
      <c r="H25" s="2501"/>
      <c r="I25" s="2501"/>
      <c r="J25" s="2501"/>
      <c r="K25" s="2501"/>
      <c r="L25" s="2501"/>
      <c r="M25" s="2501"/>
      <c r="N25" s="2501"/>
      <c r="O25" s="2501"/>
      <c r="P25" s="2501"/>
      <c r="Q25" s="2501"/>
      <c r="R25" s="2501"/>
      <c r="S25" s="2501"/>
      <c r="T25" s="2501"/>
      <c r="U25" s="2501"/>
      <c r="V25" s="2501"/>
      <c r="W25" s="2501"/>
      <c r="X25" s="2501"/>
      <c r="Y25" s="2501"/>
      <c r="Z25" s="2501"/>
      <c r="AA25" s="2501"/>
    </row>
    <row r="26" spans="1:27" ht="15.75" customHeight="1" x14ac:dyDescent="0.3">
      <c r="A26" s="2501"/>
      <c r="B26" s="2501"/>
      <c r="C26" s="2501"/>
      <c r="D26" s="2501"/>
      <c r="E26" s="2501"/>
      <c r="F26" s="2501"/>
      <c r="G26" s="2501"/>
      <c r="H26" s="2501"/>
      <c r="I26" s="2501"/>
      <c r="J26" s="2501"/>
      <c r="K26" s="2501"/>
      <c r="L26" s="2501"/>
      <c r="M26" s="2501"/>
      <c r="N26" s="2501"/>
      <c r="O26" s="2501"/>
      <c r="P26" s="2501"/>
      <c r="Q26" s="2501"/>
      <c r="R26" s="2501"/>
      <c r="S26" s="2501"/>
      <c r="T26" s="2501"/>
      <c r="U26" s="2501"/>
      <c r="V26" s="2501"/>
      <c r="W26" s="2501"/>
      <c r="X26" s="2501"/>
      <c r="Y26" s="2501"/>
      <c r="Z26" s="2501"/>
      <c r="AA26" s="2501"/>
    </row>
    <row r="27" spans="1:27" ht="15.75" customHeight="1" x14ac:dyDescent="0.3">
      <c r="A27" s="2501"/>
      <c r="B27" s="2501"/>
      <c r="C27" s="2501"/>
      <c r="D27" s="2501"/>
      <c r="E27" s="2501"/>
      <c r="F27" s="2501"/>
      <c r="G27" s="2501"/>
      <c r="H27" s="2501"/>
      <c r="I27" s="2501"/>
      <c r="J27" s="2501"/>
      <c r="K27" s="2501"/>
      <c r="L27" s="2501"/>
      <c r="M27" s="2501"/>
      <c r="N27" s="2501"/>
      <c r="O27" s="2501"/>
      <c r="P27" s="2501"/>
      <c r="Q27" s="2501"/>
      <c r="R27" s="2501"/>
      <c r="S27" s="2501"/>
      <c r="T27" s="2501"/>
      <c r="U27" s="2501"/>
      <c r="V27" s="2501"/>
      <c r="W27" s="2501"/>
      <c r="X27" s="2501"/>
      <c r="Y27" s="2501"/>
      <c r="Z27" s="2501"/>
      <c r="AA27" s="2501"/>
    </row>
    <row r="28" spans="1:27" ht="15.75" customHeight="1" x14ac:dyDescent="0.3">
      <c r="A28" s="2501"/>
      <c r="B28" s="2501"/>
      <c r="C28" s="2501"/>
      <c r="D28" s="2501"/>
      <c r="E28" s="2501"/>
      <c r="F28" s="2501"/>
      <c r="G28" s="2501"/>
      <c r="H28" s="2501"/>
      <c r="I28" s="2501"/>
      <c r="J28" s="2501"/>
      <c r="K28" s="2501"/>
      <c r="L28" s="2501"/>
      <c r="M28" s="2501"/>
      <c r="N28" s="2501"/>
      <c r="O28" s="2501"/>
      <c r="P28" s="2501"/>
      <c r="Q28" s="2501"/>
      <c r="R28" s="2501"/>
      <c r="S28" s="2501"/>
      <c r="T28" s="2501"/>
      <c r="U28" s="2501"/>
      <c r="V28" s="2501"/>
      <c r="W28" s="2501"/>
      <c r="X28" s="2501"/>
      <c r="Y28" s="2501"/>
      <c r="Z28" s="2501"/>
      <c r="AA28" s="2501"/>
    </row>
    <row r="29" spans="1:27" ht="15.75" customHeight="1" x14ac:dyDescent="0.3">
      <c r="A29" s="2501"/>
      <c r="B29" s="2501"/>
      <c r="C29" s="2501"/>
      <c r="D29" s="2501"/>
      <c r="E29" s="2501"/>
      <c r="F29" s="2501"/>
      <c r="G29" s="2501"/>
      <c r="H29" s="2501"/>
      <c r="I29" s="2501"/>
      <c r="J29" s="2501"/>
      <c r="K29" s="2501"/>
      <c r="L29" s="2501"/>
      <c r="M29" s="2501"/>
      <c r="N29" s="2501"/>
      <c r="O29" s="2501"/>
      <c r="P29" s="2501"/>
      <c r="Q29" s="2501"/>
      <c r="R29" s="2501"/>
      <c r="S29" s="2501"/>
      <c r="T29" s="2501"/>
      <c r="U29" s="2501"/>
      <c r="V29" s="2501"/>
      <c r="W29" s="2501"/>
      <c r="X29" s="2501"/>
      <c r="Y29" s="2501"/>
      <c r="Z29" s="2501"/>
      <c r="AA29" s="2501"/>
    </row>
    <row r="30" spans="1:27" ht="15.75" customHeight="1" x14ac:dyDescent="0.3">
      <c r="A30" s="2501"/>
      <c r="B30" s="2501"/>
      <c r="C30" s="2501"/>
      <c r="D30" s="2501"/>
      <c r="E30" s="2501"/>
      <c r="F30" s="2501"/>
      <c r="G30" s="2501"/>
      <c r="H30" s="2501"/>
      <c r="I30" s="2501"/>
      <c r="J30" s="2501"/>
      <c r="K30" s="2501"/>
      <c r="L30" s="2501"/>
      <c r="M30" s="2501"/>
      <c r="N30" s="2501"/>
      <c r="O30" s="2501"/>
      <c r="P30" s="2501"/>
      <c r="Q30" s="2501"/>
      <c r="R30" s="2501"/>
      <c r="S30" s="2501"/>
      <c r="T30" s="2501"/>
      <c r="U30" s="2501"/>
      <c r="V30" s="2501"/>
      <c r="W30" s="2501"/>
      <c r="X30" s="2501"/>
      <c r="Y30" s="2501"/>
      <c r="Z30" s="2501"/>
      <c r="AA30" s="2501"/>
    </row>
    <row r="31" spans="1:27" ht="15.75" customHeight="1" x14ac:dyDescent="0.3">
      <c r="A31" s="2501"/>
      <c r="B31" s="2501"/>
      <c r="C31" s="2501"/>
      <c r="D31" s="2501"/>
      <c r="E31" s="2501"/>
      <c r="F31" s="2501"/>
      <c r="G31" s="2501"/>
      <c r="H31" s="2501"/>
      <c r="I31" s="2501"/>
      <c r="J31" s="2501"/>
      <c r="K31" s="2501"/>
      <c r="L31" s="2501"/>
      <c r="M31" s="2501"/>
      <c r="N31" s="2501"/>
      <c r="O31" s="2501"/>
      <c r="P31" s="2501"/>
      <c r="Q31" s="2501"/>
      <c r="R31" s="2501"/>
      <c r="S31" s="2501"/>
      <c r="T31" s="2501"/>
      <c r="U31" s="2501"/>
      <c r="V31" s="2501"/>
      <c r="W31" s="2501"/>
      <c r="X31" s="2501"/>
      <c r="Y31" s="2501"/>
      <c r="Z31" s="2501"/>
      <c r="AA31" s="2501"/>
    </row>
    <row r="32" spans="1:27" ht="15.75" customHeight="1" x14ac:dyDescent="0.3">
      <c r="A32" s="2501"/>
      <c r="B32" s="2501"/>
      <c r="C32" s="2501"/>
      <c r="D32" s="2501"/>
      <c r="E32" s="2501"/>
      <c r="F32" s="2501"/>
      <c r="G32" s="2501"/>
      <c r="H32" s="2501"/>
      <c r="I32" s="2501"/>
      <c r="J32" s="2501"/>
      <c r="K32" s="2501"/>
      <c r="L32" s="2501"/>
      <c r="M32" s="2501"/>
      <c r="N32" s="2501"/>
      <c r="O32" s="2501"/>
      <c r="P32" s="2501"/>
      <c r="Q32" s="2501"/>
      <c r="R32" s="2501"/>
      <c r="S32" s="2501"/>
      <c r="T32" s="2501"/>
      <c r="U32" s="2501"/>
      <c r="V32" s="2501"/>
      <c r="W32" s="2501"/>
      <c r="X32" s="2501"/>
      <c r="Y32" s="2501"/>
      <c r="Z32" s="2501"/>
      <c r="AA32" s="2501"/>
    </row>
    <row r="33" spans="1:27" ht="15.75" customHeight="1" x14ac:dyDescent="0.3">
      <c r="A33" s="2501"/>
      <c r="B33" s="2501"/>
      <c r="C33" s="2501"/>
      <c r="D33" s="2501"/>
      <c r="E33" s="2501"/>
      <c r="F33" s="2501"/>
      <c r="G33" s="2501"/>
      <c r="H33" s="2501"/>
      <c r="I33" s="2501"/>
      <c r="J33" s="2501"/>
      <c r="K33" s="2501"/>
      <c r="L33" s="2501"/>
      <c r="M33" s="2501"/>
      <c r="N33" s="2501"/>
      <c r="O33" s="2501"/>
      <c r="P33" s="2501"/>
      <c r="Q33" s="2501"/>
      <c r="R33" s="2501"/>
      <c r="S33" s="2501"/>
      <c r="T33" s="2501"/>
      <c r="U33" s="2501"/>
      <c r="V33" s="2501"/>
      <c r="W33" s="2501"/>
      <c r="X33" s="2501"/>
      <c r="Y33" s="2501"/>
      <c r="Z33" s="2501"/>
      <c r="AA33" s="2501"/>
    </row>
    <row r="34" spans="1:27" ht="15.75" customHeight="1" x14ac:dyDescent="0.3">
      <c r="A34" s="2501"/>
      <c r="B34" s="2501"/>
      <c r="C34" s="2501"/>
      <c r="D34" s="2501"/>
      <c r="E34" s="2501"/>
      <c r="F34" s="2501"/>
      <c r="G34" s="2501"/>
      <c r="H34" s="2501"/>
      <c r="I34" s="2501"/>
      <c r="J34" s="2501"/>
      <c r="K34" s="2501"/>
      <c r="L34" s="2501"/>
      <c r="M34" s="2501"/>
      <c r="N34" s="2501"/>
      <c r="O34" s="2501"/>
      <c r="P34" s="2501"/>
      <c r="Q34" s="2501"/>
      <c r="R34" s="2501"/>
      <c r="S34" s="2501"/>
      <c r="T34" s="2501"/>
      <c r="U34" s="2501"/>
      <c r="V34" s="2501"/>
      <c r="W34" s="2501"/>
      <c r="X34" s="2501"/>
      <c r="Y34" s="2501"/>
      <c r="Z34" s="2501"/>
      <c r="AA34" s="2501"/>
    </row>
    <row r="35" spans="1:27" ht="15.75" customHeight="1" x14ac:dyDescent="0.3">
      <c r="A35" s="2501"/>
      <c r="B35" s="2501"/>
      <c r="C35" s="2501"/>
      <c r="D35" s="2501"/>
      <c r="E35" s="2501"/>
      <c r="F35" s="2501"/>
      <c r="G35" s="2501"/>
      <c r="H35" s="2501"/>
      <c r="I35" s="2501"/>
      <c r="J35" s="2501"/>
      <c r="K35" s="2501"/>
      <c r="L35" s="2501"/>
      <c r="M35" s="2501"/>
      <c r="N35" s="2501"/>
      <c r="O35" s="2501"/>
      <c r="P35" s="2501"/>
      <c r="Q35" s="2501"/>
      <c r="R35" s="2501"/>
      <c r="S35" s="2501"/>
      <c r="T35" s="2501"/>
      <c r="U35" s="2501"/>
      <c r="V35" s="2501"/>
      <c r="W35" s="2501"/>
      <c r="X35" s="2501"/>
      <c r="Y35" s="2501"/>
      <c r="Z35" s="2501"/>
      <c r="AA35" s="2501"/>
    </row>
    <row r="36" spans="1:27" ht="15.75" customHeight="1" x14ac:dyDescent="0.3">
      <c r="A36" s="2501"/>
      <c r="B36" s="2501"/>
      <c r="C36" s="2501"/>
      <c r="D36" s="2501"/>
      <c r="E36" s="2501"/>
      <c r="F36" s="2501"/>
      <c r="G36" s="2501"/>
      <c r="H36" s="2501"/>
      <c r="I36" s="2501"/>
      <c r="J36" s="2501"/>
      <c r="K36" s="2501"/>
      <c r="L36" s="2501"/>
      <c r="M36" s="2501"/>
      <c r="N36" s="2501"/>
      <c r="O36" s="2501"/>
      <c r="P36" s="2501"/>
      <c r="Q36" s="2501"/>
      <c r="R36" s="2501"/>
      <c r="S36" s="2501"/>
      <c r="T36" s="2501"/>
      <c r="U36" s="2501"/>
      <c r="V36" s="2501"/>
      <c r="W36" s="2501"/>
      <c r="X36" s="2501"/>
      <c r="Y36" s="2501"/>
      <c r="Z36" s="2501"/>
      <c r="AA36" s="2501"/>
    </row>
    <row r="37" spans="1:27" ht="15.75" customHeight="1" x14ac:dyDescent="0.3">
      <c r="A37" s="2501"/>
      <c r="B37" s="2501"/>
      <c r="C37" s="2501"/>
      <c r="D37" s="2501"/>
      <c r="E37" s="2501"/>
      <c r="F37" s="2501"/>
      <c r="G37" s="2501"/>
      <c r="H37" s="2501"/>
      <c r="I37" s="2501"/>
      <c r="J37" s="2501"/>
      <c r="K37" s="2501"/>
      <c r="L37" s="2501"/>
      <c r="M37" s="2501"/>
      <c r="N37" s="2501"/>
      <c r="O37" s="2501"/>
      <c r="P37" s="2501"/>
      <c r="Q37" s="2501"/>
      <c r="R37" s="2501"/>
      <c r="S37" s="2501"/>
      <c r="T37" s="2501"/>
      <c r="U37" s="2501"/>
      <c r="V37" s="2501"/>
      <c r="W37" s="2501"/>
      <c r="X37" s="2501"/>
      <c r="Y37" s="2501"/>
      <c r="Z37" s="2501"/>
      <c r="AA37" s="2501"/>
    </row>
    <row r="38" spans="1:27" ht="15.75" customHeight="1" x14ac:dyDescent="0.3">
      <c r="A38" s="2501"/>
      <c r="B38" s="2501"/>
      <c r="C38" s="2501"/>
      <c r="D38" s="2501"/>
      <c r="E38" s="2501"/>
      <c r="F38" s="2501"/>
      <c r="G38" s="2501"/>
      <c r="H38" s="2501"/>
      <c r="I38" s="2501"/>
      <c r="J38" s="2501"/>
      <c r="K38" s="2501"/>
      <c r="L38" s="2501"/>
      <c r="M38" s="2501"/>
      <c r="N38" s="2501"/>
      <c r="O38" s="2501"/>
      <c r="P38" s="2501"/>
      <c r="Q38" s="2501"/>
      <c r="R38" s="2501"/>
      <c r="S38" s="2501"/>
      <c r="T38" s="2501"/>
      <c r="U38" s="2501"/>
      <c r="V38" s="2501"/>
      <c r="W38" s="2501"/>
      <c r="X38" s="2501"/>
      <c r="Y38" s="2501"/>
      <c r="Z38" s="2501"/>
      <c r="AA38" s="2501"/>
    </row>
    <row r="39" spans="1:27" ht="15.75" customHeight="1" x14ac:dyDescent="0.3">
      <c r="A39" s="2501"/>
      <c r="B39" s="2501"/>
      <c r="C39" s="2501"/>
      <c r="D39" s="2501"/>
      <c r="E39" s="2501"/>
      <c r="F39" s="2501"/>
      <c r="G39" s="2501"/>
      <c r="H39" s="2501"/>
      <c r="I39" s="2501"/>
      <c r="J39" s="2501"/>
      <c r="K39" s="2501"/>
      <c r="L39" s="2501"/>
      <c r="M39" s="2501"/>
      <c r="N39" s="2501"/>
      <c r="O39" s="2501"/>
      <c r="P39" s="2501"/>
      <c r="Q39" s="2501"/>
      <c r="R39" s="2501"/>
      <c r="S39" s="2501"/>
      <c r="T39" s="2501"/>
      <c r="U39" s="2501"/>
      <c r="V39" s="2501"/>
      <c r="W39" s="2501"/>
      <c r="X39" s="2501"/>
      <c r="Y39" s="2501"/>
      <c r="Z39" s="2501"/>
      <c r="AA39" s="2501"/>
    </row>
    <row r="40" spans="1:27" ht="15.75" customHeight="1" x14ac:dyDescent="0.3">
      <c r="A40" s="2501"/>
      <c r="B40" s="2501"/>
      <c r="C40" s="2501"/>
      <c r="D40" s="2501"/>
      <c r="E40" s="2501"/>
      <c r="F40" s="2501"/>
      <c r="G40" s="2501"/>
      <c r="H40" s="2501"/>
      <c r="I40" s="2501"/>
      <c r="J40" s="2501"/>
      <c r="K40" s="2501"/>
      <c r="L40" s="2501"/>
      <c r="M40" s="2501"/>
      <c r="N40" s="2501"/>
      <c r="O40" s="2501"/>
      <c r="P40" s="2501"/>
      <c r="Q40" s="2501"/>
      <c r="R40" s="2501"/>
      <c r="S40" s="2501"/>
      <c r="T40" s="2501"/>
      <c r="U40" s="2501"/>
      <c r="V40" s="2501"/>
      <c r="W40" s="2501"/>
      <c r="X40" s="2501"/>
      <c r="Y40" s="2501"/>
      <c r="Z40" s="2501"/>
      <c r="AA40" s="2501"/>
    </row>
    <row r="41" spans="1:27" ht="15.75" customHeight="1" x14ac:dyDescent="0.3">
      <c r="A41" s="2501"/>
      <c r="B41" s="2501"/>
      <c r="C41" s="2501"/>
      <c r="D41" s="2501"/>
      <c r="E41" s="2501"/>
      <c r="F41" s="2501"/>
      <c r="G41" s="2501"/>
      <c r="H41" s="2501"/>
      <c r="I41" s="2501"/>
      <c r="J41" s="2501"/>
      <c r="K41" s="2501"/>
      <c r="L41" s="2501"/>
      <c r="M41" s="2501"/>
      <c r="N41" s="2501"/>
      <c r="O41" s="2501"/>
      <c r="P41" s="2501"/>
      <c r="Q41" s="2501"/>
      <c r="R41" s="2501"/>
      <c r="S41" s="2501"/>
      <c r="T41" s="2501"/>
      <c r="U41" s="2501"/>
      <c r="V41" s="2501"/>
      <c r="W41" s="2501"/>
      <c r="X41" s="2501"/>
      <c r="Y41" s="2501"/>
      <c r="Z41" s="2501"/>
      <c r="AA41" s="2501"/>
    </row>
    <row r="42" spans="1:27" ht="15.75" customHeight="1" x14ac:dyDescent="0.3">
      <c r="A42" s="2501"/>
      <c r="B42" s="2501"/>
      <c r="C42" s="2501"/>
      <c r="D42" s="2501"/>
      <c r="E42" s="2501"/>
      <c r="F42" s="2501"/>
      <c r="G42" s="2501"/>
      <c r="H42" s="2501"/>
      <c r="I42" s="2501"/>
      <c r="J42" s="2501"/>
      <c r="K42" s="2501"/>
      <c r="L42" s="2501"/>
      <c r="M42" s="2501"/>
      <c r="N42" s="2501"/>
      <c r="O42" s="2501"/>
      <c r="P42" s="2501"/>
      <c r="Q42" s="2501"/>
      <c r="R42" s="2501"/>
      <c r="S42" s="2501"/>
      <c r="T42" s="2501"/>
      <c r="U42" s="2501"/>
      <c r="V42" s="2501"/>
      <c r="W42" s="2501"/>
      <c r="X42" s="2501"/>
      <c r="Y42" s="2501"/>
      <c r="Z42" s="2501"/>
      <c r="AA42" s="2501"/>
    </row>
    <row r="43" spans="1:27" ht="15.75" customHeight="1" x14ac:dyDescent="0.3">
      <c r="A43" s="2501"/>
      <c r="B43" s="2501"/>
      <c r="C43" s="2501"/>
      <c r="D43" s="2501"/>
      <c r="E43" s="2501"/>
      <c r="F43" s="2501"/>
      <c r="G43" s="2501"/>
      <c r="H43" s="2501"/>
      <c r="I43" s="2501"/>
      <c r="J43" s="2501"/>
      <c r="K43" s="2501"/>
      <c r="L43" s="2501"/>
      <c r="M43" s="2501"/>
      <c r="N43" s="2501"/>
      <c r="O43" s="2501"/>
      <c r="P43" s="2501"/>
      <c r="Q43" s="2501"/>
      <c r="R43" s="2501"/>
      <c r="S43" s="2501"/>
      <c r="T43" s="2501"/>
      <c r="U43" s="2501"/>
      <c r="V43" s="2501"/>
      <c r="W43" s="2501"/>
      <c r="X43" s="2501"/>
      <c r="Y43" s="2501"/>
      <c r="Z43" s="2501"/>
      <c r="AA43" s="2501"/>
    </row>
    <row r="44" spans="1:27" ht="15.75" customHeight="1" x14ac:dyDescent="0.3">
      <c r="A44" s="2501"/>
      <c r="B44" s="2501"/>
      <c r="C44" s="2501"/>
      <c r="D44" s="2501"/>
      <c r="E44" s="2501"/>
      <c r="F44" s="2501"/>
      <c r="G44" s="2501"/>
      <c r="H44" s="2501"/>
      <c r="I44" s="2501"/>
      <c r="J44" s="2501"/>
      <c r="K44" s="2501"/>
      <c r="L44" s="2501"/>
      <c r="M44" s="2501"/>
      <c r="N44" s="2501"/>
      <c r="O44" s="2501"/>
      <c r="P44" s="2501"/>
      <c r="Q44" s="2501"/>
      <c r="R44" s="2501"/>
      <c r="S44" s="2501"/>
      <c r="T44" s="2501"/>
      <c r="U44" s="2501"/>
      <c r="V44" s="2501"/>
      <c r="W44" s="2501"/>
      <c r="X44" s="2501"/>
      <c r="Y44" s="2501"/>
      <c r="Z44" s="2501"/>
      <c r="AA44" s="2501"/>
    </row>
    <row r="45" spans="1:27" ht="15.75" customHeight="1" x14ac:dyDescent="0.3">
      <c r="A45" s="2501"/>
      <c r="B45" s="2501"/>
      <c r="C45" s="2501"/>
      <c r="D45" s="2501"/>
      <c r="E45" s="2501"/>
      <c r="F45" s="2501"/>
      <c r="G45" s="2501"/>
      <c r="H45" s="2501"/>
      <c r="I45" s="2501"/>
      <c r="J45" s="2501"/>
      <c r="K45" s="2501"/>
      <c r="L45" s="2501"/>
      <c r="M45" s="2501"/>
      <c r="N45" s="2501"/>
      <c r="O45" s="2501"/>
      <c r="P45" s="2501"/>
      <c r="Q45" s="2501"/>
      <c r="R45" s="2501"/>
      <c r="S45" s="2501"/>
      <c r="T45" s="2501"/>
      <c r="U45" s="2501"/>
      <c r="V45" s="2501"/>
      <c r="W45" s="2501"/>
      <c r="X45" s="2501"/>
      <c r="Y45" s="2501"/>
      <c r="Z45" s="2501"/>
      <c r="AA45" s="2501"/>
    </row>
    <row r="46" spans="1:27" ht="15.75" customHeight="1" x14ac:dyDescent="0.3">
      <c r="A46" s="2501"/>
      <c r="B46" s="2501"/>
      <c r="C46" s="2501"/>
      <c r="D46" s="2501"/>
      <c r="E46" s="2501"/>
      <c r="F46" s="2501"/>
      <c r="G46" s="2501"/>
      <c r="H46" s="2501"/>
      <c r="I46" s="2501"/>
      <c r="J46" s="2501"/>
      <c r="K46" s="2501"/>
      <c r="L46" s="2501"/>
      <c r="M46" s="2501"/>
      <c r="N46" s="2501"/>
      <c r="O46" s="2501"/>
      <c r="P46" s="2501"/>
      <c r="Q46" s="2501"/>
      <c r="R46" s="2501"/>
      <c r="S46" s="2501"/>
      <c r="T46" s="2501"/>
      <c r="U46" s="2501"/>
      <c r="V46" s="2501"/>
      <c r="W46" s="2501"/>
      <c r="X46" s="2501"/>
      <c r="Y46" s="2501"/>
      <c r="Z46" s="2501"/>
      <c r="AA46" s="2501"/>
    </row>
    <row r="47" spans="1:27" ht="15.75" customHeight="1" x14ac:dyDescent="0.3">
      <c r="A47" s="2501"/>
      <c r="B47" s="2501"/>
      <c r="C47" s="2501"/>
      <c r="D47" s="2501"/>
      <c r="E47" s="2501"/>
      <c r="F47" s="2501"/>
      <c r="G47" s="2501"/>
      <c r="H47" s="2501"/>
      <c r="I47" s="2501"/>
      <c r="J47" s="2501"/>
      <c r="K47" s="2501"/>
      <c r="L47" s="2501"/>
      <c r="M47" s="2501"/>
      <c r="N47" s="2501"/>
      <c r="O47" s="2501"/>
      <c r="P47" s="2501"/>
      <c r="Q47" s="2501"/>
      <c r="R47" s="2501"/>
      <c r="S47" s="2501"/>
      <c r="T47" s="2501"/>
      <c r="U47" s="2501"/>
      <c r="V47" s="2501"/>
      <c r="W47" s="2501"/>
      <c r="X47" s="2501"/>
      <c r="Y47" s="2501"/>
      <c r="Z47" s="2501"/>
      <c r="AA47" s="2501"/>
    </row>
    <row r="48" spans="1:27" ht="15.75" customHeight="1" x14ac:dyDescent="0.3">
      <c r="A48" s="2501"/>
      <c r="B48" s="2501"/>
      <c r="C48" s="2501"/>
      <c r="D48" s="2501"/>
      <c r="E48" s="2501"/>
      <c r="F48" s="2501"/>
      <c r="G48" s="2501"/>
      <c r="H48" s="2501"/>
      <c r="I48" s="2501"/>
      <c r="J48" s="2501"/>
      <c r="K48" s="2501"/>
      <c r="L48" s="2501"/>
      <c r="M48" s="2501"/>
      <c r="N48" s="2501"/>
      <c r="O48" s="2501"/>
      <c r="P48" s="2501"/>
      <c r="Q48" s="2501"/>
      <c r="R48" s="2501"/>
      <c r="S48" s="2501"/>
      <c r="T48" s="2501"/>
      <c r="U48" s="2501"/>
      <c r="V48" s="2501"/>
      <c r="W48" s="2501"/>
      <c r="X48" s="2501"/>
      <c r="Y48" s="2501"/>
      <c r="Z48" s="2501"/>
      <c r="AA48" s="2501"/>
    </row>
    <row r="49" spans="1:27" ht="15.75" customHeight="1" x14ac:dyDescent="0.3">
      <c r="A49" s="2501"/>
      <c r="B49" s="2501"/>
      <c r="C49" s="2501"/>
      <c r="D49" s="2501"/>
      <c r="E49" s="2501"/>
      <c r="F49" s="2501"/>
      <c r="G49" s="2501"/>
      <c r="H49" s="2501"/>
      <c r="I49" s="2501"/>
      <c r="J49" s="2501"/>
      <c r="K49" s="2501"/>
      <c r="L49" s="2501"/>
      <c r="M49" s="2501"/>
      <c r="N49" s="2501"/>
      <c r="O49" s="2501"/>
      <c r="P49" s="2501"/>
      <c r="Q49" s="2501"/>
      <c r="R49" s="2501"/>
      <c r="S49" s="2501"/>
      <c r="T49" s="2501"/>
      <c r="U49" s="2501"/>
      <c r="V49" s="2501"/>
      <c r="W49" s="2501"/>
      <c r="X49" s="2501"/>
      <c r="Y49" s="2501"/>
      <c r="Z49" s="2501"/>
      <c r="AA49" s="2501"/>
    </row>
    <row r="50" spans="1:27" ht="15.75" customHeight="1" x14ac:dyDescent="0.3">
      <c r="A50" s="2501"/>
      <c r="B50" s="2501"/>
      <c r="C50" s="2501"/>
      <c r="D50" s="2501"/>
      <c r="E50" s="2501"/>
      <c r="F50" s="2501"/>
      <c r="G50" s="2501"/>
      <c r="H50" s="2501"/>
      <c r="I50" s="2501"/>
      <c r="J50" s="2501"/>
      <c r="K50" s="2501"/>
      <c r="L50" s="2501"/>
      <c r="M50" s="2501"/>
      <c r="N50" s="2501"/>
      <c r="O50" s="2501"/>
      <c r="P50" s="2501"/>
      <c r="Q50" s="2501"/>
      <c r="R50" s="2501"/>
      <c r="S50" s="2501"/>
      <c r="T50" s="2501"/>
      <c r="U50" s="2501"/>
      <c r="V50" s="2501"/>
      <c r="W50" s="2501"/>
      <c r="X50" s="2501"/>
      <c r="Y50" s="2501"/>
      <c r="Z50" s="2501"/>
      <c r="AA50" s="2501"/>
    </row>
    <row r="51" spans="1:27" ht="15.75" customHeight="1" x14ac:dyDescent="0.3">
      <c r="A51" s="2501"/>
      <c r="B51" s="2501"/>
      <c r="C51" s="2501"/>
      <c r="D51" s="2501"/>
      <c r="E51" s="2501"/>
      <c r="F51" s="2501"/>
      <c r="G51" s="2501"/>
      <c r="H51" s="2501"/>
      <c r="I51" s="2501"/>
      <c r="J51" s="2501"/>
      <c r="K51" s="2501"/>
      <c r="L51" s="2501"/>
      <c r="M51" s="2501"/>
      <c r="N51" s="2501"/>
      <c r="O51" s="2501"/>
      <c r="P51" s="2501"/>
      <c r="Q51" s="2501"/>
      <c r="R51" s="2501"/>
      <c r="S51" s="2501"/>
      <c r="T51" s="2501"/>
      <c r="U51" s="2501"/>
      <c r="V51" s="2501"/>
      <c r="W51" s="2501"/>
      <c r="X51" s="2501"/>
      <c r="Y51" s="2501"/>
      <c r="Z51" s="2501"/>
      <c r="AA51" s="2501"/>
    </row>
    <row r="52" spans="1:27" ht="15.75" customHeight="1" x14ac:dyDescent="0.3">
      <c r="A52" s="2501"/>
      <c r="B52" s="2501"/>
      <c r="C52" s="2501"/>
      <c r="D52" s="2501"/>
      <c r="E52" s="2501"/>
      <c r="F52" s="2501"/>
      <c r="G52" s="2501"/>
      <c r="H52" s="2501"/>
      <c r="I52" s="2501"/>
      <c r="J52" s="2501"/>
      <c r="K52" s="2501"/>
      <c r="L52" s="2501"/>
      <c r="M52" s="2501"/>
      <c r="N52" s="2501"/>
      <c r="O52" s="2501"/>
      <c r="P52" s="2501"/>
      <c r="Q52" s="2501"/>
      <c r="R52" s="2501"/>
      <c r="S52" s="2501"/>
      <c r="T52" s="2501"/>
      <c r="U52" s="2501"/>
      <c r="V52" s="2501"/>
      <c r="W52" s="2501"/>
      <c r="X52" s="2501"/>
      <c r="Y52" s="2501"/>
      <c r="Z52" s="2501"/>
      <c r="AA52" s="2501"/>
    </row>
    <row r="53" spans="1:27" ht="15.75" customHeight="1" x14ac:dyDescent="0.3">
      <c r="A53" s="2501"/>
      <c r="B53" s="2501"/>
      <c r="C53" s="2501"/>
      <c r="D53" s="2501"/>
      <c r="E53" s="2501"/>
      <c r="F53" s="2501"/>
      <c r="G53" s="2501"/>
      <c r="H53" s="2501"/>
      <c r="I53" s="2501"/>
      <c r="J53" s="2501"/>
      <c r="K53" s="2501"/>
      <c r="L53" s="2501"/>
      <c r="M53" s="2501"/>
      <c r="N53" s="2501"/>
      <c r="O53" s="2501"/>
      <c r="P53" s="2501"/>
      <c r="Q53" s="2501"/>
      <c r="R53" s="2501"/>
      <c r="S53" s="2501"/>
      <c r="T53" s="2501"/>
      <c r="U53" s="2501"/>
      <c r="V53" s="2501"/>
      <c r="W53" s="2501"/>
      <c r="X53" s="2501"/>
      <c r="Y53" s="2501"/>
      <c r="Z53" s="2501"/>
      <c r="AA53" s="2501"/>
    </row>
    <row r="54" spans="1:27" ht="15.75" customHeight="1" x14ac:dyDescent="0.3">
      <c r="A54" s="2501"/>
      <c r="B54" s="2501"/>
      <c r="C54" s="2501"/>
      <c r="D54" s="2501"/>
      <c r="E54" s="2501"/>
      <c r="F54" s="2501"/>
      <c r="G54" s="2501"/>
      <c r="H54" s="2501"/>
      <c r="I54" s="2501"/>
      <c r="J54" s="2501"/>
      <c r="K54" s="2501"/>
      <c r="L54" s="2501"/>
      <c r="M54" s="2501"/>
      <c r="N54" s="2501"/>
      <c r="O54" s="2501"/>
      <c r="P54" s="2501"/>
      <c r="Q54" s="2501"/>
      <c r="R54" s="2501"/>
      <c r="S54" s="2501"/>
      <c r="T54" s="2501"/>
      <c r="U54" s="2501"/>
      <c r="V54" s="2501"/>
      <c r="W54" s="2501"/>
      <c r="X54" s="2501"/>
      <c r="Y54" s="2501"/>
      <c r="Z54" s="2501"/>
      <c r="AA54" s="2501"/>
    </row>
    <row r="55" spans="1:27" ht="15.75" customHeight="1" x14ac:dyDescent="0.3">
      <c r="A55" s="2501"/>
      <c r="B55" s="2501"/>
      <c r="C55" s="2501"/>
      <c r="D55" s="2501"/>
      <c r="E55" s="2501"/>
      <c r="F55" s="2501"/>
      <c r="G55" s="2501"/>
      <c r="H55" s="2501"/>
      <c r="I55" s="2501"/>
      <c r="J55" s="2501"/>
      <c r="K55" s="2501"/>
      <c r="L55" s="2501"/>
      <c r="M55" s="2501"/>
      <c r="N55" s="2501"/>
      <c r="O55" s="2501"/>
      <c r="P55" s="2501"/>
      <c r="Q55" s="2501"/>
      <c r="R55" s="2501"/>
      <c r="S55" s="2501"/>
      <c r="T55" s="2501"/>
      <c r="U55" s="2501"/>
      <c r="V55" s="2501"/>
      <c r="W55" s="2501"/>
      <c r="X55" s="2501"/>
      <c r="Y55" s="2501"/>
      <c r="Z55" s="2501"/>
      <c r="AA55" s="2501"/>
    </row>
    <row r="56" spans="1:27" ht="15.75" customHeight="1" x14ac:dyDescent="0.3">
      <c r="A56" s="2501"/>
      <c r="B56" s="2501"/>
      <c r="C56" s="2501"/>
      <c r="D56" s="2501"/>
      <c r="E56" s="2501"/>
      <c r="F56" s="2501"/>
      <c r="G56" s="2501"/>
      <c r="H56" s="2501"/>
      <c r="I56" s="2501"/>
      <c r="J56" s="2501"/>
      <c r="K56" s="2501"/>
      <c r="L56" s="2501"/>
      <c r="M56" s="2501"/>
      <c r="N56" s="2501"/>
      <c r="O56" s="2501"/>
      <c r="P56" s="2501"/>
      <c r="Q56" s="2501"/>
      <c r="R56" s="2501"/>
      <c r="S56" s="2501"/>
      <c r="T56" s="2501"/>
      <c r="U56" s="2501"/>
      <c r="V56" s="2501"/>
      <c r="W56" s="2501"/>
      <c r="X56" s="2501"/>
      <c r="Y56" s="2501"/>
      <c r="Z56" s="2501"/>
      <c r="AA56" s="2501"/>
    </row>
    <row r="57" spans="1:27" ht="15.75" customHeight="1" x14ac:dyDescent="0.3">
      <c r="A57" s="2501"/>
      <c r="B57" s="2501"/>
      <c r="C57" s="2501"/>
      <c r="D57" s="2501"/>
      <c r="E57" s="2501"/>
      <c r="F57" s="2501"/>
      <c r="G57" s="2501"/>
      <c r="H57" s="2501"/>
      <c r="I57" s="2501"/>
      <c r="J57" s="2501"/>
      <c r="K57" s="2501"/>
      <c r="L57" s="2501"/>
      <c r="M57" s="2501"/>
      <c r="N57" s="2501"/>
      <c r="O57" s="2501"/>
      <c r="P57" s="2501"/>
      <c r="Q57" s="2501"/>
      <c r="R57" s="2501"/>
      <c r="S57" s="2501"/>
      <c r="T57" s="2501"/>
      <c r="U57" s="2501"/>
      <c r="V57" s="2501"/>
      <c r="W57" s="2501"/>
      <c r="X57" s="2501"/>
      <c r="Y57" s="2501"/>
      <c r="Z57" s="2501"/>
      <c r="AA57" s="2501"/>
    </row>
    <row r="58" spans="1:27" ht="15.75" customHeight="1" x14ac:dyDescent="0.3">
      <c r="A58" s="2501"/>
      <c r="B58" s="2501"/>
      <c r="C58" s="2501"/>
      <c r="D58" s="2501"/>
      <c r="E58" s="2501"/>
      <c r="F58" s="2501"/>
      <c r="G58" s="2501"/>
      <c r="H58" s="2501"/>
      <c r="I58" s="2501"/>
      <c r="J58" s="2501"/>
      <c r="K58" s="2501"/>
      <c r="L58" s="2501"/>
      <c r="M58" s="2501"/>
      <c r="N58" s="2501"/>
      <c r="O58" s="2501"/>
      <c r="P58" s="2501"/>
      <c r="Q58" s="2501"/>
      <c r="R58" s="2501"/>
      <c r="S58" s="2501"/>
      <c r="T58" s="2501"/>
      <c r="U58" s="2501"/>
      <c r="V58" s="2501"/>
      <c r="W58" s="2501"/>
      <c r="X58" s="2501"/>
      <c r="Y58" s="2501"/>
      <c r="Z58" s="2501"/>
      <c r="AA58" s="2501"/>
    </row>
    <row r="59" spans="1:27" ht="15.75" customHeight="1" x14ac:dyDescent="0.3">
      <c r="A59" s="2501"/>
      <c r="B59" s="2501"/>
      <c r="C59" s="2501"/>
      <c r="D59" s="2501"/>
      <c r="E59" s="2501"/>
      <c r="F59" s="2501"/>
      <c r="G59" s="2501"/>
      <c r="H59" s="2501"/>
      <c r="I59" s="2501"/>
      <c r="J59" s="2501"/>
      <c r="K59" s="2501"/>
      <c r="L59" s="2501"/>
      <c r="M59" s="2501"/>
      <c r="N59" s="2501"/>
      <c r="O59" s="2501"/>
      <c r="P59" s="2501"/>
      <c r="Q59" s="2501"/>
      <c r="R59" s="2501"/>
      <c r="S59" s="2501"/>
      <c r="T59" s="2501"/>
      <c r="U59" s="2501"/>
      <c r="V59" s="2501"/>
      <c r="W59" s="2501"/>
      <c r="X59" s="2501"/>
      <c r="Y59" s="2501"/>
      <c r="Z59" s="2501"/>
      <c r="AA59" s="2501"/>
    </row>
    <row r="60" spans="1:27" ht="15.75" customHeight="1" x14ac:dyDescent="0.3">
      <c r="A60" s="2501"/>
      <c r="B60" s="2501"/>
      <c r="C60" s="2501"/>
      <c r="D60" s="2501"/>
      <c r="E60" s="2501"/>
      <c r="F60" s="2501"/>
      <c r="G60" s="2501"/>
      <c r="H60" s="2501"/>
      <c r="I60" s="2501"/>
      <c r="J60" s="2501"/>
      <c r="K60" s="2501"/>
      <c r="L60" s="2501"/>
      <c r="M60" s="2501"/>
      <c r="N60" s="2501"/>
      <c r="O60" s="2501"/>
      <c r="P60" s="2501"/>
      <c r="Q60" s="2501"/>
      <c r="R60" s="2501"/>
      <c r="S60" s="2501"/>
      <c r="T60" s="2501"/>
      <c r="U60" s="2501"/>
      <c r="V60" s="2501"/>
      <c r="W60" s="2501"/>
      <c r="X60" s="2501"/>
      <c r="Y60" s="2501"/>
      <c r="Z60" s="2501"/>
      <c r="AA60" s="2501"/>
    </row>
    <row r="61" spans="1:27" ht="15.75" customHeight="1" x14ac:dyDescent="0.3">
      <c r="A61" s="2501"/>
      <c r="B61" s="2501"/>
      <c r="C61" s="2501"/>
      <c r="D61" s="2501"/>
      <c r="E61" s="2501"/>
      <c r="F61" s="2501"/>
      <c r="G61" s="2501"/>
      <c r="H61" s="2501"/>
      <c r="I61" s="2501"/>
      <c r="J61" s="2501"/>
      <c r="K61" s="2501"/>
      <c r="L61" s="2501"/>
      <c r="M61" s="2501"/>
      <c r="N61" s="2501"/>
      <c r="O61" s="2501"/>
      <c r="P61" s="2501"/>
      <c r="Q61" s="2501"/>
      <c r="R61" s="2501"/>
      <c r="S61" s="2501"/>
      <c r="T61" s="2501"/>
      <c r="U61" s="2501"/>
      <c r="V61" s="2501"/>
      <c r="W61" s="2501"/>
      <c r="X61" s="2501"/>
      <c r="Y61" s="2501"/>
      <c r="Z61" s="2501"/>
      <c r="AA61" s="2501"/>
    </row>
    <row r="62" spans="1:27" ht="15.75" customHeight="1" x14ac:dyDescent="0.3">
      <c r="A62" s="2501"/>
      <c r="B62" s="2501"/>
      <c r="C62" s="2501"/>
      <c r="D62" s="2501"/>
      <c r="E62" s="2501"/>
      <c r="F62" s="2501"/>
      <c r="G62" s="2501"/>
      <c r="H62" s="2501"/>
      <c r="I62" s="2501"/>
      <c r="J62" s="2501"/>
      <c r="K62" s="2501"/>
      <c r="L62" s="2501"/>
      <c r="M62" s="2501"/>
      <c r="N62" s="2501"/>
      <c r="O62" s="2501"/>
      <c r="P62" s="2501"/>
      <c r="Q62" s="2501"/>
      <c r="R62" s="2501"/>
      <c r="S62" s="2501"/>
      <c r="T62" s="2501"/>
      <c r="U62" s="2501"/>
      <c r="V62" s="2501"/>
      <c r="W62" s="2501"/>
      <c r="X62" s="2501"/>
      <c r="Y62" s="2501"/>
      <c r="Z62" s="2501"/>
      <c r="AA62" s="2501"/>
    </row>
    <row r="63" spans="1:27" ht="15.75" customHeight="1" x14ac:dyDescent="0.3">
      <c r="A63" s="2501"/>
      <c r="B63" s="2501"/>
      <c r="C63" s="2501"/>
      <c r="D63" s="2501"/>
      <c r="E63" s="2501"/>
      <c r="F63" s="2501"/>
      <c r="G63" s="2501"/>
      <c r="H63" s="2501"/>
      <c r="I63" s="2501"/>
      <c r="J63" s="2501"/>
      <c r="K63" s="2501"/>
      <c r="L63" s="2501"/>
      <c r="M63" s="2501"/>
      <c r="N63" s="2501"/>
      <c r="O63" s="2501"/>
      <c r="P63" s="2501"/>
      <c r="Q63" s="2501"/>
      <c r="R63" s="2501"/>
      <c r="S63" s="2501"/>
      <c r="T63" s="2501"/>
      <c r="U63" s="2501"/>
      <c r="V63" s="2501"/>
      <c r="W63" s="2501"/>
      <c r="X63" s="2501"/>
      <c r="Y63" s="2501"/>
      <c r="Z63" s="2501"/>
      <c r="AA63" s="2501"/>
    </row>
    <row r="64" spans="1:27" ht="15.75" customHeight="1" x14ac:dyDescent="0.3">
      <c r="A64" s="2501"/>
      <c r="B64" s="2501"/>
      <c r="C64" s="2501"/>
      <c r="D64" s="2501"/>
      <c r="E64" s="2501"/>
      <c r="F64" s="2501"/>
      <c r="G64" s="2501"/>
      <c r="H64" s="2501"/>
      <c r="I64" s="2501"/>
      <c r="J64" s="2501"/>
      <c r="K64" s="2501"/>
      <c r="L64" s="2501"/>
      <c r="M64" s="2501"/>
      <c r="N64" s="2501"/>
      <c r="O64" s="2501"/>
      <c r="P64" s="2501"/>
      <c r="Q64" s="2501"/>
      <c r="R64" s="2501"/>
      <c r="S64" s="2501"/>
      <c r="T64" s="2501"/>
      <c r="U64" s="2501"/>
      <c r="V64" s="2501"/>
      <c r="W64" s="2501"/>
      <c r="X64" s="2501"/>
      <c r="Y64" s="2501"/>
      <c r="Z64" s="2501"/>
      <c r="AA64" s="2501"/>
    </row>
    <row r="65" spans="1:27" ht="15.75" customHeight="1" x14ac:dyDescent="0.3">
      <c r="A65" s="2501"/>
      <c r="B65" s="2501"/>
      <c r="C65" s="2501"/>
      <c r="D65" s="2501"/>
      <c r="E65" s="2501"/>
      <c r="F65" s="2501"/>
      <c r="G65" s="2501"/>
      <c r="H65" s="2501"/>
      <c r="I65" s="2501"/>
      <c r="J65" s="2501"/>
      <c r="K65" s="2501"/>
      <c r="L65" s="2501"/>
      <c r="M65" s="2501"/>
      <c r="N65" s="2501"/>
      <c r="O65" s="2501"/>
      <c r="P65" s="2501"/>
      <c r="Q65" s="2501"/>
      <c r="R65" s="2501"/>
      <c r="S65" s="2501"/>
      <c r="T65" s="2501"/>
      <c r="U65" s="2501"/>
      <c r="V65" s="2501"/>
      <c r="W65" s="2501"/>
      <c r="X65" s="2501"/>
      <c r="Y65" s="2501"/>
      <c r="Z65" s="2501"/>
      <c r="AA65" s="2501"/>
    </row>
    <row r="66" spans="1:27" ht="15.75" customHeight="1" x14ac:dyDescent="0.3">
      <c r="A66" s="2501"/>
      <c r="B66" s="2501"/>
      <c r="C66" s="2501"/>
      <c r="D66" s="2501"/>
      <c r="E66" s="2501"/>
      <c r="F66" s="2501"/>
      <c r="G66" s="2501"/>
      <c r="H66" s="2501"/>
      <c r="I66" s="2501"/>
      <c r="J66" s="2501"/>
      <c r="K66" s="2501"/>
      <c r="L66" s="2501"/>
      <c r="M66" s="2501"/>
      <c r="N66" s="2501"/>
      <c r="O66" s="2501"/>
      <c r="P66" s="2501"/>
      <c r="Q66" s="2501"/>
      <c r="R66" s="2501"/>
      <c r="S66" s="2501"/>
      <c r="T66" s="2501"/>
      <c r="U66" s="2501"/>
      <c r="V66" s="2501"/>
      <c r="W66" s="2501"/>
      <c r="X66" s="2501"/>
      <c r="Y66" s="2501"/>
      <c r="Z66" s="2501"/>
      <c r="AA66" s="2501"/>
    </row>
    <row r="67" spans="1:27" ht="15.75" customHeight="1" x14ac:dyDescent="0.3">
      <c r="A67" s="2501"/>
      <c r="B67" s="2501"/>
      <c r="C67" s="2501"/>
      <c r="D67" s="2501"/>
      <c r="E67" s="2501"/>
      <c r="F67" s="2501"/>
      <c r="G67" s="2501"/>
      <c r="H67" s="2501"/>
      <c r="I67" s="2501"/>
      <c r="J67" s="2501"/>
      <c r="K67" s="2501"/>
      <c r="L67" s="2501"/>
      <c r="M67" s="2501"/>
      <c r="N67" s="2501"/>
      <c r="O67" s="2501"/>
      <c r="P67" s="2501"/>
      <c r="Q67" s="2501"/>
      <c r="R67" s="2501"/>
      <c r="S67" s="2501"/>
      <c r="T67" s="2501"/>
      <c r="U67" s="2501"/>
      <c r="V67" s="2501"/>
      <c r="W67" s="2501"/>
      <c r="X67" s="2501"/>
      <c r="Y67" s="2501"/>
      <c r="Z67" s="2501"/>
      <c r="AA67" s="2501"/>
    </row>
    <row r="68" spans="1:27" ht="15.75" customHeight="1" x14ac:dyDescent="0.3">
      <c r="A68" s="2501"/>
      <c r="B68" s="2501"/>
      <c r="C68" s="2501"/>
      <c r="D68" s="2501"/>
      <c r="E68" s="2501"/>
      <c r="F68" s="2501"/>
      <c r="G68" s="2501"/>
      <c r="H68" s="2501"/>
      <c r="I68" s="2501"/>
      <c r="J68" s="2501"/>
      <c r="K68" s="2501"/>
      <c r="L68" s="2501"/>
      <c r="M68" s="2501"/>
      <c r="N68" s="2501"/>
      <c r="O68" s="2501"/>
      <c r="P68" s="2501"/>
      <c r="Q68" s="2501"/>
      <c r="R68" s="2501"/>
      <c r="S68" s="2501"/>
      <c r="T68" s="2501"/>
      <c r="U68" s="2501"/>
      <c r="V68" s="2501"/>
      <c r="W68" s="2501"/>
      <c r="X68" s="2501"/>
      <c r="Y68" s="2501"/>
      <c r="Z68" s="2501"/>
      <c r="AA68" s="2501"/>
    </row>
    <row r="69" spans="1:27" ht="15.75" customHeight="1" x14ac:dyDescent="0.3">
      <c r="A69" s="2501"/>
      <c r="B69" s="2501"/>
      <c r="C69" s="2501"/>
      <c r="D69" s="2501"/>
      <c r="E69" s="2501"/>
      <c r="F69" s="2501"/>
      <c r="G69" s="2501"/>
      <c r="H69" s="2501"/>
      <c r="I69" s="2501"/>
      <c r="J69" s="2501"/>
      <c r="K69" s="2501"/>
      <c r="L69" s="2501"/>
      <c r="M69" s="2501"/>
      <c r="N69" s="2501"/>
      <c r="O69" s="2501"/>
      <c r="P69" s="2501"/>
      <c r="Q69" s="2501"/>
      <c r="R69" s="2501"/>
      <c r="S69" s="2501"/>
      <c r="T69" s="2501"/>
      <c r="U69" s="2501"/>
      <c r="V69" s="2501"/>
      <c r="W69" s="2501"/>
      <c r="X69" s="2501"/>
      <c r="Y69" s="2501"/>
      <c r="Z69" s="2501"/>
      <c r="AA69" s="2501"/>
    </row>
    <row r="70" spans="1:27" ht="15.75" customHeight="1" x14ac:dyDescent="0.3">
      <c r="A70" s="2501"/>
      <c r="B70" s="2501"/>
      <c r="C70" s="2501"/>
      <c r="D70" s="2501"/>
      <c r="E70" s="2501"/>
      <c r="F70" s="2501"/>
      <c r="G70" s="2501"/>
      <c r="H70" s="2501"/>
      <c r="I70" s="2501"/>
      <c r="J70" s="2501"/>
      <c r="K70" s="2501"/>
      <c r="L70" s="2501"/>
      <c r="M70" s="2501"/>
      <c r="N70" s="2501"/>
      <c r="O70" s="2501"/>
      <c r="P70" s="2501"/>
      <c r="Q70" s="2501"/>
      <c r="R70" s="2501"/>
      <c r="S70" s="2501"/>
      <c r="T70" s="2501"/>
      <c r="U70" s="2501"/>
      <c r="V70" s="2501"/>
      <c r="W70" s="2501"/>
      <c r="X70" s="2501"/>
      <c r="Y70" s="2501"/>
      <c r="Z70" s="2501"/>
      <c r="AA70" s="2501"/>
    </row>
    <row r="71" spans="1:27" ht="15.75" customHeight="1" x14ac:dyDescent="0.3">
      <c r="A71" s="2501"/>
      <c r="B71" s="2501"/>
      <c r="C71" s="2501"/>
      <c r="D71" s="2501"/>
      <c r="E71" s="2501"/>
      <c r="F71" s="2501"/>
      <c r="G71" s="2501"/>
      <c r="H71" s="2501"/>
      <c r="I71" s="2501"/>
      <c r="J71" s="2501"/>
      <c r="K71" s="2501"/>
      <c r="L71" s="2501"/>
      <c r="M71" s="2501"/>
      <c r="N71" s="2501"/>
      <c r="O71" s="2501"/>
      <c r="P71" s="2501"/>
      <c r="Q71" s="2501"/>
      <c r="R71" s="2501"/>
      <c r="S71" s="2501"/>
      <c r="T71" s="2501"/>
      <c r="U71" s="2501"/>
      <c r="V71" s="2501"/>
      <c r="W71" s="2501"/>
      <c r="X71" s="2501"/>
      <c r="Y71" s="2501"/>
      <c r="Z71" s="2501"/>
      <c r="AA71" s="2501"/>
    </row>
    <row r="72" spans="1:27" ht="15.75" customHeight="1" x14ac:dyDescent="0.3">
      <c r="A72" s="2501"/>
      <c r="B72" s="2501"/>
      <c r="C72" s="2501"/>
      <c r="D72" s="2501"/>
      <c r="E72" s="2501"/>
      <c r="F72" s="2501"/>
      <c r="G72" s="2501"/>
      <c r="H72" s="2501"/>
      <c r="I72" s="2501"/>
      <c r="J72" s="2501"/>
      <c r="K72" s="2501"/>
      <c r="L72" s="2501"/>
      <c r="M72" s="2501"/>
      <c r="N72" s="2501"/>
      <c r="O72" s="2501"/>
      <c r="P72" s="2501"/>
      <c r="Q72" s="2501"/>
      <c r="R72" s="2501"/>
      <c r="S72" s="2501"/>
      <c r="T72" s="2501"/>
      <c r="U72" s="2501"/>
      <c r="V72" s="2501"/>
      <c r="W72" s="2501"/>
      <c r="X72" s="2501"/>
      <c r="Y72" s="2501"/>
      <c r="Z72" s="2501"/>
      <c r="AA72" s="2501"/>
    </row>
    <row r="73" spans="1:27" ht="15.75" customHeight="1" x14ac:dyDescent="0.3">
      <c r="A73" s="2501"/>
      <c r="B73" s="2501"/>
      <c r="C73" s="2501"/>
      <c r="D73" s="2501"/>
      <c r="E73" s="2501"/>
      <c r="F73" s="2501"/>
      <c r="G73" s="2501"/>
      <c r="H73" s="2501"/>
      <c r="I73" s="2501"/>
      <c r="J73" s="2501"/>
      <c r="K73" s="2501"/>
      <c r="L73" s="2501"/>
      <c r="M73" s="2501"/>
      <c r="N73" s="2501"/>
      <c r="O73" s="2501"/>
      <c r="P73" s="2501"/>
      <c r="Q73" s="2501"/>
      <c r="R73" s="2501"/>
      <c r="S73" s="2501"/>
      <c r="T73" s="2501"/>
      <c r="U73" s="2501"/>
      <c r="V73" s="2501"/>
      <c r="W73" s="2501"/>
      <c r="X73" s="2501"/>
      <c r="Y73" s="2501"/>
      <c r="Z73" s="2501"/>
      <c r="AA73" s="2501"/>
    </row>
    <row r="74" spans="1:27" ht="15.75" customHeight="1" x14ac:dyDescent="0.3">
      <c r="A74" s="2501"/>
      <c r="B74" s="2501"/>
      <c r="C74" s="2501"/>
      <c r="D74" s="2501"/>
      <c r="E74" s="2501"/>
      <c r="F74" s="2501"/>
      <c r="G74" s="2501"/>
      <c r="H74" s="2501"/>
      <c r="I74" s="2501"/>
      <c r="J74" s="2501"/>
      <c r="K74" s="2501"/>
      <c r="L74" s="2501"/>
      <c r="M74" s="2501"/>
      <c r="N74" s="2501"/>
      <c r="O74" s="2501"/>
      <c r="P74" s="2501"/>
      <c r="Q74" s="2501"/>
      <c r="R74" s="2501"/>
      <c r="S74" s="2501"/>
      <c r="T74" s="2501"/>
      <c r="U74" s="2501"/>
      <c r="V74" s="2501"/>
      <c r="W74" s="2501"/>
      <c r="X74" s="2501"/>
      <c r="Y74" s="2501"/>
      <c r="Z74" s="2501"/>
      <c r="AA74" s="2501"/>
    </row>
    <row r="75" spans="1:27" ht="15.75" customHeight="1" x14ac:dyDescent="0.3">
      <c r="A75" s="2501"/>
      <c r="B75" s="2501"/>
      <c r="C75" s="2501"/>
      <c r="D75" s="2501"/>
      <c r="E75" s="2501"/>
      <c r="F75" s="2501"/>
      <c r="G75" s="2501"/>
      <c r="H75" s="2501"/>
      <c r="I75" s="2501"/>
      <c r="J75" s="2501"/>
      <c r="K75" s="2501"/>
      <c r="L75" s="2501"/>
      <c r="M75" s="2501"/>
      <c r="N75" s="2501"/>
      <c r="O75" s="2501"/>
      <c r="P75" s="2501"/>
      <c r="Q75" s="2501"/>
      <c r="R75" s="2501"/>
      <c r="S75" s="2501"/>
      <c r="T75" s="2501"/>
      <c r="U75" s="2501"/>
      <c r="V75" s="2501"/>
      <c r="W75" s="2501"/>
      <c r="X75" s="2501"/>
      <c r="Y75" s="2501"/>
      <c r="Z75" s="2501"/>
      <c r="AA75" s="2501"/>
    </row>
    <row r="76" spans="1:27" ht="15.75" customHeight="1" x14ac:dyDescent="0.3">
      <c r="A76" s="2501"/>
      <c r="B76" s="2501"/>
      <c r="C76" s="2501"/>
      <c r="D76" s="2501"/>
      <c r="E76" s="2501"/>
      <c r="F76" s="2501"/>
      <c r="G76" s="2501"/>
      <c r="H76" s="2501"/>
      <c r="I76" s="2501"/>
      <c r="J76" s="2501"/>
      <c r="K76" s="2501"/>
      <c r="L76" s="2501"/>
      <c r="M76" s="2501"/>
      <c r="N76" s="2501"/>
      <c r="O76" s="2501"/>
      <c r="P76" s="2501"/>
      <c r="Q76" s="2501"/>
      <c r="R76" s="2501"/>
      <c r="S76" s="2501"/>
      <c r="T76" s="2501"/>
      <c r="U76" s="2501"/>
      <c r="V76" s="2501"/>
      <c r="W76" s="2501"/>
      <c r="X76" s="2501"/>
      <c r="Y76" s="2501"/>
      <c r="Z76" s="2501"/>
      <c r="AA76" s="2501"/>
    </row>
    <row r="77" spans="1:27" ht="15.75" customHeight="1" x14ac:dyDescent="0.3">
      <c r="A77" s="2501"/>
      <c r="B77" s="2501"/>
      <c r="C77" s="2501"/>
      <c r="D77" s="2501"/>
      <c r="E77" s="2501"/>
      <c r="F77" s="2501"/>
      <c r="G77" s="2501"/>
      <c r="H77" s="2501"/>
      <c r="I77" s="2501"/>
      <c r="J77" s="2501"/>
      <c r="K77" s="2501"/>
      <c r="L77" s="2501"/>
      <c r="M77" s="2501"/>
      <c r="N77" s="2501"/>
      <c r="O77" s="2501"/>
      <c r="P77" s="2501"/>
      <c r="Q77" s="2501"/>
      <c r="R77" s="2501"/>
      <c r="S77" s="2501"/>
      <c r="T77" s="2501"/>
      <c r="U77" s="2501"/>
      <c r="V77" s="2501"/>
      <c r="W77" s="2501"/>
      <c r="X77" s="2501"/>
      <c r="Y77" s="2501"/>
      <c r="Z77" s="2501"/>
      <c r="AA77" s="2501"/>
    </row>
    <row r="78" spans="1:27" ht="15.75" customHeight="1" x14ac:dyDescent="0.3">
      <c r="A78" s="2501"/>
      <c r="B78" s="2501"/>
      <c r="C78" s="2501"/>
      <c r="D78" s="2501"/>
      <c r="E78" s="2501"/>
      <c r="F78" s="2501"/>
      <c r="G78" s="2501"/>
      <c r="H78" s="2501"/>
      <c r="I78" s="2501"/>
      <c r="J78" s="2501"/>
      <c r="K78" s="2501"/>
      <c r="L78" s="2501"/>
      <c r="M78" s="2501"/>
      <c r="N78" s="2501"/>
      <c r="O78" s="2501"/>
      <c r="P78" s="2501"/>
      <c r="Q78" s="2501"/>
      <c r="R78" s="2501"/>
      <c r="S78" s="2501"/>
      <c r="T78" s="2501"/>
      <c r="U78" s="2501"/>
      <c r="V78" s="2501"/>
      <c r="W78" s="2501"/>
      <c r="X78" s="2501"/>
      <c r="Y78" s="2501"/>
      <c r="Z78" s="2501"/>
      <c r="AA78" s="2501"/>
    </row>
    <row r="79" spans="1:27" ht="15.75" customHeight="1" x14ac:dyDescent="0.3">
      <c r="A79" s="2501"/>
      <c r="B79" s="2501"/>
      <c r="C79" s="2501"/>
      <c r="D79" s="2501"/>
      <c r="E79" s="2501"/>
      <c r="F79" s="2501"/>
      <c r="G79" s="2501"/>
      <c r="H79" s="2501"/>
      <c r="I79" s="2501"/>
      <c r="J79" s="2501"/>
      <c r="K79" s="2501"/>
      <c r="L79" s="2501"/>
      <c r="M79" s="2501"/>
      <c r="N79" s="2501"/>
      <c r="O79" s="2501"/>
      <c r="P79" s="2501"/>
      <c r="Q79" s="2501"/>
      <c r="R79" s="2501"/>
      <c r="S79" s="2501"/>
      <c r="T79" s="2501"/>
      <c r="U79" s="2501"/>
      <c r="V79" s="2501"/>
      <c r="W79" s="2501"/>
      <c r="X79" s="2501"/>
      <c r="Y79" s="2501"/>
      <c r="Z79" s="2501"/>
      <c r="AA79" s="2501"/>
    </row>
    <row r="80" spans="1:27" ht="15.75" customHeight="1" x14ac:dyDescent="0.3">
      <c r="A80" s="2501"/>
      <c r="B80" s="2501"/>
      <c r="C80" s="2501"/>
      <c r="D80" s="2501"/>
      <c r="E80" s="2501"/>
      <c r="F80" s="2501"/>
      <c r="G80" s="2501"/>
      <c r="H80" s="2501"/>
      <c r="I80" s="2501"/>
      <c r="J80" s="2501"/>
      <c r="K80" s="2501"/>
      <c r="L80" s="2501"/>
      <c r="M80" s="2501"/>
      <c r="N80" s="2501"/>
      <c r="O80" s="2501"/>
      <c r="P80" s="2501"/>
      <c r="Q80" s="2501"/>
      <c r="R80" s="2501"/>
      <c r="S80" s="2501"/>
      <c r="T80" s="2501"/>
      <c r="U80" s="2501"/>
      <c r="V80" s="2501"/>
      <c r="W80" s="2501"/>
      <c r="X80" s="2501"/>
      <c r="Y80" s="2501"/>
      <c r="Z80" s="2501"/>
      <c r="AA80" s="2501"/>
    </row>
    <row r="81" spans="1:27" ht="15.75" customHeight="1" x14ac:dyDescent="0.3">
      <c r="A81" s="2501"/>
      <c r="B81" s="2501"/>
      <c r="C81" s="2501"/>
      <c r="D81" s="2501"/>
      <c r="E81" s="2501"/>
      <c r="F81" s="2501"/>
      <c r="G81" s="2501"/>
      <c r="H81" s="2501"/>
      <c r="I81" s="2501"/>
      <c r="J81" s="2501"/>
      <c r="K81" s="2501"/>
      <c r="L81" s="2501"/>
      <c r="M81" s="2501"/>
      <c r="N81" s="2501"/>
      <c r="O81" s="2501"/>
      <c r="P81" s="2501"/>
      <c r="Q81" s="2501"/>
      <c r="R81" s="2501"/>
      <c r="S81" s="2501"/>
      <c r="T81" s="2501"/>
      <c r="U81" s="2501"/>
      <c r="V81" s="2501"/>
      <c r="W81" s="2501"/>
      <c r="X81" s="2501"/>
      <c r="Y81" s="2501"/>
      <c r="Z81" s="2501"/>
      <c r="AA81" s="2501"/>
    </row>
    <row r="82" spans="1:27" ht="15.75" customHeight="1" x14ac:dyDescent="0.3">
      <c r="A82" s="2501"/>
      <c r="B82" s="2501"/>
      <c r="C82" s="2501"/>
      <c r="D82" s="2501"/>
      <c r="E82" s="2501"/>
      <c r="F82" s="2501"/>
      <c r="G82" s="2501"/>
      <c r="H82" s="2501"/>
      <c r="I82" s="2501"/>
      <c r="J82" s="2501"/>
      <c r="K82" s="2501"/>
      <c r="L82" s="2501"/>
      <c r="M82" s="2501"/>
      <c r="N82" s="2501"/>
      <c r="O82" s="2501"/>
      <c r="P82" s="2501"/>
      <c r="Q82" s="2501"/>
      <c r="R82" s="2501"/>
      <c r="S82" s="2501"/>
      <c r="T82" s="2501"/>
      <c r="U82" s="2501"/>
      <c r="V82" s="2501"/>
      <c r="W82" s="2501"/>
      <c r="X82" s="2501"/>
      <c r="Y82" s="2501"/>
      <c r="Z82" s="2501"/>
      <c r="AA82" s="2501"/>
    </row>
    <row r="83" spans="1:27" ht="15.75" customHeight="1" x14ac:dyDescent="0.3">
      <c r="A83" s="2501"/>
      <c r="B83" s="2501"/>
      <c r="C83" s="2501"/>
      <c r="D83" s="2501"/>
      <c r="E83" s="2501"/>
      <c r="F83" s="2501"/>
      <c r="G83" s="2501"/>
      <c r="H83" s="2501"/>
      <c r="I83" s="2501"/>
      <c r="J83" s="2501"/>
      <c r="K83" s="2501"/>
      <c r="L83" s="2501"/>
      <c r="M83" s="2501"/>
      <c r="N83" s="2501"/>
      <c r="O83" s="2501"/>
      <c r="P83" s="2501"/>
      <c r="Q83" s="2501"/>
      <c r="R83" s="2501"/>
      <c r="S83" s="2501"/>
      <c r="T83" s="2501"/>
      <c r="U83" s="2501"/>
      <c r="V83" s="2501"/>
      <c r="W83" s="2501"/>
      <c r="X83" s="2501"/>
      <c r="Y83" s="2501"/>
      <c r="Z83" s="2501"/>
      <c r="AA83" s="2501"/>
    </row>
    <row r="84" spans="1:27" ht="15.75" customHeight="1" x14ac:dyDescent="0.3">
      <c r="A84" s="2501"/>
      <c r="B84" s="2501"/>
      <c r="C84" s="2501"/>
      <c r="D84" s="2501"/>
      <c r="E84" s="2501"/>
      <c r="F84" s="2501"/>
      <c r="G84" s="2501"/>
      <c r="H84" s="2501"/>
      <c r="I84" s="2501"/>
      <c r="J84" s="2501"/>
      <c r="K84" s="2501"/>
      <c r="L84" s="2501"/>
      <c r="M84" s="2501"/>
      <c r="N84" s="2501"/>
      <c r="O84" s="2501"/>
      <c r="P84" s="2501"/>
      <c r="Q84" s="2501"/>
      <c r="R84" s="2501"/>
      <c r="S84" s="2501"/>
      <c r="T84" s="2501"/>
      <c r="U84" s="2501"/>
      <c r="V84" s="2501"/>
      <c r="W84" s="2501"/>
      <c r="X84" s="2501"/>
      <c r="Y84" s="2501"/>
      <c r="Z84" s="2501"/>
      <c r="AA84" s="2501"/>
    </row>
    <row r="85" spans="1:27" ht="15.75" customHeight="1" x14ac:dyDescent="0.3">
      <c r="A85" s="2501"/>
      <c r="B85" s="2501"/>
      <c r="C85" s="2501"/>
      <c r="D85" s="2501"/>
      <c r="E85" s="2501"/>
      <c r="F85" s="2501"/>
      <c r="G85" s="2501"/>
      <c r="H85" s="2501"/>
      <c r="I85" s="2501"/>
      <c r="J85" s="2501"/>
      <c r="K85" s="2501"/>
      <c r="L85" s="2501"/>
      <c r="M85" s="2501"/>
      <c r="N85" s="2501"/>
      <c r="O85" s="2501"/>
      <c r="P85" s="2501"/>
      <c r="Q85" s="2501"/>
      <c r="R85" s="2501"/>
      <c r="S85" s="2501"/>
      <c r="T85" s="2501"/>
      <c r="U85" s="2501"/>
      <c r="V85" s="2501"/>
      <c r="W85" s="2501"/>
      <c r="X85" s="2501"/>
      <c r="Y85" s="2501"/>
      <c r="Z85" s="2501"/>
      <c r="AA85" s="2501"/>
    </row>
    <row r="86" spans="1:27" ht="15.75" customHeight="1" x14ac:dyDescent="0.3">
      <c r="A86" s="2501"/>
      <c r="B86" s="2501"/>
      <c r="C86" s="2501"/>
      <c r="D86" s="2501"/>
      <c r="E86" s="2501"/>
      <c r="F86" s="2501"/>
      <c r="G86" s="2501"/>
      <c r="H86" s="2501"/>
      <c r="I86" s="2501"/>
      <c r="J86" s="2501"/>
      <c r="K86" s="2501"/>
      <c r="L86" s="2501"/>
      <c r="M86" s="2501"/>
      <c r="N86" s="2501"/>
      <c r="O86" s="2501"/>
      <c r="P86" s="2501"/>
      <c r="Q86" s="2501"/>
      <c r="R86" s="2501"/>
      <c r="S86" s="2501"/>
      <c r="T86" s="2501"/>
      <c r="U86" s="2501"/>
      <c r="V86" s="2501"/>
      <c r="W86" s="2501"/>
      <c r="X86" s="2501"/>
      <c r="Y86" s="2501"/>
      <c r="Z86" s="2501"/>
      <c r="AA86" s="2501"/>
    </row>
    <row r="87" spans="1:27" ht="15.75" customHeight="1" x14ac:dyDescent="0.3">
      <c r="A87" s="2501"/>
      <c r="B87" s="2501"/>
      <c r="C87" s="2501"/>
      <c r="D87" s="2501"/>
      <c r="E87" s="2501"/>
      <c r="F87" s="2501"/>
      <c r="G87" s="2501"/>
      <c r="H87" s="2501"/>
      <c r="I87" s="2501"/>
      <c r="J87" s="2501"/>
      <c r="K87" s="2501"/>
      <c r="L87" s="2501"/>
      <c r="M87" s="2501"/>
      <c r="N87" s="2501"/>
      <c r="O87" s="2501"/>
      <c r="P87" s="2501"/>
      <c r="Q87" s="2501"/>
      <c r="R87" s="2501"/>
      <c r="S87" s="2501"/>
      <c r="T87" s="2501"/>
      <c r="U87" s="2501"/>
      <c r="V87" s="2501"/>
      <c r="W87" s="2501"/>
      <c r="X87" s="2501"/>
      <c r="Y87" s="2501"/>
      <c r="Z87" s="2501"/>
      <c r="AA87" s="2501"/>
    </row>
    <row r="88" spans="1:27" ht="15.75" customHeight="1" x14ac:dyDescent="0.3">
      <c r="A88" s="2501"/>
      <c r="B88" s="2501"/>
      <c r="C88" s="2501"/>
      <c r="D88" s="2501"/>
      <c r="E88" s="2501"/>
      <c r="F88" s="2501"/>
      <c r="G88" s="2501"/>
      <c r="H88" s="2501"/>
      <c r="I88" s="2501"/>
      <c r="J88" s="2501"/>
      <c r="K88" s="2501"/>
      <c r="L88" s="2501"/>
      <c r="M88" s="2501"/>
      <c r="N88" s="2501"/>
      <c r="O88" s="2501"/>
      <c r="P88" s="2501"/>
      <c r="Q88" s="2501"/>
      <c r="R88" s="2501"/>
      <c r="S88" s="2501"/>
      <c r="T88" s="2501"/>
      <c r="U88" s="2501"/>
      <c r="V88" s="2501"/>
      <c r="W88" s="2501"/>
      <c r="X88" s="2501"/>
      <c r="Y88" s="2501"/>
      <c r="Z88" s="2501"/>
      <c r="AA88" s="2501"/>
    </row>
    <row r="89" spans="1:27" ht="15.75" customHeight="1" x14ac:dyDescent="0.3">
      <c r="A89" s="2501"/>
      <c r="B89" s="2501"/>
      <c r="C89" s="2501"/>
      <c r="D89" s="2501"/>
      <c r="E89" s="2501"/>
      <c r="F89" s="2501"/>
      <c r="G89" s="2501"/>
      <c r="H89" s="2501"/>
      <c r="I89" s="2501"/>
      <c r="J89" s="2501"/>
      <c r="K89" s="2501"/>
      <c r="L89" s="2501"/>
      <c r="M89" s="2501"/>
      <c r="N89" s="2501"/>
      <c r="O89" s="2501"/>
      <c r="P89" s="2501"/>
      <c r="Q89" s="2501"/>
      <c r="R89" s="2501"/>
      <c r="S89" s="2501"/>
      <c r="T89" s="2501"/>
      <c r="U89" s="2501"/>
      <c r="V89" s="2501"/>
      <c r="W89" s="2501"/>
      <c r="X89" s="2501"/>
      <c r="Y89" s="2501"/>
      <c r="Z89" s="2501"/>
      <c r="AA89" s="2501"/>
    </row>
    <row r="90" spans="1:27" ht="15.75" customHeight="1" x14ac:dyDescent="0.3">
      <c r="A90" s="2501"/>
      <c r="B90" s="2501"/>
      <c r="C90" s="2501"/>
      <c r="D90" s="2501"/>
      <c r="E90" s="2501"/>
      <c r="F90" s="2501"/>
      <c r="G90" s="2501"/>
      <c r="H90" s="2501"/>
      <c r="I90" s="2501"/>
      <c r="J90" s="2501"/>
      <c r="K90" s="2501"/>
      <c r="L90" s="2501"/>
      <c r="M90" s="2501"/>
      <c r="N90" s="2501"/>
      <c r="O90" s="2501"/>
      <c r="P90" s="2501"/>
      <c r="Q90" s="2501"/>
      <c r="R90" s="2501"/>
      <c r="S90" s="2501"/>
      <c r="T90" s="2501"/>
      <c r="U90" s="2501"/>
      <c r="V90" s="2501"/>
      <c r="W90" s="2501"/>
      <c r="X90" s="2501"/>
      <c r="Y90" s="2501"/>
      <c r="Z90" s="2501"/>
      <c r="AA90" s="2501"/>
    </row>
    <row r="91" spans="1:27" ht="15.75" customHeight="1" x14ac:dyDescent="0.3">
      <c r="A91" s="2501"/>
      <c r="B91" s="2501"/>
      <c r="C91" s="2501"/>
      <c r="D91" s="2501"/>
      <c r="E91" s="2501"/>
      <c r="F91" s="2501"/>
      <c r="G91" s="2501"/>
      <c r="H91" s="2501"/>
      <c r="I91" s="2501"/>
      <c r="J91" s="2501"/>
      <c r="K91" s="2501"/>
      <c r="L91" s="2501"/>
      <c r="M91" s="2501"/>
      <c r="N91" s="2501"/>
      <c r="O91" s="2501"/>
      <c r="P91" s="2501"/>
      <c r="Q91" s="2501"/>
      <c r="R91" s="2501"/>
      <c r="S91" s="2501"/>
      <c r="T91" s="2501"/>
      <c r="U91" s="2501"/>
      <c r="V91" s="2501"/>
      <c r="W91" s="2501"/>
      <c r="X91" s="2501"/>
      <c r="Y91" s="2501"/>
      <c r="Z91" s="2501"/>
      <c r="AA91" s="2501"/>
    </row>
    <row r="92" spans="1:27" ht="15.75" customHeight="1" x14ac:dyDescent="0.3">
      <c r="A92" s="2501"/>
      <c r="B92" s="2501"/>
      <c r="C92" s="2501"/>
      <c r="D92" s="2501"/>
      <c r="E92" s="2501"/>
      <c r="F92" s="2501"/>
      <c r="G92" s="2501"/>
      <c r="H92" s="2501"/>
      <c r="I92" s="2501"/>
      <c r="J92" s="2501"/>
      <c r="K92" s="2501"/>
      <c r="L92" s="2501"/>
      <c r="M92" s="2501"/>
      <c r="N92" s="2501"/>
      <c r="O92" s="2501"/>
      <c r="P92" s="2501"/>
      <c r="Q92" s="2501"/>
      <c r="R92" s="2501"/>
      <c r="S92" s="2501"/>
      <c r="T92" s="2501"/>
      <c r="U92" s="2501"/>
      <c r="V92" s="2501"/>
      <c r="W92" s="2501"/>
      <c r="X92" s="2501"/>
      <c r="Y92" s="2501"/>
      <c r="Z92" s="2501"/>
      <c r="AA92" s="2501"/>
    </row>
    <row r="93" spans="1:27" ht="15.75" customHeight="1" x14ac:dyDescent="0.3">
      <c r="A93" s="2501"/>
      <c r="B93" s="2501"/>
      <c r="C93" s="2501"/>
      <c r="D93" s="2501"/>
      <c r="E93" s="2501"/>
      <c r="F93" s="2501"/>
      <c r="G93" s="2501"/>
      <c r="H93" s="2501"/>
      <c r="I93" s="2501"/>
      <c r="J93" s="2501"/>
      <c r="K93" s="2501"/>
      <c r="L93" s="2501"/>
      <c r="M93" s="2501"/>
      <c r="N93" s="2501"/>
      <c r="O93" s="2501"/>
      <c r="P93" s="2501"/>
      <c r="Q93" s="2501"/>
      <c r="R93" s="2501"/>
      <c r="S93" s="2501"/>
      <c r="T93" s="2501"/>
      <c r="U93" s="2501"/>
      <c r="V93" s="2501"/>
      <c r="W93" s="2501"/>
      <c r="X93" s="2501"/>
      <c r="Y93" s="2501"/>
      <c r="Z93" s="2501"/>
      <c r="AA93" s="2501"/>
    </row>
    <row r="94" spans="1:27" ht="15.75" customHeight="1" x14ac:dyDescent="0.3">
      <c r="A94" s="2501"/>
      <c r="B94" s="2501"/>
      <c r="C94" s="2501"/>
      <c r="D94" s="2501"/>
      <c r="E94" s="2501"/>
      <c r="F94" s="2501"/>
      <c r="G94" s="2501"/>
      <c r="H94" s="2501"/>
      <c r="I94" s="2501"/>
      <c r="J94" s="2501"/>
      <c r="K94" s="2501"/>
      <c r="L94" s="2501"/>
      <c r="M94" s="2501"/>
      <c r="N94" s="2501"/>
      <c r="O94" s="2501"/>
      <c r="P94" s="2501"/>
      <c r="Q94" s="2501"/>
      <c r="R94" s="2501"/>
      <c r="S94" s="2501"/>
      <c r="T94" s="2501"/>
      <c r="U94" s="2501"/>
      <c r="V94" s="2501"/>
      <c r="W94" s="2501"/>
      <c r="X94" s="2501"/>
      <c r="Y94" s="2501"/>
      <c r="Z94" s="2501"/>
      <c r="AA94" s="2501"/>
    </row>
    <row r="95" spans="1:27" ht="15.75" customHeight="1" x14ac:dyDescent="0.3">
      <c r="A95" s="2501"/>
      <c r="B95" s="2501"/>
      <c r="C95" s="2501"/>
      <c r="D95" s="2501"/>
      <c r="E95" s="2501"/>
      <c r="F95" s="2501"/>
      <c r="G95" s="2501"/>
      <c r="H95" s="2501"/>
      <c r="I95" s="2501"/>
      <c r="J95" s="2501"/>
      <c r="K95" s="2501"/>
      <c r="L95" s="2501"/>
      <c r="M95" s="2501"/>
      <c r="N95" s="2501"/>
      <c r="O95" s="2501"/>
      <c r="P95" s="2501"/>
      <c r="Q95" s="2501"/>
      <c r="R95" s="2501"/>
      <c r="S95" s="2501"/>
      <c r="T95" s="2501"/>
      <c r="U95" s="2501"/>
      <c r="V95" s="2501"/>
      <c r="W95" s="2501"/>
      <c r="X95" s="2501"/>
      <c r="Y95" s="2501"/>
      <c r="Z95" s="2501"/>
      <c r="AA95" s="2501"/>
    </row>
    <row r="96" spans="1:27" ht="15.75" customHeight="1" x14ac:dyDescent="0.3">
      <c r="A96" s="2501"/>
      <c r="B96" s="2501"/>
      <c r="C96" s="2501"/>
      <c r="D96" s="2501"/>
      <c r="E96" s="2501"/>
      <c r="F96" s="2501"/>
      <c r="G96" s="2501"/>
      <c r="H96" s="2501"/>
      <c r="I96" s="2501"/>
      <c r="J96" s="2501"/>
      <c r="K96" s="2501"/>
      <c r="L96" s="2501"/>
      <c r="M96" s="2501"/>
      <c r="N96" s="2501"/>
      <c r="O96" s="2501"/>
      <c r="P96" s="2501"/>
      <c r="Q96" s="2501"/>
      <c r="R96" s="2501"/>
      <c r="S96" s="2501"/>
      <c r="T96" s="2501"/>
      <c r="U96" s="2501"/>
      <c r="V96" s="2501"/>
      <c r="W96" s="2501"/>
      <c r="X96" s="2501"/>
      <c r="Y96" s="2501"/>
      <c r="Z96" s="2501"/>
      <c r="AA96" s="2501"/>
    </row>
    <row r="97" spans="1:27" ht="15.75" customHeight="1" x14ac:dyDescent="0.3">
      <c r="A97" s="2501"/>
      <c r="B97" s="2501"/>
      <c r="C97" s="2501"/>
      <c r="D97" s="2501"/>
      <c r="E97" s="2501"/>
      <c r="F97" s="2501"/>
      <c r="G97" s="2501"/>
      <c r="H97" s="2501"/>
      <c r="I97" s="2501"/>
      <c r="J97" s="2501"/>
      <c r="K97" s="2501"/>
      <c r="L97" s="2501"/>
      <c r="M97" s="2501"/>
      <c r="N97" s="2501"/>
      <c r="O97" s="2501"/>
      <c r="P97" s="2501"/>
      <c r="Q97" s="2501"/>
      <c r="R97" s="2501"/>
      <c r="S97" s="2501"/>
      <c r="T97" s="2501"/>
      <c r="U97" s="2501"/>
      <c r="V97" s="2501"/>
      <c r="W97" s="2501"/>
      <c r="X97" s="2501"/>
      <c r="Y97" s="2501"/>
      <c r="Z97" s="2501"/>
      <c r="AA97" s="2501"/>
    </row>
    <row r="98" spans="1:27" ht="15.75" customHeight="1" x14ac:dyDescent="0.3">
      <c r="A98" s="2501"/>
      <c r="B98" s="2501"/>
      <c r="C98" s="2501"/>
      <c r="D98" s="2501"/>
      <c r="E98" s="2501"/>
      <c r="F98" s="2501"/>
      <c r="G98" s="2501"/>
      <c r="H98" s="2501"/>
      <c r="I98" s="2501"/>
      <c r="J98" s="2501"/>
      <c r="K98" s="2501"/>
      <c r="L98" s="2501"/>
      <c r="M98" s="2501"/>
      <c r="N98" s="2501"/>
      <c r="O98" s="2501"/>
      <c r="P98" s="2501"/>
      <c r="Q98" s="2501"/>
      <c r="R98" s="2501"/>
      <c r="S98" s="2501"/>
      <c r="T98" s="2501"/>
      <c r="U98" s="2501"/>
      <c r="V98" s="2501"/>
      <c r="W98" s="2501"/>
      <c r="X98" s="2501"/>
      <c r="Y98" s="2501"/>
      <c r="Z98" s="2501"/>
      <c r="AA98" s="2501"/>
    </row>
    <row r="99" spans="1:27" ht="15.75" customHeight="1" x14ac:dyDescent="0.3">
      <c r="A99" s="2501"/>
      <c r="B99" s="2501"/>
      <c r="C99" s="2501"/>
      <c r="D99" s="2501"/>
      <c r="E99" s="2501"/>
      <c r="F99" s="2501"/>
      <c r="G99" s="2501"/>
      <c r="H99" s="2501"/>
      <c r="I99" s="2501"/>
      <c r="J99" s="2501"/>
      <c r="K99" s="2501"/>
      <c r="L99" s="2501"/>
      <c r="M99" s="2501"/>
      <c r="N99" s="2501"/>
      <c r="O99" s="2501"/>
      <c r="P99" s="2501"/>
      <c r="Q99" s="2501"/>
      <c r="R99" s="2501"/>
      <c r="S99" s="2501"/>
      <c r="T99" s="2501"/>
      <c r="U99" s="2501"/>
      <c r="V99" s="2501"/>
      <c r="W99" s="2501"/>
      <c r="X99" s="2501"/>
      <c r="Y99" s="2501"/>
      <c r="Z99" s="2501"/>
      <c r="AA99" s="2501"/>
    </row>
    <row r="100" spans="1:27" ht="15.75" customHeight="1" x14ac:dyDescent="0.3">
      <c r="A100" s="2501"/>
      <c r="B100" s="2501"/>
      <c r="C100" s="2501"/>
      <c r="D100" s="2501"/>
      <c r="E100" s="2501"/>
      <c r="F100" s="2501"/>
      <c r="G100" s="2501"/>
      <c r="H100" s="2501"/>
      <c r="I100" s="2501"/>
      <c r="J100" s="2501"/>
      <c r="K100" s="2501"/>
      <c r="L100" s="2501"/>
      <c r="M100" s="2501"/>
      <c r="N100" s="2501"/>
      <c r="O100" s="2501"/>
      <c r="P100" s="2501"/>
      <c r="Q100" s="2501"/>
      <c r="R100" s="2501"/>
      <c r="S100" s="2501"/>
      <c r="T100" s="2501"/>
      <c r="U100" s="2501"/>
      <c r="V100" s="2501"/>
      <c r="W100" s="2501"/>
      <c r="X100" s="2501"/>
      <c r="Y100" s="2501"/>
      <c r="Z100" s="2501"/>
      <c r="AA100" s="2501"/>
    </row>
    <row r="101" spans="1:27" ht="15.75" customHeight="1" x14ac:dyDescent="0.3">
      <c r="A101" s="2501"/>
      <c r="B101" s="2501"/>
      <c r="C101" s="2501"/>
      <c r="D101" s="2501"/>
      <c r="E101" s="2501"/>
      <c r="F101" s="2501"/>
      <c r="G101" s="2501"/>
      <c r="H101" s="2501"/>
      <c r="I101" s="2501"/>
      <c r="J101" s="2501"/>
      <c r="K101" s="2501"/>
      <c r="L101" s="2501"/>
      <c r="M101" s="2501"/>
      <c r="N101" s="2501"/>
      <c r="O101" s="2501"/>
      <c r="P101" s="2501"/>
      <c r="Q101" s="2501"/>
      <c r="R101" s="2501"/>
      <c r="S101" s="2501"/>
      <c r="T101" s="2501"/>
      <c r="U101" s="2501"/>
      <c r="V101" s="2501"/>
      <c r="W101" s="2501"/>
      <c r="X101" s="2501"/>
      <c r="Y101" s="2501"/>
      <c r="Z101" s="2501"/>
      <c r="AA101" s="2501"/>
    </row>
    <row r="102" spans="1:27" ht="15.75" customHeight="1" x14ac:dyDescent="0.3">
      <c r="A102" s="2501"/>
      <c r="B102" s="2501"/>
      <c r="C102" s="2501"/>
      <c r="D102" s="2501"/>
      <c r="E102" s="2501"/>
      <c r="F102" s="2501"/>
      <c r="G102" s="2501"/>
      <c r="H102" s="2501"/>
      <c r="I102" s="2501"/>
      <c r="J102" s="2501"/>
      <c r="K102" s="2501"/>
      <c r="L102" s="2501"/>
      <c r="M102" s="2501"/>
      <c r="N102" s="2501"/>
      <c r="O102" s="2501"/>
      <c r="P102" s="2501"/>
      <c r="Q102" s="2501"/>
      <c r="R102" s="2501"/>
      <c r="S102" s="2501"/>
      <c r="T102" s="2501"/>
      <c r="U102" s="2501"/>
      <c r="V102" s="2501"/>
      <c r="W102" s="2501"/>
      <c r="X102" s="2501"/>
      <c r="Y102" s="2501"/>
      <c r="Z102" s="2501"/>
      <c r="AA102" s="2501"/>
    </row>
    <row r="103" spans="1:27" ht="15.75" customHeight="1" x14ac:dyDescent="0.3">
      <c r="A103" s="2501"/>
      <c r="B103" s="2501"/>
      <c r="C103" s="2501"/>
      <c r="D103" s="2501"/>
      <c r="E103" s="2501"/>
      <c r="F103" s="2501"/>
      <c r="G103" s="2501"/>
      <c r="H103" s="2501"/>
      <c r="I103" s="2501"/>
      <c r="J103" s="2501"/>
      <c r="K103" s="2501"/>
      <c r="L103" s="2501"/>
      <c r="M103" s="2501"/>
      <c r="N103" s="2501"/>
      <c r="O103" s="2501"/>
      <c r="P103" s="2501"/>
      <c r="Q103" s="2501"/>
      <c r="R103" s="2501"/>
      <c r="S103" s="2501"/>
      <c r="T103" s="2501"/>
      <c r="U103" s="2501"/>
      <c r="V103" s="2501"/>
      <c r="W103" s="2501"/>
      <c r="X103" s="2501"/>
      <c r="Y103" s="2501"/>
      <c r="Z103" s="2501"/>
      <c r="AA103" s="2501"/>
    </row>
    <row r="104" spans="1:27" ht="15.75" customHeight="1" x14ac:dyDescent="0.3">
      <c r="A104" s="2501"/>
      <c r="B104" s="2501"/>
      <c r="C104" s="2501"/>
      <c r="D104" s="2501"/>
      <c r="E104" s="2501"/>
      <c r="F104" s="2501"/>
      <c r="G104" s="2501"/>
      <c r="H104" s="2501"/>
      <c r="I104" s="2501"/>
      <c r="J104" s="2501"/>
      <c r="K104" s="2501"/>
      <c r="L104" s="2501"/>
      <c r="M104" s="2501"/>
      <c r="N104" s="2501"/>
      <c r="O104" s="2501"/>
      <c r="P104" s="2501"/>
      <c r="Q104" s="2501"/>
      <c r="R104" s="2501"/>
      <c r="S104" s="2501"/>
      <c r="T104" s="2501"/>
      <c r="U104" s="2501"/>
      <c r="V104" s="2501"/>
      <c r="W104" s="2501"/>
      <c r="X104" s="2501"/>
      <c r="Y104" s="2501"/>
      <c r="Z104" s="2501"/>
      <c r="AA104" s="2501"/>
    </row>
    <row r="105" spans="1:27" ht="15.75" customHeight="1" x14ac:dyDescent="0.3">
      <c r="A105" s="2501"/>
      <c r="B105" s="2501"/>
      <c r="C105" s="2501"/>
      <c r="D105" s="2501"/>
      <c r="E105" s="2501"/>
      <c r="F105" s="2501"/>
      <c r="G105" s="2501"/>
      <c r="H105" s="2501"/>
      <c r="I105" s="2501"/>
      <c r="J105" s="2501"/>
      <c r="K105" s="2501"/>
      <c r="L105" s="2501"/>
      <c r="M105" s="2501"/>
      <c r="N105" s="2501"/>
      <c r="O105" s="2501"/>
      <c r="P105" s="2501"/>
      <c r="Q105" s="2501"/>
      <c r="R105" s="2501"/>
      <c r="S105" s="2501"/>
      <c r="T105" s="2501"/>
      <c r="U105" s="2501"/>
      <c r="V105" s="2501"/>
      <c r="W105" s="2501"/>
      <c r="X105" s="2501"/>
      <c r="Y105" s="2501"/>
      <c r="Z105" s="2501"/>
      <c r="AA105" s="2501"/>
    </row>
    <row r="106" spans="1:27" ht="15.75" customHeight="1" x14ac:dyDescent="0.3">
      <c r="A106" s="2501"/>
      <c r="B106" s="2501"/>
      <c r="C106" s="2501"/>
      <c r="D106" s="2501"/>
      <c r="E106" s="2501"/>
      <c r="F106" s="2501"/>
      <c r="G106" s="2501"/>
      <c r="H106" s="2501"/>
      <c r="I106" s="2501"/>
      <c r="J106" s="2501"/>
      <c r="K106" s="2501"/>
      <c r="L106" s="2501"/>
      <c r="M106" s="2501"/>
      <c r="N106" s="2501"/>
      <c r="O106" s="2501"/>
      <c r="P106" s="2501"/>
      <c r="Q106" s="2501"/>
      <c r="R106" s="2501"/>
      <c r="S106" s="2501"/>
      <c r="T106" s="2501"/>
      <c r="U106" s="2501"/>
      <c r="V106" s="2501"/>
      <c r="W106" s="2501"/>
      <c r="X106" s="2501"/>
      <c r="Y106" s="2501"/>
      <c r="Z106" s="2501"/>
      <c r="AA106" s="2501"/>
    </row>
    <row r="107" spans="1:27" ht="15.75" customHeight="1" x14ac:dyDescent="0.3">
      <c r="A107" s="2501"/>
      <c r="B107" s="2501"/>
      <c r="C107" s="2501"/>
      <c r="D107" s="2501"/>
      <c r="E107" s="2501"/>
      <c r="F107" s="2501"/>
      <c r="G107" s="2501"/>
      <c r="H107" s="2501"/>
      <c r="I107" s="2501"/>
      <c r="J107" s="2501"/>
      <c r="K107" s="2501"/>
      <c r="L107" s="2501"/>
      <c r="M107" s="2501"/>
      <c r="N107" s="2501"/>
      <c r="O107" s="2501"/>
      <c r="P107" s="2501"/>
      <c r="Q107" s="2501"/>
      <c r="R107" s="2501"/>
      <c r="S107" s="2501"/>
      <c r="T107" s="2501"/>
      <c r="U107" s="2501"/>
      <c r="V107" s="2501"/>
      <c r="W107" s="2501"/>
      <c r="X107" s="2501"/>
      <c r="Y107" s="2501"/>
      <c r="Z107" s="2501"/>
      <c r="AA107" s="2501"/>
    </row>
    <row r="108" spans="1:27" ht="15.75" customHeight="1" x14ac:dyDescent="0.3">
      <c r="A108" s="2501"/>
      <c r="B108" s="2501"/>
      <c r="C108" s="2501"/>
      <c r="D108" s="2501"/>
      <c r="E108" s="2501"/>
      <c r="F108" s="2501"/>
      <c r="G108" s="2501"/>
      <c r="H108" s="2501"/>
      <c r="I108" s="2501"/>
      <c r="J108" s="2501"/>
      <c r="K108" s="2501"/>
      <c r="L108" s="2501"/>
      <c r="M108" s="2501"/>
      <c r="N108" s="2501"/>
      <c r="O108" s="2501"/>
      <c r="P108" s="2501"/>
      <c r="Q108" s="2501"/>
      <c r="R108" s="2501"/>
      <c r="S108" s="2501"/>
      <c r="T108" s="2501"/>
      <c r="U108" s="2501"/>
      <c r="V108" s="2501"/>
      <c r="W108" s="2501"/>
      <c r="X108" s="2501"/>
      <c r="Y108" s="2501"/>
      <c r="Z108" s="2501"/>
      <c r="AA108" s="2501"/>
    </row>
    <row r="109" spans="1:27" ht="15.75" customHeight="1" x14ac:dyDescent="0.3">
      <c r="A109" s="2501"/>
      <c r="B109" s="2501"/>
      <c r="C109" s="2501"/>
      <c r="D109" s="2501"/>
      <c r="E109" s="2501"/>
      <c r="F109" s="2501"/>
      <c r="G109" s="2501"/>
      <c r="H109" s="2501"/>
      <c r="I109" s="2501"/>
      <c r="J109" s="2501"/>
      <c r="K109" s="2501"/>
      <c r="L109" s="2501"/>
      <c r="M109" s="2501"/>
      <c r="N109" s="2501"/>
      <c r="O109" s="2501"/>
      <c r="P109" s="2501"/>
      <c r="Q109" s="2501"/>
      <c r="R109" s="2501"/>
      <c r="S109" s="2501"/>
      <c r="T109" s="2501"/>
      <c r="U109" s="2501"/>
      <c r="V109" s="2501"/>
      <c r="W109" s="2501"/>
      <c r="X109" s="2501"/>
      <c r="Y109" s="2501"/>
      <c r="Z109" s="2501"/>
      <c r="AA109" s="2501"/>
    </row>
    <row r="110" spans="1:27" ht="15.75" customHeight="1" x14ac:dyDescent="0.3">
      <c r="A110" s="2501"/>
      <c r="B110" s="2501"/>
      <c r="C110" s="2501"/>
      <c r="D110" s="2501"/>
      <c r="E110" s="2501"/>
      <c r="F110" s="2501"/>
      <c r="G110" s="2501"/>
      <c r="H110" s="2501"/>
      <c r="I110" s="2501"/>
      <c r="J110" s="2501"/>
      <c r="K110" s="2501"/>
      <c r="L110" s="2501"/>
      <c r="M110" s="2501"/>
      <c r="N110" s="2501"/>
      <c r="O110" s="2501"/>
      <c r="P110" s="2501"/>
      <c r="Q110" s="2501"/>
      <c r="R110" s="2501"/>
      <c r="S110" s="2501"/>
      <c r="T110" s="2501"/>
      <c r="U110" s="2501"/>
      <c r="V110" s="2501"/>
      <c r="W110" s="2501"/>
      <c r="X110" s="2501"/>
      <c r="Y110" s="2501"/>
      <c r="Z110" s="2501"/>
      <c r="AA110" s="2501"/>
    </row>
    <row r="111" spans="1:27" ht="15.75" customHeight="1" x14ac:dyDescent="0.3">
      <c r="A111" s="2501"/>
      <c r="B111" s="2501"/>
      <c r="C111" s="2501"/>
      <c r="D111" s="2501"/>
      <c r="E111" s="2501"/>
      <c r="F111" s="2501"/>
      <c r="G111" s="2501"/>
      <c r="H111" s="2501"/>
      <c r="I111" s="2501"/>
      <c r="J111" s="2501"/>
      <c r="K111" s="2501"/>
      <c r="L111" s="2501"/>
      <c r="M111" s="2501"/>
      <c r="N111" s="2501"/>
      <c r="O111" s="2501"/>
      <c r="P111" s="2501"/>
      <c r="Q111" s="2501"/>
      <c r="R111" s="2501"/>
      <c r="S111" s="2501"/>
      <c r="T111" s="2501"/>
      <c r="U111" s="2501"/>
      <c r="V111" s="2501"/>
      <c r="W111" s="2501"/>
      <c r="X111" s="2501"/>
      <c r="Y111" s="2501"/>
      <c r="Z111" s="2501"/>
      <c r="AA111" s="2501"/>
    </row>
    <row r="112" spans="1:27" ht="15.75" customHeight="1" x14ac:dyDescent="0.3">
      <c r="A112" s="2501"/>
      <c r="B112" s="2501"/>
      <c r="C112" s="2501"/>
      <c r="D112" s="2501"/>
      <c r="E112" s="2501"/>
      <c r="F112" s="2501"/>
      <c r="G112" s="2501"/>
      <c r="H112" s="2501"/>
      <c r="I112" s="2501"/>
      <c r="J112" s="2501"/>
      <c r="K112" s="2501"/>
      <c r="L112" s="2501"/>
      <c r="M112" s="2501"/>
      <c r="N112" s="2501"/>
      <c r="O112" s="2501"/>
      <c r="P112" s="2501"/>
      <c r="Q112" s="2501"/>
      <c r="R112" s="2501"/>
      <c r="S112" s="2501"/>
      <c r="T112" s="2501"/>
      <c r="U112" s="2501"/>
      <c r="V112" s="2501"/>
      <c r="W112" s="2501"/>
      <c r="X112" s="2501"/>
      <c r="Y112" s="2501"/>
      <c r="Z112" s="2501"/>
      <c r="AA112" s="2501"/>
    </row>
    <row r="113" spans="1:27" ht="15.75" customHeight="1" x14ac:dyDescent="0.3">
      <c r="A113" s="2501"/>
      <c r="B113" s="2501"/>
      <c r="C113" s="2501"/>
      <c r="D113" s="2501"/>
      <c r="E113" s="2501"/>
      <c r="F113" s="2501"/>
      <c r="G113" s="2501"/>
      <c r="H113" s="2501"/>
      <c r="I113" s="2501"/>
      <c r="J113" s="2501"/>
      <c r="K113" s="2501"/>
      <c r="L113" s="2501"/>
      <c r="M113" s="2501"/>
      <c r="N113" s="2501"/>
      <c r="O113" s="2501"/>
      <c r="P113" s="2501"/>
      <c r="Q113" s="2501"/>
      <c r="R113" s="2501"/>
      <c r="S113" s="2501"/>
      <c r="T113" s="2501"/>
      <c r="U113" s="2501"/>
      <c r="V113" s="2501"/>
      <c r="W113" s="2501"/>
      <c r="X113" s="2501"/>
      <c r="Y113" s="2501"/>
      <c r="Z113" s="2501"/>
      <c r="AA113" s="2501"/>
    </row>
    <row r="114" spans="1:27" ht="15.75" customHeight="1" x14ac:dyDescent="0.3">
      <c r="A114" s="2501"/>
      <c r="B114" s="2501"/>
      <c r="C114" s="2501"/>
      <c r="D114" s="2501"/>
      <c r="E114" s="2501"/>
      <c r="F114" s="2501"/>
      <c r="G114" s="2501"/>
      <c r="H114" s="2501"/>
      <c r="I114" s="2501"/>
      <c r="J114" s="2501"/>
      <c r="K114" s="2501"/>
      <c r="L114" s="2501"/>
      <c r="M114" s="2501"/>
      <c r="N114" s="2501"/>
      <c r="O114" s="2501"/>
      <c r="P114" s="2501"/>
      <c r="Q114" s="2501"/>
      <c r="R114" s="2501"/>
      <c r="S114" s="2501"/>
      <c r="T114" s="2501"/>
      <c r="U114" s="2501"/>
      <c r="V114" s="2501"/>
      <c r="W114" s="2501"/>
      <c r="X114" s="2501"/>
      <c r="Y114" s="2501"/>
      <c r="Z114" s="2501"/>
      <c r="AA114" s="2501"/>
    </row>
    <row r="115" spans="1:27" ht="15.75" customHeight="1" x14ac:dyDescent="0.3">
      <c r="A115" s="2501"/>
      <c r="B115" s="2501"/>
      <c r="C115" s="2501"/>
      <c r="D115" s="2501"/>
      <c r="E115" s="2501"/>
      <c r="F115" s="2501"/>
      <c r="G115" s="2501"/>
      <c r="H115" s="2501"/>
      <c r="I115" s="2501"/>
      <c r="J115" s="2501"/>
      <c r="K115" s="2501"/>
      <c r="L115" s="2501"/>
      <c r="M115" s="2501"/>
      <c r="N115" s="2501"/>
      <c r="O115" s="2501"/>
      <c r="P115" s="2501"/>
      <c r="Q115" s="2501"/>
      <c r="R115" s="2501"/>
      <c r="S115" s="2501"/>
      <c r="T115" s="2501"/>
      <c r="U115" s="2501"/>
      <c r="V115" s="2501"/>
      <c r="W115" s="2501"/>
      <c r="X115" s="2501"/>
      <c r="Y115" s="2501"/>
      <c r="Z115" s="2501"/>
      <c r="AA115" s="2501"/>
    </row>
    <row r="116" spans="1:27" ht="15.75" customHeight="1" x14ac:dyDescent="0.3">
      <c r="A116" s="2501"/>
      <c r="B116" s="2501"/>
      <c r="C116" s="2501"/>
      <c r="D116" s="2501"/>
      <c r="E116" s="2501"/>
      <c r="F116" s="2501"/>
      <c r="G116" s="2501"/>
      <c r="H116" s="2501"/>
      <c r="I116" s="2501"/>
      <c r="J116" s="2501"/>
      <c r="K116" s="2501"/>
      <c r="L116" s="2501"/>
      <c r="M116" s="2501"/>
      <c r="N116" s="2501"/>
      <c r="O116" s="2501"/>
      <c r="P116" s="2501"/>
      <c r="Q116" s="2501"/>
      <c r="R116" s="2501"/>
      <c r="S116" s="2501"/>
      <c r="T116" s="2501"/>
      <c r="U116" s="2501"/>
      <c r="V116" s="2501"/>
      <c r="W116" s="2501"/>
      <c r="X116" s="2501"/>
      <c r="Y116" s="2501"/>
      <c r="Z116" s="2501"/>
      <c r="AA116" s="2501"/>
    </row>
    <row r="117" spans="1:27" ht="15.75" customHeight="1" x14ac:dyDescent="0.3">
      <c r="A117" s="2501"/>
      <c r="B117" s="2501"/>
      <c r="C117" s="2501"/>
      <c r="D117" s="2501"/>
      <c r="E117" s="2501"/>
      <c r="F117" s="2501"/>
      <c r="G117" s="2501"/>
      <c r="H117" s="2501"/>
      <c r="I117" s="2501"/>
      <c r="J117" s="2501"/>
      <c r="K117" s="2501"/>
      <c r="L117" s="2501"/>
      <c r="M117" s="2501"/>
      <c r="N117" s="2501"/>
      <c r="O117" s="2501"/>
      <c r="P117" s="2501"/>
      <c r="Q117" s="2501"/>
      <c r="R117" s="2501"/>
      <c r="S117" s="2501"/>
      <c r="T117" s="2501"/>
      <c r="U117" s="2501"/>
      <c r="V117" s="2501"/>
      <c r="W117" s="2501"/>
      <c r="X117" s="2501"/>
      <c r="Y117" s="2501"/>
      <c r="Z117" s="2501"/>
      <c r="AA117" s="2501"/>
    </row>
    <row r="118" spans="1:27" ht="15.75" customHeight="1" x14ac:dyDescent="0.3">
      <c r="A118" s="2501"/>
      <c r="B118" s="2501"/>
      <c r="C118" s="2501"/>
      <c r="D118" s="2501"/>
      <c r="E118" s="2501"/>
      <c r="F118" s="2501"/>
      <c r="G118" s="2501"/>
      <c r="H118" s="2501"/>
      <c r="I118" s="2501"/>
      <c r="J118" s="2501"/>
      <c r="K118" s="2501"/>
      <c r="L118" s="2501"/>
      <c r="M118" s="2501"/>
      <c r="N118" s="2501"/>
      <c r="O118" s="2501"/>
      <c r="P118" s="2501"/>
      <c r="Q118" s="2501"/>
      <c r="R118" s="2501"/>
      <c r="S118" s="2501"/>
      <c r="T118" s="2501"/>
      <c r="U118" s="2501"/>
      <c r="V118" s="2501"/>
      <c r="W118" s="2501"/>
      <c r="X118" s="2501"/>
      <c r="Y118" s="2501"/>
      <c r="Z118" s="2501"/>
      <c r="AA118" s="2501"/>
    </row>
    <row r="119" spans="1:27" ht="15.75" customHeight="1" x14ac:dyDescent="0.3">
      <c r="A119" s="2501"/>
      <c r="B119" s="2501"/>
      <c r="C119" s="2501"/>
      <c r="D119" s="2501"/>
      <c r="E119" s="2501"/>
      <c r="F119" s="2501"/>
      <c r="G119" s="2501"/>
      <c r="H119" s="2501"/>
      <c r="I119" s="2501"/>
      <c r="J119" s="2501"/>
      <c r="K119" s="2501"/>
      <c r="L119" s="2501"/>
      <c r="M119" s="2501"/>
      <c r="N119" s="2501"/>
      <c r="O119" s="2501"/>
      <c r="P119" s="2501"/>
      <c r="Q119" s="2501"/>
      <c r="R119" s="2501"/>
      <c r="S119" s="2501"/>
      <c r="T119" s="2501"/>
      <c r="U119" s="2501"/>
      <c r="V119" s="2501"/>
      <c r="W119" s="2501"/>
      <c r="X119" s="2501"/>
      <c r="Y119" s="2501"/>
      <c r="Z119" s="2501"/>
      <c r="AA119" s="2501"/>
    </row>
    <row r="120" spans="1:27" ht="15.75" customHeight="1" x14ac:dyDescent="0.3">
      <c r="A120" s="2501"/>
      <c r="B120" s="2501"/>
      <c r="C120" s="2501"/>
      <c r="D120" s="2501"/>
      <c r="E120" s="2501"/>
      <c r="F120" s="2501"/>
      <c r="G120" s="2501"/>
      <c r="H120" s="2501"/>
      <c r="I120" s="2501"/>
      <c r="J120" s="2501"/>
      <c r="K120" s="2501"/>
      <c r="L120" s="2501"/>
      <c r="M120" s="2501"/>
      <c r="N120" s="2501"/>
      <c r="O120" s="2501"/>
      <c r="P120" s="2501"/>
      <c r="Q120" s="2501"/>
      <c r="R120" s="2501"/>
      <c r="S120" s="2501"/>
      <c r="T120" s="2501"/>
      <c r="U120" s="2501"/>
      <c r="V120" s="2501"/>
      <c r="W120" s="2501"/>
      <c r="X120" s="2501"/>
      <c r="Y120" s="2501"/>
      <c r="Z120" s="2501"/>
      <c r="AA120" s="2501"/>
    </row>
    <row r="121" spans="1:27" ht="15.75" customHeight="1" x14ac:dyDescent="0.3">
      <c r="A121" s="2501"/>
      <c r="B121" s="2501"/>
      <c r="C121" s="2501"/>
      <c r="D121" s="2501"/>
      <c r="E121" s="2501"/>
      <c r="F121" s="2501"/>
      <c r="G121" s="2501"/>
      <c r="H121" s="2501"/>
      <c r="I121" s="2501"/>
      <c r="J121" s="2501"/>
      <c r="K121" s="2501"/>
      <c r="L121" s="2501"/>
      <c r="M121" s="2501"/>
      <c r="N121" s="2501"/>
      <c r="O121" s="2501"/>
      <c r="P121" s="2501"/>
      <c r="Q121" s="2501"/>
      <c r="R121" s="2501"/>
      <c r="S121" s="2501"/>
      <c r="T121" s="2501"/>
      <c r="U121" s="2501"/>
      <c r="V121" s="2501"/>
      <c r="W121" s="2501"/>
      <c r="X121" s="2501"/>
      <c r="Y121" s="2501"/>
      <c r="Z121" s="2501"/>
      <c r="AA121" s="2501"/>
    </row>
    <row r="122" spans="1:27" ht="15.75" customHeight="1" x14ac:dyDescent="0.3">
      <c r="A122" s="2501"/>
      <c r="B122" s="2501"/>
      <c r="C122" s="2501"/>
      <c r="D122" s="2501"/>
      <c r="E122" s="2501"/>
      <c r="F122" s="2501"/>
      <c r="G122" s="2501"/>
      <c r="H122" s="2501"/>
      <c r="I122" s="2501"/>
      <c r="J122" s="2501"/>
      <c r="K122" s="2501"/>
      <c r="L122" s="2501"/>
      <c r="M122" s="2501"/>
      <c r="N122" s="2501"/>
      <c r="O122" s="2501"/>
      <c r="P122" s="2501"/>
      <c r="Q122" s="2501"/>
      <c r="R122" s="2501"/>
      <c r="S122" s="2501"/>
      <c r="T122" s="2501"/>
      <c r="U122" s="2501"/>
      <c r="V122" s="2501"/>
      <c r="W122" s="2501"/>
      <c r="X122" s="2501"/>
      <c r="Y122" s="2501"/>
      <c r="Z122" s="2501"/>
      <c r="AA122" s="2501"/>
    </row>
    <row r="123" spans="1:27" ht="15.75" customHeight="1" x14ac:dyDescent="0.3">
      <c r="A123" s="2501"/>
      <c r="B123" s="2501"/>
      <c r="C123" s="2501"/>
      <c r="D123" s="2501"/>
      <c r="E123" s="2501"/>
      <c r="F123" s="2501"/>
      <c r="G123" s="2501"/>
      <c r="H123" s="2501"/>
      <c r="I123" s="2501"/>
      <c r="J123" s="2501"/>
      <c r="K123" s="2501"/>
      <c r="L123" s="2501"/>
      <c r="M123" s="2501"/>
      <c r="N123" s="2501"/>
      <c r="O123" s="2501"/>
      <c r="P123" s="2501"/>
      <c r="Q123" s="2501"/>
      <c r="R123" s="2501"/>
      <c r="S123" s="2501"/>
      <c r="T123" s="2501"/>
      <c r="U123" s="2501"/>
      <c r="V123" s="2501"/>
      <c r="W123" s="2501"/>
      <c r="X123" s="2501"/>
      <c r="Y123" s="2501"/>
      <c r="Z123" s="2501"/>
      <c r="AA123" s="2501"/>
    </row>
    <row r="124" spans="1:27" ht="15.75" customHeight="1" x14ac:dyDescent="0.3">
      <c r="A124" s="2501"/>
      <c r="B124" s="2501"/>
      <c r="C124" s="2501"/>
      <c r="D124" s="2501"/>
      <c r="E124" s="2501"/>
      <c r="F124" s="2501"/>
      <c r="G124" s="2501"/>
      <c r="H124" s="2501"/>
      <c r="I124" s="2501"/>
      <c r="J124" s="2501"/>
      <c r="K124" s="2501"/>
      <c r="L124" s="2501"/>
      <c r="M124" s="2501"/>
      <c r="N124" s="2501"/>
      <c r="O124" s="2501"/>
      <c r="P124" s="2501"/>
      <c r="Q124" s="2501"/>
      <c r="R124" s="2501"/>
      <c r="S124" s="2501"/>
      <c r="T124" s="2501"/>
      <c r="U124" s="2501"/>
      <c r="V124" s="2501"/>
      <c r="W124" s="2501"/>
      <c r="X124" s="2501"/>
      <c r="Y124" s="2501"/>
      <c r="Z124" s="2501"/>
      <c r="AA124" s="2501"/>
    </row>
    <row r="125" spans="1:27" ht="15.75" customHeight="1" x14ac:dyDescent="0.3">
      <c r="A125" s="2501"/>
      <c r="B125" s="2501"/>
      <c r="C125" s="2501"/>
      <c r="D125" s="2501"/>
      <c r="E125" s="2501"/>
      <c r="F125" s="2501"/>
      <c r="G125" s="2501"/>
      <c r="H125" s="2501"/>
      <c r="I125" s="2501"/>
      <c r="J125" s="2501"/>
      <c r="K125" s="2501"/>
      <c r="L125" s="2501"/>
      <c r="M125" s="2501"/>
      <c r="N125" s="2501"/>
      <c r="O125" s="2501"/>
      <c r="P125" s="2501"/>
      <c r="Q125" s="2501"/>
      <c r="R125" s="2501"/>
      <c r="S125" s="2501"/>
      <c r="T125" s="2501"/>
      <c r="U125" s="2501"/>
      <c r="V125" s="2501"/>
      <c r="W125" s="2501"/>
      <c r="X125" s="2501"/>
      <c r="Y125" s="2501"/>
      <c r="Z125" s="2501"/>
      <c r="AA125" s="2501"/>
    </row>
    <row r="126" spans="1:27" ht="15.75" customHeight="1" x14ac:dyDescent="0.3">
      <c r="A126" s="2501"/>
      <c r="B126" s="2501"/>
      <c r="C126" s="2501"/>
      <c r="D126" s="2501"/>
      <c r="E126" s="2501"/>
      <c r="F126" s="2501"/>
      <c r="G126" s="2501"/>
      <c r="H126" s="2501"/>
      <c r="I126" s="2501"/>
      <c r="J126" s="2501"/>
      <c r="K126" s="2501"/>
      <c r="L126" s="2501"/>
      <c r="M126" s="2501"/>
      <c r="N126" s="2501"/>
      <c r="O126" s="2501"/>
      <c r="P126" s="2501"/>
      <c r="Q126" s="2501"/>
      <c r="R126" s="2501"/>
      <c r="S126" s="2501"/>
      <c r="T126" s="2501"/>
      <c r="U126" s="2501"/>
      <c r="V126" s="2501"/>
      <c r="W126" s="2501"/>
      <c r="X126" s="2501"/>
      <c r="Y126" s="2501"/>
      <c r="Z126" s="2501"/>
      <c r="AA126" s="2501"/>
    </row>
    <row r="127" spans="1:27" ht="15.75" customHeight="1" x14ac:dyDescent="0.3">
      <c r="A127" s="2501"/>
      <c r="B127" s="2501"/>
      <c r="C127" s="2501"/>
      <c r="D127" s="2501"/>
      <c r="E127" s="2501"/>
      <c r="F127" s="2501"/>
      <c r="G127" s="2501"/>
      <c r="H127" s="2501"/>
      <c r="I127" s="2501"/>
      <c r="J127" s="2501"/>
      <c r="K127" s="2501"/>
      <c r="L127" s="2501"/>
      <c r="M127" s="2501"/>
      <c r="N127" s="2501"/>
      <c r="O127" s="2501"/>
      <c r="P127" s="2501"/>
      <c r="Q127" s="2501"/>
      <c r="R127" s="2501"/>
      <c r="S127" s="2501"/>
      <c r="T127" s="2501"/>
      <c r="U127" s="2501"/>
      <c r="V127" s="2501"/>
      <c r="W127" s="2501"/>
      <c r="X127" s="2501"/>
      <c r="Y127" s="2501"/>
      <c r="Z127" s="2501"/>
      <c r="AA127" s="2501"/>
    </row>
    <row r="128" spans="1:27" ht="15.75" customHeight="1" x14ac:dyDescent="0.3">
      <c r="A128" s="2501"/>
      <c r="B128" s="2501"/>
      <c r="C128" s="2501"/>
      <c r="D128" s="2501"/>
      <c r="E128" s="2501"/>
      <c r="F128" s="2501"/>
      <c r="G128" s="2501"/>
      <c r="H128" s="2501"/>
      <c r="I128" s="2501"/>
      <c r="J128" s="2501"/>
      <c r="K128" s="2501"/>
      <c r="L128" s="2501"/>
      <c r="M128" s="2501"/>
      <c r="N128" s="2501"/>
      <c r="O128" s="2501"/>
      <c r="P128" s="2501"/>
      <c r="Q128" s="2501"/>
      <c r="R128" s="2501"/>
      <c r="S128" s="2501"/>
      <c r="T128" s="2501"/>
      <c r="U128" s="2501"/>
      <c r="V128" s="2501"/>
      <c r="W128" s="2501"/>
      <c r="X128" s="2501"/>
      <c r="Y128" s="2501"/>
      <c r="Z128" s="2501"/>
      <c r="AA128" s="2501"/>
    </row>
    <row r="129" spans="1:27" ht="15.75" customHeight="1" x14ac:dyDescent="0.3">
      <c r="A129" s="2501"/>
      <c r="B129" s="2501"/>
      <c r="C129" s="2501"/>
      <c r="D129" s="2501"/>
      <c r="E129" s="2501"/>
      <c r="F129" s="2501"/>
      <c r="G129" s="2501"/>
      <c r="H129" s="2501"/>
      <c r="I129" s="2501"/>
      <c r="J129" s="2501"/>
      <c r="K129" s="2501"/>
      <c r="L129" s="2501"/>
      <c r="M129" s="2501"/>
      <c r="N129" s="2501"/>
      <c r="O129" s="2501"/>
      <c r="P129" s="2501"/>
      <c r="Q129" s="2501"/>
      <c r="R129" s="2501"/>
      <c r="S129" s="2501"/>
      <c r="T129" s="2501"/>
      <c r="U129" s="2501"/>
      <c r="V129" s="2501"/>
      <c r="W129" s="2501"/>
      <c r="X129" s="2501"/>
      <c r="Y129" s="2501"/>
      <c r="Z129" s="2501"/>
      <c r="AA129" s="2501"/>
    </row>
    <row r="130" spans="1:27" ht="15.75" customHeight="1" x14ac:dyDescent="0.3">
      <c r="A130" s="2501"/>
      <c r="B130" s="2501"/>
      <c r="C130" s="2501"/>
      <c r="D130" s="2501"/>
      <c r="E130" s="2501"/>
      <c r="F130" s="2501"/>
      <c r="G130" s="2501"/>
      <c r="H130" s="2501"/>
      <c r="I130" s="2501"/>
      <c r="J130" s="2501"/>
      <c r="K130" s="2501"/>
      <c r="L130" s="2501"/>
      <c r="M130" s="2501"/>
      <c r="N130" s="2501"/>
      <c r="O130" s="2501"/>
      <c r="P130" s="2501"/>
      <c r="Q130" s="2501"/>
      <c r="R130" s="2501"/>
      <c r="S130" s="2501"/>
      <c r="T130" s="2501"/>
      <c r="U130" s="2501"/>
      <c r="V130" s="2501"/>
      <c r="W130" s="2501"/>
      <c r="X130" s="2501"/>
      <c r="Y130" s="2501"/>
      <c r="Z130" s="2501"/>
      <c r="AA130" s="2501"/>
    </row>
    <row r="131" spans="1:27" ht="15.75" customHeight="1" x14ac:dyDescent="0.3">
      <c r="A131" s="2501"/>
      <c r="B131" s="2501"/>
      <c r="C131" s="2501"/>
      <c r="D131" s="2501"/>
      <c r="E131" s="2501"/>
      <c r="F131" s="2501"/>
      <c r="G131" s="2501"/>
      <c r="H131" s="2501"/>
      <c r="I131" s="2501"/>
      <c r="J131" s="2501"/>
      <c r="K131" s="2501"/>
      <c r="L131" s="2501"/>
      <c r="M131" s="2501"/>
      <c r="N131" s="2501"/>
      <c r="O131" s="2501"/>
      <c r="P131" s="2501"/>
      <c r="Q131" s="2501"/>
      <c r="R131" s="2501"/>
      <c r="S131" s="2501"/>
      <c r="T131" s="2501"/>
      <c r="U131" s="2501"/>
      <c r="V131" s="2501"/>
      <c r="W131" s="2501"/>
      <c r="X131" s="2501"/>
      <c r="Y131" s="2501"/>
      <c r="Z131" s="2501"/>
      <c r="AA131" s="2501"/>
    </row>
    <row r="132" spans="1:27" ht="15.75" customHeight="1" x14ac:dyDescent="0.3">
      <c r="A132" s="2501"/>
      <c r="B132" s="2501"/>
      <c r="C132" s="2501"/>
      <c r="D132" s="2501"/>
      <c r="E132" s="2501"/>
      <c r="F132" s="2501"/>
      <c r="G132" s="2501"/>
      <c r="H132" s="2501"/>
      <c r="I132" s="2501"/>
      <c r="J132" s="2501"/>
      <c r="K132" s="2501"/>
      <c r="L132" s="2501"/>
      <c r="M132" s="2501"/>
      <c r="N132" s="2501"/>
      <c r="O132" s="2501"/>
      <c r="P132" s="2501"/>
      <c r="Q132" s="2501"/>
      <c r="R132" s="2501"/>
      <c r="S132" s="2501"/>
      <c r="T132" s="2501"/>
      <c r="U132" s="2501"/>
      <c r="V132" s="2501"/>
      <c r="W132" s="2501"/>
      <c r="X132" s="2501"/>
      <c r="Y132" s="2501"/>
      <c r="Z132" s="2501"/>
      <c r="AA132" s="2501"/>
    </row>
    <row r="133" spans="1:27" ht="15.75" customHeight="1" x14ac:dyDescent="0.3">
      <c r="A133" s="2501"/>
      <c r="B133" s="2501"/>
      <c r="C133" s="2501"/>
      <c r="D133" s="2501"/>
      <c r="E133" s="2501"/>
      <c r="F133" s="2501"/>
      <c r="G133" s="2501"/>
      <c r="H133" s="2501"/>
      <c r="I133" s="2501"/>
      <c r="J133" s="2501"/>
      <c r="K133" s="2501"/>
      <c r="L133" s="2501"/>
      <c r="M133" s="2501"/>
      <c r="N133" s="2501"/>
      <c r="O133" s="2501"/>
      <c r="P133" s="2501"/>
      <c r="Q133" s="2501"/>
      <c r="R133" s="2501"/>
      <c r="S133" s="2501"/>
      <c r="T133" s="2501"/>
      <c r="U133" s="2501"/>
      <c r="V133" s="2501"/>
      <c r="W133" s="2501"/>
      <c r="X133" s="2501"/>
      <c r="Y133" s="2501"/>
      <c r="Z133" s="2501"/>
      <c r="AA133" s="2501"/>
    </row>
    <row r="134" spans="1:27" ht="15.75" customHeight="1" x14ac:dyDescent="0.3">
      <c r="A134" s="2501"/>
      <c r="B134" s="2501"/>
      <c r="C134" s="2501"/>
      <c r="D134" s="2501"/>
      <c r="E134" s="2501"/>
      <c r="F134" s="2501"/>
      <c r="G134" s="2501"/>
      <c r="H134" s="2501"/>
      <c r="I134" s="2501"/>
      <c r="J134" s="2501"/>
      <c r="K134" s="2501"/>
      <c r="L134" s="2501"/>
      <c r="M134" s="2501"/>
      <c r="N134" s="2501"/>
      <c r="O134" s="2501"/>
      <c r="P134" s="2501"/>
      <c r="Q134" s="2501"/>
      <c r="R134" s="2501"/>
      <c r="S134" s="2501"/>
      <c r="T134" s="2501"/>
      <c r="U134" s="2501"/>
      <c r="V134" s="2501"/>
      <c r="W134" s="2501"/>
      <c r="X134" s="2501"/>
      <c r="Y134" s="2501"/>
      <c r="Z134" s="2501"/>
      <c r="AA134" s="2501"/>
    </row>
    <row r="135" spans="1:27" ht="15.75" customHeight="1" x14ac:dyDescent="0.3">
      <c r="A135" s="2501"/>
      <c r="B135" s="2501"/>
      <c r="C135" s="2501"/>
      <c r="D135" s="2501"/>
      <c r="E135" s="2501"/>
      <c r="F135" s="2501"/>
      <c r="G135" s="2501"/>
      <c r="H135" s="2501"/>
      <c r="I135" s="2501"/>
      <c r="J135" s="2501"/>
      <c r="K135" s="2501"/>
      <c r="L135" s="2501"/>
      <c r="M135" s="2501"/>
      <c r="N135" s="2501"/>
      <c r="O135" s="2501"/>
      <c r="P135" s="2501"/>
      <c r="Q135" s="2501"/>
      <c r="R135" s="2501"/>
      <c r="S135" s="2501"/>
      <c r="T135" s="2501"/>
      <c r="U135" s="2501"/>
      <c r="V135" s="2501"/>
      <c r="W135" s="2501"/>
      <c r="X135" s="2501"/>
      <c r="Y135" s="2501"/>
      <c r="Z135" s="2501"/>
      <c r="AA135" s="2501"/>
    </row>
    <row r="136" spans="1:27" ht="15.75" customHeight="1" x14ac:dyDescent="0.3">
      <c r="A136" s="2501"/>
      <c r="B136" s="2501"/>
      <c r="C136" s="2501"/>
      <c r="D136" s="2501"/>
      <c r="E136" s="2501"/>
      <c r="F136" s="2501"/>
      <c r="G136" s="2501"/>
      <c r="H136" s="2501"/>
      <c r="I136" s="2501"/>
      <c r="J136" s="2501"/>
      <c r="K136" s="2501"/>
      <c r="L136" s="2501"/>
      <c r="M136" s="2501"/>
      <c r="N136" s="2501"/>
      <c r="O136" s="2501"/>
      <c r="P136" s="2501"/>
      <c r="Q136" s="2501"/>
      <c r="R136" s="2501"/>
      <c r="S136" s="2501"/>
      <c r="T136" s="2501"/>
      <c r="U136" s="2501"/>
      <c r="V136" s="2501"/>
      <c r="W136" s="2501"/>
      <c r="X136" s="2501"/>
      <c r="Y136" s="2501"/>
      <c r="Z136" s="2501"/>
      <c r="AA136" s="2501"/>
    </row>
    <row r="137" spans="1:27" ht="15.75" customHeight="1" x14ac:dyDescent="0.3">
      <c r="A137" s="2501"/>
      <c r="B137" s="2501"/>
      <c r="C137" s="2501"/>
      <c r="D137" s="2501"/>
      <c r="E137" s="2501"/>
      <c r="F137" s="2501"/>
      <c r="G137" s="2501"/>
      <c r="H137" s="2501"/>
      <c r="I137" s="2501"/>
      <c r="J137" s="2501"/>
      <c r="K137" s="2501"/>
      <c r="L137" s="2501"/>
      <c r="M137" s="2501"/>
      <c r="N137" s="2501"/>
      <c r="O137" s="2501"/>
      <c r="P137" s="2501"/>
      <c r="Q137" s="2501"/>
      <c r="R137" s="2501"/>
      <c r="S137" s="2501"/>
      <c r="T137" s="2501"/>
      <c r="U137" s="2501"/>
      <c r="V137" s="2501"/>
      <c r="W137" s="2501"/>
      <c r="X137" s="2501"/>
      <c r="Y137" s="2501"/>
      <c r="Z137" s="2501"/>
      <c r="AA137" s="2501"/>
    </row>
    <row r="138" spans="1:27" ht="15.75" customHeight="1" x14ac:dyDescent="0.3">
      <c r="A138" s="2501"/>
      <c r="B138" s="2501"/>
      <c r="C138" s="2501"/>
      <c r="D138" s="2501"/>
      <c r="E138" s="2501"/>
      <c r="F138" s="2501"/>
      <c r="G138" s="2501"/>
      <c r="H138" s="2501"/>
      <c r="I138" s="2501"/>
      <c r="J138" s="2501"/>
      <c r="K138" s="2501"/>
      <c r="L138" s="2501"/>
      <c r="M138" s="2501"/>
      <c r="N138" s="2501"/>
      <c r="O138" s="2501"/>
      <c r="P138" s="2501"/>
      <c r="Q138" s="2501"/>
      <c r="R138" s="2501"/>
      <c r="S138" s="2501"/>
      <c r="T138" s="2501"/>
      <c r="U138" s="2501"/>
      <c r="V138" s="2501"/>
      <c r="W138" s="2501"/>
      <c r="X138" s="2501"/>
      <c r="Y138" s="2501"/>
      <c r="Z138" s="2501"/>
      <c r="AA138" s="2501"/>
    </row>
    <row r="139" spans="1:27" ht="15.75" customHeight="1" x14ac:dyDescent="0.3">
      <c r="A139" s="2501"/>
      <c r="B139" s="2501"/>
      <c r="C139" s="2501"/>
      <c r="D139" s="2501"/>
      <c r="E139" s="2501"/>
      <c r="F139" s="2501"/>
      <c r="G139" s="2501"/>
      <c r="H139" s="2501"/>
      <c r="I139" s="2501"/>
      <c r="J139" s="2501"/>
      <c r="K139" s="2501"/>
      <c r="L139" s="2501"/>
      <c r="M139" s="2501"/>
      <c r="N139" s="2501"/>
      <c r="O139" s="2501"/>
      <c r="P139" s="2501"/>
      <c r="Q139" s="2501"/>
      <c r="R139" s="2501"/>
      <c r="S139" s="2501"/>
      <c r="T139" s="2501"/>
      <c r="U139" s="2501"/>
      <c r="V139" s="2501"/>
      <c r="W139" s="2501"/>
      <c r="X139" s="2501"/>
      <c r="Y139" s="2501"/>
      <c r="Z139" s="2501"/>
      <c r="AA139" s="2501"/>
    </row>
    <row r="140" spans="1:27" ht="15.75" customHeight="1" x14ac:dyDescent="0.3">
      <c r="A140" s="2501"/>
      <c r="B140" s="2501"/>
      <c r="C140" s="2501"/>
      <c r="D140" s="2501"/>
      <c r="E140" s="2501"/>
      <c r="F140" s="2501"/>
      <c r="G140" s="2501"/>
      <c r="H140" s="2501"/>
      <c r="I140" s="2501"/>
      <c r="J140" s="2501"/>
      <c r="K140" s="2501"/>
      <c r="L140" s="2501"/>
      <c r="M140" s="2501"/>
      <c r="N140" s="2501"/>
      <c r="O140" s="2501"/>
      <c r="P140" s="2501"/>
      <c r="Q140" s="2501"/>
      <c r="R140" s="2501"/>
      <c r="S140" s="2501"/>
      <c r="T140" s="2501"/>
      <c r="U140" s="2501"/>
      <c r="V140" s="2501"/>
      <c r="W140" s="2501"/>
      <c r="X140" s="2501"/>
      <c r="Y140" s="2501"/>
      <c r="Z140" s="2501"/>
      <c r="AA140" s="2501"/>
    </row>
    <row r="141" spans="1:27" ht="15.75" customHeight="1" x14ac:dyDescent="0.3">
      <c r="A141" s="2501"/>
      <c r="B141" s="2501"/>
      <c r="C141" s="2501"/>
      <c r="D141" s="2501"/>
      <c r="E141" s="2501"/>
      <c r="F141" s="2501"/>
      <c r="G141" s="2501"/>
      <c r="H141" s="2501"/>
      <c r="I141" s="2501"/>
      <c r="J141" s="2501"/>
      <c r="K141" s="2501"/>
      <c r="L141" s="2501"/>
      <c r="M141" s="2501"/>
      <c r="N141" s="2501"/>
      <c r="O141" s="2501"/>
      <c r="P141" s="2501"/>
      <c r="Q141" s="2501"/>
      <c r="R141" s="2501"/>
      <c r="S141" s="2501"/>
      <c r="T141" s="2501"/>
      <c r="U141" s="2501"/>
      <c r="V141" s="2501"/>
      <c r="W141" s="2501"/>
      <c r="X141" s="2501"/>
      <c r="Y141" s="2501"/>
      <c r="Z141" s="2501"/>
      <c r="AA141" s="2501"/>
    </row>
    <row r="142" spans="1:27" ht="15.75" customHeight="1" x14ac:dyDescent="0.3">
      <c r="A142" s="2501"/>
      <c r="B142" s="2501"/>
      <c r="C142" s="2501"/>
      <c r="D142" s="2501"/>
      <c r="E142" s="2501"/>
      <c r="F142" s="2501"/>
      <c r="G142" s="2501"/>
      <c r="H142" s="2501"/>
      <c r="I142" s="2501"/>
      <c r="J142" s="2501"/>
      <c r="K142" s="2501"/>
      <c r="L142" s="2501"/>
      <c r="M142" s="2501"/>
      <c r="N142" s="2501"/>
      <c r="O142" s="2501"/>
      <c r="P142" s="2501"/>
      <c r="Q142" s="2501"/>
      <c r="R142" s="2501"/>
      <c r="S142" s="2501"/>
      <c r="T142" s="2501"/>
      <c r="U142" s="2501"/>
      <c r="V142" s="2501"/>
      <c r="W142" s="2501"/>
      <c r="X142" s="2501"/>
      <c r="Y142" s="2501"/>
      <c r="Z142" s="2501"/>
      <c r="AA142" s="2501"/>
    </row>
    <row r="143" spans="1:27" ht="15.75" customHeight="1" x14ac:dyDescent="0.3">
      <c r="A143" s="2501"/>
      <c r="B143" s="2501"/>
      <c r="C143" s="2501"/>
      <c r="D143" s="2501"/>
      <c r="E143" s="2501"/>
      <c r="F143" s="2501"/>
      <c r="G143" s="2501"/>
      <c r="H143" s="2501"/>
      <c r="I143" s="2501"/>
      <c r="J143" s="2501"/>
      <c r="K143" s="2501"/>
      <c r="L143" s="2501"/>
      <c r="M143" s="2501"/>
      <c r="N143" s="2501"/>
      <c r="O143" s="2501"/>
      <c r="P143" s="2501"/>
      <c r="Q143" s="2501"/>
      <c r="R143" s="2501"/>
      <c r="S143" s="2501"/>
      <c r="T143" s="2501"/>
      <c r="U143" s="2501"/>
      <c r="V143" s="2501"/>
      <c r="W143" s="2501"/>
      <c r="X143" s="2501"/>
      <c r="Y143" s="2501"/>
      <c r="Z143" s="2501"/>
      <c r="AA143" s="2501"/>
    </row>
    <row r="144" spans="1:27" ht="15.75" customHeight="1" x14ac:dyDescent="0.3">
      <c r="A144" s="2501"/>
      <c r="B144" s="2501"/>
      <c r="C144" s="2501"/>
      <c r="D144" s="2501"/>
      <c r="E144" s="2501"/>
      <c r="F144" s="2501"/>
      <c r="G144" s="2501"/>
      <c r="H144" s="2501"/>
      <c r="I144" s="2501"/>
      <c r="J144" s="2501"/>
      <c r="K144" s="2501"/>
      <c r="L144" s="2501"/>
      <c r="M144" s="2501"/>
      <c r="N144" s="2501"/>
      <c r="O144" s="2501"/>
      <c r="P144" s="2501"/>
      <c r="Q144" s="2501"/>
      <c r="R144" s="2501"/>
      <c r="S144" s="2501"/>
      <c r="T144" s="2501"/>
      <c r="U144" s="2501"/>
      <c r="V144" s="2501"/>
      <c r="W144" s="2501"/>
      <c r="X144" s="2501"/>
      <c r="Y144" s="2501"/>
      <c r="Z144" s="2501"/>
      <c r="AA144" s="2501"/>
    </row>
    <row r="145" spans="1:27" ht="15.75" customHeight="1" x14ac:dyDescent="0.3">
      <c r="A145" s="2501"/>
      <c r="B145" s="2501"/>
      <c r="C145" s="2501"/>
      <c r="D145" s="2501"/>
      <c r="E145" s="2501"/>
      <c r="F145" s="2501"/>
      <c r="G145" s="2501"/>
      <c r="H145" s="2501"/>
      <c r="I145" s="2501"/>
      <c r="J145" s="2501"/>
      <c r="K145" s="2501"/>
      <c r="L145" s="2501"/>
      <c r="M145" s="2501"/>
      <c r="N145" s="2501"/>
      <c r="O145" s="2501"/>
      <c r="P145" s="2501"/>
      <c r="Q145" s="2501"/>
      <c r="R145" s="2501"/>
      <c r="S145" s="2501"/>
      <c r="T145" s="2501"/>
      <c r="U145" s="2501"/>
      <c r="V145" s="2501"/>
      <c r="W145" s="2501"/>
      <c r="X145" s="2501"/>
      <c r="Y145" s="2501"/>
      <c r="Z145" s="2501"/>
      <c r="AA145" s="2501"/>
    </row>
    <row r="146" spans="1:27" ht="15.75" customHeight="1" x14ac:dyDescent="0.3">
      <c r="A146" s="2501"/>
      <c r="B146" s="2501"/>
      <c r="C146" s="2501"/>
      <c r="D146" s="2501"/>
      <c r="E146" s="2501"/>
      <c r="F146" s="2501"/>
      <c r="G146" s="2501"/>
      <c r="H146" s="2501"/>
      <c r="I146" s="2501"/>
      <c r="J146" s="2501"/>
      <c r="K146" s="2501"/>
      <c r="L146" s="2501"/>
      <c r="M146" s="2501"/>
      <c r="N146" s="2501"/>
      <c r="O146" s="2501"/>
      <c r="P146" s="2501"/>
      <c r="Q146" s="2501"/>
      <c r="R146" s="2501"/>
      <c r="S146" s="2501"/>
      <c r="T146" s="2501"/>
      <c r="U146" s="2501"/>
      <c r="V146" s="2501"/>
      <c r="W146" s="2501"/>
      <c r="X146" s="2501"/>
      <c r="Y146" s="2501"/>
      <c r="Z146" s="2501"/>
      <c r="AA146" s="2501"/>
    </row>
    <row r="147" spans="1:27" ht="15.75" customHeight="1" x14ac:dyDescent="0.3">
      <c r="A147" s="2501"/>
      <c r="B147" s="2501"/>
      <c r="C147" s="2501"/>
      <c r="D147" s="2501"/>
      <c r="E147" s="2501"/>
      <c r="F147" s="2501"/>
      <c r="G147" s="2501"/>
      <c r="H147" s="2501"/>
      <c r="I147" s="2501"/>
      <c r="J147" s="2501"/>
      <c r="K147" s="2501"/>
      <c r="L147" s="2501"/>
      <c r="M147" s="2501"/>
      <c r="N147" s="2501"/>
      <c r="O147" s="2501"/>
      <c r="P147" s="2501"/>
      <c r="Q147" s="2501"/>
      <c r="R147" s="2501"/>
      <c r="S147" s="2501"/>
      <c r="T147" s="2501"/>
      <c r="U147" s="2501"/>
      <c r="V147" s="2501"/>
      <c r="W147" s="2501"/>
      <c r="X147" s="2501"/>
      <c r="Y147" s="2501"/>
      <c r="Z147" s="2501"/>
      <c r="AA147" s="2501"/>
    </row>
    <row r="148" spans="1:27" ht="15.75" customHeight="1" x14ac:dyDescent="0.3">
      <c r="A148" s="2501"/>
      <c r="B148" s="2501"/>
      <c r="C148" s="2501"/>
      <c r="D148" s="2501"/>
      <c r="E148" s="2501"/>
      <c r="F148" s="2501"/>
      <c r="G148" s="2501"/>
      <c r="H148" s="2501"/>
      <c r="I148" s="2501"/>
      <c r="J148" s="2501"/>
      <c r="K148" s="2501"/>
      <c r="L148" s="2501"/>
      <c r="M148" s="2501"/>
      <c r="N148" s="2501"/>
      <c r="O148" s="2501"/>
      <c r="P148" s="2501"/>
      <c r="Q148" s="2501"/>
      <c r="R148" s="2501"/>
      <c r="S148" s="2501"/>
      <c r="T148" s="2501"/>
      <c r="U148" s="2501"/>
      <c r="V148" s="2501"/>
      <c r="W148" s="2501"/>
      <c r="X148" s="2501"/>
      <c r="Y148" s="2501"/>
      <c r="Z148" s="2501"/>
      <c r="AA148" s="2501"/>
    </row>
    <row r="149" spans="1:27" ht="15.75" customHeight="1" x14ac:dyDescent="0.3">
      <c r="A149" s="2501"/>
      <c r="B149" s="2501"/>
      <c r="C149" s="2501"/>
      <c r="D149" s="2501"/>
      <c r="E149" s="2501"/>
      <c r="F149" s="2501"/>
      <c r="G149" s="2501"/>
      <c r="H149" s="2501"/>
      <c r="I149" s="2501"/>
      <c r="J149" s="2501"/>
      <c r="K149" s="2501"/>
      <c r="L149" s="2501"/>
      <c r="M149" s="2501"/>
      <c r="N149" s="2501"/>
      <c r="O149" s="2501"/>
      <c r="P149" s="2501"/>
      <c r="Q149" s="2501"/>
      <c r="R149" s="2501"/>
      <c r="S149" s="2501"/>
      <c r="T149" s="2501"/>
      <c r="U149" s="2501"/>
      <c r="V149" s="2501"/>
      <c r="W149" s="2501"/>
      <c r="X149" s="2501"/>
      <c r="Y149" s="2501"/>
      <c r="Z149" s="2501"/>
      <c r="AA149" s="2501"/>
    </row>
    <row r="150" spans="1:27" ht="15.75" customHeight="1" x14ac:dyDescent="0.3">
      <c r="A150" s="2501"/>
      <c r="B150" s="2501"/>
      <c r="C150" s="2501"/>
      <c r="D150" s="2501"/>
      <c r="E150" s="2501"/>
      <c r="F150" s="2501"/>
      <c r="G150" s="2501"/>
      <c r="H150" s="2501"/>
      <c r="I150" s="2501"/>
      <c r="J150" s="2501"/>
      <c r="K150" s="2501"/>
      <c r="L150" s="2501"/>
      <c r="M150" s="2501"/>
      <c r="N150" s="2501"/>
      <c r="O150" s="2501"/>
      <c r="P150" s="2501"/>
      <c r="Q150" s="2501"/>
      <c r="R150" s="2501"/>
      <c r="S150" s="2501"/>
      <c r="T150" s="2501"/>
      <c r="U150" s="2501"/>
      <c r="V150" s="2501"/>
      <c r="W150" s="2501"/>
      <c r="X150" s="2501"/>
      <c r="Y150" s="2501"/>
      <c r="Z150" s="2501"/>
      <c r="AA150" s="2501"/>
    </row>
    <row r="151" spans="1:27" ht="15.75" customHeight="1" x14ac:dyDescent="0.3">
      <c r="A151" s="2501"/>
      <c r="B151" s="2501"/>
      <c r="C151" s="2501"/>
      <c r="D151" s="2501"/>
      <c r="E151" s="2501"/>
      <c r="F151" s="2501"/>
      <c r="G151" s="2501"/>
      <c r="H151" s="2501"/>
      <c r="I151" s="2501"/>
      <c r="J151" s="2501"/>
      <c r="K151" s="2501"/>
      <c r="L151" s="2501"/>
      <c r="M151" s="2501"/>
      <c r="N151" s="2501"/>
      <c r="O151" s="2501"/>
      <c r="P151" s="2501"/>
      <c r="Q151" s="2501"/>
      <c r="R151" s="2501"/>
      <c r="S151" s="2501"/>
      <c r="T151" s="2501"/>
      <c r="U151" s="2501"/>
      <c r="V151" s="2501"/>
      <c r="W151" s="2501"/>
      <c r="X151" s="2501"/>
      <c r="Y151" s="2501"/>
      <c r="Z151" s="2501"/>
      <c r="AA151" s="2501"/>
    </row>
    <row r="152" spans="1:27" ht="15.75" customHeight="1" x14ac:dyDescent="0.3">
      <c r="A152" s="2501"/>
      <c r="B152" s="2501"/>
      <c r="C152" s="2501"/>
      <c r="D152" s="2501"/>
      <c r="E152" s="2501"/>
      <c r="F152" s="2501"/>
      <c r="G152" s="2501"/>
      <c r="H152" s="2501"/>
      <c r="I152" s="2501"/>
      <c r="J152" s="2501"/>
      <c r="K152" s="2501"/>
      <c r="L152" s="2501"/>
      <c r="M152" s="2501"/>
      <c r="N152" s="2501"/>
      <c r="O152" s="2501"/>
      <c r="P152" s="2501"/>
      <c r="Q152" s="2501"/>
      <c r="R152" s="2501"/>
      <c r="S152" s="2501"/>
      <c r="T152" s="2501"/>
      <c r="U152" s="2501"/>
      <c r="V152" s="2501"/>
      <c r="W152" s="2501"/>
      <c r="X152" s="2501"/>
      <c r="Y152" s="2501"/>
      <c r="Z152" s="2501"/>
      <c r="AA152" s="2501"/>
    </row>
    <row r="153" spans="1:27" ht="15.75" customHeight="1" x14ac:dyDescent="0.3">
      <c r="A153" s="2501"/>
      <c r="B153" s="2501"/>
      <c r="C153" s="2501"/>
      <c r="D153" s="2501"/>
      <c r="E153" s="2501"/>
      <c r="F153" s="2501"/>
      <c r="G153" s="2501"/>
      <c r="H153" s="2501"/>
      <c r="I153" s="2501"/>
      <c r="J153" s="2501"/>
      <c r="K153" s="2501"/>
      <c r="L153" s="2501"/>
      <c r="M153" s="2501"/>
      <c r="N153" s="2501"/>
      <c r="O153" s="2501"/>
      <c r="P153" s="2501"/>
      <c r="Q153" s="2501"/>
      <c r="R153" s="2501"/>
      <c r="S153" s="2501"/>
      <c r="T153" s="2501"/>
      <c r="U153" s="2501"/>
      <c r="V153" s="2501"/>
      <c r="W153" s="2501"/>
      <c r="X153" s="2501"/>
      <c r="Y153" s="2501"/>
      <c r="Z153" s="2501"/>
      <c r="AA153" s="2501"/>
    </row>
    <row r="154" spans="1:27" ht="15.75" customHeight="1" x14ac:dyDescent="0.3">
      <c r="A154" s="2501"/>
      <c r="B154" s="2501"/>
      <c r="C154" s="2501"/>
      <c r="D154" s="2501"/>
      <c r="E154" s="2501"/>
      <c r="F154" s="2501"/>
      <c r="G154" s="2501"/>
      <c r="H154" s="2501"/>
      <c r="I154" s="2501"/>
      <c r="J154" s="2501"/>
      <c r="K154" s="2501"/>
      <c r="L154" s="2501"/>
      <c r="M154" s="2501"/>
      <c r="N154" s="2501"/>
      <c r="O154" s="2501"/>
      <c r="P154" s="2501"/>
      <c r="Q154" s="2501"/>
      <c r="R154" s="2501"/>
      <c r="S154" s="2501"/>
      <c r="T154" s="2501"/>
      <c r="U154" s="2501"/>
      <c r="V154" s="2501"/>
      <c r="W154" s="2501"/>
      <c r="X154" s="2501"/>
      <c r="Y154" s="2501"/>
      <c r="Z154" s="2501"/>
      <c r="AA154" s="2501"/>
    </row>
    <row r="155" spans="1:27" ht="15.75" customHeight="1" x14ac:dyDescent="0.3">
      <c r="A155" s="2501"/>
      <c r="B155" s="2501"/>
      <c r="C155" s="2501"/>
      <c r="D155" s="2501"/>
      <c r="E155" s="2501"/>
      <c r="F155" s="2501"/>
      <c r="G155" s="2501"/>
      <c r="H155" s="2501"/>
      <c r="I155" s="2501"/>
      <c r="J155" s="2501"/>
      <c r="K155" s="2501"/>
      <c r="L155" s="2501"/>
      <c r="M155" s="2501"/>
      <c r="N155" s="2501"/>
      <c r="O155" s="2501"/>
      <c r="P155" s="2501"/>
      <c r="Q155" s="2501"/>
      <c r="R155" s="2501"/>
      <c r="S155" s="2501"/>
      <c r="T155" s="2501"/>
      <c r="U155" s="2501"/>
      <c r="V155" s="2501"/>
      <c r="W155" s="2501"/>
      <c r="X155" s="2501"/>
      <c r="Y155" s="2501"/>
      <c r="Z155" s="2501"/>
      <c r="AA155" s="2501"/>
    </row>
    <row r="156" spans="1:27" ht="15.75" customHeight="1" x14ac:dyDescent="0.3">
      <c r="A156" s="2501"/>
      <c r="B156" s="2501"/>
      <c r="C156" s="2501"/>
      <c r="D156" s="2501"/>
      <c r="E156" s="2501"/>
      <c r="F156" s="2501"/>
      <c r="G156" s="2501"/>
      <c r="H156" s="2501"/>
      <c r="I156" s="2501"/>
      <c r="J156" s="2501"/>
      <c r="K156" s="2501"/>
      <c r="L156" s="2501"/>
      <c r="M156" s="2501"/>
      <c r="N156" s="2501"/>
      <c r="O156" s="2501"/>
      <c r="P156" s="2501"/>
      <c r="Q156" s="2501"/>
      <c r="R156" s="2501"/>
      <c r="S156" s="2501"/>
      <c r="T156" s="2501"/>
      <c r="U156" s="2501"/>
      <c r="V156" s="2501"/>
      <c r="W156" s="2501"/>
      <c r="X156" s="2501"/>
      <c r="Y156" s="2501"/>
      <c r="Z156" s="2501"/>
      <c r="AA156" s="2501"/>
    </row>
    <row r="157" spans="1:27" ht="15.75" customHeight="1" x14ac:dyDescent="0.3">
      <c r="A157" s="2501"/>
      <c r="B157" s="2501"/>
      <c r="C157" s="2501"/>
      <c r="D157" s="2501"/>
      <c r="E157" s="2501"/>
      <c r="F157" s="2501"/>
      <c r="G157" s="2501"/>
      <c r="H157" s="2501"/>
      <c r="I157" s="2501"/>
      <c r="J157" s="2501"/>
      <c r="K157" s="2501"/>
      <c r="L157" s="2501"/>
      <c r="M157" s="2501"/>
      <c r="N157" s="2501"/>
      <c r="O157" s="2501"/>
      <c r="P157" s="2501"/>
      <c r="Q157" s="2501"/>
      <c r="R157" s="2501"/>
      <c r="S157" s="2501"/>
      <c r="T157" s="2501"/>
      <c r="U157" s="2501"/>
      <c r="V157" s="2501"/>
      <c r="W157" s="2501"/>
      <c r="X157" s="2501"/>
      <c r="Y157" s="2501"/>
      <c r="Z157" s="2501"/>
      <c r="AA157" s="2501"/>
    </row>
    <row r="158" spans="1:27" ht="15.75" customHeight="1" x14ac:dyDescent="0.3">
      <c r="A158" s="2501"/>
      <c r="B158" s="2501"/>
      <c r="C158" s="2501"/>
      <c r="D158" s="2501"/>
      <c r="E158" s="2501"/>
      <c r="F158" s="2501"/>
      <c r="G158" s="2501"/>
      <c r="H158" s="2501"/>
      <c r="I158" s="2501"/>
      <c r="J158" s="2501"/>
      <c r="K158" s="2501"/>
      <c r="L158" s="2501"/>
      <c r="M158" s="2501"/>
      <c r="N158" s="2501"/>
      <c r="O158" s="2501"/>
      <c r="P158" s="2501"/>
      <c r="Q158" s="2501"/>
      <c r="R158" s="2501"/>
      <c r="S158" s="2501"/>
      <c r="T158" s="2501"/>
      <c r="U158" s="2501"/>
      <c r="V158" s="2501"/>
      <c r="W158" s="2501"/>
      <c r="X158" s="2501"/>
      <c r="Y158" s="2501"/>
      <c r="Z158" s="2501"/>
      <c r="AA158" s="2501"/>
    </row>
    <row r="159" spans="1:27" ht="15.75" customHeight="1" x14ac:dyDescent="0.3">
      <c r="A159" s="2501"/>
      <c r="B159" s="2501"/>
      <c r="C159" s="2501"/>
      <c r="D159" s="2501"/>
      <c r="E159" s="2501"/>
      <c r="F159" s="2501"/>
      <c r="G159" s="2501"/>
      <c r="H159" s="2501"/>
      <c r="I159" s="2501"/>
      <c r="J159" s="2501"/>
      <c r="K159" s="2501"/>
      <c r="L159" s="2501"/>
      <c r="M159" s="2501"/>
      <c r="N159" s="2501"/>
      <c r="O159" s="2501"/>
      <c r="P159" s="2501"/>
      <c r="Q159" s="2501"/>
      <c r="R159" s="2501"/>
      <c r="S159" s="2501"/>
      <c r="T159" s="2501"/>
      <c r="U159" s="2501"/>
      <c r="V159" s="2501"/>
      <c r="W159" s="2501"/>
      <c r="X159" s="2501"/>
      <c r="Y159" s="2501"/>
      <c r="Z159" s="2501"/>
      <c r="AA159" s="2501"/>
    </row>
    <row r="160" spans="1:27" ht="15.75" customHeight="1" x14ac:dyDescent="0.3">
      <c r="A160" s="2501"/>
      <c r="B160" s="2501"/>
      <c r="C160" s="2501"/>
      <c r="D160" s="2501"/>
      <c r="E160" s="2501"/>
      <c r="F160" s="2501"/>
      <c r="G160" s="2501"/>
      <c r="H160" s="2501"/>
      <c r="I160" s="2501"/>
      <c r="J160" s="2501"/>
      <c r="K160" s="2501"/>
      <c r="L160" s="2501"/>
      <c r="M160" s="2501"/>
      <c r="N160" s="2501"/>
      <c r="O160" s="2501"/>
      <c r="P160" s="2501"/>
      <c r="Q160" s="2501"/>
      <c r="R160" s="2501"/>
      <c r="S160" s="2501"/>
      <c r="T160" s="2501"/>
      <c r="U160" s="2501"/>
      <c r="V160" s="2501"/>
      <c r="W160" s="2501"/>
      <c r="X160" s="2501"/>
      <c r="Y160" s="2501"/>
      <c r="Z160" s="2501"/>
      <c r="AA160" s="2501"/>
    </row>
    <row r="161" spans="1:27" ht="15.75" customHeight="1" x14ac:dyDescent="0.3">
      <c r="A161" s="2501"/>
      <c r="B161" s="2501"/>
      <c r="C161" s="2501"/>
      <c r="D161" s="2501"/>
      <c r="E161" s="2501"/>
      <c r="F161" s="2501"/>
      <c r="G161" s="2501"/>
      <c r="H161" s="2501"/>
      <c r="I161" s="2501"/>
      <c r="J161" s="2501"/>
      <c r="K161" s="2501"/>
      <c r="L161" s="2501"/>
      <c r="M161" s="2501"/>
      <c r="N161" s="2501"/>
      <c r="O161" s="2501"/>
      <c r="P161" s="2501"/>
      <c r="Q161" s="2501"/>
      <c r="R161" s="2501"/>
      <c r="S161" s="2501"/>
      <c r="T161" s="2501"/>
      <c r="U161" s="2501"/>
      <c r="V161" s="2501"/>
      <c r="W161" s="2501"/>
      <c r="X161" s="2501"/>
      <c r="Y161" s="2501"/>
      <c r="Z161" s="2501"/>
      <c r="AA161" s="2501"/>
    </row>
    <row r="162" spans="1:27" ht="15.75" customHeight="1" x14ac:dyDescent="0.3">
      <c r="A162" s="2501"/>
      <c r="B162" s="2501"/>
      <c r="C162" s="2501"/>
      <c r="D162" s="2501"/>
      <c r="E162" s="2501"/>
      <c r="F162" s="2501"/>
      <c r="G162" s="2501"/>
      <c r="H162" s="2501"/>
      <c r="I162" s="2501"/>
      <c r="J162" s="2501"/>
      <c r="K162" s="2501"/>
      <c r="L162" s="2501"/>
      <c r="M162" s="2501"/>
      <c r="N162" s="2501"/>
      <c r="O162" s="2501"/>
      <c r="P162" s="2501"/>
      <c r="Q162" s="2501"/>
      <c r="R162" s="2501"/>
      <c r="S162" s="2501"/>
      <c r="T162" s="2501"/>
      <c r="U162" s="2501"/>
      <c r="V162" s="2501"/>
      <c r="W162" s="2501"/>
      <c r="X162" s="2501"/>
      <c r="Y162" s="2501"/>
      <c r="Z162" s="2501"/>
      <c r="AA162" s="2501"/>
    </row>
    <row r="163" spans="1:27" ht="15.75" customHeight="1" x14ac:dyDescent="0.3">
      <c r="A163" s="2501"/>
      <c r="B163" s="2501"/>
      <c r="C163" s="2501"/>
      <c r="D163" s="2501"/>
      <c r="E163" s="2501"/>
      <c r="F163" s="2501"/>
      <c r="G163" s="2501"/>
      <c r="H163" s="2501"/>
      <c r="I163" s="2501"/>
      <c r="J163" s="2501"/>
      <c r="K163" s="2501"/>
      <c r="L163" s="2501"/>
      <c r="M163" s="2501"/>
      <c r="N163" s="2501"/>
      <c r="O163" s="2501"/>
      <c r="P163" s="2501"/>
      <c r="Q163" s="2501"/>
      <c r="R163" s="2501"/>
      <c r="S163" s="2501"/>
      <c r="T163" s="2501"/>
      <c r="U163" s="2501"/>
      <c r="V163" s="2501"/>
      <c r="W163" s="2501"/>
      <c r="X163" s="2501"/>
      <c r="Y163" s="2501"/>
      <c r="Z163" s="2501"/>
      <c r="AA163" s="2501"/>
    </row>
    <row r="164" spans="1:27" ht="15.75" customHeight="1" x14ac:dyDescent="0.3">
      <c r="A164" s="2501"/>
      <c r="B164" s="2501"/>
      <c r="C164" s="2501"/>
      <c r="D164" s="2501"/>
      <c r="E164" s="2501"/>
      <c r="F164" s="2501"/>
      <c r="G164" s="2501"/>
      <c r="H164" s="2501"/>
      <c r="I164" s="2501"/>
      <c r="J164" s="2501"/>
      <c r="K164" s="2501"/>
      <c r="L164" s="2501"/>
      <c r="M164" s="2501"/>
      <c r="N164" s="2501"/>
      <c r="O164" s="2501"/>
      <c r="P164" s="2501"/>
      <c r="Q164" s="2501"/>
      <c r="R164" s="2501"/>
      <c r="S164" s="2501"/>
      <c r="T164" s="2501"/>
      <c r="U164" s="2501"/>
      <c r="V164" s="2501"/>
      <c r="W164" s="2501"/>
      <c r="X164" s="2501"/>
      <c r="Y164" s="2501"/>
      <c r="Z164" s="2501"/>
      <c r="AA164" s="2501"/>
    </row>
    <row r="165" spans="1:27" ht="15.75" customHeight="1" x14ac:dyDescent="0.3">
      <c r="A165" s="2501"/>
      <c r="B165" s="2501"/>
      <c r="C165" s="2501"/>
      <c r="D165" s="2501"/>
      <c r="E165" s="2501"/>
      <c r="F165" s="2501"/>
      <c r="G165" s="2501"/>
      <c r="H165" s="2501"/>
      <c r="I165" s="2501"/>
      <c r="J165" s="2501"/>
      <c r="K165" s="2501"/>
      <c r="L165" s="2501"/>
      <c r="M165" s="2501"/>
      <c r="N165" s="2501"/>
      <c r="O165" s="2501"/>
      <c r="P165" s="2501"/>
      <c r="Q165" s="2501"/>
      <c r="R165" s="2501"/>
      <c r="S165" s="2501"/>
      <c r="T165" s="2501"/>
      <c r="U165" s="2501"/>
      <c r="V165" s="2501"/>
      <c r="W165" s="2501"/>
      <c r="X165" s="2501"/>
      <c r="Y165" s="2501"/>
      <c r="Z165" s="2501"/>
      <c r="AA165" s="2501"/>
    </row>
    <row r="166" spans="1:27" ht="15.75" customHeight="1" x14ac:dyDescent="0.3">
      <c r="A166" s="2501"/>
      <c r="B166" s="2501"/>
      <c r="C166" s="2501"/>
      <c r="D166" s="2501"/>
      <c r="E166" s="2501"/>
      <c r="F166" s="2501"/>
      <c r="G166" s="2501"/>
      <c r="H166" s="2501"/>
      <c r="I166" s="2501"/>
      <c r="J166" s="2501"/>
      <c r="K166" s="2501"/>
      <c r="L166" s="2501"/>
      <c r="M166" s="2501"/>
      <c r="N166" s="2501"/>
      <c r="O166" s="2501"/>
      <c r="P166" s="2501"/>
      <c r="Q166" s="2501"/>
      <c r="R166" s="2501"/>
      <c r="S166" s="2501"/>
      <c r="T166" s="2501"/>
      <c r="U166" s="2501"/>
      <c r="V166" s="2501"/>
      <c r="W166" s="2501"/>
      <c r="X166" s="2501"/>
      <c r="Y166" s="2501"/>
      <c r="Z166" s="2501"/>
      <c r="AA166" s="2501"/>
    </row>
    <row r="167" spans="1:27" ht="15.75" customHeight="1" x14ac:dyDescent="0.3">
      <c r="A167" s="2501"/>
      <c r="B167" s="2501"/>
      <c r="C167" s="2501"/>
      <c r="D167" s="2501"/>
      <c r="E167" s="2501"/>
      <c r="F167" s="2501"/>
      <c r="G167" s="2501"/>
      <c r="H167" s="2501"/>
      <c r="I167" s="2501"/>
      <c r="J167" s="2501"/>
      <c r="K167" s="2501"/>
      <c r="L167" s="2501"/>
      <c r="M167" s="2501"/>
      <c r="N167" s="2501"/>
      <c r="O167" s="2501"/>
      <c r="P167" s="2501"/>
      <c r="Q167" s="2501"/>
      <c r="R167" s="2501"/>
      <c r="S167" s="2501"/>
      <c r="T167" s="2501"/>
      <c r="U167" s="2501"/>
      <c r="V167" s="2501"/>
      <c r="W167" s="2501"/>
      <c r="X167" s="2501"/>
      <c r="Y167" s="2501"/>
      <c r="Z167" s="2501"/>
      <c r="AA167" s="2501"/>
    </row>
    <row r="168" spans="1:27" ht="15.75" customHeight="1" x14ac:dyDescent="0.3">
      <c r="A168" s="2501"/>
      <c r="B168" s="2501"/>
      <c r="C168" s="2501"/>
      <c r="D168" s="2501"/>
      <c r="E168" s="2501"/>
      <c r="F168" s="2501"/>
      <c r="G168" s="2501"/>
      <c r="H168" s="2501"/>
      <c r="I168" s="2501"/>
      <c r="J168" s="2501"/>
      <c r="K168" s="2501"/>
      <c r="L168" s="2501"/>
      <c r="M168" s="2501"/>
      <c r="N168" s="2501"/>
      <c r="O168" s="2501"/>
      <c r="P168" s="2501"/>
      <c r="Q168" s="2501"/>
      <c r="R168" s="2501"/>
      <c r="S168" s="2501"/>
      <c r="T168" s="2501"/>
      <c r="U168" s="2501"/>
      <c r="V168" s="2501"/>
      <c r="W168" s="2501"/>
      <c r="X168" s="2501"/>
      <c r="Y168" s="2501"/>
      <c r="Z168" s="2501"/>
      <c r="AA168" s="2501"/>
    </row>
    <row r="169" spans="1:27" ht="15.75" customHeight="1" x14ac:dyDescent="0.3">
      <c r="A169" s="2501"/>
      <c r="B169" s="2501"/>
      <c r="C169" s="2501"/>
      <c r="D169" s="2501"/>
      <c r="E169" s="2501"/>
      <c r="F169" s="2501"/>
      <c r="G169" s="2501"/>
      <c r="H169" s="2501"/>
      <c r="I169" s="2501"/>
      <c r="J169" s="2501"/>
      <c r="K169" s="2501"/>
      <c r="L169" s="2501"/>
      <c r="M169" s="2501"/>
      <c r="N169" s="2501"/>
      <c r="O169" s="2501"/>
      <c r="P169" s="2501"/>
      <c r="Q169" s="2501"/>
      <c r="R169" s="2501"/>
      <c r="S169" s="2501"/>
      <c r="T169" s="2501"/>
      <c r="U169" s="2501"/>
      <c r="V169" s="2501"/>
      <c r="W169" s="2501"/>
      <c r="X169" s="2501"/>
      <c r="Y169" s="2501"/>
      <c r="Z169" s="2501"/>
      <c r="AA169" s="2501"/>
    </row>
    <row r="170" spans="1:27" ht="15.75" customHeight="1" x14ac:dyDescent="0.3">
      <c r="A170" s="2501"/>
      <c r="B170" s="2501"/>
      <c r="C170" s="2501"/>
      <c r="D170" s="2501"/>
      <c r="E170" s="2501"/>
      <c r="F170" s="2501"/>
      <c r="G170" s="2501"/>
      <c r="H170" s="2501"/>
      <c r="I170" s="2501"/>
      <c r="J170" s="2501"/>
      <c r="K170" s="2501"/>
      <c r="L170" s="2501"/>
      <c r="M170" s="2501"/>
      <c r="N170" s="2501"/>
      <c r="O170" s="2501"/>
      <c r="P170" s="2501"/>
      <c r="Q170" s="2501"/>
      <c r="R170" s="2501"/>
      <c r="S170" s="2501"/>
      <c r="T170" s="2501"/>
      <c r="U170" s="2501"/>
      <c r="V170" s="2501"/>
      <c r="W170" s="2501"/>
      <c r="X170" s="2501"/>
      <c r="Y170" s="2501"/>
      <c r="Z170" s="2501"/>
      <c r="AA170" s="2501"/>
    </row>
    <row r="171" spans="1:27" ht="15.75" customHeight="1" x14ac:dyDescent="0.3">
      <c r="A171" s="2501"/>
      <c r="B171" s="2501"/>
      <c r="C171" s="2501"/>
      <c r="D171" s="2501"/>
      <c r="E171" s="2501"/>
      <c r="F171" s="2501"/>
      <c r="G171" s="2501"/>
      <c r="H171" s="2501"/>
      <c r="I171" s="2501"/>
      <c r="J171" s="2501"/>
      <c r="K171" s="2501"/>
      <c r="L171" s="2501"/>
      <c r="M171" s="2501"/>
      <c r="N171" s="2501"/>
      <c r="O171" s="2501"/>
      <c r="P171" s="2501"/>
      <c r="Q171" s="2501"/>
      <c r="R171" s="2501"/>
      <c r="S171" s="2501"/>
      <c r="T171" s="2501"/>
      <c r="U171" s="2501"/>
      <c r="V171" s="2501"/>
      <c r="W171" s="2501"/>
      <c r="X171" s="2501"/>
      <c r="Y171" s="2501"/>
      <c r="Z171" s="2501"/>
      <c r="AA171" s="2501"/>
    </row>
    <row r="172" spans="1:27" ht="15.75" customHeight="1" x14ac:dyDescent="0.3">
      <c r="A172" s="2501"/>
      <c r="B172" s="2501"/>
      <c r="C172" s="2501"/>
      <c r="D172" s="2501"/>
      <c r="E172" s="2501"/>
      <c r="F172" s="2501"/>
      <c r="G172" s="2501"/>
      <c r="H172" s="2501"/>
      <c r="I172" s="2501"/>
      <c r="J172" s="2501"/>
      <c r="K172" s="2501"/>
      <c r="L172" s="2501"/>
      <c r="M172" s="2501"/>
      <c r="N172" s="2501"/>
      <c r="O172" s="2501"/>
      <c r="P172" s="2501"/>
      <c r="Q172" s="2501"/>
      <c r="R172" s="2501"/>
      <c r="S172" s="2501"/>
      <c r="T172" s="2501"/>
      <c r="U172" s="2501"/>
      <c r="V172" s="2501"/>
      <c r="W172" s="2501"/>
      <c r="X172" s="2501"/>
      <c r="Y172" s="2501"/>
      <c r="Z172" s="2501"/>
      <c r="AA172" s="2501"/>
    </row>
    <row r="173" spans="1:27" ht="15.75" customHeight="1" x14ac:dyDescent="0.3">
      <c r="A173" s="2501"/>
      <c r="B173" s="2501"/>
      <c r="C173" s="2501"/>
      <c r="D173" s="2501"/>
      <c r="E173" s="2501"/>
      <c r="F173" s="2501"/>
      <c r="G173" s="2501"/>
      <c r="H173" s="2501"/>
      <c r="I173" s="2501"/>
      <c r="J173" s="2501"/>
      <c r="K173" s="2501"/>
      <c r="L173" s="2501"/>
      <c r="M173" s="2501"/>
      <c r="N173" s="2501"/>
      <c r="O173" s="2501"/>
      <c r="P173" s="2501"/>
      <c r="Q173" s="2501"/>
      <c r="R173" s="2501"/>
      <c r="S173" s="2501"/>
      <c r="T173" s="2501"/>
      <c r="U173" s="2501"/>
      <c r="V173" s="2501"/>
      <c r="W173" s="2501"/>
      <c r="X173" s="2501"/>
      <c r="Y173" s="2501"/>
      <c r="Z173" s="2501"/>
      <c r="AA173" s="2501"/>
    </row>
    <row r="174" spans="1:27" ht="15.75" customHeight="1" x14ac:dyDescent="0.3">
      <c r="A174" s="2501"/>
      <c r="B174" s="2501"/>
      <c r="C174" s="2501"/>
      <c r="D174" s="2501"/>
      <c r="E174" s="2501"/>
      <c r="F174" s="2501"/>
      <c r="G174" s="2501"/>
      <c r="H174" s="2501"/>
      <c r="I174" s="2501"/>
      <c r="J174" s="2501"/>
      <c r="K174" s="2501"/>
      <c r="L174" s="2501"/>
      <c r="M174" s="2501"/>
      <c r="N174" s="2501"/>
      <c r="O174" s="2501"/>
      <c r="P174" s="2501"/>
      <c r="Q174" s="2501"/>
      <c r="R174" s="2501"/>
      <c r="S174" s="2501"/>
      <c r="T174" s="2501"/>
      <c r="U174" s="2501"/>
      <c r="V174" s="2501"/>
      <c r="W174" s="2501"/>
      <c r="X174" s="2501"/>
      <c r="Y174" s="2501"/>
      <c r="Z174" s="2501"/>
      <c r="AA174" s="2501"/>
    </row>
    <row r="175" spans="1:27" ht="15.75" customHeight="1" x14ac:dyDescent="0.3">
      <c r="A175" s="2501"/>
      <c r="B175" s="2501"/>
      <c r="C175" s="2501"/>
      <c r="D175" s="2501"/>
      <c r="E175" s="2501"/>
      <c r="F175" s="2501"/>
      <c r="G175" s="2501"/>
      <c r="H175" s="2501"/>
      <c r="I175" s="2501"/>
      <c r="J175" s="2501"/>
      <c r="K175" s="2501"/>
      <c r="L175" s="2501"/>
      <c r="M175" s="2501"/>
      <c r="N175" s="2501"/>
      <c r="O175" s="2501"/>
      <c r="P175" s="2501"/>
      <c r="Q175" s="2501"/>
      <c r="R175" s="2501"/>
      <c r="S175" s="2501"/>
      <c r="T175" s="2501"/>
      <c r="U175" s="2501"/>
      <c r="V175" s="2501"/>
      <c r="W175" s="2501"/>
      <c r="X175" s="2501"/>
      <c r="Y175" s="2501"/>
      <c r="Z175" s="2501"/>
      <c r="AA175" s="2501"/>
    </row>
    <row r="176" spans="1:27" ht="15.75" customHeight="1" x14ac:dyDescent="0.3">
      <c r="A176" s="2501"/>
      <c r="B176" s="2501"/>
      <c r="C176" s="2501"/>
      <c r="D176" s="2501"/>
      <c r="E176" s="2501"/>
      <c r="F176" s="2501"/>
      <c r="G176" s="2501"/>
      <c r="H176" s="2501"/>
      <c r="I176" s="2501"/>
      <c r="J176" s="2501"/>
      <c r="K176" s="2501"/>
      <c r="L176" s="2501"/>
      <c r="M176" s="2501"/>
      <c r="N176" s="2501"/>
      <c r="O176" s="2501"/>
      <c r="P176" s="2501"/>
      <c r="Q176" s="2501"/>
      <c r="R176" s="2501"/>
      <c r="S176" s="2501"/>
      <c r="T176" s="2501"/>
      <c r="U176" s="2501"/>
      <c r="V176" s="2501"/>
      <c r="W176" s="2501"/>
      <c r="X176" s="2501"/>
      <c r="Y176" s="2501"/>
      <c r="Z176" s="2501"/>
      <c r="AA176" s="2501"/>
    </row>
    <row r="177" spans="1:27" ht="15.75" customHeight="1" x14ac:dyDescent="0.3">
      <c r="A177" s="2501"/>
      <c r="B177" s="2501"/>
      <c r="C177" s="2501"/>
      <c r="D177" s="2501"/>
      <c r="E177" s="2501"/>
      <c r="F177" s="2501"/>
      <c r="G177" s="2501"/>
      <c r="H177" s="2501"/>
      <c r="I177" s="2501"/>
      <c r="J177" s="2501"/>
      <c r="K177" s="2501"/>
      <c r="L177" s="2501"/>
      <c r="M177" s="2501"/>
      <c r="N177" s="2501"/>
      <c r="O177" s="2501"/>
      <c r="P177" s="2501"/>
      <c r="Q177" s="2501"/>
      <c r="R177" s="2501"/>
      <c r="S177" s="2501"/>
      <c r="T177" s="2501"/>
      <c r="U177" s="2501"/>
      <c r="V177" s="2501"/>
      <c r="W177" s="2501"/>
      <c r="X177" s="2501"/>
      <c r="Y177" s="2501"/>
      <c r="Z177" s="2501"/>
      <c r="AA177" s="2501"/>
    </row>
    <row r="178" spans="1:27" ht="15.75" customHeight="1" x14ac:dyDescent="0.3">
      <c r="A178" s="2501"/>
      <c r="B178" s="2501"/>
      <c r="C178" s="2501"/>
      <c r="D178" s="2501"/>
      <c r="E178" s="2501"/>
      <c r="F178" s="2501"/>
      <c r="G178" s="2501"/>
      <c r="H178" s="2501"/>
      <c r="I178" s="2501"/>
      <c r="J178" s="2501"/>
      <c r="K178" s="2501"/>
      <c r="L178" s="2501"/>
      <c r="M178" s="2501"/>
      <c r="N178" s="2501"/>
      <c r="O178" s="2501"/>
      <c r="P178" s="2501"/>
      <c r="Q178" s="2501"/>
      <c r="R178" s="2501"/>
      <c r="S178" s="2501"/>
      <c r="T178" s="2501"/>
      <c r="U178" s="2501"/>
      <c r="V178" s="2501"/>
      <c r="W178" s="2501"/>
      <c r="X178" s="2501"/>
      <c r="Y178" s="2501"/>
      <c r="Z178" s="2501"/>
      <c r="AA178" s="2501"/>
    </row>
    <row r="179" spans="1:27" ht="15.75" customHeight="1" x14ac:dyDescent="0.3">
      <c r="A179" s="2501"/>
      <c r="B179" s="2501"/>
      <c r="C179" s="2501"/>
      <c r="D179" s="2501"/>
      <c r="E179" s="2501"/>
      <c r="F179" s="2501"/>
      <c r="G179" s="2501"/>
      <c r="H179" s="2501"/>
      <c r="I179" s="2501"/>
      <c r="J179" s="2501"/>
      <c r="K179" s="2501"/>
      <c r="L179" s="2501"/>
      <c r="M179" s="2501"/>
      <c r="N179" s="2501"/>
      <c r="O179" s="2501"/>
      <c r="P179" s="2501"/>
      <c r="Q179" s="2501"/>
      <c r="R179" s="2501"/>
      <c r="S179" s="2501"/>
      <c r="T179" s="2501"/>
      <c r="U179" s="2501"/>
      <c r="V179" s="2501"/>
      <c r="W179" s="2501"/>
      <c r="X179" s="2501"/>
      <c r="Y179" s="2501"/>
      <c r="Z179" s="2501"/>
      <c r="AA179" s="2501"/>
    </row>
    <row r="180" spans="1:27" ht="15.75" customHeight="1" x14ac:dyDescent="0.3">
      <c r="A180" s="2501"/>
      <c r="B180" s="2501"/>
      <c r="C180" s="2501"/>
      <c r="D180" s="2501"/>
      <c r="E180" s="2501"/>
      <c r="F180" s="2501"/>
      <c r="G180" s="2501"/>
      <c r="H180" s="2501"/>
      <c r="I180" s="2501"/>
      <c r="J180" s="2501"/>
      <c r="K180" s="2501"/>
      <c r="L180" s="2501"/>
      <c r="M180" s="2501"/>
      <c r="N180" s="2501"/>
      <c r="O180" s="2501"/>
      <c r="P180" s="2501"/>
      <c r="Q180" s="2501"/>
      <c r="R180" s="2501"/>
      <c r="S180" s="2501"/>
      <c r="T180" s="2501"/>
      <c r="U180" s="2501"/>
      <c r="V180" s="2501"/>
      <c r="W180" s="2501"/>
      <c r="X180" s="2501"/>
      <c r="Y180" s="2501"/>
      <c r="Z180" s="2501"/>
      <c r="AA180" s="2501"/>
    </row>
    <row r="181" spans="1:27" ht="15.75" customHeight="1" x14ac:dyDescent="0.3">
      <c r="A181" s="2501"/>
      <c r="B181" s="2501"/>
      <c r="C181" s="2501"/>
      <c r="D181" s="2501"/>
      <c r="E181" s="2501"/>
      <c r="F181" s="2501"/>
      <c r="G181" s="2501"/>
      <c r="H181" s="2501"/>
      <c r="I181" s="2501"/>
      <c r="J181" s="2501"/>
      <c r="K181" s="2501"/>
      <c r="L181" s="2501"/>
      <c r="M181" s="2501"/>
      <c r="N181" s="2501"/>
      <c r="O181" s="2501"/>
      <c r="P181" s="2501"/>
      <c r="Q181" s="2501"/>
      <c r="R181" s="2501"/>
      <c r="S181" s="2501"/>
      <c r="T181" s="2501"/>
      <c r="U181" s="2501"/>
      <c r="V181" s="2501"/>
      <c r="W181" s="2501"/>
      <c r="X181" s="2501"/>
      <c r="Y181" s="2501"/>
      <c r="Z181" s="2501"/>
      <c r="AA181" s="2501"/>
    </row>
    <row r="182" spans="1:27" ht="15.75" customHeight="1" x14ac:dyDescent="0.3">
      <c r="A182" s="2501"/>
      <c r="B182" s="2501"/>
      <c r="C182" s="2501"/>
      <c r="D182" s="2501"/>
      <c r="E182" s="2501"/>
      <c r="F182" s="2501"/>
      <c r="G182" s="2501"/>
      <c r="H182" s="2501"/>
      <c r="I182" s="2501"/>
      <c r="J182" s="2501"/>
      <c r="K182" s="2501"/>
      <c r="L182" s="2501"/>
      <c r="M182" s="2501"/>
      <c r="N182" s="2501"/>
      <c r="O182" s="2501"/>
      <c r="P182" s="2501"/>
      <c r="Q182" s="2501"/>
      <c r="R182" s="2501"/>
      <c r="S182" s="2501"/>
      <c r="T182" s="2501"/>
      <c r="U182" s="2501"/>
      <c r="V182" s="2501"/>
      <c r="W182" s="2501"/>
      <c r="X182" s="2501"/>
      <c r="Y182" s="2501"/>
      <c r="Z182" s="2501"/>
      <c r="AA182" s="2501"/>
    </row>
    <row r="183" spans="1:27" ht="15.75" customHeight="1" x14ac:dyDescent="0.3">
      <c r="A183" s="2501"/>
      <c r="B183" s="2501"/>
      <c r="C183" s="2501"/>
      <c r="D183" s="2501"/>
      <c r="E183" s="2501"/>
      <c r="F183" s="2501"/>
      <c r="G183" s="2501"/>
      <c r="H183" s="2501"/>
      <c r="I183" s="2501"/>
      <c r="J183" s="2501"/>
      <c r="K183" s="2501"/>
      <c r="L183" s="2501"/>
      <c r="M183" s="2501"/>
      <c r="N183" s="2501"/>
      <c r="O183" s="2501"/>
      <c r="P183" s="2501"/>
      <c r="Q183" s="2501"/>
      <c r="R183" s="2501"/>
      <c r="S183" s="2501"/>
      <c r="T183" s="2501"/>
      <c r="U183" s="2501"/>
      <c r="V183" s="2501"/>
      <c r="W183" s="2501"/>
      <c r="X183" s="2501"/>
      <c r="Y183" s="2501"/>
      <c r="Z183" s="2501"/>
      <c r="AA183" s="2501"/>
    </row>
    <row r="184" spans="1:27" ht="15.75" customHeight="1" x14ac:dyDescent="0.3">
      <c r="A184" s="2501"/>
      <c r="B184" s="2501"/>
      <c r="C184" s="2501"/>
      <c r="D184" s="2501"/>
      <c r="E184" s="2501"/>
      <c r="F184" s="2501"/>
      <c r="G184" s="2501"/>
      <c r="H184" s="2501"/>
      <c r="I184" s="2501"/>
      <c r="J184" s="2501"/>
      <c r="K184" s="2501"/>
      <c r="L184" s="2501"/>
      <c r="M184" s="2501"/>
      <c r="N184" s="2501"/>
      <c r="O184" s="2501"/>
      <c r="P184" s="2501"/>
      <c r="Q184" s="2501"/>
      <c r="R184" s="2501"/>
      <c r="S184" s="2501"/>
      <c r="T184" s="2501"/>
      <c r="U184" s="2501"/>
      <c r="V184" s="2501"/>
      <c r="W184" s="2501"/>
      <c r="X184" s="2501"/>
      <c r="Y184" s="2501"/>
      <c r="Z184" s="2501"/>
      <c r="AA184" s="2501"/>
    </row>
    <row r="185" spans="1:27" ht="15.75" customHeight="1" x14ac:dyDescent="0.3">
      <c r="A185" s="2501"/>
      <c r="B185" s="2501"/>
      <c r="C185" s="2501"/>
      <c r="D185" s="2501"/>
      <c r="E185" s="2501"/>
      <c r="F185" s="2501"/>
      <c r="G185" s="2501"/>
      <c r="H185" s="2501"/>
      <c r="I185" s="2501"/>
      <c r="J185" s="2501"/>
      <c r="K185" s="2501"/>
      <c r="L185" s="2501"/>
      <c r="M185" s="2501"/>
      <c r="N185" s="2501"/>
      <c r="O185" s="2501"/>
      <c r="P185" s="2501"/>
      <c r="Q185" s="2501"/>
      <c r="R185" s="2501"/>
      <c r="S185" s="2501"/>
      <c r="T185" s="2501"/>
      <c r="U185" s="2501"/>
      <c r="V185" s="2501"/>
      <c r="W185" s="2501"/>
      <c r="X185" s="2501"/>
      <c r="Y185" s="2501"/>
      <c r="Z185" s="2501"/>
      <c r="AA185" s="2501"/>
    </row>
    <row r="186" spans="1:27" ht="15.75" customHeight="1" x14ac:dyDescent="0.3">
      <c r="A186" s="2501"/>
      <c r="B186" s="2501"/>
      <c r="C186" s="2501"/>
      <c r="D186" s="2501"/>
      <c r="E186" s="2501"/>
      <c r="F186" s="2501"/>
      <c r="G186" s="2501"/>
      <c r="H186" s="2501"/>
      <c r="I186" s="2501"/>
      <c r="J186" s="2501"/>
      <c r="K186" s="2501"/>
      <c r="L186" s="2501"/>
      <c r="M186" s="2501"/>
      <c r="N186" s="2501"/>
      <c r="O186" s="2501"/>
      <c r="P186" s="2501"/>
      <c r="Q186" s="2501"/>
      <c r="R186" s="2501"/>
      <c r="S186" s="2501"/>
      <c r="T186" s="2501"/>
      <c r="U186" s="2501"/>
      <c r="V186" s="2501"/>
      <c r="W186" s="2501"/>
      <c r="X186" s="2501"/>
      <c r="Y186" s="2501"/>
      <c r="Z186" s="2501"/>
      <c r="AA186" s="2501"/>
    </row>
    <row r="187" spans="1:27" ht="15.75" customHeight="1" x14ac:dyDescent="0.3">
      <c r="A187" s="2501"/>
      <c r="B187" s="2501"/>
      <c r="C187" s="2501"/>
      <c r="D187" s="2501"/>
      <c r="E187" s="2501"/>
      <c r="F187" s="2501"/>
      <c r="G187" s="2501"/>
      <c r="H187" s="2501"/>
      <c r="I187" s="2501"/>
      <c r="J187" s="2501"/>
      <c r="K187" s="2501"/>
      <c r="L187" s="2501"/>
      <c r="M187" s="2501"/>
      <c r="N187" s="2501"/>
      <c r="O187" s="2501"/>
      <c r="P187" s="2501"/>
      <c r="Q187" s="2501"/>
      <c r="R187" s="2501"/>
      <c r="S187" s="2501"/>
      <c r="T187" s="2501"/>
      <c r="U187" s="2501"/>
      <c r="V187" s="2501"/>
      <c r="W187" s="2501"/>
      <c r="X187" s="2501"/>
      <c r="Y187" s="2501"/>
      <c r="Z187" s="2501"/>
      <c r="AA187" s="2501"/>
    </row>
    <row r="188" spans="1:27" ht="15.75" customHeight="1" x14ac:dyDescent="0.3">
      <c r="A188" s="2501"/>
      <c r="B188" s="2501"/>
      <c r="C188" s="2501"/>
      <c r="D188" s="2501"/>
      <c r="E188" s="2501"/>
      <c r="F188" s="2501"/>
      <c r="G188" s="2501"/>
      <c r="H188" s="2501"/>
      <c r="I188" s="2501"/>
      <c r="J188" s="2501"/>
      <c r="K188" s="2501"/>
      <c r="L188" s="2501"/>
      <c r="M188" s="2501"/>
      <c r="N188" s="2501"/>
      <c r="O188" s="2501"/>
      <c r="P188" s="2501"/>
      <c r="Q188" s="2501"/>
      <c r="R188" s="2501"/>
      <c r="S188" s="2501"/>
      <c r="T188" s="2501"/>
      <c r="U188" s="2501"/>
      <c r="V188" s="2501"/>
      <c r="W188" s="2501"/>
      <c r="X188" s="2501"/>
      <c r="Y188" s="2501"/>
      <c r="Z188" s="2501"/>
      <c r="AA188" s="2501"/>
    </row>
    <row r="189" spans="1:27" ht="15.75" customHeight="1" x14ac:dyDescent="0.3">
      <c r="A189" s="2501"/>
      <c r="B189" s="2501"/>
      <c r="C189" s="2501"/>
      <c r="D189" s="2501"/>
      <c r="E189" s="2501"/>
      <c r="F189" s="2501"/>
      <c r="G189" s="2501"/>
      <c r="H189" s="2501"/>
      <c r="I189" s="2501"/>
      <c r="J189" s="2501"/>
      <c r="K189" s="2501"/>
      <c r="L189" s="2501"/>
      <c r="M189" s="2501"/>
      <c r="N189" s="2501"/>
      <c r="O189" s="2501"/>
      <c r="P189" s="2501"/>
      <c r="Q189" s="2501"/>
      <c r="R189" s="2501"/>
      <c r="S189" s="2501"/>
      <c r="T189" s="2501"/>
      <c r="U189" s="2501"/>
      <c r="V189" s="2501"/>
      <c r="W189" s="2501"/>
      <c r="X189" s="2501"/>
      <c r="Y189" s="2501"/>
      <c r="Z189" s="2501"/>
      <c r="AA189" s="2501"/>
    </row>
    <row r="190" spans="1:27" ht="15.75" customHeight="1" x14ac:dyDescent="0.3">
      <c r="A190" s="2501"/>
      <c r="B190" s="2501"/>
      <c r="C190" s="2501"/>
      <c r="D190" s="2501"/>
      <c r="E190" s="2501"/>
      <c r="F190" s="2501"/>
      <c r="G190" s="2501"/>
      <c r="H190" s="2501"/>
      <c r="I190" s="2501"/>
      <c r="J190" s="2501"/>
      <c r="K190" s="2501"/>
      <c r="L190" s="2501"/>
      <c r="M190" s="2501"/>
      <c r="N190" s="2501"/>
      <c r="O190" s="2501"/>
      <c r="P190" s="2501"/>
      <c r="Q190" s="2501"/>
      <c r="R190" s="2501"/>
      <c r="S190" s="2501"/>
      <c r="T190" s="2501"/>
      <c r="U190" s="2501"/>
      <c r="V190" s="2501"/>
      <c r="W190" s="2501"/>
      <c r="X190" s="2501"/>
      <c r="Y190" s="2501"/>
      <c r="Z190" s="2501"/>
      <c r="AA190" s="2501"/>
    </row>
    <row r="191" spans="1:27" ht="15.75" customHeight="1" x14ac:dyDescent="0.3">
      <c r="A191" s="2501"/>
      <c r="B191" s="2501"/>
      <c r="C191" s="2501"/>
      <c r="D191" s="2501"/>
      <c r="E191" s="2501"/>
      <c r="F191" s="2501"/>
      <c r="G191" s="2501"/>
      <c r="H191" s="2501"/>
      <c r="I191" s="2501"/>
      <c r="J191" s="2501"/>
      <c r="K191" s="2501"/>
      <c r="L191" s="2501"/>
      <c r="M191" s="2501"/>
      <c r="N191" s="2501"/>
      <c r="O191" s="2501"/>
      <c r="P191" s="2501"/>
      <c r="Q191" s="2501"/>
      <c r="R191" s="2501"/>
      <c r="S191" s="2501"/>
      <c r="T191" s="2501"/>
      <c r="U191" s="2501"/>
      <c r="V191" s="2501"/>
      <c r="W191" s="2501"/>
      <c r="X191" s="2501"/>
      <c r="Y191" s="2501"/>
      <c r="Z191" s="2501"/>
      <c r="AA191" s="2501"/>
    </row>
    <row r="192" spans="1:27" ht="15.75" customHeight="1" x14ac:dyDescent="0.3">
      <c r="A192" s="2501"/>
      <c r="B192" s="2501"/>
      <c r="C192" s="2501"/>
      <c r="D192" s="2501"/>
      <c r="E192" s="2501"/>
      <c r="F192" s="2501"/>
      <c r="G192" s="2501"/>
      <c r="H192" s="2501"/>
      <c r="I192" s="2501"/>
      <c r="J192" s="2501"/>
      <c r="K192" s="2501"/>
      <c r="L192" s="2501"/>
      <c r="M192" s="2501"/>
      <c r="N192" s="2501"/>
      <c r="O192" s="2501"/>
      <c r="P192" s="2501"/>
      <c r="Q192" s="2501"/>
      <c r="R192" s="2501"/>
      <c r="S192" s="2501"/>
      <c r="T192" s="2501"/>
      <c r="U192" s="2501"/>
      <c r="V192" s="2501"/>
      <c r="W192" s="2501"/>
      <c r="X192" s="2501"/>
      <c r="Y192" s="2501"/>
      <c r="Z192" s="2501"/>
      <c r="AA192" s="2501"/>
    </row>
    <row r="193" spans="1:27" ht="15.75" customHeight="1" x14ac:dyDescent="0.3">
      <c r="A193" s="2501"/>
      <c r="B193" s="2501"/>
      <c r="C193" s="2501"/>
      <c r="D193" s="2501"/>
      <c r="E193" s="2501"/>
      <c r="F193" s="2501"/>
      <c r="G193" s="2501"/>
      <c r="H193" s="2501"/>
      <c r="I193" s="2501"/>
      <c r="J193" s="2501"/>
      <c r="K193" s="2501"/>
      <c r="L193" s="2501"/>
      <c r="M193" s="2501"/>
      <c r="N193" s="2501"/>
      <c r="O193" s="2501"/>
      <c r="P193" s="2501"/>
      <c r="Q193" s="2501"/>
      <c r="R193" s="2501"/>
      <c r="S193" s="2501"/>
      <c r="T193" s="2501"/>
      <c r="U193" s="2501"/>
      <c r="V193" s="2501"/>
      <c r="W193" s="2501"/>
      <c r="X193" s="2501"/>
      <c r="Y193" s="2501"/>
      <c r="Z193" s="2501"/>
      <c r="AA193" s="2501"/>
    </row>
    <row r="194" spans="1:27" ht="15.75" customHeight="1" x14ac:dyDescent="0.3">
      <c r="A194" s="2501"/>
      <c r="B194" s="2501"/>
      <c r="C194" s="2501"/>
      <c r="D194" s="2501"/>
      <c r="E194" s="2501"/>
      <c r="F194" s="2501"/>
      <c r="G194" s="2501"/>
      <c r="H194" s="2501"/>
      <c r="I194" s="2501"/>
      <c r="J194" s="2501"/>
      <c r="K194" s="2501"/>
      <c r="L194" s="2501"/>
      <c r="M194" s="2501"/>
      <c r="N194" s="2501"/>
      <c r="O194" s="2501"/>
      <c r="P194" s="2501"/>
      <c r="Q194" s="2501"/>
      <c r="R194" s="2501"/>
      <c r="S194" s="2501"/>
      <c r="T194" s="2501"/>
      <c r="U194" s="2501"/>
      <c r="V194" s="2501"/>
      <c r="W194" s="2501"/>
      <c r="X194" s="2501"/>
      <c r="Y194" s="2501"/>
      <c r="Z194" s="2501"/>
      <c r="AA194" s="2501"/>
    </row>
    <row r="195" spans="1:27" ht="15.75" customHeight="1" x14ac:dyDescent="0.3">
      <c r="A195" s="2501"/>
      <c r="B195" s="2501"/>
      <c r="C195" s="2501"/>
      <c r="D195" s="2501"/>
      <c r="E195" s="2501"/>
      <c r="F195" s="2501"/>
      <c r="G195" s="2501"/>
      <c r="H195" s="2501"/>
      <c r="I195" s="2501"/>
      <c r="J195" s="2501"/>
      <c r="K195" s="2501"/>
      <c r="L195" s="2501"/>
      <c r="M195" s="2501"/>
      <c r="N195" s="2501"/>
      <c r="O195" s="2501"/>
      <c r="P195" s="2501"/>
      <c r="Q195" s="2501"/>
      <c r="R195" s="2501"/>
      <c r="S195" s="2501"/>
      <c r="T195" s="2501"/>
      <c r="U195" s="2501"/>
      <c r="V195" s="2501"/>
      <c r="W195" s="2501"/>
      <c r="X195" s="2501"/>
      <c r="Y195" s="2501"/>
      <c r="Z195" s="2501"/>
      <c r="AA195" s="2501"/>
    </row>
    <row r="196" spans="1:27" ht="15.75" customHeight="1" x14ac:dyDescent="0.3">
      <c r="A196" s="2501"/>
      <c r="B196" s="2501"/>
      <c r="C196" s="2501"/>
      <c r="D196" s="2501"/>
      <c r="E196" s="2501"/>
      <c r="F196" s="2501"/>
      <c r="G196" s="2501"/>
      <c r="H196" s="2501"/>
      <c r="I196" s="2501"/>
      <c r="J196" s="2501"/>
      <c r="K196" s="2501"/>
      <c r="L196" s="2501"/>
      <c r="M196" s="2501"/>
      <c r="N196" s="2501"/>
      <c r="O196" s="2501"/>
      <c r="P196" s="2501"/>
      <c r="Q196" s="2501"/>
      <c r="R196" s="2501"/>
      <c r="S196" s="2501"/>
      <c r="T196" s="2501"/>
      <c r="U196" s="2501"/>
      <c r="V196" s="2501"/>
      <c r="W196" s="2501"/>
      <c r="X196" s="2501"/>
      <c r="Y196" s="2501"/>
      <c r="Z196" s="2501"/>
      <c r="AA196" s="2501"/>
    </row>
    <row r="197" spans="1:27" ht="15.75" customHeight="1" x14ac:dyDescent="0.3">
      <c r="A197" s="2501"/>
      <c r="B197" s="2501"/>
      <c r="C197" s="2501"/>
      <c r="D197" s="2501"/>
      <c r="E197" s="2501"/>
      <c r="F197" s="2501"/>
      <c r="G197" s="2501"/>
      <c r="H197" s="2501"/>
      <c r="I197" s="2501"/>
      <c r="J197" s="2501"/>
      <c r="K197" s="2501"/>
      <c r="L197" s="2501"/>
      <c r="M197" s="2501"/>
      <c r="N197" s="2501"/>
      <c r="O197" s="2501"/>
      <c r="P197" s="2501"/>
      <c r="Q197" s="2501"/>
      <c r="R197" s="2501"/>
      <c r="S197" s="2501"/>
      <c r="T197" s="2501"/>
      <c r="U197" s="2501"/>
      <c r="V197" s="2501"/>
      <c r="W197" s="2501"/>
      <c r="X197" s="2501"/>
      <c r="Y197" s="2501"/>
      <c r="Z197" s="2501"/>
      <c r="AA197" s="2501"/>
    </row>
    <row r="198" spans="1:27" ht="15.75" customHeight="1" x14ac:dyDescent="0.3">
      <c r="A198" s="2501"/>
      <c r="B198" s="2501"/>
      <c r="C198" s="2501"/>
      <c r="D198" s="2501"/>
      <c r="E198" s="2501"/>
      <c r="F198" s="2501"/>
      <c r="G198" s="2501"/>
      <c r="H198" s="2501"/>
      <c r="I198" s="2501"/>
      <c r="J198" s="2501"/>
      <c r="K198" s="2501"/>
      <c r="L198" s="2501"/>
      <c r="M198" s="2501"/>
      <c r="N198" s="2501"/>
      <c r="O198" s="2501"/>
      <c r="P198" s="2501"/>
      <c r="Q198" s="2501"/>
      <c r="R198" s="2501"/>
      <c r="S198" s="2501"/>
      <c r="T198" s="2501"/>
      <c r="U198" s="2501"/>
      <c r="V198" s="2501"/>
      <c r="W198" s="2501"/>
      <c r="X198" s="2501"/>
      <c r="Y198" s="2501"/>
      <c r="Z198" s="2501"/>
      <c r="AA198" s="2501"/>
    </row>
    <row r="199" spans="1:27" ht="15.75" customHeight="1" x14ac:dyDescent="0.3">
      <c r="A199" s="2501"/>
      <c r="B199" s="2501"/>
      <c r="C199" s="2501"/>
      <c r="D199" s="2501"/>
      <c r="E199" s="2501"/>
      <c r="F199" s="2501"/>
      <c r="G199" s="2501"/>
      <c r="H199" s="2501"/>
      <c r="I199" s="2501"/>
      <c r="J199" s="2501"/>
      <c r="K199" s="2501"/>
      <c r="L199" s="2501"/>
      <c r="M199" s="2501"/>
      <c r="N199" s="2501"/>
      <c r="O199" s="2501"/>
      <c r="P199" s="2501"/>
      <c r="Q199" s="2501"/>
      <c r="R199" s="2501"/>
      <c r="S199" s="2501"/>
      <c r="T199" s="2501"/>
      <c r="U199" s="2501"/>
      <c r="V199" s="2501"/>
      <c r="W199" s="2501"/>
      <c r="X199" s="2501"/>
      <c r="Y199" s="2501"/>
      <c r="Z199" s="2501"/>
      <c r="AA199" s="2501"/>
    </row>
    <row r="200" spans="1:27" ht="15.75" customHeight="1" x14ac:dyDescent="0.3">
      <c r="A200" s="2501"/>
      <c r="B200" s="2501"/>
      <c r="C200" s="2501"/>
      <c r="D200" s="2501"/>
      <c r="E200" s="2501"/>
      <c r="F200" s="2501"/>
      <c r="G200" s="2501"/>
      <c r="H200" s="2501"/>
      <c r="I200" s="2501"/>
      <c r="J200" s="2501"/>
      <c r="K200" s="2501"/>
      <c r="L200" s="2501"/>
      <c r="M200" s="2501"/>
      <c r="N200" s="2501"/>
      <c r="O200" s="2501"/>
      <c r="P200" s="2501"/>
      <c r="Q200" s="2501"/>
      <c r="R200" s="2501"/>
      <c r="S200" s="2501"/>
      <c r="T200" s="2501"/>
      <c r="U200" s="2501"/>
      <c r="V200" s="2501"/>
      <c r="W200" s="2501"/>
      <c r="X200" s="2501"/>
      <c r="Y200" s="2501"/>
      <c r="Z200" s="2501"/>
      <c r="AA200" s="2501"/>
    </row>
    <row r="201" spans="1:27" ht="15.75" customHeight="1" x14ac:dyDescent="0.3">
      <c r="A201" s="2501"/>
      <c r="B201" s="2501"/>
      <c r="C201" s="2501"/>
      <c r="D201" s="2501"/>
      <c r="E201" s="2501"/>
      <c r="F201" s="2501"/>
      <c r="G201" s="2501"/>
      <c r="H201" s="2501"/>
      <c r="I201" s="2501"/>
      <c r="J201" s="2501"/>
      <c r="K201" s="2501"/>
      <c r="L201" s="2501"/>
      <c r="M201" s="2501"/>
      <c r="N201" s="2501"/>
      <c r="O201" s="2501"/>
      <c r="P201" s="2501"/>
      <c r="Q201" s="2501"/>
      <c r="R201" s="2501"/>
      <c r="S201" s="2501"/>
      <c r="T201" s="2501"/>
      <c r="U201" s="2501"/>
      <c r="V201" s="2501"/>
      <c r="W201" s="2501"/>
      <c r="X201" s="2501"/>
      <c r="Y201" s="2501"/>
      <c r="Z201" s="2501"/>
      <c r="AA201" s="2501"/>
    </row>
    <row r="202" spans="1:27" ht="15.75" customHeight="1" x14ac:dyDescent="0.3">
      <c r="A202" s="2501"/>
      <c r="B202" s="2501"/>
      <c r="C202" s="2501"/>
      <c r="D202" s="2501"/>
      <c r="E202" s="2501"/>
      <c r="F202" s="2501"/>
      <c r="G202" s="2501"/>
      <c r="H202" s="2501"/>
      <c r="I202" s="2501"/>
      <c r="J202" s="2501"/>
      <c r="K202" s="2501"/>
      <c r="L202" s="2501"/>
      <c r="M202" s="2501"/>
      <c r="N202" s="2501"/>
      <c r="O202" s="2501"/>
      <c r="P202" s="2501"/>
      <c r="Q202" s="2501"/>
      <c r="R202" s="2501"/>
      <c r="S202" s="2501"/>
      <c r="T202" s="2501"/>
      <c r="U202" s="2501"/>
      <c r="V202" s="2501"/>
      <c r="W202" s="2501"/>
      <c r="X202" s="2501"/>
      <c r="Y202" s="2501"/>
      <c r="Z202" s="2501"/>
      <c r="AA202" s="2501"/>
    </row>
    <row r="203" spans="1:27" ht="15.75" customHeight="1" x14ac:dyDescent="0.3">
      <c r="A203" s="2501"/>
      <c r="B203" s="2501"/>
      <c r="C203" s="2501"/>
      <c r="D203" s="2501"/>
      <c r="E203" s="2501"/>
      <c r="F203" s="2501"/>
      <c r="G203" s="2501"/>
      <c r="H203" s="2501"/>
      <c r="I203" s="2501"/>
      <c r="J203" s="2501"/>
      <c r="K203" s="2501"/>
      <c r="L203" s="2501"/>
      <c r="M203" s="2501"/>
      <c r="N203" s="2501"/>
      <c r="O203" s="2501"/>
      <c r="P203" s="2501"/>
      <c r="Q203" s="2501"/>
      <c r="R203" s="2501"/>
      <c r="S203" s="2501"/>
      <c r="T203" s="2501"/>
      <c r="U203" s="2501"/>
      <c r="V203" s="2501"/>
      <c r="W203" s="2501"/>
      <c r="X203" s="2501"/>
      <c r="Y203" s="2501"/>
      <c r="Z203" s="2501"/>
      <c r="AA203" s="2501"/>
    </row>
    <row r="204" spans="1:27" ht="15.75" customHeight="1" x14ac:dyDescent="0.3">
      <c r="A204" s="2501"/>
      <c r="B204" s="2501"/>
      <c r="C204" s="2501"/>
      <c r="D204" s="2501"/>
      <c r="E204" s="2501"/>
      <c r="F204" s="2501"/>
      <c r="G204" s="2501"/>
      <c r="H204" s="2501"/>
      <c r="I204" s="2501"/>
      <c r="J204" s="2501"/>
      <c r="K204" s="2501"/>
      <c r="L204" s="2501"/>
      <c r="M204" s="2501"/>
      <c r="N204" s="2501"/>
      <c r="O204" s="2501"/>
      <c r="P204" s="2501"/>
      <c r="Q204" s="2501"/>
      <c r="R204" s="2501"/>
      <c r="S204" s="2501"/>
      <c r="T204" s="2501"/>
      <c r="U204" s="2501"/>
      <c r="V204" s="2501"/>
      <c r="W204" s="2501"/>
      <c r="X204" s="2501"/>
      <c r="Y204" s="2501"/>
      <c r="Z204" s="2501"/>
      <c r="AA204" s="2501"/>
    </row>
    <row r="205" spans="1:27" ht="15.75" customHeight="1" x14ac:dyDescent="0.3">
      <c r="A205" s="2501"/>
      <c r="B205" s="2501"/>
      <c r="C205" s="2501"/>
      <c r="D205" s="2501"/>
      <c r="E205" s="2501"/>
      <c r="F205" s="2501"/>
      <c r="G205" s="2501"/>
      <c r="H205" s="2501"/>
      <c r="I205" s="2501"/>
      <c r="J205" s="2501"/>
      <c r="K205" s="2501"/>
      <c r="L205" s="2501"/>
      <c r="M205" s="2501"/>
      <c r="N205" s="2501"/>
      <c r="O205" s="2501"/>
      <c r="P205" s="2501"/>
      <c r="Q205" s="2501"/>
      <c r="R205" s="2501"/>
      <c r="S205" s="2501"/>
      <c r="T205" s="2501"/>
      <c r="U205" s="2501"/>
      <c r="V205" s="2501"/>
      <c r="W205" s="2501"/>
      <c r="X205" s="2501"/>
      <c r="Y205" s="2501"/>
      <c r="Z205" s="2501"/>
      <c r="AA205" s="2501"/>
    </row>
    <row r="206" spans="1:27" ht="15.75" customHeight="1" x14ac:dyDescent="0.3">
      <c r="A206" s="2501"/>
      <c r="B206" s="2501"/>
      <c r="C206" s="2501"/>
      <c r="D206" s="2501"/>
      <c r="E206" s="2501"/>
      <c r="F206" s="2501"/>
      <c r="G206" s="2501"/>
      <c r="H206" s="2501"/>
      <c r="I206" s="2501"/>
      <c r="J206" s="2501"/>
      <c r="K206" s="2501"/>
      <c r="L206" s="2501"/>
      <c r="M206" s="2501"/>
      <c r="N206" s="2501"/>
      <c r="O206" s="2501"/>
      <c r="P206" s="2501"/>
      <c r="Q206" s="2501"/>
      <c r="R206" s="2501"/>
      <c r="S206" s="2501"/>
      <c r="T206" s="2501"/>
      <c r="U206" s="2501"/>
      <c r="V206" s="2501"/>
      <c r="W206" s="2501"/>
      <c r="X206" s="2501"/>
      <c r="Y206" s="2501"/>
      <c r="Z206" s="2501"/>
      <c r="AA206" s="2501"/>
    </row>
    <row r="207" spans="1:27" ht="15.75" customHeight="1" x14ac:dyDescent="0.3">
      <c r="A207" s="2501"/>
      <c r="B207" s="2501"/>
      <c r="C207" s="2501"/>
      <c r="D207" s="2501"/>
      <c r="E207" s="2501"/>
      <c r="F207" s="2501"/>
      <c r="G207" s="2501"/>
      <c r="H207" s="2501"/>
      <c r="I207" s="2501"/>
      <c r="J207" s="2501"/>
      <c r="K207" s="2501"/>
      <c r="L207" s="2501"/>
      <c r="M207" s="2501"/>
      <c r="N207" s="2501"/>
      <c r="O207" s="2501"/>
      <c r="P207" s="2501"/>
      <c r="Q207" s="2501"/>
      <c r="R207" s="2501"/>
      <c r="S207" s="2501"/>
      <c r="T207" s="2501"/>
      <c r="U207" s="2501"/>
      <c r="V207" s="2501"/>
      <c r="W207" s="2501"/>
      <c r="X207" s="2501"/>
      <c r="Y207" s="2501"/>
      <c r="Z207" s="2501"/>
      <c r="AA207" s="2501"/>
    </row>
    <row r="208" spans="1:27" ht="15.75" customHeight="1" x14ac:dyDescent="0.3">
      <c r="A208" s="2501"/>
      <c r="B208" s="2501"/>
      <c r="C208" s="2501"/>
      <c r="D208" s="2501"/>
      <c r="E208" s="2501"/>
      <c r="F208" s="2501"/>
      <c r="G208" s="2501"/>
      <c r="H208" s="2501"/>
      <c r="I208" s="2501"/>
      <c r="J208" s="2501"/>
      <c r="K208" s="2501"/>
      <c r="L208" s="2501"/>
      <c r="M208" s="2501"/>
      <c r="N208" s="2501"/>
      <c r="O208" s="2501"/>
      <c r="P208" s="2501"/>
      <c r="Q208" s="2501"/>
      <c r="R208" s="2501"/>
      <c r="S208" s="2501"/>
      <c r="T208" s="2501"/>
      <c r="U208" s="2501"/>
      <c r="V208" s="2501"/>
      <c r="W208" s="2501"/>
      <c r="X208" s="2501"/>
      <c r="Y208" s="2501"/>
      <c r="Z208" s="2501"/>
      <c r="AA208" s="2501"/>
    </row>
    <row r="209" spans="1:27" ht="15.75" customHeight="1" x14ac:dyDescent="0.3">
      <c r="A209" s="2501"/>
      <c r="B209" s="2501"/>
      <c r="C209" s="2501"/>
      <c r="D209" s="2501"/>
      <c r="E209" s="2501"/>
      <c r="F209" s="2501"/>
      <c r="G209" s="2501"/>
      <c r="H209" s="2501"/>
      <c r="I209" s="2501"/>
      <c r="J209" s="2501"/>
      <c r="K209" s="2501"/>
      <c r="L209" s="2501"/>
      <c r="M209" s="2501"/>
      <c r="N209" s="2501"/>
      <c r="O209" s="2501"/>
      <c r="P209" s="2501"/>
      <c r="Q209" s="2501"/>
      <c r="R209" s="2501"/>
      <c r="S209" s="2501"/>
      <c r="T209" s="2501"/>
      <c r="U209" s="2501"/>
      <c r="V209" s="2501"/>
      <c r="W209" s="2501"/>
      <c r="X209" s="2501"/>
      <c r="Y209" s="2501"/>
      <c r="Z209" s="2501"/>
      <c r="AA209" s="2501"/>
    </row>
    <row r="210" spans="1:27" ht="15.75" customHeight="1" x14ac:dyDescent="0.3">
      <c r="A210" s="2501"/>
      <c r="B210" s="2501"/>
      <c r="C210" s="2501"/>
      <c r="D210" s="2501"/>
      <c r="E210" s="2501"/>
      <c r="F210" s="2501"/>
      <c r="G210" s="2501"/>
      <c r="H210" s="2501"/>
      <c r="I210" s="2501"/>
      <c r="J210" s="2501"/>
      <c r="K210" s="2501"/>
      <c r="L210" s="2501"/>
      <c r="M210" s="2501"/>
      <c r="N210" s="2501"/>
      <c r="O210" s="2501"/>
      <c r="P210" s="2501"/>
      <c r="Q210" s="2501"/>
      <c r="R210" s="2501"/>
      <c r="S210" s="2501"/>
      <c r="T210" s="2501"/>
      <c r="U210" s="2501"/>
      <c r="V210" s="2501"/>
      <c r="W210" s="2501"/>
      <c r="X210" s="2501"/>
      <c r="Y210" s="2501"/>
      <c r="Z210" s="2501"/>
      <c r="AA210" s="2501"/>
    </row>
    <row r="211" spans="1:27" ht="15.75" customHeight="1" x14ac:dyDescent="0.3">
      <c r="A211" s="2501"/>
      <c r="B211" s="2501"/>
      <c r="C211" s="2501"/>
      <c r="D211" s="2501"/>
      <c r="E211" s="2501"/>
      <c r="F211" s="2501"/>
      <c r="G211" s="2501"/>
      <c r="H211" s="2501"/>
      <c r="I211" s="2501"/>
      <c r="J211" s="2501"/>
      <c r="K211" s="2501"/>
      <c r="L211" s="2501"/>
      <c r="M211" s="2501"/>
      <c r="N211" s="2501"/>
      <c r="O211" s="2501"/>
      <c r="P211" s="2501"/>
      <c r="Q211" s="2501"/>
      <c r="R211" s="2501"/>
      <c r="S211" s="2501"/>
      <c r="T211" s="2501"/>
      <c r="U211" s="2501"/>
      <c r="V211" s="2501"/>
      <c r="W211" s="2501"/>
      <c r="X211" s="2501"/>
      <c r="Y211" s="2501"/>
      <c r="Z211" s="2501"/>
      <c r="AA211" s="2501"/>
    </row>
    <row r="212" spans="1:27" ht="15.75" customHeight="1" x14ac:dyDescent="0.3">
      <c r="A212" s="2501"/>
      <c r="B212" s="2501"/>
      <c r="C212" s="2501"/>
      <c r="D212" s="2501"/>
      <c r="E212" s="2501"/>
      <c r="F212" s="2501"/>
      <c r="G212" s="2501"/>
      <c r="H212" s="2501"/>
      <c r="I212" s="2501"/>
      <c r="J212" s="2501"/>
      <c r="K212" s="2501"/>
      <c r="L212" s="2501"/>
      <c r="M212" s="2501"/>
      <c r="N212" s="2501"/>
      <c r="O212" s="2501"/>
      <c r="P212" s="2501"/>
      <c r="Q212" s="2501"/>
      <c r="R212" s="2501"/>
      <c r="S212" s="2501"/>
      <c r="T212" s="2501"/>
      <c r="U212" s="2501"/>
      <c r="V212" s="2501"/>
      <c r="W212" s="2501"/>
      <c r="X212" s="2501"/>
      <c r="Y212" s="2501"/>
      <c r="Z212" s="2501"/>
      <c r="AA212" s="2501"/>
    </row>
    <row r="213" spans="1:27" ht="15.75" customHeight="1" x14ac:dyDescent="0.3">
      <c r="A213" s="2501"/>
      <c r="B213" s="2501"/>
      <c r="C213" s="2501"/>
      <c r="D213" s="2501"/>
      <c r="E213" s="2501"/>
      <c r="F213" s="2501"/>
      <c r="G213" s="2501"/>
      <c r="H213" s="2501"/>
      <c r="I213" s="2501"/>
      <c r="J213" s="2501"/>
      <c r="K213" s="2501"/>
      <c r="L213" s="2501"/>
      <c r="M213" s="2501"/>
      <c r="N213" s="2501"/>
      <c r="O213" s="2501"/>
      <c r="P213" s="2501"/>
      <c r="Q213" s="2501"/>
      <c r="R213" s="2501"/>
      <c r="S213" s="2501"/>
      <c r="T213" s="2501"/>
      <c r="U213" s="2501"/>
      <c r="V213" s="2501"/>
      <c r="W213" s="2501"/>
      <c r="X213" s="2501"/>
      <c r="Y213" s="2501"/>
      <c r="Z213" s="2501"/>
      <c r="AA213" s="2501"/>
    </row>
    <row r="214" spans="1:27" ht="15.75" customHeight="1" x14ac:dyDescent="0.3">
      <c r="A214" s="2501"/>
      <c r="B214" s="2501"/>
      <c r="C214" s="2501"/>
      <c r="D214" s="2501"/>
      <c r="E214" s="2501"/>
      <c r="F214" s="2501"/>
      <c r="G214" s="2501"/>
      <c r="H214" s="2501"/>
      <c r="I214" s="2501"/>
      <c r="J214" s="2501"/>
      <c r="K214" s="2501"/>
      <c r="L214" s="2501"/>
      <c r="M214" s="2501"/>
      <c r="N214" s="2501"/>
      <c r="O214" s="2501"/>
      <c r="P214" s="2501"/>
      <c r="Q214" s="2501"/>
      <c r="R214" s="2501"/>
      <c r="S214" s="2501"/>
      <c r="T214" s="2501"/>
      <c r="U214" s="2501"/>
      <c r="V214" s="2501"/>
      <c r="W214" s="2501"/>
      <c r="X214" s="2501"/>
      <c r="Y214" s="2501"/>
      <c r="Z214" s="2501"/>
      <c r="AA214" s="2501"/>
    </row>
    <row r="215" spans="1:27" ht="15.75" customHeight="1" x14ac:dyDescent="0.3">
      <c r="A215" s="2501"/>
      <c r="B215" s="2501"/>
      <c r="C215" s="2501"/>
      <c r="D215" s="2501"/>
      <c r="E215" s="2501"/>
      <c r="F215" s="2501"/>
      <c r="G215" s="2501"/>
      <c r="H215" s="2501"/>
      <c r="I215" s="2501"/>
      <c r="J215" s="2501"/>
      <c r="K215" s="2501"/>
      <c r="L215" s="2501"/>
      <c r="M215" s="2501"/>
      <c r="N215" s="2501"/>
      <c r="O215" s="2501"/>
      <c r="P215" s="2501"/>
      <c r="Q215" s="2501"/>
      <c r="R215" s="2501"/>
      <c r="S215" s="2501"/>
      <c r="T215" s="2501"/>
      <c r="U215" s="2501"/>
      <c r="V215" s="2501"/>
      <c r="W215" s="2501"/>
      <c r="X215" s="2501"/>
      <c r="Y215" s="2501"/>
      <c r="Z215" s="2501"/>
      <c r="AA215" s="2501"/>
    </row>
    <row r="216" spans="1:27" ht="15.75" customHeight="1" x14ac:dyDescent="0.3">
      <c r="A216" s="2501"/>
      <c r="B216" s="2501"/>
      <c r="C216" s="2501"/>
      <c r="D216" s="2501"/>
      <c r="E216" s="2501"/>
      <c r="F216" s="2501"/>
      <c r="G216" s="2501"/>
      <c r="H216" s="2501"/>
      <c r="I216" s="2501"/>
      <c r="J216" s="2501"/>
      <c r="K216" s="2501"/>
      <c r="L216" s="2501"/>
      <c r="M216" s="2501"/>
      <c r="N216" s="2501"/>
      <c r="O216" s="2501"/>
      <c r="P216" s="2501"/>
      <c r="Q216" s="2501"/>
      <c r="R216" s="2501"/>
      <c r="S216" s="2501"/>
      <c r="T216" s="2501"/>
      <c r="U216" s="2501"/>
      <c r="V216" s="2501"/>
      <c r="W216" s="2501"/>
      <c r="X216" s="2501"/>
      <c r="Y216" s="2501"/>
      <c r="Z216" s="2501"/>
      <c r="AA216" s="2501"/>
    </row>
    <row r="217" spans="1:27" ht="15.75" customHeight="1" x14ac:dyDescent="0.3">
      <c r="A217" s="2501"/>
      <c r="B217" s="2501"/>
      <c r="C217" s="2501"/>
      <c r="D217" s="2501"/>
      <c r="E217" s="2501"/>
      <c r="F217" s="2501"/>
      <c r="G217" s="2501"/>
      <c r="H217" s="2501"/>
      <c r="I217" s="2501"/>
      <c r="J217" s="2501"/>
      <c r="K217" s="2501"/>
      <c r="L217" s="2501"/>
      <c r="M217" s="2501"/>
      <c r="N217" s="2501"/>
      <c r="O217" s="2501"/>
      <c r="P217" s="2501"/>
      <c r="Q217" s="2501"/>
      <c r="R217" s="2501"/>
      <c r="S217" s="2501"/>
      <c r="T217" s="2501"/>
      <c r="U217" s="2501"/>
      <c r="V217" s="2501"/>
      <c r="W217" s="2501"/>
      <c r="X217" s="2501"/>
      <c r="Y217" s="2501"/>
      <c r="Z217" s="2501"/>
      <c r="AA217" s="2501"/>
    </row>
    <row r="218" spans="1:27" ht="15.75" customHeight="1" x14ac:dyDescent="0.3">
      <c r="A218" s="2501"/>
      <c r="B218" s="2501"/>
      <c r="C218" s="2501"/>
      <c r="D218" s="2501"/>
      <c r="E218" s="2501"/>
      <c r="F218" s="2501"/>
      <c r="G218" s="2501"/>
      <c r="H218" s="2501"/>
      <c r="I218" s="2501"/>
      <c r="J218" s="2501"/>
      <c r="K218" s="2501"/>
      <c r="L218" s="2501"/>
      <c r="M218" s="2501"/>
      <c r="N218" s="2501"/>
      <c r="O218" s="2501"/>
      <c r="P218" s="2501"/>
      <c r="Q218" s="2501"/>
      <c r="R218" s="2501"/>
      <c r="S218" s="2501"/>
      <c r="T218" s="2501"/>
      <c r="U218" s="2501"/>
      <c r="V218" s="2501"/>
      <c r="W218" s="2501"/>
      <c r="X218" s="2501"/>
      <c r="Y218" s="2501"/>
      <c r="Z218" s="2501"/>
      <c r="AA218" s="2501"/>
    </row>
    <row r="219" spans="1:27" ht="15.75" customHeight="1" x14ac:dyDescent="0.3">
      <c r="A219" s="2501"/>
      <c r="B219" s="2501"/>
      <c r="C219" s="2501"/>
      <c r="D219" s="2501"/>
      <c r="E219" s="2501"/>
      <c r="F219" s="2501"/>
      <c r="G219" s="2501"/>
      <c r="H219" s="2501"/>
      <c r="I219" s="2501"/>
      <c r="J219" s="2501"/>
      <c r="K219" s="2501"/>
      <c r="L219" s="2501"/>
      <c r="M219" s="2501"/>
      <c r="N219" s="2501"/>
      <c r="O219" s="2501"/>
      <c r="P219" s="2501"/>
      <c r="Q219" s="2501"/>
      <c r="R219" s="2501"/>
      <c r="S219" s="2501"/>
      <c r="T219" s="2501"/>
      <c r="U219" s="2501"/>
      <c r="V219" s="2501"/>
      <c r="W219" s="2501"/>
      <c r="X219" s="2501"/>
      <c r="Y219" s="2501"/>
      <c r="Z219" s="2501"/>
      <c r="AA219" s="2501"/>
    </row>
    <row r="220" spans="1:27" ht="15.75" customHeight="1" x14ac:dyDescent="0.3">
      <c r="A220" s="2501"/>
      <c r="B220" s="2501"/>
      <c r="C220" s="2501"/>
      <c r="D220" s="2501"/>
      <c r="E220" s="2501"/>
      <c r="F220" s="2501"/>
      <c r="G220" s="2501"/>
      <c r="H220" s="2501"/>
      <c r="I220" s="2501"/>
      <c r="J220" s="2501"/>
      <c r="K220" s="2501"/>
      <c r="L220" s="2501"/>
      <c r="M220" s="2501"/>
      <c r="N220" s="2501"/>
      <c r="O220" s="2501"/>
      <c r="P220" s="2501"/>
      <c r="Q220" s="2501"/>
      <c r="R220" s="2501"/>
      <c r="S220" s="2501"/>
      <c r="T220" s="2501"/>
      <c r="U220" s="2501"/>
      <c r="V220" s="2501"/>
      <c r="W220" s="2501"/>
      <c r="X220" s="2501"/>
      <c r="Y220" s="2501"/>
      <c r="Z220" s="2501"/>
      <c r="AA220" s="2501"/>
    </row>
    <row r="221" spans="1:27" ht="15.75" customHeight="1" x14ac:dyDescent="0.3">
      <c r="A221" s="2501"/>
      <c r="B221" s="2501"/>
      <c r="C221" s="2501"/>
      <c r="D221" s="2501"/>
      <c r="E221" s="2501"/>
      <c r="F221" s="2501"/>
      <c r="G221" s="2501"/>
      <c r="H221" s="2501"/>
      <c r="I221" s="2501"/>
      <c r="J221" s="2501"/>
      <c r="K221" s="2501"/>
      <c r="L221" s="2501"/>
      <c r="M221" s="2501"/>
      <c r="N221" s="2501"/>
      <c r="O221" s="2501"/>
      <c r="P221" s="2501"/>
      <c r="Q221" s="2501"/>
      <c r="R221" s="2501"/>
      <c r="S221" s="2501"/>
      <c r="T221" s="2501"/>
      <c r="U221" s="2501"/>
      <c r="V221" s="2501"/>
      <c r="W221" s="2501"/>
      <c r="X221" s="2501"/>
      <c r="Y221" s="2501"/>
      <c r="Z221" s="2501"/>
      <c r="AA221" s="2501"/>
    </row>
    <row r="222" spans="1:27" ht="15.75" customHeight="1" x14ac:dyDescent="0.3">
      <c r="A222" s="2501"/>
      <c r="B222" s="2501"/>
      <c r="C222" s="2501"/>
      <c r="D222" s="2501"/>
      <c r="E222" s="2501"/>
      <c r="F222" s="2501"/>
      <c r="G222" s="2501"/>
      <c r="H222" s="2501"/>
      <c r="I222" s="2501"/>
      <c r="J222" s="2501"/>
      <c r="K222" s="2501"/>
      <c r="L222" s="2501"/>
      <c r="M222" s="2501"/>
      <c r="N222" s="2501"/>
      <c r="O222" s="2501"/>
      <c r="P222" s="2501"/>
      <c r="Q222" s="2501"/>
      <c r="R222" s="2501"/>
      <c r="S222" s="2501"/>
      <c r="T222" s="2501"/>
      <c r="U222" s="2501"/>
      <c r="V222" s="2501"/>
      <c r="W222" s="2501"/>
      <c r="X222" s="2501"/>
      <c r="Y222" s="2501"/>
      <c r="Z222" s="2501"/>
      <c r="AA222" s="2501"/>
    </row>
    <row r="223" spans="1:27" ht="15.75" customHeight="1" x14ac:dyDescent="0.3">
      <c r="A223" s="2501"/>
      <c r="B223" s="2501"/>
      <c r="C223" s="2501"/>
      <c r="D223" s="2501"/>
      <c r="E223" s="2501"/>
      <c r="F223" s="2501"/>
      <c r="G223" s="2501"/>
      <c r="H223" s="2501"/>
      <c r="I223" s="2501"/>
      <c r="J223" s="2501"/>
      <c r="K223" s="2501"/>
      <c r="L223" s="2501"/>
      <c r="M223" s="2501"/>
      <c r="N223" s="2501"/>
      <c r="O223" s="2501"/>
      <c r="P223" s="2501"/>
      <c r="Q223" s="2501"/>
      <c r="R223" s="2501"/>
      <c r="S223" s="2501"/>
      <c r="T223" s="2501"/>
      <c r="U223" s="2501"/>
      <c r="V223" s="2501"/>
      <c r="W223" s="2501"/>
      <c r="X223" s="2501"/>
      <c r="Y223" s="2501"/>
      <c r="Z223" s="2501"/>
      <c r="AA223" s="2501"/>
    </row>
    <row r="224" spans="1:27" ht="15.75" customHeight="1" x14ac:dyDescent="0.3">
      <c r="A224" s="2501"/>
      <c r="B224" s="2501"/>
      <c r="C224" s="2501"/>
      <c r="D224" s="2501"/>
      <c r="E224" s="2501"/>
      <c r="F224" s="2501"/>
      <c r="G224" s="2501"/>
      <c r="H224" s="2501"/>
      <c r="I224" s="2501"/>
      <c r="J224" s="2501"/>
      <c r="K224" s="2501"/>
      <c r="L224" s="2501"/>
      <c r="M224" s="2501"/>
      <c r="N224" s="2501"/>
      <c r="O224" s="2501"/>
      <c r="P224" s="2501"/>
      <c r="Q224" s="2501"/>
      <c r="R224" s="2501"/>
      <c r="S224" s="2501"/>
      <c r="T224" s="2501"/>
      <c r="U224" s="2501"/>
      <c r="V224" s="2501"/>
      <c r="W224" s="2501"/>
      <c r="X224" s="2501"/>
      <c r="Y224" s="2501"/>
      <c r="Z224" s="2501"/>
      <c r="AA224" s="2501"/>
    </row>
    <row r="225" spans="1:27" ht="15.75" customHeight="1" x14ac:dyDescent="0.3">
      <c r="A225" s="2501"/>
      <c r="B225" s="2501"/>
      <c r="C225" s="2501"/>
      <c r="D225" s="2501"/>
      <c r="E225" s="2501"/>
      <c r="F225" s="2501"/>
      <c r="G225" s="2501"/>
      <c r="H225" s="2501"/>
      <c r="I225" s="2501"/>
      <c r="J225" s="2501"/>
      <c r="K225" s="2501"/>
      <c r="L225" s="2501"/>
      <c r="M225" s="2501"/>
      <c r="N225" s="2501"/>
      <c r="O225" s="2501"/>
      <c r="P225" s="2501"/>
      <c r="Q225" s="2501"/>
      <c r="R225" s="2501"/>
      <c r="S225" s="2501"/>
      <c r="T225" s="2501"/>
      <c r="U225" s="2501"/>
      <c r="V225" s="2501"/>
      <c r="W225" s="2501"/>
      <c r="X225" s="2501"/>
      <c r="Y225" s="2501"/>
      <c r="Z225" s="2501"/>
      <c r="AA225" s="2501"/>
    </row>
    <row r="226" spans="1:27" ht="15.75" customHeight="1" x14ac:dyDescent="0.3">
      <c r="A226" s="2501"/>
      <c r="B226" s="2501"/>
      <c r="C226" s="2501"/>
      <c r="D226" s="2501"/>
      <c r="E226" s="2501"/>
      <c r="F226" s="2501"/>
      <c r="G226" s="2501"/>
      <c r="H226" s="2501"/>
      <c r="I226" s="2501"/>
      <c r="J226" s="2501"/>
      <c r="K226" s="2501"/>
      <c r="L226" s="2501"/>
      <c r="M226" s="2501"/>
      <c r="N226" s="2501"/>
      <c r="O226" s="2501"/>
      <c r="P226" s="2501"/>
      <c r="Q226" s="2501"/>
      <c r="R226" s="2501"/>
      <c r="S226" s="2501"/>
      <c r="T226" s="2501"/>
      <c r="U226" s="2501"/>
      <c r="V226" s="2501"/>
      <c r="W226" s="2501"/>
      <c r="X226" s="2501"/>
      <c r="Y226" s="2501"/>
      <c r="Z226" s="2501"/>
      <c r="AA226" s="2501"/>
    </row>
    <row r="227" spans="1:27" ht="15.75" customHeight="1" x14ac:dyDescent="0.3">
      <c r="A227" s="2501"/>
      <c r="B227" s="2501"/>
      <c r="C227" s="2501"/>
      <c r="D227" s="2501"/>
      <c r="E227" s="2501"/>
      <c r="F227" s="2501"/>
      <c r="G227" s="2501"/>
      <c r="H227" s="2501"/>
      <c r="I227" s="2501"/>
      <c r="J227" s="2501"/>
      <c r="K227" s="2501"/>
      <c r="L227" s="2501"/>
      <c r="M227" s="2501"/>
      <c r="N227" s="2501"/>
      <c r="O227" s="2501"/>
      <c r="P227" s="2501"/>
      <c r="Q227" s="2501"/>
      <c r="R227" s="2501"/>
      <c r="S227" s="2501"/>
      <c r="T227" s="2501"/>
      <c r="U227" s="2501"/>
      <c r="V227" s="2501"/>
      <c r="W227" s="2501"/>
      <c r="X227" s="2501"/>
      <c r="Y227" s="2501"/>
      <c r="Z227" s="2501"/>
      <c r="AA227" s="2501"/>
    </row>
    <row r="228" spans="1:27" ht="15.75" customHeight="1" x14ac:dyDescent="0.3">
      <c r="A228" s="2501"/>
      <c r="B228" s="2501"/>
      <c r="C228" s="2501"/>
      <c r="D228" s="2501"/>
      <c r="E228" s="2501"/>
      <c r="F228" s="2501"/>
      <c r="G228" s="2501"/>
      <c r="H228" s="2501"/>
      <c r="I228" s="2501"/>
      <c r="J228" s="2501"/>
      <c r="K228" s="2501"/>
      <c r="L228" s="2501"/>
      <c r="M228" s="2501"/>
      <c r="N228" s="2501"/>
      <c r="O228" s="2501"/>
      <c r="P228" s="2501"/>
      <c r="Q228" s="2501"/>
      <c r="R228" s="2501"/>
      <c r="S228" s="2501"/>
      <c r="T228" s="2501"/>
      <c r="U228" s="2501"/>
      <c r="V228" s="2501"/>
      <c r="W228" s="2501"/>
      <c r="X228" s="2501"/>
      <c r="Y228" s="2501"/>
      <c r="Z228" s="2501"/>
      <c r="AA228" s="2501"/>
    </row>
    <row r="229" spans="1:27" ht="15.75" customHeight="1" x14ac:dyDescent="0.3">
      <c r="A229" s="2501"/>
      <c r="B229" s="2501"/>
      <c r="C229" s="2501"/>
      <c r="D229" s="2501"/>
      <c r="E229" s="2501"/>
      <c r="F229" s="2501"/>
      <c r="G229" s="2501"/>
      <c r="H229" s="2501"/>
      <c r="I229" s="2501"/>
      <c r="J229" s="2501"/>
      <c r="K229" s="2501"/>
      <c r="L229" s="2501"/>
      <c r="M229" s="2501"/>
      <c r="N229" s="2501"/>
      <c r="O229" s="2501"/>
      <c r="P229" s="2501"/>
      <c r="Q229" s="2501"/>
      <c r="R229" s="2501"/>
      <c r="S229" s="2501"/>
      <c r="T229" s="2501"/>
      <c r="U229" s="2501"/>
      <c r="V229" s="2501"/>
      <c r="W229" s="2501"/>
      <c r="X229" s="2501"/>
      <c r="Y229" s="2501"/>
      <c r="Z229" s="2501"/>
      <c r="AA229" s="2501"/>
    </row>
    <row r="230" spans="1:27" ht="15.75" customHeight="1" x14ac:dyDescent="0.3">
      <c r="A230" s="2501"/>
      <c r="B230" s="2501"/>
      <c r="C230" s="2501"/>
      <c r="D230" s="2501"/>
      <c r="E230" s="2501"/>
      <c r="F230" s="2501"/>
      <c r="G230" s="2501"/>
      <c r="H230" s="2501"/>
      <c r="I230" s="2501"/>
      <c r="J230" s="2501"/>
      <c r="K230" s="2501"/>
      <c r="L230" s="2501"/>
      <c r="M230" s="2501"/>
      <c r="N230" s="2501"/>
      <c r="O230" s="2501"/>
      <c r="P230" s="2501"/>
      <c r="Q230" s="2501"/>
      <c r="R230" s="2501"/>
      <c r="S230" s="2501"/>
      <c r="T230" s="2501"/>
      <c r="U230" s="2501"/>
      <c r="V230" s="2501"/>
      <c r="W230" s="2501"/>
      <c r="X230" s="2501"/>
      <c r="Y230" s="2501"/>
      <c r="Z230" s="2501"/>
      <c r="AA230" s="2501"/>
    </row>
    <row r="231" spans="1:27" ht="15.75" customHeight="1" x14ac:dyDescent="0.3">
      <c r="A231" s="2501"/>
      <c r="B231" s="2501"/>
      <c r="C231" s="2501"/>
      <c r="D231" s="2501"/>
      <c r="E231" s="2501"/>
      <c r="F231" s="2501"/>
      <c r="G231" s="2501"/>
      <c r="H231" s="2501"/>
      <c r="I231" s="2501"/>
      <c r="J231" s="2501"/>
      <c r="K231" s="2501"/>
      <c r="L231" s="2501"/>
      <c r="M231" s="2501"/>
      <c r="N231" s="2501"/>
      <c r="O231" s="2501"/>
      <c r="P231" s="2501"/>
      <c r="Q231" s="2501"/>
      <c r="R231" s="2501"/>
      <c r="S231" s="2501"/>
      <c r="T231" s="2501"/>
      <c r="U231" s="2501"/>
      <c r="V231" s="2501"/>
      <c r="W231" s="2501"/>
      <c r="X231" s="2501"/>
      <c r="Y231" s="2501"/>
      <c r="Z231" s="2501"/>
      <c r="AA231" s="2501"/>
    </row>
    <row r="232" spans="1:27" ht="15.75" customHeight="1" x14ac:dyDescent="0.3">
      <c r="A232" s="2501"/>
      <c r="B232" s="2501"/>
      <c r="C232" s="2501"/>
      <c r="D232" s="2501"/>
      <c r="E232" s="2501"/>
      <c r="F232" s="2501"/>
      <c r="G232" s="2501"/>
      <c r="H232" s="2501"/>
      <c r="I232" s="2501"/>
      <c r="J232" s="2501"/>
      <c r="K232" s="2501"/>
      <c r="L232" s="2501"/>
      <c r="M232" s="2501"/>
      <c r="N232" s="2501"/>
      <c r="O232" s="2501"/>
      <c r="P232" s="2501"/>
      <c r="Q232" s="2501"/>
      <c r="R232" s="2501"/>
      <c r="S232" s="2501"/>
      <c r="T232" s="2501"/>
      <c r="U232" s="2501"/>
      <c r="V232" s="2501"/>
      <c r="W232" s="2501"/>
      <c r="X232" s="2501"/>
      <c r="Y232" s="2501"/>
      <c r="Z232" s="2501"/>
      <c r="AA232" s="2501"/>
    </row>
    <row r="233" spans="1:27" ht="15.75" customHeight="1" x14ac:dyDescent="0.3">
      <c r="A233" s="2501"/>
      <c r="B233" s="2501"/>
      <c r="C233" s="2501"/>
      <c r="D233" s="2501"/>
      <c r="E233" s="2501"/>
      <c r="F233" s="2501"/>
      <c r="G233" s="2501"/>
      <c r="H233" s="2501"/>
      <c r="I233" s="2501"/>
      <c r="J233" s="2501"/>
      <c r="K233" s="2501"/>
      <c r="L233" s="2501"/>
      <c r="M233" s="2501"/>
      <c r="N233" s="2501"/>
      <c r="O233" s="2501"/>
      <c r="P233" s="2501"/>
      <c r="Q233" s="2501"/>
      <c r="R233" s="2501"/>
      <c r="S233" s="2501"/>
      <c r="T233" s="2501"/>
      <c r="U233" s="2501"/>
      <c r="V233" s="2501"/>
      <c r="W233" s="2501"/>
      <c r="X233" s="2501"/>
      <c r="Y233" s="2501"/>
      <c r="Z233" s="2501"/>
      <c r="AA233" s="2501"/>
    </row>
    <row r="234" spans="1:27" ht="15.75" customHeight="1" x14ac:dyDescent="0.3">
      <c r="A234" s="2501"/>
      <c r="B234" s="2501"/>
      <c r="C234" s="2501"/>
      <c r="D234" s="2501"/>
      <c r="E234" s="2501"/>
      <c r="F234" s="2501"/>
      <c r="G234" s="2501"/>
      <c r="H234" s="2501"/>
      <c r="I234" s="2501"/>
      <c r="J234" s="2501"/>
      <c r="K234" s="2501"/>
      <c r="L234" s="2501"/>
      <c r="M234" s="2501"/>
      <c r="N234" s="2501"/>
      <c r="O234" s="2501"/>
      <c r="P234" s="2501"/>
      <c r="Q234" s="2501"/>
      <c r="R234" s="2501"/>
      <c r="S234" s="2501"/>
      <c r="T234" s="2501"/>
      <c r="U234" s="2501"/>
      <c r="V234" s="2501"/>
      <c r="W234" s="2501"/>
      <c r="X234" s="2501"/>
      <c r="Y234" s="2501"/>
      <c r="Z234" s="2501"/>
      <c r="AA234" s="2501"/>
    </row>
    <row r="235" spans="1:27" ht="15.75" customHeight="1" x14ac:dyDescent="0.3">
      <c r="A235" s="2501"/>
      <c r="B235" s="2501"/>
      <c r="C235" s="2501"/>
      <c r="D235" s="2501"/>
      <c r="E235" s="2501"/>
      <c r="F235" s="2501"/>
      <c r="G235" s="2501"/>
      <c r="H235" s="2501"/>
      <c r="I235" s="2501"/>
      <c r="J235" s="2501"/>
      <c r="K235" s="2501"/>
      <c r="L235" s="2501"/>
      <c r="M235" s="2501"/>
      <c r="N235" s="2501"/>
      <c r="O235" s="2501"/>
      <c r="P235" s="2501"/>
      <c r="Q235" s="2501"/>
      <c r="R235" s="2501"/>
      <c r="S235" s="2501"/>
      <c r="T235" s="2501"/>
      <c r="U235" s="2501"/>
      <c r="V235" s="2501"/>
      <c r="W235" s="2501"/>
      <c r="X235" s="2501"/>
      <c r="Y235" s="2501"/>
      <c r="Z235" s="2501"/>
      <c r="AA235" s="2501"/>
    </row>
    <row r="236" spans="1:27" ht="15.75" customHeight="1" x14ac:dyDescent="0.3">
      <c r="A236" s="2501"/>
      <c r="B236" s="2501"/>
      <c r="C236" s="2501"/>
      <c r="D236" s="2501"/>
      <c r="E236" s="2501"/>
      <c r="F236" s="2501"/>
      <c r="G236" s="2501"/>
      <c r="H236" s="2501"/>
      <c r="I236" s="2501"/>
      <c r="J236" s="2501"/>
      <c r="K236" s="2501"/>
      <c r="L236" s="2501"/>
      <c r="M236" s="2501"/>
      <c r="N236" s="2501"/>
      <c r="O236" s="2501"/>
      <c r="P236" s="2501"/>
      <c r="Q236" s="2501"/>
      <c r="R236" s="2501"/>
      <c r="S236" s="2501"/>
      <c r="T236" s="2501"/>
      <c r="U236" s="2501"/>
      <c r="V236" s="2501"/>
      <c r="W236" s="2501"/>
      <c r="X236" s="2501"/>
      <c r="Y236" s="2501"/>
      <c r="Z236" s="2501"/>
      <c r="AA236" s="2501"/>
    </row>
    <row r="237" spans="1:27" ht="15.75" customHeight="1" x14ac:dyDescent="0.3">
      <c r="A237" s="2501"/>
      <c r="B237" s="2501"/>
      <c r="C237" s="2501"/>
      <c r="D237" s="2501"/>
      <c r="E237" s="2501"/>
      <c r="F237" s="2501"/>
      <c r="G237" s="2501"/>
      <c r="H237" s="2501"/>
      <c r="I237" s="2501"/>
      <c r="J237" s="2501"/>
      <c r="K237" s="2501"/>
      <c r="L237" s="2501"/>
      <c r="M237" s="2501"/>
      <c r="N237" s="2501"/>
      <c r="O237" s="2501"/>
      <c r="P237" s="2501"/>
      <c r="Q237" s="2501"/>
      <c r="R237" s="2501"/>
      <c r="S237" s="2501"/>
      <c r="T237" s="2501"/>
      <c r="U237" s="2501"/>
      <c r="V237" s="2501"/>
      <c r="W237" s="2501"/>
      <c r="X237" s="2501"/>
      <c r="Y237" s="2501"/>
      <c r="Z237" s="2501"/>
      <c r="AA237" s="2501"/>
    </row>
    <row r="238" spans="1:27" ht="15.75" customHeight="1" x14ac:dyDescent="0.3">
      <c r="A238" s="2501"/>
      <c r="B238" s="2501"/>
      <c r="C238" s="2501"/>
      <c r="D238" s="2501"/>
      <c r="E238" s="2501"/>
      <c r="F238" s="2501"/>
      <c r="G238" s="2501"/>
      <c r="H238" s="2501"/>
      <c r="I238" s="2501"/>
      <c r="J238" s="2501"/>
      <c r="K238" s="2501"/>
      <c r="L238" s="2501"/>
      <c r="M238" s="2501"/>
      <c r="N238" s="2501"/>
      <c r="O238" s="2501"/>
      <c r="P238" s="2501"/>
      <c r="Q238" s="2501"/>
      <c r="R238" s="2501"/>
      <c r="S238" s="2501"/>
      <c r="T238" s="2501"/>
      <c r="U238" s="2501"/>
      <c r="V238" s="2501"/>
      <c r="W238" s="2501"/>
      <c r="X238" s="2501"/>
      <c r="Y238" s="2501"/>
      <c r="Z238" s="2501"/>
      <c r="AA238" s="2501"/>
    </row>
    <row r="239" spans="1:27" ht="15.75" customHeight="1" x14ac:dyDescent="0.3">
      <c r="A239" s="2501"/>
      <c r="B239" s="2501"/>
      <c r="C239" s="2501"/>
      <c r="D239" s="2501"/>
      <c r="E239" s="2501"/>
      <c r="F239" s="2501"/>
      <c r="G239" s="2501"/>
      <c r="H239" s="2501"/>
      <c r="I239" s="2501"/>
      <c r="J239" s="2501"/>
      <c r="K239" s="2501"/>
      <c r="L239" s="2501"/>
      <c r="M239" s="2501"/>
      <c r="N239" s="2501"/>
      <c r="O239" s="2501"/>
      <c r="P239" s="2501"/>
      <c r="Q239" s="2501"/>
      <c r="R239" s="2501"/>
      <c r="S239" s="2501"/>
      <c r="T239" s="2501"/>
      <c r="U239" s="2501"/>
      <c r="V239" s="2501"/>
      <c r="W239" s="2501"/>
      <c r="X239" s="2501"/>
      <c r="Y239" s="2501"/>
      <c r="Z239" s="2501"/>
      <c r="AA239" s="2501"/>
    </row>
    <row r="240" spans="1:27" ht="15.75" customHeight="1" x14ac:dyDescent="0.3">
      <c r="A240" s="2501"/>
      <c r="B240" s="2501"/>
      <c r="C240" s="2501"/>
      <c r="D240" s="2501"/>
      <c r="E240" s="2501"/>
      <c r="F240" s="2501"/>
      <c r="G240" s="2501"/>
      <c r="H240" s="2501"/>
      <c r="I240" s="2501"/>
      <c r="J240" s="2501"/>
      <c r="K240" s="2501"/>
      <c r="L240" s="2501"/>
      <c r="M240" s="2501"/>
      <c r="N240" s="2501"/>
      <c r="O240" s="2501"/>
      <c r="P240" s="2501"/>
      <c r="Q240" s="2501"/>
      <c r="R240" s="2501"/>
      <c r="S240" s="2501"/>
      <c r="T240" s="2501"/>
      <c r="U240" s="2501"/>
      <c r="V240" s="2501"/>
      <c r="W240" s="2501"/>
      <c r="X240" s="2501"/>
      <c r="Y240" s="2501"/>
      <c r="Z240" s="2501"/>
      <c r="AA240" s="2501"/>
    </row>
    <row r="241" spans="1:27" ht="15.75" customHeight="1" x14ac:dyDescent="0.3">
      <c r="A241" s="2501"/>
      <c r="B241" s="2501"/>
      <c r="C241" s="2501"/>
      <c r="D241" s="2501"/>
      <c r="E241" s="2501"/>
      <c r="F241" s="2501"/>
      <c r="G241" s="2501"/>
      <c r="H241" s="2501"/>
      <c r="I241" s="2501"/>
      <c r="J241" s="2501"/>
      <c r="K241" s="2501"/>
      <c r="L241" s="2501"/>
      <c r="M241" s="2501"/>
      <c r="N241" s="2501"/>
      <c r="O241" s="2501"/>
      <c r="P241" s="2501"/>
      <c r="Q241" s="2501"/>
      <c r="R241" s="2501"/>
      <c r="S241" s="2501"/>
      <c r="T241" s="2501"/>
      <c r="U241" s="2501"/>
      <c r="V241" s="2501"/>
      <c r="W241" s="2501"/>
      <c r="X241" s="2501"/>
      <c r="Y241" s="2501"/>
      <c r="Z241" s="2501"/>
      <c r="AA241" s="2501"/>
    </row>
    <row r="242" spans="1:27" ht="15.75" customHeight="1" x14ac:dyDescent="0.3">
      <c r="A242" s="2501"/>
      <c r="B242" s="2501"/>
      <c r="C242" s="2501"/>
      <c r="D242" s="2501"/>
      <c r="E242" s="2501"/>
      <c r="F242" s="2501"/>
      <c r="G242" s="2501"/>
      <c r="H242" s="2501"/>
      <c r="I242" s="2501"/>
      <c r="J242" s="2501"/>
      <c r="K242" s="2501"/>
      <c r="L242" s="2501"/>
      <c r="M242" s="2501"/>
      <c r="N242" s="2501"/>
      <c r="O242" s="2501"/>
      <c r="P242" s="2501"/>
      <c r="Q242" s="2501"/>
      <c r="R242" s="2501"/>
      <c r="S242" s="2501"/>
      <c r="T242" s="2501"/>
      <c r="U242" s="2501"/>
      <c r="V242" s="2501"/>
      <c r="W242" s="2501"/>
      <c r="X242" s="2501"/>
      <c r="Y242" s="2501"/>
      <c r="Z242" s="2501"/>
      <c r="AA242" s="2501"/>
    </row>
    <row r="243" spans="1:27" ht="15.75" customHeight="1" x14ac:dyDescent="0.3">
      <c r="A243" s="2501"/>
      <c r="B243" s="2501"/>
      <c r="C243" s="2501"/>
      <c r="D243" s="2501"/>
      <c r="E243" s="2501"/>
      <c r="F243" s="2501"/>
      <c r="G243" s="2501"/>
      <c r="H243" s="2501"/>
      <c r="I243" s="2501"/>
      <c r="J243" s="2501"/>
      <c r="K243" s="2501"/>
      <c r="L243" s="2501"/>
      <c r="M243" s="2501"/>
      <c r="N243" s="2501"/>
      <c r="O243" s="2501"/>
      <c r="P243" s="2501"/>
      <c r="Q243" s="2501"/>
      <c r="R243" s="2501"/>
      <c r="S243" s="2501"/>
      <c r="T243" s="2501"/>
      <c r="U243" s="2501"/>
      <c r="V243" s="2501"/>
      <c r="W243" s="2501"/>
      <c r="X243" s="2501"/>
      <c r="Y243" s="2501"/>
      <c r="Z243" s="2501"/>
      <c r="AA243" s="2501"/>
    </row>
    <row r="244" spans="1:27" ht="15.75" customHeight="1" x14ac:dyDescent="0.3">
      <c r="A244" s="2501"/>
      <c r="B244" s="2501"/>
      <c r="C244" s="2501"/>
      <c r="D244" s="2501"/>
      <c r="E244" s="2501"/>
      <c r="F244" s="2501"/>
      <c r="G244" s="2501"/>
      <c r="H244" s="2501"/>
      <c r="I244" s="2501"/>
      <c r="J244" s="2501"/>
      <c r="K244" s="2501"/>
      <c r="L244" s="2501"/>
      <c r="M244" s="2501"/>
      <c r="N244" s="2501"/>
      <c r="O244" s="2501"/>
      <c r="P244" s="2501"/>
      <c r="Q244" s="2501"/>
      <c r="R244" s="2501"/>
      <c r="S244" s="2501"/>
      <c r="T244" s="2501"/>
      <c r="U244" s="2501"/>
      <c r="V244" s="2501"/>
      <c r="W244" s="2501"/>
      <c r="X244" s="2501"/>
      <c r="Y244" s="2501"/>
      <c r="Z244" s="2501"/>
      <c r="AA244" s="2501"/>
    </row>
    <row r="245" spans="1:27" ht="15.75" customHeight="1" x14ac:dyDescent="0.3">
      <c r="A245" s="2501"/>
      <c r="B245" s="2501"/>
      <c r="C245" s="2501"/>
      <c r="D245" s="2501"/>
      <c r="E245" s="2501"/>
      <c r="F245" s="2501"/>
      <c r="G245" s="2501"/>
      <c r="H245" s="2501"/>
      <c r="I245" s="2501"/>
      <c r="J245" s="2501"/>
      <c r="K245" s="2501"/>
      <c r="L245" s="2501"/>
      <c r="M245" s="2501"/>
      <c r="N245" s="2501"/>
      <c r="O245" s="2501"/>
      <c r="P245" s="2501"/>
      <c r="Q245" s="2501"/>
      <c r="R245" s="2501"/>
      <c r="S245" s="2501"/>
      <c r="T245" s="2501"/>
      <c r="U245" s="2501"/>
      <c r="V245" s="2501"/>
      <c r="W245" s="2501"/>
      <c r="X245" s="2501"/>
      <c r="Y245" s="2501"/>
      <c r="Z245" s="2501"/>
      <c r="AA245" s="2501"/>
    </row>
    <row r="246" spans="1:27" ht="15.75" customHeight="1" x14ac:dyDescent="0.3">
      <c r="A246" s="2501"/>
      <c r="B246" s="2501"/>
      <c r="C246" s="2501"/>
      <c r="D246" s="2501"/>
      <c r="E246" s="2501"/>
      <c r="F246" s="2501"/>
      <c r="G246" s="2501"/>
      <c r="H246" s="2501"/>
      <c r="I246" s="2501"/>
      <c r="J246" s="2501"/>
      <c r="K246" s="2501"/>
      <c r="L246" s="2501"/>
      <c r="M246" s="2501"/>
      <c r="N246" s="2501"/>
      <c r="O246" s="2501"/>
      <c r="P246" s="2501"/>
      <c r="Q246" s="2501"/>
      <c r="R246" s="2501"/>
      <c r="S246" s="2501"/>
      <c r="T246" s="2501"/>
      <c r="U246" s="2501"/>
      <c r="V246" s="2501"/>
      <c r="W246" s="2501"/>
      <c r="X246" s="2501"/>
      <c r="Y246" s="2501"/>
      <c r="Z246" s="2501"/>
      <c r="AA246" s="2501"/>
    </row>
    <row r="247" spans="1:27" ht="15.75" customHeight="1" x14ac:dyDescent="0.3">
      <c r="A247" s="2501"/>
      <c r="B247" s="2501"/>
      <c r="C247" s="2501"/>
      <c r="D247" s="2501"/>
      <c r="E247" s="2501"/>
      <c r="F247" s="2501"/>
      <c r="G247" s="2501"/>
      <c r="H247" s="2501"/>
      <c r="I247" s="2501"/>
      <c r="J247" s="2501"/>
      <c r="K247" s="2501"/>
      <c r="L247" s="2501"/>
      <c r="M247" s="2501"/>
      <c r="N247" s="2501"/>
      <c r="O247" s="2501"/>
      <c r="P247" s="2501"/>
      <c r="Q247" s="2501"/>
      <c r="R247" s="2501"/>
      <c r="S247" s="2501"/>
      <c r="T247" s="2501"/>
      <c r="U247" s="2501"/>
      <c r="V247" s="2501"/>
      <c r="W247" s="2501"/>
      <c r="X247" s="2501"/>
      <c r="Y247" s="2501"/>
      <c r="Z247" s="2501"/>
      <c r="AA247" s="2501"/>
    </row>
    <row r="248" spans="1:27" ht="15.75" customHeight="1" x14ac:dyDescent="0.3">
      <c r="A248" s="2501"/>
      <c r="B248" s="2501"/>
      <c r="C248" s="2501"/>
      <c r="D248" s="2501"/>
      <c r="E248" s="2501"/>
      <c r="F248" s="2501"/>
      <c r="G248" s="2501"/>
      <c r="H248" s="2501"/>
      <c r="I248" s="2501"/>
      <c r="J248" s="2501"/>
      <c r="K248" s="2501"/>
      <c r="L248" s="2501"/>
      <c r="M248" s="2501"/>
      <c r="N248" s="2501"/>
      <c r="O248" s="2501"/>
      <c r="P248" s="2501"/>
      <c r="Q248" s="2501"/>
      <c r="R248" s="2501"/>
      <c r="S248" s="2501"/>
      <c r="T248" s="2501"/>
      <c r="U248" s="2501"/>
      <c r="V248" s="2501"/>
      <c r="W248" s="2501"/>
      <c r="X248" s="2501"/>
      <c r="Y248" s="2501"/>
      <c r="Z248" s="2501"/>
      <c r="AA248" s="2501"/>
    </row>
    <row r="249" spans="1:27" ht="15.75" customHeight="1" x14ac:dyDescent="0.3">
      <c r="A249" s="2501"/>
      <c r="B249" s="2501"/>
      <c r="C249" s="2501"/>
      <c r="D249" s="2501"/>
      <c r="E249" s="2501"/>
      <c r="F249" s="2501"/>
      <c r="G249" s="2501"/>
      <c r="H249" s="2501"/>
      <c r="I249" s="2501"/>
      <c r="J249" s="2501"/>
      <c r="K249" s="2501"/>
      <c r="L249" s="2501"/>
      <c r="M249" s="2501"/>
      <c r="N249" s="2501"/>
      <c r="O249" s="2501"/>
      <c r="P249" s="2501"/>
      <c r="Q249" s="2501"/>
      <c r="R249" s="2501"/>
      <c r="S249" s="2501"/>
      <c r="T249" s="2501"/>
      <c r="U249" s="2501"/>
      <c r="V249" s="2501"/>
      <c r="W249" s="2501"/>
      <c r="X249" s="2501"/>
      <c r="Y249" s="2501"/>
      <c r="Z249" s="2501"/>
      <c r="AA249" s="2501"/>
    </row>
    <row r="250" spans="1:27" ht="15.75" customHeight="1" x14ac:dyDescent="0.3">
      <c r="A250" s="2501"/>
      <c r="B250" s="2501"/>
      <c r="C250" s="2501"/>
      <c r="D250" s="2501"/>
      <c r="E250" s="2501"/>
      <c r="F250" s="2501"/>
      <c r="G250" s="2501"/>
      <c r="H250" s="2501"/>
      <c r="I250" s="2501"/>
      <c r="J250" s="2501"/>
      <c r="K250" s="2501"/>
      <c r="L250" s="2501"/>
      <c r="M250" s="2501"/>
      <c r="N250" s="2501"/>
      <c r="O250" s="2501"/>
      <c r="P250" s="2501"/>
      <c r="Q250" s="2501"/>
      <c r="R250" s="2501"/>
      <c r="S250" s="2501"/>
      <c r="T250" s="2501"/>
      <c r="U250" s="2501"/>
      <c r="V250" s="2501"/>
      <c r="W250" s="2501"/>
      <c r="X250" s="2501"/>
      <c r="Y250" s="2501"/>
      <c r="Z250" s="2501"/>
      <c r="AA250" s="2501"/>
    </row>
    <row r="251" spans="1:27" ht="15.75" customHeight="1" x14ac:dyDescent="0.3">
      <c r="A251" s="2501"/>
      <c r="B251" s="2501"/>
      <c r="C251" s="2501"/>
      <c r="D251" s="2501"/>
      <c r="E251" s="2501"/>
      <c r="F251" s="2501"/>
      <c r="G251" s="2501"/>
      <c r="H251" s="2501"/>
      <c r="I251" s="2501"/>
      <c r="J251" s="2501"/>
      <c r="K251" s="2501"/>
      <c r="L251" s="2501"/>
      <c r="M251" s="2501"/>
      <c r="N251" s="2501"/>
      <c r="O251" s="2501"/>
      <c r="P251" s="2501"/>
      <c r="Q251" s="2501"/>
      <c r="R251" s="2501"/>
      <c r="S251" s="2501"/>
      <c r="T251" s="2501"/>
      <c r="U251" s="2501"/>
      <c r="V251" s="2501"/>
      <c r="W251" s="2501"/>
      <c r="X251" s="2501"/>
      <c r="Y251" s="2501"/>
      <c r="Z251" s="2501"/>
      <c r="AA251" s="2501"/>
    </row>
    <row r="252" spans="1:27" ht="15.75" customHeight="1" x14ac:dyDescent="0.3">
      <c r="A252" s="2501"/>
      <c r="B252" s="2501"/>
      <c r="C252" s="2501"/>
      <c r="D252" s="2501"/>
      <c r="E252" s="2501"/>
      <c r="F252" s="2501"/>
      <c r="G252" s="2501"/>
      <c r="H252" s="2501"/>
      <c r="I252" s="2501"/>
      <c r="J252" s="2501"/>
      <c r="K252" s="2501"/>
      <c r="L252" s="2501"/>
      <c r="M252" s="2501"/>
      <c r="N252" s="2501"/>
      <c r="O252" s="2501"/>
      <c r="P252" s="2501"/>
      <c r="Q252" s="2501"/>
      <c r="R252" s="2501"/>
      <c r="S252" s="2501"/>
      <c r="T252" s="2501"/>
      <c r="U252" s="2501"/>
      <c r="V252" s="2501"/>
      <c r="W252" s="2501"/>
      <c r="X252" s="2501"/>
      <c r="Y252" s="2501"/>
      <c r="Z252" s="2501"/>
      <c r="AA252" s="2501"/>
    </row>
    <row r="253" spans="1:27" ht="15.75" customHeight="1" x14ac:dyDescent="0.3">
      <c r="A253" s="2501"/>
      <c r="B253" s="2501"/>
      <c r="C253" s="2501"/>
      <c r="D253" s="2501"/>
      <c r="E253" s="2501"/>
      <c r="F253" s="2501"/>
      <c r="G253" s="2501"/>
      <c r="H253" s="2501"/>
      <c r="I253" s="2501"/>
      <c r="J253" s="2501"/>
      <c r="K253" s="2501"/>
      <c r="L253" s="2501"/>
      <c r="M253" s="2501"/>
      <c r="N253" s="2501"/>
      <c r="O253" s="2501"/>
      <c r="P253" s="2501"/>
      <c r="Q253" s="2501"/>
      <c r="R253" s="2501"/>
      <c r="S253" s="2501"/>
      <c r="T253" s="2501"/>
      <c r="U253" s="2501"/>
      <c r="V253" s="2501"/>
      <c r="W253" s="2501"/>
      <c r="X253" s="2501"/>
      <c r="Y253" s="2501"/>
      <c r="Z253" s="2501"/>
      <c r="AA253" s="2501"/>
    </row>
    <row r="254" spans="1:27" ht="15.75" customHeight="1" x14ac:dyDescent="0.3">
      <c r="A254" s="2501"/>
      <c r="B254" s="2501"/>
      <c r="C254" s="2501"/>
      <c r="D254" s="2501"/>
      <c r="E254" s="2501"/>
      <c r="F254" s="2501"/>
      <c r="G254" s="2501"/>
      <c r="H254" s="2501"/>
      <c r="I254" s="2501"/>
      <c r="J254" s="2501"/>
      <c r="K254" s="2501"/>
      <c r="L254" s="2501"/>
      <c r="M254" s="2501"/>
      <c r="N254" s="2501"/>
      <c r="O254" s="2501"/>
      <c r="P254" s="2501"/>
      <c r="Q254" s="2501"/>
      <c r="R254" s="2501"/>
      <c r="S254" s="2501"/>
      <c r="T254" s="2501"/>
      <c r="U254" s="2501"/>
      <c r="V254" s="2501"/>
      <c r="W254" s="2501"/>
      <c r="X254" s="2501"/>
      <c r="Y254" s="2501"/>
      <c r="Z254" s="2501"/>
      <c r="AA254" s="2501"/>
    </row>
    <row r="255" spans="1:27" ht="15.75" customHeight="1" x14ac:dyDescent="0.3">
      <c r="A255" s="2501"/>
      <c r="B255" s="2501"/>
      <c r="C255" s="2501"/>
      <c r="D255" s="2501"/>
      <c r="E255" s="2501"/>
      <c r="F255" s="2501"/>
      <c r="G255" s="2501"/>
      <c r="H255" s="2501"/>
      <c r="I255" s="2501"/>
      <c r="J255" s="2501"/>
      <c r="K255" s="2501"/>
      <c r="L255" s="2501"/>
      <c r="M255" s="2501"/>
      <c r="N255" s="2501"/>
      <c r="O255" s="2501"/>
      <c r="P255" s="2501"/>
      <c r="Q255" s="2501"/>
      <c r="R255" s="2501"/>
      <c r="S255" s="2501"/>
      <c r="T255" s="2501"/>
      <c r="U255" s="2501"/>
      <c r="V255" s="2501"/>
      <c r="W255" s="2501"/>
      <c r="X255" s="2501"/>
      <c r="Y255" s="2501"/>
      <c r="Z255" s="2501"/>
      <c r="AA255" s="2501"/>
    </row>
    <row r="256" spans="1:27" ht="15.75" customHeight="1" x14ac:dyDescent="0.3">
      <c r="A256" s="2501"/>
      <c r="B256" s="2501"/>
      <c r="C256" s="2501"/>
      <c r="D256" s="2501"/>
      <c r="E256" s="2501"/>
      <c r="F256" s="2501"/>
      <c r="G256" s="2501"/>
      <c r="H256" s="2501"/>
      <c r="I256" s="2501"/>
      <c r="J256" s="2501"/>
      <c r="K256" s="2501"/>
      <c r="L256" s="2501"/>
      <c r="M256" s="2501"/>
      <c r="N256" s="2501"/>
      <c r="O256" s="2501"/>
      <c r="P256" s="2501"/>
      <c r="Q256" s="2501"/>
      <c r="R256" s="2501"/>
      <c r="S256" s="2501"/>
      <c r="T256" s="2501"/>
      <c r="U256" s="2501"/>
      <c r="V256" s="2501"/>
      <c r="W256" s="2501"/>
      <c r="X256" s="2501"/>
      <c r="Y256" s="2501"/>
      <c r="Z256" s="2501"/>
      <c r="AA256" s="2501"/>
    </row>
    <row r="257" spans="1:27" ht="15.75" customHeight="1" x14ac:dyDescent="0.3">
      <c r="A257" s="2501"/>
      <c r="B257" s="2501"/>
      <c r="C257" s="2501"/>
      <c r="D257" s="2501"/>
      <c r="E257" s="2501"/>
      <c r="F257" s="2501"/>
      <c r="G257" s="2501"/>
      <c r="H257" s="2501"/>
      <c r="I257" s="2501"/>
      <c r="J257" s="2501"/>
      <c r="K257" s="2501"/>
      <c r="L257" s="2501"/>
      <c r="M257" s="2501"/>
      <c r="N257" s="2501"/>
      <c r="O257" s="2501"/>
      <c r="P257" s="2501"/>
      <c r="Q257" s="2501"/>
      <c r="R257" s="2501"/>
      <c r="S257" s="2501"/>
      <c r="T257" s="2501"/>
      <c r="U257" s="2501"/>
      <c r="V257" s="2501"/>
      <c r="W257" s="2501"/>
      <c r="X257" s="2501"/>
      <c r="Y257" s="2501"/>
      <c r="Z257" s="2501"/>
      <c r="AA257" s="2501"/>
    </row>
    <row r="258" spans="1:27" ht="15.75" customHeight="1" x14ac:dyDescent="0.3">
      <c r="A258" s="2501"/>
      <c r="B258" s="2501"/>
      <c r="C258" s="2501"/>
      <c r="D258" s="2501"/>
      <c r="E258" s="2501"/>
      <c r="F258" s="2501"/>
      <c r="G258" s="2501"/>
      <c r="H258" s="2501"/>
      <c r="I258" s="2501"/>
      <c r="J258" s="2501"/>
      <c r="K258" s="2501"/>
      <c r="L258" s="2501"/>
      <c r="M258" s="2501"/>
      <c r="N258" s="2501"/>
      <c r="O258" s="2501"/>
      <c r="P258" s="2501"/>
      <c r="Q258" s="2501"/>
      <c r="R258" s="2501"/>
      <c r="S258" s="2501"/>
      <c r="T258" s="2501"/>
      <c r="U258" s="2501"/>
      <c r="V258" s="2501"/>
      <c r="W258" s="2501"/>
      <c r="X258" s="2501"/>
      <c r="Y258" s="2501"/>
      <c r="Z258" s="2501"/>
      <c r="AA258" s="2501"/>
    </row>
    <row r="259" spans="1:27" ht="15.75" customHeight="1" x14ac:dyDescent="0.3">
      <c r="A259" s="2501"/>
      <c r="B259" s="2501"/>
      <c r="C259" s="2501"/>
      <c r="D259" s="2501"/>
      <c r="E259" s="2501"/>
      <c r="F259" s="2501"/>
      <c r="G259" s="2501"/>
      <c r="H259" s="2501"/>
      <c r="I259" s="2501"/>
      <c r="J259" s="2501"/>
      <c r="K259" s="2501"/>
      <c r="L259" s="2501"/>
      <c r="M259" s="2501"/>
      <c r="N259" s="2501"/>
      <c r="O259" s="2501"/>
      <c r="P259" s="2501"/>
      <c r="Q259" s="2501"/>
      <c r="R259" s="2501"/>
      <c r="S259" s="2501"/>
      <c r="T259" s="2501"/>
      <c r="U259" s="2501"/>
      <c r="V259" s="2501"/>
      <c r="W259" s="2501"/>
      <c r="X259" s="2501"/>
      <c r="Y259" s="2501"/>
      <c r="Z259" s="2501"/>
      <c r="AA259" s="2501"/>
    </row>
    <row r="260" spans="1:27" ht="15.75" customHeight="1" x14ac:dyDescent="0.3">
      <c r="A260" s="2501"/>
      <c r="B260" s="2501"/>
      <c r="C260" s="2501"/>
      <c r="D260" s="2501"/>
      <c r="E260" s="2501"/>
      <c r="F260" s="2501"/>
      <c r="G260" s="2501"/>
      <c r="H260" s="2501"/>
      <c r="I260" s="2501"/>
      <c r="J260" s="2501"/>
      <c r="K260" s="2501"/>
      <c r="L260" s="2501"/>
      <c r="M260" s="2501"/>
      <c r="N260" s="2501"/>
      <c r="O260" s="2501"/>
      <c r="P260" s="2501"/>
      <c r="Q260" s="2501"/>
      <c r="R260" s="2501"/>
      <c r="S260" s="2501"/>
      <c r="T260" s="2501"/>
      <c r="U260" s="2501"/>
      <c r="V260" s="2501"/>
      <c r="W260" s="2501"/>
      <c r="X260" s="2501"/>
      <c r="Y260" s="2501"/>
      <c r="Z260" s="2501"/>
      <c r="AA260" s="2501"/>
    </row>
    <row r="261" spans="1:27" ht="15.75" customHeight="1" x14ac:dyDescent="0.3">
      <c r="A261" s="2501"/>
      <c r="B261" s="2501"/>
      <c r="C261" s="2501"/>
      <c r="D261" s="2501"/>
      <c r="E261" s="2501"/>
      <c r="F261" s="2501"/>
      <c r="G261" s="2501"/>
      <c r="H261" s="2501"/>
      <c r="I261" s="2501"/>
      <c r="J261" s="2501"/>
      <c r="K261" s="2501"/>
      <c r="L261" s="2501"/>
      <c r="M261" s="2501"/>
      <c r="N261" s="2501"/>
      <c r="O261" s="2501"/>
      <c r="P261" s="2501"/>
      <c r="Q261" s="2501"/>
      <c r="R261" s="2501"/>
      <c r="S261" s="2501"/>
      <c r="T261" s="2501"/>
      <c r="U261" s="2501"/>
      <c r="V261" s="2501"/>
      <c r="W261" s="2501"/>
      <c r="X261" s="2501"/>
      <c r="Y261" s="2501"/>
      <c r="Z261" s="2501"/>
      <c r="AA261" s="2501"/>
    </row>
    <row r="262" spans="1:27" ht="15.75" customHeight="1" x14ac:dyDescent="0.3">
      <c r="A262" s="2501"/>
      <c r="B262" s="2501"/>
      <c r="C262" s="2501"/>
      <c r="D262" s="2501"/>
      <c r="E262" s="2501"/>
      <c r="F262" s="2501"/>
      <c r="G262" s="2501"/>
      <c r="H262" s="2501"/>
      <c r="I262" s="2501"/>
      <c r="J262" s="2501"/>
      <c r="K262" s="2501"/>
      <c r="L262" s="2501"/>
      <c r="M262" s="2501"/>
      <c r="N262" s="2501"/>
      <c r="O262" s="2501"/>
      <c r="P262" s="2501"/>
      <c r="Q262" s="2501"/>
      <c r="R262" s="2501"/>
      <c r="S262" s="2501"/>
      <c r="T262" s="2501"/>
      <c r="U262" s="2501"/>
      <c r="V262" s="2501"/>
      <c r="W262" s="2501"/>
      <c r="X262" s="2501"/>
      <c r="Y262" s="2501"/>
      <c r="Z262" s="2501"/>
      <c r="AA262" s="2501"/>
    </row>
    <row r="263" spans="1:27" ht="15.75" customHeight="1" x14ac:dyDescent="0.3">
      <c r="A263" s="2501"/>
      <c r="B263" s="2501"/>
      <c r="C263" s="2501"/>
      <c r="D263" s="2501"/>
      <c r="E263" s="2501"/>
      <c r="F263" s="2501"/>
      <c r="G263" s="2501"/>
      <c r="H263" s="2501"/>
      <c r="I263" s="2501"/>
      <c r="J263" s="2501"/>
      <c r="K263" s="2501"/>
      <c r="L263" s="2501"/>
      <c r="M263" s="2501"/>
      <c r="N263" s="2501"/>
      <c r="O263" s="2501"/>
      <c r="P263" s="2501"/>
      <c r="Q263" s="2501"/>
      <c r="R263" s="2501"/>
      <c r="S263" s="2501"/>
      <c r="T263" s="2501"/>
      <c r="U263" s="2501"/>
      <c r="V263" s="2501"/>
      <c r="W263" s="2501"/>
      <c r="X263" s="2501"/>
      <c r="Y263" s="2501"/>
      <c r="Z263" s="2501"/>
      <c r="AA263" s="2501"/>
    </row>
    <row r="264" spans="1:27" ht="15.75" customHeight="1" x14ac:dyDescent="0.3">
      <c r="A264" s="2501"/>
      <c r="B264" s="2501"/>
      <c r="C264" s="2501"/>
      <c r="D264" s="2501"/>
      <c r="E264" s="2501"/>
      <c r="F264" s="2501"/>
      <c r="G264" s="2501"/>
      <c r="H264" s="2501"/>
      <c r="I264" s="2501"/>
      <c r="J264" s="2501"/>
      <c r="K264" s="2501"/>
      <c r="L264" s="2501"/>
      <c r="M264" s="2501"/>
      <c r="N264" s="2501"/>
      <c r="O264" s="2501"/>
      <c r="P264" s="2501"/>
      <c r="Q264" s="2501"/>
      <c r="R264" s="2501"/>
      <c r="S264" s="2501"/>
      <c r="T264" s="2501"/>
      <c r="U264" s="2501"/>
      <c r="V264" s="2501"/>
      <c r="W264" s="2501"/>
      <c r="X264" s="2501"/>
      <c r="Y264" s="2501"/>
      <c r="Z264" s="2501"/>
      <c r="AA264" s="2501"/>
    </row>
    <row r="265" spans="1:27" ht="15.75" customHeight="1" x14ac:dyDescent="0.3">
      <c r="A265" s="2501"/>
      <c r="B265" s="2501"/>
      <c r="C265" s="2501"/>
      <c r="D265" s="2501"/>
      <c r="E265" s="2501"/>
      <c r="F265" s="2501"/>
      <c r="G265" s="2501"/>
      <c r="H265" s="2501"/>
      <c r="I265" s="2501"/>
      <c r="J265" s="2501"/>
      <c r="K265" s="2501"/>
      <c r="L265" s="2501"/>
      <c r="M265" s="2501"/>
      <c r="N265" s="2501"/>
      <c r="O265" s="2501"/>
      <c r="P265" s="2501"/>
      <c r="Q265" s="2501"/>
      <c r="R265" s="2501"/>
      <c r="S265" s="2501"/>
      <c r="T265" s="2501"/>
      <c r="U265" s="2501"/>
      <c r="V265" s="2501"/>
      <c r="W265" s="2501"/>
      <c r="X265" s="2501"/>
      <c r="Y265" s="2501"/>
      <c r="Z265" s="2501"/>
      <c r="AA265" s="2501"/>
    </row>
    <row r="266" spans="1:27" ht="15.75" customHeight="1" x14ac:dyDescent="0.3">
      <c r="A266" s="2501"/>
      <c r="B266" s="2501"/>
      <c r="C266" s="2501"/>
      <c r="D266" s="2501"/>
      <c r="E266" s="2501"/>
      <c r="F266" s="2501"/>
      <c r="G266" s="2501"/>
      <c r="H266" s="2501"/>
      <c r="I266" s="2501"/>
      <c r="J266" s="2501"/>
      <c r="K266" s="2501"/>
      <c r="L266" s="2501"/>
      <c r="M266" s="2501"/>
      <c r="N266" s="2501"/>
      <c r="O266" s="2501"/>
      <c r="P266" s="2501"/>
      <c r="Q266" s="2501"/>
      <c r="R266" s="2501"/>
      <c r="S266" s="2501"/>
      <c r="T266" s="2501"/>
      <c r="U266" s="2501"/>
      <c r="V266" s="2501"/>
      <c r="W266" s="2501"/>
      <c r="X266" s="2501"/>
      <c r="Y266" s="2501"/>
      <c r="Z266" s="2501"/>
      <c r="AA266" s="2501"/>
    </row>
    <row r="267" spans="1:27" ht="15.75" customHeight="1" x14ac:dyDescent="0.3">
      <c r="A267" s="2501"/>
      <c r="B267" s="2501"/>
      <c r="C267" s="2501"/>
      <c r="D267" s="2501"/>
      <c r="E267" s="2501"/>
      <c r="F267" s="2501"/>
      <c r="G267" s="2501"/>
      <c r="H267" s="2501"/>
      <c r="I267" s="2501"/>
      <c r="J267" s="2501"/>
      <c r="K267" s="2501"/>
      <c r="L267" s="2501"/>
      <c r="M267" s="2501"/>
      <c r="N267" s="2501"/>
      <c r="O267" s="2501"/>
      <c r="P267" s="2501"/>
      <c r="Q267" s="2501"/>
      <c r="R267" s="2501"/>
      <c r="S267" s="2501"/>
      <c r="T267" s="2501"/>
      <c r="U267" s="2501"/>
      <c r="V267" s="2501"/>
      <c r="W267" s="2501"/>
      <c r="X267" s="2501"/>
      <c r="Y267" s="2501"/>
      <c r="Z267" s="2501"/>
      <c r="AA267" s="2501"/>
    </row>
    <row r="268" spans="1:27" ht="15.75" customHeight="1" x14ac:dyDescent="0.3">
      <c r="A268" s="2501"/>
      <c r="B268" s="2501"/>
      <c r="C268" s="2501"/>
      <c r="D268" s="2501"/>
      <c r="E268" s="2501"/>
      <c r="F268" s="2501"/>
      <c r="G268" s="2501"/>
      <c r="H268" s="2501"/>
      <c r="I268" s="2501"/>
      <c r="J268" s="2501"/>
      <c r="K268" s="2501"/>
      <c r="L268" s="2501"/>
      <c r="M268" s="2501"/>
      <c r="N268" s="2501"/>
      <c r="O268" s="2501"/>
      <c r="P268" s="2501"/>
      <c r="Q268" s="2501"/>
      <c r="R268" s="2501"/>
      <c r="S268" s="2501"/>
      <c r="T268" s="2501"/>
      <c r="U268" s="2501"/>
      <c r="V268" s="2501"/>
      <c r="W268" s="2501"/>
      <c r="X268" s="2501"/>
      <c r="Y268" s="2501"/>
      <c r="Z268" s="2501"/>
      <c r="AA268" s="2501"/>
    </row>
    <row r="269" spans="1:27" ht="15.75" customHeight="1" x14ac:dyDescent="0.3">
      <c r="A269" s="2501"/>
      <c r="B269" s="2501"/>
      <c r="C269" s="2501"/>
      <c r="D269" s="2501"/>
      <c r="E269" s="2501"/>
      <c r="F269" s="2501"/>
      <c r="G269" s="2501"/>
      <c r="H269" s="2501"/>
      <c r="I269" s="2501"/>
      <c r="J269" s="2501"/>
      <c r="K269" s="2501"/>
      <c r="L269" s="2501"/>
      <c r="M269" s="2501"/>
      <c r="N269" s="2501"/>
      <c r="O269" s="2501"/>
      <c r="P269" s="2501"/>
      <c r="Q269" s="2501"/>
      <c r="R269" s="2501"/>
      <c r="S269" s="2501"/>
      <c r="T269" s="2501"/>
      <c r="U269" s="2501"/>
      <c r="V269" s="2501"/>
      <c r="W269" s="2501"/>
      <c r="X269" s="2501"/>
      <c r="Y269" s="2501"/>
      <c r="Z269" s="2501"/>
      <c r="AA269" s="2501"/>
    </row>
    <row r="270" spans="1:27" ht="15.75" customHeight="1" x14ac:dyDescent="0.3">
      <c r="A270" s="2501"/>
      <c r="B270" s="2501"/>
      <c r="C270" s="2501"/>
      <c r="D270" s="2501"/>
      <c r="E270" s="2501"/>
      <c r="F270" s="2501"/>
      <c r="G270" s="2501"/>
      <c r="H270" s="2501"/>
      <c r="I270" s="2501"/>
      <c r="J270" s="2501"/>
      <c r="K270" s="2501"/>
      <c r="L270" s="2501"/>
      <c r="M270" s="2501"/>
      <c r="N270" s="2501"/>
      <c r="O270" s="2501"/>
      <c r="P270" s="2501"/>
      <c r="Q270" s="2501"/>
      <c r="R270" s="2501"/>
      <c r="S270" s="2501"/>
      <c r="T270" s="2501"/>
      <c r="U270" s="2501"/>
      <c r="V270" s="2501"/>
      <c r="W270" s="2501"/>
      <c r="X270" s="2501"/>
      <c r="Y270" s="2501"/>
      <c r="Z270" s="2501"/>
      <c r="AA270" s="2501"/>
    </row>
    <row r="271" spans="1:27" ht="15.75" customHeight="1" x14ac:dyDescent="0.3">
      <c r="A271" s="2501"/>
      <c r="B271" s="2501"/>
      <c r="C271" s="2501"/>
      <c r="D271" s="2501"/>
      <c r="E271" s="2501"/>
      <c r="F271" s="2501"/>
      <c r="G271" s="2501"/>
      <c r="H271" s="2501"/>
      <c r="I271" s="2501"/>
      <c r="J271" s="2501"/>
      <c r="K271" s="2501"/>
      <c r="L271" s="2501"/>
      <c r="M271" s="2501"/>
      <c r="N271" s="2501"/>
      <c r="O271" s="2501"/>
      <c r="P271" s="2501"/>
      <c r="Q271" s="2501"/>
      <c r="R271" s="2501"/>
      <c r="S271" s="2501"/>
      <c r="T271" s="2501"/>
      <c r="U271" s="2501"/>
      <c r="V271" s="2501"/>
      <c r="W271" s="2501"/>
      <c r="X271" s="2501"/>
      <c r="Y271" s="2501"/>
      <c r="Z271" s="2501"/>
      <c r="AA271" s="2501"/>
    </row>
    <row r="272" spans="1:27" ht="15.75" customHeight="1" x14ac:dyDescent="0.3">
      <c r="A272" s="2501"/>
      <c r="B272" s="2501"/>
      <c r="C272" s="2501"/>
      <c r="D272" s="2501"/>
      <c r="E272" s="2501"/>
      <c r="F272" s="2501"/>
      <c r="G272" s="2501"/>
      <c r="H272" s="2501"/>
      <c r="I272" s="2501"/>
      <c r="J272" s="2501"/>
      <c r="K272" s="2501"/>
      <c r="L272" s="2501"/>
      <c r="M272" s="2501"/>
      <c r="N272" s="2501"/>
      <c r="O272" s="2501"/>
      <c r="P272" s="2501"/>
      <c r="Q272" s="2501"/>
      <c r="R272" s="2501"/>
      <c r="S272" s="2501"/>
      <c r="T272" s="2501"/>
      <c r="U272" s="2501"/>
      <c r="V272" s="2501"/>
      <c r="W272" s="2501"/>
      <c r="X272" s="2501"/>
      <c r="Y272" s="2501"/>
      <c r="Z272" s="2501"/>
      <c r="AA272" s="2501"/>
    </row>
    <row r="273" spans="1:27" ht="15.75" customHeight="1" x14ac:dyDescent="0.3">
      <c r="A273" s="2501"/>
      <c r="B273" s="2501"/>
      <c r="C273" s="2501"/>
      <c r="D273" s="2501"/>
      <c r="E273" s="2501"/>
      <c r="F273" s="2501"/>
      <c r="G273" s="2501"/>
      <c r="H273" s="2501"/>
      <c r="I273" s="2501"/>
      <c r="J273" s="2501"/>
      <c r="K273" s="2501"/>
      <c r="L273" s="2501"/>
      <c r="M273" s="2501"/>
      <c r="N273" s="2501"/>
      <c r="O273" s="2501"/>
      <c r="P273" s="2501"/>
      <c r="Q273" s="2501"/>
      <c r="R273" s="2501"/>
      <c r="S273" s="2501"/>
      <c r="T273" s="2501"/>
      <c r="U273" s="2501"/>
      <c r="V273" s="2501"/>
      <c r="W273" s="2501"/>
      <c r="X273" s="2501"/>
      <c r="Y273" s="2501"/>
      <c r="Z273" s="2501"/>
      <c r="AA273" s="2501"/>
    </row>
    <row r="274" spans="1:27" ht="15.75" customHeight="1" x14ac:dyDescent="0.3">
      <c r="A274" s="2501"/>
      <c r="B274" s="2501"/>
      <c r="C274" s="2501"/>
      <c r="D274" s="2501"/>
      <c r="E274" s="2501"/>
      <c r="F274" s="2501"/>
      <c r="G274" s="2501"/>
      <c r="H274" s="2501"/>
      <c r="I274" s="2501"/>
      <c r="J274" s="2501"/>
      <c r="K274" s="2501"/>
      <c r="L274" s="2501"/>
      <c r="M274" s="2501"/>
      <c r="N274" s="2501"/>
      <c r="O274" s="2501"/>
      <c r="P274" s="2501"/>
      <c r="Q274" s="2501"/>
      <c r="R274" s="2501"/>
      <c r="S274" s="2501"/>
      <c r="T274" s="2501"/>
      <c r="U274" s="2501"/>
      <c r="V274" s="2501"/>
      <c r="W274" s="2501"/>
      <c r="X274" s="2501"/>
      <c r="Y274" s="2501"/>
      <c r="Z274" s="2501"/>
      <c r="AA274" s="2501"/>
    </row>
    <row r="275" spans="1:27" ht="15.75" customHeight="1" x14ac:dyDescent="0.3">
      <c r="A275" s="2501"/>
      <c r="B275" s="2501"/>
      <c r="C275" s="2501"/>
      <c r="D275" s="2501"/>
      <c r="E275" s="2501"/>
      <c r="F275" s="2501"/>
      <c r="G275" s="2501"/>
      <c r="H275" s="2501"/>
      <c r="I275" s="2501"/>
      <c r="J275" s="2501"/>
      <c r="K275" s="2501"/>
      <c r="L275" s="2501"/>
      <c r="M275" s="2501"/>
      <c r="N275" s="2501"/>
      <c r="O275" s="2501"/>
      <c r="P275" s="2501"/>
      <c r="Q275" s="2501"/>
      <c r="R275" s="2501"/>
      <c r="S275" s="2501"/>
      <c r="T275" s="2501"/>
      <c r="U275" s="2501"/>
      <c r="V275" s="2501"/>
      <c r="W275" s="2501"/>
      <c r="X275" s="2501"/>
      <c r="Y275" s="2501"/>
      <c r="Z275" s="2501"/>
      <c r="AA275" s="2501"/>
    </row>
    <row r="276" spans="1:27" ht="15.75" customHeight="1" x14ac:dyDescent="0.3">
      <c r="A276" s="2501"/>
      <c r="B276" s="2501"/>
      <c r="C276" s="2501"/>
      <c r="D276" s="2501"/>
      <c r="E276" s="2501"/>
      <c r="F276" s="2501"/>
      <c r="G276" s="2501"/>
      <c r="H276" s="2501"/>
      <c r="I276" s="2501"/>
      <c r="J276" s="2501"/>
      <c r="K276" s="2501"/>
      <c r="L276" s="2501"/>
      <c r="M276" s="2501"/>
      <c r="N276" s="2501"/>
      <c r="O276" s="2501"/>
      <c r="P276" s="2501"/>
      <c r="Q276" s="2501"/>
      <c r="R276" s="2501"/>
      <c r="S276" s="2501"/>
      <c r="T276" s="2501"/>
      <c r="U276" s="2501"/>
      <c r="V276" s="2501"/>
      <c r="W276" s="2501"/>
      <c r="X276" s="2501"/>
      <c r="Y276" s="2501"/>
      <c r="Z276" s="2501"/>
      <c r="AA276" s="2501"/>
    </row>
    <row r="277" spans="1:27" ht="15.75" customHeight="1" x14ac:dyDescent="0.3">
      <c r="A277" s="2501"/>
      <c r="B277" s="2501"/>
      <c r="C277" s="2501"/>
      <c r="D277" s="2501"/>
      <c r="E277" s="2501"/>
      <c r="F277" s="2501"/>
      <c r="G277" s="2501"/>
      <c r="H277" s="2501"/>
      <c r="I277" s="2501"/>
      <c r="J277" s="2501"/>
      <c r="K277" s="2501"/>
      <c r="L277" s="2501"/>
      <c r="M277" s="2501"/>
      <c r="N277" s="2501"/>
      <c r="O277" s="2501"/>
      <c r="P277" s="2501"/>
      <c r="Q277" s="2501"/>
      <c r="R277" s="2501"/>
      <c r="S277" s="2501"/>
      <c r="T277" s="2501"/>
      <c r="U277" s="2501"/>
      <c r="V277" s="2501"/>
      <c r="W277" s="2501"/>
      <c r="X277" s="2501"/>
      <c r="Y277" s="2501"/>
      <c r="Z277" s="2501"/>
      <c r="AA277" s="2501"/>
    </row>
    <row r="278" spans="1:27" ht="15.75" customHeight="1" x14ac:dyDescent="0.3">
      <c r="A278" s="2501"/>
      <c r="B278" s="2501"/>
      <c r="C278" s="2501"/>
      <c r="D278" s="2501"/>
      <c r="E278" s="2501"/>
      <c r="F278" s="2501"/>
      <c r="G278" s="2501"/>
      <c r="H278" s="2501"/>
      <c r="I278" s="2501"/>
      <c r="J278" s="2501"/>
      <c r="K278" s="2501"/>
      <c r="L278" s="2501"/>
      <c r="M278" s="2501"/>
      <c r="N278" s="2501"/>
      <c r="O278" s="2501"/>
      <c r="P278" s="2501"/>
      <c r="Q278" s="2501"/>
      <c r="R278" s="2501"/>
      <c r="S278" s="2501"/>
      <c r="T278" s="2501"/>
      <c r="U278" s="2501"/>
      <c r="V278" s="2501"/>
      <c r="W278" s="2501"/>
      <c r="X278" s="2501"/>
      <c r="Y278" s="2501"/>
      <c r="Z278" s="2501"/>
      <c r="AA278" s="2501"/>
    </row>
    <row r="279" spans="1:27" ht="15.75" customHeight="1" x14ac:dyDescent="0.3">
      <c r="A279" s="2501"/>
      <c r="B279" s="2501"/>
      <c r="C279" s="2501"/>
      <c r="D279" s="2501"/>
      <c r="E279" s="2501"/>
      <c r="F279" s="2501"/>
      <c r="G279" s="2501"/>
      <c r="H279" s="2501"/>
      <c r="I279" s="2501"/>
      <c r="J279" s="2501"/>
      <c r="K279" s="2501"/>
      <c r="L279" s="2501"/>
      <c r="M279" s="2501"/>
      <c r="N279" s="2501"/>
      <c r="O279" s="2501"/>
      <c r="P279" s="2501"/>
      <c r="Q279" s="2501"/>
      <c r="R279" s="2501"/>
      <c r="S279" s="2501"/>
      <c r="T279" s="2501"/>
      <c r="U279" s="2501"/>
      <c r="V279" s="2501"/>
      <c r="W279" s="2501"/>
      <c r="X279" s="2501"/>
      <c r="Y279" s="2501"/>
      <c r="Z279" s="2501"/>
      <c r="AA279" s="2501"/>
    </row>
    <row r="280" spans="1:27" ht="15.75" customHeight="1" x14ac:dyDescent="0.3">
      <c r="A280" s="2501"/>
      <c r="B280" s="2501"/>
      <c r="C280" s="2501"/>
      <c r="D280" s="2501"/>
      <c r="E280" s="2501"/>
      <c r="F280" s="2501"/>
      <c r="G280" s="2501"/>
      <c r="H280" s="2501"/>
      <c r="I280" s="2501"/>
      <c r="J280" s="2501"/>
      <c r="K280" s="2501"/>
      <c r="L280" s="2501"/>
      <c r="M280" s="2501"/>
      <c r="N280" s="2501"/>
      <c r="O280" s="2501"/>
      <c r="P280" s="2501"/>
      <c r="Q280" s="2501"/>
      <c r="R280" s="2501"/>
      <c r="S280" s="2501"/>
      <c r="T280" s="2501"/>
      <c r="U280" s="2501"/>
      <c r="V280" s="2501"/>
      <c r="W280" s="2501"/>
      <c r="X280" s="2501"/>
      <c r="Y280" s="2501"/>
      <c r="Z280" s="2501"/>
      <c r="AA280" s="2501"/>
    </row>
    <row r="281" spans="1:27" ht="15.75" customHeight="1" x14ac:dyDescent="0.3">
      <c r="A281" s="2501"/>
      <c r="B281" s="2501"/>
      <c r="C281" s="2501"/>
      <c r="D281" s="2501"/>
      <c r="E281" s="2501"/>
      <c r="F281" s="2501"/>
      <c r="G281" s="2501"/>
      <c r="H281" s="2501"/>
      <c r="I281" s="2501"/>
      <c r="J281" s="2501"/>
      <c r="K281" s="2501"/>
      <c r="L281" s="2501"/>
      <c r="M281" s="2501"/>
      <c r="N281" s="2501"/>
      <c r="O281" s="2501"/>
      <c r="P281" s="2501"/>
      <c r="Q281" s="2501"/>
      <c r="R281" s="2501"/>
      <c r="S281" s="2501"/>
      <c r="T281" s="2501"/>
      <c r="U281" s="2501"/>
      <c r="V281" s="2501"/>
      <c r="W281" s="2501"/>
      <c r="X281" s="2501"/>
      <c r="Y281" s="2501"/>
      <c r="Z281" s="2501"/>
      <c r="AA281" s="2501"/>
    </row>
    <row r="282" spans="1:27" ht="15.75" customHeight="1" x14ac:dyDescent="0.3">
      <c r="A282" s="2501"/>
      <c r="B282" s="2501"/>
      <c r="C282" s="2501"/>
      <c r="D282" s="2501"/>
      <c r="E282" s="2501"/>
      <c r="F282" s="2501"/>
      <c r="G282" s="2501"/>
      <c r="H282" s="2501"/>
      <c r="I282" s="2501"/>
      <c r="J282" s="2501"/>
      <c r="K282" s="2501"/>
      <c r="L282" s="2501"/>
      <c r="M282" s="2501"/>
      <c r="N282" s="2501"/>
      <c r="O282" s="2501"/>
      <c r="P282" s="2501"/>
      <c r="Q282" s="2501"/>
      <c r="R282" s="2501"/>
      <c r="S282" s="2501"/>
      <c r="T282" s="2501"/>
      <c r="U282" s="2501"/>
      <c r="V282" s="2501"/>
      <c r="W282" s="2501"/>
      <c r="X282" s="2501"/>
      <c r="Y282" s="2501"/>
      <c r="Z282" s="2501"/>
      <c r="AA282" s="2501"/>
    </row>
    <row r="283" spans="1:27" ht="15.75" customHeight="1" x14ac:dyDescent="0.3">
      <c r="A283" s="2501"/>
      <c r="B283" s="2501"/>
      <c r="C283" s="2501"/>
      <c r="D283" s="2501"/>
      <c r="E283" s="2501"/>
      <c r="F283" s="2501"/>
      <c r="G283" s="2501"/>
      <c r="H283" s="2501"/>
      <c r="I283" s="2501"/>
      <c r="J283" s="2501"/>
      <c r="K283" s="2501"/>
      <c r="L283" s="2501"/>
      <c r="M283" s="2501"/>
      <c r="N283" s="2501"/>
      <c r="O283" s="2501"/>
      <c r="P283" s="2501"/>
      <c r="Q283" s="2501"/>
      <c r="R283" s="2501"/>
      <c r="S283" s="2501"/>
      <c r="T283" s="2501"/>
      <c r="U283" s="2501"/>
      <c r="V283" s="2501"/>
      <c r="W283" s="2501"/>
      <c r="X283" s="2501"/>
      <c r="Y283" s="2501"/>
      <c r="Z283" s="2501"/>
      <c r="AA283" s="2501"/>
    </row>
    <row r="284" spans="1:27" ht="15.75" customHeight="1" x14ac:dyDescent="0.3">
      <c r="A284" s="2501"/>
      <c r="B284" s="2501"/>
      <c r="C284" s="2501"/>
      <c r="D284" s="2501"/>
      <c r="E284" s="2501"/>
      <c r="F284" s="2501"/>
      <c r="G284" s="2501"/>
      <c r="H284" s="2501"/>
      <c r="I284" s="2501"/>
      <c r="J284" s="2501"/>
      <c r="K284" s="2501"/>
      <c r="L284" s="2501"/>
      <c r="M284" s="2501"/>
      <c r="N284" s="2501"/>
      <c r="O284" s="2501"/>
      <c r="P284" s="2501"/>
      <c r="Q284" s="2501"/>
      <c r="R284" s="2501"/>
      <c r="S284" s="2501"/>
      <c r="T284" s="2501"/>
      <c r="U284" s="2501"/>
      <c r="V284" s="2501"/>
      <c r="W284" s="2501"/>
      <c r="X284" s="2501"/>
      <c r="Y284" s="2501"/>
      <c r="Z284" s="2501"/>
      <c r="AA284" s="2501"/>
    </row>
    <row r="285" spans="1:27" ht="15.75" customHeight="1" x14ac:dyDescent="0.3">
      <c r="A285" s="2501"/>
      <c r="B285" s="2501"/>
      <c r="C285" s="2501"/>
      <c r="D285" s="2501"/>
      <c r="E285" s="2501"/>
      <c r="F285" s="2501"/>
      <c r="G285" s="2501"/>
      <c r="H285" s="2501"/>
      <c r="I285" s="2501"/>
      <c r="J285" s="2501"/>
      <c r="K285" s="2501"/>
      <c r="L285" s="2501"/>
      <c r="M285" s="2501"/>
      <c r="N285" s="2501"/>
      <c r="O285" s="2501"/>
      <c r="P285" s="2501"/>
      <c r="Q285" s="2501"/>
      <c r="R285" s="2501"/>
      <c r="S285" s="2501"/>
      <c r="T285" s="2501"/>
      <c r="U285" s="2501"/>
      <c r="V285" s="2501"/>
      <c r="W285" s="2501"/>
      <c r="X285" s="2501"/>
      <c r="Y285" s="2501"/>
      <c r="Z285" s="2501"/>
      <c r="AA285" s="2501"/>
    </row>
    <row r="286" spans="1:27" ht="15.75" customHeight="1" x14ac:dyDescent="0.3">
      <c r="A286" s="2501"/>
      <c r="B286" s="2501"/>
      <c r="C286" s="2501"/>
      <c r="D286" s="2501"/>
      <c r="E286" s="2501"/>
      <c r="F286" s="2501"/>
      <c r="G286" s="2501"/>
      <c r="H286" s="2501"/>
      <c r="I286" s="2501"/>
      <c r="J286" s="2501"/>
      <c r="K286" s="2501"/>
      <c r="L286" s="2501"/>
      <c r="M286" s="2501"/>
      <c r="N286" s="2501"/>
      <c r="O286" s="2501"/>
      <c r="P286" s="2501"/>
      <c r="Q286" s="2501"/>
      <c r="R286" s="2501"/>
      <c r="S286" s="2501"/>
      <c r="T286" s="2501"/>
      <c r="U286" s="2501"/>
      <c r="V286" s="2501"/>
      <c r="W286" s="2501"/>
      <c r="X286" s="2501"/>
      <c r="Y286" s="2501"/>
      <c r="Z286" s="2501"/>
      <c r="AA286" s="2501"/>
    </row>
    <row r="287" spans="1:27" ht="15.75" customHeight="1" x14ac:dyDescent="0.3">
      <c r="A287" s="2501"/>
      <c r="B287" s="2501"/>
      <c r="C287" s="2501"/>
      <c r="D287" s="2501"/>
      <c r="E287" s="2501"/>
      <c r="F287" s="2501"/>
      <c r="G287" s="2501"/>
      <c r="H287" s="2501"/>
      <c r="I287" s="2501"/>
      <c r="J287" s="2501"/>
      <c r="K287" s="2501"/>
      <c r="L287" s="2501"/>
      <c r="M287" s="2501"/>
      <c r="N287" s="2501"/>
      <c r="O287" s="2501"/>
      <c r="P287" s="2501"/>
      <c r="Q287" s="2501"/>
      <c r="R287" s="2501"/>
      <c r="S287" s="2501"/>
      <c r="T287" s="2501"/>
      <c r="U287" s="2501"/>
      <c r="V287" s="2501"/>
      <c r="W287" s="2501"/>
      <c r="X287" s="2501"/>
      <c r="Y287" s="2501"/>
      <c r="Z287" s="2501"/>
      <c r="AA287" s="2501"/>
    </row>
    <row r="288" spans="1:27" ht="15.75" customHeight="1" x14ac:dyDescent="0.3">
      <c r="A288" s="2501"/>
      <c r="B288" s="2501"/>
      <c r="C288" s="2501"/>
      <c r="D288" s="2501"/>
      <c r="E288" s="2501"/>
      <c r="F288" s="2501"/>
      <c r="G288" s="2501"/>
      <c r="H288" s="2501"/>
      <c r="I288" s="2501"/>
      <c r="J288" s="2501"/>
      <c r="K288" s="2501"/>
      <c r="L288" s="2501"/>
      <c r="M288" s="2501"/>
      <c r="N288" s="2501"/>
      <c r="O288" s="2501"/>
      <c r="P288" s="2501"/>
      <c r="Q288" s="2501"/>
      <c r="R288" s="2501"/>
      <c r="S288" s="2501"/>
      <c r="T288" s="2501"/>
      <c r="U288" s="2501"/>
      <c r="V288" s="2501"/>
      <c r="W288" s="2501"/>
      <c r="X288" s="2501"/>
      <c r="Y288" s="2501"/>
      <c r="Z288" s="2501"/>
      <c r="AA288" s="2501"/>
    </row>
    <row r="289" spans="1:27" ht="15.75" customHeight="1" x14ac:dyDescent="0.3">
      <c r="A289" s="2501"/>
      <c r="B289" s="2501"/>
      <c r="C289" s="2501"/>
      <c r="D289" s="2501"/>
      <c r="E289" s="2501"/>
      <c r="F289" s="2501"/>
      <c r="G289" s="2501"/>
      <c r="H289" s="2501"/>
      <c r="I289" s="2501"/>
      <c r="J289" s="2501"/>
      <c r="K289" s="2501"/>
      <c r="L289" s="2501"/>
      <c r="M289" s="2501"/>
      <c r="N289" s="2501"/>
      <c r="O289" s="2501"/>
      <c r="P289" s="2501"/>
      <c r="Q289" s="2501"/>
      <c r="R289" s="2501"/>
      <c r="S289" s="2501"/>
      <c r="T289" s="2501"/>
      <c r="U289" s="2501"/>
      <c r="V289" s="2501"/>
      <c r="W289" s="2501"/>
      <c r="X289" s="2501"/>
      <c r="Y289" s="2501"/>
      <c r="Z289" s="2501"/>
      <c r="AA289" s="2501"/>
    </row>
    <row r="290" spans="1:27" ht="15.75" customHeight="1" x14ac:dyDescent="0.3">
      <c r="A290" s="2501"/>
      <c r="B290" s="2501"/>
      <c r="C290" s="2501"/>
      <c r="D290" s="2501"/>
      <c r="E290" s="2501"/>
      <c r="F290" s="2501"/>
      <c r="G290" s="2501"/>
      <c r="H290" s="2501"/>
      <c r="I290" s="2501"/>
      <c r="J290" s="2501"/>
      <c r="K290" s="2501"/>
      <c r="L290" s="2501"/>
      <c r="M290" s="2501"/>
      <c r="N290" s="2501"/>
      <c r="O290" s="2501"/>
      <c r="P290" s="2501"/>
      <c r="Q290" s="2501"/>
      <c r="R290" s="2501"/>
      <c r="S290" s="2501"/>
      <c r="T290" s="2501"/>
      <c r="U290" s="2501"/>
      <c r="V290" s="2501"/>
      <c r="W290" s="2501"/>
      <c r="X290" s="2501"/>
      <c r="Y290" s="2501"/>
      <c r="Z290" s="2501"/>
      <c r="AA290" s="2501"/>
    </row>
    <row r="291" spans="1:27" ht="15.75" customHeight="1" x14ac:dyDescent="0.3">
      <c r="A291" s="2501"/>
      <c r="B291" s="2501"/>
      <c r="C291" s="2501"/>
      <c r="D291" s="2501"/>
      <c r="E291" s="2501"/>
      <c r="F291" s="2501"/>
      <c r="G291" s="2501"/>
      <c r="H291" s="2501"/>
      <c r="I291" s="2501"/>
      <c r="J291" s="2501"/>
      <c r="K291" s="2501"/>
      <c r="L291" s="2501"/>
      <c r="M291" s="2501"/>
      <c r="N291" s="2501"/>
      <c r="O291" s="2501"/>
      <c r="P291" s="2501"/>
      <c r="Q291" s="2501"/>
      <c r="R291" s="2501"/>
      <c r="S291" s="2501"/>
      <c r="T291" s="2501"/>
      <c r="U291" s="2501"/>
      <c r="V291" s="2501"/>
      <c r="W291" s="2501"/>
      <c r="X291" s="2501"/>
      <c r="Y291" s="2501"/>
      <c r="Z291" s="2501"/>
      <c r="AA291" s="2501"/>
    </row>
    <row r="292" spans="1:27" ht="15.75" customHeight="1" x14ac:dyDescent="0.3">
      <c r="A292" s="2501"/>
      <c r="B292" s="2501"/>
      <c r="C292" s="2501"/>
      <c r="D292" s="2501"/>
      <c r="E292" s="2501"/>
      <c r="F292" s="2501"/>
      <c r="G292" s="2501"/>
      <c r="H292" s="2501"/>
      <c r="I292" s="2501"/>
      <c r="J292" s="2501"/>
      <c r="K292" s="2501"/>
      <c r="L292" s="2501"/>
      <c r="M292" s="2501"/>
      <c r="N292" s="2501"/>
      <c r="O292" s="2501"/>
      <c r="P292" s="2501"/>
      <c r="Q292" s="2501"/>
      <c r="R292" s="2501"/>
      <c r="S292" s="2501"/>
      <c r="T292" s="2501"/>
      <c r="U292" s="2501"/>
      <c r="V292" s="2501"/>
      <c r="W292" s="2501"/>
      <c r="X292" s="2501"/>
      <c r="Y292" s="2501"/>
      <c r="Z292" s="2501"/>
      <c r="AA292" s="2501"/>
    </row>
    <row r="293" spans="1:27" ht="15.75" customHeight="1" x14ac:dyDescent="0.3">
      <c r="A293" s="2501"/>
      <c r="B293" s="2501"/>
      <c r="C293" s="2501"/>
      <c r="D293" s="2501"/>
      <c r="E293" s="2501"/>
      <c r="F293" s="2501"/>
      <c r="G293" s="2501"/>
      <c r="H293" s="2501"/>
      <c r="I293" s="2501"/>
      <c r="J293" s="2501"/>
      <c r="K293" s="2501"/>
      <c r="L293" s="2501"/>
      <c r="M293" s="2501"/>
      <c r="N293" s="2501"/>
      <c r="O293" s="2501"/>
      <c r="P293" s="2501"/>
      <c r="Q293" s="2501"/>
      <c r="R293" s="2501"/>
      <c r="S293" s="2501"/>
      <c r="T293" s="2501"/>
      <c r="U293" s="2501"/>
      <c r="V293" s="2501"/>
      <c r="W293" s="2501"/>
      <c r="X293" s="2501"/>
      <c r="Y293" s="2501"/>
      <c r="Z293" s="2501"/>
      <c r="AA293" s="2501"/>
    </row>
    <row r="294" spans="1:27" ht="15.75" customHeight="1" x14ac:dyDescent="0.3">
      <c r="A294" s="2501"/>
      <c r="B294" s="2501"/>
      <c r="C294" s="2501"/>
      <c r="D294" s="2501"/>
      <c r="E294" s="2501"/>
      <c r="F294" s="2501"/>
      <c r="G294" s="2501"/>
      <c r="H294" s="2501"/>
      <c r="I294" s="2501"/>
      <c r="J294" s="2501"/>
      <c r="K294" s="2501"/>
      <c r="L294" s="2501"/>
      <c r="M294" s="2501"/>
      <c r="N294" s="2501"/>
      <c r="O294" s="2501"/>
      <c r="P294" s="2501"/>
      <c r="Q294" s="2501"/>
      <c r="R294" s="2501"/>
      <c r="S294" s="2501"/>
      <c r="T294" s="2501"/>
      <c r="U294" s="2501"/>
      <c r="V294" s="2501"/>
      <c r="W294" s="2501"/>
      <c r="X294" s="2501"/>
      <c r="Y294" s="2501"/>
      <c r="Z294" s="2501"/>
      <c r="AA294" s="2501"/>
    </row>
    <row r="295" spans="1:27" ht="15.75" customHeight="1" x14ac:dyDescent="0.3">
      <c r="A295" s="2501"/>
      <c r="B295" s="2501"/>
      <c r="C295" s="2501"/>
      <c r="D295" s="2501"/>
      <c r="E295" s="2501"/>
      <c r="F295" s="2501"/>
      <c r="G295" s="2501"/>
      <c r="H295" s="2501"/>
      <c r="I295" s="2501"/>
      <c r="J295" s="2501"/>
      <c r="K295" s="2501"/>
      <c r="L295" s="2501"/>
      <c r="M295" s="2501"/>
      <c r="N295" s="2501"/>
      <c r="O295" s="2501"/>
      <c r="P295" s="2501"/>
      <c r="Q295" s="2501"/>
      <c r="R295" s="2501"/>
      <c r="S295" s="2501"/>
      <c r="T295" s="2501"/>
      <c r="U295" s="2501"/>
      <c r="V295" s="2501"/>
      <c r="W295" s="2501"/>
      <c r="X295" s="2501"/>
      <c r="Y295" s="2501"/>
      <c r="Z295" s="2501"/>
      <c r="AA295" s="2501"/>
    </row>
    <row r="296" spans="1:27" ht="15.75" customHeight="1" x14ac:dyDescent="0.3">
      <c r="A296" s="2501"/>
      <c r="B296" s="2501"/>
      <c r="C296" s="2501"/>
      <c r="D296" s="2501"/>
      <c r="E296" s="2501"/>
      <c r="F296" s="2501"/>
      <c r="G296" s="2501"/>
      <c r="H296" s="2501"/>
      <c r="I296" s="2501"/>
      <c r="J296" s="2501"/>
      <c r="K296" s="2501"/>
      <c r="L296" s="2501"/>
      <c r="M296" s="2501"/>
      <c r="N296" s="2501"/>
      <c r="O296" s="2501"/>
      <c r="P296" s="2501"/>
      <c r="Q296" s="2501"/>
      <c r="R296" s="2501"/>
      <c r="S296" s="2501"/>
      <c r="T296" s="2501"/>
      <c r="U296" s="2501"/>
      <c r="V296" s="2501"/>
      <c r="W296" s="2501"/>
      <c r="X296" s="2501"/>
      <c r="Y296" s="2501"/>
      <c r="Z296" s="2501"/>
      <c r="AA296" s="2501"/>
    </row>
    <row r="297" spans="1:27" ht="15.75" customHeight="1" x14ac:dyDescent="0.3">
      <c r="A297" s="2501"/>
      <c r="B297" s="2501"/>
      <c r="C297" s="2501"/>
      <c r="D297" s="2501"/>
      <c r="E297" s="2501"/>
      <c r="F297" s="2501"/>
      <c r="G297" s="2501"/>
      <c r="H297" s="2501"/>
      <c r="I297" s="2501"/>
      <c r="J297" s="2501"/>
      <c r="K297" s="2501"/>
      <c r="L297" s="2501"/>
      <c r="M297" s="2501"/>
      <c r="N297" s="2501"/>
      <c r="O297" s="2501"/>
      <c r="P297" s="2501"/>
      <c r="Q297" s="2501"/>
      <c r="R297" s="2501"/>
      <c r="S297" s="2501"/>
      <c r="T297" s="2501"/>
      <c r="U297" s="2501"/>
      <c r="V297" s="2501"/>
      <c r="W297" s="2501"/>
      <c r="X297" s="2501"/>
      <c r="Y297" s="2501"/>
      <c r="Z297" s="2501"/>
      <c r="AA297" s="2501"/>
    </row>
    <row r="298" spans="1:27" ht="15.75" customHeight="1" x14ac:dyDescent="0.3">
      <c r="A298" s="2501"/>
      <c r="B298" s="2501"/>
      <c r="C298" s="2501"/>
      <c r="D298" s="2501"/>
      <c r="E298" s="2501"/>
      <c r="F298" s="2501"/>
      <c r="G298" s="2501"/>
      <c r="H298" s="2501"/>
      <c r="I298" s="2501"/>
      <c r="J298" s="2501"/>
      <c r="K298" s="2501"/>
      <c r="L298" s="2501"/>
      <c r="M298" s="2501"/>
      <c r="N298" s="2501"/>
      <c r="O298" s="2501"/>
      <c r="P298" s="2501"/>
      <c r="Q298" s="2501"/>
      <c r="R298" s="2501"/>
      <c r="S298" s="2501"/>
      <c r="T298" s="2501"/>
      <c r="U298" s="2501"/>
      <c r="V298" s="2501"/>
      <c r="W298" s="2501"/>
      <c r="X298" s="2501"/>
      <c r="Y298" s="2501"/>
      <c r="Z298" s="2501"/>
      <c r="AA298" s="2501"/>
    </row>
    <row r="299" spans="1:27" ht="15.75" customHeight="1" x14ac:dyDescent="0.3">
      <c r="A299" s="2501"/>
      <c r="B299" s="2501"/>
      <c r="C299" s="2501"/>
      <c r="D299" s="2501"/>
      <c r="E299" s="2501"/>
      <c r="F299" s="2501"/>
      <c r="G299" s="2501"/>
      <c r="H299" s="2501"/>
      <c r="I299" s="2501"/>
      <c r="J299" s="2501"/>
      <c r="K299" s="2501"/>
      <c r="L299" s="2501"/>
      <c r="M299" s="2501"/>
      <c r="N299" s="2501"/>
      <c r="O299" s="2501"/>
      <c r="P299" s="2501"/>
      <c r="Q299" s="2501"/>
      <c r="R299" s="2501"/>
      <c r="S299" s="2501"/>
      <c r="T299" s="2501"/>
      <c r="U299" s="2501"/>
      <c r="V299" s="2501"/>
      <c r="W299" s="2501"/>
      <c r="X299" s="2501"/>
      <c r="Y299" s="2501"/>
      <c r="Z299" s="2501"/>
      <c r="AA299" s="2501"/>
    </row>
    <row r="300" spans="1:27" ht="15.75" customHeight="1" x14ac:dyDescent="0.3">
      <c r="A300" s="2501"/>
      <c r="B300" s="2501"/>
      <c r="C300" s="2501"/>
      <c r="D300" s="2501"/>
      <c r="E300" s="2501"/>
      <c r="F300" s="2501"/>
      <c r="G300" s="2501"/>
      <c r="H300" s="2501"/>
      <c r="I300" s="2501"/>
      <c r="J300" s="2501"/>
      <c r="K300" s="2501"/>
      <c r="L300" s="2501"/>
      <c r="M300" s="2501"/>
      <c r="N300" s="2501"/>
      <c r="O300" s="2501"/>
      <c r="P300" s="2501"/>
      <c r="Q300" s="2501"/>
      <c r="R300" s="2501"/>
      <c r="S300" s="2501"/>
      <c r="T300" s="2501"/>
      <c r="U300" s="2501"/>
      <c r="V300" s="2501"/>
      <c r="W300" s="2501"/>
      <c r="X300" s="2501"/>
      <c r="Y300" s="2501"/>
      <c r="Z300" s="2501"/>
      <c r="AA300" s="2501"/>
    </row>
    <row r="301" spans="1:27" ht="15.75" customHeight="1" x14ac:dyDescent="0.3">
      <c r="A301" s="2501"/>
      <c r="B301" s="2501"/>
      <c r="C301" s="2501"/>
      <c r="D301" s="2501"/>
      <c r="E301" s="2501"/>
      <c r="F301" s="2501"/>
      <c r="G301" s="2501"/>
      <c r="H301" s="2501"/>
      <c r="I301" s="2501"/>
      <c r="J301" s="2501"/>
      <c r="K301" s="2501"/>
      <c r="L301" s="2501"/>
      <c r="M301" s="2501"/>
      <c r="N301" s="2501"/>
      <c r="O301" s="2501"/>
      <c r="P301" s="2501"/>
      <c r="Q301" s="2501"/>
      <c r="R301" s="2501"/>
      <c r="S301" s="2501"/>
      <c r="T301" s="2501"/>
      <c r="U301" s="2501"/>
      <c r="V301" s="2501"/>
      <c r="W301" s="2501"/>
      <c r="X301" s="2501"/>
      <c r="Y301" s="2501"/>
      <c r="Z301" s="2501"/>
      <c r="AA301" s="2501"/>
    </row>
    <row r="302" spans="1:27" ht="15.75" customHeight="1" x14ac:dyDescent="0.3">
      <c r="A302" s="2501"/>
      <c r="B302" s="2501"/>
      <c r="C302" s="2501"/>
      <c r="D302" s="2501"/>
      <c r="E302" s="2501"/>
      <c r="F302" s="2501"/>
      <c r="G302" s="2501"/>
      <c r="H302" s="2501"/>
      <c r="I302" s="2501"/>
      <c r="J302" s="2501"/>
      <c r="K302" s="2501"/>
      <c r="L302" s="2501"/>
      <c r="M302" s="2501"/>
      <c r="N302" s="2501"/>
      <c r="O302" s="2501"/>
      <c r="P302" s="2501"/>
      <c r="Q302" s="2501"/>
      <c r="R302" s="2501"/>
      <c r="S302" s="2501"/>
      <c r="T302" s="2501"/>
      <c r="U302" s="2501"/>
      <c r="V302" s="2501"/>
      <c r="W302" s="2501"/>
      <c r="X302" s="2501"/>
      <c r="Y302" s="2501"/>
      <c r="Z302" s="2501"/>
      <c r="AA302" s="2501"/>
    </row>
    <row r="303" spans="1:27" ht="15.75" customHeight="1" x14ac:dyDescent="0.3">
      <c r="A303" s="2501"/>
      <c r="B303" s="2501"/>
      <c r="C303" s="2501"/>
      <c r="D303" s="2501"/>
      <c r="E303" s="2501"/>
      <c r="F303" s="2501"/>
      <c r="G303" s="2501"/>
      <c r="H303" s="2501"/>
      <c r="I303" s="2501"/>
      <c r="J303" s="2501"/>
      <c r="K303" s="2501"/>
      <c r="L303" s="2501"/>
      <c r="M303" s="2501"/>
      <c r="N303" s="2501"/>
      <c r="O303" s="2501"/>
      <c r="P303" s="2501"/>
      <c r="Q303" s="2501"/>
      <c r="R303" s="2501"/>
      <c r="S303" s="2501"/>
      <c r="T303" s="2501"/>
      <c r="U303" s="2501"/>
      <c r="V303" s="2501"/>
      <c r="W303" s="2501"/>
      <c r="X303" s="2501"/>
      <c r="Y303" s="2501"/>
      <c r="Z303" s="2501"/>
      <c r="AA303" s="2501"/>
    </row>
    <row r="304" spans="1:27" ht="15.75" customHeight="1" x14ac:dyDescent="0.3">
      <c r="A304" s="2501"/>
      <c r="B304" s="2501"/>
      <c r="C304" s="2501"/>
      <c r="D304" s="2501"/>
      <c r="E304" s="2501"/>
      <c r="F304" s="2501"/>
      <c r="G304" s="2501"/>
      <c r="H304" s="2501"/>
      <c r="I304" s="2501"/>
      <c r="J304" s="2501"/>
      <c r="K304" s="2501"/>
      <c r="L304" s="2501"/>
      <c r="M304" s="2501"/>
      <c r="N304" s="2501"/>
      <c r="O304" s="2501"/>
      <c r="P304" s="2501"/>
      <c r="Q304" s="2501"/>
      <c r="R304" s="2501"/>
      <c r="S304" s="2501"/>
      <c r="T304" s="2501"/>
      <c r="U304" s="2501"/>
      <c r="V304" s="2501"/>
      <c r="W304" s="2501"/>
      <c r="X304" s="2501"/>
      <c r="Y304" s="2501"/>
      <c r="Z304" s="2501"/>
      <c r="AA304" s="2501"/>
    </row>
    <row r="305" spans="1:27" ht="15.75" customHeight="1" x14ac:dyDescent="0.3">
      <c r="A305" s="2501"/>
      <c r="B305" s="2501"/>
      <c r="C305" s="2501"/>
      <c r="D305" s="2501"/>
      <c r="E305" s="2501"/>
      <c r="F305" s="2501"/>
      <c r="G305" s="2501"/>
      <c r="H305" s="2501"/>
      <c r="I305" s="2501"/>
      <c r="J305" s="2501"/>
      <c r="K305" s="2501"/>
      <c r="L305" s="2501"/>
      <c r="M305" s="2501"/>
      <c r="N305" s="2501"/>
      <c r="O305" s="2501"/>
      <c r="P305" s="2501"/>
      <c r="Q305" s="2501"/>
      <c r="R305" s="2501"/>
      <c r="S305" s="2501"/>
      <c r="T305" s="2501"/>
      <c r="U305" s="2501"/>
      <c r="V305" s="2501"/>
      <c r="W305" s="2501"/>
      <c r="X305" s="2501"/>
      <c r="Y305" s="2501"/>
      <c r="Z305" s="2501"/>
      <c r="AA305" s="2501"/>
    </row>
    <row r="306" spans="1:27" ht="15.75" customHeight="1" x14ac:dyDescent="0.3">
      <c r="A306" s="2501"/>
      <c r="B306" s="2501"/>
      <c r="C306" s="2501"/>
      <c r="D306" s="2501"/>
      <c r="E306" s="2501"/>
      <c r="F306" s="2501"/>
      <c r="G306" s="2501"/>
      <c r="H306" s="2501"/>
      <c r="I306" s="2501"/>
      <c r="J306" s="2501"/>
      <c r="K306" s="2501"/>
      <c r="L306" s="2501"/>
      <c r="M306" s="2501"/>
      <c r="N306" s="2501"/>
      <c r="O306" s="2501"/>
      <c r="P306" s="2501"/>
      <c r="Q306" s="2501"/>
      <c r="R306" s="2501"/>
      <c r="S306" s="2501"/>
      <c r="T306" s="2501"/>
      <c r="U306" s="2501"/>
      <c r="V306" s="2501"/>
      <c r="W306" s="2501"/>
      <c r="X306" s="2501"/>
      <c r="Y306" s="2501"/>
      <c r="Z306" s="2501"/>
      <c r="AA306" s="2501"/>
    </row>
    <row r="307" spans="1:27" ht="15.75" customHeight="1" x14ac:dyDescent="0.3">
      <c r="A307" s="2501"/>
      <c r="B307" s="2501"/>
      <c r="C307" s="2501"/>
      <c r="D307" s="2501"/>
      <c r="E307" s="2501"/>
      <c r="F307" s="2501"/>
      <c r="G307" s="2501"/>
      <c r="H307" s="2501"/>
      <c r="I307" s="2501"/>
      <c r="J307" s="2501"/>
      <c r="K307" s="2501"/>
      <c r="L307" s="2501"/>
      <c r="M307" s="2501"/>
      <c r="N307" s="2501"/>
      <c r="O307" s="2501"/>
      <c r="P307" s="2501"/>
      <c r="Q307" s="2501"/>
      <c r="R307" s="2501"/>
      <c r="S307" s="2501"/>
      <c r="T307" s="2501"/>
      <c r="U307" s="2501"/>
      <c r="V307" s="2501"/>
      <c r="W307" s="2501"/>
      <c r="X307" s="2501"/>
      <c r="Y307" s="2501"/>
      <c r="Z307" s="2501"/>
      <c r="AA307" s="2501"/>
    </row>
    <row r="308" spans="1:27" ht="15.75" customHeight="1" x14ac:dyDescent="0.3">
      <c r="A308" s="2501"/>
      <c r="B308" s="2501"/>
      <c r="C308" s="2501"/>
      <c r="D308" s="2501"/>
      <c r="E308" s="2501"/>
      <c r="F308" s="2501"/>
      <c r="G308" s="2501"/>
      <c r="H308" s="2501"/>
      <c r="I308" s="2501"/>
      <c r="J308" s="2501"/>
      <c r="K308" s="2501"/>
      <c r="L308" s="2501"/>
      <c r="M308" s="2501"/>
      <c r="N308" s="2501"/>
      <c r="O308" s="2501"/>
      <c r="P308" s="2501"/>
      <c r="Q308" s="2501"/>
      <c r="R308" s="2501"/>
      <c r="S308" s="2501"/>
      <c r="T308" s="2501"/>
      <c r="U308" s="2501"/>
      <c r="V308" s="2501"/>
      <c r="W308" s="2501"/>
      <c r="X308" s="2501"/>
      <c r="Y308" s="2501"/>
      <c r="Z308" s="2501"/>
      <c r="AA308" s="2501"/>
    </row>
    <row r="309" spans="1:27" ht="15.75" customHeight="1" x14ac:dyDescent="0.3">
      <c r="A309" s="2501"/>
      <c r="B309" s="2501"/>
      <c r="C309" s="2501"/>
      <c r="D309" s="2501"/>
      <c r="E309" s="2501"/>
      <c r="F309" s="2501"/>
      <c r="G309" s="2501"/>
      <c r="H309" s="2501"/>
      <c r="I309" s="2501"/>
      <c r="J309" s="2501"/>
      <c r="K309" s="2501"/>
      <c r="L309" s="2501"/>
      <c r="M309" s="2501"/>
      <c r="N309" s="2501"/>
      <c r="O309" s="2501"/>
      <c r="P309" s="2501"/>
      <c r="Q309" s="2501"/>
      <c r="R309" s="2501"/>
      <c r="S309" s="2501"/>
      <c r="T309" s="2501"/>
      <c r="U309" s="2501"/>
      <c r="V309" s="2501"/>
      <c r="W309" s="2501"/>
      <c r="X309" s="2501"/>
      <c r="Y309" s="2501"/>
      <c r="Z309" s="2501"/>
      <c r="AA309" s="2501"/>
    </row>
    <row r="310" spans="1:27" ht="15.75" customHeight="1" x14ac:dyDescent="0.3">
      <c r="A310" s="2501"/>
      <c r="B310" s="2501"/>
      <c r="C310" s="2501"/>
      <c r="D310" s="2501"/>
      <c r="E310" s="2501"/>
      <c r="F310" s="2501"/>
      <c r="G310" s="2501"/>
      <c r="H310" s="2501"/>
      <c r="I310" s="2501"/>
      <c r="J310" s="2501"/>
      <c r="K310" s="2501"/>
      <c r="L310" s="2501"/>
      <c r="M310" s="2501"/>
      <c r="N310" s="2501"/>
      <c r="O310" s="2501"/>
      <c r="P310" s="2501"/>
      <c r="Q310" s="2501"/>
      <c r="R310" s="2501"/>
      <c r="S310" s="2501"/>
      <c r="T310" s="2501"/>
      <c r="U310" s="2501"/>
      <c r="V310" s="2501"/>
      <c r="W310" s="2501"/>
      <c r="X310" s="2501"/>
      <c r="Y310" s="2501"/>
      <c r="Z310" s="2501"/>
      <c r="AA310" s="2501"/>
    </row>
    <row r="311" spans="1:27" ht="15.75" customHeight="1" x14ac:dyDescent="0.3">
      <c r="A311" s="2501"/>
      <c r="B311" s="2501"/>
      <c r="C311" s="2501"/>
      <c r="D311" s="2501"/>
      <c r="E311" s="2501"/>
      <c r="F311" s="2501"/>
      <c r="G311" s="2501"/>
      <c r="H311" s="2501"/>
      <c r="I311" s="2501"/>
      <c r="J311" s="2501"/>
      <c r="K311" s="2501"/>
      <c r="L311" s="2501"/>
      <c r="M311" s="2501"/>
      <c r="N311" s="2501"/>
      <c r="O311" s="2501"/>
      <c r="P311" s="2501"/>
      <c r="Q311" s="2501"/>
      <c r="R311" s="2501"/>
      <c r="S311" s="2501"/>
      <c r="T311" s="2501"/>
      <c r="U311" s="2501"/>
      <c r="V311" s="2501"/>
      <c r="W311" s="2501"/>
      <c r="X311" s="2501"/>
      <c r="Y311" s="2501"/>
      <c r="Z311" s="2501"/>
      <c r="AA311" s="2501"/>
    </row>
    <row r="312" spans="1:27" ht="15.75" customHeight="1" x14ac:dyDescent="0.3">
      <c r="A312" s="2501"/>
      <c r="B312" s="2501"/>
      <c r="C312" s="2501"/>
      <c r="D312" s="2501"/>
      <c r="E312" s="2501"/>
      <c r="F312" s="2501"/>
      <c r="G312" s="2501"/>
      <c r="H312" s="2501"/>
      <c r="I312" s="2501"/>
      <c r="J312" s="2501"/>
      <c r="K312" s="2501"/>
      <c r="L312" s="2501"/>
      <c r="M312" s="2501"/>
      <c r="N312" s="2501"/>
      <c r="O312" s="2501"/>
      <c r="P312" s="2501"/>
      <c r="Q312" s="2501"/>
      <c r="R312" s="2501"/>
      <c r="S312" s="2501"/>
      <c r="T312" s="2501"/>
      <c r="U312" s="2501"/>
      <c r="V312" s="2501"/>
      <c r="W312" s="2501"/>
      <c r="X312" s="2501"/>
      <c r="Y312" s="2501"/>
      <c r="Z312" s="2501"/>
      <c r="AA312" s="2501"/>
    </row>
    <row r="313" spans="1:27" ht="15.75" customHeight="1" x14ac:dyDescent="0.3">
      <c r="A313" s="2501"/>
      <c r="B313" s="2501"/>
      <c r="C313" s="2501"/>
      <c r="D313" s="2501"/>
      <c r="E313" s="2501"/>
      <c r="F313" s="2501"/>
      <c r="G313" s="2501"/>
      <c r="H313" s="2501"/>
      <c r="I313" s="2501"/>
      <c r="J313" s="2501"/>
      <c r="K313" s="2501"/>
      <c r="L313" s="2501"/>
      <c r="M313" s="2501"/>
      <c r="N313" s="2501"/>
      <c r="O313" s="2501"/>
      <c r="P313" s="2501"/>
      <c r="Q313" s="2501"/>
      <c r="R313" s="2501"/>
      <c r="S313" s="2501"/>
      <c r="T313" s="2501"/>
      <c r="U313" s="2501"/>
      <c r="V313" s="2501"/>
      <c r="W313" s="2501"/>
      <c r="X313" s="2501"/>
      <c r="Y313" s="2501"/>
      <c r="Z313" s="2501"/>
      <c r="AA313" s="2501"/>
    </row>
    <row r="314" spans="1:27" ht="15.75" customHeight="1" x14ac:dyDescent="0.3">
      <c r="A314" s="2501"/>
      <c r="B314" s="2501"/>
      <c r="C314" s="2501"/>
      <c r="D314" s="2501"/>
      <c r="E314" s="2501"/>
      <c r="F314" s="2501"/>
      <c r="G314" s="2501"/>
      <c r="H314" s="2501"/>
      <c r="I314" s="2501"/>
      <c r="J314" s="2501"/>
      <c r="K314" s="2501"/>
      <c r="L314" s="2501"/>
      <c r="M314" s="2501"/>
      <c r="N314" s="2501"/>
      <c r="O314" s="2501"/>
      <c r="P314" s="2501"/>
      <c r="Q314" s="2501"/>
      <c r="R314" s="2501"/>
      <c r="S314" s="2501"/>
      <c r="T314" s="2501"/>
      <c r="U314" s="2501"/>
      <c r="V314" s="2501"/>
      <c r="W314" s="2501"/>
      <c r="X314" s="2501"/>
      <c r="Y314" s="2501"/>
      <c r="Z314" s="2501"/>
      <c r="AA314" s="2501"/>
    </row>
    <row r="315" spans="1:27" ht="15.75" customHeight="1" x14ac:dyDescent="0.3">
      <c r="A315" s="2501"/>
      <c r="B315" s="2501"/>
      <c r="C315" s="2501"/>
      <c r="D315" s="2501"/>
      <c r="E315" s="2501"/>
      <c r="F315" s="2501"/>
      <c r="G315" s="2501"/>
      <c r="H315" s="2501"/>
      <c r="I315" s="2501"/>
      <c r="J315" s="2501"/>
      <c r="K315" s="2501"/>
      <c r="L315" s="2501"/>
      <c r="M315" s="2501"/>
      <c r="N315" s="2501"/>
      <c r="O315" s="2501"/>
      <c r="P315" s="2501"/>
      <c r="Q315" s="2501"/>
      <c r="R315" s="2501"/>
      <c r="S315" s="2501"/>
      <c r="T315" s="2501"/>
      <c r="U315" s="2501"/>
      <c r="V315" s="2501"/>
      <c r="W315" s="2501"/>
      <c r="X315" s="2501"/>
      <c r="Y315" s="2501"/>
      <c r="Z315" s="2501"/>
      <c r="AA315" s="2501"/>
    </row>
    <row r="316" spans="1:27" ht="15.75" customHeight="1" x14ac:dyDescent="0.3">
      <c r="A316" s="2501"/>
      <c r="B316" s="2501"/>
      <c r="C316" s="2501"/>
      <c r="D316" s="2501"/>
      <c r="E316" s="2501"/>
      <c r="F316" s="2501"/>
      <c r="G316" s="2501"/>
      <c r="H316" s="2501"/>
      <c r="I316" s="2501"/>
      <c r="J316" s="2501"/>
      <c r="K316" s="2501"/>
      <c r="L316" s="2501"/>
      <c r="M316" s="2501"/>
      <c r="N316" s="2501"/>
      <c r="O316" s="2501"/>
      <c r="P316" s="2501"/>
      <c r="Q316" s="2501"/>
      <c r="R316" s="2501"/>
      <c r="S316" s="2501"/>
      <c r="T316" s="2501"/>
      <c r="U316" s="2501"/>
      <c r="V316" s="2501"/>
      <c r="W316" s="2501"/>
      <c r="X316" s="2501"/>
      <c r="Y316" s="2501"/>
      <c r="Z316" s="2501"/>
      <c r="AA316" s="2501"/>
    </row>
    <row r="317" spans="1:27" ht="15.75" customHeight="1" x14ac:dyDescent="0.3">
      <c r="A317" s="2501"/>
      <c r="B317" s="2501"/>
      <c r="C317" s="2501"/>
      <c r="D317" s="2501"/>
      <c r="E317" s="2501"/>
      <c r="F317" s="2501"/>
      <c r="G317" s="2501"/>
      <c r="H317" s="2501"/>
      <c r="I317" s="2501"/>
      <c r="J317" s="2501"/>
      <c r="K317" s="2501"/>
      <c r="L317" s="2501"/>
      <c r="M317" s="2501"/>
      <c r="N317" s="2501"/>
      <c r="O317" s="2501"/>
      <c r="P317" s="2501"/>
      <c r="Q317" s="2501"/>
      <c r="R317" s="2501"/>
      <c r="S317" s="2501"/>
      <c r="T317" s="2501"/>
      <c r="U317" s="2501"/>
      <c r="V317" s="2501"/>
      <c r="W317" s="2501"/>
      <c r="X317" s="2501"/>
      <c r="Y317" s="2501"/>
      <c r="Z317" s="2501"/>
      <c r="AA317" s="2501"/>
    </row>
    <row r="318" spans="1:27" ht="15.75" customHeight="1" x14ac:dyDescent="0.3">
      <c r="A318" s="2501"/>
      <c r="B318" s="2501"/>
      <c r="C318" s="2501"/>
      <c r="D318" s="2501"/>
      <c r="E318" s="2501"/>
      <c r="F318" s="2501"/>
      <c r="G318" s="2501"/>
      <c r="H318" s="2501"/>
      <c r="I318" s="2501"/>
      <c r="J318" s="2501"/>
      <c r="K318" s="2501"/>
      <c r="L318" s="2501"/>
      <c r="M318" s="2501"/>
      <c r="N318" s="2501"/>
      <c r="O318" s="2501"/>
      <c r="P318" s="2501"/>
      <c r="Q318" s="2501"/>
      <c r="R318" s="2501"/>
      <c r="S318" s="2501"/>
      <c r="T318" s="2501"/>
      <c r="U318" s="2501"/>
      <c r="V318" s="2501"/>
      <c r="W318" s="2501"/>
      <c r="X318" s="2501"/>
      <c r="Y318" s="2501"/>
      <c r="Z318" s="2501"/>
      <c r="AA318" s="2501"/>
    </row>
    <row r="319" spans="1:27" ht="15.75" customHeight="1" x14ac:dyDescent="0.3">
      <c r="A319" s="2501"/>
      <c r="B319" s="2501"/>
      <c r="C319" s="2501"/>
      <c r="D319" s="2501"/>
      <c r="E319" s="2501"/>
      <c r="F319" s="2501"/>
      <c r="G319" s="2501"/>
      <c r="H319" s="2501"/>
      <c r="I319" s="2501"/>
      <c r="J319" s="2501"/>
      <c r="K319" s="2501"/>
      <c r="L319" s="2501"/>
      <c r="M319" s="2501"/>
      <c r="N319" s="2501"/>
      <c r="O319" s="2501"/>
      <c r="P319" s="2501"/>
      <c r="Q319" s="2501"/>
      <c r="R319" s="2501"/>
      <c r="S319" s="2501"/>
      <c r="T319" s="2501"/>
      <c r="U319" s="2501"/>
      <c r="V319" s="2501"/>
      <c r="W319" s="2501"/>
      <c r="X319" s="2501"/>
      <c r="Y319" s="2501"/>
      <c r="Z319" s="2501"/>
      <c r="AA319" s="2501"/>
    </row>
    <row r="320" spans="1:27" ht="15.75" customHeight="1" x14ac:dyDescent="0.3">
      <c r="A320" s="2501"/>
      <c r="B320" s="2501"/>
      <c r="C320" s="2501"/>
      <c r="D320" s="2501"/>
      <c r="E320" s="2501"/>
      <c r="F320" s="2501"/>
      <c r="G320" s="2501"/>
      <c r="H320" s="2501"/>
      <c r="I320" s="2501"/>
      <c r="J320" s="2501"/>
      <c r="K320" s="2501"/>
      <c r="L320" s="2501"/>
      <c r="M320" s="2501"/>
      <c r="N320" s="2501"/>
      <c r="O320" s="2501"/>
      <c r="P320" s="2501"/>
      <c r="Q320" s="2501"/>
      <c r="R320" s="2501"/>
      <c r="S320" s="2501"/>
      <c r="T320" s="2501"/>
      <c r="U320" s="2501"/>
      <c r="V320" s="2501"/>
      <c r="W320" s="2501"/>
      <c r="X320" s="2501"/>
      <c r="Y320" s="2501"/>
      <c r="Z320" s="2501"/>
      <c r="AA320" s="2501"/>
    </row>
    <row r="321" spans="1:27" ht="15.75" customHeight="1" x14ac:dyDescent="0.3">
      <c r="A321" s="2501"/>
      <c r="B321" s="2501"/>
      <c r="C321" s="2501"/>
      <c r="D321" s="2501"/>
      <c r="E321" s="2501"/>
      <c r="F321" s="2501"/>
      <c r="G321" s="2501"/>
      <c r="H321" s="2501"/>
      <c r="I321" s="2501"/>
      <c r="J321" s="2501"/>
      <c r="K321" s="2501"/>
      <c r="L321" s="2501"/>
      <c r="M321" s="2501"/>
      <c r="N321" s="2501"/>
      <c r="O321" s="2501"/>
      <c r="P321" s="2501"/>
      <c r="Q321" s="2501"/>
      <c r="R321" s="2501"/>
      <c r="S321" s="2501"/>
      <c r="T321" s="2501"/>
      <c r="U321" s="2501"/>
      <c r="V321" s="2501"/>
      <c r="W321" s="2501"/>
      <c r="X321" s="2501"/>
      <c r="Y321" s="2501"/>
      <c r="Z321" s="2501"/>
      <c r="AA321" s="2501"/>
    </row>
    <row r="322" spans="1:27" ht="15.75" customHeight="1" x14ac:dyDescent="0.3">
      <c r="A322" s="2501"/>
      <c r="B322" s="2501"/>
      <c r="C322" s="2501"/>
      <c r="D322" s="2501"/>
      <c r="E322" s="2501"/>
      <c r="F322" s="2501"/>
      <c r="G322" s="2501"/>
      <c r="H322" s="2501"/>
      <c r="I322" s="2501"/>
      <c r="J322" s="2501"/>
      <c r="K322" s="2501"/>
      <c r="L322" s="2501"/>
      <c r="M322" s="2501"/>
      <c r="N322" s="2501"/>
      <c r="O322" s="2501"/>
      <c r="P322" s="2501"/>
      <c r="Q322" s="2501"/>
      <c r="R322" s="2501"/>
      <c r="S322" s="2501"/>
      <c r="T322" s="2501"/>
      <c r="U322" s="2501"/>
      <c r="V322" s="2501"/>
      <c r="W322" s="2501"/>
      <c r="X322" s="2501"/>
      <c r="Y322" s="2501"/>
      <c r="Z322" s="2501"/>
      <c r="AA322" s="2501"/>
    </row>
    <row r="323" spans="1:27" ht="15.75" customHeight="1" x14ac:dyDescent="0.3">
      <c r="A323" s="2501"/>
      <c r="B323" s="2501"/>
      <c r="C323" s="2501"/>
      <c r="D323" s="2501"/>
      <c r="E323" s="2501"/>
      <c r="F323" s="2501"/>
      <c r="G323" s="2501"/>
      <c r="H323" s="2501"/>
      <c r="I323" s="2501"/>
      <c r="J323" s="2501"/>
      <c r="K323" s="2501"/>
      <c r="L323" s="2501"/>
      <c r="M323" s="2501"/>
      <c r="N323" s="2501"/>
      <c r="O323" s="2501"/>
      <c r="P323" s="2501"/>
      <c r="Q323" s="2501"/>
      <c r="R323" s="2501"/>
      <c r="S323" s="2501"/>
      <c r="T323" s="2501"/>
      <c r="U323" s="2501"/>
      <c r="V323" s="2501"/>
      <c r="W323" s="2501"/>
      <c r="X323" s="2501"/>
      <c r="Y323" s="2501"/>
      <c r="Z323" s="2501"/>
      <c r="AA323" s="2501"/>
    </row>
    <row r="324" spans="1:27" ht="15.75" customHeight="1" x14ac:dyDescent="0.3">
      <c r="A324" s="2501"/>
      <c r="B324" s="2501"/>
      <c r="C324" s="2501"/>
      <c r="D324" s="2501"/>
      <c r="E324" s="2501"/>
      <c r="F324" s="2501"/>
      <c r="G324" s="2501"/>
      <c r="H324" s="2501"/>
      <c r="I324" s="2501"/>
      <c r="J324" s="2501"/>
      <c r="K324" s="2501"/>
      <c r="L324" s="2501"/>
      <c r="M324" s="2501"/>
      <c r="N324" s="2501"/>
      <c r="O324" s="2501"/>
      <c r="P324" s="2501"/>
      <c r="Q324" s="2501"/>
      <c r="R324" s="2501"/>
      <c r="S324" s="2501"/>
      <c r="T324" s="2501"/>
      <c r="U324" s="2501"/>
      <c r="V324" s="2501"/>
      <c r="W324" s="2501"/>
      <c r="X324" s="2501"/>
      <c r="Y324" s="2501"/>
      <c r="Z324" s="2501"/>
      <c r="AA324" s="2501"/>
    </row>
    <row r="325" spans="1:27" ht="15.75" customHeight="1" x14ac:dyDescent="0.3">
      <c r="A325" s="2501"/>
      <c r="B325" s="2501"/>
      <c r="C325" s="2501"/>
      <c r="D325" s="2501"/>
      <c r="E325" s="2501"/>
      <c r="F325" s="2501"/>
      <c r="G325" s="2501"/>
      <c r="H325" s="2501"/>
      <c r="I325" s="2501"/>
      <c r="J325" s="2501"/>
      <c r="K325" s="2501"/>
      <c r="L325" s="2501"/>
      <c r="M325" s="2501"/>
      <c r="N325" s="2501"/>
      <c r="O325" s="2501"/>
      <c r="P325" s="2501"/>
      <c r="Q325" s="2501"/>
      <c r="R325" s="2501"/>
      <c r="S325" s="2501"/>
      <c r="T325" s="2501"/>
      <c r="U325" s="2501"/>
      <c r="V325" s="2501"/>
      <c r="W325" s="2501"/>
      <c r="X325" s="2501"/>
      <c r="Y325" s="2501"/>
      <c r="Z325" s="2501"/>
      <c r="AA325" s="2501"/>
    </row>
    <row r="326" spans="1:27" ht="15.75" customHeight="1" x14ac:dyDescent="0.3">
      <c r="A326" s="2501"/>
      <c r="B326" s="2501"/>
      <c r="C326" s="2501"/>
      <c r="D326" s="2501"/>
      <c r="E326" s="2501"/>
      <c r="F326" s="2501"/>
      <c r="G326" s="2501"/>
      <c r="H326" s="2501"/>
      <c r="I326" s="2501"/>
      <c r="J326" s="2501"/>
      <c r="K326" s="2501"/>
      <c r="L326" s="2501"/>
      <c r="M326" s="2501"/>
      <c r="N326" s="2501"/>
      <c r="O326" s="2501"/>
      <c r="P326" s="2501"/>
      <c r="Q326" s="2501"/>
      <c r="R326" s="2501"/>
      <c r="S326" s="2501"/>
      <c r="T326" s="2501"/>
      <c r="U326" s="2501"/>
      <c r="V326" s="2501"/>
      <c r="W326" s="2501"/>
      <c r="X326" s="2501"/>
      <c r="Y326" s="2501"/>
      <c r="Z326" s="2501"/>
      <c r="AA326" s="2501"/>
    </row>
    <row r="327" spans="1:27" ht="15.75" customHeight="1" x14ac:dyDescent="0.3">
      <c r="A327" s="2501"/>
      <c r="B327" s="2501"/>
      <c r="C327" s="2501"/>
      <c r="D327" s="2501"/>
      <c r="E327" s="2501"/>
      <c r="F327" s="2501"/>
      <c r="G327" s="2501"/>
      <c r="H327" s="2501"/>
      <c r="I327" s="2501"/>
      <c r="J327" s="2501"/>
      <c r="K327" s="2501"/>
      <c r="L327" s="2501"/>
      <c r="M327" s="2501"/>
      <c r="N327" s="2501"/>
      <c r="O327" s="2501"/>
      <c r="P327" s="2501"/>
      <c r="Q327" s="2501"/>
      <c r="R327" s="2501"/>
      <c r="S327" s="2501"/>
      <c r="T327" s="2501"/>
      <c r="U327" s="2501"/>
      <c r="V327" s="2501"/>
      <c r="W327" s="2501"/>
      <c r="X327" s="2501"/>
      <c r="Y327" s="2501"/>
      <c r="Z327" s="2501"/>
      <c r="AA327" s="2501"/>
    </row>
    <row r="328" spans="1:27" ht="15.75" customHeight="1" x14ac:dyDescent="0.3">
      <c r="A328" s="2501"/>
      <c r="B328" s="2501"/>
      <c r="C328" s="2501"/>
      <c r="D328" s="2501"/>
      <c r="E328" s="2501"/>
      <c r="F328" s="2501"/>
      <c r="G328" s="2501"/>
      <c r="H328" s="2501"/>
      <c r="I328" s="2501"/>
      <c r="J328" s="2501"/>
      <c r="K328" s="2501"/>
      <c r="L328" s="2501"/>
      <c r="M328" s="2501"/>
      <c r="N328" s="2501"/>
      <c r="O328" s="2501"/>
      <c r="P328" s="2501"/>
      <c r="Q328" s="2501"/>
      <c r="R328" s="2501"/>
      <c r="S328" s="2501"/>
      <c r="T328" s="2501"/>
      <c r="U328" s="2501"/>
      <c r="V328" s="2501"/>
      <c r="W328" s="2501"/>
      <c r="X328" s="2501"/>
      <c r="Y328" s="2501"/>
      <c r="Z328" s="2501"/>
      <c r="AA328" s="2501"/>
    </row>
    <row r="329" spans="1:27" ht="15.75" customHeight="1" x14ac:dyDescent="0.3">
      <c r="A329" s="2501"/>
      <c r="B329" s="2501"/>
      <c r="C329" s="2501"/>
      <c r="D329" s="2501"/>
      <c r="E329" s="2501"/>
      <c r="F329" s="2501"/>
      <c r="G329" s="2501"/>
      <c r="H329" s="2501"/>
      <c r="I329" s="2501"/>
      <c r="J329" s="2501"/>
      <c r="K329" s="2501"/>
      <c r="L329" s="2501"/>
      <c r="M329" s="2501"/>
      <c r="N329" s="2501"/>
      <c r="O329" s="2501"/>
      <c r="P329" s="2501"/>
      <c r="Q329" s="2501"/>
      <c r="R329" s="2501"/>
      <c r="S329" s="2501"/>
      <c r="T329" s="2501"/>
      <c r="U329" s="2501"/>
      <c r="V329" s="2501"/>
      <c r="W329" s="2501"/>
      <c r="X329" s="2501"/>
      <c r="Y329" s="2501"/>
      <c r="Z329" s="2501"/>
      <c r="AA329" s="2501"/>
    </row>
    <row r="330" spans="1:27" ht="15.75" customHeight="1" x14ac:dyDescent="0.3">
      <c r="A330" s="2501"/>
      <c r="B330" s="2501"/>
      <c r="C330" s="2501"/>
      <c r="D330" s="2501"/>
      <c r="E330" s="2501"/>
      <c r="F330" s="2501"/>
      <c r="G330" s="2501"/>
      <c r="H330" s="2501"/>
      <c r="I330" s="2501"/>
      <c r="J330" s="2501"/>
      <c r="K330" s="2501"/>
      <c r="L330" s="2501"/>
      <c r="M330" s="2501"/>
      <c r="N330" s="2501"/>
      <c r="O330" s="2501"/>
      <c r="P330" s="2501"/>
      <c r="Q330" s="2501"/>
      <c r="R330" s="2501"/>
      <c r="S330" s="2501"/>
      <c r="T330" s="2501"/>
      <c r="U330" s="2501"/>
      <c r="V330" s="2501"/>
      <c r="W330" s="2501"/>
      <c r="X330" s="2501"/>
      <c r="Y330" s="2501"/>
      <c r="Z330" s="2501"/>
      <c r="AA330" s="2501"/>
    </row>
    <row r="331" spans="1:27" ht="15.75" customHeight="1" x14ac:dyDescent="0.3">
      <c r="A331" s="2501"/>
      <c r="B331" s="2501"/>
      <c r="C331" s="2501"/>
      <c r="D331" s="2501"/>
      <c r="E331" s="2501"/>
      <c r="F331" s="2501"/>
      <c r="G331" s="2501"/>
      <c r="H331" s="2501"/>
      <c r="I331" s="2501"/>
      <c r="J331" s="2501"/>
      <c r="K331" s="2501"/>
      <c r="L331" s="2501"/>
      <c r="M331" s="2501"/>
      <c r="N331" s="2501"/>
      <c r="O331" s="2501"/>
      <c r="P331" s="2501"/>
      <c r="Q331" s="2501"/>
      <c r="R331" s="2501"/>
      <c r="S331" s="2501"/>
      <c r="T331" s="2501"/>
      <c r="U331" s="2501"/>
      <c r="V331" s="2501"/>
      <c r="W331" s="2501"/>
      <c r="X331" s="2501"/>
      <c r="Y331" s="2501"/>
      <c r="Z331" s="2501"/>
      <c r="AA331" s="2501"/>
    </row>
    <row r="332" spans="1:27" ht="15.75" customHeight="1" x14ac:dyDescent="0.3">
      <c r="A332" s="2501"/>
      <c r="B332" s="2501"/>
      <c r="C332" s="2501"/>
      <c r="D332" s="2501"/>
      <c r="E332" s="2501"/>
      <c r="F332" s="2501"/>
      <c r="G332" s="2501"/>
      <c r="H332" s="2501"/>
      <c r="I332" s="2501"/>
      <c r="J332" s="2501"/>
      <c r="K332" s="2501"/>
      <c r="L332" s="2501"/>
      <c r="M332" s="2501"/>
      <c r="N332" s="2501"/>
      <c r="O332" s="2501"/>
      <c r="P332" s="2501"/>
      <c r="Q332" s="2501"/>
      <c r="R332" s="2501"/>
      <c r="S332" s="2501"/>
      <c r="T332" s="2501"/>
      <c r="U332" s="2501"/>
      <c r="V332" s="2501"/>
      <c r="W332" s="2501"/>
      <c r="X332" s="2501"/>
      <c r="Y332" s="2501"/>
      <c r="Z332" s="2501"/>
      <c r="AA332" s="2501"/>
    </row>
    <row r="333" spans="1:27" ht="15.75" customHeight="1" x14ac:dyDescent="0.3">
      <c r="A333" s="2501"/>
      <c r="B333" s="2501"/>
      <c r="C333" s="2501"/>
      <c r="D333" s="2501"/>
      <c r="E333" s="2501"/>
      <c r="F333" s="2501"/>
      <c r="G333" s="2501"/>
      <c r="H333" s="2501"/>
      <c r="I333" s="2501"/>
      <c r="J333" s="2501"/>
      <c r="K333" s="2501"/>
      <c r="L333" s="2501"/>
      <c r="M333" s="2501"/>
      <c r="N333" s="2501"/>
      <c r="O333" s="2501"/>
      <c r="P333" s="2501"/>
      <c r="Q333" s="2501"/>
      <c r="R333" s="2501"/>
      <c r="S333" s="2501"/>
      <c r="T333" s="2501"/>
      <c r="U333" s="2501"/>
      <c r="V333" s="2501"/>
      <c r="W333" s="2501"/>
      <c r="X333" s="2501"/>
      <c r="Y333" s="2501"/>
      <c r="Z333" s="2501"/>
      <c r="AA333" s="2501"/>
    </row>
    <row r="334" spans="1:27" ht="15.75" customHeight="1" x14ac:dyDescent="0.3">
      <c r="A334" s="2501"/>
      <c r="B334" s="2501"/>
      <c r="C334" s="2501"/>
      <c r="D334" s="2501"/>
      <c r="E334" s="2501"/>
      <c r="F334" s="2501"/>
      <c r="G334" s="2501"/>
      <c r="H334" s="2501"/>
      <c r="I334" s="2501"/>
      <c r="J334" s="2501"/>
      <c r="K334" s="2501"/>
      <c r="L334" s="2501"/>
      <c r="M334" s="2501"/>
      <c r="N334" s="2501"/>
      <c r="O334" s="2501"/>
      <c r="P334" s="2501"/>
      <c r="Q334" s="2501"/>
      <c r="R334" s="2501"/>
      <c r="S334" s="2501"/>
      <c r="T334" s="2501"/>
      <c r="U334" s="2501"/>
      <c r="V334" s="2501"/>
      <c r="W334" s="2501"/>
      <c r="X334" s="2501"/>
      <c r="Y334" s="2501"/>
      <c r="Z334" s="2501"/>
      <c r="AA334" s="2501"/>
    </row>
    <row r="335" spans="1:27" ht="15.75" customHeight="1" x14ac:dyDescent="0.3">
      <c r="A335" s="2501"/>
      <c r="B335" s="2501"/>
      <c r="C335" s="2501"/>
      <c r="D335" s="2501"/>
      <c r="E335" s="2501"/>
      <c r="F335" s="2501"/>
      <c r="G335" s="2501"/>
      <c r="H335" s="2501"/>
      <c r="I335" s="2501"/>
      <c r="J335" s="2501"/>
      <c r="K335" s="2501"/>
      <c r="L335" s="2501"/>
      <c r="M335" s="2501"/>
      <c r="N335" s="2501"/>
      <c r="O335" s="2501"/>
      <c r="P335" s="2501"/>
      <c r="Q335" s="2501"/>
      <c r="R335" s="2501"/>
      <c r="S335" s="2501"/>
      <c r="T335" s="2501"/>
      <c r="U335" s="2501"/>
      <c r="V335" s="2501"/>
      <c r="W335" s="2501"/>
      <c r="X335" s="2501"/>
      <c r="Y335" s="2501"/>
      <c r="Z335" s="2501"/>
      <c r="AA335" s="2501"/>
    </row>
    <row r="336" spans="1:27" ht="15.75" customHeight="1" x14ac:dyDescent="0.3">
      <c r="A336" s="2501"/>
      <c r="B336" s="2501"/>
      <c r="C336" s="2501"/>
      <c r="D336" s="2501"/>
      <c r="E336" s="2501"/>
      <c r="F336" s="2501"/>
      <c r="G336" s="2501"/>
      <c r="H336" s="2501"/>
      <c r="I336" s="2501"/>
      <c r="J336" s="2501"/>
      <c r="K336" s="2501"/>
      <c r="L336" s="2501"/>
      <c r="M336" s="2501"/>
      <c r="N336" s="2501"/>
      <c r="O336" s="2501"/>
      <c r="P336" s="2501"/>
      <c r="Q336" s="2501"/>
      <c r="R336" s="2501"/>
      <c r="S336" s="2501"/>
      <c r="T336" s="2501"/>
      <c r="U336" s="2501"/>
      <c r="V336" s="2501"/>
      <c r="W336" s="2501"/>
      <c r="X336" s="2501"/>
      <c r="Y336" s="2501"/>
      <c r="Z336" s="2501"/>
      <c r="AA336" s="2501"/>
    </row>
    <row r="337" spans="1:27" ht="15.75" customHeight="1" x14ac:dyDescent="0.3">
      <c r="A337" s="2501"/>
      <c r="B337" s="2501"/>
      <c r="C337" s="2501"/>
      <c r="D337" s="2501"/>
      <c r="E337" s="2501"/>
      <c r="F337" s="2501"/>
      <c r="G337" s="2501"/>
      <c r="H337" s="2501"/>
      <c r="I337" s="2501"/>
      <c r="J337" s="2501"/>
      <c r="K337" s="2501"/>
      <c r="L337" s="2501"/>
      <c r="M337" s="2501"/>
      <c r="N337" s="2501"/>
      <c r="O337" s="2501"/>
      <c r="P337" s="2501"/>
      <c r="Q337" s="2501"/>
      <c r="R337" s="2501"/>
      <c r="S337" s="2501"/>
      <c r="T337" s="2501"/>
      <c r="U337" s="2501"/>
      <c r="V337" s="2501"/>
      <c r="W337" s="2501"/>
      <c r="X337" s="2501"/>
      <c r="Y337" s="2501"/>
      <c r="Z337" s="2501"/>
      <c r="AA337" s="2501"/>
    </row>
    <row r="338" spans="1:27" ht="15.75" customHeight="1" x14ac:dyDescent="0.3">
      <c r="A338" s="2501"/>
      <c r="B338" s="2501"/>
      <c r="C338" s="2501"/>
      <c r="D338" s="2501"/>
      <c r="E338" s="2501"/>
      <c r="F338" s="2501"/>
      <c r="G338" s="2501"/>
      <c r="H338" s="2501"/>
      <c r="I338" s="2501"/>
      <c r="J338" s="2501"/>
      <c r="K338" s="2501"/>
      <c r="L338" s="2501"/>
      <c r="M338" s="2501"/>
      <c r="N338" s="2501"/>
      <c r="O338" s="2501"/>
      <c r="P338" s="2501"/>
      <c r="Q338" s="2501"/>
      <c r="R338" s="2501"/>
      <c r="S338" s="2501"/>
      <c r="T338" s="2501"/>
      <c r="U338" s="2501"/>
      <c r="V338" s="2501"/>
      <c r="W338" s="2501"/>
      <c r="X338" s="2501"/>
      <c r="Y338" s="2501"/>
      <c r="Z338" s="2501"/>
      <c r="AA338" s="2501"/>
    </row>
    <row r="339" spans="1:27" ht="15.75" customHeight="1" x14ac:dyDescent="0.3">
      <c r="A339" s="2501"/>
      <c r="B339" s="2501"/>
      <c r="C339" s="2501"/>
      <c r="D339" s="2501"/>
      <c r="E339" s="2501"/>
      <c r="F339" s="2501"/>
      <c r="G339" s="2501"/>
      <c r="H339" s="2501"/>
      <c r="I339" s="2501"/>
      <c r="J339" s="2501"/>
      <c r="K339" s="2501"/>
      <c r="L339" s="2501"/>
      <c r="M339" s="2501"/>
      <c r="N339" s="2501"/>
      <c r="O339" s="2501"/>
      <c r="P339" s="2501"/>
      <c r="Q339" s="2501"/>
      <c r="R339" s="2501"/>
      <c r="S339" s="2501"/>
      <c r="T339" s="2501"/>
      <c r="U339" s="2501"/>
      <c r="V339" s="2501"/>
      <c r="W339" s="2501"/>
      <c r="X339" s="2501"/>
      <c r="Y339" s="2501"/>
      <c r="Z339" s="2501"/>
      <c r="AA339" s="2501"/>
    </row>
    <row r="340" spans="1:27" ht="15.75" customHeight="1" x14ac:dyDescent="0.3">
      <c r="A340" s="2501"/>
      <c r="B340" s="2501"/>
      <c r="C340" s="2501"/>
      <c r="D340" s="2501"/>
      <c r="E340" s="2501"/>
      <c r="F340" s="2501"/>
      <c r="G340" s="2501"/>
      <c r="H340" s="2501"/>
      <c r="I340" s="2501"/>
      <c r="J340" s="2501"/>
      <c r="K340" s="2501"/>
      <c r="L340" s="2501"/>
      <c r="M340" s="2501"/>
      <c r="N340" s="2501"/>
      <c r="O340" s="2501"/>
      <c r="P340" s="2501"/>
      <c r="Q340" s="2501"/>
      <c r="R340" s="2501"/>
      <c r="S340" s="2501"/>
      <c r="T340" s="2501"/>
      <c r="U340" s="2501"/>
      <c r="V340" s="2501"/>
      <c r="W340" s="2501"/>
      <c r="X340" s="2501"/>
      <c r="Y340" s="2501"/>
      <c r="Z340" s="2501"/>
      <c r="AA340" s="2501"/>
    </row>
    <row r="341" spans="1:27" ht="15.75" customHeight="1" x14ac:dyDescent="0.3">
      <c r="A341" s="2501"/>
      <c r="B341" s="2501"/>
      <c r="C341" s="2501"/>
      <c r="D341" s="2501"/>
      <c r="E341" s="2501"/>
      <c r="F341" s="2501"/>
      <c r="G341" s="2501"/>
      <c r="H341" s="2501"/>
      <c r="I341" s="2501"/>
      <c r="J341" s="2501"/>
      <c r="K341" s="2501"/>
      <c r="L341" s="2501"/>
      <c r="M341" s="2501"/>
      <c r="N341" s="2501"/>
      <c r="O341" s="2501"/>
      <c r="P341" s="2501"/>
      <c r="Q341" s="2501"/>
      <c r="R341" s="2501"/>
      <c r="S341" s="2501"/>
      <c r="T341" s="2501"/>
      <c r="U341" s="2501"/>
      <c r="V341" s="2501"/>
      <c r="W341" s="2501"/>
      <c r="X341" s="2501"/>
      <c r="Y341" s="2501"/>
      <c r="Z341" s="2501"/>
      <c r="AA341" s="2501"/>
    </row>
    <row r="342" spans="1:27" ht="15.75" customHeight="1" x14ac:dyDescent="0.3">
      <c r="A342" s="2501"/>
      <c r="B342" s="2501"/>
      <c r="C342" s="2501"/>
      <c r="D342" s="2501"/>
      <c r="E342" s="2501"/>
      <c r="F342" s="2501"/>
      <c r="G342" s="2501"/>
      <c r="H342" s="2501"/>
      <c r="I342" s="2501"/>
      <c r="J342" s="2501"/>
      <c r="K342" s="2501"/>
      <c r="L342" s="2501"/>
      <c r="M342" s="2501"/>
      <c r="N342" s="2501"/>
      <c r="O342" s="2501"/>
      <c r="P342" s="2501"/>
      <c r="Q342" s="2501"/>
      <c r="R342" s="2501"/>
      <c r="S342" s="2501"/>
      <c r="T342" s="2501"/>
      <c r="U342" s="2501"/>
      <c r="V342" s="2501"/>
      <c r="W342" s="2501"/>
      <c r="X342" s="2501"/>
      <c r="Y342" s="2501"/>
      <c r="Z342" s="2501"/>
      <c r="AA342" s="2501"/>
    </row>
    <row r="343" spans="1:27" ht="15.75" customHeight="1" x14ac:dyDescent="0.3">
      <c r="A343" s="2501"/>
      <c r="B343" s="2501"/>
      <c r="C343" s="2501"/>
      <c r="D343" s="2501"/>
      <c r="E343" s="2501"/>
      <c r="F343" s="2501"/>
      <c r="G343" s="2501"/>
      <c r="H343" s="2501"/>
      <c r="I343" s="2501"/>
      <c r="J343" s="2501"/>
      <c r="K343" s="2501"/>
      <c r="L343" s="2501"/>
      <c r="M343" s="2501"/>
      <c r="N343" s="2501"/>
      <c r="O343" s="2501"/>
      <c r="P343" s="2501"/>
      <c r="Q343" s="2501"/>
      <c r="R343" s="2501"/>
      <c r="S343" s="2501"/>
      <c r="T343" s="2501"/>
      <c r="U343" s="2501"/>
      <c r="V343" s="2501"/>
      <c r="W343" s="2501"/>
      <c r="X343" s="2501"/>
      <c r="Y343" s="2501"/>
      <c r="Z343" s="2501"/>
      <c r="AA343" s="2501"/>
    </row>
    <row r="344" spans="1:27" ht="15.75" customHeight="1" x14ac:dyDescent="0.3">
      <c r="A344" s="2501"/>
      <c r="B344" s="2501"/>
      <c r="C344" s="2501"/>
      <c r="D344" s="2501"/>
      <c r="E344" s="2501"/>
      <c r="F344" s="2501"/>
      <c r="G344" s="2501"/>
      <c r="H344" s="2501"/>
      <c r="I344" s="2501"/>
      <c r="J344" s="2501"/>
      <c r="K344" s="2501"/>
      <c r="L344" s="2501"/>
      <c r="M344" s="2501"/>
      <c r="N344" s="2501"/>
      <c r="O344" s="2501"/>
      <c r="P344" s="2501"/>
      <c r="Q344" s="2501"/>
      <c r="R344" s="2501"/>
      <c r="S344" s="2501"/>
      <c r="T344" s="2501"/>
      <c r="U344" s="2501"/>
      <c r="V344" s="2501"/>
      <c r="W344" s="2501"/>
      <c r="X344" s="2501"/>
      <c r="Y344" s="2501"/>
      <c r="Z344" s="2501"/>
      <c r="AA344" s="2501"/>
    </row>
    <row r="345" spans="1:27" ht="15.75" customHeight="1" x14ac:dyDescent="0.3">
      <c r="A345" s="2501"/>
      <c r="B345" s="2501"/>
      <c r="C345" s="2501"/>
      <c r="D345" s="2501"/>
      <c r="E345" s="2501"/>
      <c r="F345" s="2501"/>
      <c r="G345" s="2501"/>
      <c r="H345" s="2501"/>
      <c r="I345" s="2501"/>
      <c r="J345" s="2501"/>
      <c r="K345" s="2501"/>
      <c r="L345" s="2501"/>
      <c r="M345" s="2501"/>
      <c r="N345" s="2501"/>
      <c r="O345" s="2501"/>
      <c r="P345" s="2501"/>
      <c r="Q345" s="2501"/>
      <c r="R345" s="2501"/>
      <c r="S345" s="2501"/>
      <c r="T345" s="2501"/>
      <c r="U345" s="2501"/>
      <c r="V345" s="2501"/>
      <c r="W345" s="2501"/>
      <c r="X345" s="2501"/>
      <c r="Y345" s="2501"/>
      <c r="Z345" s="2501"/>
      <c r="AA345" s="2501"/>
    </row>
    <row r="346" spans="1:27" ht="15.75" customHeight="1" x14ac:dyDescent="0.3">
      <c r="A346" s="2501"/>
      <c r="B346" s="2501"/>
      <c r="C346" s="2501"/>
      <c r="D346" s="2501"/>
      <c r="E346" s="2501"/>
      <c r="F346" s="2501"/>
      <c r="G346" s="2501"/>
      <c r="H346" s="2501"/>
      <c r="I346" s="2501"/>
      <c r="J346" s="2501"/>
      <c r="K346" s="2501"/>
      <c r="L346" s="2501"/>
      <c r="M346" s="2501"/>
      <c r="N346" s="2501"/>
      <c r="O346" s="2501"/>
      <c r="P346" s="2501"/>
      <c r="Q346" s="2501"/>
      <c r="R346" s="2501"/>
      <c r="S346" s="2501"/>
      <c r="T346" s="2501"/>
      <c r="U346" s="2501"/>
      <c r="V346" s="2501"/>
      <c r="W346" s="2501"/>
      <c r="X346" s="2501"/>
      <c r="Y346" s="2501"/>
      <c r="Z346" s="2501"/>
      <c r="AA346" s="2501"/>
    </row>
    <row r="347" spans="1:27" ht="15.75" customHeight="1" x14ac:dyDescent="0.3">
      <c r="A347" s="2501"/>
      <c r="B347" s="2501"/>
      <c r="C347" s="2501"/>
      <c r="D347" s="2501"/>
      <c r="E347" s="2501"/>
      <c r="F347" s="2501"/>
      <c r="G347" s="2501"/>
      <c r="H347" s="2501"/>
      <c r="I347" s="2501"/>
      <c r="J347" s="2501"/>
      <c r="K347" s="2501"/>
      <c r="L347" s="2501"/>
      <c r="M347" s="2501"/>
      <c r="N347" s="2501"/>
      <c r="O347" s="2501"/>
      <c r="P347" s="2501"/>
      <c r="Q347" s="2501"/>
      <c r="R347" s="2501"/>
      <c r="S347" s="2501"/>
      <c r="T347" s="2501"/>
      <c r="U347" s="2501"/>
      <c r="V347" s="2501"/>
      <c r="W347" s="2501"/>
      <c r="X347" s="2501"/>
      <c r="Y347" s="2501"/>
      <c r="Z347" s="2501"/>
      <c r="AA347" s="2501"/>
    </row>
    <row r="348" spans="1:27" ht="15.75" customHeight="1" x14ac:dyDescent="0.3">
      <c r="A348" s="2501"/>
      <c r="B348" s="2501"/>
      <c r="C348" s="2501"/>
      <c r="D348" s="2501"/>
      <c r="E348" s="2501"/>
      <c r="F348" s="2501"/>
      <c r="G348" s="2501"/>
      <c r="H348" s="2501"/>
      <c r="I348" s="2501"/>
      <c r="J348" s="2501"/>
      <c r="K348" s="2501"/>
      <c r="L348" s="2501"/>
      <c r="M348" s="2501"/>
      <c r="N348" s="2501"/>
      <c r="O348" s="2501"/>
      <c r="P348" s="2501"/>
      <c r="Q348" s="2501"/>
      <c r="R348" s="2501"/>
      <c r="S348" s="2501"/>
      <c r="T348" s="2501"/>
      <c r="U348" s="2501"/>
      <c r="V348" s="2501"/>
      <c r="W348" s="2501"/>
      <c r="X348" s="2501"/>
      <c r="Y348" s="2501"/>
      <c r="Z348" s="2501"/>
      <c r="AA348" s="2501"/>
    </row>
    <row r="349" spans="1:27" ht="15.75" customHeight="1" x14ac:dyDescent="0.3">
      <c r="A349" s="2501"/>
      <c r="B349" s="2501"/>
      <c r="C349" s="2501"/>
      <c r="D349" s="2501"/>
      <c r="E349" s="2501"/>
      <c r="F349" s="2501"/>
      <c r="G349" s="2501"/>
      <c r="H349" s="2501"/>
      <c r="I349" s="2501"/>
      <c r="J349" s="2501"/>
      <c r="K349" s="2501"/>
      <c r="L349" s="2501"/>
      <c r="M349" s="2501"/>
      <c r="N349" s="2501"/>
      <c r="O349" s="2501"/>
      <c r="P349" s="2501"/>
      <c r="Q349" s="2501"/>
      <c r="R349" s="2501"/>
      <c r="S349" s="2501"/>
      <c r="T349" s="2501"/>
      <c r="U349" s="2501"/>
      <c r="V349" s="2501"/>
      <c r="W349" s="2501"/>
      <c r="X349" s="2501"/>
      <c r="Y349" s="2501"/>
      <c r="Z349" s="2501"/>
      <c r="AA349" s="2501"/>
    </row>
    <row r="350" spans="1:27" ht="15.75" customHeight="1" x14ac:dyDescent="0.3">
      <c r="A350" s="2501"/>
      <c r="B350" s="2501"/>
      <c r="C350" s="2501"/>
      <c r="D350" s="2501"/>
      <c r="E350" s="2501"/>
      <c r="F350" s="2501"/>
      <c r="G350" s="2501"/>
      <c r="H350" s="2501"/>
      <c r="I350" s="2501"/>
      <c r="J350" s="2501"/>
      <c r="K350" s="2501"/>
      <c r="L350" s="2501"/>
      <c r="M350" s="2501"/>
      <c r="N350" s="2501"/>
      <c r="O350" s="2501"/>
      <c r="P350" s="2501"/>
      <c r="Q350" s="2501"/>
      <c r="R350" s="2501"/>
      <c r="S350" s="2501"/>
      <c r="T350" s="2501"/>
      <c r="U350" s="2501"/>
      <c r="V350" s="2501"/>
      <c r="W350" s="2501"/>
      <c r="X350" s="2501"/>
      <c r="Y350" s="2501"/>
      <c r="Z350" s="2501"/>
      <c r="AA350" s="2501"/>
    </row>
    <row r="351" spans="1:27" ht="15.75" customHeight="1" x14ac:dyDescent="0.3">
      <c r="A351" s="2501"/>
      <c r="B351" s="2501"/>
      <c r="C351" s="2501"/>
      <c r="D351" s="2501"/>
      <c r="E351" s="2501"/>
      <c r="F351" s="2501"/>
      <c r="G351" s="2501"/>
      <c r="H351" s="2501"/>
      <c r="I351" s="2501"/>
      <c r="J351" s="2501"/>
      <c r="K351" s="2501"/>
      <c r="L351" s="2501"/>
      <c r="M351" s="2501"/>
      <c r="N351" s="2501"/>
      <c r="O351" s="2501"/>
      <c r="P351" s="2501"/>
      <c r="Q351" s="2501"/>
      <c r="R351" s="2501"/>
      <c r="S351" s="2501"/>
      <c r="T351" s="2501"/>
      <c r="U351" s="2501"/>
      <c r="V351" s="2501"/>
      <c r="W351" s="2501"/>
      <c r="X351" s="2501"/>
      <c r="Y351" s="2501"/>
      <c r="Z351" s="2501"/>
      <c r="AA351" s="2501"/>
    </row>
    <row r="352" spans="1:27" ht="15.75" customHeight="1" x14ac:dyDescent="0.3">
      <c r="A352" s="2501"/>
      <c r="B352" s="2501"/>
      <c r="C352" s="2501"/>
      <c r="D352" s="2501"/>
      <c r="E352" s="2501"/>
      <c r="F352" s="2501"/>
      <c r="G352" s="2501"/>
      <c r="H352" s="2501"/>
      <c r="I352" s="2501"/>
      <c r="J352" s="2501"/>
      <c r="K352" s="2501"/>
      <c r="L352" s="2501"/>
      <c r="M352" s="2501"/>
      <c r="N352" s="2501"/>
      <c r="O352" s="2501"/>
      <c r="P352" s="2501"/>
      <c r="Q352" s="2501"/>
      <c r="R352" s="2501"/>
      <c r="S352" s="2501"/>
      <c r="T352" s="2501"/>
      <c r="U352" s="2501"/>
      <c r="V352" s="2501"/>
      <c r="W352" s="2501"/>
      <c r="X352" s="2501"/>
      <c r="Y352" s="2501"/>
      <c r="Z352" s="2501"/>
      <c r="AA352" s="2501"/>
    </row>
    <row r="353" spans="1:27" ht="15.75" customHeight="1" x14ac:dyDescent="0.3">
      <c r="A353" s="2501"/>
      <c r="B353" s="2501"/>
      <c r="C353" s="2501"/>
      <c r="D353" s="2501"/>
      <c r="E353" s="2501"/>
      <c r="F353" s="2501"/>
      <c r="G353" s="2501"/>
      <c r="H353" s="2501"/>
      <c r="I353" s="2501"/>
      <c r="J353" s="2501"/>
      <c r="K353" s="2501"/>
      <c r="L353" s="2501"/>
      <c r="M353" s="2501"/>
      <c r="N353" s="2501"/>
      <c r="O353" s="2501"/>
      <c r="P353" s="2501"/>
      <c r="Q353" s="2501"/>
      <c r="R353" s="2501"/>
      <c r="S353" s="2501"/>
      <c r="T353" s="2501"/>
      <c r="U353" s="2501"/>
      <c r="V353" s="2501"/>
      <c r="W353" s="2501"/>
      <c r="X353" s="2501"/>
      <c r="Y353" s="2501"/>
      <c r="Z353" s="2501"/>
      <c r="AA353" s="2501"/>
    </row>
    <row r="354" spans="1:27" ht="15.75" customHeight="1" x14ac:dyDescent="0.3">
      <c r="A354" s="2501"/>
      <c r="B354" s="2501"/>
      <c r="C354" s="2501"/>
      <c r="D354" s="2501"/>
      <c r="E354" s="2501"/>
      <c r="F354" s="2501"/>
      <c r="G354" s="2501"/>
      <c r="H354" s="2501"/>
      <c r="I354" s="2501"/>
      <c r="J354" s="2501"/>
      <c r="K354" s="2501"/>
      <c r="L354" s="2501"/>
      <c r="M354" s="2501"/>
      <c r="N354" s="2501"/>
      <c r="O354" s="2501"/>
      <c r="P354" s="2501"/>
      <c r="Q354" s="2501"/>
      <c r="R354" s="2501"/>
      <c r="S354" s="2501"/>
      <c r="T354" s="2501"/>
      <c r="U354" s="2501"/>
      <c r="V354" s="2501"/>
      <c r="W354" s="2501"/>
      <c r="X354" s="2501"/>
      <c r="Y354" s="2501"/>
      <c r="Z354" s="2501"/>
      <c r="AA354" s="2501"/>
    </row>
    <row r="355" spans="1:27" ht="15.75" customHeight="1" x14ac:dyDescent="0.3">
      <c r="A355" s="2501"/>
      <c r="B355" s="2501"/>
      <c r="C355" s="2501"/>
      <c r="D355" s="2501"/>
      <c r="E355" s="2501"/>
      <c r="F355" s="2501"/>
      <c r="G355" s="2501"/>
      <c r="H355" s="2501"/>
      <c r="I355" s="2501"/>
      <c r="J355" s="2501"/>
      <c r="K355" s="2501"/>
      <c r="L355" s="2501"/>
      <c r="M355" s="2501"/>
      <c r="N355" s="2501"/>
      <c r="O355" s="2501"/>
      <c r="P355" s="2501"/>
      <c r="Q355" s="2501"/>
      <c r="R355" s="2501"/>
      <c r="S355" s="2501"/>
      <c r="T355" s="2501"/>
      <c r="U355" s="2501"/>
      <c r="V355" s="2501"/>
      <c r="W355" s="2501"/>
      <c r="X355" s="2501"/>
      <c r="Y355" s="2501"/>
      <c r="Z355" s="2501"/>
      <c r="AA355" s="2501"/>
    </row>
    <row r="356" spans="1:27" ht="15.75" customHeight="1" x14ac:dyDescent="0.3">
      <c r="A356" s="2501"/>
      <c r="B356" s="2501"/>
      <c r="C356" s="2501"/>
      <c r="D356" s="2501"/>
      <c r="E356" s="2501"/>
      <c r="F356" s="2501"/>
      <c r="G356" s="2501"/>
      <c r="H356" s="2501"/>
      <c r="I356" s="2501"/>
      <c r="J356" s="2501"/>
      <c r="K356" s="2501"/>
      <c r="L356" s="2501"/>
      <c r="M356" s="2501"/>
      <c r="N356" s="2501"/>
      <c r="O356" s="2501"/>
      <c r="P356" s="2501"/>
      <c r="Q356" s="2501"/>
      <c r="R356" s="2501"/>
      <c r="S356" s="2501"/>
      <c r="T356" s="2501"/>
      <c r="U356" s="2501"/>
      <c r="V356" s="2501"/>
      <c r="W356" s="2501"/>
      <c r="X356" s="2501"/>
      <c r="Y356" s="2501"/>
      <c r="Z356" s="2501"/>
      <c r="AA356" s="2501"/>
    </row>
    <row r="357" spans="1:27" ht="15.75" customHeight="1" x14ac:dyDescent="0.3">
      <c r="A357" s="2501"/>
      <c r="B357" s="2501"/>
      <c r="C357" s="2501"/>
      <c r="D357" s="2501"/>
      <c r="E357" s="2501"/>
      <c r="F357" s="2501"/>
      <c r="G357" s="2501"/>
      <c r="H357" s="2501"/>
      <c r="I357" s="2501"/>
      <c r="J357" s="2501"/>
      <c r="K357" s="2501"/>
      <c r="L357" s="2501"/>
      <c r="M357" s="2501"/>
      <c r="N357" s="2501"/>
      <c r="O357" s="2501"/>
      <c r="P357" s="2501"/>
      <c r="Q357" s="2501"/>
      <c r="R357" s="2501"/>
      <c r="S357" s="2501"/>
      <c r="T357" s="2501"/>
      <c r="U357" s="2501"/>
      <c r="V357" s="2501"/>
      <c r="W357" s="2501"/>
      <c r="X357" s="2501"/>
      <c r="Y357" s="2501"/>
      <c r="Z357" s="2501"/>
      <c r="AA357" s="2501"/>
    </row>
    <row r="358" spans="1:27" ht="15.75" customHeight="1" x14ac:dyDescent="0.3">
      <c r="A358" s="2501"/>
      <c r="B358" s="2501"/>
      <c r="C358" s="2501"/>
      <c r="D358" s="2501"/>
      <c r="E358" s="2501"/>
      <c r="F358" s="2501"/>
      <c r="G358" s="2501"/>
      <c r="H358" s="2501"/>
      <c r="I358" s="2501"/>
      <c r="J358" s="2501"/>
      <c r="K358" s="2501"/>
      <c r="L358" s="2501"/>
      <c r="M358" s="2501"/>
      <c r="N358" s="2501"/>
      <c r="O358" s="2501"/>
      <c r="P358" s="2501"/>
      <c r="Q358" s="2501"/>
      <c r="R358" s="2501"/>
      <c r="S358" s="2501"/>
      <c r="T358" s="2501"/>
      <c r="U358" s="2501"/>
      <c r="V358" s="2501"/>
      <c r="W358" s="2501"/>
      <c r="X358" s="2501"/>
      <c r="Y358" s="2501"/>
      <c r="Z358" s="2501"/>
      <c r="AA358" s="2501"/>
    </row>
    <row r="359" spans="1:27" ht="15.75" customHeight="1" x14ac:dyDescent="0.3">
      <c r="A359" s="2501"/>
      <c r="B359" s="2501"/>
      <c r="C359" s="2501"/>
      <c r="D359" s="2501"/>
      <c r="E359" s="2501"/>
      <c r="F359" s="2501"/>
      <c r="G359" s="2501"/>
      <c r="H359" s="2501"/>
      <c r="I359" s="2501"/>
      <c r="J359" s="2501"/>
      <c r="K359" s="2501"/>
      <c r="L359" s="2501"/>
      <c r="M359" s="2501"/>
      <c r="N359" s="2501"/>
      <c r="O359" s="2501"/>
      <c r="P359" s="2501"/>
      <c r="Q359" s="2501"/>
      <c r="R359" s="2501"/>
      <c r="S359" s="2501"/>
      <c r="T359" s="2501"/>
      <c r="U359" s="2501"/>
      <c r="V359" s="2501"/>
      <c r="W359" s="2501"/>
      <c r="X359" s="2501"/>
      <c r="Y359" s="2501"/>
      <c r="Z359" s="2501"/>
      <c r="AA359" s="2501"/>
    </row>
    <row r="360" spans="1:27" ht="15.75" customHeight="1" x14ac:dyDescent="0.3">
      <c r="A360" s="2501"/>
      <c r="B360" s="2501"/>
      <c r="C360" s="2501"/>
      <c r="D360" s="2501"/>
      <c r="E360" s="2501"/>
      <c r="F360" s="2501"/>
      <c r="G360" s="2501"/>
      <c r="H360" s="2501"/>
      <c r="I360" s="2501"/>
      <c r="J360" s="2501"/>
      <c r="K360" s="2501"/>
      <c r="L360" s="2501"/>
      <c r="M360" s="2501"/>
      <c r="N360" s="2501"/>
      <c r="O360" s="2501"/>
      <c r="P360" s="2501"/>
      <c r="Q360" s="2501"/>
      <c r="R360" s="2501"/>
      <c r="S360" s="2501"/>
      <c r="T360" s="2501"/>
      <c r="U360" s="2501"/>
      <c r="V360" s="2501"/>
      <c r="W360" s="2501"/>
      <c r="X360" s="2501"/>
      <c r="Y360" s="2501"/>
      <c r="Z360" s="2501"/>
      <c r="AA360" s="2501"/>
    </row>
    <row r="361" spans="1:27" ht="15.75" customHeight="1" x14ac:dyDescent="0.3">
      <c r="A361" s="2501"/>
      <c r="B361" s="2501"/>
      <c r="C361" s="2501"/>
      <c r="D361" s="2501"/>
      <c r="E361" s="2501"/>
      <c r="F361" s="2501"/>
      <c r="G361" s="2501"/>
      <c r="H361" s="2501"/>
      <c r="I361" s="2501"/>
      <c r="J361" s="2501"/>
      <c r="K361" s="2501"/>
      <c r="L361" s="2501"/>
      <c r="M361" s="2501"/>
      <c r="N361" s="2501"/>
      <c r="O361" s="2501"/>
      <c r="P361" s="2501"/>
      <c r="Q361" s="2501"/>
      <c r="R361" s="2501"/>
      <c r="S361" s="2501"/>
      <c r="T361" s="2501"/>
      <c r="U361" s="2501"/>
      <c r="V361" s="2501"/>
      <c r="W361" s="2501"/>
      <c r="X361" s="2501"/>
      <c r="Y361" s="2501"/>
      <c r="Z361" s="2501"/>
      <c r="AA361" s="2501"/>
    </row>
    <row r="362" spans="1:27" ht="15.75" customHeight="1" x14ac:dyDescent="0.3">
      <c r="A362" s="2501"/>
      <c r="B362" s="2501"/>
      <c r="C362" s="2501"/>
      <c r="D362" s="2501"/>
      <c r="E362" s="2501"/>
      <c r="F362" s="2501"/>
      <c r="G362" s="2501"/>
      <c r="H362" s="2501"/>
      <c r="I362" s="2501"/>
      <c r="J362" s="2501"/>
      <c r="K362" s="2501"/>
      <c r="L362" s="2501"/>
      <c r="M362" s="2501"/>
      <c r="N362" s="2501"/>
      <c r="O362" s="2501"/>
      <c r="P362" s="2501"/>
      <c r="Q362" s="2501"/>
      <c r="R362" s="2501"/>
      <c r="S362" s="2501"/>
      <c r="T362" s="2501"/>
      <c r="U362" s="2501"/>
      <c r="V362" s="2501"/>
      <c r="W362" s="2501"/>
      <c r="X362" s="2501"/>
      <c r="Y362" s="2501"/>
      <c r="Z362" s="2501"/>
      <c r="AA362" s="2501"/>
    </row>
    <row r="363" spans="1:27" ht="15.75" customHeight="1" x14ac:dyDescent="0.3">
      <c r="A363" s="2501"/>
      <c r="B363" s="2501"/>
      <c r="C363" s="2501"/>
      <c r="D363" s="2501"/>
      <c r="E363" s="2501"/>
      <c r="F363" s="2501"/>
      <c r="G363" s="2501"/>
      <c r="H363" s="2501"/>
      <c r="I363" s="2501"/>
      <c r="J363" s="2501"/>
      <c r="K363" s="2501"/>
      <c r="L363" s="2501"/>
      <c r="M363" s="2501"/>
      <c r="N363" s="2501"/>
      <c r="O363" s="2501"/>
      <c r="P363" s="2501"/>
      <c r="Q363" s="2501"/>
      <c r="R363" s="2501"/>
      <c r="S363" s="2501"/>
      <c r="T363" s="2501"/>
      <c r="U363" s="2501"/>
      <c r="V363" s="2501"/>
      <c r="W363" s="2501"/>
      <c r="X363" s="2501"/>
      <c r="Y363" s="2501"/>
      <c r="Z363" s="2501"/>
      <c r="AA363" s="2501"/>
    </row>
    <row r="364" spans="1:27" ht="15.75" customHeight="1" x14ac:dyDescent="0.3">
      <c r="A364" s="2501"/>
      <c r="B364" s="2501"/>
      <c r="C364" s="2501"/>
      <c r="D364" s="2501"/>
      <c r="E364" s="2501"/>
      <c r="F364" s="2501"/>
      <c r="G364" s="2501"/>
      <c r="H364" s="2501"/>
      <c r="I364" s="2501"/>
      <c r="J364" s="2501"/>
      <c r="K364" s="2501"/>
      <c r="L364" s="2501"/>
      <c r="M364" s="2501"/>
      <c r="N364" s="2501"/>
      <c r="O364" s="2501"/>
      <c r="P364" s="2501"/>
      <c r="Q364" s="2501"/>
      <c r="R364" s="2501"/>
      <c r="S364" s="2501"/>
      <c r="T364" s="2501"/>
      <c r="U364" s="2501"/>
      <c r="V364" s="2501"/>
      <c r="W364" s="2501"/>
      <c r="X364" s="2501"/>
      <c r="Y364" s="2501"/>
      <c r="Z364" s="2501"/>
      <c r="AA364" s="2501"/>
    </row>
    <row r="365" spans="1:27" ht="15.75" customHeight="1" x14ac:dyDescent="0.3">
      <c r="A365" s="2501"/>
      <c r="B365" s="2501"/>
      <c r="C365" s="2501"/>
      <c r="D365" s="2501"/>
      <c r="E365" s="2501"/>
      <c r="F365" s="2501"/>
      <c r="G365" s="2501"/>
      <c r="H365" s="2501"/>
      <c r="I365" s="2501"/>
      <c r="J365" s="2501"/>
      <c r="K365" s="2501"/>
      <c r="L365" s="2501"/>
      <c r="M365" s="2501"/>
      <c r="N365" s="2501"/>
      <c r="O365" s="2501"/>
      <c r="P365" s="2501"/>
      <c r="Q365" s="2501"/>
      <c r="R365" s="2501"/>
      <c r="S365" s="2501"/>
      <c r="T365" s="2501"/>
      <c r="U365" s="2501"/>
      <c r="V365" s="2501"/>
      <c r="W365" s="2501"/>
      <c r="X365" s="2501"/>
      <c r="Y365" s="2501"/>
      <c r="Z365" s="2501"/>
      <c r="AA365" s="2501"/>
    </row>
    <row r="366" spans="1:27" ht="15.75" customHeight="1" x14ac:dyDescent="0.3">
      <c r="A366" s="2501"/>
      <c r="B366" s="2501"/>
      <c r="C366" s="2501"/>
      <c r="D366" s="2501"/>
      <c r="E366" s="2501"/>
      <c r="F366" s="2501"/>
      <c r="G366" s="2501"/>
      <c r="H366" s="2501"/>
      <c r="I366" s="2501"/>
      <c r="J366" s="2501"/>
      <c r="K366" s="2501"/>
      <c r="L366" s="2501"/>
      <c r="M366" s="2501"/>
      <c r="N366" s="2501"/>
      <c r="O366" s="2501"/>
      <c r="P366" s="2501"/>
      <c r="Q366" s="2501"/>
      <c r="R366" s="2501"/>
      <c r="S366" s="2501"/>
      <c r="T366" s="2501"/>
      <c r="U366" s="2501"/>
      <c r="V366" s="2501"/>
      <c r="W366" s="2501"/>
      <c r="X366" s="2501"/>
      <c r="Y366" s="2501"/>
      <c r="Z366" s="2501"/>
      <c r="AA366" s="2501"/>
    </row>
    <row r="367" spans="1:27" ht="15.75" customHeight="1" x14ac:dyDescent="0.3">
      <c r="A367" s="2501"/>
      <c r="B367" s="2501"/>
      <c r="C367" s="2501"/>
      <c r="D367" s="2501"/>
      <c r="E367" s="2501"/>
      <c r="F367" s="2501"/>
      <c r="G367" s="2501"/>
      <c r="H367" s="2501"/>
      <c r="I367" s="2501"/>
      <c r="J367" s="2501"/>
      <c r="K367" s="2501"/>
      <c r="L367" s="2501"/>
      <c r="M367" s="2501"/>
      <c r="N367" s="2501"/>
      <c r="O367" s="2501"/>
      <c r="P367" s="2501"/>
      <c r="Q367" s="2501"/>
      <c r="R367" s="2501"/>
      <c r="S367" s="2501"/>
      <c r="T367" s="2501"/>
      <c r="U367" s="2501"/>
      <c r="V367" s="2501"/>
      <c r="W367" s="2501"/>
      <c r="X367" s="2501"/>
      <c r="Y367" s="2501"/>
      <c r="Z367" s="2501"/>
      <c r="AA367" s="2501"/>
    </row>
    <row r="368" spans="1:27" ht="15.75" customHeight="1" x14ac:dyDescent="0.3">
      <c r="A368" s="2501"/>
      <c r="B368" s="2501"/>
      <c r="C368" s="2501"/>
      <c r="D368" s="2501"/>
      <c r="E368" s="2501"/>
      <c r="F368" s="2501"/>
      <c r="G368" s="2501"/>
      <c r="H368" s="2501"/>
      <c r="I368" s="2501"/>
      <c r="J368" s="2501"/>
      <c r="K368" s="2501"/>
      <c r="L368" s="2501"/>
      <c r="M368" s="2501"/>
      <c r="N368" s="2501"/>
      <c r="O368" s="2501"/>
      <c r="P368" s="2501"/>
      <c r="Q368" s="2501"/>
      <c r="R368" s="2501"/>
      <c r="S368" s="2501"/>
      <c r="T368" s="2501"/>
      <c r="U368" s="2501"/>
      <c r="V368" s="2501"/>
      <c r="W368" s="2501"/>
      <c r="X368" s="2501"/>
      <c r="Y368" s="2501"/>
      <c r="Z368" s="2501"/>
      <c r="AA368" s="2501"/>
    </row>
    <row r="369" spans="1:27" ht="15.75" customHeight="1" x14ac:dyDescent="0.3">
      <c r="A369" s="2501"/>
      <c r="B369" s="2501"/>
      <c r="C369" s="2501"/>
      <c r="D369" s="2501"/>
      <c r="E369" s="2501"/>
      <c r="F369" s="2501"/>
      <c r="G369" s="2501"/>
      <c r="H369" s="2501"/>
      <c r="I369" s="2501"/>
      <c r="J369" s="2501"/>
      <c r="K369" s="2501"/>
      <c r="L369" s="2501"/>
      <c r="M369" s="2501"/>
      <c r="N369" s="2501"/>
      <c r="O369" s="2501"/>
      <c r="P369" s="2501"/>
      <c r="Q369" s="2501"/>
      <c r="R369" s="2501"/>
      <c r="S369" s="2501"/>
      <c r="T369" s="2501"/>
      <c r="U369" s="2501"/>
      <c r="V369" s="2501"/>
      <c r="W369" s="2501"/>
      <c r="X369" s="2501"/>
      <c r="Y369" s="2501"/>
      <c r="Z369" s="2501"/>
      <c r="AA369" s="2501"/>
    </row>
    <row r="370" spans="1:27" ht="15.75" customHeight="1" x14ac:dyDescent="0.3">
      <c r="A370" s="2501"/>
      <c r="B370" s="2501"/>
      <c r="C370" s="2501"/>
      <c r="D370" s="2501"/>
      <c r="E370" s="2501"/>
      <c r="F370" s="2501"/>
      <c r="G370" s="2501"/>
      <c r="H370" s="2501"/>
      <c r="I370" s="2501"/>
      <c r="J370" s="2501"/>
      <c r="K370" s="2501"/>
      <c r="L370" s="2501"/>
      <c r="M370" s="2501"/>
      <c r="N370" s="2501"/>
      <c r="O370" s="2501"/>
      <c r="P370" s="2501"/>
      <c r="Q370" s="2501"/>
      <c r="R370" s="2501"/>
      <c r="S370" s="2501"/>
      <c r="T370" s="2501"/>
      <c r="U370" s="2501"/>
      <c r="V370" s="2501"/>
      <c r="W370" s="2501"/>
      <c r="X370" s="2501"/>
      <c r="Y370" s="2501"/>
      <c r="Z370" s="2501"/>
      <c r="AA370" s="2501"/>
    </row>
    <row r="371" spans="1:27" ht="15.75" customHeight="1" x14ac:dyDescent="0.3">
      <c r="A371" s="2501"/>
      <c r="B371" s="2501"/>
      <c r="C371" s="2501"/>
      <c r="D371" s="2501"/>
      <c r="E371" s="2501"/>
      <c r="F371" s="2501"/>
      <c r="G371" s="2501"/>
      <c r="H371" s="2501"/>
      <c r="I371" s="2501"/>
      <c r="J371" s="2501"/>
      <c r="K371" s="2501"/>
      <c r="L371" s="2501"/>
      <c r="M371" s="2501"/>
      <c r="N371" s="2501"/>
      <c r="O371" s="2501"/>
      <c r="P371" s="2501"/>
      <c r="Q371" s="2501"/>
      <c r="R371" s="2501"/>
      <c r="S371" s="2501"/>
      <c r="T371" s="2501"/>
      <c r="U371" s="2501"/>
      <c r="V371" s="2501"/>
      <c r="W371" s="2501"/>
      <c r="X371" s="2501"/>
      <c r="Y371" s="2501"/>
      <c r="Z371" s="2501"/>
      <c r="AA371" s="2501"/>
    </row>
    <row r="372" spans="1:27" ht="15.75" customHeight="1" x14ac:dyDescent="0.3">
      <c r="A372" s="2501"/>
      <c r="B372" s="2501"/>
      <c r="C372" s="2501"/>
      <c r="D372" s="2501"/>
      <c r="E372" s="2501"/>
      <c r="F372" s="2501"/>
      <c r="G372" s="2501"/>
      <c r="H372" s="2501"/>
      <c r="I372" s="2501"/>
      <c r="J372" s="2501"/>
      <c r="K372" s="2501"/>
      <c r="L372" s="2501"/>
      <c r="M372" s="2501"/>
      <c r="N372" s="2501"/>
      <c r="O372" s="2501"/>
      <c r="P372" s="2501"/>
      <c r="Q372" s="2501"/>
      <c r="R372" s="2501"/>
      <c r="S372" s="2501"/>
      <c r="T372" s="2501"/>
      <c r="U372" s="2501"/>
      <c r="V372" s="2501"/>
      <c r="W372" s="2501"/>
      <c r="X372" s="2501"/>
      <c r="Y372" s="2501"/>
      <c r="Z372" s="2501"/>
      <c r="AA372" s="2501"/>
    </row>
    <row r="373" spans="1:27" ht="15.75" customHeight="1" x14ac:dyDescent="0.3">
      <c r="A373" s="2501"/>
      <c r="B373" s="2501"/>
      <c r="C373" s="2501"/>
      <c r="D373" s="2501"/>
      <c r="E373" s="2501"/>
      <c r="F373" s="2501"/>
      <c r="G373" s="2501"/>
      <c r="H373" s="2501"/>
      <c r="I373" s="2501"/>
      <c r="J373" s="2501"/>
      <c r="K373" s="2501"/>
      <c r="L373" s="2501"/>
      <c r="M373" s="2501"/>
      <c r="N373" s="2501"/>
      <c r="O373" s="2501"/>
      <c r="P373" s="2501"/>
      <c r="Q373" s="2501"/>
      <c r="R373" s="2501"/>
      <c r="S373" s="2501"/>
      <c r="T373" s="2501"/>
      <c r="U373" s="2501"/>
      <c r="V373" s="2501"/>
      <c r="W373" s="2501"/>
      <c r="X373" s="2501"/>
      <c r="Y373" s="2501"/>
      <c r="Z373" s="2501"/>
      <c r="AA373" s="2501"/>
    </row>
    <row r="374" spans="1:27" ht="15.75" customHeight="1" x14ac:dyDescent="0.3">
      <c r="A374" s="2501"/>
      <c r="B374" s="2501"/>
      <c r="C374" s="2501"/>
      <c r="D374" s="2501"/>
      <c r="E374" s="2501"/>
      <c r="F374" s="2501"/>
      <c r="G374" s="2501"/>
      <c r="H374" s="2501"/>
      <c r="I374" s="2501"/>
      <c r="J374" s="2501"/>
      <c r="K374" s="2501"/>
      <c r="L374" s="2501"/>
      <c r="M374" s="2501"/>
      <c r="N374" s="2501"/>
      <c r="O374" s="2501"/>
      <c r="P374" s="2501"/>
      <c r="Q374" s="2501"/>
      <c r="R374" s="2501"/>
      <c r="S374" s="2501"/>
      <c r="T374" s="2501"/>
      <c r="U374" s="2501"/>
      <c r="V374" s="2501"/>
      <c r="W374" s="2501"/>
      <c r="X374" s="2501"/>
      <c r="Y374" s="2501"/>
      <c r="Z374" s="2501"/>
      <c r="AA374" s="2501"/>
    </row>
    <row r="375" spans="1:27" ht="15.75" customHeight="1" x14ac:dyDescent="0.3">
      <c r="A375" s="2501"/>
      <c r="B375" s="2501"/>
      <c r="C375" s="2501"/>
      <c r="D375" s="2501"/>
      <c r="E375" s="2501"/>
      <c r="F375" s="2501"/>
      <c r="G375" s="2501"/>
      <c r="H375" s="2501"/>
      <c r="I375" s="2501"/>
      <c r="J375" s="2501"/>
      <c r="K375" s="2501"/>
      <c r="L375" s="2501"/>
      <c r="M375" s="2501"/>
      <c r="N375" s="2501"/>
      <c r="O375" s="2501"/>
      <c r="P375" s="2501"/>
      <c r="Q375" s="2501"/>
      <c r="R375" s="2501"/>
      <c r="S375" s="2501"/>
      <c r="T375" s="2501"/>
      <c r="U375" s="2501"/>
      <c r="V375" s="2501"/>
      <c r="W375" s="2501"/>
      <c r="X375" s="2501"/>
      <c r="Y375" s="2501"/>
      <c r="Z375" s="2501"/>
      <c r="AA375" s="2501"/>
    </row>
    <row r="376" spans="1:27" ht="15.75" customHeight="1" x14ac:dyDescent="0.3">
      <c r="A376" s="2501"/>
      <c r="B376" s="2501"/>
      <c r="C376" s="2501"/>
      <c r="D376" s="2501"/>
      <c r="E376" s="2501"/>
      <c r="F376" s="2501"/>
      <c r="G376" s="2501"/>
      <c r="H376" s="2501"/>
      <c r="I376" s="2501"/>
      <c r="J376" s="2501"/>
      <c r="K376" s="2501"/>
      <c r="L376" s="2501"/>
      <c r="M376" s="2501"/>
      <c r="N376" s="2501"/>
      <c r="O376" s="2501"/>
      <c r="P376" s="2501"/>
      <c r="Q376" s="2501"/>
      <c r="R376" s="2501"/>
      <c r="S376" s="2501"/>
      <c r="T376" s="2501"/>
      <c r="U376" s="2501"/>
      <c r="V376" s="2501"/>
      <c r="W376" s="2501"/>
      <c r="X376" s="2501"/>
      <c r="Y376" s="2501"/>
      <c r="Z376" s="2501"/>
      <c r="AA376" s="2501"/>
    </row>
    <row r="377" spans="1:27" ht="15.75" customHeight="1" x14ac:dyDescent="0.3">
      <c r="A377" s="2501"/>
      <c r="B377" s="2501"/>
      <c r="C377" s="2501"/>
      <c r="D377" s="2501"/>
      <c r="E377" s="2501"/>
      <c r="F377" s="2501"/>
      <c r="G377" s="2501"/>
      <c r="H377" s="2501"/>
      <c r="I377" s="2501"/>
      <c r="J377" s="2501"/>
      <c r="K377" s="2501"/>
      <c r="L377" s="2501"/>
      <c r="M377" s="2501"/>
      <c r="N377" s="2501"/>
      <c r="O377" s="2501"/>
      <c r="P377" s="2501"/>
      <c r="Q377" s="2501"/>
      <c r="R377" s="2501"/>
      <c r="S377" s="2501"/>
      <c r="T377" s="2501"/>
      <c r="U377" s="2501"/>
      <c r="V377" s="2501"/>
      <c r="W377" s="2501"/>
      <c r="X377" s="2501"/>
      <c r="Y377" s="2501"/>
      <c r="Z377" s="2501"/>
      <c r="AA377" s="2501"/>
    </row>
    <row r="378" spans="1:27" ht="15.75" customHeight="1" x14ac:dyDescent="0.3">
      <c r="A378" s="2501"/>
      <c r="B378" s="2501"/>
      <c r="C378" s="2501"/>
      <c r="D378" s="2501"/>
      <c r="E378" s="2501"/>
      <c r="F378" s="2501"/>
      <c r="G378" s="2501"/>
      <c r="H378" s="2501"/>
      <c r="I378" s="2501"/>
      <c r="J378" s="2501"/>
      <c r="K378" s="2501"/>
      <c r="L378" s="2501"/>
      <c r="M378" s="2501"/>
      <c r="N378" s="2501"/>
      <c r="O378" s="2501"/>
      <c r="P378" s="2501"/>
      <c r="Q378" s="2501"/>
      <c r="R378" s="2501"/>
      <c r="S378" s="2501"/>
      <c r="T378" s="2501"/>
      <c r="U378" s="2501"/>
      <c r="V378" s="2501"/>
      <c r="W378" s="2501"/>
      <c r="X378" s="2501"/>
      <c r="Y378" s="2501"/>
      <c r="Z378" s="2501"/>
      <c r="AA378" s="2501"/>
    </row>
    <row r="379" spans="1:27" ht="15.75" customHeight="1" x14ac:dyDescent="0.3">
      <c r="A379" s="2501"/>
      <c r="B379" s="2501"/>
      <c r="C379" s="2501"/>
      <c r="D379" s="2501"/>
      <c r="E379" s="2501"/>
      <c r="F379" s="2501"/>
      <c r="G379" s="2501"/>
      <c r="H379" s="2501"/>
      <c r="I379" s="2501"/>
      <c r="J379" s="2501"/>
      <c r="K379" s="2501"/>
      <c r="L379" s="2501"/>
      <c r="M379" s="2501"/>
      <c r="N379" s="2501"/>
      <c r="O379" s="2501"/>
      <c r="P379" s="2501"/>
      <c r="Q379" s="2501"/>
      <c r="R379" s="2501"/>
      <c r="S379" s="2501"/>
      <c r="T379" s="2501"/>
      <c r="U379" s="2501"/>
      <c r="V379" s="2501"/>
      <c r="W379" s="2501"/>
      <c r="X379" s="2501"/>
      <c r="Y379" s="2501"/>
      <c r="Z379" s="2501"/>
      <c r="AA379" s="2501"/>
    </row>
    <row r="380" spans="1:27" ht="15.75" customHeight="1" x14ac:dyDescent="0.3">
      <c r="A380" s="2501"/>
      <c r="B380" s="2501"/>
      <c r="C380" s="2501"/>
      <c r="D380" s="2501"/>
      <c r="E380" s="2501"/>
      <c r="F380" s="2501"/>
      <c r="G380" s="2501"/>
      <c r="H380" s="2501"/>
      <c r="I380" s="2501"/>
      <c r="J380" s="2501"/>
      <c r="K380" s="2501"/>
      <c r="L380" s="2501"/>
      <c r="M380" s="2501"/>
      <c r="N380" s="2501"/>
      <c r="O380" s="2501"/>
      <c r="P380" s="2501"/>
      <c r="Q380" s="2501"/>
      <c r="R380" s="2501"/>
      <c r="S380" s="2501"/>
      <c r="T380" s="2501"/>
      <c r="U380" s="2501"/>
      <c r="V380" s="2501"/>
      <c r="W380" s="2501"/>
      <c r="X380" s="2501"/>
      <c r="Y380" s="2501"/>
      <c r="Z380" s="2501"/>
      <c r="AA380" s="2501"/>
    </row>
    <row r="381" spans="1:27" ht="15.75" customHeight="1" x14ac:dyDescent="0.3">
      <c r="A381" s="2501"/>
      <c r="B381" s="2501"/>
      <c r="C381" s="2501"/>
      <c r="D381" s="2501"/>
      <c r="E381" s="2501"/>
      <c r="F381" s="2501"/>
      <c r="G381" s="2501"/>
      <c r="H381" s="2501"/>
      <c r="I381" s="2501"/>
      <c r="J381" s="2501"/>
      <c r="K381" s="2501"/>
      <c r="L381" s="2501"/>
      <c r="M381" s="2501"/>
      <c r="N381" s="2501"/>
      <c r="O381" s="2501"/>
      <c r="P381" s="2501"/>
      <c r="Q381" s="2501"/>
      <c r="R381" s="2501"/>
      <c r="S381" s="2501"/>
      <c r="T381" s="2501"/>
      <c r="U381" s="2501"/>
      <c r="V381" s="2501"/>
      <c r="W381" s="2501"/>
      <c r="X381" s="2501"/>
      <c r="Y381" s="2501"/>
      <c r="Z381" s="2501"/>
      <c r="AA381" s="2501"/>
    </row>
    <row r="382" spans="1:27" ht="15.75" customHeight="1" x14ac:dyDescent="0.3">
      <c r="A382" s="2501"/>
      <c r="B382" s="2501"/>
      <c r="C382" s="2501"/>
      <c r="D382" s="2501"/>
      <c r="E382" s="2501"/>
      <c r="F382" s="2501"/>
      <c r="G382" s="2501"/>
      <c r="H382" s="2501"/>
      <c r="I382" s="2501"/>
      <c r="J382" s="2501"/>
      <c r="K382" s="2501"/>
      <c r="L382" s="2501"/>
      <c r="M382" s="2501"/>
      <c r="N382" s="2501"/>
      <c r="O382" s="2501"/>
      <c r="P382" s="2501"/>
      <c r="Q382" s="2501"/>
      <c r="R382" s="2501"/>
      <c r="S382" s="2501"/>
      <c r="T382" s="2501"/>
      <c r="U382" s="2501"/>
      <c r="V382" s="2501"/>
      <c r="W382" s="2501"/>
      <c r="X382" s="2501"/>
      <c r="Y382" s="2501"/>
      <c r="Z382" s="2501"/>
      <c r="AA382" s="2501"/>
    </row>
    <row r="383" spans="1:27" ht="15.75" customHeight="1" x14ac:dyDescent="0.3">
      <c r="A383" s="2501"/>
      <c r="B383" s="2501"/>
      <c r="C383" s="2501"/>
      <c r="D383" s="2501"/>
      <c r="E383" s="2501"/>
      <c r="F383" s="2501"/>
      <c r="G383" s="2501"/>
      <c r="H383" s="2501"/>
      <c r="I383" s="2501"/>
      <c r="J383" s="2501"/>
      <c r="K383" s="2501"/>
      <c r="L383" s="2501"/>
      <c r="M383" s="2501"/>
      <c r="N383" s="2501"/>
      <c r="O383" s="2501"/>
      <c r="P383" s="2501"/>
      <c r="Q383" s="2501"/>
      <c r="R383" s="2501"/>
      <c r="S383" s="2501"/>
      <c r="T383" s="2501"/>
      <c r="U383" s="2501"/>
      <c r="V383" s="2501"/>
      <c r="W383" s="2501"/>
      <c r="X383" s="2501"/>
      <c r="Y383" s="2501"/>
      <c r="Z383" s="2501"/>
      <c r="AA383" s="2501"/>
    </row>
    <row r="384" spans="1:27" ht="15.75" customHeight="1" x14ac:dyDescent="0.3">
      <c r="A384" s="2501"/>
      <c r="B384" s="2501"/>
      <c r="C384" s="2501"/>
      <c r="D384" s="2501"/>
      <c r="E384" s="2501"/>
      <c r="F384" s="2501"/>
      <c r="G384" s="2501"/>
      <c r="H384" s="2501"/>
      <c r="I384" s="2501"/>
      <c r="J384" s="2501"/>
      <c r="K384" s="2501"/>
      <c r="L384" s="2501"/>
      <c r="M384" s="2501"/>
      <c r="N384" s="2501"/>
      <c r="O384" s="2501"/>
      <c r="P384" s="2501"/>
      <c r="Q384" s="2501"/>
      <c r="R384" s="2501"/>
      <c r="S384" s="2501"/>
      <c r="T384" s="2501"/>
      <c r="U384" s="2501"/>
      <c r="V384" s="2501"/>
      <c r="W384" s="2501"/>
      <c r="X384" s="2501"/>
      <c r="Y384" s="2501"/>
      <c r="Z384" s="2501"/>
      <c r="AA384" s="2501"/>
    </row>
    <row r="385" spans="1:27" ht="15.75" customHeight="1" x14ac:dyDescent="0.3">
      <c r="A385" s="2501"/>
      <c r="B385" s="2501"/>
      <c r="C385" s="2501"/>
      <c r="D385" s="2501"/>
      <c r="E385" s="2501"/>
      <c r="F385" s="2501"/>
      <c r="G385" s="2501"/>
      <c r="H385" s="2501"/>
      <c r="I385" s="2501"/>
      <c r="J385" s="2501"/>
      <c r="K385" s="2501"/>
      <c r="L385" s="2501"/>
      <c r="M385" s="2501"/>
      <c r="N385" s="2501"/>
      <c r="O385" s="2501"/>
      <c r="P385" s="2501"/>
      <c r="Q385" s="2501"/>
      <c r="R385" s="2501"/>
      <c r="S385" s="2501"/>
      <c r="T385" s="2501"/>
      <c r="U385" s="2501"/>
      <c r="V385" s="2501"/>
      <c r="W385" s="2501"/>
      <c r="X385" s="2501"/>
      <c r="Y385" s="2501"/>
      <c r="Z385" s="2501"/>
      <c r="AA385" s="2501"/>
    </row>
    <row r="386" spans="1:27" ht="15.75" customHeight="1" x14ac:dyDescent="0.3">
      <c r="A386" s="2501"/>
      <c r="B386" s="2501"/>
      <c r="C386" s="2501"/>
      <c r="D386" s="2501"/>
      <c r="E386" s="2501"/>
      <c r="F386" s="2501"/>
      <c r="G386" s="2501"/>
      <c r="H386" s="2501"/>
      <c r="I386" s="2501"/>
      <c r="J386" s="2501"/>
      <c r="K386" s="2501"/>
      <c r="L386" s="2501"/>
      <c r="M386" s="2501"/>
      <c r="N386" s="2501"/>
      <c r="O386" s="2501"/>
      <c r="P386" s="2501"/>
      <c r="Q386" s="2501"/>
      <c r="R386" s="2501"/>
      <c r="S386" s="2501"/>
      <c r="T386" s="2501"/>
      <c r="U386" s="2501"/>
      <c r="V386" s="2501"/>
      <c r="W386" s="2501"/>
      <c r="X386" s="2501"/>
      <c r="Y386" s="2501"/>
      <c r="Z386" s="2501"/>
      <c r="AA386" s="2501"/>
    </row>
    <row r="387" spans="1:27" ht="15.75" customHeight="1" x14ac:dyDescent="0.3">
      <c r="A387" s="2501"/>
      <c r="B387" s="2501"/>
      <c r="C387" s="2501"/>
      <c r="D387" s="2501"/>
      <c r="E387" s="2501"/>
      <c r="F387" s="2501"/>
      <c r="G387" s="2501"/>
      <c r="H387" s="2501"/>
      <c r="I387" s="2501"/>
      <c r="J387" s="2501"/>
      <c r="K387" s="2501"/>
      <c r="L387" s="2501"/>
      <c r="M387" s="2501"/>
      <c r="N387" s="2501"/>
      <c r="O387" s="2501"/>
      <c r="P387" s="2501"/>
      <c r="Q387" s="2501"/>
      <c r="R387" s="2501"/>
      <c r="S387" s="2501"/>
      <c r="T387" s="2501"/>
      <c r="U387" s="2501"/>
      <c r="V387" s="2501"/>
      <c r="W387" s="2501"/>
      <c r="X387" s="2501"/>
      <c r="Y387" s="2501"/>
      <c r="Z387" s="2501"/>
      <c r="AA387" s="2501"/>
    </row>
    <row r="388" spans="1:27" ht="15.75" customHeight="1" x14ac:dyDescent="0.3">
      <c r="A388" s="2501"/>
      <c r="B388" s="2501"/>
      <c r="C388" s="2501"/>
      <c r="D388" s="2501"/>
      <c r="E388" s="2501"/>
      <c r="F388" s="2501"/>
      <c r="G388" s="2501"/>
      <c r="H388" s="2501"/>
      <c r="I388" s="2501"/>
      <c r="J388" s="2501"/>
      <c r="K388" s="2501"/>
      <c r="L388" s="2501"/>
      <c r="M388" s="2501"/>
      <c r="N388" s="2501"/>
      <c r="O388" s="2501"/>
      <c r="P388" s="2501"/>
      <c r="Q388" s="2501"/>
      <c r="R388" s="2501"/>
      <c r="S388" s="2501"/>
      <c r="T388" s="2501"/>
      <c r="U388" s="2501"/>
      <c r="V388" s="2501"/>
      <c r="W388" s="2501"/>
      <c r="X388" s="2501"/>
      <c r="Y388" s="2501"/>
      <c r="Z388" s="2501"/>
      <c r="AA388" s="2501"/>
    </row>
    <row r="389" spans="1:27" ht="15.75" customHeight="1" x14ac:dyDescent="0.3">
      <c r="A389" s="2501"/>
      <c r="B389" s="2501"/>
      <c r="C389" s="2501"/>
      <c r="D389" s="2501"/>
      <c r="E389" s="2501"/>
      <c r="F389" s="2501"/>
      <c r="G389" s="2501"/>
      <c r="H389" s="2501"/>
      <c r="I389" s="2501"/>
      <c r="J389" s="2501"/>
      <c r="K389" s="2501"/>
      <c r="L389" s="2501"/>
      <c r="M389" s="2501"/>
      <c r="N389" s="2501"/>
      <c r="O389" s="2501"/>
      <c r="P389" s="2501"/>
      <c r="Q389" s="2501"/>
      <c r="R389" s="2501"/>
      <c r="S389" s="2501"/>
      <c r="T389" s="2501"/>
      <c r="U389" s="2501"/>
      <c r="V389" s="2501"/>
      <c r="W389" s="2501"/>
      <c r="X389" s="2501"/>
      <c r="Y389" s="2501"/>
      <c r="Z389" s="2501"/>
      <c r="AA389" s="2501"/>
    </row>
    <row r="390" spans="1:27" ht="15.75" customHeight="1" x14ac:dyDescent="0.3">
      <c r="A390" s="2501"/>
      <c r="B390" s="2501"/>
      <c r="C390" s="2501"/>
      <c r="D390" s="2501"/>
      <c r="E390" s="2501"/>
      <c r="F390" s="2501"/>
      <c r="G390" s="2501"/>
      <c r="H390" s="2501"/>
      <c r="I390" s="2501"/>
      <c r="J390" s="2501"/>
      <c r="K390" s="2501"/>
      <c r="L390" s="2501"/>
      <c r="M390" s="2501"/>
      <c r="N390" s="2501"/>
      <c r="O390" s="2501"/>
      <c r="P390" s="2501"/>
      <c r="Q390" s="2501"/>
      <c r="R390" s="2501"/>
      <c r="S390" s="2501"/>
      <c r="T390" s="2501"/>
      <c r="U390" s="2501"/>
      <c r="V390" s="2501"/>
      <c r="W390" s="2501"/>
      <c r="X390" s="2501"/>
      <c r="Y390" s="2501"/>
      <c r="Z390" s="2501"/>
      <c r="AA390" s="2501"/>
    </row>
    <row r="391" spans="1:27" ht="15.75" customHeight="1" x14ac:dyDescent="0.3">
      <c r="A391" s="2501"/>
      <c r="B391" s="2501"/>
      <c r="C391" s="2501"/>
      <c r="D391" s="2501"/>
      <c r="E391" s="2501"/>
      <c r="F391" s="2501"/>
      <c r="G391" s="2501"/>
      <c r="H391" s="2501"/>
      <c r="I391" s="2501"/>
      <c r="J391" s="2501"/>
      <c r="K391" s="2501"/>
      <c r="L391" s="2501"/>
      <c r="M391" s="2501"/>
      <c r="N391" s="2501"/>
      <c r="O391" s="2501"/>
      <c r="P391" s="2501"/>
      <c r="Q391" s="2501"/>
      <c r="R391" s="2501"/>
      <c r="S391" s="2501"/>
      <c r="T391" s="2501"/>
      <c r="U391" s="2501"/>
      <c r="V391" s="2501"/>
      <c r="W391" s="2501"/>
      <c r="X391" s="2501"/>
      <c r="Y391" s="2501"/>
      <c r="Z391" s="2501"/>
      <c r="AA391" s="2501"/>
    </row>
    <row r="392" spans="1:27" ht="15.75" customHeight="1" x14ac:dyDescent="0.3">
      <c r="A392" s="2501"/>
      <c r="B392" s="2501"/>
      <c r="C392" s="2501"/>
      <c r="D392" s="2501"/>
      <c r="E392" s="2501"/>
      <c r="F392" s="2501"/>
      <c r="G392" s="2501"/>
      <c r="H392" s="2501"/>
      <c r="I392" s="2501"/>
      <c r="J392" s="2501"/>
      <c r="K392" s="2501"/>
      <c r="L392" s="2501"/>
      <c r="M392" s="2501"/>
      <c r="N392" s="2501"/>
      <c r="O392" s="2501"/>
      <c r="P392" s="2501"/>
      <c r="Q392" s="2501"/>
      <c r="R392" s="2501"/>
      <c r="S392" s="2501"/>
      <c r="T392" s="2501"/>
      <c r="U392" s="2501"/>
      <c r="V392" s="2501"/>
      <c r="W392" s="2501"/>
      <c r="X392" s="2501"/>
      <c r="Y392" s="2501"/>
      <c r="Z392" s="2501"/>
      <c r="AA392" s="2501"/>
    </row>
    <row r="393" spans="1:27" ht="15.75" customHeight="1" x14ac:dyDescent="0.3">
      <c r="A393" s="2501"/>
      <c r="B393" s="2501"/>
      <c r="C393" s="2501"/>
      <c r="D393" s="2501"/>
      <c r="E393" s="2501"/>
      <c r="F393" s="2501"/>
      <c r="G393" s="2501"/>
      <c r="H393" s="2501"/>
      <c r="I393" s="2501"/>
      <c r="J393" s="2501"/>
      <c r="K393" s="2501"/>
      <c r="L393" s="2501"/>
      <c r="M393" s="2501"/>
      <c r="N393" s="2501"/>
      <c r="O393" s="2501"/>
      <c r="P393" s="2501"/>
      <c r="Q393" s="2501"/>
      <c r="R393" s="2501"/>
      <c r="S393" s="2501"/>
      <c r="T393" s="2501"/>
      <c r="U393" s="2501"/>
      <c r="V393" s="2501"/>
      <c r="W393" s="2501"/>
      <c r="X393" s="2501"/>
      <c r="Y393" s="2501"/>
      <c r="Z393" s="2501"/>
      <c r="AA393" s="2501"/>
    </row>
    <row r="394" spans="1:27" ht="15.75" customHeight="1" x14ac:dyDescent="0.3">
      <c r="A394" s="2501"/>
      <c r="B394" s="2501"/>
      <c r="C394" s="2501"/>
      <c r="D394" s="2501"/>
      <c r="E394" s="2501"/>
      <c r="F394" s="2501"/>
      <c r="G394" s="2501"/>
      <c r="H394" s="2501"/>
      <c r="I394" s="2501"/>
      <c r="J394" s="2501"/>
      <c r="K394" s="2501"/>
      <c r="L394" s="2501"/>
      <c r="M394" s="2501"/>
      <c r="N394" s="2501"/>
      <c r="O394" s="2501"/>
      <c r="P394" s="2501"/>
      <c r="Q394" s="2501"/>
      <c r="R394" s="2501"/>
      <c r="S394" s="2501"/>
      <c r="T394" s="2501"/>
      <c r="U394" s="2501"/>
      <c r="V394" s="2501"/>
      <c r="W394" s="2501"/>
      <c r="X394" s="2501"/>
      <c r="Y394" s="2501"/>
      <c r="Z394" s="2501"/>
      <c r="AA394" s="2501"/>
    </row>
    <row r="395" spans="1:27" ht="15.75" customHeight="1" x14ac:dyDescent="0.3">
      <c r="A395" s="2501"/>
      <c r="B395" s="2501"/>
      <c r="C395" s="2501"/>
      <c r="D395" s="2501"/>
      <c r="E395" s="2501"/>
      <c r="F395" s="2501"/>
      <c r="G395" s="2501"/>
      <c r="H395" s="2501"/>
      <c r="I395" s="2501"/>
      <c r="J395" s="2501"/>
      <c r="K395" s="2501"/>
      <c r="L395" s="2501"/>
      <c r="M395" s="2501"/>
      <c r="N395" s="2501"/>
      <c r="O395" s="2501"/>
      <c r="P395" s="2501"/>
      <c r="Q395" s="2501"/>
      <c r="R395" s="2501"/>
      <c r="S395" s="2501"/>
      <c r="T395" s="2501"/>
      <c r="U395" s="2501"/>
      <c r="V395" s="2501"/>
      <c r="W395" s="2501"/>
      <c r="X395" s="2501"/>
      <c r="Y395" s="2501"/>
      <c r="Z395" s="2501"/>
      <c r="AA395" s="2501"/>
    </row>
    <row r="396" spans="1:27" ht="15.75" customHeight="1" x14ac:dyDescent="0.3">
      <c r="A396" s="2501"/>
      <c r="B396" s="2501"/>
      <c r="C396" s="2501"/>
      <c r="D396" s="2501"/>
      <c r="E396" s="2501"/>
      <c r="F396" s="2501"/>
      <c r="G396" s="2501"/>
      <c r="H396" s="2501"/>
      <c r="I396" s="2501"/>
      <c r="J396" s="2501"/>
      <c r="K396" s="2501"/>
      <c r="L396" s="2501"/>
      <c r="M396" s="2501"/>
      <c r="N396" s="2501"/>
      <c r="O396" s="2501"/>
      <c r="P396" s="2501"/>
      <c r="Q396" s="2501"/>
      <c r="R396" s="2501"/>
      <c r="S396" s="2501"/>
      <c r="T396" s="2501"/>
      <c r="U396" s="2501"/>
      <c r="V396" s="2501"/>
      <c r="W396" s="2501"/>
      <c r="X396" s="2501"/>
      <c r="Y396" s="2501"/>
      <c r="Z396" s="2501"/>
      <c r="AA396" s="2501"/>
    </row>
    <row r="397" spans="1:27" ht="15.75" customHeight="1" x14ac:dyDescent="0.3">
      <c r="A397" s="2501"/>
      <c r="B397" s="2501"/>
      <c r="C397" s="2501"/>
      <c r="D397" s="2501"/>
      <c r="E397" s="2501"/>
      <c r="F397" s="2501"/>
      <c r="G397" s="2501"/>
      <c r="H397" s="2501"/>
      <c r="I397" s="2501"/>
      <c r="J397" s="2501"/>
      <c r="K397" s="2501"/>
      <c r="L397" s="2501"/>
      <c r="M397" s="2501"/>
      <c r="N397" s="2501"/>
      <c r="O397" s="2501"/>
      <c r="P397" s="2501"/>
      <c r="Q397" s="2501"/>
      <c r="R397" s="2501"/>
      <c r="S397" s="2501"/>
      <c r="T397" s="2501"/>
      <c r="U397" s="2501"/>
      <c r="V397" s="2501"/>
      <c r="W397" s="2501"/>
      <c r="X397" s="2501"/>
      <c r="Y397" s="2501"/>
      <c r="Z397" s="2501"/>
      <c r="AA397" s="2501"/>
    </row>
    <row r="398" spans="1:27" ht="15.75" customHeight="1" x14ac:dyDescent="0.3">
      <c r="A398" s="2501"/>
      <c r="B398" s="2501"/>
      <c r="C398" s="2501"/>
      <c r="D398" s="2501"/>
      <c r="E398" s="2501"/>
      <c r="F398" s="2501"/>
      <c r="G398" s="2501"/>
      <c r="H398" s="2501"/>
      <c r="I398" s="2501"/>
      <c r="J398" s="2501"/>
      <c r="K398" s="2501"/>
      <c r="L398" s="2501"/>
      <c r="M398" s="2501"/>
      <c r="N398" s="2501"/>
      <c r="O398" s="2501"/>
      <c r="P398" s="2501"/>
      <c r="Q398" s="2501"/>
      <c r="R398" s="2501"/>
      <c r="S398" s="2501"/>
      <c r="T398" s="2501"/>
      <c r="U398" s="2501"/>
      <c r="V398" s="2501"/>
      <c r="W398" s="2501"/>
      <c r="X398" s="2501"/>
      <c r="Y398" s="2501"/>
      <c r="Z398" s="2501"/>
      <c r="AA398" s="2501"/>
    </row>
    <row r="399" spans="1:27" ht="15.75" customHeight="1" x14ac:dyDescent="0.3">
      <c r="A399" s="2501"/>
      <c r="B399" s="2501"/>
      <c r="C399" s="2501"/>
      <c r="D399" s="2501"/>
      <c r="E399" s="2501"/>
      <c r="F399" s="2501"/>
      <c r="G399" s="2501"/>
      <c r="H399" s="2501"/>
      <c r="I399" s="2501"/>
      <c r="J399" s="2501"/>
      <c r="K399" s="2501"/>
      <c r="L399" s="2501"/>
      <c r="M399" s="2501"/>
      <c r="N399" s="2501"/>
      <c r="O399" s="2501"/>
      <c r="P399" s="2501"/>
      <c r="Q399" s="2501"/>
      <c r="R399" s="2501"/>
      <c r="S399" s="2501"/>
      <c r="T399" s="2501"/>
      <c r="U399" s="2501"/>
      <c r="V399" s="2501"/>
      <c r="W399" s="2501"/>
      <c r="X399" s="2501"/>
      <c r="Y399" s="2501"/>
      <c r="Z399" s="2501"/>
      <c r="AA399" s="2501"/>
    </row>
    <row r="400" spans="1:27" ht="15.75" customHeight="1" x14ac:dyDescent="0.3">
      <c r="A400" s="2501"/>
      <c r="B400" s="2501"/>
      <c r="C400" s="2501"/>
      <c r="D400" s="2501"/>
      <c r="E400" s="2501"/>
      <c r="F400" s="2501"/>
      <c r="G400" s="2501"/>
      <c r="H400" s="2501"/>
      <c r="I400" s="2501"/>
      <c r="J400" s="2501"/>
      <c r="K400" s="2501"/>
      <c r="L400" s="2501"/>
      <c r="M400" s="2501"/>
      <c r="N400" s="2501"/>
      <c r="O400" s="2501"/>
      <c r="P400" s="2501"/>
      <c r="Q400" s="2501"/>
      <c r="R400" s="2501"/>
      <c r="S400" s="2501"/>
      <c r="T400" s="2501"/>
      <c r="U400" s="2501"/>
      <c r="V400" s="2501"/>
      <c r="W400" s="2501"/>
      <c r="X400" s="2501"/>
      <c r="Y400" s="2501"/>
      <c r="Z400" s="2501"/>
      <c r="AA400" s="2501"/>
    </row>
    <row r="401" spans="1:27" ht="15.75" customHeight="1" x14ac:dyDescent="0.3">
      <c r="A401" s="2501"/>
      <c r="B401" s="2501"/>
      <c r="C401" s="2501"/>
      <c r="D401" s="2501"/>
      <c r="E401" s="2501"/>
      <c r="F401" s="2501"/>
      <c r="G401" s="2501"/>
      <c r="H401" s="2501"/>
      <c r="I401" s="2501"/>
      <c r="J401" s="2501"/>
      <c r="K401" s="2501"/>
      <c r="L401" s="2501"/>
      <c r="M401" s="2501"/>
      <c r="N401" s="2501"/>
      <c r="O401" s="2501"/>
      <c r="P401" s="2501"/>
      <c r="Q401" s="2501"/>
      <c r="R401" s="2501"/>
      <c r="S401" s="2501"/>
      <c r="T401" s="2501"/>
      <c r="U401" s="2501"/>
      <c r="V401" s="2501"/>
      <c r="W401" s="2501"/>
      <c r="X401" s="2501"/>
      <c r="Y401" s="2501"/>
      <c r="Z401" s="2501"/>
      <c r="AA401" s="2501"/>
    </row>
    <row r="402" spans="1:27" ht="15.75" customHeight="1" x14ac:dyDescent="0.3">
      <c r="A402" s="2501"/>
      <c r="B402" s="2501"/>
      <c r="C402" s="2501"/>
      <c r="D402" s="2501"/>
      <c r="E402" s="2501"/>
      <c r="F402" s="2501"/>
      <c r="G402" s="2501"/>
      <c r="H402" s="2501"/>
      <c r="I402" s="2501"/>
      <c r="J402" s="2501"/>
      <c r="K402" s="2501"/>
      <c r="L402" s="2501"/>
      <c r="M402" s="2501"/>
      <c r="N402" s="2501"/>
      <c r="O402" s="2501"/>
      <c r="P402" s="2501"/>
      <c r="Q402" s="2501"/>
      <c r="R402" s="2501"/>
      <c r="S402" s="2501"/>
      <c r="T402" s="2501"/>
      <c r="U402" s="2501"/>
      <c r="V402" s="2501"/>
      <c r="W402" s="2501"/>
      <c r="X402" s="2501"/>
      <c r="Y402" s="2501"/>
      <c r="Z402" s="2501"/>
      <c r="AA402" s="2501"/>
    </row>
    <row r="403" spans="1:27" ht="15.75" customHeight="1" x14ac:dyDescent="0.3">
      <c r="A403" s="2501"/>
      <c r="B403" s="2501"/>
      <c r="C403" s="2501"/>
      <c r="D403" s="2501"/>
      <c r="E403" s="2501"/>
      <c r="F403" s="2501"/>
      <c r="G403" s="2501"/>
      <c r="H403" s="2501"/>
      <c r="I403" s="2501"/>
      <c r="J403" s="2501"/>
      <c r="K403" s="2501"/>
      <c r="L403" s="2501"/>
      <c r="M403" s="2501"/>
      <c r="N403" s="2501"/>
      <c r="O403" s="2501"/>
      <c r="P403" s="2501"/>
      <c r="Q403" s="2501"/>
      <c r="R403" s="2501"/>
      <c r="S403" s="2501"/>
      <c r="T403" s="2501"/>
      <c r="U403" s="2501"/>
      <c r="V403" s="2501"/>
      <c r="W403" s="2501"/>
      <c r="X403" s="2501"/>
      <c r="Y403" s="2501"/>
      <c r="Z403" s="2501"/>
      <c r="AA403" s="2501"/>
    </row>
    <row r="404" spans="1:27" ht="15.75" customHeight="1" x14ac:dyDescent="0.3">
      <c r="A404" s="2501"/>
      <c r="B404" s="2501"/>
      <c r="C404" s="2501"/>
      <c r="D404" s="2501"/>
      <c r="E404" s="2501"/>
      <c r="F404" s="2501"/>
      <c r="G404" s="2501"/>
      <c r="H404" s="2501"/>
      <c r="I404" s="2501"/>
      <c r="J404" s="2501"/>
      <c r="K404" s="2501"/>
      <c r="L404" s="2501"/>
      <c r="M404" s="2501"/>
      <c r="N404" s="2501"/>
      <c r="O404" s="2501"/>
      <c r="P404" s="2501"/>
      <c r="Q404" s="2501"/>
      <c r="R404" s="2501"/>
      <c r="S404" s="2501"/>
      <c r="T404" s="2501"/>
      <c r="U404" s="2501"/>
      <c r="V404" s="2501"/>
      <c r="W404" s="2501"/>
      <c r="X404" s="2501"/>
      <c r="Y404" s="2501"/>
      <c r="Z404" s="2501"/>
      <c r="AA404" s="2501"/>
    </row>
    <row r="405" spans="1:27" ht="15.75" customHeight="1" x14ac:dyDescent="0.3">
      <c r="A405" s="2501"/>
      <c r="B405" s="2501"/>
      <c r="C405" s="2501"/>
      <c r="D405" s="2501"/>
      <c r="E405" s="2501"/>
      <c r="F405" s="2501"/>
      <c r="G405" s="2501"/>
      <c r="H405" s="2501"/>
      <c r="I405" s="2501"/>
      <c r="J405" s="2501"/>
      <c r="K405" s="2501"/>
      <c r="L405" s="2501"/>
      <c r="M405" s="2501"/>
      <c r="N405" s="2501"/>
      <c r="O405" s="2501"/>
      <c r="P405" s="2501"/>
      <c r="Q405" s="2501"/>
      <c r="R405" s="2501"/>
      <c r="S405" s="2501"/>
      <c r="T405" s="2501"/>
      <c r="U405" s="2501"/>
      <c r="V405" s="2501"/>
      <c r="W405" s="2501"/>
      <c r="X405" s="2501"/>
      <c r="Y405" s="2501"/>
      <c r="Z405" s="2501"/>
      <c r="AA405" s="2501"/>
    </row>
    <row r="406" spans="1:27" ht="15.75" customHeight="1" x14ac:dyDescent="0.3">
      <c r="A406" s="2501"/>
      <c r="B406" s="2501"/>
      <c r="C406" s="2501"/>
      <c r="D406" s="2501"/>
      <c r="E406" s="2501"/>
      <c r="F406" s="2501"/>
      <c r="G406" s="2501"/>
      <c r="H406" s="2501"/>
      <c r="I406" s="2501"/>
      <c r="J406" s="2501"/>
      <c r="K406" s="2501"/>
      <c r="L406" s="2501"/>
      <c r="M406" s="2501"/>
      <c r="N406" s="2501"/>
      <c r="O406" s="2501"/>
      <c r="P406" s="2501"/>
      <c r="Q406" s="2501"/>
      <c r="R406" s="2501"/>
      <c r="S406" s="2501"/>
      <c r="T406" s="2501"/>
      <c r="U406" s="2501"/>
      <c r="V406" s="2501"/>
      <c r="W406" s="2501"/>
      <c r="X406" s="2501"/>
      <c r="Y406" s="2501"/>
      <c r="Z406" s="2501"/>
      <c r="AA406" s="2501"/>
    </row>
    <row r="407" spans="1:27" ht="15.75" customHeight="1" x14ac:dyDescent="0.3">
      <c r="A407" s="2501"/>
      <c r="B407" s="2501"/>
      <c r="C407" s="2501"/>
      <c r="D407" s="2501"/>
      <c r="E407" s="2501"/>
      <c r="F407" s="2501"/>
      <c r="G407" s="2501"/>
      <c r="H407" s="2501"/>
      <c r="I407" s="2501"/>
      <c r="J407" s="2501"/>
      <c r="K407" s="2501"/>
      <c r="L407" s="2501"/>
      <c r="M407" s="2501"/>
      <c r="N407" s="2501"/>
      <c r="O407" s="2501"/>
      <c r="P407" s="2501"/>
      <c r="Q407" s="2501"/>
      <c r="R407" s="2501"/>
      <c r="S407" s="2501"/>
      <c r="T407" s="2501"/>
      <c r="U407" s="2501"/>
      <c r="V407" s="2501"/>
      <c r="W407" s="2501"/>
      <c r="X407" s="2501"/>
      <c r="Y407" s="2501"/>
      <c r="Z407" s="2501"/>
      <c r="AA407" s="2501"/>
    </row>
    <row r="408" spans="1:27" ht="15.75" customHeight="1" x14ac:dyDescent="0.3">
      <c r="A408" s="2501"/>
      <c r="B408" s="2501"/>
      <c r="C408" s="2501"/>
      <c r="D408" s="2501"/>
      <c r="E408" s="2501"/>
      <c r="F408" s="2501"/>
      <c r="G408" s="2501"/>
      <c r="H408" s="2501"/>
      <c r="I408" s="2501"/>
      <c r="J408" s="2501"/>
      <c r="K408" s="2501"/>
      <c r="L408" s="2501"/>
      <c r="M408" s="2501"/>
      <c r="N408" s="2501"/>
      <c r="O408" s="2501"/>
      <c r="P408" s="2501"/>
      <c r="Q408" s="2501"/>
      <c r="R408" s="2501"/>
      <c r="S408" s="2501"/>
      <c r="T408" s="2501"/>
      <c r="U408" s="2501"/>
      <c r="V408" s="2501"/>
      <c r="W408" s="2501"/>
      <c r="X408" s="2501"/>
      <c r="Y408" s="2501"/>
      <c r="Z408" s="2501"/>
      <c r="AA408" s="2501"/>
    </row>
    <row r="409" spans="1:27" ht="15.75" customHeight="1" x14ac:dyDescent="0.3">
      <c r="A409" s="2501"/>
      <c r="B409" s="2501"/>
      <c r="C409" s="2501"/>
      <c r="D409" s="2501"/>
      <c r="E409" s="2501"/>
      <c r="F409" s="2501"/>
      <c r="G409" s="2501"/>
      <c r="H409" s="2501"/>
      <c r="I409" s="2501"/>
      <c r="J409" s="2501"/>
      <c r="K409" s="2501"/>
      <c r="L409" s="2501"/>
      <c r="M409" s="2501"/>
      <c r="N409" s="2501"/>
      <c r="O409" s="2501"/>
      <c r="P409" s="2501"/>
      <c r="Q409" s="2501"/>
      <c r="R409" s="2501"/>
      <c r="S409" s="2501"/>
      <c r="T409" s="2501"/>
      <c r="U409" s="2501"/>
      <c r="V409" s="2501"/>
      <c r="W409" s="2501"/>
      <c r="X409" s="2501"/>
      <c r="Y409" s="2501"/>
      <c r="Z409" s="2501"/>
      <c r="AA409" s="2501"/>
    </row>
    <row r="410" spans="1:27" ht="15.75" customHeight="1" x14ac:dyDescent="0.3">
      <c r="A410" s="2501"/>
      <c r="B410" s="2501"/>
      <c r="C410" s="2501"/>
      <c r="D410" s="2501"/>
      <c r="E410" s="2501"/>
      <c r="F410" s="2501"/>
      <c r="G410" s="2501"/>
      <c r="H410" s="2501"/>
      <c r="I410" s="2501"/>
      <c r="J410" s="2501"/>
      <c r="K410" s="2501"/>
      <c r="L410" s="2501"/>
      <c r="M410" s="2501"/>
      <c r="N410" s="2501"/>
      <c r="O410" s="2501"/>
      <c r="P410" s="2501"/>
      <c r="Q410" s="2501"/>
      <c r="R410" s="2501"/>
      <c r="S410" s="2501"/>
      <c r="T410" s="2501"/>
      <c r="U410" s="2501"/>
      <c r="V410" s="2501"/>
      <c r="W410" s="2501"/>
      <c r="X410" s="2501"/>
      <c r="Y410" s="2501"/>
      <c r="Z410" s="2501"/>
      <c r="AA410" s="2501"/>
    </row>
    <row r="411" spans="1:27" ht="15.75" customHeight="1" x14ac:dyDescent="0.3">
      <c r="A411" s="2501"/>
      <c r="B411" s="2501"/>
      <c r="C411" s="2501"/>
      <c r="D411" s="2501"/>
      <c r="E411" s="2501"/>
      <c r="F411" s="2501"/>
      <c r="G411" s="2501"/>
      <c r="H411" s="2501"/>
      <c r="I411" s="2501"/>
      <c r="J411" s="2501"/>
      <c r="K411" s="2501"/>
      <c r="L411" s="2501"/>
      <c r="M411" s="2501"/>
      <c r="N411" s="2501"/>
      <c r="O411" s="2501"/>
      <c r="P411" s="2501"/>
      <c r="Q411" s="2501"/>
      <c r="R411" s="2501"/>
      <c r="S411" s="2501"/>
      <c r="T411" s="2501"/>
      <c r="U411" s="2501"/>
      <c r="V411" s="2501"/>
      <c r="W411" s="2501"/>
      <c r="X411" s="2501"/>
      <c r="Y411" s="2501"/>
      <c r="Z411" s="2501"/>
      <c r="AA411" s="2501"/>
    </row>
    <row r="412" spans="1:27" ht="15.75" customHeight="1" x14ac:dyDescent="0.3">
      <c r="A412" s="2501"/>
      <c r="B412" s="2501"/>
      <c r="C412" s="2501"/>
      <c r="D412" s="2501"/>
      <c r="E412" s="2501"/>
      <c r="F412" s="2501"/>
      <c r="G412" s="2501"/>
      <c r="H412" s="2501"/>
      <c r="I412" s="2501"/>
      <c r="J412" s="2501"/>
      <c r="K412" s="2501"/>
      <c r="L412" s="2501"/>
      <c r="M412" s="2501"/>
      <c r="N412" s="2501"/>
      <c r="O412" s="2501"/>
      <c r="P412" s="2501"/>
      <c r="Q412" s="2501"/>
      <c r="R412" s="2501"/>
      <c r="S412" s="2501"/>
      <c r="T412" s="2501"/>
      <c r="U412" s="2501"/>
      <c r="V412" s="2501"/>
      <c r="W412" s="2501"/>
      <c r="X412" s="2501"/>
      <c r="Y412" s="2501"/>
      <c r="Z412" s="2501"/>
      <c r="AA412" s="2501"/>
    </row>
    <row r="413" spans="1:27" ht="15.75" customHeight="1" x14ac:dyDescent="0.3">
      <c r="A413" s="2501"/>
      <c r="B413" s="2501"/>
      <c r="C413" s="2501"/>
      <c r="D413" s="2501"/>
      <c r="E413" s="2501"/>
      <c r="F413" s="2501"/>
      <c r="G413" s="2501"/>
      <c r="H413" s="2501"/>
      <c r="I413" s="2501"/>
      <c r="J413" s="2501"/>
      <c r="K413" s="2501"/>
      <c r="L413" s="2501"/>
      <c r="M413" s="2501"/>
      <c r="N413" s="2501"/>
      <c r="O413" s="2501"/>
      <c r="P413" s="2501"/>
      <c r="Q413" s="2501"/>
      <c r="R413" s="2501"/>
      <c r="S413" s="2501"/>
      <c r="T413" s="2501"/>
      <c r="U413" s="2501"/>
      <c r="V413" s="2501"/>
      <c r="W413" s="2501"/>
      <c r="X413" s="2501"/>
      <c r="Y413" s="2501"/>
      <c r="Z413" s="2501"/>
      <c r="AA413" s="2501"/>
    </row>
    <row r="414" spans="1:27" ht="15.75" customHeight="1" x14ac:dyDescent="0.3">
      <c r="A414" s="2501"/>
      <c r="B414" s="2501"/>
      <c r="C414" s="2501"/>
      <c r="D414" s="2501"/>
      <c r="E414" s="2501"/>
      <c r="F414" s="2501"/>
      <c r="G414" s="2501"/>
      <c r="H414" s="2501"/>
      <c r="I414" s="2501"/>
      <c r="J414" s="2501"/>
      <c r="K414" s="2501"/>
      <c r="L414" s="2501"/>
      <c r="M414" s="2501"/>
      <c r="N414" s="2501"/>
      <c r="O414" s="2501"/>
      <c r="P414" s="2501"/>
      <c r="Q414" s="2501"/>
      <c r="R414" s="2501"/>
      <c r="S414" s="2501"/>
      <c r="T414" s="2501"/>
      <c r="U414" s="2501"/>
      <c r="V414" s="2501"/>
      <c r="W414" s="2501"/>
      <c r="X414" s="2501"/>
      <c r="Y414" s="2501"/>
      <c r="Z414" s="2501"/>
      <c r="AA414" s="2501"/>
    </row>
    <row r="415" spans="1:27" ht="15.75" customHeight="1" x14ac:dyDescent="0.3">
      <c r="A415" s="2501"/>
      <c r="B415" s="2501"/>
      <c r="C415" s="2501"/>
      <c r="D415" s="2501"/>
      <c r="E415" s="2501"/>
      <c r="F415" s="2501"/>
      <c r="G415" s="2501"/>
      <c r="H415" s="2501"/>
      <c r="I415" s="2501"/>
      <c r="J415" s="2501"/>
      <c r="K415" s="2501"/>
      <c r="L415" s="2501"/>
      <c r="M415" s="2501"/>
      <c r="N415" s="2501"/>
      <c r="O415" s="2501"/>
      <c r="P415" s="2501"/>
      <c r="Q415" s="2501"/>
      <c r="R415" s="2501"/>
      <c r="S415" s="2501"/>
      <c r="T415" s="2501"/>
      <c r="U415" s="2501"/>
      <c r="V415" s="2501"/>
      <c r="W415" s="2501"/>
      <c r="X415" s="2501"/>
      <c r="Y415" s="2501"/>
      <c r="Z415" s="2501"/>
      <c r="AA415" s="2501"/>
    </row>
    <row r="416" spans="1:27" ht="15.75" customHeight="1" x14ac:dyDescent="0.3">
      <c r="A416" s="2501"/>
      <c r="B416" s="2501"/>
      <c r="C416" s="2501"/>
      <c r="D416" s="2501"/>
      <c r="E416" s="2501"/>
      <c r="F416" s="2501"/>
      <c r="G416" s="2501"/>
      <c r="H416" s="2501"/>
      <c r="I416" s="2501"/>
      <c r="J416" s="2501"/>
      <c r="K416" s="2501"/>
      <c r="L416" s="2501"/>
      <c r="M416" s="2501"/>
      <c r="N416" s="2501"/>
      <c r="O416" s="2501"/>
      <c r="P416" s="2501"/>
      <c r="Q416" s="2501"/>
      <c r="R416" s="2501"/>
      <c r="S416" s="2501"/>
      <c r="T416" s="2501"/>
      <c r="U416" s="2501"/>
      <c r="V416" s="2501"/>
      <c r="W416" s="2501"/>
      <c r="X416" s="2501"/>
      <c r="Y416" s="2501"/>
      <c r="Z416" s="2501"/>
      <c r="AA416" s="2501"/>
    </row>
    <row r="417" spans="1:27" ht="15.75" customHeight="1" x14ac:dyDescent="0.3">
      <c r="A417" s="2501"/>
      <c r="B417" s="2501"/>
      <c r="C417" s="2501"/>
      <c r="D417" s="2501"/>
      <c r="E417" s="2501"/>
      <c r="F417" s="2501"/>
      <c r="G417" s="2501"/>
      <c r="H417" s="2501"/>
      <c r="I417" s="2501"/>
      <c r="J417" s="2501"/>
      <c r="K417" s="2501"/>
      <c r="L417" s="2501"/>
      <c r="M417" s="2501"/>
      <c r="N417" s="2501"/>
      <c r="O417" s="2501"/>
      <c r="P417" s="2501"/>
      <c r="Q417" s="2501"/>
      <c r="R417" s="2501"/>
      <c r="S417" s="2501"/>
      <c r="T417" s="2501"/>
      <c r="U417" s="2501"/>
      <c r="V417" s="2501"/>
      <c r="W417" s="2501"/>
      <c r="X417" s="2501"/>
      <c r="Y417" s="2501"/>
      <c r="Z417" s="2501"/>
      <c r="AA417" s="2501"/>
    </row>
    <row r="418" spans="1:27" ht="15.75" customHeight="1" x14ac:dyDescent="0.3">
      <c r="A418" s="2501"/>
      <c r="B418" s="2501"/>
      <c r="C418" s="2501"/>
      <c r="D418" s="2501"/>
      <c r="E418" s="2501"/>
      <c r="F418" s="2501"/>
      <c r="G418" s="2501"/>
      <c r="H418" s="2501"/>
      <c r="I418" s="2501"/>
      <c r="J418" s="2501"/>
      <c r="K418" s="2501"/>
      <c r="L418" s="2501"/>
      <c r="M418" s="2501"/>
      <c r="N418" s="2501"/>
      <c r="O418" s="2501"/>
      <c r="P418" s="2501"/>
      <c r="Q418" s="2501"/>
      <c r="R418" s="2501"/>
      <c r="S418" s="2501"/>
      <c r="T418" s="2501"/>
      <c r="U418" s="2501"/>
      <c r="V418" s="2501"/>
      <c r="W418" s="2501"/>
      <c r="X418" s="2501"/>
      <c r="Y418" s="2501"/>
      <c r="Z418" s="2501"/>
      <c r="AA418" s="2501"/>
    </row>
    <row r="419" spans="1:27" ht="15.75" customHeight="1" x14ac:dyDescent="0.3">
      <c r="A419" s="2501"/>
      <c r="B419" s="2501"/>
      <c r="C419" s="2501"/>
      <c r="D419" s="2501"/>
      <c r="E419" s="2501"/>
      <c r="F419" s="2501"/>
      <c r="G419" s="2501"/>
      <c r="H419" s="2501"/>
      <c r="I419" s="2501"/>
      <c r="J419" s="2501"/>
      <c r="K419" s="2501"/>
      <c r="L419" s="2501"/>
      <c r="M419" s="2501"/>
      <c r="N419" s="2501"/>
      <c r="O419" s="2501"/>
      <c r="P419" s="2501"/>
      <c r="Q419" s="2501"/>
      <c r="R419" s="2501"/>
      <c r="S419" s="2501"/>
      <c r="T419" s="2501"/>
      <c r="U419" s="2501"/>
      <c r="V419" s="2501"/>
      <c r="W419" s="2501"/>
      <c r="X419" s="2501"/>
      <c r="Y419" s="2501"/>
      <c r="Z419" s="2501"/>
      <c r="AA419" s="2501"/>
    </row>
    <row r="420" spans="1:27" ht="15.75" customHeight="1" x14ac:dyDescent="0.3">
      <c r="A420" s="2501"/>
      <c r="B420" s="2501"/>
      <c r="C420" s="2501"/>
      <c r="D420" s="2501"/>
      <c r="E420" s="2501"/>
      <c r="F420" s="2501"/>
      <c r="G420" s="2501"/>
      <c r="H420" s="2501"/>
      <c r="I420" s="2501"/>
      <c r="J420" s="2501"/>
      <c r="K420" s="2501"/>
      <c r="L420" s="2501"/>
      <c r="M420" s="2501"/>
      <c r="N420" s="2501"/>
      <c r="O420" s="2501"/>
      <c r="P420" s="2501"/>
      <c r="Q420" s="2501"/>
      <c r="R420" s="2501"/>
      <c r="S420" s="2501"/>
      <c r="T420" s="2501"/>
      <c r="U420" s="2501"/>
      <c r="V420" s="2501"/>
      <c r="W420" s="2501"/>
      <c r="X420" s="2501"/>
      <c r="Y420" s="2501"/>
      <c r="Z420" s="2501"/>
      <c r="AA420" s="2501"/>
    </row>
    <row r="421" spans="1:27" ht="15.75" customHeight="1" x14ac:dyDescent="0.3">
      <c r="A421" s="2501"/>
      <c r="B421" s="2501"/>
      <c r="C421" s="2501"/>
      <c r="D421" s="2501"/>
      <c r="E421" s="2501"/>
      <c r="F421" s="2501"/>
      <c r="G421" s="2501"/>
      <c r="H421" s="2501"/>
      <c r="I421" s="2501"/>
      <c r="J421" s="2501"/>
      <c r="K421" s="2501"/>
      <c r="L421" s="2501"/>
      <c r="M421" s="2501"/>
      <c r="N421" s="2501"/>
      <c r="O421" s="2501"/>
      <c r="P421" s="2501"/>
      <c r="Q421" s="2501"/>
      <c r="R421" s="2501"/>
      <c r="S421" s="2501"/>
      <c r="T421" s="2501"/>
      <c r="U421" s="2501"/>
      <c r="V421" s="2501"/>
      <c r="W421" s="2501"/>
      <c r="X421" s="2501"/>
      <c r="Y421" s="2501"/>
      <c r="Z421" s="2501"/>
      <c r="AA421" s="2501"/>
    </row>
    <row r="422" spans="1:27" ht="15.75" customHeight="1" x14ac:dyDescent="0.3">
      <c r="A422" s="2501"/>
      <c r="B422" s="2501"/>
      <c r="C422" s="2501"/>
      <c r="D422" s="2501"/>
      <c r="E422" s="2501"/>
      <c r="F422" s="2501"/>
      <c r="G422" s="2501"/>
      <c r="H422" s="2501"/>
      <c r="I422" s="2501"/>
      <c r="J422" s="2501"/>
      <c r="K422" s="2501"/>
      <c r="L422" s="2501"/>
      <c r="M422" s="2501"/>
      <c r="N422" s="2501"/>
      <c r="O422" s="2501"/>
      <c r="P422" s="2501"/>
      <c r="Q422" s="2501"/>
      <c r="R422" s="2501"/>
      <c r="S422" s="2501"/>
      <c r="T422" s="2501"/>
      <c r="U422" s="2501"/>
      <c r="V422" s="2501"/>
      <c r="W422" s="2501"/>
      <c r="X422" s="2501"/>
      <c r="Y422" s="2501"/>
      <c r="Z422" s="2501"/>
      <c r="AA422" s="2501"/>
    </row>
    <row r="423" spans="1:27" ht="15.75" customHeight="1" x14ac:dyDescent="0.3">
      <c r="A423" s="2501"/>
      <c r="B423" s="2501"/>
      <c r="C423" s="2501"/>
      <c r="D423" s="2501"/>
      <c r="E423" s="2501"/>
      <c r="F423" s="2501"/>
      <c r="G423" s="2501"/>
      <c r="H423" s="2501"/>
      <c r="I423" s="2501"/>
      <c r="J423" s="2501"/>
      <c r="K423" s="2501"/>
      <c r="L423" s="2501"/>
      <c r="M423" s="2501"/>
      <c r="N423" s="2501"/>
      <c r="O423" s="2501"/>
      <c r="P423" s="2501"/>
      <c r="Q423" s="2501"/>
      <c r="R423" s="2501"/>
      <c r="S423" s="2501"/>
      <c r="T423" s="2501"/>
      <c r="U423" s="2501"/>
      <c r="V423" s="2501"/>
      <c r="W423" s="2501"/>
      <c r="X423" s="2501"/>
      <c r="Y423" s="2501"/>
      <c r="Z423" s="2501"/>
      <c r="AA423" s="2501"/>
    </row>
    <row r="424" spans="1:27" ht="15.75" customHeight="1" x14ac:dyDescent="0.3">
      <c r="A424" s="2501"/>
      <c r="B424" s="2501"/>
      <c r="C424" s="2501"/>
      <c r="D424" s="2501"/>
      <c r="E424" s="2501"/>
      <c r="F424" s="2501"/>
      <c r="G424" s="2501"/>
      <c r="H424" s="2501"/>
      <c r="I424" s="2501"/>
      <c r="J424" s="2501"/>
      <c r="K424" s="2501"/>
      <c r="L424" s="2501"/>
      <c r="M424" s="2501"/>
      <c r="N424" s="2501"/>
      <c r="O424" s="2501"/>
      <c r="P424" s="2501"/>
      <c r="Q424" s="2501"/>
      <c r="R424" s="2501"/>
      <c r="S424" s="2501"/>
      <c r="T424" s="2501"/>
      <c r="U424" s="2501"/>
      <c r="V424" s="2501"/>
      <c r="W424" s="2501"/>
      <c r="X424" s="2501"/>
      <c r="Y424" s="2501"/>
      <c r="Z424" s="2501"/>
      <c r="AA424" s="2501"/>
    </row>
    <row r="425" spans="1:27" ht="15.75" customHeight="1" x14ac:dyDescent="0.3">
      <c r="A425" s="2501"/>
      <c r="B425" s="2501"/>
      <c r="C425" s="2501"/>
      <c r="D425" s="2501"/>
      <c r="E425" s="2501"/>
      <c r="F425" s="2501"/>
      <c r="G425" s="2501"/>
      <c r="H425" s="2501"/>
      <c r="I425" s="2501"/>
      <c r="J425" s="2501"/>
      <c r="K425" s="2501"/>
      <c r="L425" s="2501"/>
      <c r="M425" s="2501"/>
      <c r="N425" s="2501"/>
      <c r="O425" s="2501"/>
      <c r="P425" s="2501"/>
      <c r="Q425" s="2501"/>
      <c r="R425" s="2501"/>
      <c r="S425" s="2501"/>
      <c r="T425" s="2501"/>
      <c r="U425" s="2501"/>
      <c r="V425" s="2501"/>
      <c r="W425" s="2501"/>
      <c r="X425" s="2501"/>
      <c r="Y425" s="2501"/>
      <c r="Z425" s="2501"/>
      <c r="AA425" s="2501"/>
    </row>
    <row r="426" spans="1:27" ht="15.75" customHeight="1" x14ac:dyDescent="0.3">
      <c r="A426" s="2501"/>
      <c r="B426" s="2501"/>
      <c r="C426" s="2501"/>
      <c r="D426" s="2501"/>
      <c r="E426" s="2501"/>
      <c r="F426" s="2501"/>
      <c r="G426" s="2501"/>
      <c r="H426" s="2501"/>
      <c r="I426" s="2501"/>
      <c r="J426" s="2501"/>
      <c r="K426" s="2501"/>
      <c r="L426" s="2501"/>
      <c r="M426" s="2501"/>
      <c r="N426" s="2501"/>
      <c r="O426" s="2501"/>
      <c r="P426" s="2501"/>
      <c r="Q426" s="2501"/>
      <c r="R426" s="2501"/>
      <c r="S426" s="2501"/>
      <c r="T426" s="2501"/>
      <c r="U426" s="2501"/>
      <c r="V426" s="2501"/>
      <c r="W426" s="2501"/>
      <c r="X426" s="2501"/>
      <c r="Y426" s="2501"/>
      <c r="Z426" s="2501"/>
      <c r="AA426" s="2501"/>
    </row>
    <row r="427" spans="1:27" ht="15.75" customHeight="1" x14ac:dyDescent="0.3">
      <c r="A427" s="2501"/>
      <c r="B427" s="2501"/>
      <c r="C427" s="2501"/>
      <c r="D427" s="2501"/>
      <c r="E427" s="2501"/>
      <c r="F427" s="2501"/>
      <c r="G427" s="2501"/>
      <c r="H427" s="2501"/>
      <c r="I427" s="2501"/>
      <c r="J427" s="2501"/>
      <c r="K427" s="2501"/>
      <c r="L427" s="2501"/>
      <c r="M427" s="2501"/>
      <c r="N427" s="2501"/>
      <c r="O427" s="2501"/>
      <c r="P427" s="2501"/>
      <c r="Q427" s="2501"/>
      <c r="R427" s="2501"/>
      <c r="S427" s="2501"/>
      <c r="T427" s="2501"/>
      <c r="U427" s="2501"/>
      <c r="V427" s="2501"/>
      <c r="W427" s="2501"/>
      <c r="X427" s="2501"/>
      <c r="Y427" s="2501"/>
      <c r="Z427" s="2501"/>
      <c r="AA427" s="2501"/>
    </row>
    <row r="428" spans="1:27" ht="15.75" customHeight="1" x14ac:dyDescent="0.3">
      <c r="A428" s="2501"/>
      <c r="B428" s="2501"/>
      <c r="C428" s="2501"/>
      <c r="D428" s="2501"/>
      <c r="E428" s="2501"/>
      <c r="F428" s="2501"/>
      <c r="G428" s="2501"/>
      <c r="H428" s="2501"/>
      <c r="I428" s="2501"/>
      <c r="J428" s="2501"/>
      <c r="K428" s="2501"/>
      <c r="L428" s="2501"/>
      <c r="M428" s="2501"/>
      <c r="N428" s="2501"/>
      <c r="O428" s="2501"/>
      <c r="P428" s="2501"/>
      <c r="Q428" s="2501"/>
      <c r="R428" s="2501"/>
      <c r="S428" s="2501"/>
      <c r="T428" s="2501"/>
      <c r="U428" s="2501"/>
      <c r="V428" s="2501"/>
      <c r="W428" s="2501"/>
      <c r="X428" s="2501"/>
      <c r="Y428" s="2501"/>
      <c r="Z428" s="2501"/>
      <c r="AA428" s="2501"/>
    </row>
    <row r="429" spans="1:27" ht="15.75" customHeight="1" x14ac:dyDescent="0.3">
      <c r="A429" s="2501"/>
      <c r="B429" s="2501"/>
      <c r="C429" s="2501"/>
      <c r="D429" s="2501"/>
      <c r="E429" s="2501"/>
      <c r="F429" s="2501"/>
      <c r="G429" s="2501"/>
      <c r="H429" s="2501"/>
      <c r="I429" s="2501"/>
      <c r="J429" s="2501"/>
      <c r="K429" s="2501"/>
      <c r="L429" s="2501"/>
      <c r="M429" s="2501"/>
      <c r="N429" s="2501"/>
      <c r="O429" s="2501"/>
      <c r="P429" s="2501"/>
      <c r="Q429" s="2501"/>
      <c r="R429" s="2501"/>
      <c r="S429" s="2501"/>
      <c r="T429" s="2501"/>
      <c r="U429" s="2501"/>
      <c r="V429" s="2501"/>
      <c r="W429" s="2501"/>
      <c r="X429" s="2501"/>
      <c r="Y429" s="2501"/>
      <c r="Z429" s="2501"/>
      <c r="AA429" s="2501"/>
    </row>
    <row r="430" spans="1:27" ht="15.75" customHeight="1" x14ac:dyDescent="0.3">
      <c r="A430" s="2501"/>
      <c r="B430" s="2501"/>
      <c r="C430" s="2501"/>
      <c r="D430" s="2501"/>
      <c r="E430" s="2501"/>
      <c r="F430" s="2501"/>
      <c r="G430" s="2501"/>
      <c r="H430" s="2501"/>
      <c r="I430" s="2501"/>
      <c r="J430" s="2501"/>
      <c r="K430" s="2501"/>
      <c r="L430" s="2501"/>
      <c r="M430" s="2501"/>
      <c r="N430" s="2501"/>
      <c r="O430" s="2501"/>
      <c r="P430" s="2501"/>
      <c r="Q430" s="2501"/>
      <c r="R430" s="2501"/>
      <c r="S430" s="2501"/>
      <c r="T430" s="2501"/>
      <c r="U430" s="2501"/>
      <c r="V430" s="2501"/>
      <c r="W430" s="2501"/>
      <c r="X430" s="2501"/>
      <c r="Y430" s="2501"/>
      <c r="Z430" s="2501"/>
      <c r="AA430" s="2501"/>
    </row>
    <row r="431" spans="1:27" ht="15.75" customHeight="1" x14ac:dyDescent="0.3">
      <c r="A431" s="2501"/>
      <c r="B431" s="2501"/>
      <c r="C431" s="2501"/>
      <c r="D431" s="2501"/>
      <c r="E431" s="2501"/>
      <c r="F431" s="2501"/>
      <c r="G431" s="2501"/>
      <c r="H431" s="2501"/>
      <c r="I431" s="2501"/>
      <c r="J431" s="2501"/>
      <c r="K431" s="2501"/>
      <c r="L431" s="2501"/>
      <c r="M431" s="2501"/>
      <c r="N431" s="2501"/>
      <c r="O431" s="2501"/>
      <c r="P431" s="2501"/>
      <c r="Q431" s="2501"/>
      <c r="R431" s="2501"/>
      <c r="S431" s="2501"/>
      <c r="T431" s="2501"/>
      <c r="U431" s="2501"/>
      <c r="V431" s="2501"/>
      <c r="W431" s="2501"/>
      <c r="X431" s="2501"/>
      <c r="Y431" s="2501"/>
      <c r="Z431" s="2501"/>
      <c r="AA431" s="2501"/>
    </row>
    <row r="432" spans="1:27" ht="15.75" customHeight="1" x14ac:dyDescent="0.3">
      <c r="A432" s="2501"/>
      <c r="B432" s="2501"/>
      <c r="C432" s="2501"/>
      <c r="D432" s="2501"/>
      <c r="E432" s="2501"/>
      <c r="F432" s="2501"/>
      <c r="G432" s="2501"/>
      <c r="H432" s="2501"/>
      <c r="I432" s="2501"/>
      <c r="J432" s="2501"/>
      <c r="K432" s="2501"/>
      <c r="L432" s="2501"/>
      <c r="M432" s="2501"/>
      <c r="N432" s="2501"/>
      <c r="O432" s="2501"/>
      <c r="P432" s="2501"/>
      <c r="Q432" s="2501"/>
      <c r="R432" s="2501"/>
      <c r="S432" s="2501"/>
      <c r="T432" s="2501"/>
      <c r="U432" s="2501"/>
      <c r="V432" s="2501"/>
      <c r="W432" s="2501"/>
      <c r="X432" s="2501"/>
      <c r="Y432" s="2501"/>
      <c r="Z432" s="2501"/>
      <c r="AA432" s="2501"/>
    </row>
    <row r="433" spans="1:27" ht="15.75" customHeight="1" x14ac:dyDescent="0.3">
      <c r="A433" s="2501"/>
      <c r="B433" s="2501"/>
      <c r="C433" s="2501"/>
      <c r="D433" s="2501"/>
      <c r="E433" s="2501"/>
      <c r="F433" s="2501"/>
      <c r="G433" s="2501"/>
      <c r="H433" s="2501"/>
      <c r="I433" s="2501"/>
      <c r="J433" s="2501"/>
      <c r="K433" s="2501"/>
      <c r="L433" s="2501"/>
      <c r="M433" s="2501"/>
      <c r="N433" s="2501"/>
      <c r="O433" s="2501"/>
      <c r="P433" s="2501"/>
      <c r="Q433" s="2501"/>
      <c r="R433" s="2501"/>
      <c r="S433" s="2501"/>
      <c r="T433" s="2501"/>
      <c r="U433" s="2501"/>
      <c r="V433" s="2501"/>
      <c r="W433" s="2501"/>
      <c r="X433" s="2501"/>
      <c r="Y433" s="2501"/>
      <c r="Z433" s="2501"/>
      <c r="AA433" s="2501"/>
    </row>
    <row r="434" spans="1:27" ht="15.75" customHeight="1" x14ac:dyDescent="0.3">
      <c r="A434" s="2501"/>
      <c r="B434" s="2501"/>
      <c r="C434" s="2501"/>
      <c r="D434" s="2501"/>
      <c r="E434" s="2501"/>
      <c r="F434" s="2501"/>
      <c r="G434" s="2501"/>
      <c r="H434" s="2501"/>
      <c r="I434" s="2501"/>
      <c r="J434" s="2501"/>
      <c r="K434" s="2501"/>
      <c r="L434" s="2501"/>
      <c r="M434" s="2501"/>
      <c r="N434" s="2501"/>
      <c r="O434" s="2501"/>
      <c r="P434" s="2501"/>
      <c r="Q434" s="2501"/>
      <c r="R434" s="2501"/>
      <c r="S434" s="2501"/>
      <c r="T434" s="2501"/>
      <c r="U434" s="2501"/>
      <c r="V434" s="2501"/>
      <c r="W434" s="2501"/>
      <c r="X434" s="2501"/>
      <c r="Y434" s="2501"/>
      <c r="Z434" s="2501"/>
      <c r="AA434" s="2501"/>
    </row>
    <row r="435" spans="1:27" ht="15.75" customHeight="1" x14ac:dyDescent="0.3">
      <c r="A435" s="2501"/>
      <c r="B435" s="2501"/>
      <c r="C435" s="2501"/>
      <c r="D435" s="2501"/>
      <c r="E435" s="2501"/>
      <c r="F435" s="2501"/>
      <c r="G435" s="2501"/>
      <c r="H435" s="2501"/>
      <c r="I435" s="2501"/>
      <c r="J435" s="2501"/>
      <c r="K435" s="2501"/>
      <c r="L435" s="2501"/>
      <c r="M435" s="2501"/>
      <c r="N435" s="2501"/>
      <c r="O435" s="2501"/>
      <c r="P435" s="2501"/>
      <c r="Q435" s="2501"/>
      <c r="R435" s="2501"/>
      <c r="S435" s="2501"/>
      <c r="T435" s="2501"/>
      <c r="U435" s="2501"/>
      <c r="V435" s="2501"/>
      <c r="W435" s="2501"/>
      <c r="X435" s="2501"/>
      <c r="Y435" s="2501"/>
      <c r="Z435" s="2501"/>
      <c r="AA435" s="2501"/>
    </row>
    <row r="436" spans="1:27" ht="15.75" customHeight="1" x14ac:dyDescent="0.3">
      <c r="A436" s="2501"/>
      <c r="B436" s="2501"/>
      <c r="C436" s="2501"/>
      <c r="D436" s="2501"/>
      <c r="E436" s="2501"/>
      <c r="F436" s="2501"/>
      <c r="G436" s="2501"/>
      <c r="H436" s="2501"/>
      <c r="I436" s="2501"/>
      <c r="J436" s="2501"/>
      <c r="K436" s="2501"/>
      <c r="L436" s="2501"/>
      <c r="M436" s="2501"/>
      <c r="N436" s="2501"/>
      <c r="O436" s="2501"/>
      <c r="P436" s="2501"/>
      <c r="Q436" s="2501"/>
      <c r="R436" s="2501"/>
      <c r="S436" s="2501"/>
      <c r="T436" s="2501"/>
      <c r="U436" s="2501"/>
      <c r="V436" s="2501"/>
      <c r="W436" s="2501"/>
      <c r="X436" s="2501"/>
      <c r="Y436" s="2501"/>
      <c r="Z436" s="2501"/>
      <c r="AA436" s="2501"/>
    </row>
    <row r="437" spans="1:27" ht="15.75" customHeight="1" x14ac:dyDescent="0.3">
      <c r="A437" s="2501"/>
      <c r="B437" s="2501"/>
      <c r="C437" s="2501"/>
      <c r="D437" s="2501"/>
      <c r="E437" s="2501"/>
      <c r="F437" s="2501"/>
      <c r="G437" s="2501"/>
      <c r="H437" s="2501"/>
      <c r="I437" s="2501"/>
      <c r="J437" s="2501"/>
      <c r="K437" s="2501"/>
      <c r="L437" s="2501"/>
      <c r="M437" s="2501"/>
      <c r="N437" s="2501"/>
      <c r="O437" s="2501"/>
      <c r="P437" s="2501"/>
      <c r="Q437" s="2501"/>
      <c r="R437" s="2501"/>
      <c r="S437" s="2501"/>
      <c r="T437" s="2501"/>
      <c r="U437" s="2501"/>
      <c r="V437" s="2501"/>
      <c r="W437" s="2501"/>
      <c r="X437" s="2501"/>
      <c r="Y437" s="2501"/>
      <c r="Z437" s="2501"/>
      <c r="AA437" s="2501"/>
    </row>
    <row r="438" spans="1:27" ht="15.75" customHeight="1" x14ac:dyDescent="0.3">
      <c r="A438" s="2501"/>
      <c r="B438" s="2501"/>
      <c r="C438" s="2501"/>
      <c r="D438" s="2501"/>
      <c r="E438" s="2501"/>
      <c r="F438" s="2501"/>
      <c r="G438" s="2501"/>
      <c r="H438" s="2501"/>
      <c r="I438" s="2501"/>
      <c r="J438" s="2501"/>
      <c r="K438" s="2501"/>
      <c r="L438" s="2501"/>
      <c r="M438" s="2501"/>
      <c r="N438" s="2501"/>
      <c r="O438" s="2501"/>
      <c r="P438" s="2501"/>
      <c r="Q438" s="2501"/>
      <c r="R438" s="2501"/>
      <c r="S438" s="2501"/>
      <c r="T438" s="2501"/>
      <c r="U438" s="2501"/>
      <c r="V438" s="2501"/>
      <c r="W438" s="2501"/>
      <c r="X438" s="2501"/>
      <c r="Y438" s="2501"/>
      <c r="Z438" s="2501"/>
      <c r="AA438" s="2501"/>
    </row>
    <row r="439" spans="1:27" ht="15.75" customHeight="1" x14ac:dyDescent="0.3">
      <c r="A439" s="2501"/>
      <c r="B439" s="2501"/>
      <c r="C439" s="2501"/>
      <c r="D439" s="2501"/>
      <c r="E439" s="2501"/>
      <c r="F439" s="2501"/>
      <c r="G439" s="2501"/>
      <c r="H439" s="2501"/>
      <c r="I439" s="2501"/>
      <c r="J439" s="2501"/>
      <c r="K439" s="2501"/>
      <c r="L439" s="2501"/>
      <c r="M439" s="2501"/>
      <c r="N439" s="2501"/>
      <c r="O439" s="2501"/>
      <c r="P439" s="2501"/>
      <c r="Q439" s="2501"/>
      <c r="R439" s="2501"/>
      <c r="S439" s="2501"/>
      <c r="T439" s="2501"/>
      <c r="U439" s="2501"/>
      <c r="V439" s="2501"/>
      <c r="W439" s="2501"/>
      <c r="X439" s="2501"/>
      <c r="Y439" s="2501"/>
      <c r="Z439" s="2501"/>
      <c r="AA439" s="2501"/>
    </row>
    <row r="440" spans="1:27" ht="15.75" customHeight="1" x14ac:dyDescent="0.3">
      <c r="A440" s="2501"/>
      <c r="B440" s="2501"/>
      <c r="C440" s="2501"/>
      <c r="D440" s="2501"/>
      <c r="E440" s="2501"/>
      <c r="F440" s="2501"/>
      <c r="G440" s="2501"/>
      <c r="H440" s="2501"/>
      <c r="I440" s="2501"/>
      <c r="J440" s="2501"/>
      <c r="K440" s="2501"/>
      <c r="L440" s="2501"/>
      <c r="M440" s="2501"/>
      <c r="N440" s="2501"/>
      <c r="O440" s="2501"/>
      <c r="P440" s="2501"/>
      <c r="Q440" s="2501"/>
      <c r="R440" s="2501"/>
      <c r="S440" s="2501"/>
      <c r="T440" s="2501"/>
      <c r="U440" s="2501"/>
      <c r="V440" s="2501"/>
      <c r="W440" s="2501"/>
      <c r="X440" s="2501"/>
      <c r="Y440" s="2501"/>
      <c r="Z440" s="2501"/>
      <c r="AA440" s="2501"/>
    </row>
    <row r="441" spans="1:27" ht="15.75" customHeight="1" x14ac:dyDescent="0.3">
      <c r="A441" s="2501"/>
      <c r="B441" s="2501"/>
      <c r="C441" s="2501"/>
      <c r="D441" s="2501"/>
      <c r="E441" s="2501"/>
      <c r="F441" s="2501"/>
      <c r="G441" s="2501"/>
      <c r="H441" s="2501"/>
      <c r="I441" s="2501"/>
      <c r="J441" s="2501"/>
      <c r="K441" s="2501"/>
      <c r="L441" s="2501"/>
      <c r="M441" s="2501"/>
      <c r="N441" s="2501"/>
      <c r="O441" s="2501"/>
      <c r="P441" s="2501"/>
      <c r="Q441" s="2501"/>
      <c r="R441" s="2501"/>
      <c r="S441" s="2501"/>
      <c r="T441" s="2501"/>
      <c r="U441" s="2501"/>
      <c r="V441" s="2501"/>
      <c r="W441" s="2501"/>
      <c r="X441" s="2501"/>
      <c r="Y441" s="2501"/>
      <c r="Z441" s="2501"/>
      <c r="AA441" s="2501"/>
    </row>
    <row r="442" spans="1:27" ht="15.75" customHeight="1" x14ac:dyDescent="0.3">
      <c r="A442" s="2501"/>
      <c r="B442" s="2501"/>
      <c r="C442" s="2501"/>
      <c r="D442" s="2501"/>
      <c r="E442" s="2501"/>
      <c r="F442" s="2501"/>
      <c r="G442" s="2501"/>
      <c r="H442" s="2501"/>
      <c r="I442" s="2501"/>
      <c r="J442" s="2501"/>
      <c r="K442" s="2501"/>
      <c r="L442" s="2501"/>
      <c r="M442" s="2501"/>
      <c r="N442" s="2501"/>
      <c r="O442" s="2501"/>
      <c r="P442" s="2501"/>
      <c r="Q442" s="2501"/>
      <c r="R442" s="2501"/>
      <c r="S442" s="2501"/>
      <c r="T442" s="2501"/>
      <c r="U442" s="2501"/>
      <c r="V442" s="2501"/>
      <c r="W442" s="2501"/>
      <c r="X442" s="2501"/>
      <c r="Y442" s="2501"/>
      <c r="Z442" s="2501"/>
      <c r="AA442" s="2501"/>
    </row>
    <row r="443" spans="1:27" ht="15.75" customHeight="1" x14ac:dyDescent="0.3">
      <c r="A443" s="2501"/>
      <c r="B443" s="2501"/>
      <c r="C443" s="2501"/>
      <c r="D443" s="2501"/>
      <c r="E443" s="2501"/>
      <c r="F443" s="2501"/>
      <c r="G443" s="2501"/>
      <c r="H443" s="2501"/>
      <c r="I443" s="2501"/>
      <c r="J443" s="2501"/>
      <c r="K443" s="2501"/>
      <c r="L443" s="2501"/>
      <c r="M443" s="2501"/>
      <c r="N443" s="2501"/>
      <c r="O443" s="2501"/>
      <c r="P443" s="2501"/>
      <c r="Q443" s="2501"/>
      <c r="R443" s="2501"/>
      <c r="S443" s="2501"/>
      <c r="T443" s="2501"/>
      <c r="U443" s="2501"/>
      <c r="V443" s="2501"/>
      <c r="W443" s="2501"/>
      <c r="X443" s="2501"/>
      <c r="Y443" s="2501"/>
      <c r="Z443" s="2501"/>
      <c r="AA443" s="2501"/>
    </row>
    <row r="444" spans="1:27" ht="15.75" customHeight="1" x14ac:dyDescent="0.3">
      <c r="A444" s="2501"/>
      <c r="B444" s="2501"/>
      <c r="C444" s="2501"/>
      <c r="D444" s="2501"/>
      <c r="E444" s="2501"/>
      <c r="F444" s="2501"/>
      <c r="G444" s="2501"/>
      <c r="H444" s="2501"/>
      <c r="I444" s="2501"/>
      <c r="J444" s="2501"/>
      <c r="K444" s="2501"/>
      <c r="L444" s="2501"/>
      <c r="M444" s="2501"/>
      <c r="N444" s="2501"/>
      <c r="O444" s="2501"/>
      <c r="P444" s="2501"/>
      <c r="Q444" s="2501"/>
      <c r="R444" s="2501"/>
      <c r="S444" s="2501"/>
      <c r="T444" s="2501"/>
      <c r="U444" s="2501"/>
      <c r="V444" s="2501"/>
      <c r="W444" s="2501"/>
      <c r="X444" s="2501"/>
      <c r="Y444" s="2501"/>
      <c r="Z444" s="2501"/>
      <c r="AA444" s="2501"/>
    </row>
    <row r="445" spans="1:27" ht="15.75" customHeight="1" x14ac:dyDescent="0.3">
      <c r="A445" s="2501"/>
      <c r="B445" s="2501"/>
      <c r="C445" s="2501"/>
      <c r="D445" s="2501"/>
      <c r="E445" s="2501"/>
      <c r="F445" s="2501"/>
      <c r="G445" s="2501"/>
      <c r="H445" s="2501"/>
      <c r="I445" s="2501"/>
      <c r="J445" s="2501"/>
      <c r="K445" s="2501"/>
      <c r="L445" s="2501"/>
      <c r="M445" s="2501"/>
      <c r="N445" s="2501"/>
      <c r="O445" s="2501"/>
      <c r="P445" s="2501"/>
      <c r="Q445" s="2501"/>
      <c r="R445" s="2501"/>
      <c r="S445" s="2501"/>
      <c r="T445" s="2501"/>
      <c r="U445" s="2501"/>
      <c r="V445" s="2501"/>
      <c r="W445" s="2501"/>
      <c r="X445" s="2501"/>
      <c r="Y445" s="2501"/>
      <c r="Z445" s="2501"/>
      <c r="AA445" s="2501"/>
    </row>
    <row r="446" spans="1:27" ht="15.75" customHeight="1" x14ac:dyDescent="0.3">
      <c r="A446" s="2501"/>
      <c r="B446" s="2501"/>
      <c r="C446" s="2501"/>
      <c r="D446" s="2501"/>
      <c r="E446" s="2501"/>
      <c r="F446" s="2501"/>
      <c r="G446" s="2501"/>
      <c r="H446" s="2501"/>
      <c r="I446" s="2501"/>
      <c r="J446" s="2501"/>
      <c r="K446" s="2501"/>
      <c r="L446" s="2501"/>
      <c r="M446" s="2501"/>
      <c r="N446" s="2501"/>
      <c r="O446" s="2501"/>
      <c r="P446" s="2501"/>
      <c r="Q446" s="2501"/>
      <c r="R446" s="2501"/>
      <c r="S446" s="2501"/>
      <c r="T446" s="2501"/>
      <c r="U446" s="2501"/>
      <c r="V446" s="2501"/>
      <c r="W446" s="2501"/>
      <c r="X446" s="2501"/>
      <c r="Y446" s="2501"/>
      <c r="Z446" s="2501"/>
      <c r="AA446" s="2501"/>
    </row>
    <row r="447" spans="1:27" ht="15.75" customHeight="1" x14ac:dyDescent="0.3">
      <c r="A447" s="2501"/>
      <c r="B447" s="2501"/>
      <c r="C447" s="2501"/>
      <c r="D447" s="2501"/>
      <c r="E447" s="2501"/>
      <c r="F447" s="2501"/>
      <c r="G447" s="2501"/>
      <c r="H447" s="2501"/>
      <c r="I447" s="2501"/>
      <c r="J447" s="2501"/>
      <c r="K447" s="2501"/>
      <c r="L447" s="2501"/>
      <c r="M447" s="2501"/>
      <c r="N447" s="2501"/>
      <c r="O447" s="2501"/>
      <c r="P447" s="2501"/>
      <c r="Q447" s="2501"/>
      <c r="R447" s="2501"/>
      <c r="S447" s="2501"/>
      <c r="T447" s="2501"/>
      <c r="U447" s="2501"/>
      <c r="V447" s="2501"/>
      <c r="W447" s="2501"/>
      <c r="X447" s="2501"/>
      <c r="Y447" s="2501"/>
      <c r="Z447" s="2501"/>
      <c r="AA447" s="2501"/>
    </row>
    <row r="448" spans="1:27" ht="15.75" customHeight="1" x14ac:dyDescent="0.3">
      <c r="A448" s="2501"/>
      <c r="B448" s="2501"/>
      <c r="C448" s="2501"/>
      <c r="D448" s="2501"/>
      <c r="E448" s="2501"/>
      <c r="F448" s="2501"/>
      <c r="G448" s="2501"/>
      <c r="H448" s="2501"/>
      <c r="I448" s="2501"/>
      <c r="J448" s="2501"/>
      <c r="K448" s="2501"/>
      <c r="L448" s="2501"/>
      <c r="M448" s="2501"/>
      <c r="N448" s="2501"/>
      <c r="O448" s="2501"/>
      <c r="P448" s="2501"/>
      <c r="Q448" s="2501"/>
      <c r="R448" s="2501"/>
      <c r="S448" s="2501"/>
      <c r="T448" s="2501"/>
      <c r="U448" s="2501"/>
      <c r="V448" s="2501"/>
      <c r="W448" s="2501"/>
      <c r="X448" s="2501"/>
      <c r="Y448" s="2501"/>
      <c r="Z448" s="2501"/>
      <c r="AA448" s="2501"/>
    </row>
    <row r="449" spans="1:27" ht="15.75" customHeight="1" x14ac:dyDescent="0.3">
      <c r="A449" s="2501"/>
      <c r="B449" s="2501"/>
      <c r="C449" s="2501"/>
      <c r="D449" s="2501"/>
      <c r="E449" s="2501"/>
      <c r="F449" s="2501"/>
      <c r="G449" s="2501"/>
      <c r="H449" s="2501"/>
      <c r="I449" s="2501"/>
      <c r="J449" s="2501"/>
      <c r="K449" s="2501"/>
      <c r="L449" s="2501"/>
      <c r="M449" s="2501"/>
      <c r="N449" s="2501"/>
      <c r="O449" s="2501"/>
      <c r="P449" s="2501"/>
      <c r="Q449" s="2501"/>
      <c r="R449" s="2501"/>
      <c r="S449" s="2501"/>
      <c r="T449" s="2501"/>
      <c r="U449" s="2501"/>
      <c r="V449" s="2501"/>
      <c r="W449" s="2501"/>
      <c r="X449" s="2501"/>
      <c r="Y449" s="2501"/>
      <c r="Z449" s="2501"/>
      <c r="AA449" s="2501"/>
    </row>
    <row r="450" spans="1:27" ht="15.75" customHeight="1" x14ac:dyDescent="0.3">
      <c r="A450" s="2501"/>
      <c r="B450" s="2501"/>
      <c r="C450" s="2501"/>
      <c r="D450" s="2501"/>
      <c r="E450" s="2501"/>
      <c r="F450" s="2501"/>
      <c r="G450" s="2501"/>
      <c r="H450" s="2501"/>
      <c r="I450" s="2501"/>
      <c r="J450" s="2501"/>
      <c r="K450" s="2501"/>
      <c r="L450" s="2501"/>
      <c r="M450" s="2501"/>
      <c r="N450" s="2501"/>
      <c r="O450" s="2501"/>
      <c r="P450" s="2501"/>
      <c r="Q450" s="2501"/>
      <c r="R450" s="2501"/>
      <c r="S450" s="2501"/>
      <c r="T450" s="2501"/>
      <c r="U450" s="2501"/>
      <c r="V450" s="2501"/>
      <c r="W450" s="2501"/>
      <c r="X450" s="2501"/>
      <c r="Y450" s="2501"/>
      <c r="Z450" s="2501"/>
      <c r="AA450" s="2501"/>
    </row>
    <row r="451" spans="1:27" ht="15.75" customHeight="1" x14ac:dyDescent="0.3">
      <c r="A451" s="2501"/>
      <c r="B451" s="2501"/>
      <c r="C451" s="2501"/>
      <c r="D451" s="2501"/>
      <c r="E451" s="2501"/>
      <c r="F451" s="2501"/>
      <c r="G451" s="2501"/>
      <c r="H451" s="2501"/>
      <c r="I451" s="2501"/>
      <c r="J451" s="2501"/>
      <c r="K451" s="2501"/>
      <c r="L451" s="2501"/>
      <c r="M451" s="2501"/>
      <c r="N451" s="2501"/>
      <c r="O451" s="2501"/>
      <c r="P451" s="2501"/>
      <c r="Q451" s="2501"/>
      <c r="R451" s="2501"/>
      <c r="S451" s="2501"/>
      <c r="T451" s="2501"/>
      <c r="U451" s="2501"/>
      <c r="V451" s="2501"/>
      <c r="W451" s="2501"/>
      <c r="X451" s="2501"/>
      <c r="Y451" s="2501"/>
      <c r="Z451" s="2501"/>
      <c r="AA451" s="2501"/>
    </row>
    <row r="452" spans="1:27" ht="15.75" customHeight="1" x14ac:dyDescent="0.3">
      <c r="A452" s="2501"/>
      <c r="B452" s="2501"/>
      <c r="C452" s="2501"/>
      <c r="D452" s="2501"/>
      <c r="E452" s="2501"/>
      <c r="F452" s="2501"/>
      <c r="G452" s="2501"/>
      <c r="H452" s="2501"/>
      <c r="I452" s="2501"/>
      <c r="J452" s="2501"/>
      <c r="K452" s="2501"/>
      <c r="L452" s="2501"/>
      <c r="M452" s="2501"/>
      <c r="N452" s="2501"/>
      <c r="O452" s="2501"/>
      <c r="P452" s="2501"/>
      <c r="Q452" s="2501"/>
      <c r="R452" s="2501"/>
      <c r="S452" s="2501"/>
      <c r="T452" s="2501"/>
      <c r="U452" s="2501"/>
      <c r="V452" s="2501"/>
      <c r="W452" s="2501"/>
      <c r="X452" s="2501"/>
      <c r="Y452" s="2501"/>
      <c r="Z452" s="2501"/>
      <c r="AA452" s="2501"/>
    </row>
    <row r="453" spans="1:27" ht="15.75" customHeight="1" x14ac:dyDescent="0.3">
      <c r="A453" s="2501"/>
      <c r="B453" s="2501"/>
      <c r="C453" s="2501"/>
      <c r="D453" s="2501"/>
      <c r="E453" s="2501"/>
      <c r="F453" s="2501"/>
      <c r="G453" s="2501"/>
      <c r="H453" s="2501"/>
      <c r="I453" s="2501"/>
      <c r="J453" s="2501"/>
      <c r="K453" s="2501"/>
      <c r="L453" s="2501"/>
      <c r="M453" s="2501"/>
      <c r="N453" s="2501"/>
      <c r="O453" s="2501"/>
      <c r="P453" s="2501"/>
      <c r="Q453" s="2501"/>
      <c r="R453" s="2501"/>
      <c r="S453" s="2501"/>
      <c r="T453" s="2501"/>
      <c r="U453" s="2501"/>
      <c r="V453" s="2501"/>
      <c r="W453" s="2501"/>
      <c r="X453" s="2501"/>
      <c r="Y453" s="2501"/>
      <c r="Z453" s="2501"/>
      <c r="AA453" s="2501"/>
    </row>
    <row r="454" spans="1:27" ht="15.75" customHeight="1" x14ac:dyDescent="0.3">
      <c r="A454" s="2501"/>
      <c r="B454" s="2501"/>
      <c r="C454" s="2501"/>
      <c r="D454" s="2501"/>
      <c r="E454" s="2501"/>
      <c r="F454" s="2501"/>
      <c r="G454" s="2501"/>
      <c r="H454" s="2501"/>
      <c r="I454" s="2501"/>
      <c r="J454" s="2501"/>
      <c r="K454" s="2501"/>
      <c r="L454" s="2501"/>
      <c r="M454" s="2501"/>
      <c r="N454" s="2501"/>
      <c r="O454" s="2501"/>
      <c r="P454" s="2501"/>
      <c r="Q454" s="2501"/>
      <c r="R454" s="2501"/>
      <c r="S454" s="2501"/>
      <c r="T454" s="2501"/>
      <c r="U454" s="2501"/>
      <c r="V454" s="2501"/>
      <c r="W454" s="2501"/>
      <c r="X454" s="2501"/>
      <c r="Y454" s="2501"/>
      <c r="Z454" s="2501"/>
      <c r="AA454" s="2501"/>
    </row>
    <row r="455" spans="1:27" ht="15.75" customHeight="1" x14ac:dyDescent="0.3">
      <c r="A455" s="2501"/>
      <c r="B455" s="2501"/>
      <c r="C455" s="2501"/>
      <c r="D455" s="2501"/>
      <c r="E455" s="2501"/>
      <c r="F455" s="2501"/>
      <c r="G455" s="2501"/>
      <c r="H455" s="2501"/>
      <c r="I455" s="2501"/>
      <c r="J455" s="2501"/>
      <c r="K455" s="2501"/>
      <c r="L455" s="2501"/>
      <c r="M455" s="2501"/>
      <c r="N455" s="2501"/>
      <c r="O455" s="2501"/>
      <c r="P455" s="2501"/>
      <c r="Q455" s="2501"/>
      <c r="R455" s="2501"/>
      <c r="S455" s="2501"/>
      <c r="T455" s="2501"/>
      <c r="U455" s="2501"/>
      <c r="V455" s="2501"/>
      <c r="W455" s="2501"/>
      <c r="X455" s="2501"/>
      <c r="Y455" s="2501"/>
      <c r="Z455" s="2501"/>
      <c r="AA455" s="2501"/>
    </row>
    <row r="456" spans="1:27" ht="15.75" customHeight="1" x14ac:dyDescent="0.3">
      <c r="A456" s="2501"/>
      <c r="B456" s="2501"/>
      <c r="C456" s="2501"/>
      <c r="D456" s="2501"/>
      <c r="E456" s="2501"/>
      <c r="F456" s="2501"/>
      <c r="G456" s="2501"/>
      <c r="H456" s="2501"/>
      <c r="I456" s="2501"/>
      <c r="J456" s="2501"/>
      <c r="K456" s="2501"/>
      <c r="L456" s="2501"/>
      <c r="M456" s="2501"/>
      <c r="N456" s="2501"/>
      <c r="O456" s="2501"/>
      <c r="P456" s="2501"/>
      <c r="Q456" s="2501"/>
      <c r="R456" s="2501"/>
      <c r="S456" s="2501"/>
      <c r="T456" s="2501"/>
      <c r="U456" s="2501"/>
      <c r="V456" s="2501"/>
      <c r="W456" s="2501"/>
      <c r="X456" s="2501"/>
      <c r="Y456" s="2501"/>
      <c r="Z456" s="2501"/>
      <c r="AA456" s="2501"/>
    </row>
    <row r="457" spans="1:27" ht="15.75" customHeight="1" x14ac:dyDescent="0.3">
      <c r="A457" s="2501"/>
      <c r="B457" s="2501"/>
      <c r="C457" s="2501"/>
      <c r="D457" s="2501"/>
      <c r="E457" s="2501"/>
      <c r="F457" s="2501"/>
      <c r="G457" s="2501"/>
      <c r="H457" s="2501"/>
      <c r="I457" s="2501"/>
      <c r="J457" s="2501"/>
      <c r="K457" s="2501"/>
      <c r="L457" s="2501"/>
      <c r="M457" s="2501"/>
      <c r="N457" s="2501"/>
      <c r="O457" s="2501"/>
      <c r="P457" s="2501"/>
      <c r="Q457" s="2501"/>
      <c r="R457" s="2501"/>
      <c r="S457" s="2501"/>
      <c r="T457" s="2501"/>
      <c r="U457" s="2501"/>
      <c r="V457" s="2501"/>
      <c r="W457" s="2501"/>
      <c r="X457" s="2501"/>
      <c r="Y457" s="2501"/>
      <c r="Z457" s="2501"/>
      <c r="AA457" s="2501"/>
    </row>
    <row r="458" spans="1:27" ht="15.75" customHeight="1" x14ac:dyDescent="0.3">
      <c r="A458" s="2501"/>
      <c r="B458" s="2501"/>
      <c r="C458" s="2501"/>
      <c r="D458" s="2501"/>
      <c r="E458" s="2501"/>
      <c r="F458" s="2501"/>
      <c r="G458" s="2501"/>
      <c r="H458" s="2501"/>
      <c r="I458" s="2501"/>
      <c r="J458" s="2501"/>
      <c r="K458" s="2501"/>
      <c r="L458" s="2501"/>
      <c r="M458" s="2501"/>
      <c r="N458" s="2501"/>
      <c r="O458" s="2501"/>
      <c r="P458" s="2501"/>
      <c r="Q458" s="2501"/>
      <c r="R458" s="2501"/>
      <c r="S458" s="2501"/>
      <c r="T458" s="2501"/>
      <c r="U458" s="2501"/>
      <c r="V458" s="2501"/>
      <c r="W458" s="2501"/>
      <c r="X458" s="2501"/>
      <c r="Y458" s="2501"/>
      <c r="Z458" s="2501"/>
      <c r="AA458" s="2501"/>
    </row>
    <row r="459" spans="1:27" ht="15.75" customHeight="1" x14ac:dyDescent="0.3">
      <c r="A459" s="2501"/>
      <c r="B459" s="2501"/>
      <c r="C459" s="2501"/>
      <c r="D459" s="2501"/>
      <c r="E459" s="2501"/>
      <c r="F459" s="2501"/>
      <c r="G459" s="2501"/>
      <c r="H459" s="2501"/>
      <c r="I459" s="2501"/>
      <c r="J459" s="2501"/>
      <c r="K459" s="2501"/>
      <c r="L459" s="2501"/>
      <c r="M459" s="2501"/>
      <c r="N459" s="2501"/>
      <c r="O459" s="2501"/>
      <c r="P459" s="2501"/>
      <c r="Q459" s="2501"/>
      <c r="R459" s="2501"/>
      <c r="S459" s="2501"/>
      <c r="T459" s="2501"/>
      <c r="U459" s="2501"/>
      <c r="V459" s="2501"/>
      <c r="W459" s="2501"/>
      <c r="X459" s="2501"/>
      <c r="Y459" s="2501"/>
      <c r="Z459" s="2501"/>
      <c r="AA459" s="2501"/>
    </row>
    <row r="460" spans="1:27" ht="15.75" customHeight="1" x14ac:dyDescent="0.3">
      <c r="A460" s="2501"/>
      <c r="B460" s="2501"/>
      <c r="C460" s="2501"/>
      <c r="D460" s="2501"/>
      <c r="E460" s="2501"/>
      <c r="F460" s="2501"/>
      <c r="G460" s="2501"/>
      <c r="H460" s="2501"/>
      <c r="I460" s="2501"/>
      <c r="J460" s="2501"/>
      <c r="K460" s="2501"/>
      <c r="L460" s="2501"/>
      <c r="M460" s="2501"/>
      <c r="N460" s="2501"/>
      <c r="O460" s="2501"/>
      <c r="P460" s="2501"/>
      <c r="Q460" s="2501"/>
      <c r="R460" s="2501"/>
      <c r="S460" s="2501"/>
      <c r="T460" s="2501"/>
      <c r="U460" s="2501"/>
      <c r="V460" s="2501"/>
      <c r="W460" s="2501"/>
      <c r="X460" s="2501"/>
      <c r="Y460" s="2501"/>
      <c r="Z460" s="2501"/>
      <c r="AA460" s="2501"/>
    </row>
    <row r="461" spans="1:27" ht="15.75" customHeight="1" x14ac:dyDescent="0.3">
      <c r="A461" s="2501"/>
      <c r="B461" s="2501"/>
      <c r="C461" s="2501"/>
      <c r="D461" s="2501"/>
      <c r="E461" s="2501"/>
      <c r="F461" s="2501"/>
      <c r="G461" s="2501"/>
      <c r="H461" s="2501"/>
      <c r="I461" s="2501"/>
      <c r="J461" s="2501"/>
      <c r="K461" s="2501"/>
      <c r="L461" s="2501"/>
      <c r="M461" s="2501"/>
      <c r="N461" s="2501"/>
      <c r="O461" s="2501"/>
      <c r="P461" s="2501"/>
      <c r="Q461" s="2501"/>
      <c r="R461" s="2501"/>
      <c r="S461" s="2501"/>
      <c r="T461" s="2501"/>
      <c r="U461" s="2501"/>
      <c r="V461" s="2501"/>
      <c r="W461" s="2501"/>
      <c r="X461" s="2501"/>
      <c r="Y461" s="2501"/>
      <c r="Z461" s="2501"/>
      <c r="AA461" s="2501"/>
    </row>
    <row r="462" spans="1:27" ht="15.75" customHeight="1" x14ac:dyDescent="0.3">
      <c r="A462" s="2501"/>
      <c r="B462" s="2501"/>
      <c r="C462" s="2501"/>
      <c r="D462" s="2501"/>
      <c r="E462" s="2501"/>
      <c r="F462" s="2501"/>
      <c r="G462" s="2501"/>
      <c r="H462" s="2501"/>
      <c r="I462" s="2501"/>
      <c r="J462" s="2501"/>
      <c r="K462" s="2501"/>
      <c r="L462" s="2501"/>
      <c r="M462" s="2501"/>
      <c r="N462" s="2501"/>
      <c r="O462" s="2501"/>
      <c r="P462" s="2501"/>
      <c r="Q462" s="2501"/>
      <c r="R462" s="2501"/>
      <c r="S462" s="2501"/>
      <c r="T462" s="2501"/>
      <c r="U462" s="2501"/>
      <c r="V462" s="2501"/>
      <c r="W462" s="2501"/>
      <c r="X462" s="2501"/>
      <c r="Y462" s="2501"/>
      <c r="Z462" s="2501"/>
      <c r="AA462" s="2501"/>
    </row>
    <row r="463" spans="1:27" ht="15.75" customHeight="1" x14ac:dyDescent="0.3">
      <c r="A463" s="2501"/>
      <c r="B463" s="2501"/>
      <c r="C463" s="2501"/>
      <c r="D463" s="2501"/>
      <c r="E463" s="2501"/>
      <c r="F463" s="2501"/>
      <c r="G463" s="2501"/>
      <c r="H463" s="2501"/>
      <c r="I463" s="2501"/>
      <c r="J463" s="2501"/>
      <c r="K463" s="2501"/>
      <c r="L463" s="2501"/>
      <c r="M463" s="2501"/>
      <c r="N463" s="2501"/>
      <c r="O463" s="2501"/>
      <c r="P463" s="2501"/>
      <c r="Q463" s="2501"/>
      <c r="R463" s="2501"/>
      <c r="S463" s="2501"/>
      <c r="T463" s="2501"/>
      <c r="U463" s="2501"/>
      <c r="V463" s="2501"/>
      <c r="W463" s="2501"/>
      <c r="X463" s="2501"/>
      <c r="Y463" s="2501"/>
      <c r="Z463" s="2501"/>
      <c r="AA463" s="2501"/>
    </row>
    <row r="464" spans="1:27" ht="15.75" customHeight="1" x14ac:dyDescent="0.3">
      <c r="A464" s="2501"/>
      <c r="B464" s="2501"/>
      <c r="C464" s="2501"/>
      <c r="D464" s="2501"/>
      <c r="E464" s="2501"/>
      <c r="F464" s="2501"/>
      <c r="G464" s="2501"/>
      <c r="H464" s="2501"/>
      <c r="I464" s="2501"/>
      <c r="J464" s="2501"/>
      <c r="K464" s="2501"/>
      <c r="L464" s="2501"/>
      <c r="M464" s="2501"/>
      <c r="N464" s="2501"/>
      <c r="O464" s="2501"/>
      <c r="P464" s="2501"/>
      <c r="Q464" s="2501"/>
      <c r="R464" s="2501"/>
      <c r="S464" s="2501"/>
      <c r="T464" s="2501"/>
      <c r="U464" s="2501"/>
      <c r="V464" s="2501"/>
      <c r="W464" s="2501"/>
      <c r="X464" s="2501"/>
      <c r="Y464" s="2501"/>
      <c r="Z464" s="2501"/>
      <c r="AA464" s="2501"/>
    </row>
    <row r="465" spans="1:27" ht="15.75" customHeight="1" x14ac:dyDescent="0.3">
      <c r="A465" s="2501"/>
      <c r="B465" s="2501"/>
      <c r="C465" s="2501"/>
      <c r="D465" s="2501"/>
      <c r="E465" s="2501"/>
      <c r="F465" s="2501"/>
      <c r="G465" s="2501"/>
      <c r="H465" s="2501"/>
      <c r="I465" s="2501"/>
      <c r="J465" s="2501"/>
      <c r="K465" s="2501"/>
      <c r="L465" s="2501"/>
      <c r="M465" s="2501"/>
      <c r="N465" s="2501"/>
      <c r="O465" s="2501"/>
      <c r="P465" s="2501"/>
      <c r="Q465" s="2501"/>
      <c r="R465" s="2501"/>
      <c r="S465" s="2501"/>
      <c r="T465" s="2501"/>
      <c r="U465" s="2501"/>
      <c r="V465" s="2501"/>
      <c r="W465" s="2501"/>
      <c r="X465" s="2501"/>
      <c r="Y465" s="2501"/>
      <c r="Z465" s="2501"/>
      <c r="AA465" s="2501"/>
    </row>
    <row r="466" spans="1:27" ht="15.75" customHeight="1" x14ac:dyDescent="0.3">
      <c r="A466" s="2501"/>
      <c r="B466" s="2501"/>
      <c r="C466" s="2501"/>
      <c r="D466" s="2501"/>
      <c r="E466" s="2501"/>
      <c r="F466" s="2501"/>
      <c r="G466" s="2501"/>
      <c r="H466" s="2501"/>
      <c r="I466" s="2501"/>
      <c r="J466" s="2501"/>
      <c r="K466" s="2501"/>
      <c r="L466" s="2501"/>
      <c r="M466" s="2501"/>
      <c r="N466" s="2501"/>
      <c r="O466" s="2501"/>
      <c r="P466" s="2501"/>
      <c r="Q466" s="2501"/>
      <c r="R466" s="2501"/>
      <c r="S466" s="2501"/>
      <c r="T466" s="2501"/>
      <c r="U466" s="2501"/>
      <c r="V466" s="2501"/>
      <c r="W466" s="2501"/>
      <c r="X466" s="2501"/>
      <c r="Y466" s="2501"/>
      <c r="Z466" s="2501"/>
      <c r="AA466" s="2501"/>
    </row>
    <row r="467" spans="1:27" ht="15.75" customHeight="1" x14ac:dyDescent="0.3">
      <c r="A467" s="2501"/>
      <c r="B467" s="2501"/>
      <c r="C467" s="2501"/>
      <c r="D467" s="2501"/>
      <c r="E467" s="2501"/>
      <c r="F467" s="2501"/>
      <c r="G467" s="2501"/>
      <c r="H467" s="2501"/>
      <c r="I467" s="2501"/>
      <c r="J467" s="2501"/>
      <c r="K467" s="2501"/>
      <c r="L467" s="2501"/>
      <c r="M467" s="2501"/>
      <c r="N467" s="2501"/>
      <c r="O467" s="2501"/>
      <c r="P467" s="2501"/>
      <c r="Q467" s="2501"/>
      <c r="R467" s="2501"/>
      <c r="S467" s="2501"/>
      <c r="T467" s="2501"/>
      <c r="U467" s="2501"/>
      <c r="V467" s="2501"/>
      <c r="W467" s="2501"/>
      <c r="X467" s="2501"/>
      <c r="Y467" s="2501"/>
      <c r="Z467" s="2501"/>
      <c r="AA467" s="2501"/>
    </row>
    <row r="468" spans="1:27" ht="15.75" customHeight="1" x14ac:dyDescent="0.3">
      <c r="A468" s="2501"/>
      <c r="B468" s="2501"/>
      <c r="C468" s="2501"/>
      <c r="D468" s="2501"/>
      <c r="E468" s="2501"/>
      <c r="F468" s="2501"/>
      <c r="G468" s="2501"/>
      <c r="H468" s="2501"/>
      <c r="I468" s="2501"/>
      <c r="J468" s="2501"/>
      <c r="K468" s="2501"/>
      <c r="L468" s="2501"/>
      <c r="M468" s="2501"/>
      <c r="N468" s="2501"/>
      <c r="O468" s="2501"/>
      <c r="P468" s="2501"/>
      <c r="Q468" s="2501"/>
      <c r="R468" s="2501"/>
      <c r="S468" s="2501"/>
      <c r="T468" s="2501"/>
      <c r="U468" s="2501"/>
      <c r="V468" s="2501"/>
      <c r="W468" s="2501"/>
      <c r="X468" s="2501"/>
      <c r="Y468" s="2501"/>
      <c r="Z468" s="2501"/>
      <c r="AA468" s="2501"/>
    </row>
    <row r="469" spans="1:27" ht="15.75" customHeight="1" x14ac:dyDescent="0.3">
      <c r="A469" s="2501"/>
      <c r="B469" s="2501"/>
      <c r="C469" s="2501"/>
      <c r="D469" s="2501"/>
      <c r="E469" s="2501"/>
      <c r="F469" s="2501"/>
      <c r="G469" s="2501"/>
      <c r="H469" s="2501"/>
      <c r="I469" s="2501"/>
      <c r="J469" s="2501"/>
      <c r="K469" s="2501"/>
      <c r="L469" s="2501"/>
      <c r="M469" s="2501"/>
      <c r="N469" s="2501"/>
      <c r="O469" s="2501"/>
      <c r="P469" s="2501"/>
      <c r="Q469" s="2501"/>
      <c r="R469" s="2501"/>
      <c r="S469" s="2501"/>
      <c r="T469" s="2501"/>
      <c r="U469" s="2501"/>
      <c r="V469" s="2501"/>
      <c r="W469" s="2501"/>
      <c r="X469" s="2501"/>
      <c r="Y469" s="2501"/>
      <c r="Z469" s="2501"/>
      <c r="AA469" s="2501"/>
    </row>
    <row r="470" spans="1:27" ht="15.75" customHeight="1" x14ac:dyDescent="0.3">
      <c r="A470" s="2501"/>
      <c r="B470" s="2501"/>
      <c r="C470" s="2501"/>
      <c r="D470" s="2501"/>
      <c r="E470" s="2501"/>
      <c r="F470" s="2501"/>
      <c r="G470" s="2501"/>
      <c r="H470" s="2501"/>
      <c r="I470" s="2501"/>
      <c r="J470" s="2501"/>
      <c r="K470" s="2501"/>
      <c r="L470" s="2501"/>
      <c r="M470" s="2501"/>
      <c r="N470" s="2501"/>
      <c r="O470" s="2501"/>
      <c r="P470" s="2501"/>
      <c r="Q470" s="2501"/>
      <c r="R470" s="2501"/>
      <c r="S470" s="2501"/>
      <c r="T470" s="2501"/>
      <c r="U470" s="2501"/>
      <c r="V470" s="2501"/>
      <c r="W470" s="2501"/>
      <c r="X470" s="2501"/>
      <c r="Y470" s="2501"/>
      <c r="Z470" s="2501"/>
      <c r="AA470" s="2501"/>
    </row>
    <row r="471" spans="1:27" ht="15.75" customHeight="1" x14ac:dyDescent="0.3">
      <c r="A471" s="2501"/>
      <c r="B471" s="2501"/>
      <c r="C471" s="2501"/>
      <c r="D471" s="2501"/>
      <c r="E471" s="2501"/>
      <c r="F471" s="2501"/>
      <c r="G471" s="2501"/>
      <c r="H471" s="2501"/>
      <c r="I471" s="2501"/>
      <c r="J471" s="2501"/>
      <c r="K471" s="2501"/>
      <c r="L471" s="2501"/>
      <c r="M471" s="2501"/>
      <c r="N471" s="2501"/>
      <c r="O471" s="2501"/>
      <c r="P471" s="2501"/>
      <c r="Q471" s="2501"/>
      <c r="R471" s="2501"/>
      <c r="S471" s="2501"/>
      <c r="T471" s="2501"/>
      <c r="U471" s="2501"/>
      <c r="V471" s="2501"/>
      <c r="W471" s="2501"/>
      <c r="X471" s="2501"/>
      <c r="Y471" s="2501"/>
      <c r="Z471" s="2501"/>
      <c r="AA471" s="2501"/>
    </row>
    <row r="472" spans="1:27" ht="15.75" customHeight="1" x14ac:dyDescent="0.3">
      <c r="A472" s="2501"/>
      <c r="B472" s="2501"/>
      <c r="C472" s="2501"/>
      <c r="D472" s="2501"/>
      <c r="E472" s="2501"/>
      <c r="F472" s="2501"/>
      <c r="G472" s="2501"/>
      <c r="H472" s="2501"/>
      <c r="I472" s="2501"/>
      <c r="J472" s="2501"/>
      <c r="K472" s="2501"/>
      <c r="L472" s="2501"/>
      <c r="M472" s="2501"/>
      <c r="N472" s="2501"/>
      <c r="O472" s="2501"/>
      <c r="P472" s="2501"/>
      <c r="Q472" s="2501"/>
      <c r="R472" s="2501"/>
      <c r="S472" s="2501"/>
      <c r="T472" s="2501"/>
      <c r="U472" s="2501"/>
      <c r="V472" s="2501"/>
      <c r="W472" s="2501"/>
      <c r="X472" s="2501"/>
      <c r="Y472" s="2501"/>
      <c r="Z472" s="2501"/>
      <c r="AA472" s="2501"/>
    </row>
    <row r="473" spans="1:27" ht="15.75" customHeight="1" x14ac:dyDescent="0.3">
      <c r="A473" s="2501"/>
      <c r="B473" s="2501"/>
      <c r="C473" s="2501"/>
      <c r="D473" s="2501"/>
      <c r="E473" s="2501"/>
      <c r="F473" s="2501"/>
      <c r="G473" s="2501"/>
      <c r="H473" s="2501"/>
      <c r="I473" s="2501"/>
      <c r="J473" s="2501"/>
      <c r="K473" s="2501"/>
      <c r="L473" s="2501"/>
      <c r="M473" s="2501"/>
      <c r="N473" s="2501"/>
      <c r="O473" s="2501"/>
      <c r="P473" s="2501"/>
      <c r="Q473" s="2501"/>
      <c r="R473" s="2501"/>
      <c r="S473" s="2501"/>
      <c r="T473" s="2501"/>
      <c r="U473" s="2501"/>
      <c r="V473" s="2501"/>
      <c r="W473" s="2501"/>
      <c r="X473" s="2501"/>
      <c r="Y473" s="2501"/>
      <c r="Z473" s="2501"/>
      <c r="AA473" s="2501"/>
    </row>
    <row r="474" spans="1:27" ht="15.75" customHeight="1" x14ac:dyDescent="0.3">
      <c r="A474" s="2501"/>
      <c r="B474" s="2501"/>
      <c r="C474" s="2501"/>
      <c r="D474" s="2501"/>
      <c r="E474" s="2501"/>
      <c r="F474" s="2501"/>
      <c r="G474" s="2501"/>
      <c r="H474" s="2501"/>
      <c r="I474" s="2501"/>
      <c r="J474" s="2501"/>
      <c r="K474" s="2501"/>
      <c r="L474" s="2501"/>
      <c r="M474" s="2501"/>
      <c r="N474" s="2501"/>
      <c r="O474" s="2501"/>
      <c r="P474" s="2501"/>
      <c r="Q474" s="2501"/>
      <c r="R474" s="2501"/>
      <c r="S474" s="2501"/>
      <c r="T474" s="2501"/>
      <c r="U474" s="2501"/>
      <c r="V474" s="2501"/>
      <c r="W474" s="2501"/>
      <c r="X474" s="2501"/>
      <c r="Y474" s="2501"/>
      <c r="Z474" s="2501"/>
      <c r="AA474" s="2501"/>
    </row>
    <row r="475" spans="1:27" ht="15.75" customHeight="1" x14ac:dyDescent="0.3">
      <c r="A475" s="2501"/>
      <c r="B475" s="2501"/>
      <c r="C475" s="2501"/>
      <c r="D475" s="2501"/>
      <c r="E475" s="2501"/>
      <c r="F475" s="2501"/>
      <c r="G475" s="2501"/>
      <c r="H475" s="2501"/>
      <c r="I475" s="2501"/>
      <c r="J475" s="2501"/>
      <c r="K475" s="2501"/>
      <c r="L475" s="2501"/>
      <c r="M475" s="2501"/>
      <c r="N475" s="2501"/>
      <c r="O475" s="2501"/>
      <c r="P475" s="2501"/>
      <c r="Q475" s="2501"/>
      <c r="R475" s="2501"/>
      <c r="S475" s="2501"/>
      <c r="T475" s="2501"/>
      <c r="U475" s="2501"/>
      <c r="V475" s="2501"/>
      <c r="W475" s="2501"/>
      <c r="X475" s="2501"/>
      <c r="Y475" s="2501"/>
      <c r="Z475" s="2501"/>
      <c r="AA475" s="2501"/>
    </row>
    <row r="476" spans="1:27" ht="15.75" customHeight="1" x14ac:dyDescent="0.3">
      <c r="A476" s="2501"/>
      <c r="B476" s="2501"/>
      <c r="C476" s="2501"/>
      <c r="D476" s="2501"/>
      <c r="E476" s="2501"/>
      <c r="F476" s="2501"/>
      <c r="G476" s="2501"/>
      <c r="H476" s="2501"/>
      <c r="I476" s="2501"/>
      <c r="J476" s="2501"/>
      <c r="K476" s="2501"/>
      <c r="L476" s="2501"/>
      <c r="M476" s="2501"/>
      <c r="N476" s="2501"/>
      <c r="O476" s="2501"/>
      <c r="P476" s="2501"/>
      <c r="Q476" s="2501"/>
      <c r="R476" s="2501"/>
      <c r="S476" s="2501"/>
      <c r="T476" s="2501"/>
      <c r="U476" s="2501"/>
      <c r="V476" s="2501"/>
      <c r="W476" s="2501"/>
      <c r="X476" s="2501"/>
      <c r="Y476" s="2501"/>
      <c r="Z476" s="2501"/>
      <c r="AA476" s="2501"/>
    </row>
    <row r="477" spans="1:27" ht="15.75" customHeight="1" x14ac:dyDescent="0.3">
      <c r="A477" s="2501"/>
      <c r="B477" s="2501"/>
      <c r="C477" s="2501"/>
      <c r="D477" s="2501"/>
      <c r="E477" s="2501"/>
      <c r="F477" s="2501"/>
      <c r="G477" s="2501"/>
      <c r="H477" s="2501"/>
      <c r="I477" s="2501"/>
      <c r="J477" s="2501"/>
      <c r="K477" s="2501"/>
      <c r="L477" s="2501"/>
      <c r="M477" s="2501"/>
      <c r="N477" s="2501"/>
      <c r="O477" s="2501"/>
      <c r="P477" s="2501"/>
      <c r="Q477" s="2501"/>
      <c r="R477" s="2501"/>
      <c r="S477" s="2501"/>
      <c r="T477" s="2501"/>
      <c r="U477" s="2501"/>
      <c r="V477" s="2501"/>
      <c r="W477" s="2501"/>
      <c r="X477" s="2501"/>
      <c r="Y477" s="2501"/>
      <c r="Z477" s="2501"/>
      <c r="AA477" s="2501"/>
    </row>
    <row r="478" spans="1:27" ht="15.75" customHeight="1" x14ac:dyDescent="0.3">
      <c r="A478" s="2501"/>
      <c r="B478" s="2501"/>
      <c r="C478" s="2501"/>
      <c r="D478" s="2501"/>
      <c r="E478" s="2501"/>
      <c r="F478" s="2501"/>
      <c r="G478" s="2501"/>
      <c r="H478" s="2501"/>
      <c r="I478" s="2501"/>
      <c r="J478" s="2501"/>
      <c r="K478" s="2501"/>
      <c r="L478" s="2501"/>
      <c r="M478" s="2501"/>
      <c r="N478" s="2501"/>
      <c r="O478" s="2501"/>
      <c r="P478" s="2501"/>
      <c r="Q478" s="2501"/>
      <c r="R478" s="2501"/>
      <c r="S478" s="2501"/>
      <c r="T478" s="2501"/>
      <c r="U478" s="2501"/>
      <c r="V478" s="2501"/>
      <c r="W478" s="2501"/>
      <c r="X478" s="2501"/>
      <c r="Y478" s="2501"/>
      <c r="Z478" s="2501"/>
      <c r="AA478" s="2501"/>
    </row>
    <row r="479" spans="1:27" ht="15.75" customHeight="1" x14ac:dyDescent="0.3">
      <c r="A479" s="2501"/>
      <c r="B479" s="2501"/>
      <c r="C479" s="2501"/>
      <c r="D479" s="2501"/>
      <c r="E479" s="2501"/>
      <c r="F479" s="2501"/>
      <c r="G479" s="2501"/>
      <c r="H479" s="2501"/>
      <c r="I479" s="2501"/>
      <c r="J479" s="2501"/>
      <c r="K479" s="2501"/>
      <c r="L479" s="2501"/>
      <c r="M479" s="2501"/>
      <c r="N479" s="2501"/>
      <c r="O479" s="2501"/>
      <c r="P479" s="2501"/>
      <c r="Q479" s="2501"/>
      <c r="R479" s="2501"/>
      <c r="S479" s="2501"/>
      <c r="T479" s="2501"/>
      <c r="U479" s="2501"/>
      <c r="V479" s="2501"/>
      <c r="W479" s="2501"/>
      <c r="X479" s="2501"/>
      <c r="Y479" s="2501"/>
      <c r="Z479" s="2501"/>
      <c r="AA479" s="2501"/>
    </row>
    <row r="480" spans="1:27" ht="15.75" customHeight="1" x14ac:dyDescent="0.3">
      <c r="A480" s="2501"/>
      <c r="B480" s="2501"/>
      <c r="C480" s="2501"/>
      <c r="D480" s="2501"/>
      <c r="E480" s="2501"/>
      <c r="F480" s="2501"/>
      <c r="G480" s="2501"/>
      <c r="H480" s="2501"/>
      <c r="I480" s="2501"/>
      <c r="J480" s="2501"/>
      <c r="K480" s="2501"/>
      <c r="L480" s="2501"/>
      <c r="M480" s="2501"/>
      <c r="N480" s="2501"/>
      <c r="O480" s="2501"/>
      <c r="P480" s="2501"/>
      <c r="Q480" s="2501"/>
      <c r="R480" s="2501"/>
      <c r="S480" s="2501"/>
      <c r="T480" s="2501"/>
      <c r="U480" s="2501"/>
      <c r="V480" s="2501"/>
      <c r="W480" s="2501"/>
      <c r="X480" s="2501"/>
      <c r="Y480" s="2501"/>
      <c r="Z480" s="2501"/>
      <c r="AA480" s="2501"/>
    </row>
    <row r="481" spans="1:27" ht="15.75" customHeight="1" x14ac:dyDescent="0.3">
      <c r="A481" s="2501"/>
      <c r="B481" s="2501"/>
      <c r="C481" s="2501"/>
      <c r="D481" s="2501"/>
      <c r="E481" s="2501"/>
      <c r="F481" s="2501"/>
      <c r="G481" s="2501"/>
      <c r="H481" s="2501"/>
      <c r="I481" s="2501"/>
      <c r="J481" s="2501"/>
      <c r="K481" s="2501"/>
      <c r="L481" s="2501"/>
      <c r="M481" s="2501"/>
      <c r="N481" s="2501"/>
      <c r="O481" s="2501"/>
      <c r="P481" s="2501"/>
      <c r="Q481" s="2501"/>
      <c r="R481" s="2501"/>
      <c r="S481" s="2501"/>
      <c r="T481" s="2501"/>
      <c r="U481" s="2501"/>
      <c r="V481" s="2501"/>
      <c r="W481" s="2501"/>
      <c r="X481" s="2501"/>
      <c r="Y481" s="2501"/>
      <c r="Z481" s="2501"/>
      <c r="AA481" s="2501"/>
    </row>
    <row r="482" spans="1:27" ht="15.75" customHeight="1" x14ac:dyDescent="0.3">
      <c r="A482" s="2501"/>
      <c r="B482" s="2501"/>
      <c r="C482" s="2501"/>
      <c r="D482" s="2501"/>
      <c r="E482" s="2501"/>
      <c r="F482" s="2501"/>
      <c r="G482" s="2501"/>
      <c r="H482" s="2501"/>
      <c r="I482" s="2501"/>
      <c r="J482" s="2501"/>
      <c r="K482" s="2501"/>
      <c r="L482" s="2501"/>
      <c r="M482" s="2501"/>
      <c r="N482" s="2501"/>
      <c r="O482" s="2501"/>
      <c r="P482" s="2501"/>
      <c r="Q482" s="2501"/>
      <c r="R482" s="2501"/>
      <c r="S482" s="2501"/>
      <c r="T482" s="2501"/>
      <c r="U482" s="2501"/>
      <c r="V482" s="2501"/>
      <c r="W482" s="2501"/>
      <c r="X482" s="2501"/>
      <c r="Y482" s="2501"/>
      <c r="Z482" s="2501"/>
      <c r="AA482" s="2501"/>
    </row>
    <row r="483" spans="1:27" ht="15.75" customHeight="1" x14ac:dyDescent="0.3">
      <c r="A483" s="2501"/>
      <c r="B483" s="2501"/>
      <c r="C483" s="2501"/>
      <c r="D483" s="2501"/>
      <c r="E483" s="2501"/>
      <c r="F483" s="2501"/>
      <c r="G483" s="2501"/>
      <c r="H483" s="2501"/>
      <c r="I483" s="2501"/>
      <c r="J483" s="2501"/>
      <c r="K483" s="2501"/>
      <c r="L483" s="2501"/>
      <c r="M483" s="2501"/>
      <c r="N483" s="2501"/>
      <c r="O483" s="2501"/>
      <c r="P483" s="2501"/>
      <c r="Q483" s="2501"/>
      <c r="R483" s="2501"/>
      <c r="S483" s="2501"/>
      <c r="T483" s="2501"/>
      <c r="U483" s="2501"/>
      <c r="V483" s="2501"/>
      <c r="W483" s="2501"/>
      <c r="X483" s="2501"/>
      <c r="Y483" s="2501"/>
      <c r="Z483" s="2501"/>
      <c r="AA483" s="2501"/>
    </row>
    <row r="484" spans="1:27" ht="15.75" customHeight="1" x14ac:dyDescent="0.3">
      <c r="A484" s="2501"/>
      <c r="B484" s="2501"/>
      <c r="C484" s="2501"/>
      <c r="D484" s="2501"/>
      <c r="E484" s="2501"/>
      <c r="F484" s="2501"/>
      <c r="G484" s="2501"/>
      <c r="H484" s="2501"/>
      <c r="I484" s="2501"/>
      <c r="J484" s="2501"/>
      <c r="K484" s="2501"/>
      <c r="L484" s="2501"/>
      <c r="M484" s="2501"/>
      <c r="N484" s="2501"/>
      <c r="O484" s="2501"/>
      <c r="P484" s="2501"/>
      <c r="Q484" s="2501"/>
      <c r="R484" s="2501"/>
      <c r="S484" s="2501"/>
      <c r="T484" s="2501"/>
      <c r="U484" s="2501"/>
      <c r="V484" s="2501"/>
      <c r="W484" s="2501"/>
      <c r="X484" s="2501"/>
      <c r="Y484" s="2501"/>
      <c r="Z484" s="2501"/>
      <c r="AA484" s="2501"/>
    </row>
    <row r="485" spans="1:27" ht="15.75" customHeight="1" x14ac:dyDescent="0.3">
      <c r="A485" s="2501"/>
      <c r="B485" s="2501"/>
      <c r="C485" s="2501"/>
      <c r="D485" s="2501"/>
      <c r="E485" s="2501"/>
      <c r="F485" s="2501"/>
      <c r="G485" s="2501"/>
      <c r="H485" s="2501"/>
      <c r="I485" s="2501"/>
      <c r="J485" s="2501"/>
      <c r="K485" s="2501"/>
      <c r="L485" s="2501"/>
      <c r="M485" s="2501"/>
      <c r="N485" s="2501"/>
      <c r="O485" s="2501"/>
      <c r="P485" s="2501"/>
      <c r="Q485" s="2501"/>
      <c r="R485" s="2501"/>
      <c r="S485" s="2501"/>
      <c r="T485" s="2501"/>
      <c r="U485" s="2501"/>
      <c r="V485" s="2501"/>
      <c r="W485" s="2501"/>
      <c r="X485" s="2501"/>
      <c r="Y485" s="2501"/>
      <c r="Z485" s="2501"/>
      <c r="AA485" s="2501"/>
    </row>
    <row r="486" spans="1:27" ht="15.75" customHeight="1" x14ac:dyDescent="0.3">
      <c r="A486" s="2501"/>
      <c r="B486" s="2501"/>
      <c r="C486" s="2501"/>
      <c r="D486" s="2501"/>
      <c r="E486" s="2501"/>
      <c r="F486" s="2501"/>
      <c r="G486" s="2501"/>
      <c r="H486" s="2501"/>
      <c r="I486" s="2501"/>
      <c r="J486" s="2501"/>
      <c r="K486" s="2501"/>
      <c r="L486" s="2501"/>
      <c r="M486" s="2501"/>
      <c r="N486" s="2501"/>
      <c r="O486" s="2501"/>
      <c r="P486" s="2501"/>
      <c r="Q486" s="2501"/>
      <c r="R486" s="2501"/>
      <c r="S486" s="2501"/>
      <c r="T486" s="2501"/>
      <c r="U486" s="2501"/>
      <c r="V486" s="2501"/>
      <c r="W486" s="2501"/>
      <c r="X486" s="2501"/>
      <c r="Y486" s="2501"/>
      <c r="Z486" s="2501"/>
      <c r="AA486" s="2501"/>
    </row>
    <row r="487" spans="1:27" ht="15.75" customHeight="1" x14ac:dyDescent="0.3">
      <c r="A487" s="2501"/>
      <c r="B487" s="2501"/>
      <c r="C487" s="2501"/>
      <c r="D487" s="2501"/>
      <c r="E487" s="2501"/>
      <c r="F487" s="2501"/>
      <c r="G487" s="2501"/>
      <c r="H487" s="2501"/>
      <c r="I487" s="2501"/>
      <c r="J487" s="2501"/>
      <c r="K487" s="2501"/>
      <c r="L487" s="2501"/>
      <c r="M487" s="2501"/>
      <c r="N487" s="2501"/>
      <c r="O487" s="2501"/>
      <c r="P487" s="2501"/>
      <c r="Q487" s="2501"/>
      <c r="R487" s="2501"/>
      <c r="S487" s="2501"/>
      <c r="T487" s="2501"/>
      <c r="U487" s="2501"/>
      <c r="V487" s="2501"/>
      <c r="W487" s="2501"/>
      <c r="X487" s="2501"/>
      <c r="Y487" s="2501"/>
      <c r="Z487" s="2501"/>
      <c r="AA487" s="2501"/>
    </row>
    <row r="488" spans="1:27" ht="15.75" customHeight="1" x14ac:dyDescent="0.3">
      <c r="A488" s="2501"/>
      <c r="B488" s="2501"/>
      <c r="C488" s="2501"/>
      <c r="D488" s="2501"/>
      <c r="E488" s="2501"/>
      <c r="F488" s="2501"/>
      <c r="G488" s="2501"/>
      <c r="H488" s="2501"/>
      <c r="I488" s="2501"/>
      <c r="J488" s="2501"/>
      <c r="K488" s="2501"/>
      <c r="L488" s="2501"/>
      <c r="M488" s="2501"/>
      <c r="N488" s="2501"/>
      <c r="O488" s="2501"/>
      <c r="P488" s="2501"/>
      <c r="Q488" s="2501"/>
      <c r="R488" s="2501"/>
      <c r="S488" s="2501"/>
      <c r="T488" s="2501"/>
      <c r="U488" s="2501"/>
      <c r="V488" s="2501"/>
      <c r="W488" s="2501"/>
      <c r="X488" s="2501"/>
      <c r="Y488" s="2501"/>
      <c r="Z488" s="2501"/>
      <c r="AA488" s="2501"/>
    </row>
    <row r="489" spans="1:27" ht="15.75" customHeight="1" x14ac:dyDescent="0.3">
      <c r="A489" s="2501"/>
      <c r="B489" s="2501"/>
      <c r="C489" s="2501"/>
      <c r="D489" s="2501"/>
      <c r="E489" s="2501"/>
      <c r="F489" s="2501"/>
      <c r="G489" s="2501"/>
      <c r="H489" s="2501"/>
      <c r="I489" s="2501"/>
      <c r="J489" s="2501"/>
      <c r="K489" s="2501"/>
      <c r="L489" s="2501"/>
      <c r="M489" s="2501"/>
      <c r="N489" s="2501"/>
      <c r="O489" s="2501"/>
      <c r="P489" s="2501"/>
      <c r="Q489" s="2501"/>
      <c r="R489" s="2501"/>
      <c r="S489" s="2501"/>
      <c r="T489" s="2501"/>
      <c r="U489" s="2501"/>
      <c r="V489" s="2501"/>
      <c r="W489" s="2501"/>
      <c r="X489" s="2501"/>
      <c r="Y489" s="2501"/>
      <c r="Z489" s="2501"/>
      <c r="AA489" s="2501"/>
    </row>
    <row r="490" spans="1:27" ht="15.75" customHeight="1" x14ac:dyDescent="0.3">
      <c r="A490" s="2501"/>
      <c r="B490" s="2501"/>
      <c r="C490" s="2501"/>
      <c r="D490" s="2501"/>
      <c r="E490" s="2501"/>
      <c r="F490" s="2501"/>
      <c r="G490" s="2501"/>
      <c r="H490" s="2501"/>
      <c r="I490" s="2501"/>
      <c r="J490" s="2501"/>
      <c r="K490" s="2501"/>
      <c r="L490" s="2501"/>
      <c r="M490" s="2501"/>
      <c r="N490" s="2501"/>
      <c r="O490" s="2501"/>
      <c r="P490" s="2501"/>
      <c r="Q490" s="2501"/>
      <c r="R490" s="2501"/>
      <c r="S490" s="2501"/>
      <c r="T490" s="2501"/>
      <c r="U490" s="2501"/>
      <c r="V490" s="2501"/>
      <c r="W490" s="2501"/>
      <c r="X490" s="2501"/>
      <c r="Y490" s="2501"/>
      <c r="Z490" s="2501"/>
      <c r="AA490" s="2501"/>
    </row>
    <row r="491" spans="1:27" ht="15.75" customHeight="1" x14ac:dyDescent="0.3">
      <c r="A491" s="2501"/>
      <c r="B491" s="2501"/>
      <c r="C491" s="2501"/>
      <c r="D491" s="2501"/>
      <c r="E491" s="2501"/>
      <c r="F491" s="2501"/>
      <c r="G491" s="2501"/>
      <c r="H491" s="2501"/>
      <c r="I491" s="2501"/>
      <c r="J491" s="2501"/>
      <c r="K491" s="2501"/>
      <c r="L491" s="2501"/>
      <c r="M491" s="2501"/>
      <c r="N491" s="2501"/>
      <c r="O491" s="2501"/>
      <c r="P491" s="2501"/>
      <c r="Q491" s="2501"/>
      <c r="R491" s="2501"/>
      <c r="S491" s="2501"/>
      <c r="T491" s="2501"/>
      <c r="U491" s="2501"/>
      <c r="V491" s="2501"/>
      <c r="W491" s="2501"/>
      <c r="X491" s="2501"/>
      <c r="Y491" s="2501"/>
      <c r="Z491" s="2501"/>
      <c r="AA491" s="2501"/>
    </row>
    <row r="492" spans="1:27" ht="15.75" customHeight="1" x14ac:dyDescent="0.3">
      <c r="A492" s="2501"/>
      <c r="B492" s="2501"/>
      <c r="C492" s="2501"/>
      <c r="D492" s="2501"/>
      <c r="E492" s="2501"/>
      <c r="F492" s="2501"/>
      <c r="G492" s="2501"/>
      <c r="H492" s="2501"/>
      <c r="I492" s="2501"/>
      <c r="J492" s="2501"/>
      <c r="K492" s="2501"/>
      <c r="L492" s="2501"/>
      <c r="M492" s="2501"/>
      <c r="N492" s="2501"/>
      <c r="O492" s="2501"/>
      <c r="P492" s="2501"/>
      <c r="Q492" s="2501"/>
      <c r="R492" s="2501"/>
      <c r="S492" s="2501"/>
      <c r="T492" s="2501"/>
      <c r="U492" s="2501"/>
      <c r="V492" s="2501"/>
      <c r="W492" s="2501"/>
      <c r="X492" s="2501"/>
      <c r="Y492" s="2501"/>
      <c r="Z492" s="2501"/>
      <c r="AA492" s="2501"/>
    </row>
    <row r="493" spans="1:27" ht="15.75" customHeight="1" x14ac:dyDescent="0.3">
      <c r="A493" s="2501"/>
      <c r="B493" s="2501"/>
      <c r="C493" s="2501"/>
      <c r="D493" s="2501"/>
      <c r="E493" s="2501"/>
      <c r="F493" s="2501"/>
      <c r="G493" s="2501"/>
      <c r="H493" s="2501"/>
      <c r="I493" s="2501"/>
      <c r="J493" s="2501"/>
      <c r="K493" s="2501"/>
      <c r="L493" s="2501"/>
      <c r="M493" s="2501"/>
      <c r="N493" s="2501"/>
      <c r="O493" s="2501"/>
      <c r="P493" s="2501"/>
      <c r="Q493" s="2501"/>
      <c r="R493" s="2501"/>
      <c r="S493" s="2501"/>
      <c r="T493" s="2501"/>
      <c r="U493" s="2501"/>
      <c r="V493" s="2501"/>
      <c r="W493" s="2501"/>
      <c r="X493" s="2501"/>
      <c r="Y493" s="2501"/>
      <c r="Z493" s="2501"/>
      <c r="AA493" s="2501"/>
    </row>
    <row r="494" spans="1:27" ht="15.75" customHeight="1" x14ac:dyDescent="0.3">
      <c r="A494" s="2501"/>
      <c r="B494" s="2501"/>
      <c r="C494" s="2501"/>
      <c r="D494" s="2501"/>
      <c r="E494" s="2501"/>
      <c r="F494" s="2501"/>
      <c r="G494" s="2501"/>
      <c r="H494" s="2501"/>
      <c r="I494" s="2501"/>
      <c r="J494" s="2501"/>
      <c r="K494" s="2501"/>
      <c r="L494" s="2501"/>
      <c r="M494" s="2501"/>
      <c r="N494" s="2501"/>
      <c r="O494" s="2501"/>
      <c r="P494" s="2501"/>
      <c r="Q494" s="2501"/>
      <c r="R494" s="2501"/>
      <c r="S494" s="2501"/>
      <c r="T494" s="2501"/>
      <c r="U494" s="2501"/>
      <c r="V494" s="2501"/>
      <c r="W494" s="2501"/>
      <c r="X494" s="2501"/>
      <c r="Y494" s="2501"/>
      <c r="Z494" s="2501"/>
      <c r="AA494" s="2501"/>
    </row>
    <row r="495" spans="1:27" ht="15.75" customHeight="1" x14ac:dyDescent="0.3">
      <c r="A495" s="2501"/>
      <c r="B495" s="2501"/>
      <c r="C495" s="2501"/>
      <c r="D495" s="2501"/>
      <c r="E495" s="2501"/>
      <c r="F495" s="2501"/>
      <c r="G495" s="2501"/>
      <c r="H495" s="2501"/>
      <c r="I495" s="2501"/>
      <c r="J495" s="2501"/>
      <c r="K495" s="2501"/>
      <c r="L495" s="2501"/>
      <c r="M495" s="2501"/>
      <c r="N495" s="2501"/>
      <c r="O495" s="2501"/>
      <c r="P495" s="2501"/>
      <c r="Q495" s="2501"/>
      <c r="R495" s="2501"/>
      <c r="S495" s="2501"/>
      <c r="T495" s="2501"/>
      <c r="U495" s="2501"/>
      <c r="V495" s="2501"/>
      <c r="W495" s="2501"/>
      <c r="X495" s="2501"/>
      <c r="Y495" s="2501"/>
      <c r="Z495" s="2501"/>
      <c r="AA495" s="2501"/>
    </row>
    <row r="496" spans="1:27" ht="15.75" customHeight="1" x14ac:dyDescent="0.3">
      <c r="A496" s="2501"/>
      <c r="B496" s="2501"/>
      <c r="C496" s="2501"/>
      <c r="D496" s="2501"/>
      <c r="E496" s="2501"/>
      <c r="F496" s="2501"/>
      <c r="G496" s="2501"/>
      <c r="H496" s="2501"/>
      <c r="I496" s="2501"/>
      <c r="J496" s="2501"/>
      <c r="K496" s="2501"/>
      <c r="L496" s="2501"/>
      <c r="M496" s="2501"/>
      <c r="N496" s="2501"/>
      <c r="O496" s="2501"/>
      <c r="P496" s="2501"/>
      <c r="Q496" s="2501"/>
      <c r="R496" s="2501"/>
      <c r="S496" s="2501"/>
      <c r="T496" s="2501"/>
      <c r="U496" s="2501"/>
      <c r="V496" s="2501"/>
      <c r="W496" s="2501"/>
      <c r="X496" s="2501"/>
      <c r="Y496" s="2501"/>
      <c r="Z496" s="2501"/>
      <c r="AA496" s="2501"/>
    </row>
    <row r="497" spans="1:27" ht="15.75" customHeight="1" x14ac:dyDescent="0.3">
      <c r="A497" s="2501"/>
      <c r="B497" s="2501"/>
      <c r="C497" s="2501"/>
      <c r="D497" s="2501"/>
      <c r="E497" s="2501"/>
      <c r="F497" s="2501"/>
      <c r="G497" s="2501"/>
      <c r="H497" s="2501"/>
      <c r="I497" s="2501"/>
      <c r="J497" s="2501"/>
      <c r="K497" s="2501"/>
      <c r="L497" s="2501"/>
      <c r="M497" s="2501"/>
      <c r="N497" s="2501"/>
      <c r="O497" s="2501"/>
      <c r="P497" s="2501"/>
      <c r="Q497" s="2501"/>
      <c r="R497" s="2501"/>
      <c r="S497" s="2501"/>
      <c r="T497" s="2501"/>
      <c r="U497" s="2501"/>
      <c r="V497" s="2501"/>
      <c r="W497" s="2501"/>
      <c r="X497" s="2501"/>
      <c r="Y497" s="2501"/>
      <c r="Z497" s="2501"/>
      <c r="AA497" s="2501"/>
    </row>
    <row r="498" spans="1:27" ht="15.75" customHeight="1" x14ac:dyDescent="0.3">
      <c r="A498" s="2501"/>
      <c r="B498" s="2501"/>
      <c r="C498" s="2501"/>
      <c r="D498" s="2501"/>
      <c r="E498" s="2501"/>
      <c r="F498" s="2501"/>
      <c r="G498" s="2501"/>
      <c r="H498" s="2501"/>
      <c r="I498" s="2501"/>
      <c r="J498" s="2501"/>
      <c r="K498" s="2501"/>
      <c r="L498" s="2501"/>
      <c r="M498" s="2501"/>
      <c r="N498" s="2501"/>
      <c r="O498" s="2501"/>
      <c r="P498" s="2501"/>
      <c r="Q498" s="2501"/>
      <c r="R498" s="2501"/>
      <c r="S498" s="2501"/>
      <c r="T498" s="2501"/>
      <c r="U498" s="2501"/>
      <c r="V498" s="2501"/>
      <c r="W498" s="2501"/>
      <c r="X498" s="2501"/>
      <c r="Y498" s="2501"/>
      <c r="Z498" s="2501"/>
      <c r="AA498" s="2501"/>
    </row>
    <row r="499" spans="1:27" ht="15.75" customHeight="1" x14ac:dyDescent="0.3">
      <c r="A499" s="2501"/>
      <c r="B499" s="2501"/>
      <c r="C499" s="2501"/>
      <c r="D499" s="2501"/>
      <c r="E499" s="2501"/>
      <c r="F499" s="2501"/>
      <c r="G499" s="2501"/>
      <c r="H499" s="2501"/>
      <c r="I499" s="2501"/>
      <c r="J499" s="2501"/>
      <c r="K499" s="2501"/>
      <c r="L499" s="2501"/>
      <c r="M499" s="2501"/>
      <c r="N499" s="2501"/>
      <c r="O499" s="2501"/>
      <c r="P499" s="2501"/>
      <c r="Q499" s="2501"/>
      <c r="R499" s="2501"/>
      <c r="S499" s="2501"/>
      <c r="T499" s="2501"/>
      <c r="U499" s="2501"/>
      <c r="V499" s="2501"/>
      <c r="W499" s="2501"/>
      <c r="X499" s="2501"/>
      <c r="Y499" s="2501"/>
      <c r="Z499" s="2501"/>
      <c r="AA499" s="2501"/>
    </row>
    <row r="500" spans="1:27" ht="15.75" customHeight="1" x14ac:dyDescent="0.3">
      <c r="A500" s="2501"/>
      <c r="B500" s="2501"/>
      <c r="C500" s="2501"/>
      <c r="D500" s="2501"/>
      <c r="E500" s="2501"/>
      <c r="F500" s="2501"/>
      <c r="G500" s="2501"/>
      <c r="H500" s="2501"/>
      <c r="I500" s="2501"/>
      <c r="J500" s="2501"/>
      <c r="K500" s="2501"/>
      <c r="L500" s="2501"/>
      <c r="M500" s="2501"/>
      <c r="N500" s="2501"/>
      <c r="O500" s="2501"/>
      <c r="P500" s="2501"/>
      <c r="Q500" s="2501"/>
      <c r="R500" s="2501"/>
      <c r="S500" s="2501"/>
      <c r="T500" s="2501"/>
      <c r="U500" s="2501"/>
      <c r="V500" s="2501"/>
      <c r="W500" s="2501"/>
      <c r="X500" s="2501"/>
      <c r="Y500" s="2501"/>
      <c r="Z500" s="2501"/>
      <c r="AA500" s="2501"/>
    </row>
    <row r="501" spans="1:27" ht="15.75" customHeight="1" x14ac:dyDescent="0.3">
      <c r="A501" s="2501"/>
      <c r="B501" s="2501"/>
      <c r="C501" s="2501"/>
      <c r="D501" s="2501"/>
      <c r="E501" s="2501"/>
      <c r="F501" s="2501"/>
      <c r="G501" s="2501"/>
      <c r="H501" s="2501"/>
      <c r="I501" s="2501"/>
      <c r="J501" s="2501"/>
      <c r="K501" s="2501"/>
      <c r="L501" s="2501"/>
      <c r="M501" s="2501"/>
      <c r="N501" s="2501"/>
      <c r="O501" s="2501"/>
      <c r="P501" s="2501"/>
      <c r="Q501" s="2501"/>
      <c r="R501" s="2501"/>
      <c r="S501" s="2501"/>
      <c r="T501" s="2501"/>
      <c r="U501" s="2501"/>
      <c r="V501" s="2501"/>
      <c r="W501" s="2501"/>
      <c r="X501" s="2501"/>
      <c r="Y501" s="2501"/>
      <c r="Z501" s="2501"/>
      <c r="AA501" s="2501"/>
    </row>
    <row r="502" spans="1:27" ht="15.75" customHeight="1" x14ac:dyDescent="0.3">
      <c r="A502" s="2501"/>
      <c r="B502" s="2501"/>
      <c r="C502" s="2501"/>
      <c r="D502" s="2501"/>
      <c r="E502" s="2501"/>
      <c r="F502" s="2501"/>
      <c r="G502" s="2501"/>
      <c r="H502" s="2501"/>
      <c r="I502" s="2501"/>
      <c r="J502" s="2501"/>
      <c r="K502" s="2501"/>
      <c r="L502" s="2501"/>
      <c r="M502" s="2501"/>
      <c r="N502" s="2501"/>
      <c r="O502" s="2501"/>
      <c r="P502" s="2501"/>
      <c r="Q502" s="2501"/>
      <c r="R502" s="2501"/>
      <c r="S502" s="2501"/>
      <c r="T502" s="2501"/>
      <c r="U502" s="2501"/>
      <c r="V502" s="2501"/>
      <c r="W502" s="2501"/>
      <c r="X502" s="2501"/>
      <c r="Y502" s="2501"/>
      <c r="Z502" s="2501"/>
      <c r="AA502" s="2501"/>
    </row>
    <row r="503" spans="1:27" ht="15.75" customHeight="1" x14ac:dyDescent="0.3">
      <c r="A503" s="2501"/>
      <c r="B503" s="2501"/>
      <c r="C503" s="2501"/>
      <c r="D503" s="2501"/>
      <c r="E503" s="2501"/>
      <c r="F503" s="2501"/>
      <c r="G503" s="2501"/>
      <c r="H503" s="2501"/>
      <c r="I503" s="2501"/>
      <c r="J503" s="2501"/>
      <c r="K503" s="2501"/>
      <c r="L503" s="2501"/>
      <c r="M503" s="2501"/>
      <c r="N503" s="2501"/>
      <c r="O503" s="2501"/>
      <c r="P503" s="2501"/>
      <c r="Q503" s="2501"/>
      <c r="R503" s="2501"/>
      <c r="S503" s="2501"/>
      <c r="T503" s="2501"/>
      <c r="U503" s="2501"/>
      <c r="V503" s="2501"/>
      <c r="W503" s="2501"/>
      <c r="X503" s="2501"/>
      <c r="Y503" s="2501"/>
      <c r="Z503" s="2501"/>
      <c r="AA503" s="2501"/>
    </row>
    <row r="504" spans="1:27" ht="15.75" customHeight="1" x14ac:dyDescent="0.3">
      <c r="A504" s="2501"/>
      <c r="B504" s="2501"/>
      <c r="C504" s="2501"/>
      <c r="D504" s="2501"/>
      <c r="E504" s="2501"/>
      <c r="F504" s="2501"/>
      <c r="G504" s="2501"/>
      <c r="H504" s="2501"/>
      <c r="I504" s="2501"/>
      <c r="J504" s="2501"/>
      <c r="K504" s="2501"/>
      <c r="L504" s="2501"/>
      <c r="M504" s="2501"/>
      <c r="N504" s="2501"/>
      <c r="O504" s="2501"/>
      <c r="P504" s="2501"/>
      <c r="Q504" s="2501"/>
      <c r="R504" s="2501"/>
      <c r="S504" s="2501"/>
      <c r="T504" s="2501"/>
      <c r="U504" s="2501"/>
      <c r="V504" s="2501"/>
      <c r="W504" s="2501"/>
      <c r="X504" s="2501"/>
      <c r="Y504" s="2501"/>
      <c r="Z504" s="2501"/>
      <c r="AA504" s="2501"/>
    </row>
    <row r="505" spans="1:27" ht="15.75" customHeight="1" x14ac:dyDescent="0.3">
      <c r="A505" s="2501"/>
      <c r="B505" s="2501"/>
      <c r="C505" s="2501"/>
      <c r="D505" s="2501"/>
      <c r="E505" s="2501"/>
      <c r="F505" s="2501"/>
      <c r="G505" s="2501"/>
      <c r="H505" s="2501"/>
      <c r="I505" s="2501"/>
      <c r="J505" s="2501"/>
      <c r="K505" s="2501"/>
      <c r="L505" s="2501"/>
      <c r="M505" s="2501"/>
      <c r="N505" s="2501"/>
      <c r="O505" s="2501"/>
      <c r="P505" s="2501"/>
      <c r="Q505" s="2501"/>
      <c r="R505" s="2501"/>
      <c r="S505" s="2501"/>
      <c r="T505" s="2501"/>
      <c r="U505" s="2501"/>
      <c r="V505" s="2501"/>
      <c r="W505" s="2501"/>
      <c r="X505" s="2501"/>
      <c r="Y505" s="2501"/>
      <c r="Z505" s="2501"/>
      <c r="AA505" s="2501"/>
    </row>
    <row r="506" spans="1:27" ht="15.75" customHeight="1" x14ac:dyDescent="0.3">
      <c r="A506" s="2501"/>
      <c r="B506" s="2501"/>
      <c r="C506" s="2501"/>
      <c r="D506" s="2501"/>
      <c r="E506" s="2501"/>
      <c r="F506" s="2501"/>
      <c r="G506" s="2501"/>
      <c r="H506" s="2501"/>
      <c r="I506" s="2501"/>
      <c r="J506" s="2501"/>
      <c r="K506" s="2501"/>
      <c r="L506" s="2501"/>
      <c r="M506" s="2501"/>
      <c r="N506" s="2501"/>
      <c r="O506" s="2501"/>
      <c r="P506" s="2501"/>
      <c r="Q506" s="2501"/>
      <c r="R506" s="2501"/>
      <c r="S506" s="2501"/>
      <c r="T506" s="2501"/>
      <c r="U506" s="2501"/>
      <c r="V506" s="2501"/>
      <c r="W506" s="2501"/>
      <c r="X506" s="2501"/>
      <c r="Y506" s="2501"/>
      <c r="Z506" s="2501"/>
      <c r="AA506" s="2501"/>
    </row>
    <row r="507" spans="1:27" ht="15.75" customHeight="1" x14ac:dyDescent="0.3">
      <c r="A507" s="2501"/>
      <c r="B507" s="2501"/>
      <c r="C507" s="2501"/>
      <c r="D507" s="2501"/>
      <c r="E507" s="2501"/>
      <c r="F507" s="2501"/>
      <c r="G507" s="2501"/>
      <c r="H507" s="2501"/>
      <c r="I507" s="2501"/>
      <c r="J507" s="2501"/>
      <c r="K507" s="2501"/>
      <c r="L507" s="2501"/>
      <c r="M507" s="2501"/>
      <c r="N507" s="2501"/>
      <c r="O507" s="2501"/>
      <c r="P507" s="2501"/>
      <c r="Q507" s="2501"/>
      <c r="R507" s="2501"/>
      <c r="S507" s="2501"/>
      <c r="T507" s="2501"/>
      <c r="U507" s="2501"/>
      <c r="V507" s="2501"/>
      <c r="W507" s="2501"/>
      <c r="X507" s="2501"/>
      <c r="Y507" s="2501"/>
      <c r="Z507" s="2501"/>
      <c r="AA507" s="2501"/>
    </row>
    <row r="508" spans="1:27" ht="15.75" customHeight="1" x14ac:dyDescent="0.3">
      <c r="A508" s="2501"/>
      <c r="B508" s="2501"/>
      <c r="C508" s="2501"/>
      <c r="D508" s="2501"/>
      <c r="E508" s="2501"/>
      <c r="F508" s="2501"/>
      <c r="G508" s="2501"/>
      <c r="H508" s="2501"/>
      <c r="I508" s="2501"/>
      <c r="J508" s="2501"/>
      <c r="K508" s="2501"/>
      <c r="L508" s="2501"/>
      <c r="M508" s="2501"/>
      <c r="N508" s="2501"/>
      <c r="O508" s="2501"/>
      <c r="P508" s="2501"/>
      <c r="Q508" s="2501"/>
      <c r="R508" s="2501"/>
      <c r="S508" s="2501"/>
      <c r="T508" s="2501"/>
      <c r="U508" s="2501"/>
      <c r="V508" s="2501"/>
      <c r="W508" s="2501"/>
      <c r="X508" s="2501"/>
      <c r="Y508" s="2501"/>
      <c r="Z508" s="2501"/>
      <c r="AA508" s="2501"/>
    </row>
    <row r="509" spans="1:27" ht="15.75" customHeight="1" x14ac:dyDescent="0.3">
      <c r="A509" s="2501"/>
      <c r="B509" s="2501"/>
      <c r="C509" s="2501"/>
      <c r="D509" s="2501"/>
      <c r="E509" s="2501"/>
      <c r="F509" s="2501"/>
      <c r="G509" s="2501"/>
      <c r="H509" s="2501"/>
      <c r="I509" s="2501"/>
      <c r="J509" s="2501"/>
      <c r="K509" s="2501"/>
      <c r="L509" s="2501"/>
      <c r="M509" s="2501"/>
      <c r="N509" s="2501"/>
      <c r="O509" s="2501"/>
      <c r="P509" s="2501"/>
      <c r="Q509" s="2501"/>
      <c r="R509" s="2501"/>
      <c r="S509" s="2501"/>
      <c r="T509" s="2501"/>
      <c r="U509" s="2501"/>
      <c r="V509" s="2501"/>
      <c r="W509" s="2501"/>
      <c r="X509" s="2501"/>
      <c r="Y509" s="2501"/>
      <c r="Z509" s="2501"/>
      <c r="AA509" s="2501"/>
    </row>
    <row r="510" spans="1:27" ht="15.75" customHeight="1" x14ac:dyDescent="0.3">
      <c r="A510" s="2501"/>
      <c r="B510" s="2501"/>
      <c r="C510" s="2501"/>
      <c r="D510" s="2501"/>
      <c r="E510" s="2501"/>
      <c r="F510" s="2501"/>
      <c r="G510" s="2501"/>
      <c r="H510" s="2501"/>
      <c r="I510" s="2501"/>
      <c r="J510" s="2501"/>
      <c r="K510" s="2501"/>
      <c r="L510" s="2501"/>
      <c r="M510" s="2501"/>
      <c r="N510" s="2501"/>
      <c r="O510" s="2501"/>
      <c r="P510" s="2501"/>
      <c r="Q510" s="2501"/>
      <c r="R510" s="2501"/>
      <c r="S510" s="2501"/>
      <c r="T510" s="2501"/>
      <c r="U510" s="2501"/>
      <c r="V510" s="2501"/>
      <c r="W510" s="2501"/>
      <c r="X510" s="2501"/>
      <c r="Y510" s="2501"/>
      <c r="Z510" s="2501"/>
      <c r="AA510" s="2501"/>
    </row>
    <row r="511" spans="1:27" ht="15.75" customHeight="1" x14ac:dyDescent="0.3">
      <c r="A511" s="2501"/>
      <c r="B511" s="2501"/>
      <c r="C511" s="2501"/>
      <c r="D511" s="2501"/>
      <c r="E511" s="2501"/>
      <c r="F511" s="2501"/>
      <c r="G511" s="2501"/>
      <c r="H511" s="2501"/>
      <c r="I511" s="2501"/>
      <c r="J511" s="2501"/>
      <c r="K511" s="2501"/>
      <c r="L511" s="2501"/>
      <c r="M511" s="2501"/>
      <c r="N511" s="2501"/>
      <c r="O511" s="2501"/>
      <c r="P511" s="2501"/>
      <c r="Q511" s="2501"/>
      <c r="R511" s="2501"/>
      <c r="S511" s="2501"/>
      <c r="T511" s="2501"/>
      <c r="U511" s="2501"/>
      <c r="V511" s="2501"/>
      <c r="W511" s="2501"/>
      <c r="X511" s="2501"/>
      <c r="Y511" s="2501"/>
      <c r="Z511" s="2501"/>
      <c r="AA511" s="2501"/>
    </row>
    <row r="512" spans="1:27" ht="15.75" customHeight="1" x14ac:dyDescent="0.3">
      <c r="A512" s="2501"/>
      <c r="B512" s="2501"/>
      <c r="C512" s="2501"/>
      <c r="D512" s="2501"/>
      <c r="E512" s="2501"/>
      <c r="F512" s="2501"/>
      <c r="G512" s="2501"/>
      <c r="H512" s="2501"/>
      <c r="I512" s="2501"/>
      <c r="J512" s="2501"/>
      <c r="K512" s="2501"/>
      <c r="L512" s="2501"/>
      <c r="M512" s="2501"/>
      <c r="N512" s="2501"/>
      <c r="O512" s="2501"/>
      <c r="P512" s="2501"/>
      <c r="Q512" s="2501"/>
      <c r="R512" s="2501"/>
      <c r="S512" s="2501"/>
      <c r="T512" s="2501"/>
      <c r="U512" s="2501"/>
      <c r="V512" s="2501"/>
      <c r="W512" s="2501"/>
      <c r="X512" s="2501"/>
      <c r="Y512" s="2501"/>
      <c r="Z512" s="2501"/>
      <c r="AA512" s="2501"/>
    </row>
    <row r="513" spans="1:27" ht="15.75" customHeight="1" x14ac:dyDescent="0.3">
      <c r="A513" s="2501"/>
      <c r="B513" s="2501"/>
      <c r="C513" s="2501"/>
      <c r="D513" s="2501"/>
      <c r="E513" s="2501"/>
      <c r="F513" s="2501"/>
      <c r="G513" s="2501"/>
      <c r="H513" s="2501"/>
      <c r="I513" s="2501"/>
      <c r="J513" s="2501"/>
      <c r="K513" s="2501"/>
      <c r="L513" s="2501"/>
      <c r="M513" s="2501"/>
      <c r="N513" s="2501"/>
      <c r="O513" s="2501"/>
      <c r="P513" s="2501"/>
      <c r="Q513" s="2501"/>
      <c r="R513" s="2501"/>
      <c r="S513" s="2501"/>
      <c r="T513" s="2501"/>
      <c r="U513" s="2501"/>
      <c r="V513" s="2501"/>
      <c r="W513" s="2501"/>
      <c r="X513" s="2501"/>
      <c r="Y513" s="2501"/>
      <c r="Z513" s="2501"/>
      <c r="AA513" s="2501"/>
    </row>
    <row r="514" spans="1:27" ht="15.75" customHeight="1" x14ac:dyDescent="0.3">
      <c r="A514" s="2501"/>
      <c r="B514" s="2501"/>
      <c r="C514" s="2501"/>
      <c r="D514" s="2501"/>
      <c r="E514" s="2501"/>
      <c r="F514" s="2501"/>
      <c r="G514" s="2501"/>
      <c r="H514" s="2501"/>
      <c r="I514" s="2501"/>
      <c r="J514" s="2501"/>
      <c r="K514" s="2501"/>
      <c r="L514" s="2501"/>
      <c r="M514" s="2501"/>
      <c r="N514" s="2501"/>
      <c r="O514" s="2501"/>
      <c r="P514" s="2501"/>
      <c r="Q514" s="2501"/>
      <c r="R514" s="2501"/>
      <c r="S514" s="2501"/>
      <c r="T514" s="2501"/>
      <c r="U514" s="2501"/>
      <c r="V514" s="2501"/>
      <c r="W514" s="2501"/>
      <c r="X514" s="2501"/>
      <c r="Y514" s="2501"/>
      <c r="Z514" s="2501"/>
      <c r="AA514" s="2501"/>
    </row>
    <row r="515" spans="1:27" ht="15.75" customHeight="1" x14ac:dyDescent="0.3">
      <c r="A515" s="2501"/>
      <c r="B515" s="2501"/>
      <c r="C515" s="2501"/>
      <c r="D515" s="2501"/>
      <c r="E515" s="2501"/>
      <c r="F515" s="2501"/>
      <c r="G515" s="2501"/>
      <c r="H515" s="2501"/>
      <c r="I515" s="2501"/>
      <c r="J515" s="2501"/>
      <c r="K515" s="2501"/>
      <c r="L515" s="2501"/>
      <c r="M515" s="2501"/>
      <c r="N515" s="2501"/>
      <c r="O515" s="2501"/>
      <c r="P515" s="2501"/>
      <c r="Q515" s="2501"/>
      <c r="R515" s="2501"/>
      <c r="S515" s="2501"/>
      <c r="T515" s="2501"/>
      <c r="U515" s="2501"/>
      <c r="V515" s="2501"/>
      <c r="W515" s="2501"/>
      <c r="X515" s="2501"/>
      <c r="Y515" s="2501"/>
      <c r="Z515" s="2501"/>
      <c r="AA515" s="2501"/>
    </row>
    <row r="516" spans="1:27" ht="15.75" customHeight="1" x14ac:dyDescent="0.3">
      <c r="A516" s="2501"/>
      <c r="B516" s="2501"/>
      <c r="C516" s="2501"/>
      <c r="D516" s="2501"/>
      <c r="E516" s="2501"/>
      <c r="F516" s="2501"/>
      <c r="G516" s="2501"/>
      <c r="H516" s="2501"/>
      <c r="I516" s="2501"/>
      <c r="J516" s="2501"/>
      <c r="K516" s="2501"/>
      <c r="L516" s="2501"/>
      <c r="M516" s="2501"/>
      <c r="N516" s="2501"/>
      <c r="O516" s="2501"/>
      <c r="P516" s="2501"/>
      <c r="Q516" s="2501"/>
      <c r="R516" s="2501"/>
      <c r="S516" s="2501"/>
      <c r="T516" s="2501"/>
      <c r="U516" s="2501"/>
      <c r="V516" s="2501"/>
      <c r="W516" s="2501"/>
      <c r="X516" s="2501"/>
      <c r="Y516" s="2501"/>
      <c r="Z516" s="2501"/>
      <c r="AA516" s="2501"/>
    </row>
    <row r="517" spans="1:27" ht="15.75" customHeight="1" x14ac:dyDescent="0.3">
      <c r="A517" s="2501"/>
      <c r="B517" s="2501"/>
      <c r="C517" s="2501"/>
      <c r="D517" s="2501"/>
      <c r="E517" s="2501"/>
      <c r="F517" s="2501"/>
      <c r="G517" s="2501"/>
      <c r="H517" s="2501"/>
      <c r="I517" s="2501"/>
      <c r="J517" s="2501"/>
      <c r="K517" s="2501"/>
      <c r="L517" s="2501"/>
      <c r="M517" s="2501"/>
      <c r="N517" s="2501"/>
      <c r="O517" s="2501"/>
      <c r="P517" s="2501"/>
      <c r="Q517" s="2501"/>
      <c r="R517" s="2501"/>
      <c r="S517" s="2501"/>
      <c r="T517" s="2501"/>
      <c r="U517" s="2501"/>
      <c r="V517" s="2501"/>
      <c r="W517" s="2501"/>
      <c r="X517" s="2501"/>
      <c r="Y517" s="2501"/>
      <c r="Z517" s="2501"/>
      <c r="AA517" s="2501"/>
    </row>
    <row r="518" spans="1:27" ht="15.75" customHeight="1" x14ac:dyDescent="0.3">
      <c r="A518" s="2501"/>
      <c r="B518" s="2501"/>
      <c r="C518" s="2501"/>
      <c r="D518" s="2501"/>
      <c r="E518" s="2501"/>
      <c r="F518" s="2501"/>
      <c r="G518" s="2501"/>
      <c r="H518" s="2501"/>
      <c r="I518" s="2501"/>
      <c r="J518" s="2501"/>
      <c r="K518" s="2501"/>
      <c r="L518" s="2501"/>
      <c r="M518" s="2501"/>
      <c r="N518" s="2501"/>
      <c r="O518" s="2501"/>
      <c r="P518" s="2501"/>
      <c r="Q518" s="2501"/>
      <c r="R518" s="2501"/>
      <c r="S518" s="2501"/>
      <c r="T518" s="2501"/>
      <c r="U518" s="2501"/>
      <c r="V518" s="2501"/>
      <c r="W518" s="2501"/>
      <c r="X518" s="2501"/>
      <c r="Y518" s="2501"/>
      <c r="Z518" s="2501"/>
      <c r="AA518" s="2501"/>
    </row>
    <row r="519" spans="1:27" ht="15.75" customHeight="1" x14ac:dyDescent="0.3">
      <c r="A519" s="2501"/>
      <c r="B519" s="2501"/>
      <c r="C519" s="2501"/>
      <c r="D519" s="2501"/>
      <c r="E519" s="2501"/>
      <c r="F519" s="2501"/>
      <c r="G519" s="2501"/>
      <c r="H519" s="2501"/>
      <c r="I519" s="2501"/>
      <c r="J519" s="2501"/>
      <c r="K519" s="2501"/>
      <c r="L519" s="2501"/>
      <c r="M519" s="2501"/>
      <c r="N519" s="2501"/>
      <c r="O519" s="2501"/>
      <c r="P519" s="2501"/>
      <c r="Q519" s="2501"/>
      <c r="R519" s="2501"/>
      <c r="S519" s="2501"/>
      <c r="T519" s="2501"/>
      <c r="U519" s="2501"/>
      <c r="V519" s="2501"/>
      <c r="W519" s="2501"/>
      <c r="X519" s="2501"/>
      <c r="Y519" s="2501"/>
      <c r="Z519" s="2501"/>
      <c r="AA519" s="2501"/>
    </row>
    <row r="520" spans="1:27" ht="15.75" customHeight="1" x14ac:dyDescent="0.3">
      <c r="A520" s="2501"/>
      <c r="B520" s="2501"/>
      <c r="C520" s="2501"/>
      <c r="D520" s="2501"/>
      <c r="E520" s="2501"/>
      <c r="F520" s="2501"/>
      <c r="G520" s="2501"/>
      <c r="H520" s="2501"/>
      <c r="I520" s="2501"/>
      <c r="J520" s="2501"/>
      <c r="K520" s="2501"/>
      <c r="L520" s="2501"/>
      <c r="M520" s="2501"/>
      <c r="N520" s="2501"/>
      <c r="O520" s="2501"/>
      <c r="P520" s="2501"/>
      <c r="Q520" s="2501"/>
      <c r="R520" s="2501"/>
      <c r="S520" s="2501"/>
      <c r="T520" s="2501"/>
      <c r="U520" s="2501"/>
      <c r="V520" s="2501"/>
      <c r="W520" s="2501"/>
      <c r="X520" s="2501"/>
      <c r="Y520" s="2501"/>
      <c r="Z520" s="2501"/>
      <c r="AA520" s="2501"/>
    </row>
    <row r="521" spans="1:27" ht="15.75" customHeight="1" x14ac:dyDescent="0.3">
      <c r="A521" s="2501"/>
      <c r="B521" s="2501"/>
      <c r="C521" s="2501"/>
      <c r="D521" s="2501"/>
      <c r="E521" s="2501"/>
      <c r="F521" s="2501"/>
      <c r="G521" s="2501"/>
      <c r="H521" s="2501"/>
      <c r="I521" s="2501"/>
      <c r="J521" s="2501"/>
      <c r="K521" s="2501"/>
      <c r="L521" s="2501"/>
      <c r="M521" s="2501"/>
      <c r="N521" s="2501"/>
      <c r="O521" s="2501"/>
      <c r="P521" s="2501"/>
      <c r="Q521" s="2501"/>
      <c r="R521" s="2501"/>
      <c r="S521" s="2501"/>
      <c r="T521" s="2501"/>
      <c r="U521" s="2501"/>
      <c r="V521" s="2501"/>
      <c r="W521" s="2501"/>
      <c r="X521" s="2501"/>
      <c r="Y521" s="2501"/>
      <c r="Z521" s="2501"/>
      <c r="AA521" s="2501"/>
    </row>
    <row r="522" spans="1:27" ht="15.75" customHeight="1" x14ac:dyDescent="0.3">
      <c r="A522" s="2501"/>
      <c r="B522" s="2501"/>
      <c r="C522" s="2501"/>
      <c r="D522" s="2501"/>
      <c r="E522" s="2501"/>
      <c r="F522" s="2501"/>
      <c r="G522" s="2501"/>
      <c r="H522" s="2501"/>
      <c r="I522" s="2501"/>
      <c r="J522" s="2501"/>
      <c r="K522" s="2501"/>
      <c r="L522" s="2501"/>
      <c r="M522" s="2501"/>
      <c r="N522" s="2501"/>
      <c r="O522" s="2501"/>
      <c r="P522" s="2501"/>
      <c r="Q522" s="2501"/>
      <c r="R522" s="2501"/>
      <c r="S522" s="2501"/>
      <c r="T522" s="2501"/>
      <c r="U522" s="2501"/>
      <c r="V522" s="2501"/>
      <c r="W522" s="2501"/>
      <c r="X522" s="2501"/>
      <c r="Y522" s="2501"/>
      <c r="Z522" s="2501"/>
      <c r="AA522" s="2501"/>
    </row>
    <row r="523" spans="1:27" ht="15.75" customHeight="1" x14ac:dyDescent="0.3">
      <c r="A523" s="2501"/>
      <c r="B523" s="2501"/>
      <c r="C523" s="2501"/>
      <c r="D523" s="2501"/>
      <c r="E523" s="2501"/>
      <c r="F523" s="2501"/>
      <c r="G523" s="2501"/>
      <c r="H523" s="2501"/>
      <c r="I523" s="2501"/>
      <c r="J523" s="2501"/>
      <c r="K523" s="2501"/>
      <c r="L523" s="2501"/>
      <c r="M523" s="2501"/>
      <c r="N523" s="2501"/>
      <c r="O523" s="2501"/>
      <c r="P523" s="2501"/>
      <c r="Q523" s="2501"/>
      <c r="R523" s="2501"/>
      <c r="S523" s="2501"/>
      <c r="T523" s="2501"/>
      <c r="U523" s="2501"/>
      <c r="V523" s="2501"/>
      <c r="W523" s="2501"/>
      <c r="X523" s="2501"/>
      <c r="Y523" s="2501"/>
      <c r="Z523" s="2501"/>
      <c r="AA523" s="2501"/>
    </row>
    <row r="524" spans="1:27" ht="15.75" customHeight="1" x14ac:dyDescent="0.3">
      <c r="A524" s="2501"/>
      <c r="B524" s="2501"/>
      <c r="C524" s="2501"/>
      <c r="D524" s="2501"/>
      <c r="E524" s="2501"/>
      <c r="F524" s="2501"/>
      <c r="G524" s="2501"/>
      <c r="H524" s="2501"/>
      <c r="I524" s="2501"/>
      <c r="J524" s="2501"/>
      <c r="K524" s="2501"/>
      <c r="L524" s="2501"/>
      <c r="M524" s="2501"/>
      <c r="N524" s="2501"/>
      <c r="O524" s="2501"/>
      <c r="P524" s="2501"/>
      <c r="Q524" s="2501"/>
      <c r="R524" s="2501"/>
      <c r="S524" s="2501"/>
      <c r="T524" s="2501"/>
      <c r="U524" s="2501"/>
      <c r="V524" s="2501"/>
      <c r="W524" s="2501"/>
      <c r="X524" s="2501"/>
      <c r="Y524" s="2501"/>
      <c r="Z524" s="2501"/>
      <c r="AA524" s="2501"/>
    </row>
    <row r="525" spans="1:27" ht="15.75" customHeight="1" x14ac:dyDescent="0.3">
      <c r="A525" s="2501"/>
      <c r="B525" s="2501"/>
      <c r="C525" s="2501"/>
      <c r="D525" s="2501"/>
      <c r="E525" s="2501"/>
      <c r="F525" s="2501"/>
      <c r="G525" s="2501"/>
      <c r="H525" s="2501"/>
      <c r="I525" s="2501"/>
      <c r="J525" s="2501"/>
      <c r="K525" s="2501"/>
      <c r="L525" s="2501"/>
      <c r="M525" s="2501"/>
      <c r="N525" s="2501"/>
      <c r="O525" s="2501"/>
      <c r="P525" s="2501"/>
      <c r="Q525" s="2501"/>
      <c r="R525" s="2501"/>
      <c r="S525" s="2501"/>
      <c r="T525" s="2501"/>
      <c r="U525" s="2501"/>
      <c r="V525" s="2501"/>
      <c r="W525" s="2501"/>
      <c r="X525" s="2501"/>
      <c r="Y525" s="2501"/>
      <c r="Z525" s="2501"/>
      <c r="AA525" s="2501"/>
    </row>
    <row r="526" spans="1:27" ht="15.75" customHeight="1" x14ac:dyDescent="0.3">
      <c r="A526" s="2501"/>
      <c r="B526" s="2501"/>
      <c r="C526" s="2501"/>
      <c r="D526" s="2501"/>
      <c r="E526" s="2501"/>
      <c r="F526" s="2501"/>
      <c r="G526" s="2501"/>
      <c r="H526" s="2501"/>
      <c r="I526" s="2501"/>
      <c r="J526" s="2501"/>
      <c r="K526" s="2501"/>
      <c r="L526" s="2501"/>
      <c r="M526" s="2501"/>
      <c r="N526" s="2501"/>
      <c r="O526" s="2501"/>
      <c r="P526" s="2501"/>
      <c r="Q526" s="2501"/>
      <c r="R526" s="2501"/>
      <c r="S526" s="2501"/>
      <c r="T526" s="2501"/>
      <c r="U526" s="2501"/>
      <c r="V526" s="2501"/>
      <c r="W526" s="2501"/>
      <c r="X526" s="2501"/>
      <c r="Y526" s="2501"/>
      <c r="Z526" s="2501"/>
      <c r="AA526" s="2501"/>
    </row>
    <row r="527" spans="1:27" ht="15.75" customHeight="1" x14ac:dyDescent="0.3">
      <c r="A527" s="2501"/>
      <c r="B527" s="2501"/>
      <c r="C527" s="2501"/>
      <c r="D527" s="2501"/>
      <c r="E527" s="2501"/>
      <c r="F527" s="2501"/>
      <c r="G527" s="2501"/>
      <c r="H527" s="2501"/>
      <c r="I527" s="2501"/>
      <c r="J527" s="2501"/>
      <c r="K527" s="2501"/>
      <c r="L527" s="2501"/>
      <c r="M527" s="2501"/>
      <c r="N527" s="2501"/>
      <c r="O527" s="2501"/>
      <c r="P527" s="2501"/>
      <c r="Q527" s="2501"/>
      <c r="R527" s="2501"/>
      <c r="S527" s="2501"/>
      <c r="T527" s="2501"/>
      <c r="U527" s="2501"/>
      <c r="V527" s="2501"/>
      <c r="W527" s="2501"/>
      <c r="X527" s="2501"/>
      <c r="Y527" s="2501"/>
      <c r="Z527" s="2501"/>
      <c r="AA527" s="2501"/>
    </row>
    <row r="528" spans="1:27" ht="15.75" customHeight="1" x14ac:dyDescent="0.3">
      <c r="A528" s="2501"/>
      <c r="B528" s="2501"/>
      <c r="C528" s="2501"/>
      <c r="D528" s="2501"/>
      <c r="E528" s="2501"/>
      <c r="F528" s="2501"/>
      <c r="G528" s="2501"/>
      <c r="H528" s="2501"/>
      <c r="I528" s="2501"/>
      <c r="J528" s="2501"/>
      <c r="K528" s="2501"/>
      <c r="L528" s="2501"/>
      <c r="M528" s="2501"/>
      <c r="N528" s="2501"/>
      <c r="O528" s="2501"/>
      <c r="P528" s="2501"/>
      <c r="Q528" s="2501"/>
      <c r="R528" s="2501"/>
      <c r="S528" s="2501"/>
      <c r="T528" s="2501"/>
      <c r="U528" s="2501"/>
      <c r="V528" s="2501"/>
      <c r="W528" s="2501"/>
      <c r="X528" s="2501"/>
      <c r="Y528" s="2501"/>
      <c r="Z528" s="2501"/>
      <c r="AA528" s="2501"/>
    </row>
    <row r="529" spans="1:27" ht="15.75" customHeight="1" x14ac:dyDescent="0.3">
      <c r="A529" s="2501"/>
      <c r="B529" s="2501"/>
      <c r="C529" s="2501"/>
      <c r="D529" s="2501"/>
      <c r="E529" s="2501"/>
      <c r="F529" s="2501"/>
      <c r="G529" s="2501"/>
      <c r="H529" s="2501"/>
      <c r="I529" s="2501"/>
      <c r="J529" s="2501"/>
      <c r="K529" s="2501"/>
      <c r="L529" s="2501"/>
      <c r="M529" s="2501"/>
      <c r="N529" s="2501"/>
      <c r="O529" s="2501"/>
      <c r="P529" s="2501"/>
      <c r="Q529" s="2501"/>
      <c r="R529" s="2501"/>
      <c r="S529" s="2501"/>
      <c r="T529" s="2501"/>
      <c r="U529" s="2501"/>
      <c r="V529" s="2501"/>
      <c r="W529" s="2501"/>
      <c r="X529" s="2501"/>
      <c r="Y529" s="2501"/>
      <c r="Z529" s="2501"/>
      <c r="AA529" s="2501"/>
    </row>
    <row r="530" spans="1:27" ht="15.75" customHeight="1" x14ac:dyDescent="0.3">
      <c r="A530" s="2501"/>
      <c r="B530" s="2501"/>
      <c r="C530" s="2501"/>
      <c r="D530" s="2501"/>
      <c r="E530" s="2501"/>
      <c r="F530" s="2501"/>
      <c r="G530" s="2501"/>
      <c r="H530" s="2501"/>
      <c r="I530" s="2501"/>
      <c r="J530" s="2501"/>
      <c r="K530" s="2501"/>
      <c r="L530" s="2501"/>
      <c r="M530" s="2501"/>
      <c r="N530" s="2501"/>
      <c r="O530" s="2501"/>
      <c r="P530" s="2501"/>
      <c r="Q530" s="2501"/>
      <c r="R530" s="2501"/>
      <c r="S530" s="2501"/>
      <c r="T530" s="2501"/>
      <c r="U530" s="2501"/>
      <c r="V530" s="2501"/>
      <c r="W530" s="2501"/>
      <c r="X530" s="2501"/>
      <c r="Y530" s="2501"/>
      <c r="Z530" s="2501"/>
      <c r="AA530" s="2501"/>
    </row>
    <row r="531" spans="1:27" ht="15.75" customHeight="1" x14ac:dyDescent="0.3">
      <c r="A531" s="2501"/>
      <c r="B531" s="2501"/>
      <c r="C531" s="2501"/>
      <c r="D531" s="2501"/>
      <c r="E531" s="2501"/>
      <c r="F531" s="2501"/>
      <c r="G531" s="2501"/>
      <c r="H531" s="2501"/>
      <c r="I531" s="2501"/>
      <c r="J531" s="2501"/>
      <c r="K531" s="2501"/>
      <c r="L531" s="2501"/>
      <c r="M531" s="2501"/>
      <c r="N531" s="2501"/>
      <c r="O531" s="2501"/>
      <c r="P531" s="2501"/>
      <c r="Q531" s="2501"/>
      <c r="R531" s="2501"/>
      <c r="S531" s="2501"/>
      <c r="T531" s="2501"/>
      <c r="U531" s="2501"/>
      <c r="V531" s="2501"/>
      <c r="W531" s="2501"/>
      <c r="X531" s="2501"/>
      <c r="Y531" s="2501"/>
      <c r="Z531" s="2501"/>
      <c r="AA531" s="2501"/>
    </row>
    <row r="532" spans="1:27" ht="15.75" customHeight="1" x14ac:dyDescent="0.3">
      <c r="A532" s="2501"/>
      <c r="B532" s="2501"/>
      <c r="C532" s="2501"/>
      <c r="D532" s="2501"/>
      <c r="E532" s="2501"/>
      <c r="F532" s="2501"/>
      <c r="G532" s="2501"/>
      <c r="H532" s="2501"/>
      <c r="I532" s="2501"/>
      <c r="J532" s="2501"/>
      <c r="K532" s="2501"/>
      <c r="L532" s="2501"/>
      <c r="M532" s="2501"/>
      <c r="N532" s="2501"/>
      <c r="O532" s="2501"/>
      <c r="P532" s="2501"/>
      <c r="Q532" s="2501"/>
      <c r="R532" s="2501"/>
      <c r="S532" s="2501"/>
      <c r="T532" s="2501"/>
      <c r="U532" s="2501"/>
      <c r="V532" s="2501"/>
      <c r="W532" s="2501"/>
      <c r="X532" s="2501"/>
      <c r="Y532" s="2501"/>
      <c r="Z532" s="2501"/>
      <c r="AA532" s="2501"/>
    </row>
    <row r="533" spans="1:27" ht="15.75" customHeight="1" x14ac:dyDescent="0.3">
      <c r="A533" s="2501"/>
      <c r="B533" s="2501"/>
      <c r="C533" s="2501"/>
      <c r="D533" s="2501"/>
      <c r="E533" s="2501"/>
      <c r="F533" s="2501"/>
      <c r="G533" s="2501"/>
      <c r="H533" s="2501"/>
      <c r="I533" s="2501"/>
      <c r="J533" s="2501"/>
      <c r="K533" s="2501"/>
      <c r="L533" s="2501"/>
      <c r="M533" s="2501"/>
      <c r="N533" s="2501"/>
      <c r="O533" s="2501"/>
      <c r="P533" s="2501"/>
      <c r="Q533" s="2501"/>
      <c r="R533" s="2501"/>
      <c r="S533" s="2501"/>
      <c r="T533" s="2501"/>
      <c r="U533" s="2501"/>
      <c r="V533" s="2501"/>
      <c r="W533" s="2501"/>
      <c r="X533" s="2501"/>
      <c r="Y533" s="2501"/>
      <c r="Z533" s="2501"/>
      <c r="AA533" s="2501"/>
    </row>
    <row r="534" spans="1:27" ht="15.75" customHeight="1" x14ac:dyDescent="0.3">
      <c r="A534" s="2501"/>
      <c r="B534" s="2501"/>
      <c r="C534" s="2501"/>
      <c r="D534" s="2501"/>
      <c r="E534" s="2501"/>
      <c r="F534" s="2501"/>
      <c r="G534" s="2501"/>
      <c r="H534" s="2501"/>
      <c r="I534" s="2501"/>
      <c r="J534" s="2501"/>
      <c r="K534" s="2501"/>
      <c r="L534" s="2501"/>
      <c r="M534" s="2501"/>
      <c r="N534" s="2501"/>
      <c r="O534" s="2501"/>
      <c r="P534" s="2501"/>
      <c r="Q534" s="2501"/>
      <c r="R534" s="2501"/>
      <c r="S534" s="2501"/>
      <c r="T534" s="2501"/>
      <c r="U534" s="2501"/>
      <c r="V534" s="2501"/>
      <c r="W534" s="2501"/>
      <c r="X534" s="2501"/>
      <c r="Y534" s="2501"/>
      <c r="Z534" s="2501"/>
      <c r="AA534" s="2501"/>
    </row>
    <row r="535" spans="1:27" ht="15.75" customHeight="1" x14ac:dyDescent="0.3">
      <c r="A535" s="2501"/>
      <c r="B535" s="2501"/>
      <c r="C535" s="2501"/>
      <c r="D535" s="2501"/>
      <c r="E535" s="2501"/>
      <c r="F535" s="2501"/>
      <c r="G535" s="2501"/>
      <c r="H535" s="2501"/>
      <c r="I535" s="2501"/>
      <c r="J535" s="2501"/>
      <c r="K535" s="2501"/>
      <c r="L535" s="2501"/>
      <c r="M535" s="2501"/>
      <c r="N535" s="2501"/>
      <c r="O535" s="2501"/>
      <c r="P535" s="2501"/>
      <c r="Q535" s="2501"/>
      <c r="R535" s="2501"/>
      <c r="S535" s="2501"/>
      <c r="T535" s="2501"/>
      <c r="U535" s="2501"/>
      <c r="V535" s="2501"/>
      <c r="W535" s="2501"/>
      <c r="X535" s="2501"/>
      <c r="Y535" s="2501"/>
      <c r="Z535" s="2501"/>
      <c r="AA535" s="2501"/>
    </row>
    <row r="536" spans="1:27" ht="15.75" customHeight="1" x14ac:dyDescent="0.3">
      <c r="A536" s="2501"/>
      <c r="B536" s="2501"/>
      <c r="C536" s="2501"/>
      <c r="D536" s="2501"/>
      <c r="E536" s="2501"/>
      <c r="F536" s="2501"/>
      <c r="G536" s="2501"/>
      <c r="H536" s="2501"/>
      <c r="I536" s="2501"/>
      <c r="J536" s="2501"/>
      <c r="K536" s="2501"/>
      <c r="L536" s="2501"/>
      <c r="M536" s="2501"/>
      <c r="N536" s="2501"/>
      <c r="O536" s="2501"/>
      <c r="P536" s="2501"/>
      <c r="Q536" s="2501"/>
      <c r="R536" s="2501"/>
      <c r="S536" s="2501"/>
      <c r="T536" s="2501"/>
      <c r="U536" s="2501"/>
      <c r="V536" s="2501"/>
      <c r="W536" s="2501"/>
      <c r="X536" s="2501"/>
      <c r="Y536" s="2501"/>
      <c r="Z536" s="2501"/>
      <c r="AA536" s="2501"/>
    </row>
    <row r="537" spans="1:27" ht="15.75" customHeight="1" x14ac:dyDescent="0.3">
      <c r="A537" s="2501"/>
      <c r="B537" s="2501"/>
      <c r="C537" s="2501"/>
      <c r="D537" s="2501"/>
      <c r="E537" s="2501"/>
      <c r="F537" s="2501"/>
      <c r="G537" s="2501"/>
      <c r="H537" s="2501"/>
      <c r="I537" s="2501"/>
      <c r="J537" s="2501"/>
      <c r="K537" s="2501"/>
      <c r="L537" s="2501"/>
      <c r="M537" s="2501"/>
      <c r="N537" s="2501"/>
      <c r="O537" s="2501"/>
      <c r="P537" s="2501"/>
      <c r="Q537" s="2501"/>
      <c r="R537" s="2501"/>
      <c r="S537" s="2501"/>
      <c r="T537" s="2501"/>
      <c r="U537" s="2501"/>
      <c r="V537" s="2501"/>
      <c r="W537" s="2501"/>
      <c r="X537" s="2501"/>
      <c r="Y537" s="2501"/>
      <c r="Z537" s="2501"/>
      <c r="AA537" s="2501"/>
    </row>
    <row r="538" spans="1:27" ht="15.75" customHeight="1" x14ac:dyDescent="0.3">
      <c r="A538" s="2501"/>
      <c r="B538" s="2501"/>
      <c r="C538" s="2501"/>
      <c r="D538" s="2501"/>
      <c r="E538" s="2501"/>
      <c r="F538" s="2501"/>
      <c r="G538" s="2501"/>
      <c r="H538" s="2501"/>
      <c r="I538" s="2501"/>
      <c r="J538" s="2501"/>
      <c r="K538" s="2501"/>
      <c r="L538" s="2501"/>
      <c r="M538" s="2501"/>
      <c r="N538" s="2501"/>
      <c r="O538" s="2501"/>
      <c r="P538" s="2501"/>
      <c r="Q538" s="2501"/>
      <c r="R538" s="2501"/>
      <c r="S538" s="2501"/>
      <c r="T538" s="2501"/>
      <c r="U538" s="2501"/>
      <c r="V538" s="2501"/>
      <c r="W538" s="2501"/>
      <c r="X538" s="2501"/>
      <c r="Y538" s="2501"/>
      <c r="Z538" s="2501"/>
      <c r="AA538" s="2501"/>
    </row>
    <row r="539" spans="1:27" ht="15.75" customHeight="1" x14ac:dyDescent="0.3">
      <c r="A539" s="2501"/>
      <c r="B539" s="2501"/>
      <c r="C539" s="2501"/>
      <c r="D539" s="2501"/>
      <c r="E539" s="2501"/>
      <c r="F539" s="2501"/>
      <c r="G539" s="2501"/>
      <c r="H539" s="2501"/>
      <c r="I539" s="2501"/>
      <c r="J539" s="2501"/>
      <c r="K539" s="2501"/>
      <c r="L539" s="2501"/>
      <c r="M539" s="2501"/>
      <c r="N539" s="2501"/>
      <c r="O539" s="2501"/>
      <c r="P539" s="2501"/>
      <c r="Q539" s="2501"/>
      <c r="R539" s="2501"/>
      <c r="S539" s="2501"/>
      <c r="T539" s="2501"/>
      <c r="U539" s="2501"/>
      <c r="V539" s="2501"/>
      <c r="W539" s="2501"/>
      <c r="X539" s="2501"/>
      <c r="Y539" s="2501"/>
      <c r="Z539" s="2501"/>
      <c r="AA539" s="2501"/>
    </row>
    <row r="540" spans="1:27" ht="15.75" customHeight="1" x14ac:dyDescent="0.3">
      <c r="A540" s="2501"/>
      <c r="B540" s="2501"/>
      <c r="C540" s="2501"/>
      <c r="D540" s="2501"/>
      <c r="E540" s="2501"/>
      <c r="F540" s="2501"/>
      <c r="G540" s="2501"/>
      <c r="H540" s="2501"/>
      <c r="I540" s="2501"/>
      <c r="J540" s="2501"/>
      <c r="K540" s="2501"/>
      <c r="L540" s="2501"/>
      <c r="M540" s="2501"/>
      <c r="N540" s="2501"/>
      <c r="O540" s="2501"/>
      <c r="P540" s="2501"/>
      <c r="Q540" s="2501"/>
      <c r="R540" s="2501"/>
      <c r="S540" s="2501"/>
      <c r="T540" s="2501"/>
      <c r="U540" s="2501"/>
      <c r="V540" s="2501"/>
      <c r="W540" s="2501"/>
      <c r="X540" s="2501"/>
      <c r="Y540" s="2501"/>
      <c r="Z540" s="2501"/>
      <c r="AA540" s="2501"/>
    </row>
    <row r="541" spans="1:27" ht="15.75" customHeight="1" x14ac:dyDescent="0.3">
      <c r="A541" s="2501"/>
      <c r="B541" s="2501"/>
      <c r="C541" s="2501"/>
      <c r="D541" s="2501"/>
      <c r="E541" s="2501"/>
      <c r="F541" s="2501"/>
      <c r="G541" s="2501"/>
      <c r="H541" s="2501"/>
      <c r="I541" s="2501"/>
      <c r="J541" s="2501"/>
      <c r="K541" s="2501"/>
      <c r="L541" s="2501"/>
      <c r="M541" s="2501"/>
      <c r="N541" s="2501"/>
      <c r="O541" s="2501"/>
      <c r="P541" s="2501"/>
      <c r="Q541" s="2501"/>
      <c r="R541" s="2501"/>
      <c r="S541" s="2501"/>
      <c r="T541" s="2501"/>
      <c r="U541" s="2501"/>
      <c r="V541" s="2501"/>
      <c r="W541" s="2501"/>
      <c r="X541" s="2501"/>
      <c r="Y541" s="2501"/>
      <c r="Z541" s="2501"/>
      <c r="AA541" s="2501"/>
    </row>
    <row r="542" spans="1:27" ht="15.75" customHeight="1" x14ac:dyDescent="0.3">
      <c r="A542" s="2501"/>
      <c r="B542" s="2501"/>
      <c r="C542" s="2501"/>
      <c r="D542" s="2501"/>
      <c r="E542" s="2501"/>
      <c r="F542" s="2501"/>
      <c r="G542" s="2501"/>
      <c r="H542" s="2501"/>
      <c r="I542" s="2501"/>
      <c r="J542" s="2501"/>
      <c r="K542" s="2501"/>
      <c r="L542" s="2501"/>
      <c r="M542" s="2501"/>
      <c r="N542" s="2501"/>
      <c r="O542" s="2501"/>
      <c r="P542" s="2501"/>
      <c r="Q542" s="2501"/>
      <c r="R542" s="2501"/>
      <c r="S542" s="2501"/>
      <c r="T542" s="2501"/>
      <c r="U542" s="2501"/>
      <c r="V542" s="2501"/>
      <c r="W542" s="2501"/>
      <c r="X542" s="2501"/>
      <c r="Y542" s="2501"/>
      <c r="Z542" s="2501"/>
      <c r="AA542" s="2501"/>
    </row>
    <row r="543" spans="1:27" ht="15.75" customHeight="1" x14ac:dyDescent="0.3">
      <c r="A543" s="2501"/>
      <c r="B543" s="2501"/>
      <c r="C543" s="2501"/>
      <c r="D543" s="2501"/>
      <c r="E543" s="2501"/>
      <c r="F543" s="2501"/>
      <c r="G543" s="2501"/>
      <c r="H543" s="2501"/>
      <c r="I543" s="2501"/>
      <c r="J543" s="2501"/>
      <c r="K543" s="2501"/>
      <c r="L543" s="2501"/>
      <c r="M543" s="2501"/>
      <c r="N543" s="2501"/>
      <c r="O543" s="2501"/>
      <c r="P543" s="2501"/>
      <c r="Q543" s="2501"/>
      <c r="R543" s="2501"/>
      <c r="S543" s="2501"/>
      <c r="T543" s="2501"/>
      <c r="U543" s="2501"/>
      <c r="V543" s="2501"/>
      <c r="W543" s="2501"/>
      <c r="X543" s="2501"/>
      <c r="Y543" s="2501"/>
      <c r="Z543" s="2501"/>
      <c r="AA543" s="2501"/>
    </row>
    <row r="544" spans="1:27" ht="15.75" customHeight="1" x14ac:dyDescent="0.3">
      <c r="A544" s="2501"/>
      <c r="B544" s="2501"/>
      <c r="C544" s="2501"/>
      <c r="D544" s="2501"/>
      <c r="E544" s="2501"/>
      <c r="F544" s="2501"/>
      <c r="G544" s="2501"/>
      <c r="H544" s="2501"/>
      <c r="I544" s="2501"/>
      <c r="J544" s="2501"/>
      <c r="K544" s="2501"/>
      <c r="L544" s="2501"/>
      <c r="M544" s="2501"/>
      <c r="N544" s="2501"/>
      <c r="O544" s="2501"/>
      <c r="P544" s="2501"/>
      <c r="Q544" s="2501"/>
      <c r="R544" s="2501"/>
      <c r="S544" s="2501"/>
      <c r="T544" s="2501"/>
      <c r="U544" s="2501"/>
      <c r="V544" s="2501"/>
      <c r="W544" s="2501"/>
      <c r="X544" s="2501"/>
      <c r="Y544" s="2501"/>
      <c r="Z544" s="2501"/>
      <c r="AA544" s="2501"/>
    </row>
    <row r="545" spans="1:27" ht="15.75" customHeight="1" x14ac:dyDescent="0.3">
      <c r="A545" s="2501"/>
      <c r="B545" s="2501"/>
      <c r="C545" s="2501"/>
      <c r="D545" s="2501"/>
      <c r="E545" s="2501"/>
      <c r="F545" s="2501"/>
      <c r="G545" s="2501"/>
      <c r="H545" s="2501"/>
      <c r="I545" s="2501"/>
      <c r="J545" s="2501"/>
      <c r="K545" s="2501"/>
      <c r="L545" s="2501"/>
      <c r="M545" s="2501"/>
      <c r="N545" s="2501"/>
      <c r="O545" s="2501"/>
      <c r="P545" s="2501"/>
      <c r="Q545" s="2501"/>
      <c r="R545" s="2501"/>
      <c r="S545" s="2501"/>
      <c r="T545" s="2501"/>
      <c r="U545" s="2501"/>
      <c r="V545" s="2501"/>
      <c r="W545" s="2501"/>
      <c r="X545" s="2501"/>
      <c r="Y545" s="2501"/>
      <c r="Z545" s="2501"/>
      <c r="AA545" s="2501"/>
    </row>
    <row r="546" spans="1:27" ht="15.75" customHeight="1" x14ac:dyDescent="0.3">
      <c r="A546" s="2501"/>
      <c r="B546" s="2501"/>
      <c r="C546" s="2501"/>
      <c r="D546" s="2501"/>
      <c r="E546" s="2501"/>
      <c r="F546" s="2501"/>
      <c r="G546" s="2501"/>
      <c r="H546" s="2501"/>
      <c r="I546" s="2501"/>
      <c r="J546" s="2501"/>
      <c r="K546" s="2501"/>
      <c r="L546" s="2501"/>
      <c r="M546" s="2501"/>
      <c r="N546" s="2501"/>
      <c r="O546" s="2501"/>
      <c r="P546" s="2501"/>
      <c r="Q546" s="2501"/>
      <c r="R546" s="2501"/>
      <c r="S546" s="2501"/>
      <c r="T546" s="2501"/>
      <c r="U546" s="2501"/>
      <c r="V546" s="2501"/>
      <c r="W546" s="2501"/>
      <c r="X546" s="2501"/>
      <c r="Y546" s="2501"/>
      <c r="Z546" s="2501"/>
      <c r="AA546" s="2501"/>
    </row>
    <row r="547" spans="1:27" ht="15.75" customHeight="1" x14ac:dyDescent="0.3">
      <c r="A547" s="2501"/>
      <c r="B547" s="2501"/>
      <c r="C547" s="2501"/>
      <c r="D547" s="2501"/>
      <c r="E547" s="2501"/>
      <c r="F547" s="2501"/>
      <c r="G547" s="2501"/>
      <c r="H547" s="2501"/>
      <c r="I547" s="2501"/>
      <c r="J547" s="2501"/>
      <c r="K547" s="2501"/>
      <c r="L547" s="2501"/>
      <c r="M547" s="2501"/>
      <c r="N547" s="2501"/>
      <c r="O547" s="2501"/>
      <c r="P547" s="2501"/>
      <c r="Q547" s="2501"/>
      <c r="R547" s="2501"/>
      <c r="S547" s="2501"/>
      <c r="T547" s="2501"/>
      <c r="U547" s="2501"/>
      <c r="V547" s="2501"/>
      <c r="W547" s="2501"/>
      <c r="X547" s="2501"/>
      <c r="Y547" s="2501"/>
      <c r="Z547" s="2501"/>
      <c r="AA547" s="2501"/>
    </row>
    <row r="548" spans="1:27" ht="15.75" customHeight="1" x14ac:dyDescent="0.3">
      <c r="A548" s="2501"/>
      <c r="B548" s="2501"/>
      <c r="C548" s="2501"/>
      <c r="D548" s="2501"/>
      <c r="E548" s="2501"/>
      <c r="F548" s="2501"/>
      <c r="G548" s="2501"/>
      <c r="H548" s="2501"/>
      <c r="I548" s="2501"/>
      <c r="J548" s="2501"/>
      <c r="K548" s="2501"/>
      <c r="L548" s="2501"/>
      <c r="M548" s="2501"/>
      <c r="N548" s="2501"/>
      <c r="O548" s="2501"/>
      <c r="P548" s="2501"/>
      <c r="Q548" s="2501"/>
      <c r="R548" s="2501"/>
      <c r="S548" s="2501"/>
      <c r="T548" s="2501"/>
      <c r="U548" s="2501"/>
      <c r="V548" s="2501"/>
      <c r="W548" s="2501"/>
      <c r="X548" s="2501"/>
      <c r="Y548" s="2501"/>
      <c r="Z548" s="2501"/>
      <c r="AA548" s="2501"/>
    </row>
    <row r="549" spans="1:27" ht="15.75" customHeight="1" x14ac:dyDescent="0.3">
      <c r="A549" s="2501"/>
      <c r="B549" s="2501"/>
      <c r="C549" s="2501"/>
      <c r="D549" s="2501"/>
      <c r="E549" s="2501"/>
      <c r="F549" s="2501"/>
      <c r="G549" s="2501"/>
      <c r="H549" s="2501"/>
      <c r="I549" s="2501"/>
      <c r="J549" s="2501"/>
      <c r="K549" s="2501"/>
      <c r="L549" s="2501"/>
      <c r="M549" s="2501"/>
      <c r="N549" s="2501"/>
      <c r="O549" s="2501"/>
      <c r="P549" s="2501"/>
      <c r="Q549" s="2501"/>
      <c r="R549" s="2501"/>
      <c r="S549" s="2501"/>
      <c r="T549" s="2501"/>
      <c r="U549" s="2501"/>
      <c r="V549" s="2501"/>
      <c r="W549" s="2501"/>
      <c r="X549" s="2501"/>
      <c r="Y549" s="2501"/>
      <c r="Z549" s="2501"/>
      <c r="AA549" s="2501"/>
    </row>
    <row r="550" spans="1:27" ht="15.75" customHeight="1" x14ac:dyDescent="0.3">
      <c r="A550" s="2501"/>
      <c r="B550" s="2501"/>
      <c r="C550" s="2501"/>
      <c r="D550" s="2501"/>
      <c r="E550" s="2501"/>
      <c r="F550" s="2501"/>
      <c r="G550" s="2501"/>
      <c r="H550" s="2501"/>
      <c r="I550" s="2501"/>
      <c r="J550" s="2501"/>
      <c r="K550" s="2501"/>
      <c r="L550" s="2501"/>
      <c r="M550" s="2501"/>
      <c r="N550" s="2501"/>
      <c r="O550" s="2501"/>
      <c r="P550" s="2501"/>
      <c r="Q550" s="2501"/>
      <c r="R550" s="2501"/>
      <c r="S550" s="2501"/>
      <c r="T550" s="2501"/>
      <c r="U550" s="2501"/>
      <c r="V550" s="2501"/>
      <c r="W550" s="2501"/>
      <c r="X550" s="2501"/>
      <c r="Y550" s="2501"/>
      <c r="Z550" s="2501"/>
      <c r="AA550" s="2501"/>
    </row>
    <row r="551" spans="1:27" ht="15.75" customHeight="1" x14ac:dyDescent="0.3">
      <c r="A551" s="2501"/>
      <c r="B551" s="2501"/>
      <c r="C551" s="2501"/>
      <c r="D551" s="2501"/>
      <c r="E551" s="2501"/>
      <c r="F551" s="2501"/>
      <c r="G551" s="2501"/>
      <c r="H551" s="2501"/>
      <c r="I551" s="2501"/>
      <c r="J551" s="2501"/>
      <c r="K551" s="2501"/>
      <c r="L551" s="2501"/>
      <c r="M551" s="2501"/>
      <c r="N551" s="2501"/>
      <c r="O551" s="2501"/>
      <c r="P551" s="2501"/>
      <c r="Q551" s="2501"/>
      <c r="R551" s="2501"/>
      <c r="S551" s="2501"/>
      <c r="T551" s="2501"/>
      <c r="U551" s="2501"/>
      <c r="V551" s="2501"/>
      <c r="W551" s="2501"/>
      <c r="X551" s="2501"/>
      <c r="Y551" s="2501"/>
      <c r="Z551" s="2501"/>
      <c r="AA551" s="2501"/>
    </row>
    <row r="552" spans="1:27" ht="15.75" customHeight="1" x14ac:dyDescent="0.3">
      <c r="A552" s="2501"/>
      <c r="B552" s="2501"/>
      <c r="C552" s="2501"/>
      <c r="D552" s="2501"/>
      <c r="E552" s="2501"/>
      <c r="F552" s="2501"/>
      <c r="G552" s="2501"/>
      <c r="H552" s="2501"/>
      <c r="I552" s="2501"/>
      <c r="J552" s="2501"/>
      <c r="K552" s="2501"/>
      <c r="L552" s="2501"/>
      <c r="M552" s="2501"/>
      <c r="N552" s="2501"/>
      <c r="O552" s="2501"/>
      <c r="P552" s="2501"/>
      <c r="Q552" s="2501"/>
      <c r="R552" s="2501"/>
      <c r="S552" s="2501"/>
      <c r="T552" s="2501"/>
      <c r="U552" s="2501"/>
      <c r="V552" s="2501"/>
      <c r="W552" s="2501"/>
      <c r="X552" s="2501"/>
      <c r="Y552" s="2501"/>
      <c r="Z552" s="2501"/>
      <c r="AA552" s="2501"/>
    </row>
    <row r="553" spans="1:27" ht="15.75" customHeight="1" x14ac:dyDescent="0.3">
      <c r="A553" s="2501"/>
      <c r="B553" s="2501"/>
      <c r="C553" s="2501"/>
      <c r="D553" s="2501"/>
      <c r="E553" s="2501"/>
      <c r="F553" s="2501"/>
      <c r="G553" s="2501"/>
      <c r="H553" s="2501"/>
      <c r="I553" s="2501"/>
      <c r="J553" s="2501"/>
      <c r="K553" s="2501"/>
      <c r="L553" s="2501"/>
      <c r="M553" s="2501"/>
      <c r="N553" s="2501"/>
      <c r="O553" s="2501"/>
      <c r="P553" s="2501"/>
      <c r="Q553" s="2501"/>
      <c r="R553" s="2501"/>
      <c r="S553" s="2501"/>
      <c r="T553" s="2501"/>
      <c r="U553" s="2501"/>
      <c r="V553" s="2501"/>
      <c r="W553" s="2501"/>
      <c r="X553" s="2501"/>
      <c r="Y553" s="2501"/>
      <c r="Z553" s="2501"/>
      <c r="AA553" s="2501"/>
    </row>
    <row r="554" spans="1:27" ht="15.75" customHeight="1" x14ac:dyDescent="0.3">
      <c r="A554" s="2501"/>
      <c r="B554" s="2501"/>
      <c r="C554" s="2501"/>
      <c r="D554" s="2501"/>
      <c r="E554" s="2501"/>
      <c r="F554" s="2501"/>
      <c r="G554" s="2501"/>
      <c r="H554" s="2501"/>
      <c r="I554" s="2501"/>
      <c r="J554" s="2501"/>
      <c r="K554" s="2501"/>
      <c r="L554" s="2501"/>
      <c r="M554" s="2501"/>
      <c r="N554" s="2501"/>
      <c r="O554" s="2501"/>
      <c r="P554" s="2501"/>
      <c r="Q554" s="2501"/>
      <c r="R554" s="2501"/>
      <c r="S554" s="2501"/>
      <c r="T554" s="2501"/>
      <c r="U554" s="2501"/>
      <c r="V554" s="2501"/>
      <c r="W554" s="2501"/>
      <c r="X554" s="2501"/>
      <c r="Y554" s="2501"/>
      <c r="Z554" s="2501"/>
      <c r="AA554" s="2501"/>
    </row>
    <row r="555" spans="1:27" ht="15.75" customHeight="1" x14ac:dyDescent="0.3">
      <c r="A555" s="2501"/>
      <c r="B555" s="2501"/>
      <c r="C555" s="2501"/>
      <c r="D555" s="2501"/>
      <c r="E555" s="2501"/>
      <c r="F555" s="2501"/>
      <c r="G555" s="2501"/>
      <c r="H555" s="2501"/>
      <c r="I555" s="2501"/>
      <c r="J555" s="2501"/>
      <c r="K555" s="2501"/>
      <c r="L555" s="2501"/>
      <c r="M555" s="2501"/>
      <c r="N555" s="2501"/>
      <c r="O555" s="2501"/>
      <c r="P555" s="2501"/>
      <c r="Q555" s="2501"/>
      <c r="R555" s="2501"/>
      <c r="S555" s="2501"/>
      <c r="T555" s="2501"/>
      <c r="U555" s="2501"/>
      <c r="V555" s="2501"/>
      <c r="W555" s="2501"/>
      <c r="X555" s="2501"/>
      <c r="Y555" s="2501"/>
      <c r="Z555" s="2501"/>
      <c r="AA555" s="2501"/>
    </row>
    <row r="556" spans="1:27" ht="15.75" customHeight="1" x14ac:dyDescent="0.3">
      <c r="A556" s="2501"/>
      <c r="B556" s="2501"/>
      <c r="C556" s="2501"/>
      <c r="D556" s="2501"/>
      <c r="E556" s="2501"/>
      <c r="F556" s="2501"/>
      <c r="G556" s="2501"/>
      <c r="H556" s="2501"/>
      <c r="I556" s="2501"/>
      <c r="J556" s="2501"/>
      <c r="K556" s="2501"/>
      <c r="L556" s="2501"/>
      <c r="M556" s="2501"/>
      <c r="N556" s="2501"/>
      <c r="O556" s="2501"/>
      <c r="P556" s="2501"/>
      <c r="Q556" s="2501"/>
      <c r="R556" s="2501"/>
      <c r="S556" s="2501"/>
      <c r="T556" s="2501"/>
      <c r="U556" s="2501"/>
      <c r="V556" s="2501"/>
      <c r="W556" s="2501"/>
      <c r="X556" s="2501"/>
      <c r="Y556" s="2501"/>
      <c r="Z556" s="2501"/>
      <c r="AA556" s="2501"/>
    </row>
    <row r="557" spans="1:27" ht="15.75" customHeight="1" x14ac:dyDescent="0.3">
      <c r="A557" s="2501"/>
      <c r="B557" s="2501"/>
      <c r="C557" s="2501"/>
      <c r="D557" s="2501"/>
      <c r="E557" s="2501"/>
      <c r="F557" s="2501"/>
      <c r="G557" s="2501"/>
      <c r="H557" s="2501"/>
      <c r="I557" s="2501"/>
      <c r="J557" s="2501"/>
      <c r="K557" s="2501"/>
      <c r="L557" s="2501"/>
      <c r="M557" s="2501"/>
      <c r="N557" s="2501"/>
      <c r="O557" s="2501"/>
      <c r="P557" s="2501"/>
      <c r="Q557" s="2501"/>
      <c r="R557" s="2501"/>
      <c r="S557" s="2501"/>
      <c r="T557" s="2501"/>
      <c r="U557" s="2501"/>
      <c r="V557" s="2501"/>
      <c r="W557" s="2501"/>
      <c r="X557" s="2501"/>
      <c r="Y557" s="2501"/>
      <c r="Z557" s="2501"/>
      <c r="AA557" s="2501"/>
    </row>
    <row r="558" spans="1:27" ht="15.75" customHeight="1" x14ac:dyDescent="0.3">
      <c r="A558" s="2501"/>
      <c r="B558" s="2501"/>
      <c r="C558" s="2501"/>
      <c r="D558" s="2501"/>
      <c r="E558" s="2501"/>
      <c r="F558" s="2501"/>
      <c r="G558" s="2501"/>
      <c r="H558" s="2501"/>
      <c r="I558" s="2501"/>
      <c r="J558" s="2501"/>
      <c r="K558" s="2501"/>
      <c r="L558" s="2501"/>
      <c r="M558" s="2501"/>
      <c r="N558" s="2501"/>
      <c r="O558" s="2501"/>
      <c r="P558" s="2501"/>
      <c r="Q558" s="2501"/>
      <c r="R558" s="2501"/>
      <c r="S558" s="2501"/>
      <c r="T558" s="2501"/>
      <c r="U558" s="2501"/>
      <c r="V558" s="2501"/>
      <c r="W558" s="2501"/>
      <c r="X558" s="2501"/>
      <c r="Y558" s="2501"/>
      <c r="Z558" s="2501"/>
      <c r="AA558" s="2501"/>
    </row>
    <row r="559" spans="1:27" ht="15.75" customHeight="1" x14ac:dyDescent="0.3">
      <c r="A559" s="2501"/>
      <c r="B559" s="2501"/>
      <c r="C559" s="2501"/>
      <c r="D559" s="2501"/>
      <c r="E559" s="2501"/>
      <c r="F559" s="2501"/>
      <c r="G559" s="2501"/>
      <c r="H559" s="2501"/>
      <c r="I559" s="2501"/>
      <c r="J559" s="2501"/>
      <c r="K559" s="2501"/>
      <c r="L559" s="2501"/>
      <c r="M559" s="2501"/>
      <c r="N559" s="2501"/>
      <c r="O559" s="2501"/>
      <c r="P559" s="2501"/>
      <c r="Q559" s="2501"/>
      <c r="R559" s="2501"/>
      <c r="S559" s="2501"/>
      <c r="T559" s="2501"/>
      <c r="U559" s="2501"/>
      <c r="V559" s="2501"/>
      <c r="W559" s="2501"/>
      <c r="X559" s="2501"/>
      <c r="Y559" s="2501"/>
      <c r="Z559" s="2501"/>
      <c r="AA559" s="2501"/>
    </row>
    <row r="560" spans="1:27" ht="15.75" customHeight="1" x14ac:dyDescent="0.3">
      <c r="A560" s="2501"/>
      <c r="B560" s="2501"/>
      <c r="C560" s="2501"/>
      <c r="D560" s="2501"/>
      <c r="E560" s="2501"/>
      <c r="F560" s="2501"/>
      <c r="G560" s="2501"/>
      <c r="H560" s="2501"/>
      <c r="I560" s="2501"/>
      <c r="J560" s="2501"/>
      <c r="K560" s="2501"/>
      <c r="L560" s="2501"/>
      <c r="M560" s="2501"/>
      <c r="N560" s="2501"/>
      <c r="O560" s="2501"/>
      <c r="P560" s="2501"/>
      <c r="Q560" s="2501"/>
      <c r="R560" s="2501"/>
      <c r="S560" s="2501"/>
      <c r="T560" s="2501"/>
      <c r="U560" s="2501"/>
      <c r="V560" s="2501"/>
      <c r="W560" s="2501"/>
      <c r="X560" s="2501"/>
      <c r="Y560" s="2501"/>
      <c r="Z560" s="2501"/>
      <c r="AA560" s="2501"/>
    </row>
    <row r="561" spans="1:27" ht="15.75" customHeight="1" x14ac:dyDescent="0.3">
      <c r="A561" s="2501"/>
      <c r="B561" s="2501"/>
      <c r="C561" s="2501"/>
      <c r="D561" s="2501"/>
      <c r="E561" s="2501"/>
      <c r="F561" s="2501"/>
      <c r="G561" s="2501"/>
      <c r="H561" s="2501"/>
      <c r="I561" s="2501"/>
      <c r="J561" s="2501"/>
      <c r="K561" s="2501"/>
      <c r="L561" s="2501"/>
      <c r="M561" s="2501"/>
      <c r="N561" s="2501"/>
      <c r="O561" s="2501"/>
      <c r="P561" s="2501"/>
      <c r="Q561" s="2501"/>
      <c r="R561" s="2501"/>
      <c r="S561" s="2501"/>
      <c r="T561" s="2501"/>
      <c r="U561" s="2501"/>
      <c r="V561" s="2501"/>
      <c r="W561" s="2501"/>
      <c r="X561" s="2501"/>
      <c r="Y561" s="2501"/>
      <c r="Z561" s="2501"/>
      <c r="AA561" s="2501"/>
    </row>
    <row r="562" spans="1:27" ht="15.75" customHeight="1" x14ac:dyDescent="0.3">
      <c r="A562" s="2501"/>
      <c r="B562" s="2501"/>
      <c r="C562" s="2501"/>
      <c r="D562" s="2501"/>
      <c r="E562" s="2501"/>
      <c r="F562" s="2501"/>
      <c r="G562" s="2501"/>
      <c r="H562" s="2501"/>
      <c r="I562" s="2501"/>
      <c r="J562" s="2501"/>
      <c r="K562" s="2501"/>
      <c r="L562" s="2501"/>
      <c r="M562" s="2501"/>
      <c r="N562" s="2501"/>
      <c r="O562" s="2501"/>
      <c r="P562" s="2501"/>
      <c r="Q562" s="2501"/>
      <c r="R562" s="2501"/>
      <c r="S562" s="2501"/>
      <c r="T562" s="2501"/>
      <c r="U562" s="2501"/>
      <c r="V562" s="2501"/>
      <c r="W562" s="2501"/>
      <c r="X562" s="2501"/>
      <c r="Y562" s="2501"/>
      <c r="Z562" s="2501"/>
      <c r="AA562" s="2501"/>
    </row>
    <row r="563" spans="1:27" ht="15.75" customHeight="1" x14ac:dyDescent="0.3">
      <c r="A563" s="2501"/>
      <c r="B563" s="2501"/>
      <c r="C563" s="2501"/>
      <c r="D563" s="2501"/>
      <c r="E563" s="2501"/>
      <c r="F563" s="2501"/>
      <c r="G563" s="2501"/>
      <c r="H563" s="2501"/>
      <c r="I563" s="2501"/>
      <c r="J563" s="2501"/>
      <c r="K563" s="2501"/>
      <c r="L563" s="2501"/>
      <c r="M563" s="2501"/>
      <c r="N563" s="2501"/>
      <c r="O563" s="2501"/>
      <c r="P563" s="2501"/>
      <c r="Q563" s="2501"/>
      <c r="R563" s="2501"/>
      <c r="S563" s="2501"/>
      <c r="T563" s="2501"/>
      <c r="U563" s="2501"/>
      <c r="V563" s="2501"/>
      <c r="W563" s="2501"/>
      <c r="X563" s="2501"/>
      <c r="Y563" s="2501"/>
      <c r="Z563" s="2501"/>
      <c r="AA563" s="2501"/>
    </row>
    <row r="564" spans="1:27" ht="15.75" customHeight="1" x14ac:dyDescent="0.3">
      <c r="A564" s="2501"/>
      <c r="B564" s="2501"/>
      <c r="C564" s="2501"/>
      <c r="D564" s="2501"/>
      <c r="E564" s="2501"/>
      <c r="F564" s="2501"/>
      <c r="G564" s="2501"/>
      <c r="H564" s="2501"/>
      <c r="I564" s="2501"/>
      <c r="J564" s="2501"/>
      <c r="K564" s="2501"/>
      <c r="L564" s="2501"/>
      <c r="M564" s="2501"/>
      <c r="N564" s="2501"/>
      <c r="O564" s="2501"/>
      <c r="P564" s="2501"/>
      <c r="Q564" s="2501"/>
      <c r="R564" s="2501"/>
      <c r="S564" s="2501"/>
      <c r="T564" s="2501"/>
      <c r="U564" s="2501"/>
      <c r="V564" s="2501"/>
      <c r="W564" s="2501"/>
      <c r="X564" s="2501"/>
      <c r="Y564" s="2501"/>
      <c r="Z564" s="2501"/>
      <c r="AA564" s="2501"/>
    </row>
    <row r="565" spans="1:27" ht="15.75" customHeight="1" x14ac:dyDescent="0.3">
      <c r="A565" s="2501"/>
      <c r="B565" s="2501"/>
      <c r="C565" s="2501"/>
      <c r="D565" s="2501"/>
      <c r="E565" s="2501"/>
      <c r="F565" s="2501"/>
      <c r="G565" s="2501"/>
      <c r="H565" s="2501"/>
      <c r="I565" s="2501"/>
      <c r="J565" s="2501"/>
      <c r="K565" s="2501"/>
      <c r="L565" s="2501"/>
      <c r="M565" s="2501"/>
      <c r="N565" s="2501"/>
      <c r="O565" s="2501"/>
      <c r="P565" s="2501"/>
      <c r="Q565" s="2501"/>
      <c r="R565" s="2501"/>
      <c r="S565" s="2501"/>
      <c r="T565" s="2501"/>
      <c r="U565" s="2501"/>
      <c r="V565" s="2501"/>
      <c r="W565" s="2501"/>
      <c r="X565" s="2501"/>
      <c r="Y565" s="2501"/>
      <c r="Z565" s="2501"/>
      <c r="AA565" s="2501"/>
    </row>
    <row r="566" spans="1:27" ht="15.75" customHeight="1" x14ac:dyDescent="0.3">
      <c r="A566" s="2501"/>
      <c r="B566" s="2501"/>
      <c r="C566" s="2501"/>
      <c r="D566" s="2501"/>
      <c r="E566" s="2501"/>
      <c r="F566" s="2501"/>
      <c r="G566" s="2501"/>
      <c r="H566" s="2501"/>
      <c r="I566" s="2501"/>
      <c r="J566" s="2501"/>
      <c r="K566" s="2501"/>
      <c r="L566" s="2501"/>
      <c r="M566" s="2501"/>
      <c r="N566" s="2501"/>
      <c r="O566" s="2501"/>
      <c r="P566" s="2501"/>
      <c r="Q566" s="2501"/>
      <c r="R566" s="2501"/>
      <c r="S566" s="2501"/>
      <c r="T566" s="2501"/>
      <c r="U566" s="2501"/>
      <c r="V566" s="2501"/>
      <c r="W566" s="2501"/>
      <c r="X566" s="2501"/>
      <c r="Y566" s="2501"/>
      <c r="Z566" s="2501"/>
      <c r="AA566" s="2501"/>
    </row>
    <row r="567" spans="1:27" ht="15.75" customHeight="1" x14ac:dyDescent="0.3">
      <c r="A567" s="2501"/>
      <c r="B567" s="2501"/>
      <c r="C567" s="2501"/>
      <c r="D567" s="2501"/>
      <c r="E567" s="2501"/>
      <c r="F567" s="2501"/>
      <c r="G567" s="2501"/>
      <c r="H567" s="2501"/>
      <c r="I567" s="2501"/>
      <c r="J567" s="2501"/>
      <c r="K567" s="2501"/>
      <c r="L567" s="2501"/>
      <c r="M567" s="2501"/>
      <c r="N567" s="2501"/>
      <c r="O567" s="2501"/>
      <c r="P567" s="2501"/>
      <c r="Q567" s="2501"/>
      <c r="R567" s="2501"/>
      <c r="S567" s="2501"/>
      <c r="T567" s="2501"/>
      <c r="U567" s="2501"/>
      <c r="V567" s="2501"/>
      <c r="W567" s="2501"/>
      <c r="X567" s="2501"/>
      <c r="Y567" s="2501"/>
      <c r="Z567" s="2501"/>
      <c r="AA567" s="2501"/>
    </row>
    <row r="568" spans="1:27" ht="15.75" customHeight="1" x14ac:dyDescent="0.3">
      <c r="A568" s="2501"/>
      <c r="B568" s="2501"/>
      <c r="C568" s="2501"/>
      <c r="D568" s="2501"/>
      <c r="E568" s="2501"/>
      <c r="F568" s="2501"/>
      <c r="G568" s="2501"/>
      <c r="H568" s="2501"/>
      <c r="I568" s="2501"/>
      <c r="J568" s="2501"/>
      <c r="K568" s="2501"/>
      <c r="L568" s="2501"/>
      <c r="M568" s="2501"/>
      <c r="N568" s="2501"/>
      <c r="O568" s="2501"/>
      <c r="P568" s="2501"/>
      <c r="Q568" s="2501"/>
      <c r="R568" s="2501"/>
      <c r="S568" s="2501"/>
      <c r="T568" s="2501"/>
      <c r="U568" s="2501"/>
      <c r="V568" s="2501"/>
      <c r="W568" s="2501"/>
      <c r="X568" s="2501"/>
      <c r="Y568" s="2501"/>
      <c r="Z568" s="2501"/>
      <c r="AA568" s="2501"/>
    </row>
    <row r="569" spans="1:27" ht="15.75" customHeight="1" x14ac:dyDescent="0.3">
      <c r="A569" s="2501"/>
      <c r="B569" s="2501"/>
      <c r="C569" s="2501"/>
      <c r="D569" s="2501"/>
      <c r="E569" s="2501"/>
      <c r="F569" s="2501"/>
      <c r="G569" s="2501"/>
      <c r="H569" s="2501"/>
      <c r="I569" s="2501"/>
      <c r="J569" s="2501"/>
      <c r="K569" s="2501"/>
      <c r="L569" s="2501"/>
      <c r="M569" s="2501"/>
      <c r="N569" s="2501"/>
      <c r="O569" s="2501"/>
      <c r="P569" s="2501"/>
      <c r="Q569" s="2501"/>
      <c r="R569" s="2501"/>
      <c r="S569" s="2501"/>
      <c r="T569" s="2501"/>
      <c r="U569" s="2501"/>
      <c r="V569" s="2501"/>
      <c r="W569" s="2501"/>
      <c r="X569" s="2501"/>
      <c r="Y569" s="2501"/>
      <c r="Z569" s="2501"/>
      <c r="AA569" s="2501"/>
    </row>
    <row r="570" spans="1:27" ht="15.75" customHeight="1" x14ac:dyDescent="0.3">
      <c r="A570" s="2501"/>
      <c r="B570" s="2501"/>
      <c r="C570" s="2501"/>
      <c r="D570" s="2501"/>
      <c r="E570" s="2501"/>
      <c r="F570" s="2501"/>
      <c r="G570" s="2501"/>
      <c r="H570" s="2501"/>
      <c r="I570" s="2501"/>
      <c r="J570" s="2501"/>
      <c r="K570" s="2501"/>
      <c r="L570" s="2501"/>
      <c r="M570" s="2501"/>
      <c r="N570" s="2501"/>
      <c r="O570" s="2501"/>
      <c r="P570" s="2501"/>
      <c r="Q570" s="2501"/>
      <c r="R570" s="2501"/>
      <c r="S570" s="2501"/>
      <c r="T570" s="2501"/>
      <c r="U570" s="2501"/>
      <c r="V570" s="2501"/>
      <c r="W570" s="2501"/>
      <c r="X570" s="2501"/>
      <c r="Y570" s="2501"/>
      <c r="Z570" s="2501"/>
      <c r="AA570" s="2501"/>
    </row>
    <row r="571" spans="1:27" ht="15.75" customHeight="1" x14ac:dyDescent="0.3">
      <c r="A571" s="2501"/>
      <c r="B571" s="2501"/>
      <c r="C571" s="2501"/>
      <c r="D571" s="2501"/>
      <c r="E571" s="2501"/>
      <c r="F571" s="2501"/>
      <c r="G571" s="2501"/>
      <c r="H571" s="2501"/>
      <c r="I571" s="2501"/>
      <c r="J571" s="2501"/>
      <c r="K571" s="2501"/>
      <c r="L571" s="2501"/>
      <c r="M571" s="2501"/>
      <c r="N571" s="2501"/>
      <c r="O571" s="2501"/>
      <c r="P571" s="2501"/>
      <c r="Q571" s="2501"/>
      <c r="R571" s="2501"/>
      <c r="S571" s="2501"/>
      <c r="T571" s="2501"/>
      <c r="U571" s="2501"/>
      <c r="V571" s="2501"/>
      <c r="W571" s="2501"/>
      <c r="X571" s="2501"/>
      <c r="Y571" s="2501"/>
      <c r="Z571" s="2501"/>
      <c r="AA571" s="2501"/>
    </row>
    <row r="572" spans="1:27" ht="15.75" customHeight="1" x14ac:dyDescent="0.3">
      <c r="A572" s="2501"/>
      <c r="B572" s="2501"/>
      <c r="C572" s="2501"/>
      <c r="D572" s="2501"/>
      <c r="E572" s="2501"/>
      <c r="F572" s="2501"/>
      <c r="G572" s="2501"/>
      <c r="H572" s="2501"/>
      <c r="I572" s="2501"/>
      <c r="J572" s="2501"/>
      <c r="K572" s="2501"/>
      <c r="L572" s="2501"/>
      <c r="M572" s="2501"/>
      <c r="N572" s="2501"/>
      <c r="O572" s="2501"/>
      <c r="P572" s="2501"/>
      <c r="Q572" s="2501"/>
      <c r="R572" s="2501"/>
      <c r="S572" s="2501"/>
      <c r="T572" s="2501"/>
      <c r="U572" s="2501"/>
      <c r="V572" s="2501"/>
      <c r="W572" s="2501"/>
      <c r="X572" s="2501"/>
      <c r="Y572" s="2501"/>
      <c r="Z572" s="2501"/>
      <c r="AA572" s="2501"/>
    </row>
    <row r="573" spans="1:27" ht="15.75" customHeight="1" x14ac:dyDescent="0.3">
      <c r="A573" s="2501"/>
      <c r="B573" s="2501"/>
      <c r="C573" s="2501"/>
      <c r="D573" s="2501"/>
      <c r="E573" s="2501"/>
      <c r="F573" s="2501"/>
      <c r="G573" s="2501"/>
      <c r="H573" s="2501"/>
      <c r="I573" s="2501"/>
      <c r="J573" s="2501"/>
      <c r="K573" s="2501"/>
      <c r="L573" s="2501"/>
      <c r="M573" s="2501"/>
      <c r="N573" s="2501"/>
      <c r="O573" s="2501"/>
      <c r="P573" s="2501"/>
      <c r="Q573" s="2501"/>
      <c r="R573" s="2501"/>
      <c r="S573" s="2501"/>
      <c r="T573" s="2501"/>
      <c r="U573" s="2501"/>
      <c r="V573" s="2501"/>
      <c r="W573" s="2501"/>
      <c r="X573" s="2501"/>
      <c r="Y573" s="2501"/>
      <c r="Z573" s="2501"/>
      <c r="AA573" s="2501"/>
    </row>
    <row r="574" spans="1:27" ht="15.75" customHeight="1" x14ac:dyDescent="0.3">
      <c r="A574" s="2501"/>
      <c r="B574" s="2501"/>
      <c r="C574" s="2501"/>
      <c r="D574" s="2501"/>
      <c r="E574" s="2501"/>
      <c r="F574" s="2501"/>
      <c r="G574" s="2501"/>
      <c r="H574" s="2501"/>
      <c r="I574" s="2501"/>
      <c r="J574" s="2501"/>
      <c r="K574" s="2501"/>
      <c r="L574" s="2501"/>
      <c r="M574" s="2501"/>
      <c r="N574" s="2501"/>
      <c r="O574" s="2501"/>
      <c r="P574" s="2501"/>
      <c r="Q574" s="2501"/>
      <c r="R574" s="2501"/>
      <c r="S574" s="2501"/>
      <c r="T574" s="2501"/>
      <c r="U574" s="2501"/>
      <c r="V574" s="2501"/>
      <c r="W574" s="2501"/>
      <c r="X574" s="2501"/>
      <c r="Y574" s="2501"/>
      <c r="Z574" s="2501"/>
      <c r="AA574" s="2501"/>
    </row>
    <row r="575" spans="1:27" ht="15.75" customHeight="1" x14ac:dyDescent="0.3">
      <c r="A575" s="2501"/>
      <c r="B575" s="2501"/>
      <c r="C575" s="2501"/>
      <c r="D575" s="2501"/>
      <c r="E575" s="2501"/>
      <c r="F575" s="2501"/>
      <c r="G575" s="2501"/>
      <c r="H575" s="2501"/>
      <c r="I575" s="2501"/>
      <c r="J575" s="2501"/>
      <c r="K575" s="2501"/>
      <c r="L575" s="2501"/>
      <c r="M575" s="2501"/>
      <c r="N575" s="2501"/>
      <c r="O575" s="2501"/>
      <c r="P575" s="2501"/>
      <c r="Q575" s="2501"/>
      <c r="R575" s="2501"/>
      <c r="S575" s="2501"/>
      <c r="T575" s="2501"/>
      <c r="U575" s="2501"/>
      <c r="V575" s="2501"/>
      <c r="W575" s="2501"/>
      <c r="X575" s="2501"/>
      <c r="Y575" s="2501"/>
      <c r="Z575" s="2501"/>
      <c r="AA575" s="2501"/>
    </row>
    <row r="576" spans="1:27" ht="15.75" customHeight="1" x14ac:dyDescent="0.3">
      <c r="A576" s="2501"/>
      <c r="B576" s="2501"/>
      <c r="C576" s="2501"/>
      <c r="D576" s="2501"/>
      <c r="E576" s="2501"/>
      <c r="F576" s="2501"/>
      <c r="G576" s="2501"/>
      <c r="H576" s="2501"/>
      <c r="I576" s="2501"/>
      <c r="J576" s="2501"/>
      <c r="K576" s="2501"/>
      <c r="L576" s="2501"/>
      <c r="M576" s="2501"/>
      <c r="N576" s="2501"/>
      <c r="O576" s="2501"/>
      <c r="P576" s="2501"/>
      <c r="Q576" s="2501"/>
      <c r="R576" s="2501"/>
      <c r="S576" s="2501"/>
      <c r="T576" s="2501"/>
      <c r="U576" s="2501"/>
      <c r="V576" s="2501"/>
      <c r="W576" s="2501"/>
      <c r="X576" s="2501"/>
      <c r="Y576" s="2501"/>
      <c r="Z576" s="2501"/>
      <c r="AA576" s="2501"/>
    </row>
    <row r="577" spans="1:27" ht="15.75" customHeight="1" x14ac:dyDescent="0.3">
      <c r="A577" s="2501"/>
      <c r="B577" s="2501"/>
      <c r="C577" s="2501"/>
      <c r="D577" s="2501"/>
      <c r="E577" s="2501"/>
      <c r="F577" s="2501"/>
      <c r="G577" s="2501"/>
      <c r="H577" s="2501"/>
      <c r="I577" s="2501"/>
      <c r="J577" s="2501"/>
      <c r="K577" s="2501"/>
      <c r="L577" s="2501"/>
      <c r="M577" s="2501"/>
      <c r="N577" s="2501"/>
      <c r="O577" s="2501"/>
      <c r="P577" s="2501"/>
      <c r="Q577" s="2501"/>
      <c r="R577" s="2501"/>
      <c r="S577" s="2501"/>
      <c r="T577" s="2501"/>
      <c r="U577" s="2501"/>
      <c r="V577" s="2501"/>
      <c r="W577" s="2501"/>
      <c r="X577" s="2501"/>
      <c r="Y577" s="2501"/>
      <c r="Z577" s="2501"/>
      <c r="AA577" s="2501"/>
    </row>
    <row r="578" spans="1:27" ht="15.75" customHeight="1" x14ac:dyDescent="0.3">
      <c r="A578" s="2501"/>
      <c r="B578" s="2501"/>
      <c r="C578" s="2501"/>
      <c r="D578" s="2501"/>
      <c r="E578" s="2501"/>
      <c r="F578" s="2501"/>
      <c r="G578" s="2501"/>
      <c r="H578" s="2501"/>
      <c r="I578" s="2501"/>
      <c r="J578" s="2501"/>
      <c r="K578" s="2501"/>
      <c r="L578" s="2501"/>
      <c r="M578" s="2501"/>
      <c r="N578" s="2501"/>
      <c r="O578" s="2501"/>
      <c r="P578" s="2501"/>
      <c r="Q578" s="2501"/>
      <c r="R578" s="2501"/>
      <c r="S578" s="2501"/>
      <c r="T578" s="2501"/>
      <c r="U578" s="2501"/>
      <c r="V578" s="2501"/>
      <c r="W578" s="2501"/>
      <c r="X578" s="2501"/>
      <c r="Y578" s="2501"/>
      <c r="Z578" s="2501"/>
      <c r="AA578" s="2501"/>
    </row>
    <row r="579" spans="1:27" ht="15.75" customHeight="1" x14ac:dyDescent="0.3">
      <c r="A579" s="2501"/>
      <c r="B579" s="2501"/>
      <c r="C579" s="2501"/>
      <c r="D579" s="2501"/>
      <c r="E579" s="2501"/>
      <c r="F579" s="2501"/>
      <c r="G579" s="2501"/>
      <c r="H579" s="2501"/>
      <c r="I579" s="2501"/>
      <c r="J579" s="2501"/>
      <c r="K579" s="2501"/>
      <c r="L579" s="2501"/>
      <c r="M579" s="2501"/>
      <c r="N579" s="2501"/>
      <c r="O579" s="2501"/>
      <c r="P579" s="2501"/>
      <c r="Q579" s="2501"/>
      <c r="R579" s="2501"/>
      <c r="S579" s="2501"/>
      <c r="T579" s="2501"/>
      <c r="U579" s="2501"/>
      <c r="V579" s="2501"/>
      <c r="W579" s="2501"/>
      <c r="X579" s="2501"/>
      <c r="Y579" s="2501"/>
      <c r="Z579" s="2501"/>
      <c r="AA579" s="2501"/>
    </row>
    <row r="580" spans="1:27" ht="15.75" customHeight="1" x14ac:dyDescent="0.3">
      <c r="A580" s="2501"/>
      <c r="B580" s="2501"/>
      <c r="C580" s="2501"/>
      <c r="D580" s="2501"/>
      <c r="E580" s="2501"/>
      <c r="F580" s="2501"/>
      <c r="G580" s="2501"/>
      <c r="H580" s="2501"/>
      <c r="I580" s="2501"/>
      <c r="J580" s="2501"/>
      <c r="K580" s="2501"/>
      <c r="L580" s="2501"/>
      <c r="M580" s="2501"/>
      <c r="N580" s="2501"/>
      <c r="O580" s="2501"/>
      <c r="P580" s="2501"/>
      <c r="Q580" s="2501"/>
      <c r="R580" s="2501"/>
      <c r="S580" s="2501"/>
      <c r="T580" s="2501"/>
      <c r="U580" s="2501"/>
      <c r="V580" s="2501"/>
      <c r="W580" s="2501"/>
      <c r="X580" s="2501"/>
      <c r="Y580" s="2501"/>
      <c r="Z580" s="2501"/>
      <c r="AA580" s="2501"/>
    </row>
    <row r="581" spans="1:27" ht="15.75" customHeight="1" x14ac:dyDescent="0.3">
      <c r="A581" s="2501"/>
      <c r="B581" s="2501"/>
      <c r="C581" s="2501"/>
      <c r="D581" s="2501"/>
      <c r="E581" s="2501"/>
      <c r="F581" s="2501"/>
      <c r="G581" s="2501"/>
      <c r="H581" s="2501"/>
      <c r="I581" s="2501"/>
      <c r="J581" s="2501"/>
      <c r="K581" s="2501"/>
      <c r="L581" s="2501"/>
      <c r="M581" s="2501"/>
      <c r="N581" s="2501"/>
      <c r="O581" s="2501"/>
      <c r="P581" s="2501"/>
      <c r="Q581" s="2501"/>
      <c r="R581" s="2501"/>
      <c r="S581" s="2501"/>
      <c r="T581" s="2501"/>
      <c r="U581" s="2501"/>
      <c r="V581" s="2501"/>
      <c r="W581" s="2501"/>
      <c r="X581" s="2501"/>
      <c r="Y581" s="2501"/>
      <c r="Z581" s="2501"/>
      <c r="AA581" s="2501"/>
    </row>
    <row r="582" spans="1:27" ht="15.75" customHeight="1" x14ac:dyDescent="0.3">
      <c r="A582" s="2501"/>
      <c r="B582" s="2501"/>
      <c r="C582" s="2501"/>
      <c r="D582" s="2501"/>
      <c r="E582" s="2501"/>
      <c r="F582" s="2501"/>
      <c r="G582" s="2501"/>
      <c r="H582" s="2501"/>
      <c r="I582" s="2501"/>
      <c r="J582" s="2501"/>
      <c r="K582" s="2501"/>
      <c r="L582" s="2501"/>
      <c r="M582" s="2501"/>
      <c r="N582" s="2501"/>
      <c r="O582" s="2501"/>
      <c r="P582" s="2501"/>
      <c r="Q582" s="2501"/>
      <c r="R582" s="2501"/>
      <c r="S582" s="2501"/>
      <c r="T582" s="2501"/>
      <c r="U582" s="2501"/>
      <c r="V582" s="2501"/>
      <c r="W582" s="2501"/>
      <c r="X582" s="2501"/>
      <c r="Y582" s="2501"/>
      <c r="Z582" s="2501"/>
      <c r="AA582" s="2501"/>
    </row>
    <row r="583" spans="1:27" ht="15.75" customHeight="1" x14ac:dyDescent="0.3">
      <c r="A583" s="2501"/>
      <c r="B583" s="2501"/>
      <c r="C583" s="2501"/>
      <c r="D583" s="2501"/>
      <c r="E583" s="2501"/>
      <c r="F583" s="2501"/>
      <c r="G583" s="2501"/>
      <c r="H583" s="2501"/>
      <c r="I583" s="2501"/>
      <c r="J583" s="2501"/>
      <c r="K583" s="2501"/>
      <c r="L583" s="2501"/>
      <c r="M583" s="2501"/>
      <c r="N583" s="2501"/>
      <c r="O583" s="2501"/>
      <c r="P583" s="2501"/>
      <c r="Q583" s="2501"/>
      <c r="R583" s="2501"/>
      <c r="S583" s="2501"/>
      <c r="T583" s="2501"/>
      <c r="U583" s="2501"/>
      <c r="V583" s="2501"/>
      <c r="W583" s="2501"/>
      <c r="X583" s="2501"/>
      <c r="Y583" s="2501"/>
      <c r="Z583" s="2501"/>
      <c r="AA583" s="2501"/>
    </row>
    <row r="584" spans="1:27" ht="15.75" customHeight="1" x14ac:dyDescent="0.3">
      <c r="A584" s="2501"/>
      <c r="B584" s="2501"/>
      <c r="C584" s="2501"/>
      <c r="D584" s="2501"/>
      <c r="E584" s="2501"/>
      <c r="F584" s="2501"/>
      <c r="G584" s="2501"/>
      <c r="H584" s="2501"/>
      <c r="I584" s="2501"/>
      <c r="J584" s="2501"/>
      <c r="K584" s="2501"/>
      <c r="L584" s="2501"/>
      <c r="M584" s="2501"/>
      <c r="N584" s="2501"/>
      <c r="O584" s="2501"/>
      <c r="P584" s="2501"/>
      <c r="Q584" s="2501"/>
      <c r="R584" s="2501"/>
      <c r="S584" s="2501"/>
      <c r="T584" s="2501"/>
      <c r="U584" s="2501"/>
      <c r="V584" s="2501"/>
      <c r="W584" s="2501"/>
      <c r="X584" s="2501"/>
      <c r="Y584" s="2501"/>
      <c r="Z584" s="2501"/>
      <c r="AA584" s="2501"/>
    </row>
    <row r="585" spans="1:27" ht="15.75" customHeight="1" x14ac:dyDescent="0.3">
      <c r="A585" s="2501"/>
      <c r="B585" s="2501"/>
      <c r="C585" s="2501"/>
      <c r="D585" s="2501"/>
      <c r="E585" s="2501"/>
      <c r="F585" s="2501"/>
      <c r="G585" s="2501"/>
      <c r="H585" s="2501"/>
      <c r="I585" s="2501"/>
      <c r="J585" s="2501"/>
      <c r="K585" s="2501"/>
      <c r="L585" s="2501"/>
      <c r="M585" s="2501"/>
      <c r="N585" s="2501"/>
      <c r="O585" s="2501"/>
      <c r="P585" s="2501"/>
      <c r="Q585" s="2501"/>
      <c r="R585" s="2501"/>
      <c r="S585" s="2501"/>
      <c r="T585" s="2501"/>
      <c r="U585" s="2501"/>
      <c r="V585" s="2501"/>
      <c r="W585" s="2501"/>
      <c r="X585" s="2501"/>
      <c r="Y585" s="2501"/>
      <c r="Z585" s="2501"/>
      <c r="AA585" s="2501"/>
    </row>
    <row r="586" spans="1:27" ht="15.75" customHeight="1" x14ac:dyDescent="0.3">
      <c r="A586" s="2501"/>
      <c r="B586" s="2501"/>
      <c r="C586" s="2501"/>
      <c r="D586" s="2501"/>
      <c r="E586" s="2501"/>
      <c r="F586" s="2501"/>
      <c r="G586" s="2501"/>
      <c r="H586" s="2501"/>
      <c r="I586" s="2501"/>
      <c r="J586" s="2501"/>
      <c r="K586" s="2501"/>
      <c r="L586" s="2501"/>
      <c r="M586" s="2501"/>
      <c r="N586" s="2501"/>
      <c r="O586" s="2501"/>
      <c r="P586" s="2501"/>
      <c r="Q586" s="2501"/>
      <c r="R586" s="2501"/>
      <c r="S586" s="2501"/>
      <c r="T586" s="2501"/>
      <c r="U586" s="2501"/>
      <c r="V586" s="2501"/>
      <c r="W586" s="2501"/>
      <c r="X586" s="2501"/>
      <c r="Y586" s="2501"/>
      <c r="Z586" s="2501"/>
      <c r="AA586" s="2501"/>
    </row>
    <row r="587" spans="1:27" ht="15.75" customHeight="1" x14ac:dyDescent="0.3">
      <c r="A587" s="2501"/>
      <c r="B587" s="2501"/>
      <c r="C587" s="2501"/>
      <c r="D587" s="2501"/>
      <c r="E587" s="2501"/>
      <c r="F587" s="2501"/>
      <c r="G587" s="2501"/>
      <c r="H587" s="2501"/>
      <c r="I587" s="2501"/>
      <c r="J587" s="2501"/>
      <c r="K587" s="2501"/>
      <c r="L587" s="2501"/>
      <c r="M587" s="2501"/>
      <c r="N587" s="2501"/>
      <c r="O587" s="2501"/>
      <c r="P587" s="2501"/>
      <c r="Q587" s="2501"/>
      <c r="R587" s="2501"/>
      <c r="S587" s="2501"/>
      <c r="T587" s="2501"/>
      <c r="U587" s="2501"/>
      <c r="V587" s="2501"/>
      <c r="W587" s="2501"/>
      <c r="X587" s="2501"/>
      <c r="Y587" s="2501"/>
      <c r="Z587" s="2501"/>
      <c r="AA587" s="2501"/>
    </row>
    <row r="588" spans="1:27" ht="15.75" customHeight="1" x14ac:dyDescent="0.3">
      <c r="A588" s="2501"/>
      <c r="B588" s="2501"/>
      <c r="C588" s="2501"/>
      <c r="D588" s="2501"/>
      <c r="E588" s="2501"/>
      <c r="F588" s="2501"/>
      <c r="G588" s="2501"/>
      <c r="H588" s="2501"/>
      <c r="I588" s="2501"/>
      <c r="J588" s="2501"/>
      <c r="K588" s="2501"/>
      <c r="L588" s="2501"/>
      <c r="M588" s="2501"/>
      <c r="N588" s="2501"/>
      <c r="O588" s="2501"/>
      <c r="P588" s="2501"/>
      <c r="Q588" s="2501"/>
      <c r="R588" s="2501"/>
      <c r="S588" s="2501"/>
      <c r="T588" s="2501"/>
      <c r="U588" s="2501"/>
      <c r="V588" s="2501"/>
      <c r="W588" s="2501"/>
      <c r="X588" s="2501"/>
      <c r="Y588" s="2501"/>
      <c r="Z588" s="2501"/>
      <c r="AA588" s="2501"/>
    </row>
    <row r="589" spans="1:27" ht="15.75" customHeight="1" x14ac:dyDescent="0.3">
      <c r="A589" s="2501"/>
      <c r="B589" s="2501"/>
      <c r="C589" s="2501"/>
      <c r="D589" s="2501"/>
      <c r="E589" s="2501"/>
      <c r="F589" s="2501"/>
      <c r="G589" s="2501"/>
      <c r="H589" s="2501"/>
      <c r="I589" s="2501"/>
      <c r="J589" s="2501"/>
      <c r="K589" s="2501"/>
      <c r="L589" s="2501"/>
      <c r="M589" s="2501"/>
      <c r="N589" s="2501"/>
      <c r="O589" s="2501"/>
      <c r="P589" s="2501"/>
      <c r="Q589" s="2501"/>
      <c r="R589" s="2501"/>
      <c r="S589" s="2501"/>
      <c r="T589" s="2501"/>
      <c r="U589" s="2501"/>
      <c r="V589" s="2501"/>
      <c r="W589" s="2501"/>
      <c r="X589" s="2501"/>
      <c r="Y589" s="2501"/>
      <c r="Z589" s="2501"/>
      <c r="AA589" s="2501"/>
    </row>
    <row r="590" spans="1:27" ht="15.75" customHeight="1" x14ac:dyDescent="0.3">
      <c r="A590" s="2501"/>
      <c r="B590" s="2501"/>
      <c r="C590" s="2501"/>
      <c r="D590" s="2501"/>
      <c r="E590" s="2501"/>
      <c r="F590" s="2501"/>
      <c r="G590" s="2501"/>
      <c r="H590" s="2501"/>
      <c r="I590" s="2501"/>
      <c r="J590" s="2501"/>
      <c r="K590" s="2501"/>
      <c r="L590" s="2501"/>
      <c r="M590" s="2501"/>
      <c r="N590" s="2501"/>
      <c r="O590" s="2501"/>
      <c r="P590" s="2501"/>
      <c r="Q590" s="2501"/>
      <c r="R590" s="2501"/>
      <c r="S590" s="2501"/>
      <c r="T590" s="2501"/>
      <c r="U590" s="2501"/>
      <c r="V590" s="2501"/>
      <c r="W590" s="2501"/>
      <c r="X590" s="2501"/>
      <c r="Y590" s="2501"/>
      <c r="Z590" s="2501"/>
      <c r="AA590" s="2501"/>
    </row>
    <row r="591" spans="1:27" ht="15.75" customHeight="1" x14ac:dyDescent="0.3">
      <c r="A591" s="2501"/>
      <c r="B591" s="2501"/>
      <c r="C591" s="2501"/>
      <c r="D591" s="2501"/>
      <c r="E591" s="2501"/>
      <c r="F591" s="2501"/>
      <c r="G591" s="2501"/>
      <c r="H591" s="2501"/>
      <c r="I591" s="2501"/>
      <c r="J591" s="2501"/>
      <c r="K591" s="2501"/>
      <c r="L591" s="2501"/>
      <c r="M591" s="2501"/>
      <c r="N591" s="2501"/>
      <c r="O591" s="2501"/>
      <c r="P591" s="2501"/>
      <c r="Q591" s="2501"/>
      <c r="R591" s="2501"/>
      <c r="S591" s="2501"/>
      <c r="T591" s="2501"/>
      <c r="U591" s="2501"/>
      <c r="V591" s="2501"/>
      <c r="W591" s="2501"/>
      <c r="X591" s="2501"/>
      <c r="Y591" s="2501"/>
      <c r="Z591" s="2501"/>
      <c r="AA591" s="2501"/>
    </row>
    <row r="592" spans="1:27" ht="15.75" customHeight="1" x14ac:dyDescent="0.3">
      <c r="A592" s="2501"/>
      <c r="B592" s="2501"/>
      <c r="C592" s="2501"/>
      <c r="D592" s="2501"/>
      <c r="E592" s="2501"/>
      <c r="F592" s="2501"/>
      <c r="G592" s="2501"/>
      <c r="H592" s="2501"/>
      <c r="I592" s="2501"/>
      <c r="J592" s="2501"/>
      <c r="K592" s="2501"/>
      <c r="L592" s="2501"/>
      <c r="M592" s="2501"/>
      <c r="N592" s="2501"/>
      <c r="O592" s="2501"/>
      <c r="P592" s="2501"/>
      <c r="Q592" s="2501"/>
      <c r="R592" s="2501"/>
      <c r="S592" s="2501"/>
      <c r="T592" s="2501"/>
      <c r="U592" s="2501"/>
      <c r="V592" s="2501"/>
      <c r="W592" s="2501"/>
      <c r="X592" s="2501"/>
      <c r="Y592" s="2501"/>
      <c r="Z592" s="2501"/>
      <c r="AA592" s="2501"/>
    </row>
    <row r="593" spans="1:27" ht="15.75" customHeight="1" x14ac:dyDescent="0.3">
      <c r="A593" s="2501"/>
      <c r="B593" s="2501"/>
      <c r="C593" s="2501"/>
      <c r="D593" s="2501"/>
      <c r="E593" s="2501"/>
      <c r="F593" s="2501"/>
      <c r="G593" s="2501"/>
      <c r="H593" s="2501"/>
      <c r="I593" s="2501"/>
      <c r="J593" s="2501"/>
      <c r="K593" s="2501"/>
      <c r="L593" s="2501"/>
      <c r="M593" s="2501"/>
      <c r="N593" s="2501"/>
      <c r="O593" s="2501"/>
      <c r="P593" s="2501"/>
      <c r="Q593" s="2501"/>
      <c r="R593" s="2501"/>
      <c r="S593" s="2501"/>
      <c r="T593" s="2501"/>
      <c r="U593" s="2501"/>
      <c r="V593" s="2501"/>
      <c r="W593" s="2501"/>
      <c r="X593" s="2501"/>
      <c r="Y593" s="2501"/>
      <c r="Z593" s="2501"/>
      <c r="AA593" s="2501"/>
    </row>
    <row r="594" spans="1:27" ht="15.75" customHeight="1" x14ac:dyDescent="0.3">
      <c r="A594" s="2501"/>
      <c r="B594" s="2501"/>
      <c r="C594" s="2501"/>
      <c r="D594" s="2501"/>
      <c r="E594" s="2501"/>
      <c r="F594" s="2501"/>
      <c r="G594" s="2501"/>
      <c r="H594" s="2501"/>
      <c r="I594" s="2501"/>
      <c r="J594" s="2501"/>
      <c r="K594" s="2501"/>
      <c r="L594" s="2501"/>
      <c r="M594" s="2501"/>
      <c r="N594" s="2501"/>
      <c r="O594" s="2501"/>
      <c r="P594" s="2501"/>
      <c r="Q594" s="2501"/>
      <c r="R594" s="2501"/>
      <c r="S594" s="2501"/>
      <c r="T594" s="2501"/>
      <c r="U594" s="2501"/>
      <c r="V594" s="2501"/>
      <c r="W594" s="2501"/>
      <c r="X594" s="2501"/>
      <c r="Y594" s="2501"/>
      <c r="Z594" s="2501"/>
      <c r="AA594" s="2501"/>
    </row>
    <row r="595" spans="1:27" ht="15.75" customHeight="1" x14ac:dyDescent="0.3">
      <c r="A595" s="2501"/>
      <c r="B595" s="2501"/>
      <c r="C595" s="2501"/>
      <c r="D595" s="2501"/>
      <c r="E595" s="2501"/>
      <c r="F595" s="2501"/>
      <c r="G595" s="2501"/>
      <c r="H595" s="2501"/>
      <c r="I595" s="2501"/>
      <c r="J595" s="2501"/>
      <c r="K595" s="2501"/>
      <c r="L595" s="2501"/>
      <c r="M595" s="2501"/>
      <c r="N595" s="2501"/>
      <c r="O595" s="2501"/>
      <c r="P595" s="2501"/>
      <c r="Q595" s="2501"/>
      <c r="R595" s="2501"/>
      <c r="S595" s="2501"/>
      <c r="T595" s="2501"/>
      <c r="U595" s="2501"/>
      <c r="V595" s="2501"/>
      <c r="W595" s="2501"/>
      <c r="X595" s="2501"/>
      <c r="Y595" s="2501"/>
      <c r="Z595" s="2501"/>
      <c r="AA595" s="2501"/>
    </row>
    <row r="596" spans="1:27" ht="15.75" customHeight="1" x14ac:dyDescent="0.3">
      <c r="A596" s="2501"/>
      <c r="B596" s="2501"/>
      <c r="C596" s="2501"/>
      <c r="D596" s="2501"/>
      <c r="E596" s="2501"/>
      <c r="F596" s="2501"/>
      <c r="G596" s="2501"/>
      <c r="H596" s="2501"/>
      <c r="I596" s="2501"/>
      <c r="J596" s="2501"/>
      <c r="K596" s="2501"/>
      <c r="L596" s="2501"/>
      <c r="M596" s="2501"/>
      <c r="N596" s="2501"/>
      <c r="O596" s="2501"/>
      <c r="P596" s="2501"/>
      <c r="Q596" s="2501"/>
      <c r="R596" s="2501"/>
      <c r="S596" s="2501"/>
      <c r="T596" s="2501"/>
      <c r="U596" s="2501"/>
      <c r="V596" s="2501"/>
      <c r="W596" s="2501"/>
      <c r="X596" s="2501"/>
      <c r="Y596" s="2501"/>
      <c r="Z596" s="2501"/>
      <c r="AA596" s="2501"/>
    </row>
    <row r="597" spans="1:27" ht="15.75" customHeight="1" x14ac:dyDescent="0.3">
      <c r="A597" s="2501"/>
      <c r="B597" s="2501"/>
      <c r="C597" s="2501"/>
      <c r="D597" s="2501"/>
      <c r="E597" s="2501"/>
      <c r="F597" s="2501"/>
      <c r="G597" s="2501"/>
      <c r="H597" s="2501"/>
      <c r="I597" s="2501"/>
      <c r="J597" s="2501"/>
      <c r="K597" s="2501"/>
      <c r="L597" s="2501"/>
      <c r="M597" s="2501"/>
      <c r="N597" s="2501"/>
      <c r="O597" s="2501"/>
      <c r="P597" s="2501"/>
      <c r="Q597" s="2501"/>
      <c r="R597" s="2501"/>
      <c r="S597" s="2501"/>
      <c r="T597" s="2501"/>
      <c r="U597" s="2501"/>
      <c r="V597" s="2501"/>
      <c r="W597" s="2501"/>
      <c r="X597" s="2501"/>
      <c r="Y597" s="2501"/>
      <c r="Z597" s="2501"/>
      <c r="AA597" s="2501"/>
    </row>
    <row r="598" spans="1:27" ht="15.75" customHeight="1" x14ac:dyDescent="0.3">
      <c r="A598" s="2501"/>
      <c r="B598" s="2501"/>
      <c r="C598" s="2501"/>
      <c r="D598" s="2501"/>
      <c r="E598" s="2501"/>
      <c r="F598" s="2501"/>
      <c r="G598" s="2501"/>
      <c r="H598" s="2501"/>
      <c r="I598" s="2501"/>
      <c r="J598" s="2501"/>
      <c r="K598" s="2501"/>
      <c r="L598" s="2501"/>
      <c r="M598" s="2501"/>
      <c r="N598" s="2501"/>
      <c r="O598" s="2501"/>
      <c r="P598" s="2501"/>
      <c r="Q598" s="2501"/>
      <c r="R598" s="2501"/>
      <c r="S598" s="2501"/>
      <c r="T598" s="2501"/>
      <c r="U598" s="2501"/>
      <c r="V598" s="2501"/>
      <c r="W598" s="2501"/>
      <c r="X598" s="2501"/>
      <c r="Y598" s="2501"/>
      <c r="Z598" s="2501"/>
      <c r="AA598" s="2501"/>
    </row>
    <row r="599" spans="1:27" ht="15.75" customHeight="1" x14ac:dyDescent="0.3">
      <c r="A599" s="2501"/>
      <c r="B599" s="2501"/>
      <c r="C599" s="2501"/>
      <c r="D599" s="2501"/>
      <c r="E599" s="2501"/>
      <c r="F599" s="2501"/>
      <c r="G599" s="2501"/>
      <c r="H599" s="2501"/>
      <c r="I599" s="2501"/>
      <c r="J599" s="2501"/>
      <c r="K599" s="2501"/>
      <c r="L599" s="2501"/>
      <c r="M599" s="2501"/>
      <c r="N599" s="2501"/>
      <c r="O599" s="2501"/>
      <c r="P599" s="2501"/>
      <c r="Q599" s="2501"/>
      <c r="R599" s="2501"/>
      <c r="S599" s="2501"/>
      <c r="T599" s="2501"/>
      <c r="U599" s="2501"/>
      <c r="V599" s="2501"/>
      <c r="W599" s="2501"/>
      <c r="X599" s="2501"/>
      <c r="Y599" s="2501"/>
      <c r="Z599" s="2501"/>
      <c r="AA599" s="2501"/>
    </row>
    <row r="600" spans="1:27" ht="15.75" customHeight="1" x14ac:dyDescent="0.3">
      <c r="A600" s="2501"/>
      <c r="B600" s="2501"/>
      <c r="C600" s="2501"/>
      <c r="D600" s="2501"/>
      <c r="E600" s="2501"/>
      <c r="F600" s="2501"/>
      <c r="G600" s="2501"/>
      <c r="H600" s="2501"/>
      <c r="I600" s="2501"/>
      <c r="J600" s="2501"/>
      <c r="K600" s="2501"/>
      <c r="L600" s="2501"/>
      <c r="M600" s="2501"/>
      <c r="N600" s="2501"/>
      <c r="O600" s="2501"/>
      <c r="P600" s="2501"/>
      <c r="Q600" s="2501"/>
      <c r="R600" s="2501"/>
      <c r="S600" s="2501"/>
      <c r="T600" s="2501"/>
      <c r="U600" s="2501"/>
      <c r="V600" s="2501"/>
      <c r="W600" s="2501"/>
      <c r="X600" s="2501"/>
      <c r="Y600" s="2501"/>
      <c r="Z600" s="2501"/>
      <c r="AA600" s="2501"/>
    </row>
    <row r="601" spans="1:27" ht="15.75" customHeight="1" x14ac:dyDescent="0.3">
      <c r="A601" s="2501"/>
      <c r="B601" s="2501"/>
      <c r="C601" s="2501"/>
      <c r="D601" s="2501"/>
      <c r="E601" s="2501"/>
      <c r="F601" s="2501"/>
      <c r="G601" s="2501"/>
      <c r="H601" s="2501"/>
      <c r="I601" s="2501"/>
      <c r="J601" s="2501"/>
      <c r="K601" s="2501"/>
      <c r="L601" s="2501"/>
      <c r="M601" s="2501"/>
      <c r="N601" s="2501"/>
      <c r="O601" s="2501"/>
      <c r="P601" s="2501"/>
      <c r="Q601" s="2501"/>
      <c r="R601" s="2501"/>
      <c r="S601" s="2501"/>
      <c r="T601" s="2501"/>
      <c r="U601" s="2501"/>
      <c r="V601" s="2501"/>
      <c r="W601" s="2501"/>
      <c r="X601" s="2501"/>
      <c r="Y601" s="2501"/>
      <c r="Z601" s="2501"/>
      <c r="AA601" s="2501"/>
    </row>
    <row r="602" spans="1:27" ht="15.75" customHeight="1" x14ac:dyDescent="0.3">
      <c r="A602" s="2501"/>
      <c r="B602" s="2501"/>
      <c r="C602" s="2501"/>
      <c r="D602" s="2501"/>
      <c r="E602" s="2501"/>
      <c r="F602" s="2501"/>
      <c r="G602" s="2501"/>
      <c r="H602" s="2501"/>
      <c r="I602" s="2501"/>
      <c r="J602" s="2501"/>
      <c r="K602" s="2501"/>
      <c r="L602" s="2501"/>
      <c r="M602" s="2501"/>
      <c r="N602" s="2501"/>
      <c r="O602" s="2501"/>
      <c r="P602" s="2501"/>
      <c r="Q602" s="2501"/>
      <c r="R602" s="2501"/>
      <c r="S602" s="2501"/>
      <c r="T602" s="2501"/>
      <c r="U602" s="2501"/>
      <c r="V602" s="2501"/>
      <c r="W602" s="2501"/>
      <c r="X602" s="2501"/>
      <c r="Y602" s="2501"/>
      <c r="Z602" s="2501"/>
      <c r="AA602" s="2501"/>
    </row>
    <row r="603" spans="1:27" ht="15.75" customHeight="1" x14ac:dyDescent="0.3">
      <c r="A603" s="2501"/>
      <c r="B603" s="2501"/>
      <c r="C603" s="2501"/>
      <c r="D603" s="2501"/>
      <c r="E603" s="2501"/>
      <c r="F603" s="2501"/>
      <c r="G603" s="2501"/>
      <c r="H603" s="2501"/>
      <c r="I603" s="2501"/>
      <c r="J603" s="2501"/>
      <c r="K603" s="2501"/>
      <c r="L603" s="2501"/>
      <c r="M603" s="2501"/>
      <c r="N603" s="2501"/>
      <c r="O603" s="2501"/>
      <c r="P603" s="2501"/>
      <c r="Q603" s="2501"/>
      <c r="R603" s="2501"/>
      <c r="S603" s="2501"/>
      <c r="T603" s="2501"/>
      <c r="U603" s="2501"/>
      <c r="V603" s="2501"/>
      <c r="W603" s="2501"/>
      <c r="X603" s="2501"/>
      <c r="Y603" s="2501"/>
      <c r="Z603" s="2501"/>
      <c r="AA603" s="2501"/>
    </row>
    <row r="604" spans="1:27" ht="15.75" customHeight="1" x14ac:dyDescent="0.3">
      <c r="A604" s="2501"/>
      <c r="B604" s="2501"/>
      <c r="C604" s="2501"/>
      <c r="D604" s="2501"/>
      <c r="E604" s="2501"/>
      <c r="F604" s="2501"/>
      <c r="G604" s="2501"/>
      <c r="H604" s="2501"/>
      <c r="I604" s="2501"/>
      <c r="J604" s="2501"/>
      <c r="K604" s="2501"/>
      <c r="L604" s="2501"/>
      <c r="M604" s="2501"/>
      <c r="N604" s="2501"/>
      <c r="O604" s="2501"/>
      <c r="P604" s="2501"/>
      <c r="Q604" s="2501"/>
      <c r="R604" s="2501"/>
      <c r="S604" s="2501"/>
      <c r="T604" s="2501"/>
      <c r="U604" s="2501"/>
      <c r="V604" s="2501"/>
      <c r="W604" s="2501"/>
      <c r="X604" s="2501"/>
      <c r="Y604" s="2501"/>
      <c r="Z604" s="2501"/>
      <c r="AA604" s="2501"/>
    </row>
    <row r="605" spans="1:27" ht="15.75" customHeight="1" x14ac:dyDescent="0.3">
      <c r="A605" s="2501"/>
      <c r="B605" s="2501"/>
      <c r="C605" s="2501"/>
      <c r="D605" s="2501"/>
      <c r="E605" s="2501"/>
      <c r="F605" s="2501"/>
      <c r="G605" s="2501"/>
      <c r="H605" s="2501"/>
      <c r="I605" s="2501"/>
      <c r="J605" s="2501"/>
      <c r="K605" s="2501"/>
      <c r="L605" s="2501"/>
      <c r="M605" s="2501"/>
      <c r="N605" s="2501"/>
      <c r="O605" s="2501"/>
      <c r="P605" s="2501"/>
      <c r="Q605" s="2501"/>
      <c r="R605" s="2501"/>
      <c r="S605" s="2501"/>
      <c r="T605" s="2501"/>
      <c r="U605" s="2501"/>
      <c r="V605" s="2501"/>
      <c r="W605" s="2501"/>
      <c r="X605" s="2501"/>
      <c r="Y605" s="2501"/>
      <c r="Z605" s="2501"/>
      <c r="AA605" s="2501"/>
    </row>
    <row r="606" spans="1:27" ht="15.75" customHeight="1" x14ac:dyDescent="0.3">
      <c r="A606" s="2501"/>
      <c r="B606" s="2501"/>
      <c r="C606" s="2501"/>
      <c r="D606" s="2501"/>
      <c r="E606" s="2501"/>
      <c r="F606" s="2501"/>
      <c r="G606" s="2501"/>
      <c r="H606" s="2501"/>
      <c r="I606" s="2501"/>
      <c r="J606" s="2501"/>
      <c r="K606" s="2501"/>
      <c r="L606" s="2501"/>
      <c r="M606" s="2501"/>
      <c r="N606" s="2501"/>
      <c r="O606" s="2501"/>
      <c r="P606" s="2501"/>
      <c r="Q606" s="2501"/>
      <c r="R606" s="2501"/>
      <c r="S606" s="2501"/>
      <c r="T606" s="2501"/>
      <c r="U606" s="2501"/>
      <c r="V606" s="2501"/>
      <c r="W606" s="2501"/>
      <c r="X606" s="2501"/>
      <c r="Y606" s="2501"/>
      <c r="Z606" s="2501"/>
      <c r="AA606" s="2501"/>
    </row>
    <row r="607" spans="1:27" ht="15.75" customHeight="1" x14ac:dyDescent="0.3">
      <c r="A607" s="2501"/>
      <c r="B607" s="2501"/>
      <c r="C607" s="2501"/>
      <c r="D607" s="2501"/>
      <c r="E607" s="2501"/>
      <c r="F607" s="2501"/>
      <c r="G607" s="2501"/>
      <c r="H607" s="2501"/>
      <c r="I607" s="2501"/>
      <c r="J607" s="2501"/>
      <c r="K607" s="2501"/>
      <c r="L607" s="2501"/>
      <c r="M607" s="2501"/>
      <c r="N607" s="2501"/>
      <c r="O607" s="2501"/>
      <c r="P607" s="2501"/>
      <c r="Q607" s="2501"/>
      <c r="R607" s="2501"/>
      <c r="S607" s="2501"/>
      <c r="T607" s="2501"/>
      <c r="U607" s="2501"/>
      <c r="V607" s="2501"/>
      <c r="W607" s="2501"/>
      <c r="X607" s="2501"/>
      <c r="Y607" s="2501"/>
      <c r="Z607" s="2501"/>
      <c r="AA607" s="2501"/>
    </row>
    <row r="608" spans="1:27" ht="15.75" customHeight="1" x14ac:dyDescent="0.3">
      <c r="A608" s="2501"/>
      <c r="B608" s="2501"/>
      <c r="C608" s="2501"/>
      <c r="D608" s="2501"/>
      <c r="E608" s="2501"/>
      <c r="F608" s="2501"/>
      <c r="G608" s="2501"/>
      <c r="H608" s="2501"/>
      <c r="I608" s="2501"/>
      <c r="J608" s="2501"/>
      <c r="K608" s="2501"/>
      <c r="L608" s="2501"/>
      <c r="M608" s="2501"/>
      <c r="N608" s="2501"/>
      <c r="O608" s="2501"/>
      <c r="P608" s="2501"/>
      <c r="Q608" s="2501"/>
      <c r="R608" s="2501"/>
      <c r="S608" s="2501"/>
      <c r="T608" s="2501"/>
      <c r="U608" s="2501"/>
      <c r="V608" s="2501"/>
      <c r="W608" s="2501"/>
      <c r="X608" s="2501"/>
      <c r="Y608" s="2501"/>
      <c r="Z608" s="2501"/>
      <c r="AA608" s="2501"/>
    </row>
    <row r="609" spans="1:27" ht="15.75" customHeight="1" x14ac:dyDescent="0.3">
      <c r="A609" s="2501"/>
      <c r="B609" s="2501"/>
      <c r="C609" s="2501"/>
      <c r="D609" s="2501"/>
      <c r="E609" s="2501"/>
      <c r="F609" s="2501"/>
      <c r="G609" s="2501"/>
      <c r="H609" s="2501"/>
      <c r="I609" s="2501"/>
      <c r="J609" s="2501"/>
      <c r="K609" s="2501"/>
      <c r="L609" s="2501"/>
      <c r="M609" s="2501"/>
      <c r="N609" s="2501"/>
      <c r="O609" s="2501"/>
      <c r="P609" s="2501"/>
      <c r="Q609" s="2501"/>
      <c r="R609" s="2501"/>
      <c r="S609" s="2501"/>
      <c r="T609" s="2501"/>
      <c r="U609" s="2501"/>
      <c r="V609" s="2501"/>
      <c r="W609" s="2501"/>
      <c r="X609" s="2501"/>
      <c r="Y609" s="2501"/>
      <c r="Z609" s="2501"/>
      <c r="AA609" s="2501"/>
    </row>
    <row r="610" spans="1:27" ht="15.75" customHeight="1" x14ac:dyDescent="0.3">
      <c r="A610" s="2501"/>
      <c r="B610" s="2501"/>
      <c r="C610" s="2501"/>
      <c r="D610" s="2501"/>
      <c r="E610" s="2501"/>
      <c r="F610" s="2501"/>
      <c r="G610" s="2501"/>
      <c r="H610" s="2501"/>
      <c r="I610" s="2501"/>
      <c r="J610" s="2501"/>
      <c r="K610" s="2501"/>
      <c r="L610" s="2501"/>
      <c r="M610" s="2501"/>
      <c r="N610" s="2501"/>
      <c r="O610" s="2501"/>
      <c r="P610" s="2501"/>
      <c r="Q610" s="2501"/>
      <c r="R610" s="2501"/>
      <c r="S610" s="2501"/>
      <c r="T610" s="2501"/>
      <c r="U610" s="2501"/>
      <c r="V610" s="2501"/>
      <c r="W610" s="2501"/>
      <c r="X610" s="2501"/>
      <c r="Y610" s="2501"/>
      <c r="Z610" s="2501"/>
      <c r="AA610" s="2501"/>
    </row>
    <row r="611" spans="1:27" ht="15.75" customHeight="1" x14ac:dyDescent="0.3">
      <c r="A611" s="2501"/>
      <c r="B611" s="2501"/>
      <c r="C611" s="2501"/>
      <c r="D611" s="2501"/>
      <c r="E611" s="2501"/>
      <c r="F611" s="2501"/>
      <c r="G611" s="2501"/>
      <c r="H611" s="2501"/>
      <c r="I611" s="2501"/>
      <c r="J611" s="2501"/>
      <c r="K611" s="2501"/>
      <c r="L611" s="2501"/>
      <c r="M611" s="2501"/>
      <c r="N611" s="2501"/>
      <c r="O611" s="2501"/>
      <c r="P611" s="2501"/>
      <c r="Q611" s="2501"/>
      <c r="R611" s="2501"/>
      <c r="S611" s="2501"/>
      <c r="T611" s="2501"/>
      <c r="U611" s="2501"/>
      <c r="V611" s="2501"/>
      <c r="W611" s="2501"/>
      <c r="X611" s="2501"/>
      <c r="Y611" s="2501"/>
      <c r="Z611" s="2501"/>
      <c r="AA611" s="2501"/>
    </row>
    <row r="612" spans="1:27" ht="15.75" customHeight="1" x14ac:dyDescent="0.3">
      <c r="A612" s="2501"/>
      <c r="B612" s="2501"/>
      <c r="C612" s="2501"/>
      <c r="D612" s="2501"/>
      <c r="E612" s="2501"/>
      <c r="F612" s="2501"/>
      <c r="G612" s="2501"/>
      <c r="H612" s="2501"/>
      <c r="I612" s="2501"/>
      <c r="J612" s="2501"/>
      <c r="K612" s="2501"/>
      <c r="L612" s="2501"/>
      <c r="M612" s="2501"/>
      <c r="N612" s="2501"/>
      <c r="O612" s="2501"/>
      <c r="P612" s="2501"/>
      <c r="Q612" s="2501"/>
      <c r="R612" s="2501"/>
      <c r="S612" s="2501"/>
      <c r="T612" s="2501"/>
      <c r="U612" s="2501"/>
      <c r="V612" s="2501"/>
      <c r="W612" s="2501"/>
      <c r="X612" s="2501"/>
      <c r="Y612" s="2501"/>
      <c r="Z612" s="2501"/>
      <c r="AA612" s="2501"/>
    </row>
    <row r="613" spans="1:27" ht="15.75" customHeight="1" x14ac:dyDescent="0.3">
      <c r="A613" s="2501"/>
      <c r="B613" s="2501"/>
      <c r="C613" s="2501"/>
      <c r="D613" s="2501"/>
      <c r="E613" s="2501"/>
      <c r="F613" s="2501"/>
      <c r="G613" s="2501"/>
      <c r="H613" s="2501"/>
      <c r="I613" s="2501"/>
      <c r="J613" s="2501"/>
      <c r="K613" s="2501"/>
      <c r="L613" s="2501"/>
      <c r="M613" s="2501"/>
      <c r="N613" s="2501"/>
      <c r="O613" s="2501"/>
      <c r="P613" s="2501"/>
      <c r="Q613" s="2501"/>
      <c r="R613" s="2501"/>
      <c r="S613" s="2501"/>
      <c r="T613" s="2501"/>
      <c r="U613" s="2501"/>
      <c r="V613" s="2501"/>
      <c r="W613" s="2501"/>
      <c r="X613" s="2501"/>
      <c r="Y613" s="2501"/>
      <c r="Z613" s="2501"/>
      <c r="AA613" s="2501"/>
    </row>
    <row r="614" spans="1:27" ht="15.75" customHeight="1" x14ac:dyDescent="0.3">
      <c r="A614" s="2501"/>
      <c r="B614" s="2501"/>
      <c r="C614" s="2501"/>
      <c r="D614" s="2501"/>
      <c r="E614" s="2501"/>
      <c r="F614" s="2501"/>
      <c r="G614" s="2501"/>
      <c r="H614" s="2501"/>
      <c r="I614" s="2501"/>
      <c r="J614" s="2501"/>
      <c r="K614" s="2501"/>
      <c r="L614" s="2501"/>
      <c r="M614" s="2501"/>
      <c r="N614" s="2501"/>
      <c r="O614" s="2501"/>
      <c r="P614" s="2501"/>
      <c r="Q614" s="2501"/>
      <c r="R614" s="2501"/>
      <c r="S614" s="2501"/>
      <c r="T614" s="2501"/>
      <c r="U614" s="2501"/>
      <c r="V614" s="2501"/>
      <c r="W614" s="2501"/>
      <c r="X614" s="2501"/>
      <c r="Y614" s="2501"/>
      <c r="Z614" s="2501"/>
      <c r="AA614" s="2501"/>
    </row>
    <row r="615" spans="1:27" ht="15.75" customHeight="1" x14ac:dyDescent="0.3">
      <c r="A615" s="2501"/>
      <c r="B615" s="2501"/>
      <c r="C615" s="2501"/>
      <c r="D615" s="2501"/>
      <c r="E615" s="2501"/>
      <c r="F615" s="2501"/>
      <c r="G615" s="2501"/>
      <c r="H615" s="2501"/>
      <c r="I615" s="2501"/>
      <c r="J615" s="2501"/>
      <c r="K615" s="2501"/>
      <c r="L615" s="2501"/>
      <c r="M615" s="2501"/>
      <c r="N615" s="2501"/>
      <c r="O615" s="2501"/>
      <c r="P615" s="2501"/>
      <c r="Q615" s="2501"/>
      <c r="R615" s="2501"/>
      <c r="S615" s="2501"/>
      <c r="T615" s="2501"/>
      <c r="U615" s="2501"/>
      <c r="V615" s="2501"/>
      <c r="W615" s="2501"/>
      <c r="X615" s="2501"/>
      <c r="Y615" s="2501"/>
      <c r="Z615" s="2501"/>
      <c r="AA615" s="2501"/>
    </row>
    <row r="616" spans="1:27" ht="15.75" customHeight="1" x14ac:dyDescent="0.3">
      <c r="A616" s="2501"/>
      <c r="B616" s="2501"/>
      <c r="C616" s="2501"/>
      <c r="D616" s="2501"/>
      <c r="E616" s="2501"/>
      <c r="F616" s="2501"/>
      <c r="G616" s="2501"/>
      <c r="H616" s="2501"/>
      <c r="I616" s="2501"/>
      <c r="J616" s="2501"/>
      <c r="K616" s="2501"/>
      <c r="L616" s="2501"/>
      <c r="M616" s="2501"/>
      <c r="N616" s="2501"/>
      <c r="O616" s="2501"/>
      <c r="P616" s="2501"/>
      <c r="Q616" s="2501"/>
      <c r="R616" s="2501"/>
      <c r="S616" s="2501"/>
      <c r="T616" s="2501"/>
      <c r="U616" s="2501"/>
      <c r="V616" s="2501"/>
      <c r="W616" s="2501"/>
      <c r="X616" s="2501"/>
      <c r="Y616" s="2501"/>
      <c r="Z616" s="2501"/>
      <c r="AA616" s="2501"/>
    </row>
    <row r="617" spans="1:27" ht="15.75" customHeight="1" x14ac:dyDescent="0.3">
      <c r="A617" s="2501"/>
      <c r="B617" s="2501"/>
      <c r="C617" s="2501"/>
      <c r="D617" s="2501"/>
      <c r="E617" s="2501"/>
      <c r="F617" s="2501"/>
      <c r="G617" s="2501"/>
      <c r="H617" s="2501"/>
      <c r="I617" s="2501"/>
      <c r="J617" s="2501"/>
      <c r="K617" s="2501"/>
      <c r="L617" s="2501"/>
      <c r="M617" s="2501"/>
      <c r="N617" s="2501"/>
      <c r="O617" s="2501"/>
      <c r="P617" s="2501"/>
      <c r="Q617" s="2501"/>
      <c r="R617" s="2501"/>
      <c r="S617" s="2501"/>
      <c r="T617" s="2501"/>
      <c r="U617" s="2501"/>
      <c r="V617" s="2501"/>
      <c r="W617" s="2501"/>
      <c r="X617" s="2501"/>
      <c r="Y617" s="2501"/>
      <c r="Z617" s="2501"/>
      <c r="AA617" s="2501"/>
    </row>
    <row r="618" spans="1:27" ht="15.75" customHeight="1" x14ac:dyDescent="0.3">
      <c r="A618" s="2501"/>
      <c r="B618" s="2501"/>
      <c r="C618" s="2501"/>
      <c r="D618" s="2501"/>
      <c r="E618" s="2501"/>
      <c r="F618" s="2501"/>
      <c r="G618" s="2501"/>
      <c r="H618" s="2501"/>
      <c r="I618" s="2501"/>
      <c r="J618" s="2501"/>
      <c r="K618" s="2501"/>
      <c r="L618" s="2501"/>
      <c r="M618" s="2501"/>
      <c r="N618" s="2501"/>
      <c r="O618" s="2501"/>
      <c r="P618" s="2501"/>
      <c r="Q618" s="2501"/>
      <c r="R618" s="2501"/>
      <c r="S618" s="2501"/>
      <c r="T618" s="2501"/>
      <c r="U618" s="2501"/>
      <c r="V618" s="2501"/>
      <c r="W618" s="2501"/>
      <c r="X618" s="2501"/>
      <c r="Y618" s="2501"/>
      <c r="Z618" s="2501"/>
      <c r="AA618" s="2501"/>
    </row>
    <row r="619" spans="1:27" ht="15.75" customHeight="1" x14ac:dyDescent="0.3">
      <c r="A619" s="2501"/>
      <c r="B619" s="2501"/>
      <c r="C619" s="2501"/>
      <c r="D619" s="2501"/>
      <c r="E619" s="2501"/>
      <c r="F619" s="2501"/>
      <c r="G619" s="2501"/>
      <c r="H619" s="2501"/>
      <c r="I619" s="2501"/>
      <c r="J619" s="2501"/>
      <c r="K619" s="2501"/>
      <c r="L619" s="2501"/>
      <c r="M619" s="2501"/>
      <c r="N619" s="2501"/>
      <c r="O619" s="2501"/>
      <c r="P619" s="2501"/>
      <c r="Q619" s="2501"/>
      <c r="R619" s="2501"/>
      <c r="S619" s="2501"/>
      <c r="T619" s="2501"/>
      <c r="U619" s="2501"/>
      <c r="V619" s="2501"/>
      <c r="W619" s="2501"/>
      <c r="X619" s="2501"/>
      <c r="Y619" s="2501"/>
      <c r="Z619" s="2501"/>
      <c r="AA619" s="2501"/>
    </row>
    <row r="620" spans="1:27" ht="15.75" customHeight="1" x14ac:dyDescent="0.3">
      <c r="A620" s="2501"/>
      <c r="B620" s="2501"/>
      <c r="C620" s="2501"/>
      <c r="D620" s="2501"/>
      <c r="E620" s="2501"/>
      <c r="F620" s="2501"/>
      <c r="G620" s="2501"/>
      <c r="H620" s="2501"/>
      <c r="I620" s="2501"/>
      <c r="J620" s="2501"/>
      <c r="K620" s="2501"/>
      <c r="L620" s="2501"/>
      <c r="M620" s="2501"/>
      <c r="N620" s="2501"/>
      <c r="O620" s="2501"/>
      <c r="P620" s="2501"/>
      <c r="Q620" s="2501"/>
      <c r="R620" s="2501"/>
      <c r="S620" s="2501"/>
      <c r="T620" s="2501"/>
      <c r="U620" s="2501"/>
      <c r="V620" s="2501"/>
      <c r="W620" s="2501"/>
      <c r="X620" s="2501"/>
      <c r="Y620" s="2501"/>
      <c r="Z620" s="2501"/>
      <c r="AA620" s="2501"/>
    </row>
    <row r="621" spans="1:27" ht="15.75" customHeight="1" x14ac:dyDescent="0.3">
      <c r="A621" s="2501"/>
      <c r="B621" s="2501"/>
      <c r="C621" s="2501"/>
      <c r="D621" s="2501"/>
      <c r="E621" s="2501"/>
      <c r="F621" s="2501"/>
      <c r="G621" s="2501"/>
      <c r="H621" s="2501"/>
      <c r="I621" s="2501"/>
      <c r="J621" s="2501"/>
      <c r="K621" s="2501"/>
      <c r="L621" s="2501"/>
      <c r="M621" s="2501"/>
      <c r="N621" s="2501"/>
      <c r="O621" s="2501"/>
      <c r="P621" s="2501"/>
      <c r="Q621" s="2501"/>
      <c r="R621" s="2501"/>
      <c r="S621" s="2501"/>
      <c r="T621" s="2501"/>
      <c r="U621" s="2501"/>
      <c r="V621" s="2501"/>
      <c r="W621" s="2501"/>
      <c r="X621" s="2501"/>
      <c r="Y621" s="2501"/>
      <c r="Z621" s="2501"/>
      <c r="AA621" s="2501"/>
    </row>
    <row r="622" spans="1:27" ht="15.75" customHeight="1" x14ac:dyDescent="0.3">
      <c r="A622" s="2501"/>
      <c r="B622" s="2501"/>
      <c r="C622" s="2501"/>
      <c r="D622" s="2501"/>
      <c r="E622" s="2501"/>
      <c r="F622" s="2501"/>
      <c r="G622" s="2501"/>
      <c r="H622" s="2501"/>
      <c r="I622" s="2501"/>
      <c r="J622" s="2501"/>
      <c r="K622" s="2501"/>
      <c r="L622" s="2501"/>
      <c r="M622" s="2501"/>
      <c r="N622" s="2501"/>
      <c r="O622" s="2501"/>
      <c r="P622" s="2501"/>
      <c r="Q622" s="2501"/>
      <c r="R622" s="2501"/>
      <c r="S622" s="2501"/>
      <c r="T622" s="2501"/>
      <c r="U622" s="2501"/>
      <c r="V622" s="2501"/>
      <c r="W622" s="2501"/>
      <c r="X622" s="2501"/>
      <c r="Y622" s="2501"/>
      <c r="Z622" s="2501"/>
      <c r="AA622" s="2501"/>
    </row>
    <row r="623" spans="1:27" ht="15.75" customHeight="1" x14ac:dyDescent="0.3">
      <c r="A623" s="2501"/>
      <c r="B623" s="2501"/>
      <c r="C623" s="2501"/>
      <c r="D623" s="2501"/>
      <c r="E623" s="2501"/>
      <c r="F623" s="2501"/>
      <c r="G623" s="2501"/>
      <c r="H623" s="2501"/>
      <c r="I623" s="2501"/>
      <c r="J623" s="2501"/>
      <c r="K623" s="2501"/>
      <c r="L623" s="2501"/>
      <c r="M623" s="2501"/>
      <c r="N623" s="2501"/>
      <c r="O623" s="2501"/>
      <c r="P623" s="2501"/>
      <c r="Q623" s="2501"/>
      <c r="R623" s="2501"/>
      <c r="S623" s="2501"/>
      <c r="T623" s="2501"/>
      <c r="U623" s="2501"/>
      <c r="V623" s="2501"/>
      <c r="W623" s="2501"/>
      <c r="X623" s="2501"/>
      <c r="Y623" s="2501"/>
      <c r="Z623" s="2501"/>
      <c r="AA623" s="2501"/>
    </row>
    <row r="624" spans="1:27" ht="15.75" customHeight="1" x14ac:dyDescent="0.3">
      <c r="A624" s="2501"/>
      <c r="B624" s="2501"/>
      <c r="C624" s="2501"/>
      <c r="D624" s="2501"/>
      <c r="E624" s="2501"/>
      <c r="F624" s="2501"/>
      <c r="G624" s="2501"/>
      <c r="H624" s="2501"/>
      <c r="I624" s="2501"/>
      <c r="J624" s="2501"/>
      <c r="K624" s="2501"/>
      <c r="L624" s="2501"/>
      <c r="M624" s="2501"/>
      <c r="N624" s="2501"/>
      <c r="O624" s="2501"/>
      <c r="P624" s="2501"/>
      <c r="Q624" s="2501"/>
      <c r="R624" s="2501"/>
      <c r="S624" s="2501"/>
      <c r="T624" s="2501"/>
      <c r="U624" s="2501"/>
      <c r="V624" s="2501"/>
      <c r="W624" s="2501"/>
      <c r="X624" s="2501"/>
      <c r="Y624" s="2501"/>
      <c r="Z624" s="2501"/>
      <c r="AA624" s="2501"/>
    </row>
    <row r="625" spans="1:27" ht="15.75" customHeight="1" x14ac:dyDescent="0.3">
      <c r="A625" s="2501"/>
      <c r="B625" s="2501"/>
      <c r="C625" s="2501"/>
      <c r="D625" s="2501"/>
      <c r="E625" s="2501"/>
      <c r="F625" s="2501"/>
      <c r="G625" s="2501"/>
      <c r="H625" s="2501"/>
      <c r="I625" s="2501"/>
      <c r="J625" s="2501"/>
      <c r="K625" s="2501"/>
      <c r="L625" s="2501"/>
      <c r="M625" s="2501"/>
      <c r="N625" s="2501"/>
      <c r="O625" s="2501"/>
      <c r="P625" s="2501"/>
      <c r="Q625" s="2501"/>
      <c r="R625" s="2501"/>
      <c r="S625" s="2501"/>
      <c r="T625" s="2501"/>
      <c r="U625" s="2501"/>
      <c r="V625" s="2501"/>
      <c r="W625" s="2501"/>
      <c r="X625" s="2501"/>
      <c r="Y625" s="2501"/>
      <c r="Z625" s="2501"/>
      <c r="AA625" s="2501"/>
    </row>
    <row r="626" spans="1:27" ht="15.75" customHeight="1" x14ac:dyDescent="0.3">
      <c r="A626" s="2501"/>
      <c r="B626" s="2501"/>
      <c r="C626" s="2501"/>
      <c r="D626" s="2501"/>
      <c r="E626" s="2501"/>
      <c r="F626" s="2501"/>
      <c r="G626" s="2501"/>
      <c r="H626" s="2501"/>
      <c r="I626" s="2501"/>
      <c r="J626" s="2501"/>
      <c r="K626" s="2501"/>
      <c r="L626" s="2501"/>
      <c r="M626" s="2501"/>
      <c r="N626" s="2501"/>
      <c r="O626" s="2501"/>
      <c r="P626" s="2501"/>
      <c r="Q626" s="2501"/>
      <c r="R626" s="2501"/>
      <c r="S626" s="2501"/>
      <c r="T626" s="2501"/>
      <c r="U626" s="2501"/>
      <c r="V626" s="2501"/>
      <c r="W626" s="2501"/>
      <c r="X626" s="2501"/>
      <c r="Y626" s="2501"/>
      <c r="Z626" s="2501"/>
      <c r="AA626" s="2501"/>
    </row>
    <row r="627" spans="1:27" ht="15.75" customHeight="1" x14ac:dyDescent="0.3">
      <c r="A627" s="2501"/>
      <c r="B627" s="2501"/>
      <c r="C627" s="2501"/>
      <c r="D627" s="2501"/>
      <c r="E627" s="2501"/>
      <c r="F627" s="2501"/>
      <c r="G627" s="2501"/>
      <c r="H627" s="2501"/>
      <c r="I627" s="2501"/>
      <c r="J627" s="2501"/>
      <c r="K627" s="2501"/>
      <c r="L627" s="2501"/>
      <c r="M627" s="2501"/>
      <c r="N627" s="2501"/>
      <c r="O627" s="2501"/>
      <c r="P627" s="2501"/>
      <c r="Q627" s="2501"/>
      <c r="R627" s="2501"/>
      <c r="S627" s="2501"/>
      <c r="T627" s="2501"/>
      <c r="U627" s="2501"/>
      <c r="V627" s="2501"/>
      <c r="W627" s="2501"/>
      <c r="X627" s="2501"/>
      <c r="Y627" s="2501"/>
      <c r="Z627" s="2501"/>
      <c r="AA627" s="2501"/>
    </row>
    <row r="628" spans="1:27" ht="15.75" customHeight="1" x14ac:dyDescent="0.3">
      <c r="A628" s="2501"/>
      <c r="B628" s="2501"/>
      <c r="C628" s="2501"/>
      <c r="D628" s="2501"/>
      <c r="E628" s="2501"/>
      <c r="F628" s="2501"/>
      <c r="G628" s="2501"/>
      <c r="H628" s="2501"/>
      <c r="I628" s="2501"/>
      <c r="J628" s="2501"/>
      <c r="K628" s="2501"/>
      <c r="L628" s="2501"/>
      <c r="M628" s="2501"/>
      <c r="N628" s="2501"/>
      <c r="O628" s="2501"/>
      <c r="P628" s="2501"/>
      <c r="Q628" s="2501"/>
      <c r="R628" s="2501"/>
      <c r="S628" s="2501"/>
      <c r="T628" s="2501"/>
      <c r="U628" s="2501"/>
      <c r="V628" s="2501"/>
      <c r="W628" s="2501"/>
      <c r="X628" s="2501"/>
      <c r="Y628" s="2501"/>
      <c r="Z628" s="2501"/>
      <c r="AA628" s="2501"/>
    </row>
    <row r="629" spans="1:27" ht="15.75" customHeight="1" x14ac:dyDescent="0.3">
      <c r="A629" s="2501"/>
      <c r="B629" s="2501"/>
      <c r="C629" s="2501"/>
      <c r="D629" s="2501"/>
      <c r="E629" s="2501"/>
      <c r="F629" s="2501"/>
      <c r="G629" s="2501"/>
      <c r="H629" s="2501"/>
      <c r="I629" s="2501"/>
      <c r="J629" s="2501"/>
      <c r="K629" s="2501"/>
      <c r="L629" s="2501"/>
      <c r="M629" s="2501"/>
      <c r="N629" s="2501"/>
      <c r="O629" s="2501"/>
      <c r="P629" s="2501"/>
      <c r="Q629" s="2501"/>
      <c r="R629" s="2501"/>
      <c r="S629" s="2501"/>
      <c r="T629" s="2501"/>
      <c r="U629" s="2501"/>
      <c r="V629" s="2501"/>
      <c r="W629" s="2501"/>
      <c r="X629" s="2501"/>
      <c r="Y629" s="2501"/>
      <c r="Z629" s="2501"/>
      <c r="AA629" s="2501"/>
    </row>
    <row r="630" spans="1:27" ht="15.75" customHeight="1" x14ac:dyDescent="0.3">
      <c r="A630" s="2501"/>
      <c r="B630" s="2501"/>
      <c r="C630" s="2501"/>
      <c r="D630" s="2501"/>
      <c r="E630" s="2501"/>
      <c r="F630" s="2501"/>
      <c r="G630" s="2501"/>
      <c r="H630" s="2501"/>
      <c r="I630" s="2501"/>
      <c r="J630" s="2501"/>
      <c r="K630" s="2501"/>
      <c r="L630" s="2501"/>
      <c r="M630" s="2501"/>
      <c r="N630" s="2501"/>
      <c r="O630" s="2501"/>
      <c r="P630" s="2501"/>
      <c r="Q630" s="2501"/>
      <c r="R630" s="2501"/>
      <c r="S630" s="2501"/>
      <c r="T630" s="2501"/>
      <c r="U630" s="2501"/>
      <c r="V630" s="2501"/>
      <c r="W630" s="2501"/>
      <c r="X630" s="2501"/>
      <c r="Y630" s="2501"/>
      <c r="Z630" s="2501"/>
      <c r="AA630" s="2501"/>
    </row>
    <row r="631" spans="1:27" ht="15.75" customHeight="1" x14ac:dyDescent="0.3">
      <c r="A631" s="2501"/>
      <c r="B631" s="2501"/>
      <c r="C631" s="2501"/>
      <c r="D631" s="2501"/>
      <c r="E631" s="2501"/>
      <c r="F631" s="2501"/>
      <c r="G631" s="2501"/>
      <c r="H631" s="2501"/>
      <c r="I631" s="2501"/>
      <c r="J631" s="2501"/>
      <c r="K631" s="2501"/>
      <c r="L631" s="2501"/>
      <c r="M631" s="2501"/>
      <c r="N631" s="2501"/>
      <c r="O631" s="2501"/>
      <c r="P631" s="2501"/>
      <c r="Q631" s="2501"/>
      <c r="R631" s="2501"/>
      <c r="S631" s="2501"/>
      <c r="T631" s="2501"/>
      <c r="U631" s="2501"/>
      <c r="V631" s="2501"/>
      <c r="W631" s="2501"/>
      <c r="X631" s="2501"/>
      <c r="Y631" s="2501"/>
      <c r="Z631" s="2501"/>
      <c r="AA631" s="2501"/>
    </row>
    <row r="632" spans="1:27" ht="15.75" customHeight="1" x14ac:dyDescent="0.3">
      <c r="A632" s="2501"/>
      <c r="B632" s="2501"/>
      <c r="C632" s="2501"/>
      <c r="D632" s="2501"/>
      <c r="E632" s="2501"/>
      <c r="F632" s="2501"/>
      <c r="G632" s="2501"/>
      <c r="H632" s="2501"/>
      <c r="I632" s="2501"/>
      <c r="J632" s="2501"/>
      <c r="K632" s="2501"/>
      <c r="L632" s="2501"/>
      <c r="M632" s="2501"/>
      <c r="N632" s="2501"/>
      <c r="O632" s="2501"/>
      <c r="P632" s="2501"/>
      <c r="Q632" s="2501"/>
      <c r="R632" s="2501"/>
      <c r="S632" s="2501"/>
      <c r="T632" s="2501"/>
      <c r="U632" s="2501"/>
      <c r="V632" s="2501"/>
      <c r="W632" s="2501"/>
      <c r="X632" s="2501"/>
      <c r="Y632" s="2501"/>
      <c r="Z632" s="2501"/>
      <c r="AA632" s="2501"/>
    </row>
    <row r="633" spans="1:27" ht="15.75" customHeight="1" x14ac:dyDescent="0.3">
      <c r="A633" s="2501"/>
      <c r="B633" s="2501"/>
      <c r="C633" s="2501"/>
      <c r="D633" s="2501"/>
      <c r="E633" s="2501"/>
      <c r="F633" s="2501"/>
      <c r="G633" s="2501"/>
      <c r="H633" s="2501"/>
      <c r="I633" s="2501"/>
      <c r="J633" s="2501"/>
      <c r="K633" s="2501"/>
      <c r="L633" s="2501"/>
      <c r="M633" s="2501"/>
      <c r="N633" s="2501"/>
      <c r="O633" s="2501"/>
      <c r="P633" s="2501"/>
      <c r="Q633" s="2501"/>
      <c r="R633" s="2501"/>
      <c r="S633" s="2501"/>
      <c r="T633" s="2501"/>
      <c r="U633" s="2501"/>
      <c r="V633" s="2501"/>
      <c r="W633" s="2501"/>
      <c r="X633" s="2501"/>
      <c r="Y633" s="2501"/>
      <c r="Z633" s="2501"/>
      <c r="AA633" s="2501"/>
    </row>
    <row r="634" spans="1:27" ht="15.75" customHeight="1" x14ac:dyDescent="0.3">
      <c r="A634" s="2501"/>
      <c r="B634" s="2501"/>
      <c r="C634" s="2501"/>
      <c r="D634" s="2501"/>
      <c r="E634" s="2501"/>
      <c r="F634" s="2501"/>
      <c r="G634" s="2501"/>
      <c r="H634" s="2501"/>
      <c r="I634" s="2501"/>
      <c r="J634" s="2501"/>
      <c r="K634" s="2501"/>
      <c r="L634" s="2501"/>
      <c r="M634" s="2501"/>
      <c r="N634" s="2501"/>
      <c r="O634" s="2501"/>
      <c r="P634" s="2501"/>
      <c r="Q634" s="2501"/>
      <c r="R634" s="2501"/>
      <c r="S634" s="2501"/>
      <c r="T634" s="2501"/>
      <c r="U634" s="2501"/>
      <c r="V634" s="2501"/>
      <c r="W634" s="2501"/>
      <c r="X634" s="2501"/>
      <c r="Y634" s="2501"/>
      <c r="Z634" s="2501"/>
      <c r="AA634" s="2501"/>
    </row>
    <row r="635" spans="1:27" ht="15.75" customHeight="1" x14ac:dyDescent="0.3">
      <c r="A635" s="2501"/>
      <c r="B635" s="2501"/>
      <c r="C635" s="2501"/>
      <c r="D635" s="2501"/>
      <c r="E635" s="2501"/>
      <c r="F635" s="2501"/>
      <c r="G635" s="2501"/>
      <c r="H635" s="2501"/>
      <c r="I635" s="2501"/>
      <c r="J635" s="2501"/>
      <c r="K635" s="2501"/>
      <c r="L635" s="2501"/>
      <c r="M635" s="2501"/>
      <c r="N635" s="2501"/>
      <c r="O635" s="2501"/>
      <c r="P635" s="2501"/>
      <c r="Q635" s="2501"/>
      <c r="R635" s="2501"/>
      <c r="S635" s="2501"/>
      <c r="T635" s="2501"/>
      <c r="U635" s="2501"/>
      <c r="V635" s="2501"/>
      <c r="W635" s="2501"/>
      <c r="X635" s="2501"/>
      <c r="Y635" s="2501"/>
      <c r="Z635" s="2501"/>
      <c r="AA635" s="2501"/>
    </row>
    <row r="636" spans="1:27" ht="15.75" customHeight="1" x14ac:dyDescent="0.3">
      <c r="A636" s="2501"/>
      <c r="B636" s="2501"/>
      <c r="C636" s="2501"/>
      <c r="D636" s="2501"/>
      <c r="E636" s="2501"/>
      <c r="F636" s="2501"/>
      <c r="G636" s="2501"/>
      <c r="H636" s="2501"/>
      <c r="I636" s="2501"/>
      <c r="J636" s="2501"/>
      <c r="K636" s="2501"/>
      <c r="L636" s="2501"/>
      <c r="M636" s="2501"/>
      <c r="N636" s="2501"/>
      <c r="O636" s="2501"/>
      <c r="P636" s="2501"/>
      <c r="Q636" s="2501"/>
      <c r="R636" s="2501"/>
      <c r="S636" s="2501"/>
      <c r="T636" s="2501"/>
      <c r="U636" s="2501"/>
      <c r="V636" s="2501"/>
      <c r="W636" s="2501"/>
      <c r="X636" s="2501"/>
      <c r="Y636" s="2501"/>
      <c r="Z636" s="2501"/>
      <c r="AA636" s="2501"/>
    </row>
    <row r="637" spans="1:27" ht="15.75" customHeight="1" x14ac:dyDescent="0.3">
      <c r="A637" s="2501"/>
      <c r="B637" s="2501"/>
      <c r="C637" s="2501"/>
      <c r="D637" s="2501"/>
      <c r="E637" s="2501"/>
      <c r="F637" s="2501"/>
      <c r="G637" s="2501"/>
      <c r="H637" s="2501"/>
      <c r="I637" s="2501"/>
      <c r="J637" s="2501"/>
      <c r="K637" s="2501"/>
      <c r="L637" s="2501"/>
      <c r="M637" s="2501"/>
      <c r="N637" s="2501"/>
      <c r="O637" s="2501"/>
      <c r="P637" s="2501"/>
      <c r="Q637" s="2501"/>
      <c r="R637" s="2501"/>
      <c r="S637" s="2501"/>
      <c r="T637" s="2501"/>
      <c r="U637" s="2501"/>
      <c r="V637" s="2501"/>
      <c r="W637" s="2501"/>
      <c r="X637" s="2501"/>
      <c r="Y637" s="2501"/>
      <c r="Z637" s="2501"/>
      <c r="AA637" s="2501"/>
    </row>
    <row r="638" spans="1:27" ht="15.75" customHeight="1" x14ac:dyDescent="0.3">
      <c r="A638" s="2501"/>
      <c r="B638" s="2501"/>
      <c r="C638" s="2501"/>
      <c r="D638" s="2501"/>
      <c r="E638" s="2501"/>
      <c r="F638" s="2501"/>
      <c r="G638" s="2501"/>
      <c r="H638" s="2501"/>
      <c r="I638" s="2501"/>
      <c r="J638" s="2501"/>
      <c r="K638" s="2501"/>
      <c r="L638" s="2501"/>
      <c r="M638" s="2501"/>
      <c r="N638" s="2501"/>
      <c r="O638" s="2501"/>
      <c r="P638" s="2501"/>
      <c r="Q638" s="2501"/>
      <c r="R638" s="2501"/>
      <c r="S638" s="2501"/>
      <c r="T638" s="2501"/>
      <c r="U638" s="2501"/>
      <c r="V638" s="2501"/>
      <c r="W638" s="2501"/>
      <c r="X638" s="2501"/>
      <c r="Y638" s="2501"/>
      <c r="Z638" s="2501"/>
      <c r="AA638" s="2501"/>
    </row>
    <row r="639" spans="1:27" ht="15.75" customHeight="1" x14ac:dyDescent="0.3">
      <c r="A639" s="2501"/>
      <c r="B639" s="2501"/>
      <c r="C639" s="2501"/>
      <c r="D639" s="2501"/>
      <c r="E639" s="2501"/>
      <c r="F639" s="2501"/>
      <c r="G639" s="2501"/>
      <c r="H639" s="2501"/>
      <c r="I639" s="2501"/>
      <c r="J639" s="2501"/>
      <c r="K639" s="2501"/>
      <c r="L639" s="2501"/>
      <c r="M639" s="2501"/>
      <c r="N639" s="2501"/>
      <c r="O639" s="2501"/>
      <c r="P639" s="2501"/>
      <c r="Q639" s="2501"/>
      <c r="R639" s="2501"/>
      <c r="S639" s="2501"/>
      <c r="T639" s="2501"/>
      <c r="U639" s="2501"/>
      <c r="V639" s="2501"/>
      <c r="W639" s="2501"/>
      <c r="X639" s="2501"/>
      <c r="Y639" s="2501"/>
      <c r="Z639" s="2501"/>
      <c r="AA639" s="2501"/>
    </row>
    <row r="640" spans="1:27" ht="15.75" customHeight="1" x14ac:dyDescent="0.3">
      <c r="A640" s="2501"/>
      <c r="B640" s="2501"/>
      <c r="C640" s="2501"/>
      <c r="D640" s="2501"/>
      <c r="E640" s="2501"/>
      <c r="F640" s="2501"/>
      <c r="G640" s="2501"/>
      <c r="H640" s="2501"/>
      <c r="I640" s="2501"/>
      <c r="J640" s="2501"/>
      <c r="K640" s="2501"/>
      <c r="L640" s="2501"/>
      <c r="M640" s="2501"/>
      <c r="N640" s="2501"/>
      <c r="O640" s="2501"/>
      <c r="P640" s="2501"/>
      <c r="Q640" s="2501"/>
      <c r="R640" s="2501"/>
      <c r="S640" s="2501"/>
      <c r="T640" s="2501"/>
      <c r="U640" s="2501"/>
      <c r="V640" s="2501"/>
      <c r="W640" s="2501"/>
      <c r="X640" s="2501"/>
      <c r="Y640" s="2501"/>
      <c r="Z640" s="2501"/>
      <c r="AA640" s="2501"/>
    </row>
    <row r="641" spans="1:27" ht="15.75" customHeight="1" x14ac:dyDescent="0.3">
      <c r="A641" s="2501"/>
      <c r="B641" s="2501"/>
      <c r="C641" s="2501"/>
      <c r="D641" s="2501"/>
      <c r="E641" s="2501"/>
      <c r="F641" s="2501"/>
      <c r="G641" s="2501"/>
      <c r="H641" s="2501"/>
      <c r="I641" s="2501"/>
      <c r="J641" s="2501"/>
      <c r="K641" s="2501"/>
      <c r="L641" s="2501"/>
      <c r="M641" s="2501"/>
      <c r="N641" s="2501"/>
      <c r="O641" s="2501"/>
      <c r="P641" s="2501"/>
      <c r="Q641" s="2501"/>
      <c r="R641" s="2501"/>
      <c r="S641" s="2501"/>
      <c r="T641" s="2501"/>
      <c r="U641" s="2501"/>
      <c r="V641" s="2501"/>
      <c r="W641" s="2501"/>
      <c r="X641" s="2501"/>
      <c r="Y641" s="2501"/>
      <c r="Z641" s="2501"/>
      <c r="AA641" s="2501"/>
    </row>
    <row r="642" spans="1:27" ht="15.75" customHeight="1" x14ac:dyDescent="0.3">
      <c r="A642" s="2501"/>
      <c r="B642" s="2501"/>
      <c r="C642" s="2501"/>
      <c r="D642" s="2501"/>
      <c r="E642" s="2501"/>
      <c r="F642" s="2501"/>
      <c r="G642" s="2501"/>
      <c r="H642" s="2501"/>
      <c r="I642" s="2501"/>
      <c r="J642" s="2501"/>
      <c r="K642" s="2501"/>
      <c r="L642" s="2501"/>
      <c r="M642" s="2501"/>
      <c r="N642" s="2501"/>
      <c r="O642" s="2501"/>
      <c r="P642" s="2501"/>
      <c r="Q642" s="2501"/>
      <c r="R642" s="2501"/>
      <c r="S642" s="2501"/>
      <c r="T642" s="2501"/>
      <c r="U642" s="2501"/>
      <c r="V642" s="2501"/>
      <c r="W642" s="2501"/>
      <c r="X642" s="2501"/>
      <c r="Y642" s="2501"/>
      <c r="Z642" s="2501"/>
      <c r="AA642" s="2501"/>
    </row>
    <row r="643" spans="1:27" ht="15.75" customHeight="1" x14ac:dyDescent="0.3">
      <c r="A643" s="2501"/>
      <c r="B643" s="2501"/>
      <c r="C643" s="2501"/>
      <c r="D643" s="2501"/>
      <c r="E643" s="2501"/>
      <c r="F643" s="2501"/>
      <c r="G643" s="2501"/>
      <c r="H643" s="2501"/>
      <c r="I643" s="2501"/>
      <c r="J643" s="2501"/>
      <c r="K643" s="2501"/>
      <c r="L643" s="2501"/>
      <c r="M643" s="2501"/>
      <c r="N643" s="2501"/>
      <c r="O643" s="2501"/>
      <c r="P643" s="2501"/>
      <c r="Q643" s="2501"/>
      <c r="R643" s="2501"/>
      <c r="S643" s="2501"/>
      <c r="T643" s="2501"/>
      <c r="U643" s="2501"/>
      <c r="V643" s="2501"/>
      <c r="W643" s="2501"/>
      <c r="X643" s="2501"/>
      <c r="Y643" s="2501"/>
      <c r="Z643" s="2501"/>
      <c r="AA643" s="2501"/>
    </row>
    <row r="644" spans="1:27" ht="15.75" customHeight="1" x14ac:dyDescent="0.3">
      <c r="A644" s="2501"/>
      <c r="B644" s="2501"/>
      <c r="C644" s="2501"/>
      <c r="D644" s="2501"/>
      <c r="E644" s="2501"/>
      <c r="F644" s="2501"/>
      <c r="G644" s="2501"/>
      <c r="H644" s="2501"/>
      <c r="I644" s="2501"/>
      <c r="J644" s="2501"/>
      <c r="K644" s="2501"/>
      <c r="L644" s="2501"/>
      <c r="M644" s="2501"/>
      <c r="N644" s="2501"/>
      <c r="O644" s="2501"/>
      <c r="P644" s="2501"/>
      <c r="Q644" s="2501"/>
      <c r="R644" s="2501"/>
      <c r="S644" s="2501"/>
      <c r="T644" s="2501"/>
      <c r="U644" s="2501"/>
      <c r="V644" s="2501"/>
      <c r="W644" s="2501"/>
      <c r="X644" s="2501"/>
      <c r="Y644" s="2501"/>
      <c r="Z644" s="2501"/>
      <c r="AA644" s="2501"/>
    </row>
    <row r="645" spans="1:27" ht="15.75" customHeight="1" x14ac:dyDescent="0.3">
      <c r="A645" s="2501"/>
      <c r="B645" s="2501"/>
      <c r="C645" s="2501"/>
      <c r="D645" s="2501"/>
      <c r="E645" s="2501"/>
      <c r="F645" s="2501"/>
      <c r="G645" s="2501"/>
      <c r="H645" s="2501"/>
      <c r="I645" s="2501"/>
      <c r="J645" s="2501"/>
      <c r="K645" s="2501"/>
      <c r="L645" s="2501"/>
      <c r="M645" s="2501"/>
      <c r="N645" s="2501"/>
      <c r="O645" s="2501"/>
      <c r="P645" s="2501"/>
      <c r="Q645" s="2501"/>
      <c r="R645" s="2501"/>
      <c r="S645" s="2501"/>
      <c r="T645" s="2501"/>
      <c r="U645" s="2501"/>
      <c r="V645" s="2501"/>
      <c r="W645" s="2501"/>
      <c r="X645" s="2501"/>
      <c r="Y645" s="2501"/>
      <c r="Z645" s="2501"/>
      <c r="AA645" s="2501"/>
    </row>
    <row r="646" spans="1:27" ht="15.75" customHeight="1" x14ac:dyDescent="0.3">
      <c r="A646" s="2501"/>
      <c r="B646" s="2501"/>
      <c r="C646" s="2501"/>
      <c r="D646" s="2501"/>
      <c r="E646" s="2501"/>
      <c r="F646" s="2501"/>
      <c r="G646" s="2501"/>
      <c r="H646" s="2501"/>
      <c r="I646" s="2501"/>
      <c r="J646" s="2501"/>
      <c r="K646" s="2501"/>
      <c r="L646" s="2501"/>
      <c r="M646" s="2501"/>
      <c r="N646" s="2501"/>
      <c r="O646" s="2501"/>
      <c r="P646" s="2501"/>
      <c r="Q646" s="2501"/>
      <c r="R646" s="2501"/>
      <c r="S646" s="2501"/>
      <c r="T646" s="2501"/>
      <c r="U646" s="2501"/>
      <c r="V646" s="2501"/>
      <c r="W646" s="2501"/>
      <c r="X646" s="2501"/>
      <c r="Y646" s="2501"/>
      <c r="Z646" s="2501"/>
      <c r="AA646" s="2501"/>
    </row>
    <row r="647" spans="1:27" ht="15.75" customHeight="1" x14ac:dyDescent="0.3">
      <c r="A647" s="2501"/>
      <c r="B647" s="2501"/>
      <c r="C647" s="2501"/>
      <c r="D647" s="2501"/>
      <c r="E647" s="2501"/>
      <c r="F647" s="2501"/>
      <c r="G647" s="2501"/>
      <c r="H647" s="2501"/>
      <c r="I647" s="2501"/>
      <c r="J647" s="2501"/>
      <c r="K647" s="2501"/>
      <c r="L647" s="2501"/>
      <c r="M647" s="2501"/>
      <c r="N647" s="2501"/>
      <c r="O647" s="2501"/>
      <c r="P647" s="2501"/>
      <c r="Q647" s="2501"/>
      <c r="R647" s="2501"/>
      <c r="S647" s="2501"/>
      <c r="T647" s="2501"/>
      <c r="U647" s="2501"/>
      <c r="V647" s="2501"/>
      <c r="W647" s="2501"/>
      <c r="X647" s="2501"/>
      <c r="Y647" s="2501"/>
      <c r="Z647" s="2501"/>
      <c r="AA647" s="2501"/>
    </row>
    <row r="648" spans="1:27" ht="15.75" customHeight="1" x14ac:dyDescent="0.3">
      <c r="A648" s="2501"/>
      <c r="B648" s="2501"/>
      <c r="C648" s="2501"/>
      <c r="D648" s="2501"/>
      <c r="E648" s="2501"/>
      <c r="F648" s="2501"/>
      <c r="G648" s="2501"/>
      <c r="H648" s="2501"/>
      <c r="I648" s="2501"/>
      <c r="J648" s="2501"/>
      <c r="K648" s="2501"/>
      <c r="L648" s="2501"/>
      <c r="M648" s="2501"/>
      <c r="N648" s="2501"/>
      <c r="O648" s="2501"/>
      <c r="P648" s="2501"/>
      <c r="Q648" s="2501"/>
      <c r="R648" s="2501"/>
      <c r="S648" s="2501"/>
      <c r="T648" s="2501"/>
      <c r="U648" s="2501"/>
      <c r="V648" s="2501"/>
      <c r="W648" s="2501"/>
      <c r="X648" s="2501"/>
      <c r="Y648" s="2501"/>
      <c r="Z648" s="2501"/>
      <c r="AA648" s="2501"/>
    </row>
    <row r="649" spans="1:27" ht="15.75" customHeight="1" x14ac:dyDescent="0.3">
      <c r="A649" s="2501"/>
      <c r="B649" s="2501"/>
      <c r="C649" s="2501"/>
      <c r="D649" s="2501"/>
      <c r="E649" s="2501"/>
      <c r="F649" s="2501"/>
      <c r="G649" s="2501"/>
      <c r="H649" s="2501"/>
      <c r="I649" s="2501"/>
      <c r="J649" s="2501"/>
      <c r="K649" s="2501"/>
      <c r="L649" s="2501"/>
      <c r="M649" s="2501"/>
      <c r="N649" s="2501"/>
      <c r="O649" s="2501"/>
      <c r="P649" s="2501"/>
      <c r="Q649" s="2501"/>
      <c r="R649" s="2501"/>
      <c r="S649" s="2501"/>
      <c r="T649" s="2501"/>
      <c r="U649" s="2501"/>
      <c r="V649" s="2501"/>
      <c r="W649" s="2501"/>
      <c r="X649" s="2501"/>
      <c r="Y649" s="2501"/>
      <c r="Z649" s="2501"/>
      <c r="AA649" s="2501"/>
    </row>
    <row r="650" spans="1:27" ht="15.75" customHeight="1" x14ac:dyDescent="0.3">
      <c r="A650" s="2501"/>
      <c r="B650" s="2501"/>
      <c r="C650" s="2501"/>
      <c r="D650" s="2501"/>
      <c r="E650" s="2501"/>
      <c r="F650" s="2501"/>
      <c r="G650" s="2501"/>
      <c r="H650" s="2501"/>
      <c r="I650" s="2501"/>
      <c r="J650" s="2501"/>
      <c r="K650" s="2501"/>
      <c r="L650" s="2501"/>
      <c r="M650" s="2501"/>
      <c r="N650" s="2501"/>
      <c r="O650" s="2501"/>
      <c r="P650" s="2501"/>
      <c r="Q650" s="2501"/>
      <c r="R650" s="2501"/>
      <c r="S650" s="2501"/>
      <c r="T650" s="2501"/>
      <c r="U650" s="2501"/>
      <c r="V650" s="2501"/>
      <c r="W650" s="2501"/>
      <c r="X650" s="2501"/>
      <c r="Y650" s="2501"/>
      <c r="Z650" s="2501"/>
      <c r="AA650" s="2501"/>
    </row>
    <row r="651" spans="1:27" ht="15.75" customHeight="1" x14ac:dyDescent="0.3">
      <c r="A651" s="2501"/>
      <c r="B651" s="2501"/>
      <c r="C651" s="2501"/>
      <c r="D651" s="2501"/>
      <c r="E651" s="2501"/>
      <c r="F651" s="2501"/>
      <c r="G651" s="2501"/>
      <c r="H651" s="2501"/>
      <c r="I651" s="2501"/>
      <c r="J651" s="2501"/>
      <c r="K651" s="2501"/>
      <c r="L651" s="2501"/>
      <c r="M651" s="2501"/>
      <c r="N651" s="2501"/>
      <c r="O651" s="2501"/>
      <c r="P651" s="2501"/>
      <c r="Q651" s="2501"/>
      <c r="R651" s="2501"/>
      <c r="S651" s="2501"/>
      <c r="T651" s="2501"/>
      <c r="U651" s="2501"/>
      <c r="V651" s="2501"/>
      <c r="W651" s="2501"/>
      <c r="X651" s="2501"/>
      <c r="Y651" s="2501"/>
      <c r="Z651" s="2501"/>
      <c r="AA651" s="2501"/>
    </row>
    <row r="652" spans="1:27" ht="15.75" customHeight="1" x14ac:dyDescent="0.3">
      <c r="A652" s="2501"/>
      <c r="B652" s="2501"/>
      <c r="C652" s="2501"/>
      <c r="D652" s="2501"/>
      <c r="E652" s="2501"/>
      <c r="F652" s="2501"/>
      <c r="G652" s="2501"/>
      <c r="H652" s="2501"/>
      <c r="I652" s="2501"/>
      <c r="J652" s="2501"/>
      <c r="K652" s="2501"/>
      <c r="L652" s="2501"/>
      <c r="M652" s="2501"/>
      <c r="N652" s="2501"/>
      <c r="O652" s="2501"/>
      <c r="P652" s="2501"/>
      <c r="Q652" s="2501"/>
      <c r="R652" s="2501"/>
      <c r="S652" s="2501"/>
      <c r="T652" s="2501"/>
      <c r="U652" s="2501"/>
      <c r="V652" s="2501"/>
      <c r="W652" s="2501"/>
      <c r="X652" s="2501"/>
      <c r="Y652" s="2501"/>
      <c r="Z652" s="2501"/>
      <c r="AA652" s="2501"/>
    </row>
    <row r="653" spans="1:27" ht="15.75" customHeight="1" x14ac:dyDescent="0.3">
      <c r="A653" s="2501"/>
      <c r="B653" s="2501"/>
      <c r="C653" s="2501"/>
      <c r="D653" s="2501"/>
      <c r="E653" s="2501"/>
      <c r="F653" s="2501"/>
      <c r="G653" s="2501"/>
      <c r="H653" s="2501"/>
      <c r="I653" s="2501"/>
      <c r="J653" s="2501"/>
      <c r="K653" s="2501"/>
      <c r="L653" s="2501"/>
      <c r="M653" s="2501"/>
      <c r="N653" s="2501"/>
      <c r="O653" s="2501"/>
      <c r="P653" s="2501"/>
      <c r="Q653" s="2501"/>
      <c r="R653" s="2501"/>
      <c r="S653" s="2501"/>
      <c r="T653" s="2501"/>
      <c r="U653" s="2501"/>
      <c r="V653" s="2501"/>
      <c r="W653" s="2501"/>
      <c r="X653" s="2501"/>
      <c r="Y653" s="2501"/>
      <c r="Z653" s="2501"/>
      <c r="AA653" s="2501"/>
    </row>
    <row r="654" spans="1:27" ht="15.75" customHeight="1" x14ac:dyDescent="0.3">
      <c r="A654" s="2501"/>
      <c r="B654" s="2501"/>
      <c r="C654" s="2501"/>
      <c r="D654" s="2501"/>
      <c r="E654" s="2501"/>
      <c r="F654" s="2501"/>
      <c r="G654" s="2501"/>
      <c r="H654" s="2501"/>
      <c r="I654" s="2501"/>
      <c r="J654" s="2501"/>
      <c r="K654" s="2501"/>
      <c r="L654" s="2501"/>
      <c r="M654" s="2501"/>
      <c r="N654" s="2501"/>
      <c r="O654" s="2501"/>
      <c r="P654" s="2501"/>
      <c r="Q654" s="2501"/>
      <c r="R654" s="2501"/>
      <c r="S654" s="2501"/>
      <c r="T654" s="2501"/>
      <c r="U654" s="2501"/>
      <c r="V654" s="2501"/>
      <c r="W654" s="2501"/>
      <c r="X654" s="2501"/>
      <c r="Y654" s="2501"/>
      <c r="Z654" s="2501"/>
      <c r="AA654" s="2501"/>
    </row>
    <row r="655" spans="1:27" ht="15.75" customHeight="1" x14ac:dyDescent="0.3">
      <c r="A655" s="2501"/>
      <c r="B655" s="2501"/>
      <c r="C655" s="2501"/>
      <c r="D655" s="2501"/>
      <c r="E655" s="2501"/>
      <c r="F655" s="2501"/>
      <c r="G655" s="2501"/>
      <c r="H655" s="2501"/>
      <c r="I655" s="2501"/>
      <c r="J655" s="2501"/>
      <c r="K655" s="2501"/>
      <c r="L655" s="2501"/>
      <c r="M655" s="2501"/>
      <c r="N655" s="2501"/>
      <c r="O655" s="2501"/>
      <c r="P655" s="2501"/>
      <c r="Q655" s="2501"/>
      <c r="R655" s="2501"/>
      <c r="S655" s="2501"/>
      <c r="T655" s="2501"/>
      <c r="U655" s="2501"/>
      <c r="V655" s="2501"/>
      <c r="W655" s="2501"/>
      <c r="X655" s="2501"/>
      <c r="Y655" s="2501"/>
      <c r="Z655" s="2501"/>
      <c r="AA655" s="2501"/>
    </row>
    <row r="656" spans="1:27" ht="15.75" customHeight="1" x14ac:dyDescent="0.3">
      <c r="A656" s="2501"/>
      <c r="B656" s="2501"/>
      <c r="C656" s="2501"/>
      <c r="D656" s="2501"/>
      <c r="E656" s="2501"/>
      <c r="F656" s="2501"/>
      <c r="G656" s="2501"/>
      <c r="H656" s="2501"/>
      <c r="I656" s="2501"/>
      <c r="J656" s="2501"/>
      <c r="K656" s="2501"/>
      <c r="L656" s="2501"/>
      <c r="M656" s="2501"/>
      <c r="N656" s="2501"/>
      <c r="O656" s="2501"/>
      <c r="P656" s="2501"/>
      <c r="Q656" s="2501"/>
      <c r="R656" s="2501"/>
      <c r="S656" s="2501"/>
      <c r="T656" s="2501"/>
      <c r="U656" s="2501"/>
      <c r="V656" s="2501"/>
      <c r="W656" s="2501"/>
      <c r="X656" s="2501"/>
      <c r="Y656" s="2501"/>
      <c r="Z656" s="2501"/>
      <c r="AA656" s="2501"/>
    </row>
    <row r="657" spans="1:27" ht="15.75" customHeight="1" x14ac:dyDescent="0.3">
      <c r="A657" s="2501"/>
      <c r="B657" s="2501"/>
      <c r="C657" s="2501"/>
      <c r="D657" s="2501"/>
      <c r="E657" s="2501"/>
      <c r="F657" s="2501"/>
      <c r="G657" s="2501"/>
      <c r="H657" s="2501"/>
      <c r="I657" s="2501"/>
      <c r="J657" s="2501"/>
      <c r="K657" s="2501"/>
      <c r="L657" s="2501"/>
      <c r="M657" s="2501"/>
      <c r="N657" s="2501"/>
      <c r="O657" s="2501"/>
      <c r="P657" s="2501"/>
      <c r="Q657" s="2501"/>
      <c r="R657" s="2501"/>
      <c r="S657" s="2501"/>
      <c r="T657" s="2501"/>
      <c r="U657" s="2501"/>
      <c r="V657" s="2501"/>
      <c r="W657" s="2501"/>
      <c r="X657" s="2501"/>
      <c r="Y657" s="2501"/>
      <c r="Z657" s="2501"/>
      <c r="AA657" s="2501"/>
    </row>
    <row r="658" spans="1:27" ht="15.75" customHeight="1" x14ac:dyDescent="0.3">
      <c r="A658" s="2501"/>
      <c r="B658" s="2501"/>
      <c r="C658" s="2501"/>
      <c r="D658" s="2501"/>
      <c r="E658" s="2501"/>
      <c r="F658" s="2501"/>
      <c r="G658" s="2501"/>
      <c r="H658" s="2501"/>
      <c r="I658" s="2501"/>
      <c r="J658" s="2501"/>
      <c r="K658" s="2501"/>
      <c r="L658" s="2501"/>
      <c r="M658" s="2501"/>
      <c r="N658" s="2501"/>
      <c r="O658" s="2501"/>
      <c r="P658" s="2501"/>
      <c r="Q658" s="2501"/>
      <c r="R658" s="2501"/>
      <c r="S658" s="2501"/>
      <c r="T658" s="2501"/>
      <c r="U658" s="2501"/>
      <c r="V658" s="2501"/>
      <c r="W658" s="2501"/>
      <c r="X658" s="2501"/>
      <c r="Y658" s="2501"/>
      <c r="Z658" s="2501"/>
      <c r="AA658" s="2501"/>
    </row>
    <row r="659" spans="1:27" ht="15.75" customHeight="1" x14ac:dyDescent="0.3">
      <c r="A659" s="2501"/>
      <c r="B659" s="2501"/>
      <c r="C659" s="2501"/>
      <c r="D659" s="2501"/>
      <c r="E659" s="2501"/>
      <c r="F659" s="2501"/>
      <c r="G659" s="2501"/>
      <c r="H659" s="2501"/>
      <c r="I659" s="2501"/>
      <c r="J659" s="2501"/>
      <c r="K659" s="2501"/>
      <c r="L659" s="2501"/>
      <c r="M659" s="2501"/>
      <c r="N659" s="2501"/>
      <c r="O659" s="2501"/>
      <c r="P659" s="2501"/>
      <c r="Q659" s="2501"/>
      <c r="R659" s="2501"/>
      <c r="S659" s="2501"/>
      <c r="T659" s="2501"/>
      <c r="U659" s="2501"/>
      <c r="V659" s="2501"/>
      <c r="W659" s="2501"/>
      <c r="X659" s="2501"/>
      <c r="Y659" s="2501"/>
      <c r="Z659" s="2501"/>
      <c r="AA659" s="2501"/>
    </row>
    <row r="660" spans="1:27" ht="15.75" customHeight="1" x14ac:dyDescent="0.3">
      <c r="A660" s="2501"/>
      <c r="B660" s="2501"/>
      <c r="C660" s="2501"/>
      <c r="D660" s="2501"/>
      <c r="E660" s="2501"/>
      <c r="F660" s="2501"/>
      <c r="G660" s="2501"/>
      <c r="H660" s="2501"/>
      <c r="I660" s="2501"/>
      <c r="J660" s="2501"/>
      <c r="K660" s="2501"/>
      <c r="L660" s="2501"/>
      <c r="M660" s="2501"/>
      <c r="N660" s="2501"/>
      <c r="O660" s="2501"/>
      <c r="P660" s="2501"/>
      <c r="Q660" s="2501"/>
      <c r="R660" s="2501"/>
      <c r="S660" s="2501"/>
      <c r="T660" s="2501"/>
      <c r="U660" s="2501"/>
      <c r="V660" s="2501"/>
      <c r="W660" s="2501"/>
      <c r="X660" s="2501"/>
      <c r="Y660" s="2501"/>
      <c r="Z660" s="2501"/>
      <c r="AA660" s="2501"/>
    </row>
    <row r="661" spans="1:27" ht="15.75" customHeight="1" x14ac:dyDescent="0.3">
      <c r="A661" s="2501"/>
      <c r="B661" s="2501"/>
      <c r="C661" s="2501"/>
      <c r="D661" s="2501"/>
      <c r="E661" s="2501"/>
      <c r="F661" s="2501"/>
      <c r="G661" s="2501"/>
      <c r="H661" s="2501"/>
      <c r="I661" s="2501"/>
      <c r="J661" s="2501"/>
      <c r="K661" s="2501"/>
      <c r="L661" s="2501"/>
      <c r="M661" s="2501"/>
      <c r="N661" s="2501"/>
      <c r="O661" s="2501"/>
      <c r="P661" s="2501"/>
      <c r="Q661" s="2501"/>
      <c r="R661" s="2501"/>
      <c r="S661" s="2501"/>
      <c r="T661" s="2501"/>
      <c r="U661" s="2501"/>
      <c r="V661" s="2501"/>
      <c r="W661" s="2501"/>
      <c r="X661" s="2501"/>
      <c r="Y661" s="2501"/>
      <c r="Z661" s="2501"/>
      <c r="AA661" s="2501"/>
    </row>
    <row r="662" spans="1:27" ht="15.75" customHeight="1" x14ac:dyDescent="0.3">
      <c r="A662" s="2501"/>
      <c r="B662" s="2501"/>
      <c r="C662" s="2501"/>
      <c r="D662" s="2501"/>
      <c r="E662" s="2501"/>
      <c r="F662" s="2501"/>
      <c r="G662" s="2501"/>
      <c r="H662" s="2501"/>
      <c r="I662" s="2501"/>
      <c r="J662" s="2501"/>
      <c r="K662" s="2501"/>
      <c r="L662" s="2501"/>
      <c r="M662" s="2501"/>
      <c r="N662" s="2501"/>
      <c r="O662" s="2501"/>
      <c r="P662" s="2501"/>
      <c r="Q662" s="2501"/>
      <c r="R662" s="2501"/>
      <c r="S662" s="2501"/>
      <c r="T662" s="2501"/>
      <c r="U662" s="2501"/>
      <c r="V662" s="2501"/>
      <c r="W662" s="2501"/>
      <c r="X662" s="2501"/>
      <c r="Y662" s="2501"/>
      <c r="Z662" s="2501"/>
      <c r="AA662" s="2501"/>
    </row>
    <row r="663" spans="1:27" ht="15.75" customHeight="1" x14ac:dyDescent="0.3">
      <c r="A663" s="2501"/>
      <c r="B663" s="2501"/>
      <c r="C663" s="2501"/>
      <c r="D663" s="2501"/>
      <c r="E663" s="2501"/>
      <c r="F663" s="2501"/>
      <c r="G663" s="2501"/>
      <c r="H663" s="2501"/>
      <c r="I663" s="2501"/>
      <c r="J663" s="2501"/>
      <c r="K663" s="2501"/>
      <c r="L663" s="2501"/>
      <c r="M663" s="2501"/>
      <c r="N663" s="2501"/>
      <c r="O663" s="2501"/>
      <c r="P663" s="2501"/>
      <c r="Q663" s="2501"/>
      <c r="R663" s="2501"/>
      <c r="S663" s="2501"/>
      <c r="T663" s="2501"/>
      <c r="U663" s="2501"/>
      <c r="V663" s="2501"/>
      <c r="W663" s="2501"/>
      <c r="X663" s="2501"/>
      <c r="Y663" s="2501"/>
      <c r="Z663" s="2501"/>
      <c r="AA663" s="2501"/>
    </row>
    <row r="664" spans="1:27" ht="15.75" customHeight="1" x14ac:dyDescent="0.3">
      <c r="A664" s="2501"/>
      <c r="B664" s="2501"/>
      <c r="C664" s="2501"/>
      <c r="D664" s="2501"/>
      <c r="E664" s="2501"/>
      <c r="F664" s="2501"/>
      <c r="G664" s="2501"/>
      <c r="H664" s="2501"/>
      <c r="I664" s="2501"/>
      <c r="J664" s="2501"/>
      <c r="K664" s="2501"/>
      <c r="L664" s="2501"/>
      <c r="M664" s="2501"/>
      <c r="N664" s="2501"/>
      <c r="O664" s="2501"/>
      <c r="P664" s="2501"/>
      <c r="Q664" s="2501"/>
      <c r="R664" s="2501"/>
      <c r="S664" s="2501"/>
      <c r="T664" s="2501"/>
      <c r="U664" s="2501"/>
      <c r="V664" s="2501"/>
      <c r="W664" s="2501"/>
      <c r="X664" s="2501"/>
      <c r="Y664" s="2501"/>
      <c r="Z664" s="2501"/>
      <c r="AA664" s="2501"/>
    </row>
    <row r="665" spans="1:27" ht="15.75" customHeight="1" x14ac:dyDescent="0.3">
      <c r="A665" s="2501"/>
      <c r="B665" s="2501"/>
      <c r="C665" s="2501"/>
      <c r="D665" s="2501"/>
      <c r="E665" s="2501"/>
      <c r="F665" s="2501"/>
      <c r="G665" s="2501"/>
      <c r="H665" s="2501"/>
      <c r="I665" s="2501"/>
      <c r="J665" s="2501"/>
      <c r="K665" s="2501"/>
      <c r="L665" s="2501"/>
      <c r="M665" s="2501"/>
      <c r="N665" s="2501"/>
      <c r="O665" s="2501"/>
      <c r="P665" s="2501"/>
      <c r="Q665" s="2501"/>
      <c r="R665" s="2501"/>
      <c r="S665" s="2501"/>
      <c r="T665" s="2501"/>
      <c r="U665" s="2501"/>
      <c r="V665" s="2501"/>
      <c r="W665" s="2501"/>
      <c r="X665" s="2501"/>
      <c r="Y665" s="2501"/>
      <c r="Z665" s="2501"/>
      <c r="AA665" s="2501"/>
    </row>
    <row r="666" spans="1:27" ht="15.75" customHeight="1" x14ac:dyDescent="0.3">
      <c r="A666" s="2501"/>
      <c r="B666" s="2501"/>
      <c r="C666" s="2501"/>
      <c r="D666" s="2501"/>
      <c r="E666" s="2501"/>
      <c r="F666" s="2501"/>
      <c r="G666" s="2501"/>
      <c r="H666" s="2501"/>
      <c r="I666" s="2501"/>
      <c r="J666" s="2501"/>
      <c r="K666" s="2501"/>
      <c r="L666" s="2501"/>
      <c r="M666" s="2501"/>
      <c r="N666" s="2501"/>
      <c r="O666" s="2501"/>
      <c r="P666" s="2501"/>
      <c r="Q666" s="2501"/>
      <c r="R666" s="2501"/>
      <c r="S666" s="2501"/>
      <c r="T666" s="2501"/>
      <c r="U666" s="2501"/>
      <c r="V666" s="2501"/>
      <c r="W666" s="2501"/>
      <c r="X666" s="2501"/>
      <c r="Y666" s="2501"/>
      <c r="Z666" s="2501"/>
      <c r="AA666" s="2501"/>
    </row>
    <row r="667" spans="1:27" ht="15.75" customHeight="1" x14ac:dyDescent="0.3">
      <c r="A667" s="2501"/>
      <c r="B667" s="2501"/>
      <c r="C667" s="2501"/>
      <c r="D667" s="2501"/>
      <c r="E667" s="2501"/>
      <c r="F667" s="2501"/>
      <c r="G667" s="2501"/>
      <c r="H667" s="2501"/>
      <c r="I667" s="2501"/>
      <c r="J667" s="2501"/>
      <c r="K667" s="2501"/>
      <c r="L667" s="2501"/>
      <c r="M667" s="2501"/>
      <c r="N667" s="2501"/>
      <c r="O667" s="2501"/>
      <c r="P667" s="2501"/>
      <c r="Q667" s="2501"/>
      <c r="R667" s="2501"/>
      <c r="S667" s="2501"/>
      <c r="T667" s="2501"/>
      <c r="U667" s="2501"/>
      <c r="V667" s="2501"/>
      <c r="W667" s="2501"/>
      <c r="X667" s="2501"/>
      <c r="Y667" s="2501"/>
      <c r="Z667" s="2501"/>
      <c r="AA667" s="2501"/>
    </row>
    <row r="668" spans="1:27" ht="15.75" customHeight="1" x14ac:dyDescent="0.3">
      <c r="A668" s="2501"/>
      <c r="B668" s="2501"/>
      <c r="C668" s="2501"/>
      <c r="D668" s="2501"/>
      <c r="E668" s="2501"/>
      <c r="F668" s="2501"/>
      <c r="G668" s="2501"/>
      <c r="H668" s="2501"/>
      <c r="I668" s="2501"/>
      <c r="J668" s="2501"/>
      <c r="K668" s="2501"/>
      <c r="L668" s="2501"/>
      <c r="M668" s="2501"/>
      <c r="N668" s="2501"/>
      <c r="O668" s="2501"/>
      <c r="P668" s="2501"/>
      <c r="Q668" s="2501"/>
      <c r="R668" s="2501"/>
      <c r="S668" s="2501"/>
      <c r="T668" s="2501"/>
      <c r="U668" s="2501"/>
      <c r="V668" s="2501"/>
      <c r="W668" s="2501"/>
      <c r="X668" s="2501"/>
      <c r="Y668" s="2501"/>
      <c r="Z668" s="2501"/>
      <c r="AA668" s="2501"/>
    </row>
    <row r="669" spans="1:27" ht="15.75" customHeight="1" x14ac:dyDescent="0.3">
      <c r="A669" s="2501"/>
      <c r="B669" s="2501"/>
      <c r="C669" s="2501"/>
      <c r="D669" s="2501"/>
      <c r="E669" s="2501"/>
      <c r="F669" s="2501"/>
      <c r="G669" s="2501"/>
      <c r="H669" s="2501"/>
      <c r="I669" s="2501"/>
      <c r="J669" s="2501"/>
      <c r="K669" s="2501"/>
      <c r="L669" s="2501"/>
      <c r="M669" s="2501"/>
      <c r="N669" s="2501"/>
      <c r="O669" s="2501"/>
      <c r="P669" s="2501"/>
      <c r="Q669" s="2501"/>
      <c r="R669" s="2501"/>
      <c r="S669" s="2501"/>
      <c r="T669" s="2501"/>
      <c r="U669" s="2501"/>
      <c r="V669" s="2501"/>
      <c r="W669" s="2501"/>
      <c r="X669" s="2501"/>
      <c r="Y669" s="2501"/>
      <c r="Z669" s="2501"/>
      <c r="AA669" s="2501"/>
    </row>
    <row r="670" spans="1:27" ht="15.75" customHeight="1" x14ac:dyDescent="0.3">
      <c r="A670" s="2501"/>
      <c r="B670" s="2501"/>
      <c r="C670" s="2501"/>
      <c r="D670" s="2501"/>
      <c r="E670" s="2501"/>
      <c r="F670" s="2501"/>
      <c r="G670" s="2501"/>
      <c r="H670" s="2501"/>
      <c r="I670" s="2501"/>
      <c r="J670" s="2501"/>
      <c r="K670" s="2501"/>
      <c r="L670" s="2501"/>
      <c r="M670" s="2501"/>
      <c r="N670" s="2501"/>
      <c r="O670" s="2501"/>
      <c r="P670" s="2501"/>
      <c r="Q670" s="2501"/>
      <c r="R670" s="2501"/>
      <c r="S670" s="2501"/>
      <c r="T670" s="2501"/>
      <c r="U670" s="2501"/>
      <c r="V670" s="2501"/>
      <c r="W670" s="2501"/>
      <c r="X670" s="2501"/>
      <c r="Y670" s="2501"/>
      <c r="Z670" s="2501"/>
      <c r="AA670" s="2501"/>
    </row>
    <row r="671" spans="1:27" ht="15.75" customHeight="1" x14ac:dyDescent="0.3">
      <c r="A671" s="2501"/>
      <c r="B671" s="2501"/>
      <c r="C671" s="2501"/>
      <c r="D671" s="2501"/>
      <c r="E671" s="2501"/>
      <c r="F671" s="2501"/>
      <c r="G671" s="2501"/>
      <c r="H671" s="2501"/>
      <c r="I671" s="2501"/>
      <c r="J671" s="2501"/>
      <c r="K671" s="2501"/>
      <c r="L671" s="2501"/>
      <c r="M671" s="2501"/>
      <c r="N671" s="2501"/>
      <c r="O671" s="2501"/>
      <c r="P671" s="2501"/>
      <c r="Q671" s="2501"/>
      <c r="R671" s="2501"/>
      <c r="S671" s="2501"/>
      <c r="T671" s="2501"/>
      <c r="U671" s="2501"/>
      <c r="V671" s="2501"/>
      <c r="W671" s="2501"/>
      <c r="X671" s="2501"/>
      <c r="Y671" s="2501"/>
      <c r="Z671" s="2501"/>
      <c r="AA671" s="2501"/>
    </row>
    <row r="672" spans="1:27" ht="15.75" customHeight="1" x14ac:dyDescent="0.3">
      <c r="A672" s="2501"/>
      <c r="B672" s="2501"/>
      <c r="C672" s="2501"/>
      <c r="D672" s="2501"/>
      <c r="E672" s="2501"/>
      <c r="F672" s="2501"/>
      <c r="G672" s="2501"/>
      <c r="H672" s="2501"/>
      <c r="I672" s="2501"/>
      <c r="J672" s="2501"/>
      <c r="K672" s="2501"/>
      <c r="L672" s="2501"/>
      <c r="M672" s="2501"/>
      <c r="N672" s="2501"/>
      <c r="O672" s="2501"/>
      <c r="P672" s="2501"/>
      <c r="Q672" s="2501"/>
      <c r="R672" s="2501"/>
      <c r="S672" s="2501"/>
      <c r="T672" s="2501"/>
      <c r="U672" s="2501"/>
      <c r="V672" s="2501"/>
      <c r="W672" s="2501"/>
      <c r="X672" s="2501"/>
      <c r="Y672" s="2501"/>
      <c r="Z672" s="2501"/>
      <c r="AA672" s="2501"/>
    </row>
    <row r="673" spans="1:27" ht="15.75" customHeight="1" x14ac:dyDescent="0.3">
      <c r="A673" s="2501"/>
      <c r="B673" s="2501"/>
      <c r="C673" s="2501"/>
      <c r="D673" s="2501"/>
      <c r="E673" s="2501"/>
      <c r="F673" s="2501"/>
      <c r="G673" s="2501"/>
      <c r="H673" s="2501"/>
      <c r="I673" s="2501"/>
      <c r="J673" s="2501"/>
      <c r="K673" s="2501"/>
      <c r="L673" s="2501"/>
      <c r="M673" s="2501"/>
      <c r="N673" s="2501"/>
      <c r="O673" s="2501"/>
      <c r="P673" s="2501"/>
      <c r="Q673" s="2501"/>
      <c r="R673" s="2501"/>
      <c r="S673" s="2501"/>
      <c r="T673" s="2501"/>
      <c r="U673" s="2501"/>
      <c r="V673" s="2501"/>
      <c r="W673" s="2501"/>
      <c r="X673" s="2501"/>
      <c r="Y673" s="2501"/>
      <c r="Z673" s="2501"/>
      <c r="AA673" s="2501"/>
    </row>
    <row r="674" spans="1:27" ht="15.75" customHeight="1" x14ac:dyDescent="0.3">
      <c r="A674" s="2501"/>
      <c r="B674" s="2501"/>
      <c r="C674" s="2501"/>
      <c r="D674" s="2501"/>
      <c r="E674" s="2501"/>
      <c r="F674" s="2501"/>
      <c r="G674" s="2501"/>
      <c r="H674" s="2501"/>
      <c r="I674" s="2501"/>
      <c r="J674" s="2501"/>
      <c r="K674" s="2501"/>
      <c r="L674" s="2501"/>
      <c r="M674" s="2501"/>
      <c r="N674" s="2501"/>
      <c r="O674" s="2501"/>
      <c r="P674" s="2501"/>
      <c r="Q674" s="2501"/>
      <c r="R674" s="2501"/>
      <c r="S674" s="2501"/>
      <c r="T674" s="2501"/>
      <c r="U674" s="2501"/>
      <c r="V674" s="2501"/>
      <c r="W674" s="2501"/>
      <c r="X674" s="2501"/>
      <c r="Y674" s="2501"/>
      <c r="Z674" s="2501"/>
      <c r="AA674" s="2501"/>
    </row>
    <row r="675" spans="1:27" ht="15.75" customHeight="1" x14ac:dyDescent="0.3">
      <c r="A675" s="2501"/>
      <c r="B675" s="2501"/>
      <c r="C675" s="2501"/>
      <c r="D675" s="2501"/>
      <c r="E675" s="2501"/>
      <c r="F675" s="2501"/>
      <c r="G675" s="2501"/>
      <c r="H675" s="2501"/>
      <c r="I675" s="2501"/>
      <c r="J675" s="2501"/>
      <c r="K675" s="2501"/>
      <c r="L675" s="2501"/>
      <c r="M675" s="2501"/>
      <c r="N675" s="2501"/>
      <c r="O675" s="2501"/>
      <c r="P675" s="2501"/>
      <c r="Q675" s="2501"/>
      <c r="R675" s="2501"/>
      <c r="S675" s="2501"/>
      <c r="T675" s="2501"/>
      <c r="U675" s="2501"/>
      <c r="V675" s="2501"/>
      <c r="W675" s="2501"/>
      <c r="X675" s="2501"/>
      <c r="Y675" s="2501"/>
      <c r="Z675" s="2501"/>
      <c r="AA675" s="2501"/>
    </row>
    <row r="676" spans="1:27" ht="15.75" customHeight="1" x14ac:dyDescent="0.3">
      <c r="A676" s="2501"/>
      <c r="B676" s="2501"/>
      <c r="C676" s="2501"/>
      <c r="D676" s="2501"/>
      <c r="E676" s="2501"/>
      <c r="F676" s="2501"/>
      <c r="G676" s="2501"/>
      <c r="H676" s="2501"/>
      <c r="I676" s="2501"/>
      <c r="J676" s="2501"/>
      <c r="K676" s="2501"/>
      <c r="L676" s="2501"/>
      <c r="M676" s="2501"/>
      <c r="N676" s="2501"/>
      <c r="O676" s="2501"/>
      <c r="P676" s="2501"/>
      <c r="Q676" s="2501"/>
      <c r="R676" s="2501"/>
      <c r="S676" s="2501"/>
      <c r="T676" s="2501"/>
      <c r="U676" s="2501"/>
      <c r="V676" s="2501"/>
      <c r="W676" s="2501"/>
      <c r="X676" s="2501"/>
      <c r="Y676" s="2501"/>
      <c r="Z676" s="2501"/>
      <c r="AA676" s="2501"/>
    </row>
    <row r="677" spans="1:27" ht="15.75" customHeight="1" x14ac:dyDescent="0.3">
      <c r="A677" s="2501"/>
      <c r="B677" s="2501"/>
      <c r="C677" s="2501"/>
      <c r="D677" s="2501"/>
      <c r="E677" s="2501"/>
      <c r="F677" s="2501"/>
      <c r="G677" s="2501"/>
      <c r="H677" s="2501"/>
      <c r="I677" s="2501"/>
      <c r="J677" s="2501"/>
      <c r="K677" s="2501"/>
      <c r="L677" s="2501"/>
      <c r="M677" s="2501"/>
      <c r="N677" s="2501"/>
      <c r="O677" s="2501"/>
      <c r="P677" s="2501"/>
      <c r="Q677" s="2501"/>
      <c r="R677" s="2501"/>
      <c r="S677" s="2501"/>
      <c r="T677" s="2501"/>
      <c r="U677" s="2501"/>
      <c r="V677" s="2501"/>
      <c r="W677" s="2501"/>
      <c r="X677" s="2501"/>
      <c r="Y677" s="2501"/>
      <c r="Z677" s="2501"/>
      <c r="AA677" s="2501"/>
    </row>
    <row r="678" spans="1:27" ht="15.75" customHeight="1" x14ac:dyDescent="0.3">
      <c r="A678" s="2501"/>
      <c r="B678" s="2501"/>
      <c r="C678" s="2501"/>
      <c r="D678" s="2501"/>
      <c r="E678" s="2501"/>
      <c r="F678" s="2501"/>
      <c r="G678" s="2501"/>
      <c r="H678" s="2501"/>
      <c r="I678" s="2501"/>
      <c r="J678" s="2501"/>
      <c r="K678" s="2501"/>
      <c r="L678" s="2501"/>
      <c r="M678" s="2501"/>
      <c r="N678" s="2501"/>
      <c r="O678" s="2501"/>
      <c r="P678" s="2501"/>
      <c r="Q678" s="2501"/>
      <c r="R678" s="2501"/>
      <c r="S678" s="2501"/>
      <c r="T678" s="2501"/>
      <c r="U678" s="2501"/>
      <c r="V678" s="2501"/>
      <c r="W678" s="2501"/>
      <c r="X678" s="2501"/>
      <c r="Y678" s="2501"/>
      <c r="Z678" s="2501"/>
      <c r="AA678" s="2501"/>
    </row>
    <row r="679" spans="1:27" ht="15.75" customHeight="1" x14ac:dyDescent="0.3">
      <c r="A679" s="2501"/>
      <c r="B679" s="2501"/>
      <c r="C679" s="2501"/>
      <c r="D679" s="2501"/>
      <c r="E679" s="2501"/>
      <c r="F679" s="2501"/>
      <c r="G679" s="2501"/>
      <c r="H679" s="2501"/>
      <c r="I679" s="2501"/>
      <c r="J679" s="2501"/>
      <c r="K679" s="2501"/>
      <c r="L679" s="2501"/>
      <c r="M679" s="2501"/>
      <c r="N679" s="2501"/>
      <c r="O679" s="2501"/>
      <c r="P679" s="2501"/>
      <c r="Q679" s="2501"/>
      <c r="R679" s="2501"/>
      <c r="S679" s="2501"/>
      <c r="T679" s="2501"/>
      <c r="U679" s="2501"/>
      <c r="V679" s="2501"/>
      <c r="W679" s="2501"/>
      <c r="X679" s="2501"/>
      <c r="Y679" s="2501"/>
      <c r="Z679" s="2501"/>
      <c r="AA679" s="2501"/>
    </row>
    <row r="680" spans="1:27" ht="15.75" customHeight="1" x14ac:dyDescent="0.3">
      <c r="A680" s="2501"/>
      <c r="B680" s="2501"/>
      <c r="C680" s="2501"/>
      <c r="D680" s="2501"/>
      <c r="E680" s="2501"/>
      <c r="F680" s="2501"/>
      <c r="G680" s="2501"/>
      <c r="H680" s="2501"/>
      <c r="I680" s="2501"/>
      <c r="J680" s="2501"/>
      <c r="K680" s="2501"/>
      <c r="L680" s="2501"/>
      <c r="M680" s="2501"/>
      <c r="N680" s="2501"/>
      <c r="O680" s="2501"/>
      <c r="P680" s="2501"/>
      <c r="Q680" s="2501"/>
      <c r="R680" s="2501"/>
      <c r="S680" s="2501"/>
      <c r="T680" s="2501"/>
      <c r="U680" s="2501"/>
      <c r="V680" s="2501"/>
      <c r="W680" s="2501"/>
      <c r="X680" s="2501"/>
      <c r="Y680" s="2501"/>
      <c r="Z680" s="2501"/>
      <c r="AA680" s="2501"/>
    </row>
    <row r="681" spans="1:27" ht="15.75" customHeight="1" x14ac:dyDescent="0.3">
      <c r="A681" s="2501"/>
      <c r="B681" s="2501"/>
      <c r="C681" s="2501"/>
      <c r="D681" s="2501"/>
      <c r="E681" s="2501"/>
      <c r="F681" s="2501"/>
      <c r="G681" s="2501"/>
      <c r="H681" s="2501"/>
      <c r="I681" s="2501"/>
      <c r="J681" s="2501"/>
      <c r="K681" s="2501"/>
      <c r="L681" s="2501"/>
      <c r="M681" s="2501"/>
      <c r="N681" s="2501"/>
      <c r="O681" s="2501"/>
      <c r="P681" s="2501"/>
      <c r="Q681" s="2501"/>
      <c r="R681" s="2501"/>
      <c r="S681" s="2501"/>
      <c r="T681" s="2501"/>
      <c r="U681" s="2501"/>
      <c r="V681" s="2501"/>
      <c r="W681" s="2501"/>
      <c r="X681" s="2501"/>
      <c r="Y681" s="2501"/>
      <c r="Z681" s="2501"/>
      <c r="AA681" s="2501"/>
    </row>
    <row r="682" spans="1:27" ht="15.75" customHeight="1" x14ac:dyDescent="0.3">
      <c r="A682" s="2501"/>
      <c r="B682" s="2501"/>
      <c r="C682" s="2501"/>
      <c r="D682" s="2501"/>
      <c r="E682" s="2501"/>
      <c r="F682" s="2501"/>
      <c r="G682" s="2501"/>
      <c r="H682" s="2501"/>
      <c r="I682" s="2501"/>
      <c r="J682" s="2501"/>
      <c r="K682" s="2501"/>
      <c r="L682" s="2501"/>
      <c r="M682" s="2501"/>
      <c r="N682" s="2501"/>
      <c r="O682" s="2501"/>
      <c r="P682" s="2501"/>
      <c r="Q682" s="2501"/>
      <c r="R682" s="2501"/>
      <c r="S682" s="2501"/>
      <c r="T682" s="2501"/>
      <c r="U682" s="2501"/>
      <c r="V682" s="2501"/>
      <c r="W682" s="2501"/>
      <c r="X682" s="2501"/>
      <c r="Y682" s="2501"/>
      <c r="Z682" s="2501"/>
      <c r="AA682" s="2501"/>
    </row>
    <row r="683" spans="1:27" ht="15.75" customHeight="1" x14ac:dyDescent="0.3">
      <c r="A683" s="2501"/>
      <c r="B683" s="2501"/>
      <c r="C683" s="2501"/>
      <c r="D683" s="2501"/>
      <c r="E683" s="2501"/>
      <c r="F683" s="2501"/>
      <c r="G683" s="2501"/>
      <c r="H683" s="2501"/>
      <c r="I683" s="2501"/>
      <c r="J683" s="2501"/>
      <c r="K683" s="2501"/>
      <c r="L683" s="2501"/>
      <c r="M683" s="2501"/>
      <c r="N683" s="2501"/>
      <c r="O683" s="2501"/>
      <c r="P683" s="2501"/>
      <c r="Q683" s="2501"/>
      <c r="R683" s="2501"/>
      <c r="S683" s="2501"/>
      <c r="T683" s="2501"/>
      <c r="U683" s="2501"/>
      <c r="V683" s="2501"/>
      <c r="W683" s="2501"/>
      <c r="X683" s="2501"/>
      <c r="Y683" s="2501"/>
      <c r="Z683" s="2501"/>
      <c r="AA683" s="2501"/>
    </row>
    <row r="684" spans="1:27" ht="15.75" customHeight="1" x14ac:dyDescent="0.3">
      <c r="A684" s="2501"/>
      <c r="B684" s="2501"/>
      <c r="C684" s="2501"/>
      <c r="D684" s="2501"/>
      <c r="E684" s="2501"/>
      <c r="F684" s="2501"/>
      <c r="G684" s="2501"/>
      <c r="H684" s="2501"/>
      <c r="I684" s="2501"/>
      <c r="J684" s="2501"/>
      <c r="K684" s="2501"/>
      <c r="L684" s="2501"/>
      <c r="M684" s="2501"/>
      <c r="N684" s="2501"/>
      <c r="O684" s="2501"/>
      <c r="P684" s="2501"/>
      <c r="Q684" s="2501"/>
      <c r="R684" s="2501"/>
      <c r="S684" s="2501"/>
      <c r="T684" s="2501"/>
      <c r="U684" s="2501"/>
      <c r="V684" s="2501"/>
      <c r="W684" s="2501"/>
      <c r="X684" s="2501"/>
      <c r="Y684" s="2501"/>
      <c r="Z684" s="2501"/>
      <c r="AA684" s="2501"/>
    </row>
    <row r="685" spans="1:27" ht="15.75" customHeight="1" x14ac:dyDescent="0.3">
      <c r="A685" s="2501"/>
      <c r="B685" s="2501"/>
      <c r="C685" s="2501"/>
      <c r="D685" s="2501"/>
      <c r="E685" s="2501"/>
      <c r="F685" s="2501"/>
      <c r="G685" s="2501"/>
      <c r="H685" s="2501"/>
      <c r="I685" s="2501"/>
      <c r="J685" s="2501"/>
      <c r="K685" s="2501"/>
      <c r="L685" s="2501"/>
      <c r="M685" s="2501"/>
      <c r="N685" s="2501"/>
      <c r="O685" s="2501"/>
      <c r="P685" s="2501"/>
      <c r="Q685" s="2501"/>
      <c r="R685" s="2501"/>
      <c r="S685" s="2501"/>
      <c r="T685" s="2501"/>
      <c r="U685" s="2501"/>
      <c r="V685" s="2501"/>
      <c r="W685" s="2501"/>
      <c r="X685" s="2501"/>
      <c r="Y685" s="2501"/>
      <c r="Z685" s="2501"/>
      <c r="AA685" s="2501"/>
    </row>
    <row r="686" spans="1:27" ht="15.75" customHeight="1" x14ac:dyDescent="0.3">
      <c r="A686" s="2501"/>
      <c r="B686" s="2501"/>
      <c r="C686" s="2501"/>
      <c r="D686" s="2501"/>
      <c r="E686" s="2501"/>
      <c r="F686" s="2501"/>
      <c r="G686" s="2501"/>
      <c r="H686" s="2501"/>
      <c r="I686" s="2501"/>
      <c r="J686" s="2501"/>
      <c r="K686" s="2501"/>
      <c r="L686" s="2501"/>
      <c r="M686" s="2501"/>
      <c r="N686" s="2501"/>
      <c r="O686" s="2501"/>
      <c r="P686" s="2501"/>
      <c r="Q686" s="2501"/>
      <c r="R686" s="2501"/>
      <c r="S686" s="2501"/>
      <c r="T686" s="2501"/>
      <c r="U686" s="2501"/>
      <c r="V686" s="2501"/>
      <c r="W686" s="2501"/>
      <c r="X686" s="2501"/>
      <c r="Y686" s="2501"/>
      <c r="Z686" s="2501"/>
      <c r="AA686" s="2501"/>
    </row>
    <row r="687" spans="1:27" ht="15.75" customHeight="1" x14ac:dyDescent="0.3">
      <c r="A687" s="2501"/>
      <c r="B687" s="2501"/>
      <c r="C687" s="2501"/>
      <c r="D687" s="2501"/>
      <c r="E687" s="2501"/>
      <c r="F687" s="2501"/>
      <c r="G687" s="2501"/>
      <c r="H687" s="2501"/>
      <c r="I687" s="2501"/>
      <c r="J687" s="2501"/>
      <c r="K687" s="2501"/>
      <c r="L687" s="2501"/>
      <c r="M687" s="2501"/>
      <c r="N687" s="2501"/>
      <c r="O687" s="2501"/>
      <c r="P687" s="2501"/>
      <c r="Q687" s="2501"/>
      <c r="R687" s="2501"/>
      <c r="S687" s="2501"/>
      <c r="T687" s="2501"/>
      <c r="U687" s="2501"/>
      <c r="V687" s="2501"/>
      <c r="W687" s="2501"/>
      <c r="X687" s="2501"/>
      <c r="Y687" s="2501"/>
      <c r="Z687" s="2501"/>
      <c r="AA687" s="2501"/>
    </row>
    <row r="688" spans="1:27" ht="15.75" customHeight="1" x14ac:dyDescent="0.3">
      <c r="A688" s="2501"/>
      <c r="B688" s="2501"/>
      <c r="C688" s="2501"/>
      <c r="D688" s="2501"/>
      <c r="E688" s="2501"/>
      <c r="F688" s="2501"/>
      <c r="G688" s="2501"/>
      <c r="H688" s="2501"/>
      <c r="I688" s="2501"/>
      <c r="J688" s="2501"/>
      <c r="K688" s="2501"/>
      <c r="L688" s="2501"/>
      <c r="M688" s="2501"/>
      <c r="N688" s="2501"/>
      <c r="O688" s="2501"/>
      <c r="P688" s="2501"/>
      <c r="Q688" s="2501"/>
      <c r="R688" s="2501"/>
      <c r="S688" s="2501"/>
      <c r="T688" s="2501"/>
      <c r="U688" s="2501"/>
      <c r="V688" s="2501"/>
      <c r="W688" s="2501"/>
      <c r="X688" s="2501"/>
      <c r="Y688" s="2501"/>
      <c r="Z688" s="2501"/>
      <c r="AA688" s="2501"/>
    </row>
    <row r="689" spans="1:27" ht="15.75" customHeight="1" x14ac:dyDescent="0.3">
      <c r="A689" s="2501"/>
      <c r="B689" s="2501"/>
      <c r="C689" s="2501"/>
      <c r="D689" s="2501"/>
      <c r="E689" s="2501"/>
      <c r="F689" s="2501"/>
      <c r="G689" s="2501"/>
      <c r="H689" s="2501"/>
      <c r="I689" s="2501"/>
      <c r="J689" s="2501"/>
      <c r="K689" s="2501"/>
      <c r="L689" s="2501"/>
      <c r="M689" s="2501"/>
      <c r="N689" s="2501"/>
      <c r="O689" s="2501"/>
      <c r="P689" s="2501"/>
      <c r="Q689" s="2501"/>
      <c r="R689" s="2501"/>
      <c r="S689" s="2501"/>
      <c r="T689" s="2501"/>
      <c r="U689" s="2501"/>
      <c r="V689" s="2501"/>
      <c r="W689" s="2501"/>
      <c r="X689" s="2501"/>
      <c r="Y689" s="2501"/>
      <c r="Z689" s="2501"/>
      <c r="AA689" s="2501"/>
    </row>
    <row r="690" spans="1:27" ht="15.75" customHeight="1" x14ac:dyDescent="0.3">
      <c r="A690" s="2501"/>
      <c r="B690" s="2501"/>
      <c r="C690" s="2501"/>
      <c r="D690" s="2501"/>
      <c r="E690" s="2501"/>
      <c r="F690" s="2501"/>
      <c r="G690" s="2501"/>
      <c r="H690" s="2501"/>
      <c r="I690" s="2501"/>
      <c r="J690" s="2501"/>
      <c r="K690" s="2501"/>
      <c r="L690" s="2501"/>
      <c r="M690" s="2501"/>
      <c r="N690" s="2501"/>
      <c r="O690" s="2501"/>
      <c r="P690" s="2501"/>
      <c r="Q690" s="2501"/>
      <c r="R690" s="2501"/>
      <c r="S690" s="2501"/>
      <c r="T690" s="2501"/>
      <c r="U690" s="2501"/>
      <c r="V690" s="2501"/>
      <c r="W690" s="2501"/>
      <c r="X690" s="2501"/>
      <c r="Y690" s="2501"/>
      <c r="Z690" s="2501"/>
      <c r="AA690" s="2501"/>
    </row>
    <row r="691" spans="1:27" ht="15.75" customHeight="1" x14ac:dyDescent="0.3">
      <c r="A691" s="2501"/>
      <c r="B691" s="2501"/>
      <c r="C691" s="2501"/>
      <c r="D691" s="2501"/>
      <c r="E691" s="2501"/>
      <c r="F691" s="2501"/>
      <c r="G691" s="2501"/>
      <c r="H691" s="2501"/>
      <c r="I691" s="2501"/>
      <c r="J691" s="2501"/>
      <c r="K691" s="2501"/>
      <c r="L691" s="2501"/>
      <c r="M691" s="2501"/>
      <c r="N691" s="2501"/>
      <c r="O691" s="2501"/>
      <c r="P691" s="2501"/>
      <c r="Q691" s="2501"/>
      <c r="R691" s="2501"/>
      <c r="S691" s="2501"/>
      <c r="T691" s="2501"/>
      <c r="U691" s="2501"/>
      <c r="V691" s="2501"/>
      <c r="W691" s="2501"/>
      <c r="X691" s="2501"/>
      <c r="Y691" s="2501"/>
      <c r="Z691" s="2501"/>
      <c r="AA691" s="2501"/>
    </row>
    <row r="692" spans="1:27" ht="15.75" customHeight="1" x14ac:dyDescent="0.3">
      <c r="A692" s="2501"/>
      <c r="B692" s="2501"/>
      <c r="C692" s="2501"/>
      <c r="D692" s="2501"/>
      <c r="E692" s="2501"/>
      <c r="F692" s="2501"/>
      <c r="G692" s="2501"/>
      <c r="H692" s="2501"/>
      <c r="I692" s="2501"/>
      <c r="J692" s="2501"/>
      <c r="K692" s="2501"/>
      <c r="L692" s="2501"/>
      <c r="M692" s="2501"/>
      <c r="N692" s="2501"/>
      <c r="O692" s="2501"/>
      <c r="P692" s="2501"/>
      <c r="Q692" s="2501"/>
      <c r="R692" s="2501"/>
      <c r="S692" s="2501"/>
      <c r="T692" s="2501"/>
      <c r="U692" s="2501"/>
      <c r="V692" s="2501"/>
      <c r="W692" s="2501"/>
      <c r="X692" s="2501"/>
      <c r="Y692" s="2501"/>
      <c r="Z692" s="2501"/>
      <c r="AA692" s="2501"/>
    </row>
    <row r="693" spans="1:27" ht="15.75" customHeight="1" x14ac:dyDescent="0.3">
      <c r="A693" s="2501"/>
      <c r="B693" s="2501"/>
      <c r="C693" s="2501"/>
      <c r="D693" s="2501"/>
      <c r="E693" s="2501"/>
      <c r="F693" s="2501"/>
      <c r="G693" s="2501"/>
      <c r="H693" s="2501"/>
      <c r="I693" s="2501"/>
      <c r="J693" s="2501"/>
      <c r="K693" s="2501"/>
      <c r="L693" s="2501"/>
      <c r="M693" s="2501"/>
      <c r="N693" s="2501"/>
      <c r="O693" s="2501"/>
      <c r="P693" s="2501"/>
      <c r="Q693" s="2501"/>
      <c r="R693" s="2501"/>
      <c r="S693" s="2501"/>
      <c r="T693" s="2501"/>
      <c r="U693" s="2501"/>
      <c r="V693" s="2501"/>
      <c r="W693" s="2501"/>
      <c r="X693" s="2501"/>
      <c r="Y693" s="2501"/>
      <c r="Z693" s="2501"/>
      <c r="AA693" s="2501"/>
    </row>
    <row r="694" spans="1:27" ht="15.75" customHeight="1" x14ac:dyDescent="0.3">
      <c r="A694" s="2501"/>
      <c r="B694" s="2501"/>
      <c r="C694" s="2501"/>
      <c r="D694" s="2501"/>
      <c r="E694" s="2501"/>
      <c r="F694" s="2501"/>
      <c r="G694" s="2501"/>
      <c r="H694" s="2501"/>
      <c r="I694" s="2501"/>
      <c r="J694" s="2501"/>
      <c r="K694" s="2501"/>
      <c r="L694" s="2501"/>
      <c r="M694" s="2501"/>
      <c r="N694" s="2501"/>
      <c r="O694" s="2501"/>
      <c r="P694" s="2501"/>
      <c r="Q694" s="2501"/>
      <c r="R694" s="2501"/>
      <c r="S694" s="2501"/>
      <c r="T694" s="2501"/>
      <c r="U694" s="2501"/>
      <c r="V694" s="2501"/>
      <c r="W694" s="2501"/>
      <c r="X694" s="2501"/>
      <c r="Y694" s="2501"/>
      <c r="Z694" s="2501"/>
      <c r="AA694" s="2501"/>
    </row>
    <row r="695" spans="1:27" ht="15.75" customHeight="1" x14ac:dyDescent="0.3">
      <c r="A695" s="2501"/>
      <c r="B695" s="2501"/>
      <c r="C695" s="2501"/>
      <c r="D695" s="2501"/>
      <c r="E695" s="2501"/>
      <c r="F695" s="2501"/>
      <c r="G695" s="2501"/>
      <c r="H695" s="2501"/>
      <c r="I695" s="2501"/>
      <c r="J695" s="2501"/>
      <c r="K695" s="2501"/>
      <c r="L695" s="2501"/>
      <c r="M695" s="2501"/>
      <c r="N695" s="2501"/>
      <c r="O695" s="2501"/>
      <c r="P695" s="2501"/>
      <c r="Q695" s="2501"/>
      <c r="R695" s="2501"/>
      <c r="S695" s="2501"/>
      <c r="T695" s="2501"/>
      <c r="U695" s="2501"/>
      <c r="V695" s="2501"/>
      <c r="W695" s="2501"/>
      <c r="X695" s="2501"/>
      <c r="Y695" s="2501"/>
      <c r="Z695" s="2501"/>
      <c r="AA695" s="2501"/>
    </row>
    <row r="696" spans="1:27" ht="15.75" customHeight="1" x14ac:dyDescent="0.3">
      <c r="A696" s="2501"/>
      <c r="B696" s="2501"/>
      <c r="C696" s="2501"/>
      <c r="D696" s="2501"/>
      <c r="E696" s="2501"/>
      <c r="F696" s="2501"/>
      <c r="G696" s="2501"/>
      <c r="H696" s="2501"/>
      <c r="I696" s="2501"/>
      <c r="J696" s="2501"/>
      <c r="K696" s="2501"/>
      <c r="L696" s="2501"/>
      <c r="M696" s="2501"/>
      <c r="N696" s="2501"/>
      <c r="O696" s="2501"/>
      <c r="P696" s="2501"/>
      <c r="Q696" s="2501"/>
      <c r="R696" s="2501"/>
      <c r="S696" s="2501"/>
      <c r="T696" s="2501"/>
      <c r="U696" s="2501"/>
      <c r="V696" s="2501"/>
      <c r="W696" s="2501"/>
      <c r="X696" s="2501"/>
      <c r="Y696" s="2501"/>
      <c r="Z696" s="2501"/>
      <c r="AA696" s="2501"/>
    </row>
    <row r="697" spans="1:27" ht="15.75" customHeight="1" x14ac:dyDescent="0.3">
      <c r="A697" s="2501"/>
      <c r="B697" s="2501"/>
      <c r="C697" s="2501"/>
      <c r="D697" s="2501"/>
      <c r="E697" s="2501"/>
      <c r="F697" s="2501"/>
      <c r="G697" s="2501"/>
      <c r="H697" s="2501"/>
      <c r="I697" s="2501"/>
      <c r="J697" s="2501"/>
      <c r="K697" s="2501"/>
      <c r="L697" s="2501"/>
      <c r="M697" s="2501"/>
      <c r="N697" s="2501"/>
      <c r="O697" s="2501"/>
      <c r="P697" s="2501"/>
      <c r="Q697" s="2501"/>
      <c r="R697" s="2501"/>
      <c r="S697" s="2501"/>
      <c r="T697" s="2501"/>
      <c r="U697" s="2501"/>
      <c r="V697" s="2501"/>
      <c r="W697" s="2501"/>
      <c r="X697" s="2501"/>
      <c r="Y697" s="2501"/>
      <c r="Z697" s="2501"/>
      <c r="AA697" s="2501"/>
    </row>
    <row r="698" spans="1:27" ht="15.75" customHeight="1" x14ac:dyDescent="0.3">
      <c r="A698" s="2501"/>
      <c r="B698" s="2501"/>
      <c r="C698" s="2501"/>
      <c r="D698" s="2501"/>
      <c r="E698" s="2501"/>
      <c r="F698" s="2501"/>
      <c r="G698" s="2501"/>
      <c r="H698" s="2501"/>
      <c r="I698" s="2501"/>
      <c r="J698" s="2501"/>
      <c r="K698" s="2501"/>
      <c r="L698" s="2501"/>
      <c r="M698" s="2501"/>
      <c r="N698" s="2501"/>
      <c r="O698" s="2501"/>
      <c r="P698" s="2501"/>
      <c r="Q698" s="2501"/>
      <c r="R698" s="2501"/>
      <c r="S698" s="2501"/>
      <c r="T698" s="2501"/>
      <c r="U698" s="2501"/>
      <c r="V698" s="2501"/>
      <c r="W698" s="2501"/>
      <c r="X698" s="2501"/>
      <c r="Y698" s="2501"/>
      <c r="Z698" s="2501"/>
      <c r="AA698" s="2501"/>
    </row>
    <row r="699" spans="1:27" ht="15.75" customHeight="1" x14ac:dyDescent="0.3">
      <c r="A699" s="2501"/>
      <c r="B699" s="2501"/>
      <c r="C699" s="2501"/>
      <c r="D699" s="2501"/>
      <c r="E699" s="2501"/>
      <c r="F699" s="2501"/>
      <c r="G699" s="2501"/>
      <c r="H699" s="2501"/>
      <c r="I699" s="2501"/>
      <c r="J699" s="2501"/>
      <c r="K699" s="2501"/>
      <c r="L699" s="2501"/>
      <c r="M699" s="2501"/>
      <c r="N699" s="2501"/>
      <c r="O699" s="2501"/>
      <c r="P699" s="2501"/>
      <c r="Q699" s="2501"/>
      <c r="R699" s="2501"/>
      <c r="S699" s="2501"/>
      <c r="T699" s="2501"/>
      <c r="U699" s="2501"/>
      <c r="V699" s="2501"/>
      <c r="W699" s="2501"/>
      <c r="X699" s="2501"/>
      <c r="Y699" s="2501"/>
      <c r="Z699" s="2501"/>
      <c r="AA699" s="2501"/>
    </row>
    <row r="700" spans="1:27" ht="15.75" customHeight="1" x14ac:dyDescent="0.3">
      <c r="A700" s="2501"/>
      <c r="B700" s="2501"/>
      <c r="C700" s="2501"/>
      <c r="D700" s="2501"/>
      <c r="E700" s="2501"/>
      <c r="F700" s="2501"/>
      <c r="G700" s="2501"/>
      <c r="H700" s="2501"/>
      <c r="I700" s="2501"/>
      <c r="J700" s="2501"/>
      <c r="K700" s="2501"/>
      <c r="L700" s="2501"/>
      <c r="M700" s="2501"/>
      <c r="N700" s="2501"/>
      <c r="O700" s="2501"/>
      <c r="P700" s="2501"/>
      <c r="Q700" s="2501"/>
      <c r="R700" s="2501"/>
      <c r="S700" s="2501"/>
      <c r="T700" s="2501"/>
      <c r="U700" s="2501"/>
      <c r="V700" s="2501"/>
      <c r="W700" s="2501"/>
      <c r="X700" s="2501"/>
      <c r="Y700" s="2501"/>
      <c r="Z700" s="2501"/>
      <c r="AA700" s="2501"/>
    </row>
    <row r="701" spans="1:27" ht="15.75" customHeight="1" x14ac:dyDescent="0.3">
      <c r="A701" s="2501"/>
      <c r="B701" s="2501"/>
      <c r="C701" s="2501"/>
      <c r="D701" s="2501"/>
      <c r="E701" s="2501"/>
      <c r="F701" s="2501"/>
      <c r="G701" s="2501"/>
      <c r="H701" s="2501"/>
      <c r="I701" s="2501"/>
      <c r="J701" s="2501"/>
      <c r="K701" s="2501"/>
      <c r="L701" s="2501"/>
      <c r="M701" s="2501"/>
      <c r="N701" s="2501"/>
      <c r="O701" s="2501"/>
      <c r="P701" s="2501"/>
      <c r="Q701" s="2501"/>
      <c r="R701" s="2501"/>
      <c r="S701" s="2501"/>
      <c r="T701" s="2501"/>
      <c r="U701" s="2501"/>
      <c r="V701" s="2501"/>
      <c r="W701" s="2501"/>
      <c r="X701" s="2501"/>
      <c r="Y701" s="2501"/>
      <c r="Z701" s="2501"/>
      <c r="AA701" s="2501"/>
    </row>
    <row r="702" spans="1:27" ht="15.75" customHeight="1" x14ac:dyDescent="0.3">
      <c r="A702" s="2501"/>
      <c r="B702" s="2501"/>
      <c r="C702" s="2501"/>
      <c r="D702" s="2501"/>
      <c r="E702" s="2501"/>
      <c r="F702" s="2501"/>
      <c r="G702" s="2501"/>
      <c r="H702" s="2501"/>
      <c r="I702" s="2501"/>
      <c r="J702" s="2501"/>
      <c r="K702" s="2501"/>
      <c r="L702" s="2501"/>
      <c r="M702" s="2501"/>
      <c r="N702" s="2501"/>
      <c r="O702" s="2501"/>
      <c r="P702" s="2501"/>
      <c r="Q702" s="2501"/>
      <c r="R702" s="2501"/>
      <c r="S702" s="2501"/>
      <c r="T702" s="2501"/>
      <c r="U702" s="2501"/>
      <c r="V702" s="2501"/>
      <c r="W702" s="2501"/>
      <c r="X702" s="2501"/>
      <c r="Y702" s="2501"/>
      <c r="Z702" s="2501"/>
      <c r="AA702" s="2501"/>
    </row>
    <row r="703" spans="1:27" ht="15.75" customHeight="1" x14ac:dyDescent="0.3">
      <c r="A703" s="2501"/>
      <c r="B703" s="2501"/>
      <c r="C703" s="2501"/>
      <c r="D703" s="2501"/>
      <c r="E703" s="2501"/>
      <c r="F703" s="2501"/>
      <c r="G703" s="2501"/>
      <c r="H703" s="2501"/>
      <c r="I703" s="2501"/>
      <c r="J703" s="2501"/>
      <c r="K703" s="2501"/>
      <c r="L703" s="2501"/>
      <c r="M703" s="2501"/>
      <c r="N703" s="2501"/>
      <c r="O703" s="2501"/>
      <c r="P703" s="2501"/>
      <c r="Q703" s="2501"/>
      <c r="R703" s="2501"/>
      <c r="S703" s="2501"/>
      <c r="T703" s="2501"/>
      <c r="U703" s="2501"/>
      <c r="V703" s="2501"/>
      <c r="W703" s="2501"/>
      <c r="X703" s="2501"/>
      <c r="Y703" s="2501"/>
      <c r="Z703" s="2501"/>
      <c r="AA703" s="2501"/>
    </row>
    <row r="704" spans="1:27" ht="15.75" customHeight="1" x14ac:dyDescent="0.3">
      <c r="A704" s="2501"/>
      <c r="B704" s="2501"/>
      <c r="C704" s="2501"/>
      <c r="D704" s="2501"/>
      <c r="E704" s="2501"/>
      <c r="F704" s="2501"/>
      <c r="G704" s="2501"/>
      <c r="H704" s="2501"/>
      <c r="I704" s="2501"/>
      <c r="J704" s="2501"/>
      <c r="K704" s="2501"/>
      <c r="L704" s="2501"/>
      <c r="M704" s="2501"/>
      <c r="N704" s="2501"/>
      <c r="O704" s="2501"/>
      <c r="P704" s="2501"/>
      <c r="Q704" s="2501"/>
      <c r="R704" s="2501"/>
      <c r="S704" s="2501"/>
      <c r="T704" s="2501"/>
      <c r="U704" s="2501"/>
      <c r="V704" s="2501"/>
      <c r="W704" s="2501"/>
      <c r="X704" s="2501"/>
      <c r="Y704" s="2501"/>
      <c r="Z704" s="2501"/>
      <c r="AA704" s="2501"/>
    </row>
    <row r="705" spans="1:27" ht="15.75" customHeight="1" x14ac:dyDescent="0.3">
      <c r="A705" s="2501"/>
      <c r="B705" s="2501"/>
      <c r="C705" s="2501"/>
      <c r="D705" s="2501"/>
      <c r="E705" s="2501"/>
      <c r="F705" s="2501"/>
      <c r="G705" s="2501"/>
      <c r="H705" s="2501"/>
      <c r="I705" s="2501"/>
      <c r="J705" s="2501"/>
      <c r="K705" s="2501"/>
      <c r="L705" s="2501"/>
      <c r="M705" s="2501"/>
      <c r="N705" s="2501"/>
      <c r="O705" s="2501"/>
      <c r="P705" s="2501"/>
      <c r="Q705" s="2501"/>
      <c r="R705" s="2501"/>
      <c r="S705" s="2501"/>
      <c r="T705" s="2501"/>
      <c r="U705" s="2501"/>
      <c r="V705" s="2501"/>
      <c r="W705" s="2501"/>
      <c r="X705" s="2501"/>
      <c r="Y705" s="2501"/>
      <c r="Z705" s="2501"/>
      <c r="AA705" s="2501"/>
    </row>
    <row r="706" spans="1:27" ht="15.75" customHeight="1" x14ac:dyDescent="0.3">
      <c r="A706" s="2501"/>
      <c r="B706" s="2501"/>
      <c r="C706" s="2501"/>
      <c r="D706" s="2501"/>
      <c r="E706" s="2501"/>
      <c r="F706" s="2501"/>
      <c r="G706" s="2501"/>
      <c r="H706" s="2501"/>
      <c r="I706" s="2501"/>
      <c r="J706" s="2501"/>
      <c r="K706" s="2501"/>
      <c r="L706" s="2501"/>
      <c r="M706" s="2501"/>
      <c r="N706" s="2501"/>
      <c r="O706" s="2501"/>
      <c r="P706" s="2501"/>
      <c r="Q706" s="2501"/>
      <c r="R706" s="2501"/>
      <c r="S706" s="2501"/>
      <c r="T706" s="2501"/>
      <c r="U706" s="2501"/>
      <c r="V706" s="2501"/>
      <c r="W706" s="2501"/>
      <c r="X706" s="2501"/>
      <c r="Y706" s="2501"/>
      <c r="Z706" s="2501"/>
      <c r="AA706" s="2501"/>
    </row>
    <row r="707" spans="1:27" ht="15.75" customHeight="1" x14ac:dyDescent="0.3">
      <c r="A707" s="2501"/>
      <c r="B707" s="2501"/>
      <c r="C707" s="2501"/>
      <c r="D707" s="2501"/>
      <c r="E707" s="2501"/>
      <c r="F707" s="2501"/>
      <c r="G707" s="2501"/>
      <c r="H707" s="2501"/>
      <c r="I707" s="2501"/>
      <c r="J707" s="2501"/>
      <c r="K707" s="2501"/>
      <c r="L707" s="2501"/>
      <c r="M707" s="2501"/>
      <c r="N707" s="2501"/>
      <c r="O707" s="2501"/>
      <c r="P707" s="2501"/>
      <c r="Q707" s="2501"/>
      <c r="R707" s="2501"/>
      <c r="S707" s="2501"/>
      <c r="T707" s="2501"/>
      <c r="U707" s="2501"/>
      <c r="V707" s="2501"/>
      <c r="W707" s="2501"/>
      <c r="X707" s="2501"/>
      <c r="Y707" s="2501"/>
      <c r="Z707" s="2501"/>
      <c r="AA707" s="2501"/>
    </row>
    <row r="708" spans="1:27" ht="15.75" customHeight="1" x14ac:dyDescent="0.3">
      <c r="A708" s="2501"/>
      <c r="B708" s="2501"/>
      <c r="C708" s="2501"/>
      <c r="D708" s="2501"/>
      <c r="E708" s="2501"/>
      <c r="F708" s="2501"/>
      <c r="G708" s="2501"/>
      <c r="H708" s="2501"/>
      <c r="I708" s="2501"/>
      <c r="J708" s="2501"/>
      <c r="K708" s="2501"/>
      <c r="L708" s="2501"/>
      <c r="M708" s="2501"/>
      <c r="N708" s="2501"/>
      <c r="O708" s="2501"/>
      <c r="P708" s="2501"/>
      <c r="Q708" s="2501"/>
      <c r="R708" s="2501"/>
      <c r="S708" s="2501"/>
      <c r="T708" s="2501"/>
      <c r="U708" s="2501"/>
      <c r="V708" s="2501"/>
      <c r="W708" s="2501"/>
      <c r="X708" s="2501"/>
      <c r="Y708" s="2501"/>
      <c r="Z708" s="2501"/>
      <c r="AA708" s="2501"/>
    </row>
    <row r="709" spans="1:27" ht="15.75" customHeight="1" x14ac:dyDescent="0.3">
      <c r="A709" s="2501"/>
      <c r="B709" s="2501"/>
      <c r="C709" s="2501"/>
      <c r="D709" s="2501"/>
      <c r="E709" s="2501"/>
      <c r="F709" s="2501"/>
      <c r="G709" s="2501"/>
      <c r="H709" s="2501"/>
      <c r="I709" s="2501"/>
      <c r="J709" s="2501"/>
      <c r="K709" s="2501"/>
      <c r="L709" s="2501"/>
      <c r="M709" s="2501"/>
      <c r="N709" s="2501"/>
      <c r="O709" s="2501"/>
      <c r="P709" s="2501"/>
      <c r="Q709" s="2501"/>
      <c r="R709" s="2501"/>
      <c r="S709" s="2501"/>
      <c r="T709" s="2501"/>
      <c r="U709" s="2501"/>
      <c r="V709" s="2501"/>
      <c r="W709" s="2501"/>
      <c r="X709" s="2501"/>
      <c r="Y709" s="2501"/>
      <c r="Z709" s="2501"/>
      <c r="AA709" s="2501"/>
    </row>
    <row r="710" spans="1:27" ht="15.75" customHeight="1" x14ac:dyDescent="0.3">
      <c r="A710" s="2501"/>
      <c r="B710" s="2501"/>
      <c r="C710" s="2501"/>
      <c r="D710" s="2501"/>
      <c r="E710" s="2501"/>
      <c r="F710" s="2501"/>
      <c r="G710" s="2501"/>
      <c r="H710" s="2501"/>
      <c r="I710" s="2501"/>
      <c r="J710" s="2501"/>
      <c r="K710" s="2501"/>
      <c r="L710" s="2501"/>
      <c r="M710" s="2501"/>
      <c r="N710" s="2501"/>
      <c r="O710" s="2501"/>
      <c r="P710" s="2501"/>
      <c r="Q710" s="2501"/>
      <c r="R710" s="2501"/>
      <c r="S710" s="2501"/>
      <c r="T710" s="2501"/>
      <c r="U710" s="2501"/>
      <c r="V710" s="2501"/>
      <c r="W710" s="2501"/>
      <c r="X710" s="2501"/>
      <c r="Y710" s="2501"/>
      <c r="Z710" s="2501"/>
      <c r="AA710" s="2501"/>
    </row>
    <row r="711" spans="1:27" ht="15.75" customHeight="1" x14ac:dyDescent="0.3">
      <c r="A711" s="2501"/>
      <c r="B711" s="2501"/>
      <c r="C711" s="2501"/>
      <c r="D711" s="2501"/>
      <c r="E711" s="2501"/>
      <c r="F711" s="2501"/>
      <c r="G711" s="2501"/>
      <c r="H711" s="2501"/>
      <c r="I711" s="2501"/>
      <c r="J711" s="2501"/>
      <c r="K711" s="2501"/>
      <c r="L711" s="2501"/>
      <c r="M711" s="2501"/>
      <c r="N711" s="2501"/>
      <c r="O711" s="2501"/>
      <c r="P711" s="2501"/>
      <c r="Q711" s="2501"/>
      <c r="R711" s="2501"/>
      <c r="S711" s="2501"/>
      <c r="T711" s="2501"/>
      <c r="U711" s="2501"/>
      <c r="V711" s="2501"/>
      <c r="W711" s="2501"/>
      <c r="X711" s="2501"/>
      <c r="Y711" s="2501"/>
      <c r="Z711" s="2501"/>
      <c r="AA711" s="2501"/>
    </row>
    <row r="712" spans="1:27" ht="15.75" customHeight="1" x14ac:dyDescent="0.3">
      <c r="A712" s="2501"/>
      <c r="B712" s="2501"/>
      <c r="C712" s="2501"/>
      <c r="D712" s="2501"/>
      <c r="E712" s="2501"/>
      <c r="F712" s="2501"/>
      <c r="G712" s="2501"/>
      <c r="H712" s="2501"/>
      <c r="I712" s="2501"/>
      <c r="J712" s="2501"/>
      <c r="K712" s="2501"/>
      <c r="L712" s="2501"/>
      <c r="M712" s="2501"/>
      <c r="N712" s="2501"/>
      <c r="O712" s="2501"/>
      <c r="P712" s="2501"/>
      <c r="Q712" s="2501"/>
      <c r="R712" s="2501"/>
      <c r="S712" s="2501"/>
      <c r="T712" s="2501"/>
      <c r="U712" s="2501"/>
      <c r="V712" s="2501"/>
      <c r="W712" s="2501"/>
      <c r="X712" s="2501"/>
      <c r="Y712" s="2501"/>
      <c r="Z712" s="2501"/>
      <c r="AA712" s="2501"/>
    </row>
    <row r="713" spans="1:27" ht="15.75" customHeight="1" x14ac:dyDescent="0.3">
      <c r="A713" s="2501"/>
      <c r="B713" s="2501"/>
      <c r="C713" s="2501"/>
      <c r="D713" s="2501"/>
      <c r="E713" s="2501"/>
      <c r="F713" s="2501"/>
      <c r="G713" s="2501"/>
      <c r="H713" s="2501"/>
      <c r="I713" s="2501"/>
      <c r="J713" s="2501"/>
      <c r="K713" s="2501"/>
      <c r="L713" s="2501"/>
      <c r="M713" s="2501"/>
      <c r="N713" s="2501"/>
      <c r="O713" s="2501"/>
      <c r="P713" s="2501"/>
      <c r="Q713" s="2501"/>
      <c r="R713" s="2501"/>
      <c r="S713" s="2501"/>
      <c r="T713" s="2501"/>
      <c r="U713" s="2501"/>
      <c r="V713" s="2501"/>
      <c r="W713" s="2501"/>
      <c r="X713" s="2501"/>
      <c r="Y713" s="2501"/>
      <c r="Z713" s="2501"/>
      <c r="AA713" s="2501"/>
    </row>
    <row r="714" spans="1:27" ht="15.75" customHeight="1" x14ac:dyDescent="0.3">
      <c r="A714" s="2501"/>
      <c r="B714" s="2501"/>
      <c r="C714" s="2501"/>
      <c r="D714" s="2501"/>
      <c r="E714" s="2501"/>
      <c r="F714" s="2501"/>
      <c r="G714" s="2501"/>
      <c r="H714" s="2501"/>
      <c r="I714" s="2501"/>
      <c r="J714" s="2501"/>
      <c r="K714" s="2501"/>
      <c r="L714" s="2501"/>
      <c r="M714" s="2501"/>
      <c r="N714" s="2501"/>
      <c r="O714" s="2501"/>
      <c r="P714" s="2501"/>
      <c r="Q714" s="2501"/>
      <c r="R714" s="2501"/>
      <c r="S714" s="2501"/>
      <c r="T714" s="2501"/>
      <c r="U714" s="2501"/>
      <c r="V714" s="2501"/>
      <c r="W714" s="2501"/>
      <c r="X714" s="2501"/>
      <c r="Y714" s="2501"/>
      <c r="Z714" s="2501"/>
      <c r="AA714" s="2501"/>
    </row>
    <row r="715" spans="1:27" ht="15.75" customHeight="1" x14ac:dyDescent="0.3">
      <c r="A715" s="2501"/>
      <c r="B715" s="2501"/>
      <c r="C715" s="2501"/>
      <c r="D715" s="2501"/>
      <c r="E715" s="2501"/>
      <c r="F715" s="2501"/>
      <c r="G715" s="2501"/>
      <c r="H715" s="2501"/>
      <c r="I715" s="2501"/>
      <c r="J715" s="2501"/>
      <c r="K715" s="2501"/>
      <c r="L715" s="2501"/>
      <c r="M715" s="2501"/>
      <c r="N715" s="2501"/>
      <c r="O715" s="2501"/>
      <c r="P715" s="2501"/>
      <c r="Q715" s="2501"/>
      <c r="R715" s="2501"/>
      <c r="S715" s="2501"/>
      <c r="T715" s="2501"/>
      <c r="U715" s="2501"/>
      <c r="V715" s="2501"/>
      <c r="W715" s="2501"/>
      <c r="X715" s="2501"/>
      <c r="Y715" s="2501"/>
      <c r="Z715" s="2501"/>
      <c r="AA715" s="2501"/>
    </row>
    <row r="716" spans="1:27" ht="15.75" customHeight="1" x14ac:dyDescent="0.3">
      <c r="A716" s="2501"/>
      <c r="B716" s="2501"/>
      <c r="C716" s="2501"/>
      <c r="D716" s="2501"/>
      <c r="E716" s="2501"/>
      <c r="F716" s="2501"/>
      <c r="G716" s="2501"/>
      <c r="H716" s="2501"/>
      <c r="I716" s="2501"/>
      <c r="J716" s="2501"/>
      <c r="K716" s="2501"/>
      <c r="L716" s="2501"/>
      <c r="M716" s="2501"/>
      <c r="N716" s="2501"/>
      <c r="O716" s="2501"/>
      <c r="P716" s="2501"/>
      <c r="Q716" s="2501"/>
      <c r="R716" s="2501"/>
      <c r="S716" s="2501"/>
      <c r="T716" s="2501"/>
      <c r="U716" s="2501"/>
      <c r="V716" s="2501"/>
      <c r="W716" s="2501"/>
      <c r="X716" s="2501"/>
      <c r="Y716" s="2501"/>
      <c r="Z716" s="2501"/>
      <c r="AA716" s="2501"/>
    </row>
    <row r="717" spans="1:27" ht="15.75" customHeight="1" x14ac:dyDescent="0.3">
      <c r="A717" s="2501"/>
      <c r="B717" s="2501"/>
      <c r="C717" s="2501"/>
      <c r="D717" s="2501"/>
      <c r="E717" s="2501"/>
      <c r="F717" s="2501"/>
      <c r="G717" s="2501"/>
      <c r="H717" s="2501"/>
      <c r="I717" s="2501"/>
      <c r="J717" s="2501"/>
      <c r="K717" s="2501"/>
      <c r="L717" s="2501"/>
      <c r="M717" s="2501"/>
      <c r="N717" s="2501"/>
      <c r="O717" s="2501"/>
      <c r="P717" s="2501"/>
      <c r="Q717" s="2501"/>
      <c r="R717" s="2501"/>
      <c r="S717" s="2501"/>
      <c r="T717" s="2501"/>
      <c r="U717" s="2501"/>
      <c r="V717" s="2501"/>
      <c r="W717" s="2501"/>
      <c r="X717" s="2501"/>
      <c r="Y717" s="2501"/>
      <c r="Z717" s="2501"/>
      <c r="AA717" s="2501"/>
    </row>
    <row r="718" spans="1:27" ht="15.75" customHeight="1" x14ac:dyDescent="0.3">
      <c r="A718" s="2501"/>
      <c r="B718" s="2501"/>
      <c r="C718" s="2501"/>
      <c r="D718" s="2501"/>
      <c r="E718" s="2501"/>
      <c r="F718" s="2501"/>
      <c r="G718" s="2501"/>
      <c r="H718" s="2501"/>
      <c r="I718" s="2501"/>
      <c r="J718" s="2501"/>
      <c r="K718" s="2501"/>
      <c r="L718" s="2501"/>
      <c r="M718" s="2501"/>
      <c r="N718" s="2501"/>
      <c r="O718" s="2501"/>
      <c r="P718" s="2501"/>
      <c r="Q718" s="2501"/>
      <c r="R718" s="2501"/>
      <c r="S718" s="2501"/>
      <c r="T718" s="2501"/>
      <c r="U718" s="2501"/>
      <c r="V718" s="2501"/>
      <c r="W718" s="2501"/>
      <c r="X718" s="2501"/>
      <c r="Y718" s="2501"/>
      <c r="Z718" s="2501"/>
      <c r="AA718" s="2501"/>
    </row>
    <row r="719" spans="1:27" ht="15.75" customHeight="1" x14ac:dyDescent="0.3">
      <c r="A719" s="2501"/>
      <c r="B719" s="2501"/>
      <c r="C719" s="2501"/>
      <c r="D719" s="2501"/>
      <c r="E719" s="2501"/>
      <c r="F719" s="2501"/>
      <c r="G719" s="2501"/>
      <c r="H719" s="2501"/>
      <c r="I719" s="2501"/>
      <c r="J719" s="2501"/>
      <c r="K719" s="2501"/>
      <c r="L719" s="2501"/>
      <c r="M719" s="2501"/>
      <c r="N719" s="2501"/>
      <c r="O719" s="2501"/>
      <c r="P719" s="2501"/>
      <c r="Q719" s="2501"/>
      <c r="R719" s="2501"/>
      <c r="S719" s="2501"/>
      <c r="T719" s="2501"/>
      <c r="U719" s="2501"/>
      <c r="V719" s="2501"/>
      <c r="W719" s="2501"/>
      <c r="X719" s="2501"/>
      <c r="Y719" s="2501"/>
      <c r="Z719" s="2501"/>
      <c r="AA719" s="2501"/>
    </row>
    <row r="720" spans="1:27" ht="15.75" customHeight="1" x14ac:dyDescent="0.3">
      <c r="A720" s="2501"/>
      <c r="B720" s="2501"/>
      <c r="C720" s="2501"/>
      <c r="D720" s="2501"/>
      <c r="E720" s="2501"/>
      <c r="F720" s="2501"/>
      <c r="G720" s="2501"/>
      <c r="H720" s="2501"/>
      <c r="I720" s="2501"/>
      <c r="J720" s="2501"/>
      <c r="K720" s="2501"/>
      <c r="L720" s="2501"/>
      <c r="M720" s="2501"/>
      <c r="N720" s="2501"/>
      <c r="O720" s="2501"/>
      <c r="P720" s="2501"/>
      <c r="Q720" s="2501"/>
      <c r="R720" s="2501"/>
      <c r="S720" s="2501"/>
      <c r="T720" s="2501"/>
      <c r="U720" s="2501"/>
      <c r="V720" s="2501"/>
      <c r="W720" s="2501"/>
      <c r="X720" s="2501"/>
      <c r="Y720" s="2501"/>
      <c r="Z720" s="2501"/>
      <c r="AA720" s="2501"/>
    </row>
    <row r="721" spans="1:27" ht="15.75" customHeight="1" x14ac:dyDescent="0.3">
      <c r="A721" s="2501"/>
      <c r="B721" s="2501"/>
      <c r="C721" s="2501"/>
      <c r="D721" s="2501"/>
      <c r="E721" s="2501"/>
      <c r="F721" s="2501"/>
      <c r="G721" s="2501"/>
      <c r="H721" s="2501"/>
      <c r="I721" s="2501"/>
      <c r="J721" s="2501"/>
      <c r="K721" s="2501"/>
      <c r="L721" s="2501"/>
      <c r="M721" s="2501"/>
      <c r="N721" s="2501"/>
      <c r="O721" s="2501"/>
      <c r="P721" s="2501"/>
      <c r="Q721" s="2501"/>
      <c r="R721" s="2501"/>
      <c r="S721" s="2501"/>
      <c r="T721" s="2501"/>
      <c r="U721" s="2501"/>
      <c r="V721" s="2501"/>
      <c r="W721" s="2501"/>
      <c r="X721" s="2501"/>
      <c r="Y721" s="2501"/>
      <c r="Z721" s="2501"/>
      <c r="AA721" s="2501"/>
    </row>
    <row r="722" spans="1:27" ht="15.75" customHeight="1" x14ac:dyDescent="0.3">
      <c r="A722" s="2501"/>
      <c r="B722" s="2501"/>
      <c r="C722" s="2501"/>
      <c r="D722" s="2501"/>
      <c r="E722" s="2501"/>
      <c r="F722" s="2501"/>
      <c r="G722" s="2501"/>
      <c r="H722" s="2501"/>
      <c r="I722" s="2501"/>
      <c r="J722" s="2501"/>
      <c r="K722" s="2501"/>
      <c r="L722" s="2501"/>
      <c r="M722" s="2501"/>
      <c r="N722" s="2501"/>
      <c r="O722" s="2501"/>
      <c r="P722" s="2501"/>
      <c r="Q722" s="2501"/>
      <c r="R722" s="2501"/>
      <c r="S722" s="2501"/>
      <c r="T722" s="2501"/>
      <c r="U722" s="2501"/>
      <c r="V722" s="2501"/>
      <c r="W722" s="2501"/>
      <c r="X722" s="2501"/>
      <c r="Y722" s="2501"/>
      <c r="Z722" s="2501"/>
      <c r="AA722" s="2501"/>
    </row>
    <row r="723" spans="1:27" ht="15.75" customHeight="1" x14ac:dyDescent="0.3">
      <c r="A723" s="2501"/>
      <c r="B723" s="2501"/>
      <c r="C723" s="2501"/>
      <c r="D723" s="2501"/>
      <c r="E723" s="2501"/>
      <c r="F723" s="2501"/>
      <c r="G723" s="2501"/>
      <c r="H723" s="2501"/>
      <c r="I723" s="2501"/>
      <c r="J723" s="2501"/>
      <c r="K723" s="2501"/>
      <c r="L723" s="2501"/>
      <c r="M723" s="2501"/>
      <c r="N723" s="2501"/>
      <c r="O723" s="2501"/>
      <c r="P723" s="2501"/>
      <c r="Q723" s="2501"/>
      <c r="R723" s="2501"/>
      <c r="S723" s="2501"/>
      <c r="T723" s="2501"/>
      <c r="U723" s="2501"/>
      <c r="V723" s="2501"/>
      <c r="W723" s="2501"/>
      <c r="X723" s="2501"/>
      <c r="Y723" s="2501"/>
      <c r="Z723" s="2501"/>
      <c r="AA723" s="2501"/>
    </row>
    <row r="724" spans="1:27" ht="15.75" customHeight="1" x14ac:dyDescent="0.3">
      <c r="A724" s="2501"/>
      <c r="B724" s="2501"/>
      <c r="C724" s="2501"/>
      <c r="D724" s="2501"/>
      <c r="E724" s="2501"/>
      <c r="F724" s="2501"/>
      <c r="G724" s="2501"/>
      <c r="H724" s="2501"/>
      <c r="I724" s="2501"/>
      <c r="J724" s="2501"/>
      <c r="K724" s="2501"/>
      <c r="L724" s="2501"/>
      <c r="M724" s="2501"/>
      <c r="N724" s="2501"/>
      <c r="O724" s="2501"/>
      <c r="P724" s="2501"/>
      <c r="Q724" s="2501"/>
      <c r="R724" s="2501"/>
      <c r="S724" s="2501"/>
      <c r="T724" s="2501"/>
      <c r="U724" s="2501"/>
      <c r="V724" s="2501"/>
      <c r="W724" s="2501"/>
      <c r="X724" s="2501"/>
      <c r="Y724" s="2501"/>
      <c r="Z724" s="2501"/>
      <c r="AA724" s="2501"/>
    </row>
    <row r="725" spans="1:27" ht="15.75" customHeight="1" x14ac:dyDescent="0.3">
      <c r="A725" s="2501"/>
      <c r="B725" s="2501"/>
      <c r="C725" s="2501"/>
      <c r="D725" s="2501"/>
      <c r="E725" s="2501"/>
      <c r="F725" s="2501"/>
      <c r="G725" s="2501"/>
      <c r="H725" s="2501"/>
      <c r="I725" s="2501"/>
      <c r="J725" s="2501"/>
      <c r="K725" s="2501"/>
      <c r="L725" s="2501"/>
      <c r="M725" s="2501"/>
      <c r="N725" s="2501"/>
      <c r="O725" s="2501"/>
      <c r="P725" s="2501"/>
      <c r="Q725" s="2501"/>
      <c r="R725" s="2501"/>
      <c r="S725" s="2501"/>
      <c r="T725" s="2501"/>
      <c r="U725" s="2501"/>
      <c r="V725" s="2501"/>
      <c r="W725" s="2501"/>
      <c r="X725" s="2501"/>
      <c r="Y725" s="2501"/>
      <c r="Z725" s="2501"/>
      <c r="AA725" s="2501"/>
    </row>
    <row r="726" spans="1:27" ht="15.75" customHeight="1" x14ac:dyDescent="0.3">
      <c r="A726" s="2501"/>
      <c r="B726" s="2501"/>
      <c r="C726" s="2501"/>
      <c r="D726" s="2501"/>
      <c r="E726" s="2501"/>
      <c r="F726" s="2501"/>
      <c r="G726" s="2501"/>
      <c r="H726" s="2501"/>
      <c r="I726" s="2501"/>
      <c r="J726" s="2501"/>
      <c r="K726" s="2501"/>
      <c r="L726" s="2501"/>
      <c r="M726" s="2501"/>
      <c r="N726" s="2501"/>
      <c r="O726" s="2501"/>
      <c r="P726" s="2501"/>
      <c r="Q726" s="2501"/>
      <c r="R726" s="2501"/>
      <c r="S726" s="2501"/>
      <c r="T726" s="2501"/>
      <c r="U726" s="2501"/>
      <c r="V726" s="2501"/>
      <c r="W726" s="2501"/>
      <c r="X726" s="2501"/>
      <c r="Y726" s="2501"/>
      <c r="Z726" s="2501"/>
      <c r="AA726" s="2501"/>
    </row>
    <row r="727" spans="1:27" ht="15.75" customHeight="1" x14ac:dyDescent="0.3">
      <c r="A727" s="2501"/>
      <c r="B727" s="2501"/>
      <c r="C727" s="2501"/>
      <c r="D727" s="2501"/>
      <c r="E727" s="2501"/>
      <c r="F727" s="2501"/>
      <c r="G727" s="2501"/>
      <c r="H727" s="2501"/>
      <c r="I727" s="2501"/>
      <c r="J727" s="2501"/>
      <c r="K727" s="2501"/>
      <c r="L727" s="2501"/>
      <c r="M727" s="2501"/>
      <c r="N727" s="2501"/>
      <c r="O727" s="2501"/>
      <c r="P727" s="2501"/>
      <c r="Q727" s="2501"/>
      <c r="R727" s="2501"/>
      <c r="S727" s="2501"/>
      <c r="T727" s="2501"/>
      <c r="U727" s="2501"/>
      <c r="V727" s="2501"/>
      <c r="W727" s="2501"/>
      <c r="X727" s="2501"/>
      <c r="Y727" s="2501"/>
      <c r="Z727" s="2501"/>
      <c r="AA727" s="2501"/>
    </row>
    <row r="728" spans="1:27" ht="15.75" customHeight="1" x14ac:dyDescent="0.3">
      <c r="A728" s="2501"/>
      <c r="B728" s="2501"/>
      <c r="C728" s="2501"/>
      <c r="D728" s="2501"/>
      <c r="E728" s="2501"/>
      <c r="F728" s="2501"/>
      <c r="G728" s="2501"/>
      <c r="H728" s="2501"/>
      <c r="I728" s="2501"/>
      <c r="J728" s="2501"/>
      <c r="K728" s="2501"/>
      <c r="L728" s="2501"/>
      <c r="M728" s="2501"/>
      <c r="N728" s="2501"/>
      <c r="O728" s="2501"/>
      <c r="P728" s="2501"/>
      <c r="Q728" s="2501"/>
      <c r="R728" s="2501"/>
      <c r="S728" s="2501"/>
      <c r="T728" s="2501"/>
      <c r="U728" s="2501"/>
      <c r="V728" s="2501"/>
      <c r="W728" s="2501"/>
      <c r="X728" s="2501"/>
      <c r="Y728" s="2501"/>
      <c r="Z728" s="2501"/>
      <c r="AA728" s="2501"/>
    </row>
    <row r="729" spans="1:27" ht="15.75" customHeight="1" x14ac:dyDescent="0.3">
      <c r="A729" s="2501"/>
      <c r="B729" s="2501"/>
      <c r="C729" s="2501"/>
      <c r="D729" s="2501"/>
      <c r="E729" s="2501"/>
      <c r="F729" s="2501"/>
      <c r="G729" s="2501"/>
      <c r="H729" s="2501"/>
      <c r="I729" s="2501"/>
      <c r="J729" s="2501"/>
      <c r="K729" s="2501"/>
      <c r="L729" s="2501"/>
      <c r="M729" s="2501"/>
      <c r="N729" s="2501"/>
      <c r="O729" s="2501"/>
      <c r="P729" s="2501"/>
      <c r="Q729" s="2501"/>
      <c r="R729" s="2501"/>
      <c r="S729" s="2501"/>
      <c r="T729" s="2501"/>
      <c r="U729" s="2501"/>
      <c r="V729" s="2501"/>
      <c r="W729" s="2501"/>
      <c r="X729" s="2501"/>
      <c r="Y729" s="2501"/>
      <c r="Z729" s="2501"/>
      <c r="AA729" s="2501"/>
    </row>
    <row r="730" spans="1:27" ht="15.75" customHeight="1" x14ac:dyDescent="0.3">
      <c r="A730" s="2501"/>
      <c r="B730" s="2501"/>
      <c r="C730" s="2501"/>
      <c r="D730" s="2501"/>
      <c r="E730" s="2501"/>
      <c r="F730" s="2501"/>
      <c r="G730" s="2501"/>
      <c r="H730" s="2501"/>
      <c r="I730" s="2501"/>
      <c r="J730" s="2501"/>
      <c r="K730" s="2501"/>
      <c r="L730" s="2501"/>
      <c r="M730" s="2501"/>
      <c r="N730" s="2501"/>
      <c r="O730" s="2501"/>
      <c r="P730" s="2501"/>
      <c r="Q730" s="2501"/>
      <c r="R730" s="2501"/>
      <c r="S730" s="2501"/>
      <c r="T730" s="2501"/>
      <c r="U730" s="2501"/>
      <c r="V730" s="2501"/>
      <c r="W730" s="2501"/>
      <c r="X730" s="2501"/>
      <c r="Y730" s="2501"/>
      <c r="Z730" s="2501"/>
      <c r="AA730" s="2501"/>
    </row>
    <row r="731" spans="1:27" ht="15.75" customHeight="1" x14ac:dyDescent="0.3">
      <c r="A731" s="2501"/>
      <c r="B731" s="2501"/>
      <c r="C731" s="2501"/>
      <c r="D731" s="2501"/>
      <c r="E731" s="2501"/>
      <c r="F731" s="2501"/>
      <c r="G731" s="2501"/>
      <c r="H731" s="2501"/>
      <c r="I731" s="2501"/>
      <c r="J731" s="2501"/>
      <c r="K731" s="2501"/>
      <c r="L731" s="2501"/>
      <c r="M731" s="2501"/>
      <c r="N731" s="2501"/>
      <c r="O731" s="2501"/>
      <c r="P731" s="2501"/>
      <c r="Q731" s="2501"/>
      <c r="R731" s="2501"/>
      <c r="S731" s="2501"/>
      <c r="T731" s="2501"/>
      <c r="U731" s="2501"/>
      <c r="V731" s="2501"/>
      <c r="W731" s="2501"/>
      <c r="X731" s="2501"/>
      <c r="Y731" s="2501"/>
      <c r="Z731" s="2501"/>
      <c r="AA731" s="2501"/>
    </row>
    <row r="732" spans="1:27" ht="15.75" customHeight="1" x14ac:dyDescent="0.3">
      <c r="A732" s="2501"/>
      <c r="B732" s="2501"/>
      <c r="C732" s="2501"/>
      <c r="D732" s="2501"/>
      <c r="E732" s="2501"/>
      <c r="F732" s="2501"/>
      <c r="G732" s="2501"/>
      <c r="H732" s="2501"/>
      <c r="I732" s="2501"/>
      <c r="J732" s="2501"/>
      <c r="K732" s="2501"/>
      <c r="L732" s="2501"/>
      <c r="M732" s="2501"/>
      <c r="N732" s="2501"/>
      <c r="O732" s="2501"/>
      <c r="P732" s="2501"/>
      <c r="Q732" s="2501"/>
      <c r="R732" s="2501"/>
      <c r="S732" s="2501"/>
      <c r="T732" s="2501"/>
      <c r="U732" s="2501"/>
      <c r="V732" s="2501"/>
      <c r="W732" s="2501"/>
      <c r="X732" s="2501"/>
      <c r="Y732" s="2501"/>
      <c r="Z732" s="2501"/>
      <c r="AA732" s="2501"/>
    </row>
    <row r="733" spans="1:27" ht="15.75" customHeight="1" x14ac:dyDescent="0.3">
      <c r="A733" s="2501"/>
      <c r="B733" s="2501"/>
      <c r="C733" s="2501"/>
      <c r="D733" s="2501"/>
      <c r="E733" s="2501"/>
      <c r="F733" s="2501"/>
      <c r="G733" s="2501"/>
      <c r="H733" s="2501"/>
      <c r="I733" s="2501"/>
      <c r="J733" s="2501"/>
      <c r="K733" s="2501"/>
      <c r="L733" s="2501"/>
      <c r="M733" s="2501"/>
      <c r="N733" s="2501"/>
      <c r="O733" s="2501"/>
      <c r="P733" s="2501"/>
      <c r="Q733" s="2501"/>
      <c r="R733" s="2501"/>
      <c r="S733" s="2501"/>
      <c r="T733" s="2501"/>
      <c r="U733" s="2501"/>
      <c r="V733" s="2501"/>
      <c r="W733" s="2501"/>
      <c r="X733" s="2501"/>
      <c r="Y733" s="2501"/>
      <c r="Z733" s="2501"/>
      <c r="AA733" s="2501"/>
    </row>
    <row r="734" spans="1:27" ht="15.75" customHeight="1" x14ac:dyDescent="0.3">
      <c r="A734" s="2501"/>
      <c r="B734" s="2501"/>
      <c r="C734" s="2501"/>
      <c r="D734" s="2501"/>
      <c r="E734" s="2501"/>
      <c r="F734" s="2501"/>
      <c r="G734" s="2501"/>
      <c r="H734" s="2501"/>
      <c r="I734" s="2501"/>
      <c r="J734" s="2501"/>
      <c r="K734" s="2501"/>
      <c r="L734" s="2501"/>
      <c r="M734" s="2501"/>
      <c r="N734" s="2501"/>
      <c r="O734" s="2501"/>
      <c r="P734" s="2501"/>
      <c r="Q734" s="2501"/>
      <c r="R734" s="2501"/>
      <c r="S734" s="2501"/>
      <c r="T734" s="2501"/>
      <c r="U734" s="2501"/>
      <c r="V734" s="2501"/>
      <c r="W734" s="2501"/>
      <c r="X734" s="2501"/>
      <c r="Y734" s="2501"/>
      <c r="Z734" s="2501"/>
      <c r="AA734" s="2501"/>
    </row>
    <row r="735" spans="1:27" ht="15.75" customHeight="1" x14ac:dyDescent="0.3">
      <c r="A735" s="2501"/>
      <c r="B735" s="2501"/>
      <c r="C735" s="2501"/>
      <c r="D735" s="2501"/>
      <c r="E735" s="2501"/>
      <c r="F735" s="2501"/>
      <c r="G735" s="2501"/>
      <c r="H735" s="2501"/>
      <c r="I735" s="2501"/>
      <c r="J735" s="2501"/>
      <c r="K735" s="2501"/>
      <c r="L735" s="2501"/>
      <c r="M735" s="2501"/>
      <c r="N735" s="2501"/>
      <c r="O735" s="2501"/>
      <c r="P735" s="2501"/>
      <c r="Q735" s="2501"/>
      <c r="R735" s="2501"/>
      <c r="S735" s="2501"/>
      <c r="T735" s="2501"/>
      <c r="U735" s="2501"/>
      <c r="V735" s="2501"/>
      <c r="W735" s="2501"/>
      <c r="X735" s="2501"/>
      <c r="Y735" s="2501"/>
      <c r="Z735" s="2501"/>
      <c r="AA735" s="2501"/>
    </row>
    <row r="736" spans="1:27" ht="15.75" customHeight="1" x14ac:dyDescent="0.3">
      <c r="A736" s="2501"/>
      <c r="B736" s="2501"/>
      <c r="C736" s="2501"/>
      <c r="D736" s="2501"/>
      <c r="E736" s="2501"/>
      <c r="F736" s="2501"/>
      <c r="G736" s="2501"/>
      <c r="H736" s="2501"/>
      <c r="I736" s="2501"/>
      <c r="J736" s="2501"/>
      <c r="K736" s="2501"/>
      <c r="L736" s="2501"/>
      <c r="M736" s="2501"/>
      <c r="N736" s="2501"/>
      <c r="O736" s="2501"/>
      <c r="P736" s="2501"/>
      <c r="Q736" s="2501"/>
      <c r="R736" s="2501"/>
      <c r="S736" s="2501"/>
      <c r="T736" s="2501"/>
      <c r="U736" s="2501"/>
      <c r="V736" s="2501"/>
      <c r="W736" s="2501"/>
      <c r="X736" s="2501"/>
      <c r="Y736" s="2501"/>
      <c r="Z736" s="2501"/>
      <c r="AA736" s="2501"/>
    </row>
    <row r="737" spans="1:27" ht="15.75" customHeight="1" x14ac:dyDescent="0.3">
      <c r="A737" s="2501"/>
      <c r="B737" s="2501"/>
      <c r="C737" s="2501"/>
      <c r="D737" s="2501"/>
      <c r="E737" s="2501"/>
      <c r="F737" s="2501"/>
      <c r="G737" s="2501"/>
      <c r="H737" s="2501"/>
      <c r="I737" s="2501"/>
      <c r="J737" s="2501"/>
      <c r="K737" s="2501"/>
      <c r="L737" s="2501"/>
      <c r="M737" s="2501"/>
      <c r="N737" s="2501"/>
      <c r="O737" s="2501"/>
      <c r="P737" s="2501"/>
      <c r="Q737" s="2501"/>
      <c r="R737" s="2501"/>
      <c r="S737" s="2501"/>
      <c r="T737" s="2501"/>
      <c r="U737" s="2501"/>
      <c r="V737" s="2501"/>
      <c r="W737" s="2501"/>
      <c r="X737" s="2501"/>
      <c r="Y737" s="2501"/>
      <c r="Z737" s="2501"/>
      <c r="AA737" s="2501"/>
    </row>
    <row r="738" spans="1:27" ht="15.75" customHeight="1" x14ac:dyDescent="0.3">
      <c r="A738" s="2501"/>
      <c r="B738" s="2501"/>
      <c r="C738" s="2501"/>
      <c r="D738" s="2501"/>
      <c r="E738" s="2501"/>
      <c r="F738" s="2501"/>
      <c r="G738" s="2501"/>
      <c r="H738" s="2501"/>
      <c r="I738" s="2501"/>
      <c r="J738" s="2501"/>
      <c r="K738" s="2501"/>
      <c r="L738" s="2501"/>
      <c r="M738" s="2501"/>
      <c r="N738" s="2501"/>
      <c r="O738" s="2501"/>
      <c r="P738" s="2501"/>
      <c r="Q738" s="2501"/>
      <c r="R738" s="2501"/>
      <c r="S738" s="2501"/>
      <c r="T738" s="2501"/>
      <c r="U738" s="2501"/>
      <c r="V738" s="2501"/>
      <c r="W738" s="2501"/>
      <c r="X738" s="2501"/>
      <c r="Y738" s="2501"/>
      <c r="Z738" s="2501"/>
      <c r="AA738" s="2501"/>
    </row>
    <row r="739" spans="1:27" ht="15.75" customHeight="1" x14ac:dyDescent="0.3">
      <c r="A739" s="2501"/>
      <c r="B739" s="2501"/>
      <c r="C739" s="2501"/>
      <c r="D739" s="2501"/>
      <c r="E739" s="2501"/>
      <c r="F739" s="2501"/>
      <c r="G739" s="2501"/>
      <c r="H739" s="2501"/>
      <c r="I739" s="2501"/>
      <c r="J739" s="2501"/>
      <c r="K739" s="2501"/>
      <c r="L739" s="2501"/>
      <c r="M739" s="2501"/>
      <c r="N739" s="2501"/>
      <c r="O739" s="2501"/>
      <c r="P739" s="2501"/>
      <c r="Q739" s="2501"/>
      <c r="R739" s="2501"/>
      <c r="S739" s="2501"/>
      <c r="T739" s="2501"/>
      <c r="U739" s="2501"/>
      <c r="V739" s="2501"/>
      <c r="W739" s="2501"/>
      <c r="X739" s="2501"/>
      <c r="Y739" s="2501"/>
      <c r="Z739" s="2501"/>
      <c r="AA739" s="2501"/>
    </row>
    <row r="740" spans="1:27" ht="15.75" customHeight="1" x14ac:dyDescent="0.3">
      <c r="A740" s="2501"/>
      <c r="B740" s="2501"/>
      <c r="C740" s="2501"/>
      <c r="D740" s="2501"/>
      <c r="E740" s="2501"/>
      <c r="F740" s="2501"/>
      <c r="G740" s="2501"/>
      <c r="H740" s="2501"/>
      <c r="I740" s="2501"/>
      <c r="J740" s="2501"/>
      <c r="K740" s="2501"/>
      <c r="L740" s="2501"/>
      <c r="M740" s="2501"/>
      <c r="N740" s="2501"/>
      <c r="O740" s="2501"/>
      <c r="P740" s="2501"/>
      <c r="Q740" s="2501"/>
      <c r="R740" s="2501"/>
      <c r="S740" s="2501"/>
      <c r="T740" s="2501"/>
      <c r="U740" s="2501"/>
      <c r="V740" s="2501"/>
      <c r="W740" s="2501"/>
      <c r="X740" s="2501"/>
      <c r="Y740" s="2501"/>
      <c r="Z740" s="2501"/>
      <c r="AA740" s="2501"/>
    </row>
    <row r="741" spans="1:27" ht="15.75" customHeight="1" x14ac:dyDescent="0.3">
      <c r="A741" s="2501"/>
      <c r="B741" s="2501"/>
      <c r="C741" s="2501"/>
      <c r="D741" s="2501"/>
      <c r="E741" s="2501"/>
      <c r="F741" s="2501"/>
      <c r="G741" s="2501"/>
      <c r="H741" s="2501"/>
      <c r="I741" s="2501"/>
      <c r="J741" s="2501"/>
      <c r="K741" s="2501"/>
      <c r="L741" s="2501"/>
      <c r="M741" s="2501"/>
      <c r="N741" s="2501"/>
      <c r="O741" s="2501"/>
      <c r="P741" s="2501"/>
      <c r="Q741" s="2501"/>
      <c r="R741" s="2501"/>
      <c r="S741" s="2501"/>
      <c r="T741" s="2501"/>
      <c r="U741" s="2501"/>
      <c r="V741" s="2501"/>
      <c r="W741" s="2501"/>
      <c r="X741" s="2501"/>
      <c r="Y741" s="2501"/>
      <c r="Z741" s="2501"/>
      <c r="AA741" s="2501"/>
    </row>
    <row r="742" spans="1:27" ht="15.75" customHeight="1" x14ac:dyDescent="0.3">
      <c r="A742" s="2501"/>
      <c r="B742" s="2501"/>
      <c r="C742" s="2501"/>
      <c r="D742" s="2501"/>
      <c r="E742" s="2501"/>
      <c r="F742" s="2501"/>
      <c r="G742" s="2501"/>
      <c r="H742" s="2501"/>
      <c r="I742" s="2501"/>
      <c r="J742" s="2501"/>
      <c r="K742" s="2501"/>
      <c r="L742" s="2501"/>
      <c r="M742" s="2501"/>
      <c r="N742" s="2501"/>
      <c r="O742" s="2501"/>
      <c r="P742" s="2501"/>
      <c r="Q742" s="2501"/>
      <c r="R742" s="2501"/>
      <c r="S742" s="2501"/>
      <c r="T742" s="2501"/>
      <c r="U742" s="2501"/>
      <c r="V742" s="2501"/>
      <c r="W742" s="2501"/>
      <c r="X742" s="2501"/>
      <c r="Y742" s="2501"/>
      <c r="Z742" s="2501"/>
      <c r="AA742" s="2501"/>
    </row>
    <row r="743" spans="1:27" ht="15.75" customHeight="1" x14ac:dyDescent="0.3">
      <c r="A743" s="2501"/>
      <c r="B743" s="2501"/>
      <c r="C743" s="2501"/>
      <c r="D743" s="2501"/>
      <c r="E743" s="2501"/>
      <c r="F743" s="2501"/>
      <c r="G743" s="2501"/>
      <c r="H743" s="2501"/>
      <c r="I743" s="2501"/>
      <c r="J743" s="2501"/>
      <c r="K743" s="2501"/>
      <c r="L743" s="2501"/>
      <c r="M743" s="2501"/>
      <c r="N743" s="2501"/>
      <c r="O743" s="2501"/>
      <c r="P743" s="2501"/>
      <c r="Q743" s="2501"/>
      <c r="R743" s="2501"/>
      <c r="S743" s="2501"/>
      <c r="T743" s="2501"/>
      <c r="U743" s="2501"/>
      <c r="V743" s="2501"/>
      <c r="W743" s="2501"/>
      <c r="X743" s="2501"/>
      <c r="Y743" s="2501"/>
      <c r="Z743" s="2501"/>
      <c r="AA743" s="2501"/>
    </row>
    <row r="744" spans="1:27" ht="15.75" customHeight="1" x14ac:dyDescent="0.3">
      <c r="A744" s="2501"/>
      <c r="B744" s="2501"/>
      <c r="C744" s="2501"/>
      <c r="D744" s="2501"/>
      <c r="E744" s="2501"/>
      <c r="F744" s="2501"/>
      <c r="G744" s="2501"/>
      <c r="H744" s="2501"/>
      <c r="I744" s="2501"/>
      <c r="J744" s="2501"/>
      <c r="K744" s="2501"/>
      <c r="L744" s="2501"/>
      <c r="M744" s="2501"/>
      <c r="N744" s="2501"/>
      <c r="O744" s="2501"/>
      <c r="P744" s="2501"/>
      <c r="Q744" s="2501"/>
      <c r="R744" s="2501"/>
      <c r="S744" s="2501"/>
      <c r="T744" s="2501"/>
      <c r="U744" s="2501"/>
      <c r="V744" s="2501"/>
      <c r="W744" s="2501"/>
      <c r="X744" s="2501"/>
      <c r="Y744" s="2501"/>
      <c r="Z744" s="2501"/>
      <c r="AA744" s="2501"/>
    </row>
    <row r="745" spans="1:27" ht="15.75" customHeight="1" x14ac:dyDescent="0.3">
      <c r="A745" s="2501"/>
      <c r="B745" s="2501"/>
      <c r="C745" s="2501"/>
      <c r="D745" s="2501"/>
      <c r="E745" s="2501"/>
      <c r="F745" s="2501"/>
      <c r="G745" s="2501"/>
      <c r="H745" s="2501"/>
      <c r="I745" s="2501"/>
      <c r="J745" s="2501"/>
      <c r="K745" s="2501"/>
      <c r="L745" s="2501"/>
      <c r="M745" s="2501"/>
      <c r="N745" s="2501"/>
      <c r="O745" s="2501"/>
      <c r="P745" s="2501"/>
      <c r="Q745" s="2501"/>
      <c r="R745" s="2501"/>
      <c r="S745" s="2501"/>
      <c r="T745" s="2501"/>
      <c r="U745" s="2501"/>
      <c r="V745" s="2501"/>
      <c r="W745" s="2501"/>
      <c r="X745" s="2501"/>
      <c r="Y745" s="2501"/>
      <c r="Z745" s="2501"/>
      <c r="AA745" s="2501"/>
    </row>
    <row r="746" spans="1:27" ht="15.75" customHeight="1" x14ac:dyDescent="0.3">
      <c r="A746" s="2501"/>
      <c r="B746" s="2501"/>
      <c r="C746" s="2501"/>
      <c r="D746" s="2501"/>
      <c r="E746" s="2501"/>
      <c r="F746" s="2501"/>
      <c r="G746" s="2501"/>
      <c r="H746" s="2501"/>
      <c r="I746" s="2501"/>
      <c r="J746" s="2501"/>
      <c r="K746" s="2501"/>
      <c r="L746" s="2501"/>
      <c r="M746" s="2501"/>
      <c r="N746" s="2501"/>
      <c r="O746" s="2501"/>
      <c r="P746" s="2501"/>
      <c r="Q746" s="2501"/>
      <c r="R746" s="2501"/>
      <c r="S746" s="2501"/>
      <c r="T746" s="2501"/>
      <c r="U746" s="2501"/>
      <c r="V746" s="2501"/>
      <c r="W746" s="2501"/>
      <c r="X746" s="2501"/>
      <c r="Y746" s="2501"/>
      <c r="Z746" s="2501"/>
      <c r="AA746" s="2501"/>
    </row>
    <row r="747" spans="1:27" ht="15.75" customHeight="1" x14ac:dyDescent="0.3">
      <c r="A747" s="2501"/>
      <c r="B747" s="2501"/>
      <c r="C747" s="2501"/>
      <c r="D747" s="2501"/>
      <c r="E747" s="2501"/>
      <c r="F747" s="2501"/>
      <c r="G747" s="2501"/>
      <c r="H747" s="2501"/>
      <c r="I747" s="2501"/>
      <c r="J747" s="2501"/>
      <c r="K747" s="2501"/>
      <c r="L747" s="2501"/>
      <c r="M747" s="2501"/>
      <c r="N747" s="2501"/>
      <c r="O747" s="2501"/>
      <c r="P747" s="2501"/>
      <c r="Q747" s="2501"/>
      <c r="R747" s="2501"/>
      <c r="S747" s="2501"/>
      <c r="T747" s="2501"/>
      <c r="U747" s="2501"/>
      <c r="V747" s="2501"/>
      <c r="W747" s="2501"/>
      <c r="X747" s="2501"/>
      <c r="Y747" s="2501"/>
      <c r="Z747" s="2501"/>
      <c r="AA747" s="2501"/>
    </row>
    <row r="748" spans="1:27" ht="15.75" customHeight="1" x14ac:dyDescent="0.3">
      <c r="A748" s="2501"/>
      <c r="B748" s="2501"/>
      <c r="C748" s="2501"/>
      <c r="D748" s="2501"/>
      <c r="E748" s="2501"/>
      <c r="F748" s="2501"/>
      <c r="G748" s="2501"/>
      <c r="H748" s="2501"/>
      <c r="I748" s="2501"/>
      <c r="J748" s="2501"/>
      <c r="K748" s="2501"/>
      <c r="L748" s="2501"/>
      <c r="M748" s="2501"/>
      <c r="N748" s="2501"/>
      <c r="O748" s="2501"/>
      <c r="P748" s="2501"/>
      <c r="Q748" s="2501"/>
      <c r="R748" s="2501"/>
      <c r="S748" s="2501"/>
      <c r="T748" s="2501"/>
      <c r="U748" s="2501"/>
      <c r="V748" s="2501"/>
      <c r="W748" s="2501"/>
      <c r="X748" s="2501"/>
      <c r="Y748" s="2501"/>
      <c r="Z748" s="2501"/>
      <c r="AA748" s="2501"/>
    </row>
    <row r="749" spans="1:27" ht="15.75" customHeight="1" x14ac:dyDescent="0.3">
      <c r="A749" s="2501"/>
      <c r="B749" s="2501"/>
      <c r="C749" s="2501"/>
      <c r="D749" s="2501"/>
      <c r="E749" s="2501"/>
      <c r="F749" s="2501"/>
      <c r="G749" s="2501"/>
      <c r="H749" s="2501"/>
      <c r="I749" s="2501"/>
      <c r="J749" s="2501"/>
      <c r="K749" s="2501"/>
      <c r="L749" s="2501"/>
      <c r="M749" s="2501"/>
      <c r="N749" s="2501"/>
      <c r="O749" s="2501"/>
      <c r="P749" s="2501"/>
      <c r="Q749" s="2501"/>
      <c r="R749" s="2501"/>
      <c r="S749" s="2501"/>
      <c r="T749" s="2501"/>
      <c r="U749" s="2501"/>
      <c r="V749" s="2501"/>
      <c r="W749" s="2501"/>
      <c r="X749" s="2501"/>
      <c r="Y749" s="2501"/>
      <c r="Z749" s="2501"/>
      <c r="AA749" s="2501"/>
    </row>
    <row r="750" spans="1:27" ht="15.75" customHeight="1" x14ac:dyDescent="0.3">
      <c r="A750" s="2501"/>
      <c r="B750" s="2501"/>
      <c r="C750" s="2501"/>
      <c r="D750" s="2501"/>
      <c r="E750" s="2501"/>
      <c r="F750" s="2501"/>
      <c r="G750" s="2501"/>
      <c r="H750" s="2501"/>
      <c r="I750" s="2501"/>
      <c r="J750" s="2501"/>
      <c r="K750" s="2501"/>
      <c r="L750" s="2501"/>
      <c r="M750" s="2501"/>
      <c r="N750" s="2501"/>
      <c r="O750" s="2501"/>
      <c r="P750" s="2501"/>
      <c r="Q750" s="2501"/>
      <c r="R750" s="2501"/>
      <c r="S750" s="2501"/>
      <c r="T750" s="2501"/>
      <c r="U750" s="2501"/>
      <c r="V750" s="2501"/>
      <c r="W750" s="2501"/>
      <c r="X750" s="2501"/>
      <c r="Y750" s="2501"/>
      <c r="Z750" s="2501"/>
      <c r="AA750" s="2501"/>
    </row>
    <row r="751" spans="1:27" ht="15.75" customHeight="1" x14ac:dyDescent="0.3">
      <c r="A751" s="2501"/>
      <c r="B751" s="2501"/>
      <c r="C751" s="2501"/>
      <c r="D751" s="2501"/>
      <c r="E751" s="2501"/>
      <c r="F751" s="2501"/>
      <c r="G751" s="2501"/>
      <c r="H751" s="2501"/>
      <c r="I751" s="2501"/>
      <c r="J751" s="2501"/>
      <c r="K751" s="2501"/>
      <c r="L751" s="2501"/>
      <c r="M751" s="2501"/>
      <c r="N751" s="2501"/>
      <c r="O751" s="2501"/>
      <c r="P751" s="2501"/>
      <c r="Q751" s="2501"/>
      <c r="R751" s="2501"/>
      <c r="S751" s="2501"/>
      <c r="T751" s="2501"/>
      <c r="U751" s="2501"/>
      <c r="V751" s="2501"/>
      <c r="W751" s="2501"/>
      <c r="X751" s="2501"/>
      <c r="Y751" s="2501"/>
      <c r="Z751" s="2501"/>
      <c r="AA751" s="2501"/>
    </row>
    <row r="752" spans="1:27" ht="15.75" customHeight="1" x14ac:dyDescent="0.3">
      <c r="A752" s="2501"/>
      <c r="B752" s="2501"/>
      <c r="C752" s="2501"/>
      <c r="D752" s="2501"/>
      <c r="E752" s="2501"/>
      <c r="F752" s="2501"/>
      <c r="G752" s="2501"/>
      <c r="H752" s="2501"/>
      <c r="I752" s="2501"/>
      <c r="J752" s="2501"/>
      <c r="K752" s="2501"/>
      <c r="L752" s="2501"/>
      <c r="M752" s="2501"/>
      <c r="N752" s="2501"/>
      <c r="O752" s="2501"/>
      <c r="P752" s="2501"/>
      <c r="Q752" s="2501"/>
      <c r="R752" s="2501"/>
      <c r="S752" s="2501"/>
      <c r="T752" s="2501"/>
      <c r="U752" s="2501"/>
      <c r="V752" s="2501"/>
      <c r="W752" s="2501"/>
      <c r="X752" s="2501"/>
      <c r="Y752" s="2501"/>
      <c r="Z752" s="2501"/>
      <c r="AA752" s="2501"/>
    </row>
    <row r="753" spans="1:27" ht="15.75" customHeight="1" x14ac:dyDescent="0.3">
      <c r="A753" s="2501"/>
      <c r="B753" s="2501"/>
      <c r="C753" s="2501"/>
      <c r="D753" s="2501"/>
      <c r="E753" s="2501"/>
      <c r="F753" s="2501"/>
      <c r="G753" s="2501"/>
      <c r="H753" s="2501"/>
      <c r="I753" s="2501"/>
      <c r="J753" s="2501"/>
      <c r="K753" s="2501"/>
      <c r="L753" s="2501"/>
      <c r="M753" s="2501"/>
      <c r="N753" s="2501"/>
      <c r="O753" s="2501"/>
      <c r="P753" s="2501"/>
      <c r="Q753" s="2501"/>
      <c r="R753" s="2501"/>
      <c r="S753" s="2501"/>
      <c r="T753" s="2501"/>
      <c r="U753" s="2501"/>
      <c r="V753" s="2501"/>
      <c r="W753" s="2501"/>
      <c r="X753" s="2501"/>
      <c r="Y753" s="2501"/>
      <c r="Z753" s="2501"/>
      <c r="AA753" s="2501"/>
    </row>
    <row r="754" spans="1:27" ht="15.75" customHeight="1" x14ac:dyDescent="0.3">
      <c r="A754" s="2501"/>
      <c r="B754" s="2501"/>
      <c r="C754" s="2501"/>
      <c r="D754" s="2501"/>
      <c r="E754" s="2501"/>
      <c r="F754" s="2501"/>
      <c r="G754" s="2501"/>
      <c r="H754" s="2501"/>
      <c r="I754" s="2501"/>
      <c r="J754" s="2501"/>
      <c r="K754" s="2501"/>
      <c r="L754" s="2501"/>
      <c r="M754" s="2501"/>
      <c r="N754" s="2501"/>
      <c r="O754" s="2501"/>
      <c r="P754" s="2501"/>
      <c r="Q754" s="2501"/>
      <c r="R754" s="2501"/>
      <c r="S754" s="2501"/>
      <c r="T754" s="2501"/>
      <c r="U754" s="2501"/>
      <c r="V754" s="2501"/>
      <c r="W754" s="2501"/>
      <c r="X754" s="2501"/>
      <c r="Y754" s="2501"/>
      <c r="Z754" s="2501"/>
      <c r="AA754" s="2501"/>
    </row>
    <row r="755" spans="1:27" ht="15.75" customHeight="1" x14ac:dyDescent="0.3">
      <c r="A755" s="2501"/>
      <c r="B755" s="2501"/>
      <c r="C755" s="2501"/>
      <c r="D755" s="2501"/>
      <c r="E755" s="2501"/>
      <c r="F755" s="2501"/>
      <c r="G755" s="2501"/>
      <c r="H755" s="2501"/>
      <c r="I755" s="2501"/>
      <c r="J755" s="2501"/>
      <c r="K755" s="2501"/>
      <c r="L755" s="2501"/>
      <c r="M755" s="2501"/>
      <c r="N755" s="2501"/>
      <c r="O755" s="2501"/>
      <c r="P755" s="2501"/>
      <c r="Q755" s="2501"/>
      <c r="R755" s="2501"/>
      <c r="S755" s="2501"/>
      <c r="T755" s="2501"/>
      <c r="U755" s="2501"/>
      <c r="V755" s="2501"/>
      <c r="W755" s="2501"/>
      <c r="X755" s="2501"/>
      <c r="Y755" s="2501"/>
      <c r="Z755" s="2501"/>
      <c r="AA755" s="2501"/>
    </row>
    <row r="756" spans="1:27" ht="15.75" customHeight="1" x14ac:dyDescent="0.3">
      <c r="A756" s="2501"/>
      <c r="B756" s="2501"/>
      <c r="C756" s="2501"/>
      <c r="D756" s="2501"/>
      <c r="E756" s="2501"/>
      <c r="F756" s="2501"/>
      <c r="G756" s="2501"/>
      <c r="H756" s="2501"/>
      <c r="I756" s="2501"/>
      <c r="J756" s="2501"/>
      <c r="K756" s="2501"/>
      <c r="L756" s="2501"/>
      <c r="M756" s="2501"/>
      <c r="N756" s="2501"/>
      <c r="O756" s="2501"/>
      <c r="P756" s="2501"/>
      <c r="Q756" s="2501"/>
      <c r="R756" s="2501"/>
      <c r="S756" s="2501"/>
      <c r="T756" s="2501"/>
      <c r="U756" s="2501"/>
      <c r="V756" s="2501"/>
      <c r="W756" s="2501"/>
      <c r="X756" s="2501"/>
      <c r="Y756" s="2501"/>
      <c r="Z756" s="2501"/>
      <c r="AA756" s="2501"/>
    </row>
    <row r="757" spans="1:27" ht="15.75" customHeight="1" x14ac:dyDescent="0.3">
      <c r="A757" s="2501"/>
      <c r="B757" s="2501"/>
      <c r="C757" s="2501"/>
      <c r="D757" s="2501"/>
      <c r="E757" s="2501"/>
      <c r="F757" s="2501"/>
      <c r="G757" s="2501"/>
      <c r="H757" s="2501"/>
      <c r="I757" s="2501"/>
      <c r="J757" s="2501"/>
      <c r="K757" s="2501"/>
      <c r="L757" s="2501"/>
      <c r="M757" s="2501"/>
      <c r="N757" s="2501"/>
      <c r="O757" s="2501"/>
      <c r="P757" s="2501"/>
      <c r="Q757" s="2501"/>
      <c r="R757" s="2501"/>
      <c r="S757" s="2501"/>
      <c r="T757" s="2501"/>
      <c r="U757" s="2501"/>
      <c r="V757" s="2501"/>
      <c r="W757" s="2501"/>
      <c r="X757" s="2501"/>
      <c r="Y757" s="2501"/>
      <c r="Z757" s="2501"/>
      <c r="AA757" s="2501"/>
    </row>
    <row r="758" spans="1:27" ht="15.75" customHeight="1" x14ac:dyDescent="0.3">
      <c r="A758" s="2501"/>
      <c r="B758" s="2501"/>
      <c r="C758" s="2501"/>
      <c r="D758" s="2501"/>
      <c r="E758" s="2501"/>
      <c r="F758" s="2501"/>
      <c r="G758" s="2501"/>
      <c r="H758" s="2501"/>
      <c r="I758" s="2501"/>
      <c r="J758" s="2501"/>
      <c r="K758" s="2501"/>
      <c r="L758" s="2501"/>
      <c r="M758" s="2501"/>
      <c r="N758" s="2501"/>
      <c r="O758" s="2501"/>
      <c r="P758" s="2501"/>
      <c r="Q758" s="2501"/>
      <c r="R758" s="2501"/>
      <c r="S758" s="2501"/>
      <c r="T758" s="2501"/>
      <c r="U758" s="2501"/>
      <c r="V758" s="2501"/>
      <c r="W758" s="2501"/>
      <c r="X758" s="2501"/>
      <c r="Y758" s="2501"/>
      <c r="Z758" s="2501"/>
      <c r="AA758" s="2501"/>
    </row>
    <row r="759" spans="1:27" ht="15.75" customHeight="1" x14ac:dyDescent="0.3">
      <c r="A759" s="2501"/>
      <c r="B759" s="2501"/>
      <c r="C759" s="2501"/>
      <c r="D759" s="2501"/>
      <c r="E759" s="2501"/>
      <c r="F759" s="2501"/>
      <c r="G759" s="2501"/>
      <c r="H759" s="2501"/>
      <c r="I759" s="2501"/>
      <c r="J759" s="2501"/>
      <c r="K759" s="2501"/>
      <c r="L759" s="2501"/>
      <c r="M759" s="2501"/>
      <c r="N759" s="2501"/>
      <c r="O759" s="2501"/>
      <c r="P759" s="2501"/>
      <c r="Q759" s="2501"/>
      <c r="R759" s="2501"/>
      <c r="S759" s="2501"/>
      <c r="T759" s="2501"/>
      <c r="U759" s="2501"/>
      <c r="V759" s="2501"/>
      <c r="W759" s="2501"/>
      <c r="X759" s="2501"/>
      <c r="Y759" s="2501"/>
      <c r="Z759" s="2501"/>
      <c r="AA759" s="2501"/>
    </row>
    <row r="760" spans="1:27" ht="15.75" customHeight="1" x14ac:dyDescent="0.3">
      <c r="A760" s="2501"/>
      <c r="B760" s="2501"/>
      <c r="C760" s="2501"/>
      <c r="D760" s="2501"/>
      <c r="E760" s="2501"/>
      <c r="F760" s="2501"/>
      <c r="G760" s="2501"/>
      <c r="H760" s="2501"/>
      <c r="I760" s="2501"/>
      <c r="J760" s="2501"/>
      <c r="K760" s="2501"/>
      <c r="L760" s="2501"/>
      <c r="M760" s="2501"/>
      <c r="N760" s="2501"/>
      <c r="O760" s="2501"/>
      <c r="P760" s="2501"/>
      <c r="Q760" s="2501"/>
      <c r="R760" s="2501"/>
      <c r="S760" s="2501"/>
      <c r="T760" s="2501"/>
      <c r="U760" s="2501"/>
      <c r="V760" s="2501"/>
      <c r="W760" s="2501"/>
      <c r="X760" s="2501"/>
      <c r="Y760" s="2501"/>
      <c r="Z760" s="2501"/>
      <c r="AA760" s="2501"/>
    </row>
    <row r="761" spans="1:27" ht="15.75" customHeight="1" x14ac:dyDescent="0.3">
      <c r="A761" s="2501"/>
      <c r="B761" s="2501"/>
      <c r="C761" s="2501"/>
      <c r="D761" s="2501"/>
      <c r="E761" s="2501"/>
      <c r="F761" s="2501"/>
      <c r="G761" s="2501"/>
      <c r="H761" s="2501"/>
      <c r="I761" s="2501"/>
      <c r="J761" s="2501"/>
      <c r="K761" s="2501"/>
      <c r="L761" s="2501"/>
      <c r="M761" s="2501"/>
      <c r="N761" s="2501"/>
      <c r="O761" s="2501"/>
      <c r="P761" s="2501"/>
      <c r="Q761" s="2501"/>
      <c r="R761" s="2501"/>
      <c r="S761" s="2501"/>
      <c r="T761" s="2501"/>
      <c r="U761" s="2501"/>
      <c r="V761" s="2501"/>
      <c r="W761" s="2501"/>
      <c r="X761" s="2501"/>
      <c r="Y761" s="2501"/>
      <c r="Z761" s="2501"/>
      <c r="AA761" s="2501"/>
    </row>
    <row r="762" spans="1:27" ht="15.75" customHeight="1" x14ac:dyDescent="0.3">
      <c r="A762" s="2501"/>
      <c r="B762" s="2501"/>
      <c r="C762" s="2501"/>
      <c r="D762" s="2501"/>
      <c r="E762" s="2501"/>
      <c r="F762" s="2501"/>
      <c r="G762" s="2501"/>
      <c r="H762" s="2501"/>
      <c r="I762" s="2501"/>
      <c r="J762" s="2501"/>
      <c r="K762" s="2501"/>
      <c r="L762" s="2501"/>
      <c r="M762" s="2501"/>
      <c r="N762" s="2501"/>
      <c r="O762" s="2501"/>
      <c r="P762" s="2501"/>
      <c r="Q762" s="2501"/>
      <c r="R762" s="2501"/>
      <c r="S762" s="2501"/>
      <c r="T762" s="2501"/>
      <c r="U762" s="2501"/>
      <c r="V762" s="2501"/>
      <c r="W762" s="2501"/>
      <c r="X762" s="2501"/>
      <c r="Y762" s="2501"/>
      <c r="Z762" s="2501"/>
      <c r="AA762" s="2501"/>
    </row>
    <row r="763" spans="1:27" ht="15.75" customHeight="1" x14ac:dyDescent="0.3">
      <c r="A763" s="2501"/>
      <c r="B763" s="2501"/>
      <c r="C763" s="2501"/>
      <c r="D763" s="2501"/>
      <c r="E763" s="2501"/>
      <c r="F763" s="2501"/>
      <c r="G763" s="2501"/>
      <c r="H763" s="2501"/>
      <c r="I763" s="2501"/>
      <c r="J763" s="2501"/>
      <c r="K763" s="2501"/>
      <c r="L763" s="2501"/>
      <c r="M763" s="2501"/>
      <c r="N763" s="2501"/>
      <c r="O763" s="2501"/>
      <c r="P763" s="2501"/>
      <c r="Q763" s="2501"/>
      <c r="R763" s="2501"/>
      <c r="S763" s="2501"/>
      <c r="T763" s="2501"/>
      <c r="U763" s="2501"/>
      <c r="V763" s="2501"/>
      <c r="W763" s="2501"/>
      <c r="X763" s="2501"/>
      <c r="Y763" s="2501"/>
      <c r="Z763" s="2501"/>
      <c r="AA763" s="2501"/>
    </row>
    <row r="764" spans="1:27" ht="15.75" customHeight="1" x14ac:dyDescent="0.3">
      <c r="A764" s="2501"/>
      <c r="B764" s="2501"/>
      <c r="C764" s="2501"/>
      <c r="D764" s="2501"/>
      <c r="E764" s="2501"/>
      <c r="F764" s="2501"/>
      <c r="G764" s="2501"/>
      <c r="H764" s="2501"/>
      <c r="I764" s="2501"/>
      <c r="J764" s="2501"/>
      <c r="K764" s="2501"/>
      <c r="L764" s="2501"/>
      <c r="M764" s="2501"/>
      <c r="N764" s="2501"/>
      <c r="O764" s="2501"/>
      <c r="P764" s="2501"/>
      <c r="Q764" s="2501"/>
      <c r="R764" s="2501"/>
      <c r="S764" s="2501"/>
      <c r="T764" s="2501"/>
      <c r="U764" s="2501"/>
      <c r="V764" s="2501"/>
      <c r="W764" s="2501"/>
      <c r="X764" s="2501"/>
      <c r="Y764" s="2501"/>
      <c r="Z764" s="2501"/>
      <c r="AA764" s="2501"/>
    </row>
    <row r="765" spans="1:27" ht="15.75" customHeight="1" x14ac:dyDescent="0.3">
      <c r="A765" s="2501"/>
      <c r="B765" s="2501"/>
      <c r="C765" s="2501"/>
      <c r="D765" s="2501"/>
      <c r="E765" s="2501"/>
      <c r="F765" s="2501"/>
      <c r="G765" s="2501"/>
      <c r="H765" s="2501"/>
      <c r="I765" s="2501"/>
      <c r="J765" s="2501"/>
      <c r="K765" s="2501"/>
      <c r="L765" s="2501"/>
      <c r="M765" s="2501"/>
      <c r="N765" s="2501"/>
      <c r="O765" s="2501"/>
      <c r="P765" s="2501"/>
      <c r="Q765" s="2501"/>
      <c r="R765" s="2501"/>
      <c r="S765" s="2501"/>
      <c r="T765" s="2501"/>
      <c r="U765" s="2501"/>
      <c r="V765" s="2501"/>
      <c r="W765" s="2501"/>
      <c r="X765" s="2501"/>
      <c r="Y765" s="2501"/>
      <c r="Z765" s="2501"/>
      <c r="AA765" s="2501"/>
    </row>
    <row r="766" spans="1:27" ht="15.75" customHeight="1" x14ac:dyDescent="0.3">
      <c r="A766" s="2501"/>
      <c r="B766" s="2501"/>
      <c r="C766" s="2501"/>
      <c r="D766" s="2501"/>
      <c r="E766" s="2501"/>
      <c r="F766" s="2501"/>
      <c r="G766" s="2501"/>
      <c r="H766" s="2501"/>
      <c r="I766" s="2501"/>
      <c r="J766" s="2501"/>
      <c r="K766" s="2501"/>
      <c r="L766" s="2501"/>
      <c r="M766" s="2501"/>
      <c r="N766" s="2501"/>
      <c r="O766" s="2501"/>
      <c r="P766" s="2501"/>
      <c r="Q766" s="2501"/>
      <c r="R766" s="2501"/>
      <c r="S766" s="2501"/>
      <c r="T766" s="2501"/>
      <c r="U766" s="2501"/>
      <c r="V766" s="2501"/>
      <c r="W766" s="2501"/>
      <c r="X766" s="2501"/>
      <c r="Y766" s="2501"/>
      <c r="Z766" s="2501"/>
      <c r="AA766" s="2501"/>
    </row>
    <row r="767" spans="1:27" ht="15.75" customHeight="1" x14ac:dyDescent="0.3">
      <c r="A767" s="2501"/>
      <c r="B767" s="2501"/>
      <c r="C767" s="2501"/>
      <c r="D767" s="2501"/>
      <c r="E767" s="2501"/>
      <c r="F767" s="2501"/>
      <c r="G767" s="2501"/>
      <c r="H767" s="2501"/>
      <c r="I767" s="2501"/>
      <c r="J767" s="2501"/>
      <c r="K767" s="2501"/>
      <c r="L767" s="2501"/>
      <c r="M767" s="2501"/>
      <c r="N767" s="2501"/>
      <c r="O767" s="2501"/>
      <c r="P767" s="2501"/>
      <c r="Q767" s="2501"/>
      <c r="R767" s="2501"/>
      <c r="S767" s="2501"/>
      <c r="T767" s="2501"/>
      <c r="U767" s="2501"/>
      <c r="V767" s="2501"/>
      <c r="W767" s="2501"/>
      <c r="X767" s="2501"/>
      <c r="Y767" s="2501"/>
      <c r="Z767" s="2501"/>
      <c r="AA767" s="2501"/>
    </row>
    <row r="768" spans="1:27" ht="15.75" customHeight="1" x14ac:dyDescent="0.3">
      <c r="A768" s="2501"/>
      <c r="B768" s="2501"/>
      <c r="C768" s="2501"/>
      <c r="D768" s="2501"/>
      <c r="E768" s="2501"/>
      <c r="F768" s="2501"/>
      <c r="G768" s="2501"/>
      <c r="H768" s="2501"/>
      <c r="I768" s="2501"/>
      <c r="J768" s="2501"/>
      <c r="K768" s="2501"/>
      <c r="L768" s="2501"/>
      <c r="M768" s="2501"/>
      <c r="N768" s="2501"/>
      <c r="O768" s="2501"/>
      <c r="P768" s="2501"/>
      <c r="Q768" s="2501"/>
      <c r="R768" s="2501"/>
      <c r="S768" s="2501"/>
      <c r="T768" s="2501"/>
      <c r="U768" s="2501"/>
      <c r="V768" s="2501"/>
      <c r="W768" s="2501"/>
      <c r="X768" s="2501"/>
      <c r="Y768" s="2501"/>
      <c r="Z768" s="2501"/>
      <c r="AA768" s="2501"/>
    </row>
    <row r="769" spans="1:27" ht="15.75" customHeight="1" x14ac:dyDescent="0.3">
      <c r="A769" s="2501"/>
      <c r="B769" s="2501"/>
      <c r="C769" s="2501"/>
      <c r="D769" s="2501"/>
      <c r="E769" s="2501"/>
      <c r="F769" s="2501"/>
      <c r="G769" s="2501"/>
      <c r="H769" s="2501"/>
      <c r="I769" s="2501"/>
      <c r="J769" s="2501"/>
      <c r="K769" s="2501"/>
      <c r="L769" s="2501"/>
      <c r="M769" s="2501"/>
      <c r="N769" s="2501"/>
      <c r="O769" s="2501"/>
      <c r="P769" s="2501"/>
      <c r="Q769" s="2501"/>
      <c r="R769" s="2501"/>
      <c r="S769" s="2501"/>
      <c r="T769" s="2501"/>
      <c r="U769" s="2501"/>
      <c r="V769" s="2501"/>
      <c r="W769" s="2501"/>
      <c r="X769" s="2501"/>
      <c r="Y769" s="2501"/>
      <c r="Z769" s="2501"/>
      <c r="AA769" s="2501"/>
    </row>
    <row r="770" spans="1:27" ht="15.75" customHeight="1" x14ac:dyDescent="0.3">
      <c r="A770" s="2501"/>
      <c r="B770" s="2501"/>
      <c r="C770" s="2501"/>
      <c r="D770" s="2501"/>
      <c r="E770" s="2501"/>
      <c r="F770" s="2501"/>
      <c r="G770" s="2501"/>
      <c r="H770" s="2501"/>
      <c r="I770" s="2501"/>
      <c r="J770" s="2501"/>
      <c r="K770" s="2501"/>
      <c r="L770" s="2501"/>
      <c r="M770" s="2501"/>
      <c r="N770" s="2501"/>
      <c r="O770" s="2501"/>
      <c r="P770" s="2501"/>
      <c r="Q770" s="2501"/>
      <c r="R770" s="2501"/>
      <c r="S770" s="2501"/>
      <c r="T770" s="2501"/>
      <c r="U770" s="2501"/>
      <c r="V770" s="2501"/>
      <c r="W770" s="2501"/>
      <c r="X770" s="2501"/>
      <c r="Y770" s="2501"/>
      <c r="Z770" s="2501"/>
      <c r="AA770" s="2501"/>
    </row>
    <row r="771" spans="1:27" ht="15.75" customHeight="1" x14ac:dyDescent="0.3">
      <c r="A771" s="2501"/>
      <c r="B771" s="2501"/>
      <c r="C771" s="2501"/>
      <c r="D771" s="2501"/>
      <c r="E771" s="2501"/>
      <c r="F771" s="2501"/>
      <c r="G771" s="2501"/>
      <c r="H771" s="2501"/>
      <c r="I771" s="2501"/>
      <c r="J771" s="2501"/>
      <c r="K771" s="2501"/>
      <c r="L771" s="2501"/>
      <c r="M771" s="2501"/>
      <c r="N771" s="2501"/>
      <c r="O771" s="2501"/>
      <c r="P771" s="2501"/>
      <c r="Q771" s="2501"/>
      <c r="R771" s="2501"/>
      <c r="S771" s="2501"/>
      <c r="T771" s="2501"/>
      <c r="U771" s="2501"/>
      <c r="V771" s="2501"/>
      <c r="W771" s="2501"/>
      <c r="X771" s="2501"/>
      <c r="Y771" s="2501"/>
      <c r="Z771" s="2501"/>
      <c r="AA771" s="2501"/>
    </row>
    <row r="772" spans="1:27" ht="15.75" customHeight="1" x14ac:dyDescent="0.3">
      <c r="A772" s="2501"/>
      <c r="B772" s="2501"/>
      <c r="C772" s="2501"/>
      <c r="D772" s="2501"/>
      <c r="E772" s="2501"/>
      <c r="F772" s="2501"/>
      <c r="G772" s="2501"/>
      <c r="H772" s="2501"/>
      <c r="I772" s="2501"/>
      <c r="J772" s="2501"/>
      <c r="K772" s="2501"/>
      <c r="L772" s="2501"/>
      <c r="M772" s="2501"/>
      <c r="N772" s="2501"/>
      <c r="O772" s="2501"/>
      <c r="P772" s="2501"/>
      <c r="Q772" s="2501"/>
      <c r="R772" s="2501"/>
      <c r="S772" s="2501"/>
      <c r="T772" s="2501"/>
      <c r="U772" s="2501"/>
      <c r="V772" s="2501"/>
      <c r="W772" s="2501"/>
      <c r="X772" s="2501"/>
      <c r="Y772" s="2501"/>
      <c r="Z772" s="2501"/>
      <c r="AA772" s="2501"/>
    </row>
    <row r="773" spans="1:27" ht="15.75" customHeight="1" x14ac:dyDescent="0.3">
      <c r="A773" s="2501"/>
      <c r="B773" s="2501"/>
      <c r="C773" s="2501"/>
      <c r="D773" s="2501"/>
      <c r="E773" s="2501"/>
      <c r="F773" s="2501"/>
      <c r="G773" s="2501"/>
      <c r="H773" s="2501"/>
      <c r="I773" s="2501"/>
      <c r="J773" s="2501"/>
      <c r="K773" s="2501"/>
      <c r="L773" s="2501"/>
      <c r="M773" s="2501"/>
      <c r="N773" s="2501"/>
      <c r="O773" s="2501"/>
      <c r="P773" s="2501"/>
      <c r="Q773" s="2501"/>
      <c r="R773" s="2501"/>
      <c r="S773" s="2501"/>
      <c r="T773" s="2501"/>
      <c r="U773" s="2501"/>
      <c r="V773" s="2501"/>
      <c r="W773" s="2501"/>
      <c r="X773" s="2501"/>
      <c r="Y773" s="2501"/>
      <c r="Z773" s="2501"/>
      <c r="AA773" s="2501"/>
    </row>
    <row r="774" spans="1:27" ht="15.75" customHeight="1" x14ac:dyDescent="0.3">
      <c r="A774" s="2501"/>
      <c r="B774" s="2501"/>
      <c r="C774" s="2501"/>
      <c r="D774" s="2501"/>
      <c r="E774" s="2501"/>
      <c r="F774" s="2501"/>
      <c r="G774" s="2501"/>
      <c r="H774" s="2501"/>
      <c r="I774" s="2501"/>
      <c r="J774" s="2501"/>
      <c r="K774" s="2501"/>
      <c r="L774" s="2501"/>
      <c r="M774" s="2501"/>
      <c r="N774" s="2501"/>
      <c r="O774" s="2501"/>
      <c r="P774" s="2501"/>
      <c r="Q774" s="2501"/>
      <c r="R774" s="2501"/>
      <c r="S774" s="2501"/>
      <c r="T774" s="2501"/>
      <c r="U774" s="2501"/>
      <c r="V774" s="2501"/>
      <c r="W774" s="2501"/>
      <c r="X774" s="2501"/>
      <c r="Y774" s="2501"/>
      <c r="Z774" s="2501"/>
      <c r="AA774" s="2501"/>
    </row>
    <row r="775" spans="1:27" ht="15.75" customHeight="1" x14ac:dyDescent="0.3">
      <c r="A775" s="2501"/>
      <c r="B775" s="2501"/>
      <c r="C775" s="2501"/>
      <c r="D775" s="2501"/>
      <c r="E775" s="2501"/>
      <c r="F775" s="2501"/>
      <c r="G775" s="2501"/>
      <c r="H775" s="2501"/>
      <c r="I775" s="2501"/>
      <c r="J775" s="2501"/>
      <c r="K775" s="2501"/>
      <c r="L775" s="2501"/>
      <c r="M775" s="2501"/>
      <c r="N775" s="2501"/>
      <c r="O775" s="2501"/>
      <c r="P775" s="2501"/>
      <c r="Q775" s="2501"/>
      <c r="R775" s="2501"/>
      <c r="S775" s="2501"/>
      <c r="T775" s="2501"/>
      <c r="U775" s="2501"/>
      <c r="V775" s="2501"/>
      <c r="W775" s="2501"/>
      <c r="X775" s="2501"/>
      <c r="Y775" s="2501"/>
      <c r="Z775" s="2501"/>
      <c r="AA775" s="2501"/>
    </row>
    <row r="776" spans="1:27" ht="15.75" customHeight="1" x14ac:dyDescent="0.3">
      <c r="A776" s="2501"/>
      <c r="B776" s="2501"/>
      <c r="C776" s="2501"/>
      <c r="D776" s="2501"/>
      <c r="E776" s="2501"/>
      <c r="F776" s="2501"/>
      <c r="G776" s="2501"/>
      <c r="H776" s="2501"/>
      <c r="I776" s="2501"/>
      <c r="J776" s="2501"/>
      <c r="K776" s="2501"/>
      <c r="L776" s="2501"/>
      <c r="M776" s="2501"/>
      <c r="N776" s="2501"/>
      <c r="O776" s="2501"/>
      <c r="P776" s="2501"/>
      <c r="Q776" s="2501"/>
      <c r="R776" s="2501"/>
      <c r="S776" s="2501"/>
      <c r="T776" s="2501"/>
      <c r="U776" s="2501"/>
      <c r="V776" s="2501"/>
      <c r="W776" s="2501"/>
      <c r="X776" s="2501"/>
      <c r="Y776" s="2501"/>
      <c r="Z776" s="2501"/>
      <c r="AA776" s="2501"/>
    </row>
    <row r="777" spans="1:27" ht="15.75" customHeight="1" x14ac:dyDescent="0.3">
      <c r="A777" s="2501"/>
      <c r="B777" s="2501"/>
      <c r="C777" s="2501"/>
      <c r="D777" s="2501"/>
      <c r="E777" s="2501"/>
      <c r="F777" s="2501"/>
      <c r="G777" s="2501"/>
      <c r="H777" s="2501"/>
      <c r="I777" s="2501"/>
      <c r="J777" s="2501"/>
      <c r="K777" s="2501"/>
      <c r="L777" s="2501"/>
      <c r="M777" s="2501"/>
      <c r="N777" s="2501"/>
      <c r="O777" s="2501"/>
      <c r="P777" s="2501"/>
      <c r="Q777" s="2501"/>
      <c r="R777" s="2501"/>
      <c r="S777" s="2501"/>
      <c r="T777" s="2501"/>
      <c r="U777" s="2501"/>
      <c r="V777" s="2501"/>
      <c r="W777" s="2501"/>
      <c r="X777" s="2501"/>
      <c r="Y777" s="2501"/>
      <c r="Z777" s="2501"/>
      <c r="AA777" s="2501"/>
    </row>
    <row r="778" spans="1:27" ht="15.75" customHeight="1" x14ac:dyDescent="0.3">
      <c r="A778" s="2501"/>
      <c r="B778" s="2501"/>
      <c r="C778" s="2501"/>
      <c r="D778" s="2501"/>
      <c r="E778" s="2501"/>
      <c r="F778" s="2501"/>
      <c r="G778" s="2501"/>
      <c r="H778" s="2501"/>
      <c r="I778" s="2501"/>
      <c r="J778" s="2501"/>
      <c r="K778" s="2501"/>
      <c r="L778" s="2501"/>
      <c r="M778" s="2501"/>
      <c r="N778" s="2501"/>
      <c r="O778" s="2501"/>
      <c r="P778" s="2501"/>
      <c r="Q778" s="2501"/>
      <c r="R778" s="2501"/>
      <c r="S778" s="2501"/>
      <c r="T778" s="2501"/>
      <c r="U778" s="2501"/>
      <c r="V778" s="2501"/>
      <c r="W778" s="2501"/>
      <c r="X778" s="2501"/>
      <c r="Y778" s="2501"/>
      <c r="Z778" s="2501"/>
      <c r="AA778" s="2501"/>
    </row>
    <row r="779" spans="1:27" ht="15.75" customHeight="1" x14ac:dyDescent="0.3">
      <c r="A779" s="2501"/>
      <c r="B779" s="2501"/>
      <c r="C779" s="2501"/>
      <c r="D779" s="2501"/>
      <c r="E779" s="2501"/>
      <c r="F779" s="2501"/>
      <c r="G779" s="2501"/>
      <c r="H779" s="2501"/>
      <c r="I779" s="2501"/>
      <c r="J779" s="2501"/>
      <c r="K779" s="2501"/>
      <c r="L779" s="2501"/>
      <c r="M779" s="2501"/>
      <c r="N779" s="2501"/>
      <c r="O779" s="2501"/>
      <c r="P779" s="2501"/>
      <c r="Q779" s="2501"/>
      <c r="R779" s="2501"/>
      <c r="S779" s="2501"/>
      <c r="T779" s="2501"/>
      <c r="U779" s="2501"/>
      <c r="V779" s="2501"/>
      <c r="W779" s="2501"/>
      <c r="X779" s="2501"/>
      <c r="Y779" s="2501"/>
      <c r="Z779" s="2501"/>
      <c r="AA779" s="2501"/>
    </row>
    <row r="780" spans="1:27" ht="15.75" customHeight="1" x14ac:dyDescent="0.3">
      <c r="A780" s="2501"/>
      <c r="B780" s="2501"/>
      <c r="C780" s="2501"/>
      <c r="D780" s="2501"/>
      <c r="E780" s="2501"/>
      <c r="F780" s="2501"/>
      <c r="G780" s="2501"/>
      <c r="H780" s="2501"/>
      <c r="I780" s="2501"/>
      <c r="J780" s="2501"/>
      <c r="K780" s="2501"/>
      <c r="L780" s="2501"/>
      <c r="M780" s="2501"/>
      <c r="N780" s="2501"/>
      <c r="O780" s="2501"/>
      <c r="P780" s="2501"/>
      <c r="Q780" s="2501"/>
      <c r="R780" s="2501"/>
      <c r="S780" s="2501"/>
      <c r="T780" s="2501"/>
      <c r="U780" s="2501"/>
      <c r="V780" s="2501"/>
      <c r="W780" s="2501"/>
      <c r="X780" s="2501"/>
      <c r="Y780" s="2501"/>
      <c r="Z780" s="2501"/>
      <c r="AA780" s="2501"/>
    </row>
    <row r="781" spans="1:27" ht="15.75" customHeight="1" x14ac:dyDescent="0.3">
      <c r="A781" s="2501"/>
      <c r="B781" s="2501"/>
      <c r="C781" s="2501"/>
      <c r="D781" s="2501"/>
      <c r="E781" s="2501"/>
      <c r="F781" s="2501"/>
      <c r="G781" s="2501"/>
      <c r="H781" s="2501"/>
      <c r="I781" s="2501"/>
      <c r="J781" s="2501"/>
      <c r="K781" s="2501"/>
      <c r="L781" s="2501"/>
      <c r="M781" s="2501"/>
      <c r="N781" s="2501"/>
      <c r="O781" s="2501"/>
      <c r="P781" s="2501"/>
      <c r="Q781" s="2501"/>
      <c r="R781" s="2501"/>
      <c r="S781" s="2501"/>
      <c r="T781" s="2501"/>
      <c r="U781" s="2501"/>
      <c r="V781" s="2501"/>
      <c r="W781" s="2501"/>
      <c r="X781" s="2501"/>
      <c r="Y781" s="2501"/>
      <c r="Z781" s="2501"/>
      <c r="AA781" s="2501"/>
    </row>
    <row r="782" spans="1:27" ht="15.75" customHeight="1" x14ac:dyDescent="0.3">
      <c r="A782" s="2501"/>
      <c r="B782" s="2501"/>
      <c r="C782" s="2501"/>
      <c r="D782" s="2501"/>
      <c r="E782" s="2501"/>
      <c r="F782" s="2501"/>
      <c r="G782" s="2501"/>
      <c r="H782" s="2501"/>
      <c r="I782" s="2501"/>
      <c r="J782" s="2501"/>
      <c r="K782" s="2501"/>
      <c r="L782" s="2501"/>
      <c r="M782" s="2501"/>
      <c r="N782" s="2501"/>
      <c r="O782" s="2501"/>
      <c r="P782" s="2501"/>
      <c r="Q782" s="2501"/>
      <c r="R782" s="2501"/>
      <c r="S782" s="2501"/>
      <c r="T782" s="2501"/>
      <c r="U782" s="2501"/>
      <c r="V782" s="2501"/>
      <c r="W782" s="2501"/>
      <c r="X782" s="2501"/>
      <c r="Y782" s="2501"/>
      <c r="Z782" s="2501"/>
      <c r="AA782" s="2501"/>
    </row>
    <row r="783" spans="1:27" ht="15.75" customHeight="1" x14ac:dyDescent="0.3">
      <c r="A783" s="2501"/>
      <c r="B783" s="2501"/>
      <c r="C783" s="2501"/>
      <c r="D783" s="2501"/>
      <c r="E783" s="2501"/>
      <c r="F783" s="2501"/>
      <c r="G783" s="2501"/>
      <c r="H783" s="2501"/>
      <c r="I783" s="2501"/>
      <c r="J783" s="2501"/>
      <c r="K783" s="2501"/>
      <c r="L783" s="2501"/>
      <c r="M783" s="2501"/>
      <c r="N783" s="2501"/>
      <c r="O783" s="2501"/>
      <c r="P783" s="2501"/>
      <c r="Q783" s="2501"/>
      <c r="R783" s="2501"/>
      <c r="S783" s="2501"/>
      <c r="T783" s="2501"/>
      <c r="U783" s="2501"/>
      <c r="V783" s="2501"/>
      <c r="W783" s="2501"/>
      <c r="X783" s="2501"/>
      <c r="Y783" s="2501"/>
      <c r="Z783" s="2501"/>
      <c r="AA783" s="2501"/>
    </row>
    <row r="784" spans="1:27" ht="15.75" customHeight="1" x14ac:dyDescent="0.3">
      <c r="A784" s="2501"/>
      <c r="B784" s="2501"/>
      <c r="C784" s="2501"/>
      <c r="D784" s="2501"/>
      <c r="E784" s="2501"/>
      <c r="F784" s="2501"/>
      <c r="G784" s="2501"/>
      <c r="H784" s="2501"/>
      <c r="I784" s="2501"/>
      <c r="J784" s="2501"/>
      <c r="K784" s="2501"/>
      <c r="L784" s="2501"/>
      <c r="M784" s="2501"/>
      <c r="N784" s="2501"/>
      <c r="O784" s="2501"/>
      <c r="P784" s="2501"/>
      <c r="Q784" s="2501"/>
      <c r="R784" s="2501"/>
      <c r="S784" s="2501"/>
      <c r="T784" s="2501"/>
      <c r="U784" s="2501"/>
      <c r="V784" s="2501"/>
      <c r="W784" s="2501"/>
      <c r="X784" s="2501"/>
      <c r="Y784" s="2501"/>
      <c r="Z784" s="2501"/>
      <c r="AA784" s="2501"/>
    </row>
    <row r="785" spans="1:27" ht="15.75" customHeight="1" x14ac:dyDescent="0.3">
      <c r="A785" s="2501"/>
      <c r="B785" s="2501"/>
      <c r="C785" s="2501"/>
      <c r="D785" s="2501"/>
      <c r="E785" s="2501"/>
      <c r="F785" s="2501"/>
      <c r="G785" s="2501"/>
      <c r="H785" s="2501"/>
      <c r="I785" s="2501"/>
      <c r="J785" s="2501"/>
      <c r="K785" s="2501"/>
      <c r="L785" s="2501"/>
      <c r="M785" s="2501"/>
      <c r="N785" s="2501"/>
      <c r="O785" s="2501"/>
      <c r="P785" s="2501"/>
      <c r="Q785" s="2501"/>
      <c r="R785" s="2501"/>
      <c r="S785" s="2501"/>
      <c r="T785" s="2501"/>
      <c r="U785" s="2501"/>
      <c r="V785" s="2501"/>
      <c r="W785" s="2501"/>
      <c r="X785" s="2501"/>
      <c r="Y785" s="2501"/>
      <c r="Z785" s="2501"/>
      <c r="AA785" s="2501"/>
    </row>
    <row r="786" spans="1:27" ht="15.75" customHeight="1" x14ac:dyDescent="0.3">
      <c r="A786" s="2501"/>
      <c r="B786" s="2501"/>
      <c r="C786" s="2501"/>
      <c r="D786" s="2501"/>
      <c r="E786" s="2501"/>
      <c r="F786" s="2501"/>
      <c r="G786" s="2501"/>
      <c r="H786" s="2501"/>
      <c r="I786" s="2501"/>
      <c r="J786" s="2501"/>
      <c r="K786" s="2501"/>
      <c r="L786" s="2501"/>
      <c r="M786" s="2501"/>
      <c r="N786" s="2501"/>
      <c r="O786" s="2501"/>
      <c r="P786" s="2501"/>
      <c r="Q786" s="2501"/>
      <c r="R786" s="2501"/>
      <c r="S786" s="2501"/>
      <c r="T786" s="2501"/>
      <c r="U786" s="2501"/>
      <c r="V786" s="2501"/>
      <c r="W786" s="2501"/>
      <c r="X786" s="2501"/>
      <c r="Y786" s="2501"/>
      <c r="Z786" s="2501"/>
      <c r="AA786" s="2501"/>
    </row>
    <row r="787" spans="1:27" ht="15.75" customHeight="1" x14ac:dyDescent="0.3">
      <c r="A787" s="2501"/>
      <c r="B787" s="2501"/>
      <c r="C787" s="2501"/>
      <c r="D787" s="2501"/>
      <c r="E787" s="2501"/>
      <c r="F787" s="2501"/>
      <c r="G787" s="2501"/>
      <c r="H787" s="2501"/>
      <c r="I787" s="2501"/>
      <c r="J787" s="2501"/>
      <c r="K787" s="2501"/>
      <c r="L787" s="2501"/>
      <c r="M787" s="2501"/>
      <c r="N787" s="2501"/>
      <c r="O787" s="2501"/>
      <c r="P787" s="2501"/>
      <c r="Q787" s="2501"/>
      <c r="R787" s="2501"/>
      <c r="S787" s="2501"/>
      <c r="T787" s="2501"/>
      <c r="U787" s="2501"/>
      <c r="V787" s="2501"/>
      <c r="W787" s="2501"/>
      <c r="X787" s="2501"/>
      <c r="Y787" s="2501"/>
      <c r="Z787" s="2501"/>
      <c r="AA787" s="2501"/>
    </row>
    <row r="788" spans="1:27" ht="15.75" customHeight="1" x14ac:dyDescent="0.3">
      <c r="A788" s="2501"/>
      <c r="B788" s="2501"/>
      <c r="C788" s="2501"/>
      <c r="D788" s="2501"/>
      <c r="E788" s="2501"/>
      <c r="F788" s="2501"/>
      <c r="G788" s="2501"/>
      <c r="H788" s="2501"/>
      <c r="I788" s="2501"/>
      <c r="J788" s="2501"/>
      <c r="K788" s="2501"/>
      <c r="L788" s="2501"/>
      <c r="M788" s="2501"/>
      <c r="N788" s="2501"/>
      <c r="O788" s="2501"/>
      <c r="P788" s="2501"/>
      <c r="Q788" s="2501"/>
      <c r="R788" s="2501"/>
      <c r="S788" s="2501"/>
      <c r="T788" s="2501"/>
      <c r="U788" s="2501"/>
      <c r="V788" s="2501"/>
      <c r="W788" s="2501"/>
      <c r="X788" s="2501"/>
      <c r="Y788" s="2501"/>
      <c r="Z788" s="2501"/>
      <c r="AA788" s="2501"/>
    </row>
    <row r="789" spans="1:27" ht="15.75" customHeight="1" x14ac:dyDescent="0.3">
      <c r="A789" s="2501"/>
      <c r="B789" s="2501"/>
      <c r="C789" s="2501"/>
      <c r="D789" s="2501"/>
      <c r="E789" s="2501"/>
      <c r="F789" s="2501"/>
      <c r="G789" s="2501"/>
      <c r="H789" s="2501"/>
      <c r="I789" s="2501"/>
      <c r="J789" s="2501"/>
      <c r="K789" s="2501"/>
      <c r="L789" s="2501"/>
      <c r="M789" s="2501"/>
      <c r="N789" s="2501"/>
      <c r="O789" s="2501"/>
      <c r="P789" s="2501"/>
      <c r="Q789" s="2501"/>
      <c r="R789" s="2501"/>
      <c r="S789" s="2501"/>
      <c r="T789" s="2501"/>
      <c r="U789" s="2501"/>
      <c r="V789" s="2501"/>
      <c r="W789" s="2501"/>
      <c r="X789" s="2501"/>
      <c r="Y789" s="2501"/>
      <c r="Z789" s="2501"/>
      <c r="AA789" s="2501"/>
    </row>
    <row r="790" spans="1:27" ht="15.75" customHeight="1" x14ac:dyDescent="0.3">
      <c r="A790" s="2501"/>
      <c r="B790" s="2501"/>
      <c r="C790" s="2501"/>
      <c r="D790" s="2501"/>
      <c r="E790" s="2501"/>
      <c r="F790" s="2501"/>
      <c r="G790" s="2501"/>
      <c r="H790" s="2501"/>
      <c r="I790" s="2501"/>
      <c r="J790" s="2501"/>
      <c r="K790" s="2501"/>
      <c r="L790" s="2501"/>
      <c r="M790" s="2501"/>
      <c r="N790" s="2501"/>
      <c r="O790" s="2501"/>
      <c r="P790" s="2501"/>
      <c r="Q790" s="2501"/>
      <c r="R790" s="2501"/>
      <c r="S790" s="2501"/>
      <c r="T790" s="2501"/>
      <c r="U790" s="2501"/>
      <c r="V790" s="2501"/>
      <c r="W790" s="2501"/>
      <c r="X790" s="2501"/>
      <c r="Y790" s="2501"/>
      <c r="Z790" s="2501"/>
      <c r="AA790" s="2501"/>
    </row>
    <row r="791" spans="1:27" ht="15.75" customHeight="1" x14ac:dyDescent="0.3">
      <c r="A791" s="2501"/>
      <c r="B791" s="2501"/>
      <c r="C791" s="2501"/>
      <c r="D791" s="2501"/>
      <c r="E791" s="2501"/>
      <c r="F791" s="2501"/>
      <c r="G791" s="2501"/>
      <c r="H791" s="2501"/>
      <c r="I791" s="2501"/>
      <c r="J791" s="2501"/>
      <c r="K791" s="2501"/>
      <c r="L791" s="2501"/>
      <c r="M791" s="2501"/>
      <c r="N791" s="2501"/>
      <c r="O791" s="2501"/>
      <c r="P791" s="2501"/>
      <c r="Q791" s="2501"/>
      <c r="R791" s="2501"/>
      <c r="S791" s="2501"/>
      <c r="T791" s="2501"/>
      <c r="U791" s="2501"/>
      <c r="V791" s="2501"/>
      <c r="W791" s="2501"/>
      <c r="X791" s="2501"/>
      <c r="Y791" s="2501"/>
      <c r="Z791" s="2501"/>
      <c r="AA791" s="2501"/>
    </row>
    <row r="792" spans="1:27" ht="15.75" customHeight="1" x14ac:dyDescent="0.3">
      <c r="A792" s="2501"/>
      <c r="B792" s="2501"/>
      <c r="C792" s="2501"/>
      <c r="D792" s="2501"/>
      <c r="E792" s="2501"/>
      <c r="F792" s="2501"/>
      <c r="G792" s="2501"/>
      <c r="H792" s="2501"/>
      <c r="I792" s="2501"/>
      <c r="J792" s="2501"/>
      <c r="K792" s="2501"/>
      <c r="L792" s="2501"/>
      <c r="M792" s="2501"/>
      <c r="N792" s="2501"/>
      <c r="O792" s="2501"/>
      <c r="P792" s="2501"/>
      <c r="Q792" s="2501"/>
      <c r="R792" s="2501"/>
      <c r="S792" s="2501"/>
      <c r="T792" s="2501"/>
      <c r="U792" s="2501"/>
      <c r="V792" s="2501"/>
      <c r="W792" s="2501"/>
      <c r="X792" s="2501"/>
      <c r="Y792" s="2501"/>
      <c r="Z792" s="2501"/>
      <c r="AA792" s="2501"/>
    </row>
    <row r="793" spans="1:27" ht="15.75" customHeight="1" x14ac:dyDescent="0.3">
      <c r="A793" s="2501"/>
      <c r="B793" s="2501"/>
      <c r="C793" s="2501"/>
      <c r="D793" s="2501"/>
      <c r="E793" s="2501"/>
      <c r="F793" s="2501"/>
      <c r="G793" s="2501"/>
      <c r="H793" s="2501"/>
      <c r="I793" s="2501"/>
      <c r="J793" s="2501"/>
      <c r="K793" s="2501"/>
      <c r="L793" s="2501"/>
      <c r="M793" s="2501"/>
      <c r="N793" s="2501"/>
      <c r="O793" s="2501"/>
      <c r="P793" s="2501"/>
      <c r="Q793" s="2501"/>
      <c r="R793" s="2501"/>
      <c r="S793" s="2501"/>
      <c r="T793" s="2501"/>
      <c r="U793" s="2501"/>
      <c r="V793" s="2501"/>
      <c r="W793" s="2501"/>
      <c r="X793" s="2501"/>
      <c r="Y793" s="2501"/>
      <c r="Z793" s="2501"/>
      <c r="AA793" s="2501"/>
    </row>
    <row r="794" spans="1:27" ht="15.75" customHeight="1" x14ac:dyDescent="0.3">
      <c r="A794" s="2501"/>
      <c r="B794" s="2501"/>
      <c r="C794" s="2501"/>
      <c r="D794" s="2501"/>
      <c r="E794" s="2501"/>
      <c r="F794" s="2501"/>
      <c r="G794" s="2501"/>
      <c r="H794" s="2501"/>
      <c r="I794" s="2501"/>
      <c r="J794" s="2501"/>
      <c r="K794" s="2501"/>
      <c r="L794" s="2501"/>
      <c r="M794" s="2501"/>
      <c r="N794" s="2501"/>
      <c r="O794" s="2501"/>
      <c r="P794" s="2501"/>
      <c r="Q794" s="2501"/>
      <c r="R794" s="2501"/>
      <c r="S794" s="2501"/>
      <c r="T794" s="2501"/>
      <c r="U794" s="2501"/>
      <c r="V794" s="2501"/>
      <c r="W794" s="2501"/>
      <c r="X794" s="2501"/>
      <c r="Y794" s="2501"/>
      <c r="Z794" s="2501"/>
      <c r="AA794" s="2501"/>
    </row>
    <row r="795" spans="1:27" ht="15.75" customHeight="1" x14ac:dyDescent="0.3">
      <c r="A795" s="2501"/>
      <c r="B795" s="2501"/>
      <c r="C795" s="2501"/>
      <c r="D795" s="2501"/>
      <c r="E795" s="2501"/>
      <c r="F795" s="2501"/>
      <c r="G795" s="2501"/>
      <c r="H795" s="2501"/>
      <c r="I795" s="2501"/>
      <c r="J795" s="2501"/>
      <c r="K795" s="2501"/>
      <c r="L795" s="2501"/>
      <c r="M795" s="2501"/>
      <c r="N795" s="2501"/>
      <c r="O795" s="2501"/>
      <c r="P795" s="2501"/>
      <c r="Q795" s="2501"/>
      <c r="R795" s="2501"/>
      <c r="S795" s="2501"/>
      <c r="T795" s="2501"/>
      <c r="U795" s="2501"/>
      <c r="V795" s="2501"/>
      <c r="W795" s="2501"/>
      <c r="X795" s="2501"/>
      <c r="Y795" s="2501"/>
      <c r="Z795" s="2501"/>
      <c r="AA795" s="2501"/>
    </row>
    <row r="796" spans="1:27" ht="15.75" customHeight="1" x14ac:dyDescent="0.3">
      <c r="A796" s="2501"/>
      <c r="B796" s="2501"/>
      <c r="C796" s="2501"/>
      <c r="D796" s="2501"/>
      <c r="E796" s="2501"/>
      <c r="F796" s="2501"/>
      <c r="G796" s="2501"/>
      <c r="H796" s="2501"/>
      <c r="I796" s="2501"/>
      <c r="J796" s="2501"/>
      <c r="K796" s="2501"/>
      <c r="L796" s="2501"/>
      <c r="M796" s="2501"/>
      <c r="N796" s="2501"/>
      <c r="O796" s="2501"/>
      <c r="P796" s="2501"/>
      <c r="Q796" s="2501"/>
      <c r="R796" s="2501"/>
      <c r="S796" s="2501"/>
      <c r="T796" s="2501"/>
      <c r="U796" s="2501"/>
      <c r="V796" s="2501"/>
      <c r="W796" s="2501"/>
      <c r="X796" s="2501"/>
      <c r="Y796" s="2501"/>
      <c r="Z796" s="2501"/>
      <c r="AA796" s="2501"/>
    </row>
    <row r="797" spans="1:27" ht="15.75" customHeight="1" x14ac:dyDescent="0.3">
      <c r="A797" s="2501"/>
      <c r="B797" s="2501"/>
      <c r="C797" s="2501"/>
      <c r="D797" s="2501"/>
      <c r="E797" s="2501"/>
      <c r="F797" s="2501"/>
      <c r="G797" s="2501"/>
      <c r="H797" s="2501"/>
      <c r="I797" s="2501"/>
      <c r="J797" s="2501"/>
      <c r="K797" s="2501"/>
      <c r="L797" s="2501"/>
      <c r="M797" s="2501"/>
      <c r="N797" s="2501"/>
      <c r="O797" s="2501"/>
      <c r="P797" s="2501"/>
      <c r="Q797" s="2501"/>
      <c r="R797" s="2501"/>
      <c r="S797" s="2501"/>
      <c r="T797" s="2501"/>
      <c r="U797" s="2501"/>
      <c r="V797" s="2501"/>
      <c r="W797" s="2501"/>
      <c r="X797" s="2501"/>
      <c r="Y797" s="2501"/>
      <c r="Z797" s="2501"/>
      <c r="AA797" s="2501"/>
    </row>
    <row r="798" spans="1:27" ht="15.75" customHeight="1" x14ac:dyDescent="0.3">
      <c r="A798" s="2501"/>
      <c r="B798" s="2501"/>
      <c r="C798" s="2501"/>
      <c r="D798" s="2501"/>
      <c r="E798" s="2501"/>
      <c r="F798" s="2501"/>
      <c r="G798" s="2501"/>
      <c r="H798" s="2501"/>
      <c r="I798" s="2501"/>
      <c r="J798" s="2501"/>
      <c r="K798" s="2501"/>
      <c r="L798" s="2501"/>
      <c r="M798" s="2501"/>
      <c r="N798" s="2501"/>
      <c r="O798" s="2501"/>
      <c r="P798" s="2501"/>
      <c r="Q798" s="2501"/>
      <c r="R798" s="2501"/>
      <c r="S798" s="2501"/>
      <c r="T798" s="2501"/>
      <c r="U798" s="2501"/>
      <c r="V798" s="2501"/>
      <c r="W798" s="2501"/>
      <c r="X798" s="2501"/>
      <c r="Y798" s="2501"/>
      <c r="Z798" s="2501"/>
      <c r="AA798" s="2501"/>
    </row>
    <row r="799" spans="1:27" ht="15.75" customHeight="1" x14ac:dyDescent="0.3">
      <c r="A799" s="2501"/>
      <c r="B799" s="2501"/>
      <c r="C799" s="2501"/>
      <c r="D799" s="2501"/>
      <c r="E799" s="2501"/>
      <c r="F799" s="2501"/>
      <c r="G799" s="2501"/>
      <c r="H799" s="2501"/>
      <c r="I799" s="2501"/>
      <c r="J799" s="2501"/>
      <c r="K799" s="2501"/>
      <c r="L799" s="2501"/>
      <c r="M799" s="2501"/>
      <c r="N799" s="2501"/>
      <c r="O799" s="2501"/>
      <c r="P799" s="2501"/>
      <c r="Q799" s="2501"/>
      <c r="R799" s="2501"/>
      <c r="S799" s="2501"/>
      <c r="T799" s="2501"/>
      <c r="U799" s="2501"/>
      <c r="V799" s="2501"/>
      <c r="W799" s="2501"/>
      <c r="X799" s="2501"/>
      <c r="Y799" s="2501"/>
      <c r="Z799" s="2501"/>
      <c r="AA799" s="2501"/>
    </row>
    <row r="800" spans="1:27" ht="15.75" customHeight="1" x14ac:dyDescent="0.3">
      <c r="A800" s="2501"/>
      <c r="B800" s="2501"/>
      <c r="C800" s="2501"/>
      <c r="D800" s="2501"/>
      <c r="E800" s="2501"/>
      <c r="F800" s="2501"/>
      <c r="G800" s="2501"/>
      <c r="H800" s="2501"/>
      <c r="I800" s="2501"/>
      <c r="J800" s="2501"/>
      <c r="K800" s="2501"/>
      <c r="L800" s="2501"/>
      <c r="M800" s="2501"/>
      <c r="N800" s="2501"/>
      <c r="O800" s="2501"/>
      <c r="P800" s="2501"/>
      <c r="Q800" s="2501"/>
      <c r="R800" s="2501"/>
      <c r="S800" s="2501"/>
      <c r="T800" s="2501"/>
      <c r="U800" s="2501"/>
      <c r="V800" s="2501"/>
      <c r="W800" s="2501"/>
      <c r="X800" s="2501"/>
      <c r="Y800" s="2501"/>
      <c r="Z800" s="2501"/>
      <c r="AA800" s="2501"/>
    </row>
    <row r="801" spans="1:27" ht="15.75" customHeight="1" x14ac:dyDescent="0.3">
      <c r="A801" s="2501"/>
      <c r="B801" s="2501"/>
      <c r="C801" s="2501"/>
      <c r="D801" s="2501"/>
      <c r="E801" s="2501"/>
      <c r="F801" s="2501"/>
      <c r="G801" s="2501"/>
      <c r="H801" s="2501"/>
      <c r="I801" s="2501"/>
      <c r="J801" s="2501"/>
      <c r="K801" s="2501"/>
      <c r="L801" s="2501"/>
      <c r="M801" s="2501"/>
      <c r="N801" s="2501"/>
      <c r="O801" s="2501"/>
      <c r="P801" s="2501"/>
      <c r="Q801" s="2501"/>
      <c r="R801" s="2501"/>
      <c r="S801" s="2501"/>
      <c r="T801" s="2501"/>
      <c r="U801" s="2501"/>
      <c r="V801" s="2501"/>
      <c r="W801" s="2501"/>
      <c r="X801" s="2501"/>
      <c r="Y801" s="2501"/>
      <c r="Z801" s="2501"/>
      <c r="AA801" s="2501"/>
    </row>
    <row r="802" spans="1:27" ht="15.75" customHeight="1" x14ac:dyDescent="0.3">
      <c r="A802" s="2501"/>
      <c r="B802" s="2501"/>
      <c r="C802" s="2501"/>
      <c r="D802" s="2501"/>
      <c r="E802" s="2501"/>
      <c r="F802" s="2501"/>
      <c r="G802" s="2501"/>
      <c r="H802" s="2501"/>
      <c r="I802" s="2501"/>
      <c r="J802" s="2501"/>
      <c r="K802" s="2501"/>
      <c r="L802" s="2501"/>
      <c r="M802" s="2501"/>
      <c r="N802" s="2501"/>
      <c r="O802" s="2501"/>
      <c r="P802" s="2501"/>
      <c r="Q802" s="2501"/>
      <c r="R802" s="2501"/>
      <c r="S802" s="2501"/>
      <c r="T802" s="2501"/>
      <c r="U802" s="2501"/>
      <c r="V802" s="2501"/>
      <c r="W802" s="2501"/>
      <c r="X802" s="2501"/>
      <c r="Y802" s="2501"/>
      <c r="Z802" s="2501"/>
      <c r="AA802" s="2501"/>
    </row>
    <row r="803" spans="1:27" ht="15.75" customHeight="1" x14ac:dyDescent="0.3">
      <c r="A803" s="2501"/>
      <c r="B803" s="2501"/>
      <c r="C803" s="2501"/>
      <c r="D803" s="2501"/>
      <c r="E803" s="2501"/>
      <c r="F803" s="2501"/>
      <c r="G803" s="2501"/>
      <c r="H803" s="2501"/>
      <c r="I803" s="2501"/>
      <c r="J803" s="2501"/>
      <c r="K803" s="2501"/>
      <c r="L803" s="2501"/>
      <c r="M803" s="2501"/>
      <c r="N803" s="2501"/>
      <c r="O803" s="2501"/>
      <c r="P803" s="2501"/>
      <c r="Q803" s="2501"/>
      <c r="R803" s="2501"/>
      <c r="S803" s="2501"/>
      <c r="T803" s="2501"/>
      <c r="U803" s="2501"/>
      <c r="V803" s="2501"/>
      <c r="W803" s="2501"/>
      <c r="X803" s="2501"/>
      <c r="Y803" s="2501"/>
      <c r="Z803" s="2501"/>
      <c r="AA803" s="2501"/>
    </row>
    <row r="804" spans="1:27" ht="15.75" customHeight="1" x14ac:dyDescent="0.3">
      <c r="A804" s="2501"/>
      <c r="B804" s="2501"/>
      <c r="C804" s="2501"/>
      <c r="D804" s="2501"/>
      <c r="E804" s="2501"/>
      <c r="F804" s="2501"/>
      <c r="G804" s="2501"/>
      <c r="H804" s="2501"/>
      <c r="I804" s="2501"/>
      <c r="J804" s="2501"/>
      <c r="K804" s="2501"/>
      <c r="L804" s="2501"/>
      <c r="M804" s="2501"/>
      <c r="N804" s="2501"/>
      <c r="O804" s="2501"/>
      <c r="P804" s="2501"/>
      <c r="Q804" s="2501"/>
      <c r="R804" s="2501"/>
      <c r="S804" s="2501"/>
      <c r="T804" s="2501"/>
      <c r="U804" s="2501"/>
      <c r="V804" s="2501"/>
      <c r="W804" s="2501"/>
      <c r="X804" s="2501"/>
      <c r="Y804" s="2501"/>
      <c r="Z804" s="2501"/>
      <c r="AA804" s="2501"/>
    </row>
    <row r="805" spans="1:27" ht="15.75" customHeight="1" x14ac:dyDescent="0.3">
      <c r="A805" s="2501"/>
      <c r="B805" s="2501"/>
      <c r="C805" s="2501"/>
      <c r="D805" s="2501"/>
      <c r="E805" s="2501"/>
      <c r="F805" s="2501"/>
      <c r="G805" s="2501"/>
      <c r="H805" s="2501"/>
      <c r="I805" s="2501"/>
      <c r="J805" s="2501"/>
      <c r="K805" s="2501"/>
      <c r="L805" s="2501"/>
      <c r="M805" s="2501"/>
      <c r="N805" s="2501"/>
      <c r="O805" s="2501"/>
      <c r="P805" s="2501"/>
      <c r="Q805" s="2501"/>
      <c r="R805" s="2501"/>
      <c r="S805" s="2501"/>
      <c r="T805" s="2501"/>
      <c r="U805" s="2501"/>
      <c r="V805" s="2501"/>
      <c r="W805" s="2501"/>
      <c r="X805" s="2501"/>
      <c r="Y805" s="2501"/>
      <c r="Z805" s="2501"/>
      <c r="AA805" s="2501"/>
    </row>
    <row r="806" spans="1:27" ht="15.75" customHeight="1" x14ac:dyDescent="0.3">
      <c r="A806" s="2501"/>
      <c r="B806" s="2501"/>
      <c r="C806" s="2501"/>
      <c r="D806" s="2501"/>
      <c r="E806" s="2501"/>
      <c r="F806" s="2501"/>
      <c r="G806" s="2501"/>
      <c r="H806" s="2501"/>
      <c r="I806" s="2501"/>
      <c r="J806" s="2501"/>
      <c r="K806" s="2501"/>
      <c r="L806" s="2501"/>
      <c r="M806" s="2501"/>
      <c r="N806" s="2501"/>
      <c r="O806" s="2501"/>
      <c r="P806" s="2501"/>
      <c r="Q806" s="2501"/>
      <c r="R806" s="2501"/>
      <c r="S806" s="2501"/>
      <c r="T806" s="2501"/>
      <c r="U806" s="2501"/>
      <c r="V806" s="2501"/>
      <c r="W806" s="2501"/>
      <c r="X806" s="2501"/>
      <c r="Y806" s="2501"/>
      <c r="Z806" s="2501"/>
      <c r="AA806" s="2501"/>
    </row>
    <row r="807" spans="1:27" ht="15.75" customHeight="1" x14ac:dyDescent="0.3">
      <c r="A807" s="2501"/>
      <c r="B807" s="2501"/>
      <c r="C807" s="2501"/>
      <c r="D807" s="2501"/>
      <c r="E807" s="2501"/>
      <c r="F807" s="2501"/>
      <c r="G807" s="2501"/>
      <c r="H807" s="2501"/>
      <c r="I807" s="2501"/>
      <c r="J807" s="2501"/>
      <c r="K807" s="2501"/>
      <c r="L807" s="2501"/>
      <c r="M807" s="2501"/>
      <c r="N807" s="2501"/>
      <c r="O807" s="2501"/>
      <c r="P807" s="2501"/>
      <c r="Q807" s="2501"/>
      <c r="R807" s="2501"/>
      <c r="S807" s="2501"/>
      <c r="T807" s="2501"/>
      <c r="U807" s="2501"/>
      <c r="V807" s="2501"/>
      <c r="W807" s="2501"/>
      <c r="X807" s="2501"/>
      <c r="Y807" s="2501"/>
      <c r="Z807" s="2501"/>
      <c r="AA807" s="2501"/>
    </row>
    <row r="808" spans="1:27" ht="15.75" customHeight="1" x14ac:dyDescent="0.3">
      <c r="A808" s="2501"/>
      <c r="B808" s="2501"/>
      <c r="C808" s="2501"/>
      <c r="D808" s="2501"/>
      <c r="E808" s="2501"/>
      <c r="F808" s="2501"/>
      <c r="G808" s="2501"/>
      <c r="H808" s="2501"/>
      <c r="I808" s="2501"/>
      <c r="J808" s="2501"/>
      <c r="K808" s="2501"/>
      <c r="L808" s="2501"/>
      <c r="M808" s="2501"/>
      <c r="N808" s="2501"/>
      <c r="O808" s="2501"/>
      <c r="P808" s="2501"/>
      <c r="Q808" s="2501"/>
      <c r="R808" s="2501"/>
      <c r="S808" s="2501"/>
      <c r="T808" s="2501"/>
      <c r="U808" s="2501"/>
      <c r="V808" s="2501"/>
      <c r="W808" s="2501"/>
      <c r="X808" s="2501"/>
      <c r="Y808" s="2501"/>
      <c r="Z808" s="2501"/>
      <c r="AA808" s="2501"/>
    </row>
    <row r="809" spans="1:27" ht="15.75" customHeight="1" x14ac:dyDescent="0.3">
      <c r="A809" s="2501"/>
      <c r="B809" s="2501"/>
      <c r="C809" s="2501"/>
      <c r="D809" s="2501"/>
      <c r="E809" s="2501"/>
      <c r="F809" s="2501"/>
      <c r="G809" s="2501"/>
      <c r="H809" s="2501"/>
      <c r="I809" s="2501"/>
      <c r="J809" s="2501"/>
      <c r="K809" s="2501"/>
      <c r="L809" s="2501"/>
      <c r="M809" s="2501"/>
      <c r="N809" s="2501"/>
      <c r="O809" s="2501"/>
      <c r="P809" s="2501"/>
      <c r="Q809" s="2501"/>
      <c r="R809" s="2501"/>
      <c r="S809" s="2501"/>
      <c r="T809" s="2501"/>
      <c r="U809" s="2501"/>
      <c r="V809" s="2501"/>
      <c r="W809" s="2501"/>
      <c r="X809" s="2501"/>
      <c r="Y809" s="2501"/>
      <c r="Z809" s="2501"/>
      <c r="AA809" s="2501"/>
    </row>
    <row r="810" spans="1:27" ht="15.75" customHeight="1" x14ac:dyDescent="0.3">
      <c r="A810" s="2501"/>
      <c r="B810" s="2501"/>
      <c r="C810" s="2501"/>
      <c r="D810" s="2501"/>
      <c r="E810" s="2501"/>
      <c r="F810" s="2501"/>
      <c r="G810" s="2501"/>
      <c r="H810" s="2501"/>
      <c r="I810" s="2501"/>
      <c r="J810" s="2501"/>
      <c r="K810" s="2501"/>
      <c r="L810" s="2501"/>
      <c r="M810" s="2501"/>
      <c r="N810" s="2501"/>
      <c r="O810" s="2501"/>
      <c r="P810" s="2501"/>
      <c r="Q810" s="2501"/>
      <c r="R810" s="2501"/>
      <c r="S810" s="2501"/>
      <c r="T810" s="2501"/>
      <c r="U810" s="2501"/>
      <c r="V810" s="2501"/>
      <c r="W810" s="2501"/>
      <c r="X810" s="2501"/>
      <c r="Y810" s="2501"/>
      <c r="Z810" s="2501"/>
      <c r="AA810" s="2501"/>
    </row>
    <row r="811" spans="1:27" ht="15.75" customHeight="1" x14ac:dyDescent="0.3">
      <c r="A811" s="2501"/>
      <c r="B811" s="2501"/>
      <c r="C811" s="2501"/>
      <c r="D811" s="2501"/>
      <c r="E811" s="2501"/>
      <c r="F811" s="2501"/>
      <c r="G811" s="2501"/>
      <c r="H811" s="2501"/>
      <c r="I811" s="2501"/>
      <c r="J811" s="2501"/>
      <c r="K811" s="2501"/>
      <c r="L811" s="2501"/>
      <c r="M811" s="2501"/>
      <c r="N811" s="2501"/>
      <c r="O811" s="2501"/>
      <c r="P811" s="2501"/>
      <c r="Q811" s="2501"/>
      <c r="R811" s="2501"/>
      <c r="S811" s="2501"/>
      <c r="T811" s="2501"/>
      <c r="U811" s="2501"/>
      <c r="V811" s="2501"/>
      <c r="W811" s="2501"/>
      <c r="X811" s="2501"/>
      <c r="Y811" s="2501"/>
      <c r="Z811" s="2501"/>
      <c r="AA811" s="2501"/>
    </row>
    <row r="812" spans="1:27" ht="15.75" customHeight="1" x14ac:dyDescent="0.3">
      <c r="A812" s="2501"/>
      <c r="B812" s="2501"/>
      <c r="C812" s="2501"/>
      <c r="D812" s="2501"/>
      <c r="E812" s="2501"/>
      <c r="F812" s="2501"/>
      <c r="G812" s="2501"/>
      <c r="H812" s="2501"/>
      <c r="I812" s="2501"/>
      <c r="J812" s="2501"/>
      <c r="K812" s="2501"/>
      <c r="L812" s="2501"/>
      <c r="M812" s="2501"/>
      <c r="N812" s="2501"/>
      <c r="O812" s="2501"/>
      <c r="P812" s="2501"/>
      <c r="Q812" s="2501"/>
      <c r="R812" s="2501"/>
      <c r="S812" s="2501"/>
      <c r="T812" s="2501"/>
      <c r="U812" s="2501"/>
      <c r="V812" s="2501"/>
      <c r="W812" s="2501"/>
      <c r="X812" s="2501"/>
      <c r="Y812" s="2501"/>
      <c r="Z812" s="2501"/>
      <c r="AA812" s="2501"/>
    </row>
    <row r="813" spans="1:27" ht="15.75" customHeight="1" x14ac:dyDescent="0.3">
      <c r="A813" s="2501"/>
      <c r="B813" s="2501"/>
      <c r="C813" s="2501"/>
      <c r="D813" s="2501"/>
      <c r="E813" s="2501"/>
      <c r="F813" s="2501"/>
      <c r="G813" s="2501"/>
      <c r="H813" s="2501"/>
      <c r="I813" s="2501"/>
      <c r="J813" s="2501"/>
      <c r="K813" s="2501"/>
      <c r="L813" s="2501"/>
      <c r="M813" s="2501"/>
      <c r="N813" s="2501"/>
      <c r="O813" s="2501"/>
      <c r="P813" s="2501"/>
      <c r="Q813" s="2501"/>
      <c r="R813" s="2501"/>
      <c r="S813" s="2501"/>
      <c r="T813" s="2501"/>
      <c r="U813" s="2501"/>
      <c r="V813" s="2501"/>
      <c r="W813" s="2501"/>
      <c r="X813" s="2501"/>
      <c r="Y813" s="2501"/>
      <c r="Z813" s="2501"/>
      <c r="AA813" s="2501"/>
    </row>
    <row r="814" spans="1:27" ht="15.75" customHeight="1" x14ac:dyDescent="0.3">
      <c r="A814" s="2501"/>
      <c r="B814" s="2501"/>
      <c r="C814" s="2501"/>
      <c r="D814" s="2501"/>
      <c r="E814" s="2501"/>
      <c r="F814" s="2501"/>
      <c r="G814" s="2501"/>
      <c r="H814" s="2501"/>
      <c r="I814" s="2501"/>
      <c r="J814" s="2501"/>
      <c r="K814" s="2501"/>
      <c r="L814" s="2501"/>
      <c r="M814" s="2501"/>
      <c r="N814" s="2501"/>
      <c r="O814" s="2501"/>
      <c r="P814" s="2501"/>
      <c r="Q814" s="2501"/>
      <c r="R814" s="2501"/>
      <c r="S814" s="2501"/>
      <c r="T814" s="2501"/>
      <c r="U814" s="2501"/>
      <c r="V814" s="2501"/>
      <c r="W814" s="2501"/>
      <c r="X814" s="2501"/>
      <c r="Y814" s="2501"/>
      <c r="Z814" s="2501"/>
      <c r="AA814" s="2501"/>
    </row>
    <row r="815" spans="1:27" ht="15.75" customHeight="1" x14ac:dyDescent="0.3">
      <c r="A815" s="2501"/>
      <c r="B815" s="2501"/>
      <c r="C815" s="2501"/>
      <c r="D815" s="2501"/>
      <c r="E815" s="2501"/>
      <c r="F815" s="2501"/>
      <c r="G815" s="2501"/>
      <c r="H815" s="2501"/>
      <c r="I815" s="2501"/>
      <c r="J815" s="2501"/>
      <c r="K815" s="2501"/>
      <c r="L815" s="2501"/>
      <c r="M815" s="2501"/>
      <c r="N815" s="2501"/>
      <c r="O815" s="2501"/>
      <c r="P815" s="2501"/>
      <c r="Q815" s="2501"/>
      <c r="R815" s="2501"/>
      <c r="S815" s="2501"/>
      <c r="T815" s="2501"/>
      <c r="U815" s="2501"/>
      <c r="V815" s="2501"/>
      <c r="W815" s="2501"/>
      <c r="X815" s="2501"/>
      <c r="Y815" s="2501"/>
      <c r="Z815" s="2501"/>
      <c r="AA815" s="2501"/>
    </row>
    <row r="816" spans="1:27" ht="15.75" customHeight="1" x14ac:dyDescent="0.3">
      <c r="A816" s="2501"/>
      <c r="B816" s="2501"/>
      <c r="C816" s="2501"/>
      <c r="D816" s="2501"/>
      <c r="E816" s="2501"/>
      <c r="F816" s="2501"/>
      <c r="G816" s="2501"/>
      <c r="H816" s="2501"/>
      <c r="I816" s="2501"/>
      <c r="J816" s="2501"/>
      <c r="K816" s="2501"/>
      <c r="L816" s="2501"/>
      <c r="M816" s="2501"/>
      <c r="N816" s="2501"/>
      <c r="O816" s="2501"/>
      <c r="P816" s="2501"/>
      <c r="Q816" s="2501"/>
      <c r="R816" s="2501"/>
      <c r="S816" s="2501"/>
      <c r="T816" s="2501"/>
      <c r="U816" s="2501"/>
      <c r="V816" s="2501"/>
      <c r="W816" s="2501"/>
      <c r="X816" s="2501"/>
      <c r="Y816" s="2501"/>
      <c r="Z816" s="2501"/>
      <c r="AA816" s="2501"/>
    </row>
    <row r="817" spans="1:27" ht="15.75" customHeight="1" x14ac:dyDescent="0.3">
      <c r="A817" s="2501"/>
      <c r="B817" s="2501"/>
      <c r="C817" s="2501"/>
      <c r="D817" s="2501"/>
      <c r="E817" s="2501"/>
      <c r="F817" s="2501"/>
      <c r="G817" s="2501"/>
      <c r="H817" s="2501"/>
      <c r="I817" s="2501"/>
      <c r="J817" s="2501"/>
      <c r="K817" s="2501"/>
      <c r="L817" s="2501"/>
      <c r="M817" s="2501"/>
      <c r="N817" s="2501"/>
      <c r="O817" s="2501"/>
      <c r="P817" s="2501"/>
      <c r="Q817" s="2501"/>
      <c r="R817" s="2501"/>
      <c r="S817" s="2501"/>
      <c r="T817" s="2501"/>
      <c r="U817" s="2501"/>
      <c r="V817" s="2501"/>
      <c r="W817" s="2501"/>
      <c r="X817" s="2501"/>
      <c r="Y817" s="2501"/>
      <c r="Z817" s="2501"/>
      <c r="AA817" s="2501"/>
    </row>
    <row r="818" spans="1:27" ht="15.75" customHeight="1" x14ac:dyDescent="0.3">
      <c r="A818" s="2501"/>
      <c r="B818" s="2501"/>
      <c r="C818" s="2501"/>
      <c r="D818" s="2501"/>
      <c r="E818" s="2501"/>
      <c r="F818" s="2501"/>
      <c r="G818" s="2501"/>
      <c r="H818" s="2501"/>
      <c r="I818" s="2501"/>
      <c r="J818" s="2501"/>
      <c r="K818" s="2501"/>
      <c r="L818" s="2501"/>
      <c r="M818" s="2501"/>
      <c r="N818" s="2501"/>
      <c r="O818" s="2501"/>
      <c r="P818" s="2501"/>
      <c r="Q818" s="2501"/>
      <c r="R818" s="2501"/>
      <c r="S818" s="2501"/>
      <c r="T818" s="2501"/>
      <c r="U818" s="2501"/>
      <c r="V818" s="2501"/>
      <c r="W818" s="2501"/>
      <c r="X818" s="2501"/>
      <c r="Y818" s="2501"/>
      <c r="Z818" s="2501"/>
      <c r="AA818" s="2501"/>
    </row>
    <row r="819" spans="1:27" ht="15.75" customHeight="1" x14ac:dyDescent="0.3">
      <c r="A819" s="2501"/>
      <c r="B819" s="2501"/>
      <c r="C819" s="2501"/>
      <c r="D819" s="2501"/>
      <c r="E819" s="2501"/>
      <c r="F819" s="2501"/>
      <c r="G819" s="2501"/>
      <c r="H819" s="2501"/>
      <c r="I819" s="2501"/>
      <c r="J819" s="2501"/>
      <c r="K819" s="2501"/>
      <c r="L819" s="2501"/>
      <c r="M819" s="2501"/>
      <c r="N819" s="2501"/>
      <c r="O819" s="2501"/>
      <c r="P819" s="2501"/>
      <c r="Q819" s="2501"/>
      <c r="R819" s="2501"/>
      <c r="S819" s="2501"/>
      <c r="T819" s="2501"/>
      <c r="U819" s="2501"/>
      <c r="V819" s="2501"/>
      <c r="W819" s="2501"/>
      <c r="X819" s="2501"/>
      <c r="Y819" s="2501"/>
      <c r="Z819" s="2501"/>
      <c r="AA819" s="2501"/>
    </row>
    <row r="820" spans="1:27" ht="15.75" customHeight="1" x14ac:dyDescent="0.3">
      <c r="A820" s="2501"/>
      <c r="B820" s="2501"/>
      <c r="C820" s="2501"/>
      <c r="D820" s="2501"/>
      <c r="E820" s="2501"/>
      <c r="F820" s="2501"/>
      <c r="G820" s="2501"/>
      <c r="H820" s="2501"/>
      <c r="I820" s="2501"/>
      <c r="J820" s="2501"/>
      <c r="K820" s="2501"/>
      <c r="L820" s="2501"/>
      <c r="M820" s="2501"/>
      <c r="N820" s="2501"/>
      <c r="O820" s="2501"/>
      <c r="P820" s="2501"/>
      <c r="Q820" s="2501"/>
      <c r="R820" s="2501"/>
      <c r="S820" s="2501"/>
      <c r="T820" s="2501"/>
      <c r="U820" s="2501"/>
      <c r="V820" s="2501"/>
      <c r="W820" s="2501"/>
      <c r="X820" s="2501"/>
      <c r="Y820" s="2501"/>
      <c r="Z820" s="2501"/>
      <c r="AA820" s="2501"/>
    </row>
    <row r="821" spans="1:27" ht="15.75" customHeight="1" x14ac:dyDescent="0.3">
      <c r="A821" s="2501"/>
      <c r="B821" s="2501"/>
      <c r="C821" s="2501"/>
      <c r="D821" s="2501"/>
      <c r="E821" s="2501"/>
      <c r="F821" s="2501"/>
      <c r="G821" s="2501"/>
      <c r="H821" s="2501"/>
      <c r="I821" s="2501"/>
      <c r="J821" s="2501"/>
      <c r="K821" s="2501"/>
      <c r="L821" s="2501"/>
      <c r="M821" s="2501"/>
      <c r="N821" s="2501"/>
      <c r="O821" s="2501"/>
      <c r="P821" s="2501"/>
      <c r="Q821" s="2501"/>
      <c r="R821" s="2501"/>
      <c r="S821" s="2501"/>
      <c r="T821" s="2501"/>
      <c r="U821" s="2501"/>
      <c r="V821" s="2501"/>
      <c r="W821" s="2501"/>
      <c r="X821" s="2501"/>
      <c r="Y821" s="2501"/>
      <c r="Z821" s="2501"/>
      <c r="AA821" s="2501"/>
    </row>
    <row r="822" spans="1:27" ht="15.75" customHeight="1" x14ac:dyDescent="0.3">
      <c r="A822" s="2501"/>
      <c r="B822" s="2501"/>
      <c r="C822" s="2501"/>
      <c r="D822" s="2501"/>
      <c r="E822" s="2501"/>
      <c r="F822" s="2501"/>
      <c r="G822" s="2501"/>
      <c r="H822" s="2501"/>
      <c r="I822" s="2501"/>
      <c r="J822" s="2501"/>
      <c r="K822" s="2501"/>
      <c r="L822" s="2501"/>
      <c r="M822" s="2501"/>
      <c r="N822" s="2501"/>
      <c r="O822" s="2501"/>
      <c r="P822" s="2501"/>
      <c r="Q822" s="2501"/>
      <c r="R822" s="2501"/>
      <c r="S822" s="2501"/>
      <c r="T822" s="2501"/>
      <c r="U822" s="2501"/>
      <c r="V822" s="2501"/>
      <c r="W822" s="2501"/>
      <c r="X822" s="2501"/>
      <c r="Y822" s="2501"/>
      <c r="Z822" s="2501"/>
      <c r="AA822" s="2501"/>
    </row>
    <row r="823" spans="1:27" ht="15.75" customHeight="1" x14ac:dyDescent="0.3">
      <c r="A823" s="2501"/>
      <c r="B823" s="2501"/>
      <c r="C823" s="2501"/>
      <c r="D823" s="2501"/>
      <c r="E823" s="2501"/>
      <c r="F823" s="2501"/>
      <c r="G823" s="2501"/>
      <c r="H823" s="2501"/>
      <c r="I823" s="2501"/>
      <c r="J823" s="2501"/>
      <c r="K823" s="2501"/>
      <c r="L823" s="2501"/>
      <c r="M823" s="2501"/>
      <c r="N823" s="2501"/>
      <c r="O823" s="2501"/>
      <c r="P823" s="2501"/>
      <c r="Q823" s="2501"/>
      <c r="R823" s="2501"/>
      <c r="S823" s="2501"/>
      <c r="T823" s="2501"/>
      <c r="U823" s="2501"/>
      <c r="V823" s="2501"/>
      <c r="W823" s="2501"/>
      <c r="X823" s="2501"/>
      <c r="Y823" s="2501"/>
      <c r="Z823" s="2501"/>
      <c r="AA823" s="2501"/>
    </row>
    <row r="824" spans="1:27" ht="15.75" customHeight="1" x14ac:dyDescent="0.3">
      <c r="A824" s="2501"/>
      <c r="B824" s="2501"/>
      <c r="C824" s="2501"/>
      <c r="D824" s="2501"/>
      <c r="E824" s="2501"/>
      <c r="F824" s="2501"/>
      <c r="G824" s="2501"/>
      <c r="H824" s="2501"/>
      <c r="I824" s="2501"/>
      <c r="J824" s="2501"/>
      <c r="K824" s="2501"/>
      <c r="L824" s="2501"/>
      <c r="M824" s="2501"/>
      <c r="N824" s="2501"/>
      <c r="O824" s="2501"/>
      <c r="P824" s="2501"/>
      <c r="Q824" s="2501"/>
      <c r="R824" s="2501"/>
      <c r="S824" s="2501"/>
      <c r="T824" s="2501"/>
      <c r="U824" s="2501"/>
      <c r="V824" s="2501"/>
      <c r="W824" s="2501"/>
      <c r="X824" s="2501"/>
      <c r="Y824" s="2501"/>
      <c r="Z824" s="2501"/>
      <c r="AA824" s="2501"/>
    </row>
    <row r="825" spans="1:27" ht="15.75" customHeight="1" x14ac:dyDescent="0.3">
      <c r="A825" s="2501"/>
      <c r="B825" s="2501"/>
      <c r="C825" s="2501"/>
      <c r="D825" s="2501"/>
      <c r="E825" s="2501"/>
      <c r="F825" s="2501"/>
      <c r="G825" s="2501"/>
      <c r="H825" s="2501"/>
      <c r="I825" s="2501"/>
      <c r="J825" s="2501"/>
      <c r="K825" s="2501"/>
      <c r="L825" s="2501"/>
      <c r="M825" s="2501"/>
      <c r="N825" s="2501"/>
      <c r="O825" s="2501"/>
      <c r="P825" s="2501"/>
      <c r="Q825" s="2501"/>
      <c r="R825" s="2501"/>
      <c r="S825" s="2501"/>
      <c r="T825" s="2501"/>
      <c r="U825" s="2501"/>
      <c r="V825" s="2501"/>
      <c r="W825" s="2501"/>
      <c r="X825" s="2501"/>
      <c r="Y825" s="2501"/>
      <c r="Z825" s="2501"/>
      <c r="AA825" s="2501"/>
    </row>
    <row r="826" spans="1:27" ht="15.75" customHeight="1" x14ac:dyDescent="0.3">
      <c r="A826" s="2501"/>
      <c r="B826" s="2501"/>
      <c r="C826" s="2501"/>
      <c r="D826" s="2501"/>
      <c r="E826" s="2501"/>
      <c r="F826" s="2501"/>
      <c r="G826" s="2501"/>
      <c r="H826" s="2501"/>
      <c r="I826" s="2501"/>
      <c r="J826" s="2501"/>
      <c r="K826" s="2501"/>
      <c r="L826" s="2501"/>
      <c r="M826" s="2501"/>
      <c r="N826" s="2501"/>
      <c r="O826" s="2501"/>
      <c r="P826" s="2501"/>
      <c r="Q826" s="2501"/>
      <c r="R826" s="2501"/>
      <c r="S826" s="2501"/>
      <c r="T826" s="2501"/>
      <c r="U826" s="2501"/>
      <c r="V826" s="2501"/>
      <c r="W826" s="2501"/>
      <c r="X826" s="2501"/>
      <c r="Y826" s="2501"/>
      <c r="Z826" s="2501"/>
      <c r="AA826" s="2501"/>
    </row>
    <row r="827" spans="1:27" ht="15.75" customHeight="1" x14ac:dyDescent="0.3">
      <c r="A827" s="2501"/>
      <c r="B827" s="2501"/>
      <c r="C827" s="2501"/>
      <c r="D827" s="2501"/>
      <c r="E827" s="2501"/>
      <c r="F827" s="2501"/>
      <c r="G827" s="2501"/>
      <c r="H827" s="2501"/>
      <c r="I827" s="2501"/>
      <c r="J827" s="2501"/>
      <c r="K827" s="2501"/>
      <c r="L827" s="2501"/>
      <c r="M827" s="2501"/>
      <c r="N827" s="2501"/>
      <c r="O827" s="2501"/>
      <c r="P827" s="2501"/>
      <c r="Q827" s="2501"/>
      <c r="R827" s="2501"/>
      <c r="S827" s="2501"/>
      <c r="T827" s="2501"/>
      <c r="U827" s="2501"/>
      <c r="V827" s="2501"/>
      <c r="W827" s="2501"/>
      <c r="X827" s="2501"/>
      <c r="Y827" s="2501"/>
      <c r="Z827" s="2501"/>
      <c r="AA827" s="2501"/>
    </row>
    <row r="828" spans="1:27" ht="15.75" customHeight="1" x14ac:dyDescent="0.3">
      <c r="A828" s="2501"/>
      <c r="B828" s="2501"/>
      <c r="C828" s="2501"/>
      <c r="D828" s="2501"/>
      <c r="E828" s="2501"/>
      <c r="F828" s="2501"/>
      <c r="G828" s="2501"/>
      <c r="H828" s="2501"/>
      <c r="I828" s="2501"/>
      <c r="J828" s="2501"/>
      <c r="K828" s="2501"/>
      <c r="L828" s="2501"/>
      <c r="M828" s="2501"/>
      <c r="N828" s="2501"/>
      <c r="O828" s="2501"/>
      <c r="P828" s="2501"/>
      <c r="Q828" s="2501"/>
      <c r="R828" s="2501"/>
      <c r="S828" s="2501"/>
      <c r="T828" s="2501"/>
      <c r="U828" s="2501"/>
      <c r="V828" s="2501"/>
      <c r="W828" s="2501"/>
      <c r="X828" s="2501"/>
      <c r="Y828" s="2501"/>
      <c r="Z828" s="2501"/>
      <c r="AA828" s="2501"/>
    </row>
    <row r="829" spans="1:27" ht="15.75" customHeight="1" x14ac:dyDescent="0.3">
      <c r="A829" s="2501"/>
      <c r="B829" s="2501"/>
      <c r="C829" s="2501"/>
      <c r="D829" s="2501"/>
      <c r="E829" s="2501"/>
      <c r="F829" s="2501"/>
      <c r="G829" s="2501"/>
      <c r="H829" s="2501"/>
      <c r="I829" s="2501"/>
      <c r="J829" s="2501"/>
      <c r="K829" s="2501"/>
      <c r="L829" s="2501"/>
      <c r="M829" s="2501"/>
      <c r="N829" s="2501"/>
      <c r="O829" s="2501"/>
      <c r="P829" s="2501"/>
      <c r="Q829" s="2501"/>
      <c r="R829" s="2501"/>
      <c r="S829" s="2501"/>
      <c r="T829" s="2501"/>
      <c r="U829" s="2501"/>
      <c r="V829" s="2501"/>
      <c r="W829" s="2501"/>
      <c r="X829" s="2501"/>
      <c r="Y829" s="2501"/>
      <c r="Z829" s="2501"/>
      <c r="AA829" s="2501"/>
    </row>
    <row r="830" spans="1:27" ht="15.75" customHeight="1" x14ac:dyDescent="0.3">
      <c r="A830" s="2501"/>
      <c r="B830" s="2501"/>
      <c r="C830" s="2501"/>
      <c r="D830" s="2501"/>
      <c r="E830" s="2501"/>
      <c r="F830" s="2501"/>
      <c r="G830" s="2501"/>
      <c r="H830" s="2501"/>
      <c r="I830" s="2501"/>
      <c r="J830" s="2501"/>
      <c r="K830" s="2501"/>
      <c r="L830" s="2501"/>
      <c r="M830" s="2501"/>
      <c r="N830" s="2501"/>
      <c r="O830" s="2501"/>
      <c r="P830" s="2501"/>
      <c r="Q830" s="2501"/>
      <c r="R830" s="2501"/>
      <c r="S830" s="2501"/>
      <c r="T830" s="2501"/>
      <c r="U830" s="2501"/>
      <c r="V830" s="2501"/>
      <c r="W830" s="2501"/>
      <c r="X830" s="2501"/>
      <c r="Y830" s="2501"/>
      <c r="Z830" s="2501"/>
      <c r="AA830" s="2501"/>
    </row>
    <row r="831" spans="1:27" ht="15.75" customHeight="1" x14ac:dyDescent="0.3">
      <c r="A831" s="2501"/>
      <c r="B831" s="2501"/>
      <c r="C831" s="2501"/>
      <c r="D831" s="2501"/>
      <c r="E831" s="2501"/>
      <c r="F831" s="2501"/>
      <c r="G831" s="2501"/>
      <c r="H831" s="2501"/>
      <c r="I831" s="2501"/>
      <c r="J831" s="2501"/>
      <c r="K831" s="2501"/>
      <c r="L831" s="2501"/>
      <c r="M831" s="2501"/>
      <c r="N831" s="2501"/>
      <c r="O831" s="2501"/>
      <c r="P831" s="2501"/>
      <c r="Q831" s="2501"/>
      <c r="R831" s="2501"/>
      <c r="S831" s="2501"/>
      <c r="T831" s="2501"/>
      <c r="U831" s="2501"/>
      <c r="V831" s="2501"/>
      <c r="W831" s="2501"/>
      <c r="X831" s="2501"/>
      <c r="Y831" s="2501"/>
      <c r="Z831" s="2501"/>
      <c r="AA831" s="2501"/>
    </row>
    <row r="832" spans="1:27" ht="15.75" customHeight="1" x14ac:dyDescent="0.3">
      <c r="A832" s="2501"/>
      <c r="B832" s="2501"/>
      <c r="C832" s="2501"/>
      <c r="D832" s="2501"/>
      <c r="E832" s="2501"/>
      <c r="F832" s="2501"/>
      <c r="G832" s="2501"/>
      <c r="H832" s="2501"/>
      <c r="I832" s="2501"/>
      <c r="J832" s="2501"/>
      <c r="K832" s="2501"/>
      <c r="L832" s="2501"/>
      <c r="M832" s="2501"/>
      <c r="N832" s="2501"/>
      <c r="O832" s="2501"/>
      <c r="P832" s="2501"/>
      <c r="Q832" s="2501"/>
      <c r="R832" s="2501"/>
      <c r="S832" s="2501"/>
      <c r="T832" s="2501"/>
      <c r="U832" s="2501"/>
      <c r="V832" s="2501"/>
      <c r="W832" s="2501"/>
      <c r="X832" s="2501"/>
      <c r="Y832" s="2501"/>
      <c r="Z832" s="2501"/>
      <c r="AA832" s="2501"/>
    </row>
    <row r="833" spans="1:27" ht="15.75" customHeight="1" x14ac:dyDescent="0.3">
      <c r="A833" s="2501"/>
      <c r="B833" s="2501"/>
      <c r="C833" s="2501"/>
      <c r="D833" s="2501"/>
      <c r="E833" s="2501"/>
      <c r="F833" s="2501"/>
      <c r="G833" s="2501"/>
      <c r="H833" s="2501"/>
      <c r="I833" s="2501"/>
      <c r="J833" s="2501"/>
      <c r="K833" s="2501"/>
      <c r="L833" s="2501"/>
      <c r="M833" s="2501"/>
      <c r="N833" s="2501"/>
      <c r="O833" s="2501"/>
      <c r="P833" s="2501"/>
      <c r="Q833" s="2501"/>
      <c r="R833" s="2501"/>
      <c r="S833" s="2501"/>
      <c r="T833" s="2501"/>
      <c r="U833" s="2501"/>
      <c r="V833" s="2501"/>
      <c r="W833" s="2501"/>
      <c r="X833" s="2501"/>
      <c r="Y833" s="2501"/>
      <c r="Z833" s="2501"/>
      <c r="AA833" s="2501"/>
    </row>
    <row r="834" spans="1:27" ht="15.75" customHeight="1" x14ac:dyDescent="0.3">
      <c r="A834" s="2501"/>
      <c r="B834" s="2501"/>
      <c r="C834" s="2501"/>
      <c r="D834" s="2501"/>
      <c r="E834" s="2501"/>
      <c r="F834" s="2501"/>
      <c r="G834" s="2501"/>
      <c r="H834" s="2501"/>
      <c r="I834" s="2501"/>
      <c r="J834" s="2501"/>
      <c r="K834" s="2501"/>
      <c r="L834" s="2501"/>
      <c r="M834" s="2501"/>
      <c r="N834" s="2501"/>
      <c r="O834" s="2501"/>
      <c r="P834" s="2501"/>
      <c r="Q834" s="2501"/>
      <c r="R834" s="2501"/>
      <c r="S834" s="2501"/>
      <c r="T834" s="2501"/>
      <c r="U834" s="2501"/>
      <c r="V834" s="2501"/>
      <c r="W834" s="2501"/>
      <c r="X834" s="2501"/>
      <c r="Y834" s="2501"/>
      <c r="Z834" s="2501"/>
      <c r="AA834" s="2501"/>
    </row>
    <row r="835" spans="1:27" ht="15.75" customHeight="1" x14ac:dyDescent="0.3">
      <c r="A835" s="2501"/>
      <c r="B835" s="2501"/>
      <c r="C835" s="2501"/>
      <c r="D835" s="2501"/>
      <c r="E835" s="2501"/>
      <c r="F835" s="2501"/>
      <c r="G835" s="2501"/>
      <c r="H835" s="2501"/>
      <c r="I835" s="2501"/>
      <c r="J835" s="2501"/>
      <c r="K835" s="2501"/>
      <c r="L835" s="2501"/>
      <c r="M835" s="2501"/>
      <c r="N835" s="2501"/>
      <c r="O835" s="2501"/>
      <c r="P835" s="2501"/>
      <c r="Q835" s="2501"/>
      <c r="R835" s="2501"/>
      <c r="S835" s="2501"/>
      <c r="T835" s="2501"/>
      <c r="U835" s="2501"/>
      <c r="V835" s="2501"/>
      <c r="W835" s="2501"/>
      <c r="X835" s="2501"/>
      <c r="Y835" s="2501"/>
      <c r="Z835" s="2501"/>
      <c r="AA835" s="2501"/>
    </row>
    <row r="836" spans="1:27" ht="15.75" customHeight="1" x14ac:dyDescent="0.3">
      <c r="A836" s="2501"/>
      <c r="B836" s="2501"/>
      <c r="C836" s="2501"/>
      <c r="D836" s="2501"/>
      <c r="E836" s="2501"/>
      <c r="F836" s="2501"/>
      <c r="G836" s="2501"/>
      <c r="H836" s="2501"/>
      <c r="I836" s="2501"/>
      <c r="J836" s="2501"/>
      <c r="K836" s="2501"/>
      <c r="L836" s="2501"/>
      <c r="M836" s="2501"/>
      <c r="N836" s="2501"/>
      <c r="O836" s="2501"/>
      <c r="P836" s="2501"/>
      <c r="Q836" s="2501"/>
      <c r="R836" s="2501"/>
      <c r="S836" s="2501"/>
      <c r="T836" s="2501"/>
      <c r="U836" s="2501"/>
      <c r="V836" s="2501"/>
      <c r="W836" s="2501"/>
      <c r="X836" s="2501"/>
      <c r="Y836" s="2501"/>
      <c r="Z836" s="2501"/>
      <c r="AA836" s="2501"/>
    </row>
    <row r="837" spans="1:27" ht="15.75" customHeight="1" x14ac:dyDescent="0.3">
      <c r="A837" s="2501"/>
      <c r="B837" s="2501"/>
      <c r="C837" s="2501"/>
      <c r="D837" s="2501"/>
      <c r="E837" s="2501"/>
      <c r="F837" s="2501"/>
      <c r="G837" s="2501"/>
      <c r="H837" s="2501"/>
      <c r="I837" s="2501"/>
      <c r="J837" s="2501"/>
      <c r="K837" s="2501"/>
      <c r="L837" s="2501"/>
      <c r="M837" s="2501"/>
      <c r="N837" s="2501"/>
      <c r="O837" s="2501"/>
      <c r="P837" s="2501"/>
      <c r="Q837" s="2501"/>
      <c r="R837" s="2501"/>
      <c r="S837" s="2501"/>
      <c r="T837" s="2501"/>
      <c r="U837" s="2501"/>
      <c r="V837" s="2501"/>
      <c r="W837" s="2501"/>
      <c r="X837" s="2501"/>
      <c r="Y837" s="2501"/>
      <c r="Z837" s="2501"/>
      <c r="AA837" s="2501"/>
    </row>
    <row r="838" spans="1:27" ht="15.75" customHeight="1" x14ac:dyDescent="0.3">
      <c r="A838" s="2501"/>
      <c r="B838" s="2501"/>
      <c r="C838" s="2501"/>
      <c r="D838" s="2501"/>
      <c r="E838" s="2501"/>
      <c r="F838" s="2501"/>
      <c r="G838" s="2501"/>
      <c r="H838" s="2501"/>
      <c r="I838" s="2501"/>
      <c r="J838" s="2501"/>
      <c r="K838" s="2501"/>
      <c r="L838" s="2501"/>
      <c r="M838" s="2501"/>
      <c r="N838" s="2501"/>
      <c r="O838" s="2501"/>
      <c r="P838" s="2501"/>
      <c r="Q838" s="2501"/>
      <c r="R838" s="2501"/>
      <c r="S838" s="2501"/>
      <c r="T838" s="2501"/>
      <c r="U838" s="2501"/>
      <c r="V838" s="2501"/>
      <c r="W838" s="2501"/>
      <c r="X838" s="2501"/>
      <c r="Y838" s="2501"/>
      <c r="Z838" s="2501"/>
      <c r="AA838" s="2501"/>
    </row>
    <row r="839" spans="1:27" ht="15.75" customHeight="1" x14ac:dyDescent="0.3">
      <c r="A839" s="2501"/>
      <c r="B839" s="2501"/>
      <c r="C839" s="2501"/>
      <c r="D839" s="2501"/>
      <c r="E839" s="2501"/>
      <c r="F839" s="2501"/>
      <c r="G839" s="2501"/>
      <c r="H839" s="2501"/>
      <c r="I839" s="2501"/>
      <c r="J839" s="2501"/>
      <c r="K839" s="2501"/>
      <c r="L839" s="2501"/>
      <c r="M839" s="2501"/>
      <c r="N839" s="2501"/>
      <c r="O839" s="2501"/>
      <c r="P839" s="2501"/>
      <c r="Q839" s="2501"/>
      <c r="R839" s="2501"/>
      <c r="S839" s="2501"/>
      <c r="T839" s="2501"/>
      <c r="U839" s="2501"/>
      <c r="V839" s="2501"/>
      <c r="W839" s="2501"/>
      <c r="X839" s="2501"/>
      <c r="Y839" s="2501"/>
      <c r="Z839" s="2501"/>
      <c r="AA839" s="2501"/>
    </row>
    <row r="840" spans="1:27" ht="15.75" customHeight="1" x14ac:dyDescent="0.3">
      <c r="A840" s="2501"/>
      <c r="B840" s="2501"/>
      <c r="C840" s="2501"/>
      <c r="D840" s="2501"/>
      <c r="E840" s="2501"/>
      <c r="F840" s="2501"/>
      <c r="G840" s="2501"/>
      <c r="H840" s="2501"/>
      <c r="I840" s="2501"/>
      <c r="J840" s="2501"/>
      <c r="K840" s="2501"/>
      <c r="L840" s="2501"/>
      <c r="M840" s="2501"/>
      <c r="N840" s="2501"/>
      <c r="O840" s="2501"/>
      <c r="P840" s="2501"/>
      <c r="Q840" s="2501"/>
      <c r="R840" s="2501"/>
      <c r="S840" s="2501"/>
      <c r="T840" s="2501"/>
      <c r="U840" s="2501"/>
      <c r="V840" s="2501"/>
      <c r="W840" s="2501"/>
      <c r="X840" s="2501"/>
      <c r="Y840" s="2501"/>
      <c r="Z840" s="2501"/>
      <c r="AA840" s="2501"/>
    </row>
    <row r="841" spans="1:27" ht="15.75" customHeight="1" x14ac:dyDescent="0.3">
      <c r="A841" s="2501"/>
      <c r="B841" s="2501"/>
      <c r="C841" s="2501"/>
      <c r="D841" s="2501"/>
      <c r="E841" s="2501"/>
      <c r="F841" s="2501"/>
      <c r="G841" s="2501"/>
      <c r="H841" s="2501"/>
      <c r="I841" s="2501"/>
      <c r="J841" s="2501"/>
      <c r="K841" s="2501"/>
      <c r="L841" s="2501"/>
      <c r="M841" s="2501"/>
      <c r="N841" s="2501"/>
      <c r="O841" s="2501"/>
      <c r="P841" s="2501"/>
      <c r="Q841" s="2501"/>
      <c r="R841" s="2501"/>
      <c r="S841" s="2501"/>
      <c r="T841" s="2501"/>
      <c r="U841" s="2501"/>
      <c r="V841" s="2501"/>
      <c r="W841" s="2501"/>
      <c r="X841" s="2501"/>
      <c r="Y841" s="2501"/>
      <c r="Z841" s="2501"/>
      <c r="AA841" s="2501"/>
    </row>
    <row r="842" spans="1:27" ht="15.75" customHeight="1" x14ac:dyDescent="0.3">
      <c r="A842" s="2501"/>
      <c r="B842" s="2501"/>
      <c r="C842" s="2501"/>
      <c r="D842" s="2501"/>
      <c r="E842" s="2501"/>
      <c r="F842" s="2501"/>
      <c r="G842" s="2501"/>
      <c r="H842" s="2501"/>
      <c r="I842" s="2501"/>
      <c r="J842" s="2501"/>
      <c r="K842" s="2501"/>
      <c r="L842" s="2501"/>
      <c r="M842" s="2501"/>
      <c r="N842" s="2501"/>
      <c r="O842" s="2501"/>
      <c r="P842" s="2501"/>
      <c r="Q842" s="2501"/>
      <c r="R842" s="2501"/>
      <c r="S842" s="2501"/>
      <c r="T842" s="2501"/>
      <c r="U842" s="2501"/>
      <c r="V842" s="2501"/>
      <c r="W842" s="2501"/>
      <c r="X842" s="2501"/>
      <c r="Y842" s="2501"/>
      <c r="Z842" s="2501"/>
      <c r="AA842" s="2501"/>
    </row>
    <row r="843" spans="1:27" ht="15.75" customHeight="1" x14ac:dyDescent="0.3">
      <c r="A843" s="2501"/>
      <c r="B843" s="2501"/>
      <c r="C843" s="2501"/>
      <c r="D843" s="2501"/>
      <c r="E843" s="2501"/>
      <c r="F843" s="2501"/>
      <c r="G843" s="2501"/>
      <c r="H843" s="2501"/>
      <c r="I843" s="2501"/>
      <c r="J843" s="2501"/>
      <c r="K843" s="2501"/>
      <c r="L843" s="2501"/>
      <c r="M843" s="2501"/>
      <c r="N843" s="2501"/>
      <c r="O843" s="2501"/>
      <c r="P843" s="2501"/>
      <c r="Q843" s="2501"/>
      <c r="R843" s="2501"/>
      <c r="S843" s="2501"/>
      <c r="T843" s="2501"/>
      <c r="U843" s="2501"/>
      <c r="V843" s="2501"/>
      <c r="W843" s="2501"/>
      <c r="X843" s="2501"/>
      <c r="Y843" s="2501"/>
      <c r="Z843" s="2501"/>
      <c r="AA843" s="2501"/>
    </row>
    <row r="844" spans="1:27" ht="15.75" customHeight="1" x14ac:dyDescent="0.3">
      <c r="A844" s="2501"/>
      <c r="B844" s="2501"/>
      <c r="C844" s="2501"/>
      <c r="D844" s="2501"/>
      <c r="E844" s="2501"/>
      <c r="F844" s="2501"/>
      <c r="G844" s="2501"/>
      <c r="H844" s="2501"/>
      <c r="I844" s="2501"/>
      <c r="J844" s="2501"/>
      <c r="K844" s="2501"/>
      <c r="L844" s="2501"/>
      <c r="M844" s="2501"/>
      <c r="N844" s="2501"/>
      <c r="O844" s="2501"/>
      <c r="P844" s="2501"/>
      <c r="Q844" s="2501"/>
      <c r="R844" s="2501"/>
      <c r="S844" s="2501"/>
      <c r="T844" s="2501"/>
      <c r="U844" s="2501"/>
      <c r="V844" s="2501"/>
      <c r="W844" s="2501"/>
      <c r="X844" s="2501"/>
      <c r="Y844" s="2501"/>
      <c r="Z844" s="2501"/>
      <c r="AA844" s="2501"/>
    </row>
    <row r="845" spans="1:27" ht="15.75" customHeight="1" x14ac:dyDescent="0.3">
      <c r="A845" s="2501"/>
      <c r="B845" s="2501"/>
      <c r="C845" s="2501"/>
      <c r="D845" s="2501"/>
      <c r="E845" s="2501"/>
      <c r="F845" s="2501"/>
      <c r="G845" s="2501"/>
      <c r="H845" s="2501"/>
      <c r="I845" s="2501"/>
      <c r="J845" s="2501"/>
      <c r="K845" s="2501"/>
      <c r="L845" s="2501"/>
      <c r="M845" s="2501"/>
      <c r="N845" s="2501"/>
      <c r="O845" s="2501"/>
      <c r="P845" s="2501"/>
      <c r="Q845" s="2501"/>
      <c r="R845" s="2501"/>
      <c r="S845" s="2501"/>
      <c r="T845" s="2501"/>
      <c r="U845" s="2501"/>
      <c r="V845" s="2501"/>
      <c r="W845" s="2501"/>
      <c r="X845" s="2501"/>
      <c r="Y845" s="2501"/>
      <c r="Z845" s="2501"/>
      <c r="AA845" s="2501"/>
    </row>
    <row r="846" spans="1:27" ht="15.75" customHeight="1" x14ac:dyDescent="0.3">
      <c r="A846" s="2501"/>
      <c r="B846" s="2501"/>
      <c r="C846" s="2501"/>
      <c r="D846" s="2501"/>
      <c r="E846" s="2501"/>
      <c r="F846" s="2501"/>
      <c r="G846" s="2501"/>
      <c r="H846" s="2501"/>
      <c r="I846" s="2501"/>
      <c r="J846" s="2501"/>
      <c r="K846" s="2501"/>
      <c r="L846" s="2501"/>
      <c r="M846" s="2501"/>
      <c r="N846" s="2501"/>
      <c r="O846" s="2501"/>
      <c r="P846" s="2501"/>
      <c r="Q846" s="2501"/>
      <c r="R846" s="2501"/>
      <c r="S846" s="2501"/>
      <c r="T846" s="2501"/>
      <c r="U846" s="2501"/>
      <c r="V846" s="2501"/>
      <c r="W846" s="2501"/>
      <c r="X846" s="2501"/>
      <c r="Y846" s="2501"/>
      <c r="Z846" s="2501"/>
      <c r="AA846" s="2501"/>
    </row>
    <row r="847" spans="1:27" ht="15.75" customHeight="1" x14ac:dyDescent="0.3">
      <c r="A847" s="2501"/>
      <c r="B847" s="2501"/>
      <c r="C847" s="2501"/>
      <c r="D847" s="2501"/>
      <c r="E847" s="2501"/>
      <c r="F847" s="2501"/>
      <c r="G847" s="2501"/>
      <c r="H847" s="2501"/>
      <c r="I847" s="2501"/>
      <c r="J847" s="2501"/>
      <c r="K847" s="2501"/>
      <c r="L847" s="2501"/>
      <c r="M847" s="2501"/>
      <c r="N847" s="2501"/>
      <c r="O847" s="2501"/>
      <c r="P847" s="2501"/>
      <c r="Q847" s="2501"/>
      <c r="R847" s="2501"/>
      <c r="S847" s="2501"/>
      <c r="T847" s="2501"/>
      <c r="U847" s="2501"/>
      <c r="V847" s="2501"/>
      <c r="W847" s="2501"/>
      <c r="X847" s="2501"/>
      <c r="Y847" s="2501"/>
      <c r="Z847" s="2501"/>
      <c r="AA847" s="2501"/>
    </row>
    <row r="848" spans="1:27" ht="15.75" customHeight="1" x14ac:dyDescent="0.3">
      <c r="A848" s="2501"/>
      <c r="B848" s="2501"/>
      <c r="C848" s="2501"/>
      <c r="D848" s="2501"/>
      <c r="E848" s="2501"/>
      <c r="F848" s="2501"/>
      <c r="G848" s="2501"/>
      <c r="H848" s="2501"/>
      <c r="I848" s="2501"/>
      <c r="J848" s="2501"/>
      <c r="K848" s="2501"/>
      <c r="L848" s="2501"/>
      <c r="M848" s="2501"/>
      <c r="N848" s="2501"/>
      <c r="O848" s="2501"/>
      <c r="P848" s="2501"/>
      <c r="Q848" s="2501"/>
      <c r="R848" s="2501"/>
      <c r="S848" s="2501"/>
      <c r="T848" s="2501"/>
      <c r="U848" s="2501"/>
      <c r="V848" s="2501"/>
      <c r="W848" s="2501"/>
      <c r="X848" s="2501"/>
      <c r="Y848" s="2501"/>
      <c r="Z848" s="2501"/>
      <c r="AA848" s="2501"/>
    </row>
    <row r="849" spans="1:27" ht="15.75" customHeight="1" x14ac:dyDescent="0.3">
      <c r="A849" s="2501"/>
      <c r="B849" s="2501"/>
      <c r="C849" s="2501"/>
      <c r="D849" s="2501"/>
      <c r="E849" s="2501"/>
      <c r="F849" s="2501"/>
      <c r="G849" s="2501"/>
      <c r="H849" s="2501"/>
      <c r="I849" s="2501"/>
      <c r="J849" s="2501"/>
      <c r="K849" s="2501"/>
      <c r="L849" s="2501"/>
      <c r="M849" s="2501"/>
      <c r="N849" s="2501"/>
      <c r="O849" s="2501"/>
      <c r="P849" s="2501"/>
      <c r="Q849" s="2501"/>
      <c r="R849" s="2501"/>
      <c r="S849" s="2501"/>
      <c r="T849" s="2501"/>
      <c r="U849" s="2501"/>
      <c r="V849" s="2501"/>
      <c r="W849" s="2501"/>
      <c r="X849" s="2501"/>
      <c r="Y849" s="2501"/>
      <c r="Z849" s="2501"/>
      <c r="AA849" s="2501"/>
    </row>
    <row r="850" spans="1:27" ht="15.75" customHeight="1" x14ac:dyDescent="0.3">
      <c r="A850" s="2501"/>
      <c r="B850" s="2501"/>
      <c r="C850" s="2501"/>
      <c r="D850" s="2501"/>
      <c r="E850" s="2501"/>
      <c r="F850" s="2501"/>
      <c r="G850" s="2501"/>
      <c r="H850" s="2501"/>
      <c r="I850" s="2501"/>
      <c r="J850" s="2501"/>
      <c r="K850" s="2501"/>
      <c r="L850" s="2501"/>
      <c r="M850" s="2501"/>
      <c r="N850" s="2501"/>
      <c r="O850" s="2501"/>
      <c r="P850" s="2501"/>
      <c r="Q850" s="2501"/>
      <c r="R850" s="2501"/>
      <c r="S850" s="2501"/>
      <c r="T850" s="2501"/>
      <c r="U850" s="2501"/>
      <c r="V850" s="2501"/>
      <c r="W850" s="2501"/>
      <c r="X850" s="2501"/>
      <c r="Y850" s="2501"/>
      <c r="Z850" s="2501"/>
      <c r="AA850" s="2501"/>
    </row>
    <row r="851" spans="1:27" ht="15.75" customHeight="1" x14ac:dyDescent="0.3">
      <c r="A851" s="2501"/>
      <c r="B851" s="2501"/>
      <c r="C851" s="2501"/>
      <c r="D851" s="2501"/>
      <c r="E851" s="2501"/>
      <c r="F851" s="2501"/>
      <c r="G851" s="2501"/>
      <c r="H851" s="2501"/>
      <c r="I851" s="2501"/>
      <c r="J851" s="2501"/>
      <c r="K851" s="2501"/>
      <c r="L851" s="2501"/>
      <c r="M851" s="2501"/>
      <c r="N851" s="2501"/>
      <c r="O851" s="2501"/>
      <c r="P851" s="2501"/>
      <c r="Q851" s="2501"/>
      <c r="R851" s="2501"/>
      <c r="S851" s="2501"/>
      <c r="T851" s="2501"/>
      <c r="U851" s="2501"/>
      <c r="V851" s="2501"/>
      <c r="W851" s="2501"/>
      <c r="X851" s="2501"/>
      <c r="Y851" s="2501"/>
      <c r="Z851" s="2501"/>
      <c r="AA851" s="2501"/>
    </row>
    <row r="852" spans="1:27" ht="15.75" customHeight="1" x14ac:dyDescent="0.3">
      <c r="A852" s="2501"/>
      <c r="B852" s="2501"/>
      <c r="C852" s="2501"/>
      <c r="D852" s="2501"/>
      <c r="E852" s="2501"/>
      <c r="F852" s="2501"/>
      <c r="G852" s="2501"/>
      <c r="H852" s="2501"/>
      <c r="I852" s="2501"/>
      <c r="J852" s="2501"/>
      <c r="K852" s="2501"/>
      <c r="L852" s="2501"/>
      <c r="M852" s="2501"/>
      <c r="N852" s="2501"/>
      <c r="O852" s="2501"/>
      <c r="P852" s="2501"/>
      <c r="Q852" s="2501"/>
      <c r="R852" s="2501"/>
      <c r="S852" s="2501"/>
      <c r="T852" s="2501"/>
      <c r="U852" s="2501"/>
      <c r="V852" s="2501"/>
      <c r="W852" s="2501"/>
      <c r="X852" s="2501"/>
      <c r="Y852" s="2501"/>
      <c r="Z852" s="2501"/>
      <c r="AA852" s="2501"/>
    </row>
    <row r="853" spans="1:27" ht="15.75" customHeight="1" x14ac:dyDescent="0.3">
      <c r="A853" s="2501"/>
      <c r="B853" s="2501"/>
      <c r="C853" s="2501"/>
      <c r="D853" s="2501"/>
      <c r="E853" s="2501"/>
      <c r="F853" s="2501"/>
      <c r="G853" s="2501"/>
      <c r="H853" s="2501"/>
      <c r="I853" s="2501"/>
      <c r="J853" s="2501"/>
      <c r="K853" s="2501"/>
      <c r="L853" s="2501"/>
      <c r="M853" s="2501"/>
      <c r="N853" s="2501"/>
      <c r="O853" s="2501"/>
      <c r="P853" s="2501"/>
      <c r="Q853" s="2501"/>
      <c r="R853" s="2501"/>
      <c r="S853" s="2501"/>
      <c r="T853" s="2501"/>
      <c r="U853" s="2501"/>
      <c r="V853" s="2501"/>
      <c r="W853" s="2501"/>
      <c r="X853" s="2501"/>
      <c r="Y853" s="2501"/>
      <c r="Z853" s="2501"/>
      <c r="AA853" s="2501"/>
    </row>
    <row r="854" spans="1:27" ht="15.75" customHeight="1" x14ac:dyDescent="0.3">
      <c r="A854" s="2501"/>
      <c r="B854" s="2501"/>
      <c r="C854" s="2501"/>
      <c r="D854" s="2501"/>
      <c r="E854" s="2501"/>
      <c r="F854" s="2501"/>
      <c r="G854" s="2501"/>
      <c r="H854" s="2501"/>
      <c r="I854" s="2501"/>
      <c r="J854" s="2501"/>
      <c r="K854" s="2501"/>
      <c r="L854" s="2501"/>
      <c r="M854" s="2501"/>
      <c r="N854" s="2501"/>
      <c r="O854" s="2501"/>
      <c r="P854" s="2501"/>
      <c r="Q854" s="2501"/>
      <c r="R854" s="2501"/>
      <c r="S854" s="2501"/>
      <c r="T854" s="2501"/>
      <c r="U854" s="2501"/>
      <c r="V854" s="2501"/>
      <c r="W854" s="2501"/>
      <c r="X854" s="2501"/>
      <c r="Y854" s="2501"/>
      <c r="Z854" s="2501"/>
      <c r="AA854" s="2501"/>
    </row>
    <row r="855" spans="1:27" ht="15.75" customHeight="1" x14ac:dyDescent="0.3">
      <c r="A855" s="2501"/>
      <c r="B855" s="2501"/>
      <c r="C855" s="2501"/>
      <c r="D855" s="2501"/>
      <c r="E855" s="2501"/>
      <c r="F855" s="2501"/>
      <c r="G855" s="2501"/>
      <c r="H855" s="2501"/>
      <c r="I855" s="2501"/>
      <c r="J855" s="2501"/>
      <c r="K855" s="2501"/>
      <c r="L855" s="2501"/>
      <c r="M855" s="2501"/>
      <c r="N855" s="2501"/>
      <c r="O855" s="2501"/>
      <c r="P855" s="2501"/>
      <c r="Q855" s="2501"/>
      <c r="R855" s="2501"/>
      <c r="S855" s="2501"/>
      <c r="T855" s="2501"/>
      <c r="U855" s="2501"/>
      <c r="V855" s="2501"/>
      <c r="W855" s="2501"/>
      <c r="X855" s="2501"/>
      <c r="Y855" s="2501"/>
      <c r="Z855" s="2501"/>
      <c r="AA855" s="2501"/>
    </row>
    <row r="856" spans="1:27" ht="15.75" customHeight="1" x14ac:dyDescent="0.3">
      <c r="A856" s="2501"/>
      <c r="B856" s="2501"/>
      <c r="C856" s="2501"/>
      <c r="D856" s="2501"/>
      <c r="E856" s="2501"/>
      <c r="F856" s="2501"/>
      <c r="G856" s="2501"/>
      <c r="H856" s="2501"/>
      <c r="I856" s="2501"/>
      <c r="J856" s="2501"/>
      <c r="K856" s="2501"/>
      <c r="L856" s="2501"/>
      <c r="M856" s="2501"/>
      <c r="N856" s="2501"/>
      <c r="O856" s="2501"/>
      <c r="P856" s="2501"/>
      <c r="Q856" s="2501"/>
      <c r="R856" s="2501"/>
      <c r="S856" s="2501"/>
      <c r="T856" s="2501"/>
      <c r="U856" s="2501"/>
      <c r="V856" s="2501"/>
      <c r="W856" s="2501"/>
      <c r="X856" s="2501"/>
      <c r="Y856" s="2501"/>
      <c r="Z856" s="2501"/>
      <c r="AA856" s="2501"/>
    </row>
    <row r="857" spans="1:27" ht="15.75" customHeight="1" x14ac:dyDescent="0.3">
      <c r="A857" s="2501"/>
      <c r="B857" s="2501"/>
      <c r="C857" s="2501"/>
      <c r="D857" s="2501"/>
      <c r="E857" s="2501"/>
      <c r="F857" s="2501"/>
      <c r="G857" s="2501"/>
      <c r="H857" s="2501"/>
      <c r="I857" s="2501"/>
      <c r="J857" s="2501"/>
      <c r="K857" s="2501"/>
      <c r="L857" s="2501"/>
      <c r="M857" s="2501"/>
      <c r="N857" s="2501"/>
      <c r="O857" s="2501"/>
      <c r="P857" s="2501"/>
      <c r="Q857" s="2501"/>
      <c r="R857" s="2501"/>
      <c r="S857" s="2501"/>
      <c r="T857" s="2501"/>
      <c r="U857" s="2501"/>
      <c r="V857" s="2501"/>
      <c r="W857" s="2501"/>
      <c r="X857" s="2501"/>
      <c r="Y857" s="2501"/>
      <c r="Z857" s="2501"/>
      <c r="AA857" s="2501"/>
    </row>
    <row r="858" spans="1:27" ht="15.75" customHeight="1" x14ac:dyDescent="0.3">
      <c r="A858" s="2501"/>
      <c r="B858" s="2501"/>
      <c r="C858" s="2501"/>
      <c r="D858" s="2501"/>
      <c r="E858" s="2501"/>
      <c r="F858" s="2501"/>
      <c r="G858" s="2501"/>
      <c r="H858" s="2501"/>
      <c r="I858" s="2501"/>
      <c r="J858" s="2501"/>
      <c r="K858" s="2501"/>
      <c r="L858" s="2501"/>
      <c r="M858" s="2501"/>
      <c r="N858" s="2501"/>
      <c r="O858" s="2501"/>
      <c r="P858" s="2501"/>
      <c r="Q858" s="2501"/>
      <c r="R858" s="2501"/>
      <c r="S858" s="2501"/>
      <c r="T858" s="2501"/>
      <c r="U858" s="2501"/>
      <c r="V858" s="2501"/>
      <c r="W858" s="2501"/>
      <c r="X858" s="2501"/>
      <c r="Y858" s="2501"/>
      <c r="Z858" s="2501"/>
      <c r="AA858" s="2501"/>
    </row>
    <row r="859" spans="1:27" ht="15.75" customHeight="1" x14ac:dyDescent="0.3">
      <c r="A859" s="2501"/>
      <c r="B859" s="2501"/>
      <c r="C859" s="2501"/>
      <c r="D859" s="2501"/>
      <c r="E859" s="2501"/>
      <c r="F859" s="2501"/>
      <c r="G859" s="2501"/>
      <c r="H859" s="2501"/>
      <c r="I859" s="2501"/>
      <c r="J859" s="2501"/>
      <c r="K859" s="2501"/>
      <c r="L859" s="2501"/>
      <c r="M859" s="2501"/>
      <c r="N859" s="2501"/>
      <c r="O859" s="2501"/>
      <c r="P859" s="2501"/>
      <c r="Q859" s="2501"/>
      <c r="R859" s="2501"/>
      <c r="S859" s="2501"/>
      <c r="T859" s="2501"/>
      <c r="U859" s="2501"/>
      <c r="V859" s="2501"/>
      <c r="W859" s="2501"/>
      <c r="X859" s="2501"/>
      <c r="Y859" s="2501"/>
      <c r="Z859" s="2501"/>
      <c r="AA859" s="2501"/>
    </row>
    <row r="860" spans="1:27" ht="15.75" customHeight="1" x14ac:dyDescent="0.3">
      <c r="A860" s="2501"/>
      <c r="B860" s="2501"/>
      <c r="C860" s="2501"/>
      <c r="D860" s="2501"/>
      <c r="E860" s="2501"/>
      <c r="F860" s="2501"/>
      <c r="G860" s="2501"/>
      <c r="H860" s="2501"/>
      <c r="I860" s="2501"/>
      <c r="J860" s="2501"/>
      <c r="K860" s="2501"/>
      <c r="L860" s="2501"/>
      <c r="M860" s="2501"/>
      <c r="N860" s="2501"/>
      <c r="O860" s="2501"/>
      <c r="P860" s="2501"/>
      <c r="Q860" s="2501"/>
      <c r="R860" s="2501"/>
      <c r="S860" s="2501"/>
      <c r="T860" s="2501"/>
      <c r="U860" s="2501"/>
      <c r="V860" s="2501"/>
      <c r="W860" s="2501"/>
      <c r="X860" s="2501"/>
      <c r="Y860" s="2501"/>
      <c r="Z860" s="2501"/>
      <c r="AA860" s="2501"/>
    </row>
    <row r="861" spans="1:27" ht="15.75" customHeight="1" x14ac:dyDescent="0.3">
      <c r="A861" s="2501"/>
      <c r="B861" s="2501"/>
      <c r="C861" s="2501"/>
      <c r="D861" s="2501"/>
      <c r="E861" s="2501"/>
      <c r="F861" s="2501"/>
      <c r="G861" s="2501"/>
      <c r="H861" s="2501"/>
      <c r="I861" s="2501"/>
      <c r="J861" s="2501"/>
      <c r="K861" s="2501"/>
      <c r="L861" s="2501"/>
      <c r="M861" s="2501"/>
      <c r="N861" s="2501"/>
      <c r="O861" s="2501"/>
      <c r="P861" s="2501"/>
      <c r="Q861" s="2501"/>
      <c r="R861" s="2501"/>
      <c r="S861" s="2501"/>
      <c r="T861" s="2501"/>
      <c r="U861" s="2501"/>
      <c r="V861" s="2501"/>
      <c r="W861" s="2501"/>
      <c r="X861" s="2501"/>
      <c r="Y861" s="2501"/>
      <c r="Z861" s="2501"/>
      <c r="AA861" s="2501"/>
    </row>
    <row r="862" spans="1:27" ht="15.75" customHeight="1" x14ac:dyDescent="0.3">
      <c r="A862" s="2501"/>
      <c r="B862" s="2501"/>
      <c r="C862" s="2501"/>
      <c r="D862" s="2501"/>
      <c r="E862" s="2501"/>
      <c r="F862" s="2501"/>
      <c r="G862" s="2501"/>
      <c r="H862" s="2501"/>
      <c r="I862" s="2501"/>
      <c r="J862" s="2501"/>
      <c r="K862" s="2501"/>
      <c r="L862" s="2501"/>
      <c r="M862" s="2501"/>
      <c r="N862" s="2501"/>
      <c r="O862" s="2501"/>
      <c r="P862" s="2501"/>
      <c r="Q862" s="2501"/>
      <c r="R862" s="2501"/>
      <c r="S862" s="2501"/>
      <c r="T862" s="2501"/>
      <c r="U862" s="2501"/>
      <c r="V862" s="2501"/>
      <c r="W862" s="2501"/>
      <c r="X862" s="2501"/>
      <c r="Y862" s="2501"/>
      <c r="Z862" s="2501"/>
      <c r="AA862" s="2501"/>
    </row>
    <row r="863" spans="1:27" ht="15.75" customHeight="1" x14ac:dyDescent="0.3">
      <c r="A863" s="2501"/>
      <c r="B863" s="2501"/>
      <c r="C863" s="2501"/>
      <c r="D863" s="2501"/>
      <c r="E863" s="2501"/>
      <c r="F863" s="2501"/>
      <c r="G863" s="2501"/>
      <c r="H863" s="2501"/>
      <c r="I863" s="2501"/>
      <c r="J863" s="2501"/>
      <c r="K863" s="2501"/>
      <c r="L863" s="2501"/>
      <c r="M863" s="2501"/>
      <c r="N863" s="2501"/>
      <c r="O863" s="2501"/>
      <c r="P863" s="2501"/>
      <c r="Q863" s="2501"/>
      <c r="R863" s="2501"/>
      <c r="S863" s="2501"/>
      <c r="T863" s="2501"/>
      <c r="U863" s="2501"/>
      <c r="V863" s="2501"/>
      <c r="W863" s="2501"/>
      <c r="X863" s="2501"/>
      <c r="Y863" s="2501"/>
      <c r="Z863" s="2501"/>
      <c r="AA863" s="2501"/>
    </row>
    <row r="864" spans="1:27" ht="15.75" customHeight="1" x14ac:dyDescent="0.3">
      <c r="A864" s="2501"/>
      <c r="B864" s="2501"/>
      <c r="C864" s="2501"/>
      <c r="D864" s="2501"/>
      <c r="E864" s="2501"/>
      <c r="F864" s="2501"/>
      <c r="G864" s="2501"/>
      <c r="H864" s="2501"/>
      <c r="I864" s="2501"/>
      <c r="J864" s="2501"/>
      <c r="K864" s="2501"/>
      <c r="L864" s="2501"/>
      <c r="M864" s="2501"/>
      <c r="N864" s="2501"/>
      <c r="O864" s="2501"/>
      <c r="P864" s="2501"/>
      <c r="Q864" s="2501"/>
      <c r="R864" s="2501"/>
      <c r="S864" s="2501"/>
      <c r="T864" s="2501"/>
      <c r="U864" s="2501"/>
      <c r="V864" s="2501"/>
      <c r="W864" s="2501"/>
      <c r="X864" s="2501"/>
      <c r="Y864" s="2501"/>
      <c r="Z864" s="2501"/>
      <c r="AA864" s="2501"/>
    </row>
    <row r="865" spans="1:27" ht="15.75" customHeight="1" x14ac:dyDescent="0.3">
      <c r="A865" s="2501"/>
      <c r="B865" s="2501"/>
      <c r="C865" s="2501"/>
      <c r="D865" s="2501"/>
      <c r="E865" s="2501"/>
      <c r="F865" s="2501"/>
      <c r="G865" s="2501"/>
      <c r="H865" s="2501"/>
      <c r="I865" s="2501"/>
      <c r="J865" s="2501"/>
      <c r="K865" s="2501"/>
      <c r="L865" s="2501"/>
      <c r="M865" s="2501"/>
      <c r="N865" s="2501"/>
      <c r="O865" s="2501"/>
      <c r="P865" s="2501"/>
      <c r="Q865" s="2501"/>
      <c r="R865" s="2501"/>
      <c r="S865" s="2501"/>
      <c r="T865" s="2501"/>
      <c r="U865" s="2501"/>
      <c r="V865" s="2501"/>
      <c r="W865" s="2501"/>
      <c r="X865" s="2501"/>
      <c r="Y865" s="2501"/>
      <c r="Z865" s="2501"/>
      <c r="AA865" s="2501"/>
    </row>
    <row r="866" spans="1:27" ht="15.75" customHeight="1" x14ac:dyDescent="0.3">
      <c r="A866" s="2501"/>
      <c r="B866" s="2501"/>
      <c r="C866" s="2501"/>
      <c r="D866" s="2501"/>
      <c r="E866" s="2501"/>
      <c r="F866" s="2501"/>
      <c r="G866" s="2501"/>
      <c r="H866" s="2501"/>
      <c r="I866" s="2501"/>
      <c r="J866" s="2501"/>
      <c r="K866" s="2501"/>
      <c r="L866" s="2501"/>
      <c r="M866" s="2501"/>
      <c r="N866" s="2501"/>
      <c r="O866" s="2501"/>
      <c r="P866" s="2501"/>
      <c r="Q866" s="2501"/>
      <c r="R866" s="2501"/>
      <c r="S866" s="2501"/>
      <c r="T866" s="2501"/>
      <c r="U866" s="2501"/>
      <c r="V866" s="2501"/>
      <c r="W866" s="2501"/>
      <c r="X866" s="2501"/>
      <c r="Y866" s="2501"/>
      <c r="Z866" s="2501"/>
      <c r="AA866" s="2501"/>
    </row>
    <row r="867" spans="1:27" ht="15.75" customHeight="1" x14ac:dyDescent="0.3">
      <c r="A867" s="2501"/>
      <c r="B867" s="2501"/>
      <c r="C867" s="2501"/>
      <c r="D867" s="2501"/>
      <c r="E867" s="2501"/>
      <c r="F867" s="2501"/>
      <c r="G867" s="2501"/>
      <c r="H867" s="2501"/>
      <c r="I867" s="2501"/>
      <c r="J867" s="2501"/>
      <c r="K867" s="2501"/>
      <c r="L867" s="2501"/>
      <c r="M867" s="2501"/>
      <c r="N867" s="2501"/>
      <c r="O867" s="2501"/>
      <c r="P867" s="2501"/>
      <c r="Q867" s="2501"/>
      <c r="R867" s="2501"/>
      <c r="S867" s="2501"/>
      <c r="T867" s="2501"/>
      <c r="U867" s="2501"/>
      <c r="V867" s="2501"/>
      <c r="W867" s="2501"/>
      <c r="X867" s="2501"/>
      <c r="Y867" s="2501"/>
      <c r="Z867" s="2501"/>
      <c r="AA867" s="2501"/>
    </row>
    <row r="868" spans="1:27" ht="15.75" customHeight="1" x14ac:dyDescent="0.3">
      <c r="A868" s="2501"/>
      <c r="B868" s="2501"/>
      <c r="C868" s="2501"/>
      <c r="D868" s="2501"/>
      <c r="E868" s="2501"/>
      <c r="F868" s="2501"/>
      <c r="G868" s="2501"/>
      <c r="H868" s="2501"/>
      <c r="I868" s="2501"/>
      <c r="J868" s="2501"/>
      <c r="K868" s="2501"/>
      <c r="L868" s="2501"/>
      <c r="M868" s="2501"/>
      <c r="N868" s="2501"/>
      <c r="O868" s="2501"/>
      <c r="P868" s="2501"/>
      <c r="Q868" s="2501"/>
      <c r="R868" s="2501"/>
      <c r="S868" s="2501"/>
      <c r="T868" s="2501"/>
      <c r="U868" s="2501"/>
      <c r="V868" s="2501"/>
      <c r="W868" s="2501"/>
      <c r="X868" s="2501"/>
      <c r="Y868" s="2501"/>
      <c r="Z868" s="2501"/>
      <c r="AA868" s="2501"/>
    </row>
    <row r="869" spans="1:27" ht="15.75" customHeight="1" x14ac:dyDescent="0.3">
      <c r="A869" s="2501"/>
      <c r="B869" s="2501"/>
      <c r="C869" s="2501"/>
      <c r="D869" s="2501"/>
      <c r="E869" s="2501"/>
      <c r="F869" s="2501"/>
      <c r="G869" s="2501"/>
      <c r="H869" s="2501"/>
      <c r="I869" s="2501"/>
      <c r="J869" s="2501"/>
      <c r="K869" s="2501"/>
      <c r="L869" s="2501"/>
      <c r="M869" s="2501"/>
      <c r="N869" s="2501"/>
      <c r="O869" s="2501"/>
      <c r="P869" s="2501"/>
      <c r="Q869" s="2501"/>
      <c r="R869" s="2501"/>
      <c r="S869" s="2501"/>
      <c r="T869" s="2501"/>
      <c r="U869" s="2501"/>
      <c r="V869" s="2501"/>
      <c r="W869" s="2501"/>
      <c r="X869" s="2501"/>
      <c r="Y869" s="2501"/>
      <c r="Z869" s="2501"/>
      <c r="AA869" s="2501"/>
    </row>
    <row r="870" spans="1:27" ht="15.75" customHeight="1" x14ac:dyDescent="0.3">
      <c r="A870" s="2501"/>
      <c r="B870" s="2501"/>
      <c r="C870" s="2501"/>
      <c r="D870" s="2501"/>
      <c r="E870" s="2501"/>
      <c r="F870" s="2501"/>
      <c r="G870" s="2501"/>
      <c r="H870" s="2501"/>
      <c r="I870" s="2501"/>
      <c r="J870" s="2501"/>
      <c r="K870" s="2501"/>
      <c r="L870" s="2501"/>
      <c r="M870" s="2501"/>
      <c r="N870" s="2501"/>
      <c r="O870" s="2501"/>
      <c r="P870" s="2501"/>
      <c r="Q870" s="2501"/>
      <c r="R870" s="2501"/>
      <c r="S870" s="2501"/>
      <c r="T870" s="2501"/>
      <c r="U870" s="2501"/>
      <c r="V870" s="2501"/>
      <c r="W870" s="2501"/>
      <c r="X870" s="2501"/>
      <c r="Y870" s="2501"/>
      <c r="Z870" s="2501"/>
      <c r="AA870" s="2501"/>
    </row>
    <row r="871" spans="1:27" ht="15.75" customHeight="1" x14ac:dyDescent="0.3">
      <c r="A871" s="2501"/>
      <c r="B871" s="2501"/>
      <c r="C871" s="2501"/>
      <c r="D871" s="2501"/>
      <c r="E871" s="2501"/>
      <c r="F871" s="2501"/>
      <c r="G871" s="2501"/>
      <c r="H871" s="2501"/>
      <c r="I871" s="2501"/>
      <c r="J871" s="2501"/>
      <c r="K871" s="2501"/>
      <c r="L871" s="2501"/>
      <c r="M871" s="2501"/>
      <c r="N871" s="2501"/>
      <c r="O871" s="2501"/>
      <c r="P871" s="2501"/>
      <c r="Q871" s="2501"/>
      <c r="R871" s="2501"/>
      <c r="S871" s="2501"/>
      <c r="T871" s="2501"/>
      <c r="U871" s="2501"/>
      <c r="V871" s="2501"/>
      <c r="W871" s="2501"/>
      <c r="X871" s="2501"/>
      <c r="Y871" s="2501"/>
      <c r="Z871" s="2501"/>
      <c r="AA871" s="2501"/>
    </row>
    <row r="872" spans="1:27" ht="15.75" customHeight="1" x14ac:dyDescent="0.3">
      <c r="A872" s="2501"/>
      <c r="B872" s="2501"/>
      <c r="C872" s="2501"/>
      <c r="D872" s="2501"/>
      <c r="E872" s="2501"/>
      <c r="F872" s="2501"/>
      <c r="G872" s="2501"/>
      <c r="H872" s="2501"/>
      <c r="I872" s="2501"/>
      <c r="J872" s="2501"/>
      <c r="K872" s="2501"/>
      <c r="L872" s="2501"/>
      <c r="M872" s="2501"/>
      <c r="N872" s="2501"/>
      <c r="O872" s="2501"/>
      <c r="P872" s="2501"/>
      <c r="Q872" s="2501"/>
      <c r="R872" s="2501"/>
      <c r="S872" s="2501"/>
      <c r="T872" s="2501"/>
      <c r="U872" s="2501"/>
      <c r="V872" s="2501"/>
      <c r="W872" s="2501"/>
      <c r="X872" s="2501"/>
      <c r="Y872" s="2501"/>
      <c r="Z872" s="2501"/>
      <c r="AA872" s="2501"/>
    </row>
    <row r="873" spans="1:27" ht="15.75" customHeight="1" x14ac:dyDescent="0.3">
      <c r="A873" s="2501"/>
      <c r="B873" s="2501"/>
      <c r="C873" s="2501"/>
      <c r="D873" s="2501"/>
      <c r="E873" s="2501"/>
      <c r="F873" s="2501"/>
      <c r="G873" s="2501"/>
      <c r="H873" s="2501"/>
      <c r="I873" s="2501"/>
      <c r="J873" s="2501"/>
      <c r="K873" s="2501"/>
      <c r="L873" s="2501"/>
      <c r="M873" s="2501"/>
      <c r="N873" s="2501"/>
      <c r="O873" s="2501"/>
      <c r="P873" s="2501"/>
      <c r="Q873" s="2501"/>
      <c r="R873" s="2501"/>
      <c r="S873" s="2501"/>
      <c r="T873" s="2501"/>
      <c r="U873" s="2501"/>
      <c r="V873" s="2501"/>
      <c r="W873" s="2501"/>
      <c r="X873" s="2501"/>
      <c r="Y873" s="2501"/>
      <c r="Z873" s="2501"/>
      <c r="AA873" s="2501"/>
    </row>
    <row r="874" spans="1:27" ht="15.75" customHeight="1" x14ac:dyDescent="0.3">
      <c r="A874" s="2501"/>
      <c r="B874" s="2501"/>
      <c r="C874" s="2501"/>
      <c r="D874" s="2501"/>
      <c r="E874" s="2501"/>
      <c r="F874" s="2501"/>
      <c r="G874" s="2501"/>
      <c r="H874" s="2501"/>
      <c r="I874" s="2501"/>
      <c r="J874" s="2501"/>
      <c r="K874" s="2501"/>
      <c r="L874" s="2501"/>
      <c r="M874" s="2501"/>
      <c r="N874" s="2501"/>
      <c r="O874" s="2501"/>
      <c r="P874" s="2501"/>
      <c r="Q874" s="2501"/>
      <c r="R874" s="2501"/>
      <c r="S874" s="2501"/>
      <c r="T874" s="2501"/>
      <c r="U874" s="2501"/>
      <c r="V874" s="2501"/>
      <c r="W874" s="2501"/>
      <c r="X874" s="2501"/>
      <c r="Y874" s="2501"/>
      <c r="Z874" s="2501"/>
      <c r="AA874" s="2501"/>
    </row>
    <row r="875" spans="1:27" ht="15.75" customHeight="1" x14ac:dyDescent="0.3">
      <c r="A875" s="2501"/>
      <c r="B875" s="2501"/>
      <c r="C875" s="2501"/>
      <c r="D875" s="2501"/>
      <c r="E875" s="2501"/>
      <c r="F875" s="2501"/>
      <c r="G875" s="2501"/>
      <c r="H875" s="2501"/>
      <c r="I875" s="2501"/>
      <c r="J875" s="2501"/>
      <c r="K875" s="2501"/>
      <c r="L875" s="2501"/>
      <c r="M875" s="2501"/>
      <c r="N875" s="2501"/>
      <c r="O875" s="2501"/>
      <c r="P875" s="2501"/>
      <c r="Q875" s="2501"/>
      <c r="R875" s="2501"/>
      <c r="S875" s="2501"/>
      <c r="T875" s="2501"/>
      <c r="U875" s="2501"/>
      <c r="V875" s="2501"/>
      <c r="W875" s="2501"/>
      <c r="X875" s="2501"/>
      <c r="Y875" s="2501"/>
      <c r="Z875" s="2501"/>
      <c r="AA875" s="2501"/>
    </row>
    <row r="876" spans="1:27" ht="15.75" customHeight="1" x14ac:dyDescent="0.3">
      <c r="A876" s="2501"/>
      <c r="B876" s="2501"/>
      <c r="C876" s="2501"/>
      <c r="D876" s="2501"/>
      <c r="E876" s="2501"/>
      <c r="F876" s="2501"/>
      <c r="G876" s="2501"/>
      <c r="H876" s="2501"/>
      <c r="I876" s="2501"/>
      <c r="J876" s="2501"/>
      <c r="K876" s="2501"/>
      <c r="L876" s="2501"/>
      <c r="M876" s="2501"/>
      <c r="N876" s="2501"/>
      <c r="O876" s="2501"/>
      <c r="P876" s="2501"/>
      <c r="Q876" s="2501"/>
      <c r="R876" s="2501"/>
      <c r="S876" s="2501"/>
      <c r="T876" s="2501"/>
      <c r="U876" s="2501"/>
      <c r="V876" s="2501"/>
      <c r="W876" s="2501"/>
      <c r="X876" s="2501"/>
      <c r="Y876" s="2501"/>
      <c r="Z876" s="2501"/>
      <c r="AA876" s="2501"/>
    </row>
    <row r="877" spans="1:27" ht="15.75" customHeight="1" x14ac:dyDescent="0.3">
      <c r="A877" s="2501"/>
      <c r="B877" s="2501"/>
      <c r="C877" s="2501"/>
      <c r="D877" s="2501"/>
      <c r="E877" s="2501"/>
      <c r="F877" s="2501"/>
      <c r="G877" s="2501"/>
      <c r="H877" s="2501"/>
      <c r="I877" s="2501"/>
      <c r="J877" s="2501"/>
      <c r="K877" s="2501"/>
      <c r="L877" s="2501"/>
      <c r="M877" s="2501"/>
      <c r="N877" s="2501"/>
      <c r="O877" s="2501"/>
      <c r="P877" s="2501"/>
      <c r="Q877" s="2501"/>
      <c r="R877" s="2501"/>
      <c r="S877" s="2501"/>
      <c r="T877" s="2501"/>
      <c r="U877" s="2501"/>
      <c r="V877" s="2501"/>
      <c r="W877" s="2501"/>
      <c r="X877" s="2501"/>
      <c r="Y877" s="2501"/>
      <c r="Z877" s="2501"/>
      <c r="AA877" s="2501"/>
    </row>
    <row r="878" spans="1:27" ht="15.75" customHeight="1" x14ac:dyDescent="0.3">
      <c r="A878" s="2501"/>
      <c r="B878" s="2501"/>
      <c r="C878" s="2501"/>
      <c r="D878" s="2501"/>
      <c r="E878" s="2501"/>
      <c r="F878" s="2501"/>
      <c r="G878" s="2501"/>
      <c r="H878" s="2501"/>
      <c r="I878" s="2501"/>
      <c r="J878" s="2501"/>
      <c r="K878" s="2501"/>
      <c r="L878" s="2501"/>
      <c r="M878" s="2501"/>
      <c r="N878" s="2501"/>
      <c r="O878" s="2501"/>
      <c r="P878" s="2501"/>
      <c r="Q878" s="2501"/>
      <c r="R878" s="2501"/>
      <c r="S878" s="2501"/>
      <c r="T878" s="2501"/>
      <c r="U878" s="2501"/>
      <c r="V878" s="2501"/>
      <c r="W878" s="2501"/>
      <c r="X878" s="2501"/>
      <c r="Y878" s="2501"/>
      <c r="Z878" s="2501"/>
      <c r="AA878" s="2501"/>
    </row>
    <row r="879" spans="1:27" ht="15.75" customHeight="1" x14ac:dyDescent="0.3">
      <c r="A879" s="2501"/>
      <c r="B879" s="2501"/>
      <c r="C879" s="2501"/>
      <c r="D879" s="2501"/>
      <c r="E879" s="2501"/>
      <c r="F879" s="2501"/>
      <c r="G879" s="2501"/>
      <c r="H879" s="2501"/>
      <c r="I879" s="2501"/>
      <c r="J879" s="2501"/>
      <c r="K879" s="2501"/>
      <c r="L879" s="2501"/>
      <c r="M879" s="2501"/>
      <c r="N879" s="2501"/>
      <c r="O879" s="2501"/>
      <c r="P879" s="2501"/>
      <c r="Q879" s="2501"/>
      <c r="R879" s="2501"/>
      <c r="S879" s="2501"/>
      <c r="T879" s="2501"/>
      <c r="U879" s="2501"/>
      <c r="V879" s="2501"/>
      <c r="W879" s="2501"/>
      <c r="X879" s="2501"/>
      <c r="Y879" s="2501"/>
      <c r="Z879" s="2501"/>
      <c r="AA879" s="2501"/>
    </row>
    <row r="880" spans="1:27" ht="15.75" customHeight="1" x14ac:dyDescent="0.3">
      <c r="A880" s="2501"/>
      <c r="B880" s="2501"/>
      <c r="C880" s="2501"/>
      <c r="D880" s="2501"/>
      <c r="E880" s="2501"/>
      <c r="F880" s="2501"/>
      <c r="G880" s="2501"/>
      <c r="H880" s="2501"/>
      <c r="I880" s="2501"/>
      <c r="J880" s="2501"/>
      <c r="K880" s="2501"/>
      <c r="L880" s="2501"/>
      <c r="M880" s="2501"/>
      <c r="N880" s="2501"/>
      <c r="O880" s="2501"/>
      <c r="P880" s="2501"/>
      <c r="Q880" s="2501"/>
      <c r="R880" s="2501"/>
      <c r="S880" s="2501"/>
      <c r="T880" s="2501"/>
      <c r="U880" s="2501"/>
      <c r="V880" s="2501"/>
      <c r="W880" s="2501"/>
      <c r="X880" s="2501"/>
      <c r="Y880" s="2501"/>
      <c r="Z880" s="2501"/>
      <c r="AA880" s="2501"/>
    </row>
    <row r="881" spans="1:27" ht="15.75" customHeight="1" x14ac:dyDescent="0.3">
      <c r="A881" s="2501"/>
      <c r="B881" s="2501"/>
      <c r="C881" s="2501"/>
      <c r="D881" s="2501"/>
      <c r="E881" s="2501"/>
      <c r="F881" s="2501"/>
      <c r="G881" s="2501"/>
      <c r="H881" s="2501"/>
      <c r="I881" s="2501"/>
      <c r="J881" s="2501"/>
      <c r="K881" s="2501"/>
      <c r="L881" s="2501"/>
      <c r="M881" s="2501"/>
      <c r="N881" s="2501"/>
      <c r="O881" s="2501"/>
      <c r="P881" s="2501"/>
      <c r="Q881" s="2501"/>
      <c r="R881" s="2501"/>
      <c r="S881" s="2501"/>
      <c r="T881" s="2501"/>
      <c r="U881" s="2501"/>
      <c r="V881" s="2501"/>
      <c r="W881" s="2501"/>
      <c r="X881" s="2501"/>
      <c r="Y881" s="2501"/>
      <c r="Z881" s="2501"/>
      <c r="AA881" s="2501"/>
    </row>
    <row r="882" spans="1:27" ht="15.75" customHeight="1" x14ac:dyDescent="0.3">
      <c r="A882" s="2501"/>
      <c r="B882" s="2501"/>
      <c r="C882" s="2501"/>
      <c r="D882" s="2501"/>
      <c r="E882" s="2501"/>
      <c r="F882" s="2501"/>
      <c r="G882" s="2501"/>
      <c r="H882" s="2501"/>
      <c r="I882" s="2501"/>
      <c r="J882" s="2501"/>
      <c r="K882" s="2501"/>
      <c r="L882" s="2501"/>
      <c r="M882" s="2501"/>
      <c r="N882" s="2501"/>
      <c r="O882" s="2501"/>
      <c r="P882" s="2501"/>
      <c r="Q882" s="2501"/>
      <c r="R882" s="2501"/>
      <c r="S882" s="2501"/>
      <c r="T882" s="2501"/>
      <c r="U882" s="2501"/>
      <c r="V882" s="2501"/>
      <c r="W882" s="2501"/>
      <c r="X882" s="2501"/>
      <c r="Y882" s="2501"/>
      <c r="Z882" s="2501"/>
      <c r="AA882" s="2501"/>
    </row>
    <row r="883" spans="1:27" ht="15.75" customHeight="1" x14ac:dyDescent="0.3">
      <c r="A883" s="2501"/>
      <c r="B883" s="2501"/>
      <c r="C883" s="2501"/>
      <c r="D883" s="2501"/>
      <c r="E883" s="2501"/>
      <c r="F883" s="2501"/>
      <c r="G883" s="2501"/>
      <c r="H883" s="2501"/>
      <c r="I883" s="2501"/>
      <c r="J883" s="2501"/>
      <c r="K883" s="2501"/>
      <c r="L883" s="2501"/>
      <c r="M883" s="2501"/>
      <c r="N883" s="2501"/>
      <c r="O883" s="2501"/>
      <c r="P883" s="2501"/>
      <c r="Q883" s="2501"/>
      <c r="R883" s="2501"/>
      <c r="S883" s="2501"/>
      <c r="T883" s="2501"/>
      <c r="U883" s="2501"/>
      <c r="V883" s="2501"/>
      <c r="W883" s="2501"/>
      <c r="X883" s="2501"/>
      <c r="Y883" s="2501"/>
      <c r="Z883" s="2501"/>
      <c r="AA883" s="2501"/>
    </row>
    <row r="884" spans="1:27" ht="15.75" customHeight="1" x14ac:dyDescent="0.3">
      <c r="A884" s="2501"/>
      <c r="B884" s="2501"/>
      <c r="C884" s="2501"/>
      <c r="D884" s="2501"/>
      <c r="E884" s="2501"/>
      <c r="F884" s="2501"/>
      <c r="G884" s="2501"/>
      <c r="H884" s="2501"/>
      <c r="I884" s="2501"/>
      <c r="J884" s="2501"/>
      <c r="K884" s="2501"/>
      <c r="L884" s="2501"/>
      <c r="M884" s="2501"/>
      <c r="N884" s="2501"/>
      <c r="O884" s="2501"/>
      <c r="P884" s="2501"/>
      <c r="Q884" s="2501"/>
      <c r="R884" s="2501"/>
      <c r="S884" s="2501"/>
      <c r="T884" s="2501"/>
      <c r="U884" s="2501"/>
      <c r="V884" s="2501"/>
      <c r="W884" s="2501"/>
      <c r="X884" s="2501"/>
      <c r="Y884" s="2501"/>
      <c r="Z884" s="2501"/>
      <c r="AA884" s="2501"/>
    </row>
    <row r="885" spans="1:27" ht="15.75" customHeight="1" x14ac:dyDescent="0.3">
      <c r="A885" s="2501"/>
      <c r="B885" s="2501"/>
      <c r="C885" s="2501"/>
      <c r="D885" s="2501"/>
      <c r="E885" s="2501"/>
      <c r="F885" s="2501"/>
      <c r="G885" s="2501"/>
      <c r="H885" s="2501"/>
      <c r="I885" s="2501"/>
      <c r="J885" s="2501"/>
      <c r="K885" s="2501"/>
      <c r="L885" s="2501"/>
      <c r="M885" s="2501"/>
      <c r="N885" s="2501"/>
      <c r="O885" s="2501"/>
      <c r="P885" s="2501"/>
      <c r="Q885" s="2501"/>
      <c r="R885" s="2501"/>
      <c r="S885" s="2501"/>
      <c r="T885" s="2501"/>
      <c r="U885" s="2501"/>
      <c r="V885" s="2501"/>
      <c r="W885" s="2501"/>
      <c r="X885" s="2501"/>
      <c r="Y885" s="2501"/>
      <c r="Z885" s="2501"/>
      <c r="AA885" s="2501"/>
    </row>
    <row r="886" spans="1:27" ht="15.75" customHeight="1" x14ac:dyDescent="0.3">
      <c r="A886" s="2501"/>
      <c r="B886" s="2501"/>
      <c r="C886" s="2501"/>
      <c r="D886" s="2501"/>
      <c r="E886" s="2501"/>
      <c r="F886" s="2501"/>
      <c r="G886" s="2501"/>
      <c r="H886" s="2501"/>
      <c r="I886" s="2501"/>
      <c r="J886" s="2501"/>
      <c r="K886" s="2501"/>
      <c r="L886" s="2501"/>
      <c r="M886" s="2501"/>
      <c r="N886" s="2501"/>
      <c r="O886" s="2501"/>
      <c r="P886" s="2501"/>
      <c r="Q886" s="2501"/>
      <c r="R886" s="2501"/>
      <c r="S886" s="2501"/>
      <c r="T886" s="2501"/>
      <c r="U886" s="2501"/>
      <c r="V886" s="2501"/>
      <c r="W886" s="2501"/>
      <c r="X886" s="2501"/>
      <c r="Y886" s="2501"/>
      <c r="Z886" s="2501"/>
      <c r="AA886" s="2501"/>
    </row>
    <row r="887" spans="1:27" ht="15.75" customHeight="1" x14ac:dyDescent="0.3">
      <c r="A887" s="2501"/>
      <c r="B887" s="2501"/>
      <c r="C887" s="2501"/>
      <c r="D887" s="2501"/>
      <c r="E887" s="2501"/>
      <c r="F887" s="2501"/>
      <c r="G887" s="2501"/>
      <c r="H887" s="2501"/>
      <c r="I887" s="2501"/>
      <c r="J887" s="2501"/>
      <c r="K887" s="2501"/>
      <c r="L887" s="2501"/>
      <c r="M887" s="2501"/>
      <c r="N887" s="2501"/>
      <c r="O887" s="2501"/>
      <c r="P887" s="2501"/>
      <c r="Q887" s="2501"/>
      <c r="R887" s="2501"/>
      <c r="S887" s="2501"/>
      <c r="T887" s="2501"/>
      <c r="U887" s="2501"/>
      <c r="V887" s="2501"/>
      <c r="W887" s="2501"/>
      <c r="X887" s="2501"/>
      <c r="Y887" s="2501"/>
      <c r="Z887" s="2501"/>
      <c r="AA887" s="2501"/>
    </row>
    <row r="888" spans="1:27" ht="15.75" customHeight="1" x14ac:dyDescent="0.3">
      <c r="A888" s="2501"/>
      <c r="B888" s="2501"/>
      <c r="C888" s="2501"/>
      <c r="D888" s="2501"/>
      <c r="E888" s="2501"/>
      <c r="F888" s="2501"/>
      <c r="G888" s="2501"/>
      <c r="H888" s="2501"/>
      <c r="I888" s="2501"/>
      <c r="J888" s="2501"/>
      <c r="K888" s="2501"/>
      <c r="L888" s="2501"/>
      <c r="M888" s="2501"/>
      <c r="N888" s="2501"/>
      <c r="O888" s="2501"/>
      <c r="P888" s="2501"/>
      <c r="Q888" s="2501"/>
      <c r="R888" s="2501"/>
      <c r="S888" s="2501"/>
      <c r="T888" s="2501"/>
      <c r="U888" s="2501"/>
      <c r="V888" s="2501"/>
      <c r="W888" s="2501"/>
      <c r="X888" s="2501"/>
      <c r="Y888" s="2501"/>
      <c r="Z888" s="2501"/>
      <c r="AA888" s="2501"/>
    </row>
    <row r="889" spans="1:27" ht="15.75" customHeight="1" x14ac:dyDescent="0.3">
      <c r="A889" s="2501"/>
      <c r="B889" s="2501"/>
      <c r="C889" s="2501"/>
      <c r="D889" s="2501"/>
      <c r="E889" s="2501"/>
      <c r="F889" s="2501"/>
      <c r="G889" s="2501"/>
      <c r="H889" s="2501"/>
      <c r="I889" s="2501"/>
      <c r="J889" s="2501"/>
      <c r="K889" s="2501"/>
      <c r="L889" s="2501"/>
      <c r="M889" s="2501"/>
      <c r="N889" s="2501"/>
      <c r="O889" s="2501"/>
      <c r="P889" s="2501"/>
      <c r="Q889" s="2501"/>
      <c r="R889" s="2501"/>
      <c r="S889" s="2501"/>
      <c r="T889" s="2501"/>
      <c r="U889" s="2501"/>
      <c r="V889" s="2501"/>
      <c r="W889" s="2501"/>
      <c r="X889" s="2501"/>
      <c r="Y889" s="2501"/>
      <c r="Z889" s="2501"/>
      <c r="AA889" s="2501"/>
    </row>
    <row r="890" spans="1:27" ht="15.75" customHeight="1" x14ac:dyDescent="0.3">
      <c r="A890" s="2501"/>
      <c r="B890" s="2501"/>
      <c r="C890" s="2501"/>
      <c r="D890" s="2501"/>
      <c r="E890" s="2501"/>
      <c r="F890" s="2501"/>
      <c r="G890" s="2501"/>
      <c r="H890" s="2501"/>
      <c r="I890" s="2501"/>
      <c r="J890" s="2501"/>
      <c r="K890" s="2501"/>
      <c r="L890" s="2501"/>
      <c r="M890" s="2501"/>
      <c r="N890" s="2501"/>
      <c r="O890" s="2501"/>
      <c r="P890" s="2501"/>
      <c r="Q890" s="2501"/>
      <c r="R890" s="2501"/>
      <c r="S890" s="2501"/>
      <c r="T890" s="2501"/>
      <c r="U890" s="2501"/>
      <c r="V890" s="2501"/>
      <c r="W890" s="2501"/>
      <c r="X890" s="2501"/>
      <c r="Y890" s="2501"/>
      <c r="Z890" s="2501"/>
      <c r="AA890" s="2501"/>
    </row>
    <row r="891" spans="1:27" ht="15.75" customHeight="1" x14ac:dyDescent="0.3">
      <c r="A891" s="2501"/>
      <c r="B891" s="2501"/>
      <c r="C891" s="2501"/>
      <c r="D891" s="2501"/>
      <c r="E891" s="2501"/>
      <c r="F891" s="2501"/>
      <c r="G891" s="2501"/>
      <c r="H891" s="2501"/>
      <c r="I891" s="2501"/>
      <c r="J891" s="2501"/>
      <c r="K891" s="2501"/>
      <c r="L891" s="2501"/>
      <c r="M891" s="2501"/>
      <c r="N891" s="2501"/>
      <c r="O891" s="2501"/>
      <c r="P891" s="2501"/>
      <c r="Q891" s="2501"/>
      <c r="R891" s="2501"/>
      <c r="S891" s="2501"/>
      <c r="T891" s="2501"/>
      <c r="U891" s="2501"/>
      <c r="V891" s="2501"/>
      <c r="W891" s="2501"/>
      <c r="X891" s="2501"/>
      <c r="Y891" s="2501"/>
      <c r="Z891" s="2501"/>
      <c r="AA891" s="2501"/>
    </row>
    <row r="892" spans="1:27" ht="15.75" customHeight="1" x14ac:dyDescent="0.3">
      <c r="A892" s="2501"/>
      <c r="B892" s="2501"/>
      <c r="C892" s="2501"/>
      <c r="D892" s="2501"/>
      <c r="E892" s="2501"/>
      <c r="F892" s="2501"/>
      <c r="G892" s="2501"/>
      <c r="H892" s="2501"/>
      <c r="I892" s="2501"/>
      <c r="J892" s="2501"/>
      <c r="K892" s="2501"/>
      <c r="L892" s="2501"/>
      <c r="M892" s="2501"/>
      <c r="N892" s="2501"/>
      <c r="O892" s="2501"/>
      <c r="P892" s="2501"/>
      <c r="Q892" s="2501"/>
      <c r="R892" s="2501"/>
      <c r="S892" s="2501"/>
      <c r="T892" s="2501"/>
      <c r="U892" s="2501"/>
      <c r="V892" s="2501"/>
      <c r="W892" s="2501"/>
      <c r="X892" s="2501"/>
      <c r="Y892" s="2501"/>
      <c r="Z892" s="2501"/>
      <c r="AA892" s="2501"/>
    </row>
    <row r="893" spans="1:27" ht="15.75" customHeight="1" x14ac:dyDescent="0.3">
      <c r="A893" s="2501"/>
      <c r="B893" s="2501"/>
      <c r="C893" s="2501"/>
      <c r="D893" s="2501"/>
      <c r="E893" s="2501"/>
      <c r="F893" s="2501"/>
      <c r="G893" s="2501"/>
      <c r="H893" s="2501"/>
      <c r="I893" s="2501"/>
      <c r="J893" s="2501"/>
      <c r="K893" s="2501"/>
      <c r="L893" s="2501"/>
      <c r="M893" s="2501"/>
      <c r="N893" s="2501"/>
      <c r="O893" s="2501"/>
      <c r="P893" s="2501"/>
      <c r="Q893" s="2501"/>
      <c r="R893" s="2501"/>
      <c r="S893" s="2501"/>
      <c r="T893" s="2501"/>
      <c r="U893" s="2501"/>
      <c r="V893" s="2501"/>
      <c r="W893" s="2501"/>
      <c r="X893" s="2501"/>
      <c r="Y893" s="2501"/>
      <c r="Z893" s="2501"/>
      <c r="AA893" s="2501"/>
    </row>
    <row r="894" spans="1:27" ht="15.75" customHeight="1" x14ac:dyDescent="0.3">
      <c r="A894" s="2501"/>
      <c r="B894" s="2501"/>
      <c r="C894" s="2501"/>
      <c r="D894" s="2501"/>
      <c r="E894" s="2501"/>
      <c r="F894" s="2501"/>
      <c r="G894" s="2501"/>
      <c r="H894" s="2501"/>
      <c r="I894" s="2501"/>
      <c r="J894" s="2501"/>
      <c r="K894" s="2501"/>
      <c r="L894" s="2501"/>
      <c r="M894" s="2501"/>
      <c r="N894" s="2501"/>
      <c r="O894" s="2501"/>
      <c r="P894" s="2501"/>
      <c r="Q894" s="2501"/>
      <c r="R894" s="2501"/>
      <c r="S894" s="2501"/>
      <c r="T894" s="2501"/>
      <c r="U894" s="2501"/>
      <c r="V894" s="2501"/>
      <c r="W894" s="2501"/>
      <c r="X894" s="2501"/>
      <c r="Y894" s="2501"/>
      <c r="Z894" s="2501"/>
      <c r="AA894" s="2501"/>
    </row>
    <row r="895" spans="1:27" ht="15.75" customHeight="1" x14ac:dyDescent="0.3">
      <c r="A895" s="2501"/>
      <c r="B895" s="2501"/>
      <c r="C895" s="2501"/>
      <c r="D895" s="2501"/>
      <c r="E895" s="2501"/>
      <c r="F895" s="2501"/>
      <c r="G895" s="2501"/>
      <c r="H895" s="2501"/>
      <c r="I895" s="2501"/>
      <c r="J895" s="2501"/>
      <c r="K895" s="2501"/>
      <c r="L895" s="2501"/>
      <c r="M895" s="2501"/>
      <c r="N895" s="2501"/>
      <c r="O895" s="2501"/>
      <c r="P895" s="2501"/>
      <c r="Q895" s="2501"/>
      <c r="R895" s="2501"/>
      <c r="S895" s="2501"/>
      <c r="T895" s="2501"/>
      <c r="U895" s="2501"/>
      <c r="V895" s="2501"/>
      <c r="W895" s="2501"/>
      <c r="X895" s="2501"/>
      <c r="Y895" s="2501"/>
      <c r="Z895" s="2501"/>
      <c r="AA895" s="2501"/>
    </row>
    <row r="896" spans="1:27" ht="15.75" customHeight="1" x14ac:dyDescent="0.3">
      <c r="A896" s="2501"/>
      <c r="B896" s="2501"/>
      <c r="C896" s="2501"/>
      <c r="D896" s="2501"/>
      <c r="E896" s="2501"/>
      <c r="F896" s="2501"/>
      <c r="G896" s="2501"/>
      <c r="H896" s="2501"/>
      <c r="I896" s="2501"/>
      <c r="J896" s="2501"/>
      <c r="K896" s="2501"/>
      <c r="L896" s="2501"/>
      <c r="M896" s="2501"/>
      <c r="N896" s="2501"/>
      <c r="O896" s="2501"/>
      <c r="P896" s="2501"/>
      <c r="Q896" s="2501"/>
      <c r="R896" s="2501"/>
      <c r="S896" s="2501"/>
      <c r="T896" s="2501"/>
      <c r="U896" s="2501"/>
      <c r="V896" s="2501"/>
      <c r="W896" s="2501"/>
      <c r="X896" s="2501"/>
      <c r="Y896" s="2501"/>
      <c r="Z896" s="2501"/>
      <c r="AA896" s="2501"/>
    </row>
    <row r="897" spans="1:27" ht="15.75" customHeight="1" x14ac:dyDescent="0.3">
      <c r="A897" s="2501"/>
      <c r="B897" s="2501"/>
      <c r="C897" s="2501"/>
      <c r="D897" s="2501"/>
      <c r="E897" s="2501"/>
      <c r="F897" s="2501"/>
      <c r="G897" s="2501"/>
      <c r="H897" s="2501"/>
      <c r="I897" s="2501"/>
      <c r="J897" s="2501"/>
      <c r="K897" s="2501"/>
      <c r="L897" s="2501"/>
      <c r="M897" s="2501"/>
      <c r="N897" s="2501"/>
      <c r="O897" s="2501"/>
      <c r="P897" s="2501"/>
      <c r="Q897" s="2501"/>
      <c r="R897" s="2501"/>
      <c r="S897" s="2501"/>
      <c r="T897" s="2501"/>
      <c r="U897" s="2501"/>
      <c r="V897" s="2501"/>
      <c r="W897" s="2501"/>
      <c r="X897" s="2501"/>
      <c r="Y897" s="2501"/>
      <c r="Z897" s="2501"/>
      <c r="AA897" s="2501"/>
    </row>
    <row r="898" spans="1:27" ht="15.75" customHeight="1" x14ac:dyDescent="0.3">
      <c r="A898" s="2501"/>
      <c r="B898" s="2501"/>
      <c r="C898" s="2501"/>
      <c r="D898" s="2501"/>
      <c r="E898" s="2501"/>
      <c r="F898" s="2501"/>
      <c r="G898" s="2501"/>
      <c r="H898" s="2501"/>
      <c r="I898" s="2501"/>
      <c r="J898" s="2501"/>
      <c r="K898" s="2501"/>
      <c r="L898" s="2501"/>
      <c r="M898" s="2501"/>
      <c r="N898" s="2501"/>
      <c r="O898" s="2501"/>
      <c r="P898" s="2501"/>
      <c r="Q898" s="2501"/>
      <c r="R898" s="2501"/>
      <c r="S898" s="2501"/>
      <c r="T898" s="2501"/>
      <c r="U898" s="2501"/>
      <c r="V898" s="2501"/>
      <c r="W898" s="2501"/>
      <c r="X898" s="2501"/>
      <c r="Y898" s="2501"/>
      <c r="Z898" s="2501"/>
      <c r="AA898" s="2501"/>
    </row>
    <row r="899" spans="1:27" ht="15.75" customHeight="1" x14ac:dyDescent="0.3">
      <c r="A899" s="2501"/>
      <c r="B899" s="2501"/>
      <c r="C899" s="2501"/>
      <c r="D899" s="2501"/>
      <c r="E899" s="2501"/>
      <c r="F899" s="2501"/>
      <c r="G899" s="2501"/>
      <c r="H899" s="2501"/>
      <c r="I899" s="2501"/>
      <c r="J899" s="2501"/>
      <c r="K899" s="2501"/>
      <c r="L899" s="2501"/>
      <c r="M899" s="2501"/>
      <c r="N899" s="2501"/>
      <c r="O899" s="2501"/>
      <c r="P899" s="2501"/>
      <c r="Q899" s="2501"/>
      <c r="R899" s="2501"/>
      <c r="S899" s="2501"/>
      <c r="T899" s="2501"/>
      <c r="U899" s="2501"/>
      <c r="V899" s="2501"/>
      <c r="W899" s="2501"/>
      <c r="X899" s="2501"/>
      <c r="Y899" s="2501"/>
      <c r="Z899" s="2501"/>
      <c r="AA899" s="2501"/>
    </row>
    <row r="900" spans="1:27" ht="15.75" customHeight="1" x14ac:dyDescent="0.3">
      <c r="A900" s="2501"/>
      <c r="B900" s="2501"/>
      <c r="C900" s="2501"/>
      <c r="D900" s="2501"/>
      <c r="E900" s="2501"/>
      <c r="F900" s="2501"/>
      <c r="G900" s="2501"/>
      <c r="H900" s="2501"/>
      <c r="I900" s="2501"/>
      <c r="J900" s="2501"/>
      <c r="K900" s="2501"/>
      <c r="L900" s="2501"/>
      <c r="M900" s="2501"/>
      <c r="N900" s="2501"/>
      <c r="O900" s="2501"/>
      <c r="P900" s="2501"/>
      <c r="Q900" s="2501"/>
      <c r="R900" s="2501"/>
      <c r="S900" s="2501"/>
      <c r="T900" s="2501"/>
      <c r="U900" s="2501"/>
      <c r="V900" s="2501"/>
      <c r="W900" s="2501"/>
      <c r="X900" s="2501"/>
      <c r="Y900" s="2501"/>
      <c r="Z900" s="2501"/>
      <c r="AA900" s="2501"/>
    </row>
    <row r="901" spans="1:27" ht="15.75" customHeight="1" x14ac:dyDescent="0.3">
      <c r="A901" s="2501"/>
      <c r="B901" s="2501"/>
      <c r="C901" s="2501"/>
      <c r="D901" s="2501"/>
      <c r="E901" s="2501"/>
      <c r="F901" s="2501"/>
      <c r="G901" s="2501"/>
      <c r="H901" s="2501"/>
      <c r="I901" s="2501"/>
      <c r="J901" s="2501"/>
      <c r="K901" s="2501"/>
      <c r="L901" s="2501"/>
      <c r="M901" s="2501"/>
      <c r="N901" s="2501"/>
      <c r="O901" s="2501"/>
      <c r="P901" s="2501"/>
      <c r="Q901" s="2501"/>
      <c r="R901" s="2501"/>
      <c r="S901" s="2501"/>
      <c r="T901" s="2501"/>
      <c r="U901" s="2501"/>
      <c r="V901" s="2501"/>
      <c r="W901" s="2501"/>
      <c r="X901" s="2501"/>
      <c r="Y901" s="2501"/>
      <c r="Z901" s="2501"/>
      <c r="AA901" s="2501"/>
    </row>
    <row r="902" spans="1:27" ht="15.75" customHeight="1" x14ac:dyDescent="0.3">
      <c r="A902" s="2501"/>
      <c r="B902" s="2501"/>
      <c r="C902" s="2501"/>
      <c r="D902" s="2501"/>
      <c r="E902" s="2501"/>
      <c r="F902" s="2501"/>
      <c r="G902" s="2501"/>
      <c r="H902" s="2501"/>
      <c r="I902" s="2501"/>
      <c r="J902" s="2501"/>
      <c r="K902" s="2501"/>
      <c r="L902" s="2501"/>
      <c r="M902" s="2501"/>
      <c r="N902" s="2501"/>
      <c r="O902" s="2501"/>
      <c r="P902" s="2501"/>
      <c r="Q902" s="2501"/>
      <c r="R902" s="2501"/>
      <c r="S902" s="2501"/>
      <c r="T902" s="2501"/>
      <c r="U902" s="2501"/>
      <c r="V902" s="2501"/>
      <c r="W902" s="2501"/>
      <c r="X902" s="2501"/>
      <c r="Y902" s="2501"/>
      <c r="Z902" s="2501"/>
      <c r="AA902" s="2501"/>
    </row>
    <row r="903" spans="1:27" ht="15.75" customHeight="1" x14ac:dyDescent="0.3">
      <c r="A903" s="2501"/>
      <c r="B903" s="2501"/>
      <c r="C903" s="2501"/>
      <c r="D903" s="2501"/>
      <c r="E903" s="2501"/>
      <c r="F903" s="2501"/>
      <c r="G903" s="2501"/>
      <c r="H903" s="2501"/>
      <c r="I903" s="2501"/>
      <c r="J903" s="2501"/>
      <c r="K903" s="2501"/>
      <c r="L903" s="2501"/>
      <c r="M903" s="2501"/>
      <c r="N903" s="2501"/>
      <c r="O903" s="2501"/>
      <c r="P903" s="2501"/>
      <c r="Q903" s="2501"/>
      <c r="R903" s="2501"/>
      <c r="S903" s="2501"/>
      <c r="T903" s="2501"/>
      <c r="U903" s="2501"/>
      <c r="V903" s="2501"/>
      <c r="W903" s="2501"/>
      <c r="X903" s="2501"/>
      <c r="Y903" s="2501"/>
      <c r="Z903" s="2501"/>
      <c r="AA903" s="2501"/>
    </row>
    <row r="904" spans="1:27" ht="15.75" customHeight="1" x14ac:dyDescent="0.3">
      <c r="A904" s="2501"/>
      <c r="B904" s="2501"/>
      <c r="C904" s="2501"/>
      <c r="D904" s="2501"/>
      <c r="E904" s="2501"/>
      <c r="F904" s="2501"/>
      <c r="G904" s="2501"/>
      <c r="H904" s="2501"/>
      <c r="I904" s="2501"/>
      <c r="J904" s="2501"/>
      <c r="K904" s="2501"/>
      <c r="L904" s="2501"/>
      <c r="M904" s="2501"/>
      <c r="N904" s="2501"/>
      <c r="O904" s="2501"/>
      <c r="P904" s="2501"/>
      <c r="Q904" s="2501"/>
      <c r="R904" s="2501"/>
      <c r="S904" s="2501"/>
      <c r="T904" s="2501"/>
      <c r="U904" s="2501"/>
      <c r="V904" s="2501"/>
      <c r="W904" s="2501"/>
      <c r="X904" s="2501"/>
      <c r="Y904" s="2501"/>
      <c r="Z904" s="2501"/>
      <c r="AA904" s="2501"/>
    </row>
    <row r="905" spans="1:27" ht="15.75" customHeight="1" x14ac:dyDescent="0.3">
      <c r="A905" s="2501"/>
      <c r="B905" s="2501"/>
      <c r="C905" s="2501"/>
      <c r="D905" s="2501"/>
      <c r="E905" s="2501"/>
      <c r="F905" s="2501"/>
      <c r="G905" s="2501"/>
      <c r="H905" s="2501"/>
      <c r="I905" s="2501"/>
      <c r="J905" s="2501"/>
      <c r="K905" s="2501"/>
      <c r="L905" s="2501"/>
      <c r="M905" s="2501"/>
      <c r="N905" s="2501"/>
      <c r="O905" s="2501"/>
      <c r="P905" s="2501"/>
      <c r="Q905" s="2501"/>
      <c r="R905" s="2501"/>
      <c r="S905" s="2501"/>
      <c r="T905" s="2501"/>
      <c r="U905" s="2501"/>
      <c r="V905" s="2501"/>
      <c r="W905" s="2501"/>
      <c r="X905" s="2501"/>
      <c r="Y905" s="2501"/>
      <c r="Z905" s="2501"/>
      <c r="AA905" s="2501"/>
    </row>
    <row r="906" spans="1:27" ht="15.75" customHeight="1" x14ac:dyDescent="0.3">
      <c r="A906" s="2501"/>
      <c r="B906" s="2501"/>
      <c r="C906" s="2501"/>
      <c r="D906" s="2501"/>
      <c r="E906" s="2501"/>
      <c r="F906" s="2501"/>
      <c r="G906" s="2501"/>
      <c r="H906" s="2501"/>
      <c r="I906" s="2501"/>
      <c r="J906" s="2501"/>
      <c r="K906" s="2501"/>
      <c r="L906" s="2501"/>
      <c r="M906" s="2501"/>
      <c r="N906" s="2501"/>
      <c r="O906" s="2501"/>
      <c r="P906" s="2501"/>
      <c r="Q906" s="2501"/>
      <c r="R906" s="2501"/>
      <c r="S906" s="2501"/>
      <c r="T906" s="2501"/>
      <c r="U906" s="2501"/>
      <c r="V906" s="2501"/>
      <c r="W906" s="2501"/>
      <c r="X906" s="2501"/>
      <c r="Y906" s="2501"/>
      <c r="Z906" s="2501"/>
      <c r="AA906" s="2501"/>
    </row>
    <row r="907" spans="1:27" ht="15.75" customHeight="1" x14ac:dyDescent="0.3">
      <c r="A907" s="2501"/>
      <c r="B907" s="2501"/>
      <c r="C907" s="2501"/>
      <c r="D907" s="2501"/>
      <c r="E907" s="2501"/>
      <c r="F907" s="2501"/>
      <c r="G907" s="2501"/>
      <c r="H907" s="2501"/>
      <c r="I907" s="2501"/>
      <c r="J907" s="2501"/>
      <c r="K907" s="2501"/>
      <c r="L907" s="2501"/>
      <c r="M907" s="2501"/>
      <c r="N907" s="2501"/>
      <c r="O907" s="2501"/>
      <c r="P907" s="2501"/>
      <c r="Q907" s="2501"/>
      <c r="R907" s="2501"/>
      <c r="S907" s="2501"/>
      <c r="T907" s="2501"/>
      <c r="U907" s="2501"/>
      <c r="V907" s="2501"/>
      <c r="W907" s="2501"/>
      <c r="X907" s="2501"/>
      <c r="Y907" s="2501"/>
      <c r="Z907" s="2501"/>
      <c r="AA907" s="2501"/>
    </row>
    <row r="908" spans="1:27" ht="15.75" customHeight="1" x14ac:dyDescent="0.3">
      <c r="A908" s="2501"/>
      <c r="B908" s="2501"/>
      <c r="C908" s="2501"/>
      <c r="D908" s="2501"/>
      <c r="E908" s="2501"/>
      <c r="F908" s="2501"/>
      <c r="G908" s="2501"/>
      <c r="H908" s="2501"/>
      <c r="I908" s="2501"/>
      <c r="J908" s="2501"/>
      <c r="K908" s="2501"/>
      <c r="L908" s="2501"/>
      <c r="M908" s="2501"/>
      <c r="N908" s="2501"/>
      <c r="O908" s="2501"/>
      <c r="P908" s="2501"/>
      <c r="Q908" s="2501"/>
      <c r="R908" s="2501"/>
      <c r="S908" s="2501"/>
      <c r="T908" s="2501"/>
      <c r="U908" s="2501"/>
      <c r="V908" s="2501"/>
      <c r="W908" s="2501"/>
      <c r="X908" s="2501"/>
      <c r="Y908" s="2501"/>
      <c r="Z908" s="2501"/>
      <c r="AA908" s="2501"/>
    </row>
    <row r="909" spans="1:27" ht="15.75" customHeight="1" x14ac:dyDescent="0.3">
      <c r="A909" s="2501"/>
      <c r="B909" s="2501"/>
      <c r="C909" s="2501"/>
      <c r="D909" s="2501"/>
      <c r="E909" s="2501"/>
      <c r="F909" s="2501"/>
      <c r="G909" s="2501"/>
      <c r="H909" s="2501"/>
      <c r="I909" s="2501"/>
      <c r="J909" s="2501"/>
      <c r="K909" s="2501"/>
      <c r="L909" s="2501"/>
      <c r="M909" s="2501"/>
      <c r="N909" s="2501"/>
      <c r="O909" s="2501"/>
      <c r="P909" s="2501"/>
      <c r="Q909" s="2501"/>
      <c r="R909" s="2501"/>
      <c r="S909" s="2501"/>
      <c r="T909" s="2501"/>
      <c r="U909" s="2501"/>
      <c r="V909" s="2501"/>
      <c r="W909" s="2501"/>
      <c r="X909" s="2501"/>
      <c r="Y909" s="2501"/>
      <c r="Z909" s="2501"/>
      <c r="AA909" s="2501"/>
    </row>
    <row r="910" spans="1:27" ht="15.75" customHeight="1" x14ac:dyDescent="0.3">
      <c r="A910" s="2501"/>
      <c r="B910" s="2501"/>
      <c r="C910" s="2501"/>
      <c r="D910" s="2501"/>
      <c r="E910" s="2501"/>
      <c r="F910" s="2501"/>
      <c r="G910" s="2501"/>
      <c r="H910" s="2501"/>
      <c r="I910" s="2501"/>
      <c r="J910" s="2501"/>
      <c r="K910" s="2501"/>
      <c r="L910" s="2501"/>
      <c r="M910" s="2501"/>
      <c r="N910" s="2501"/>
      <c r="O910" s="2501"/>
      <c r="P910" s="2501"/>
      <c r="Q910" s="2501"/>
      <c r="R910" s="2501"/>
      <c r="S910" s="2501"/>
      <c r="T910" s="2501"/>
      <c r="U910" s="2501"/>
      <c r="V910" s="2501"/>
      <c r="W910" s="2501"/>
      <c r="X910" s="2501"/>
      <c r="Y910" s="2501"/>
      <c r="Z910" s="2501"/>
      <c r="AA910" s="2501"/>
    </row>
    <row r="911" spans="1:27" ht="15.75" customHeight="1" x14ac:dyDescent="0.3">
      <c r="A911" s="2501"/>
      <c r="B911" s="2501"/>
      <c r="C911" s="2501"/>
      <c r="D911" s="2501"/>
      <c r="E911" s="2501"/>
      <c r="F911" s="2501"/>
      <c r="G911" s="2501"/>
      <c r="H911" s="2501"/>
      <c r="I911" s="2501"/>
      <c r="J911" s="2501"/>
      <c r="K911" s="2501"/>
      <c r="L911" s="2501"/>
      <c r="M911" s="2501"/>
      <c r="N911" s="2501"/>
      <c r="O911" s="2501"/>
      <c r="P911" s="2501"/>
      <c r="Q911" s="2501"/>
      <c r="R911" s="2501"/>
      <c r="S911" s="2501"/>
      <c r="T911" s="2501"/>
      <c r="U911" s="2501"/>
      <c r="V911" s="2501"/>
      <c r="W911" s="2501"/>
      <c r="X911" s="2501"/>
      <c r="Y911" s="2501"/>
      <c r="Z911" s="2501"/>
      <c r="AA911" s="2501"/>
    </row>
    <row r="912" spans="1:27" ht="15.75" customHeight="1" x14ac:dyDescent="0.3">
      <c r="A912" s="2501"/>
      <c r="B912" s="2501"/>
      <c r="C912" s="2501"/>
      <c r="D912" s="2501"/>
      <c r="E912" s="2501"/>
      <c r="F912" s="2501"/>
      <c r="G912" s="2501"/>
      <c r="H912" s="2501"/>
      <c r="I912" s="2501"/>
      <c r="J912" s="2501"/>
      <c r="K912" s="2501"/>
      <c r="L912" s="2501"/>
      <c r="M912" s="2501"/>
      <c r="N912" s="2501"/>
      <c r="O912" s="2501"/>
      <c r="P912" s="2501"/>
      <c r="Q912" s="2501"/>
      <c r="R912" s="2501"/>
      <c r="S912" s="2501"/>
      <c r="T912" s="2501"/>
      <c r="U912" s="2501"/>
      <c r="V912" s="2501"/>
      <c r="W912" s="2501"/>
      <c r="X912" s="2501"/>
      <c r="Y912" s="2501"/>
      <c r="Z912" s="2501"/>
      <c r="AA912" s="2501"/>
    </row>
    <row r="913" spans="1:27" ht="15.75" customHeight="1" x14ac:dyDescent="0.3">
      <c r="A913" s="2501"/>
      <c r="B913" s="2501"/>
      <c r="C913" s="2501"/>
      <c r="D913" s="2501"/>
      <c r="E913" s="2501"/>
      <c r="F913" s="2501"/>
      <c r="G913" s="2501"/>
      <c r="H913" s="2501"/>
      <c r="I913" s="2501"/>
      <c r="J913" s="2501"/>
      <c r="K913" s="2501"/>
      <c r="L913" s="2501"/>
      <c r="M913" s="2501"/>
      <c r="N913" s="2501"/>
      <c r="O913" s="2501"/>
      <c r="P913" s="2501"/>
      <c r="Q913" s="2501"/>
      <c r="R913" s="2501"/>
      <c r="S913" s="2501"/>
      <c r="T913" s="2501"/>
      <c r="U913" s="2501"/>
      <c r="V913" s="2501"/>
      <c r="W913" s="2501"/>
      <c r="X913" s="2501"/>
      <c r="Y913" s="2501"/>
      <c r="Z913" s="2501"/>
      <c r="AA913" s="2501"/>
    </row>
    <row r="914" spans="1:27" ht="15.75" customHeight="1" x14ac:dyDescent="0.3">
      <c r="A914" s="2501"/>
      <c r="B914" s="2501"/>
      <c r="C914" s="2501"/>
      <c r="D914" s="2501"/>
      <c r="E914" s="2501"/>
      <c r="F914" s="2501"/>
      <c r="G914" s="2501"/>
      <c r="H914" s="2501"/>
      <c r="I914" s="2501"/>
      <c r="J914" s="2501"/>
      <c r="K914" s="2501"/>
      <c r="L914" s="2501"/>
      <c r="M914" s="2501"/>
      <c r="N914" s="2501"/>
      <c r="O914" s="2501"/>
      <c r="P914" s="2501"/>
      <c r="Q914" s="2501"/>
      <c r="R914" s="2501"/>
      <c r="S914" s="2501"/>
      <c r="T914" s="2501"/>
      <c r="U914" s="2501"/>
      <c r="V914" s="2501"/>
      <c r="W914" s="2501"/>
      <c r="X914" s="2501"/>
      <c r="Y914" s="2501"/>
      <c r="Z914" s="2501"/>
      <c r="AA914" s="2501"/>
    </row>
    <row r="915" spans="1:27" ht="15.75" customHeight="1" x14ac:dyDescent="0.3">
      <c r="A915" s="2501"/>
      <c r="B915" s="2501"/>
      <c r="C915" s="2501"/>
      <c r="D915" s="2501"/>
      <c r="E915" s="2501"/>
      <c r="F915" s="2501"/>
      <c r="G915" s="2501"/>
      <c r="H915" s="2501"/>
      <c r="I915" s="2501"/>
      <c r="J915" s="2501"/>
      <c r="K915" s="2501"/>
      <c r="L915" s="2501"/>
      <c r="M915" s="2501"/>
      <c r="N915" s="2501"/>
      <c r="O915" s="2501"/>
      <c r="P915" s="2501"/>
      <c r="Q915" s="2501"/>
      <c r="R915" s="2501"/>
      <c r="S915" s="2501"/>
      <c r="T915" s="2501"/>
      <c r="U915" s="2501"/>
      <c r="V915" s="2501"/>
      <c r="W915" s="2501"/>
      <c r="X915" s="2501"/>
      <c r="Y915" s="2501"/>
      <c r="Z915" s="2501"/>
      <c r="AA915" s="2501"/>
    </row>
    <row r="916" spans="1:27" ht="15.75" customHeight="1" x14ac:dyDescent="0.3">
      <c r="A916" s="2501"/>
      <c r="B916" s="2501"/>
      <c r="C916" s="2501"/>
      <c r="D916" s="2501"/>
      <c r="E916" s="2501"/>
      <c r="F916" s="2501"/>
      <c r="G916" s="2501"/>
      <c r="H916" s="2501"/>
      <c r="I916" s="2501"/>
      <c r="J916" s="2501"/>
      <c r="K916" s="2501"/>
      <c r="L916" s="2501"/>
      <c r="M916" s="2501"/>
      <c r="N916" s="2501"/>
      <c r="O916" s="2501"/>
      <c r="P916" s="2501"/>
      <c r="Q916" s="2501"/>
      <c r="R916" s="2501"/>
      <c r="S916" s="2501"/>
      <c r="T916" s="2501"/>
      <c r="U916" s="2501"/>
      <c r="V916" s="2501"/>
      <c r="W916" s="2501"/>
      <c r="X916" s="2501"/>
      <c r="Y916" s="2501"/>
      <c r="Z916" s="2501"/>
      <c r="AA916" s="2501"/>
    </row>
    <row r="917" spans="1:27" ht="15.75" customHeight="1" x14ac:dyDescent="0.3">
      <c r="A917" s="2501"/>
      <c r="B917" s="2501"/>
      <c r="C917" s="2501"/>
      <c r="D917" s="2501"/>
      <c r="E917" s="2501"/>
      <c r="F917" s="2501"/>
      <c r="G917" s="2501"/>
      <c r="H917" s="2501"/>
      <c r="I917" s="2501"/>
      <c r="J917" s="2501"/>
      <c r="K917" s="2501"/>
      <c r="L917" s="2501"/>
      <c r="M917" s="2501"/>
      <c r="N917" s="2501"/>
      <c r="O917" s="2501"/>
      <c r="P917" s="2501"/>
      <c r="Q917" s="2501"/>
      <c r="R917" s="2501"/>
      <c r="S917" s="2501"/>
      <c r="T917" s="2501"/>
      <c r="U917" s="2501"/>
      <c r="V917" s="2501"/>
      <c r="W917" s="2501"/>
      <c r="X917" s="2501"/>
      <c r="Y917" s="2501"/>
      <c r="Z917" s="2501"/>
      <c r="AA917" s="2501"/>
    </row>
    <row r="918" spans="1:27" ht="15.75" customHeight="1" x14ac:dyDescent="0.3">
      <c r="A918" s="2501"/>
      <c r="B918" s="2501"/>
      <c r="C918" s="2501"/>
      <c r="D918" s="2501"/>
      <c r="E918" s="2501"/>
      <c r="F918" s="2501"/>
      <c r="G918" s="2501"/>
      <c r="H918" s="2501"/>
      <c r="I918" s="2501"/>
      <c r="J918" s="2501"/>
      <c r="K918" s="2501"/>
      <c r="L918" s="2501"/>
      <c r="M918" s="2501"/>
      <c r="N918" s="2501"/>
      <c r="O918" s="2501"/>
      <c r="P918" s="2501"/>
      <c r="Q918" s="2501"/>
      <c r="R918" s="2501"/>
      <c r="S918" s="2501"/>
      <c r="T918" s="2501"/>
      <c r="U918" s="2501"/>
      <c r="V918" s="2501"/>
      <c r="W918" s="2501"/>
      <c r="X918" s="2501"/>
      <c r="Y918" s="2501"/>
      <c r="Z918" s="2501"/>
      <c r="AA918" s="2501"/>
    </row>
    <row r="919" spans="1:27" ht="15.75" customHeight="1" x14ac:dyDescent="0.3">
      <c r="A919" s="2501"/>
      <c r="B919" s="2501"/>
      <c r="C919" s="2501"/>
      <c r="D919" s="2501"/>
      <c r="E919" s="2501"/>
      <c r="F919" s="2501"/>
      <c r="G919" s="2501"/>
      <c r="H919" s="2501"/>
      <c r="I919" s="2501"/>
      <c r="J919" s="2501"/>
      <c r="K919" s="2501"/>
      <c r="L919" s="2501"/>
      <c r="M919" s="2501"/>
      <c r="N919" s="2501"/>
      <c r="O919" s="2501"/>
      <c r="P919" s="2501"/>
      <c r="Q919" s="2501"/>
      <c r="R919" s="2501"/>
      <c r="S919" s="2501"/>
      <c r="T919" s="2501"/>
      <c r="U919" s="2501"/>
      <c r="V919" s="2501"/>
      <c r="W919" s="2501"/>
      <c r="X919" s="2501"/>
      <c r="Y919" s="2501"/>
      <c r="Z919" s="2501"/>
      <c r="AA919" s="2501"/>
    </row>
    <row r="920" spans="1:27" ht="15.75" customHeight="1" x14ac:dyDescent="0.3">
      <c r="A920" s="2501"/>
      <c r="B920" s="2501"/>
      <c r="C920" s="2501"/>
      <c r="D920" s="2501"/>
      <c r="E920" s="2501"/>
      <c r="F920" s="2501"/>
      <c r="G920" s="2501"/>
      <c r="H920" s="2501"/>
      <c r="I920" s="2501"/>
      <c r="J920" s="2501"/>
      <c r="K920" s="2501"/>
      <c r="L920" s="2501"/>
      <c r="M920" s="2501"/>
      <c r="N920" s="2501"/>
      <c r="O920" s="2501"/>
      <c r="P920" s="2501"/>
      <c r="Q920" s="2501"/>
      <c r="R920" s="2501"/>
      <c r="S920" s="2501"/>
      <c r="T920" s="2501"/>
      <c r="U920" s="2501"/>
      <c r="V920" s="2501"/>
      <c r="W920" s="2501"/>
      <c r="X920" s="2501"/>
      <c r="Y920" s="2501"/>
      <c r="Z920" s="2501"/>
      <c r="AA920" s="2501"/>
    </row>
    <row r="921" spans="1:27" ht="15.75" customHeight="1" x14ac:dyDescent="0.3">
      <c r="A921" s="2501"/>
      <c r="B921" s="2501"/>
      <c r="C921" s="2501"/>
      <c r="D921" s="2501"/>
      <c r="E921" s="2501"/>
      <c r="F921" s="2501"/>
      <c r="G921" s="2501"/>
      <c r="H921" s="2501"/>
      <c r="I921" s="2501"/>
      <c r="J921" s="2501"/>
      <c r="K921" s="2501"/>
      <c r="L921" s="2501"/>
      <c r="M921" s="2501"/>
      <c r="N921" s="2501"/>
      <c r="O921" s="2501"/>
      <c r="P921" s="2501"/>
      <c r="Q921" s="2501"/>
      <c r="R921" s="2501"/>
      <c r="S921" s="2501"/>
      <c r="T921" s="2501"/>
      <c r="U921" s="2501"/>
      <c r="V921" s="2501"/>
      <c r="W921" s="2501"/>
      <c r="X921" s="2501"/>
      <c r="Y921" s="2501"/>
      <c r="Z921" s="2501"/>
      <c r="AA921" s="2501"/>
    </row>
    <row r="922" spans="1:27" ht="15.75" customHeight="1" x14ac:dyDescent="0.3">
      <c r="A922" s="2501"/>
      <c r="B922" s="2501"/>
      <c r="C922" s="2501"/>
      <c r="D922" s="2501"/>
      <c r="E922" s="2501"/>
      <c r="F922" s="2501"/>
      <c r="G922" s="2501"/>
      <c r="H922" s="2501"/>
      <c r="I922" s="2501"/>
      <c r="J922" s="2501"/>
      <c r="K922" s="2501"/>
      <c r="L922" s="2501"/>
      <c r="M922" s="2501"/>
      <c r="N922" s="2501"/>
      <c r="O922" s="2501"/>
      <c r="P922" s="2501"/>
      <c r="Q922" s="2501"/>
      <c r="R922" s="2501"/>
      <c r="S922" s="2501"/>
      <c r="T922" s="2501"/>
      <c r="U922" s="2501"/>
      <c r="V922" s="2501"/>
      <c r="W922" s="2501"/>
      <c r="X922" s="2501"/>
      <c r="Y922" s="2501"/>
      <c r="Z922" s="2501"/>
      <c r="AA922" s="2501"/>
    </row>
    <row r="923" spans="1:27" ht="15.75" customHeight="1" x14ac:dyDescent="0.3">
      <c r="A923" s="2501"/>
      <c r="B923" s="2501"/>
      <c r="C923" s="2501"/>
      <c r="D923" s="2501"/>
      <c r="E923" s="2501"/>
      <c r="F923" s="2501"/>
      <c r="G923" s="2501"/>
      <c r="H923" s="2501"/>
      <c r="I923" s="2501"/>
      <c r="J923" s="2501"/>
      <c r="K923" s="2501"/>
      <c r="L923" s="2501"/>
      <c r="M923" s="2501"/>
      <c r="N923" s="2501"/>
      <c r="O923" s="2501"/>
      <c r="P923" s="2501"/>
      <c r="Q923" s="2501"/>
      <c r="R923" s="2501"/>
      <c r="S923" s="2501"/>
      <c r="T923" s="2501"/>
      <c r="U923" s="2501"/>
      <c r="V923" s="2501"/>
      <c r="W923" s="2501"/>
      <c r="X923" s="2501"/>
      <c r="Y923" s="2501"/>
      <c r="Z923" s="2501"/>
      <c r="AA923" s="2501"/>
    </row>
    <row r="924" spans="1:27" ht="15.75" customHeight="1" x14ac:dyDescent="0.3">
      <c r="A924" s="2501"/>
      <c r="B924" s="2501"/>
      <c r="C924" s="2501"/>
      <c r="D924" s="2501"/>
      <c r="E924" s="2501"/>
      <c r="F924" s="2501"/>
      <c r="G924" s="2501"/>
      <c r="H924" s="2501"/>
      <c r="I924" s="2501"/>
      <c r="J924" s="2501"/>
      <c r="K924" s="2501"/>
      <c r="L924" s="2501"/>
      <c r="M924" s="2501"/>
      <c r="N924" s="2501"/>
      <c r="O924" s="2501"/>
      <c r="P924" s="2501"/>
      <c r="Q924" s="2501"/>
      <c r="R924" s="2501"/>
      <c r="S924" s="2501"/>
      <c r="T924" s="2501"/>
      <c r="U924" s="2501"/>
      <c r="V924" s="2501"/>
      <c r="W924" s="2501"/>
      <c r="X924" s="2501"/>
      <c r="Y924" s="2501"/>
      <c r="Z924" s="2501"/>
      <c r="AA924" s="2501"/>
    </row>
    <row r="925" spans="1:27" ht="15.75" customHeight="1" x14ac:dyDescent="0.3">
      <c r="A925" s="2501"/>
      <c r="B925" s="2501"/>
      <c r="C925" s="2501"/>
      <c r="D925" s="2501"/>
      <c r="E925" s="2501"/>
      <c r="F925" s="2501"/>
      <c r="G925" s="2501"/>
      <c r="H925" s="2501"/>
      <c r="I925" s="2501"/>
      <c r="J925" s="2501"/>
      <c r="K925" s="2501"/>
      <c r="L925" s="2501"/>
      <c r="M925" s="2501"/>
      <c r="N925" s="2501"/>
      <c r="O925" s="2501"/>
      <c r="P925" s="2501"/>
      <c r="Q925" s="2501"/>
      <c r="R925" s="2501"/>
      <c r="S925" s="2501"/>
      <c r="T925" s="2501"/>
      <c r="U925" s="2501"/>
      <c r="V925" s="2501"/>
      <c r="W925" s="2501"/>
      <c r="X925" s="2501"/>
      <c r="Y925" s="2501"/>
      <c r="Z925" s="2501"/>
      <c r="AA925" s="2501"/>
    </row>
    <row r="926" spans="1:27" ht="15.75" customHeight="1" x14ac:dyDescent="0.3">
      <c r="A926" s="2501"/>
      <c r="B926" s="2501"/>
      <c r="C926" s="2501"/>
      <c r="D926" s="2501"/>
      <c r="E926" s="2501"/>
      <c r="F926" s="2501"/>
      <c r="G926" s="2501"/>
      <c r="H926" s="2501"/>
      <c r="I926" s="2501"/>
      <c r="J926" s="2501"/>
      <c r="K926" s="2501"/>
      <c r="L926" s="2501"/>
      <c r="M926" s="2501"/>
      <c r="N926" s="2501"/>
      <c r="O926" s="2501"/>
      <c r="P926" s="2501"/>
      <c r="Q926" s="2501"/>
      <c r="R926" s="2501"/>
      <c r="S926" s="2501"/>
      <c r="T926" s="2501"/>
      <c r="U926" s="2501"/>
      <c r="V926" s="2501"/>
      <c r="W926" s="2501"/>
      <c r="X926" s="2501"/>
      <c r="Y926" s="2501"/>
      <c r="Z926" s="2501"/>
      <c r="AA926" s="2501"/>
    </row>
    <row r="927" spans="1:27" ht="15.75" customHeight="1" x14ac:dyDescent="0.3">
      <c r="A927" s="2501"/>
      <c r="B927" s="2501"/>
      <c r="C927" s="2501"/>
      <c r="D927" s="2501"/>
      <c r="E927" s="2501"/>
      <c r="F927" s="2501"/>
      <c r="G927" s="2501"/>
      <c r="H927" s="2501"/>
      <c r="I927" s="2501"/>
      <c r="J927" s="2501"/>
      <c r="K927" s="2501"/>
      <c r="L927" s="2501"/>
      <c r="M927" s="2501"/>
      <c r="N927" s="2501"/>
      <c r="O927" s="2501"/>
      <c r="P927" s="2501"/>
      <c r="Q927" s="2501"/>
      <c r="R927" s="2501"/>
      <c r="S927" s="2501"/>
      <c r="T927" s="2501"/>
      <c r="U927" s="2501"/>
      <c r="V927" s="2501"/>
      <c r="W927" s="2501"/>
      <c r="X927" s="2501"/>
      <c r="Y927" s="2501"/>
      <c r="Z927" s="2501"/>
      <c r="AA927" s="2501"/>
    </row>
    <row r="928" spans="1:27" ht="15.75" customHeight="1" x14ac:dyDescent="0.3">
      <c r="A928" s="2501"/>
      <c r="B928" s="2501"/>
      <c r="C928" s="2501"/>
      <c r="D928" s="2501"/>
      <c r="E928" s="2501"/>
      <c r="F928" s="2501"/>
      <c r="G928" s="2501"/>
      <c r="H928" s="2501"/>
      <c r="I928" s="2501"/>
      <c r="J928" s="2501"/>
      <c r="K928" s="2501"/>
      <c r="L928" s="2501"/>
      <c r="M928" s="2501"/>
      <c r="N928" s="2501"/>
      <c r="O928" s="2501"/>
      <c r="P928" s="2501"/>
      <c r="Q928" s="2501"/>
      <c r="R928" s="2501"/>
      <c r="S928" s="2501"/>
      <c r="T928" s="2501"/>
      <c r="U928" s="2501"/>
      <c r="V928" s="2501"/>
      <c r="W928" s="2501"/>
      <c r="X928" s="2501"/>
      <c r="Y928" s="2501"/>
      <c r="Z928" s="2501"/>
      <c r="AA928" s="2501"/>
    </row>
    <row r="929" spans="1:27" ht="15.75" customHeight="1" x14ac:dyDescent="0.3">
      <c r="A929" s="2501"/>
      <c r="B929" s="2501"/>
      <c r="C929" s="2501"/>
      <c r="D929" s="2501"/>
      <c r="E929" s="2501"/>
      <c r="F929" s="2501"/>
      <c r="G929" s="2501"/>
      <c r="H929" s="2501"/>
      <c r="I929" s="2501"/>
      <c r="J929" s="2501"/>
      <c r="K929" s="2501"/>
      <c r="L929" s="2501"/>
      <c r="M929" s="2501"/>
      <c r="N929" s="2501"/>
      <c r="O929" s="2501"/>
      <c r="P929" s="2501"/>
      <c r="Q929" s="2501"/>
      <c r="R929" s="2501"/>
      <c r="S929" s="2501"/>
      <c r="T929" s="2501"/>
      <c r="U929" s="2501"/>
      <c r="V929" s="2501"/>
      <c r="W929" s="2501"/>
      <c r="X929" s="2501"/>
      <c r="Y929" s="2501"/>
      <c r="Z929" s="2501"/>
      <c r="AA929" s="2501"/>
    </row>
    <row r="930" spans="1:27" ht="15.75" customHeight="1" x14ac:dyDescent="0.3">
      <c r="A930" s="2501"/>
      <c r="B930" s="2501"/>
      <c r="C930" s="2501"/>
      <c r="D930" s="2501"/>
      <c r="E930" s="2501"/>
      <c r="F930" s="2501"/>
      <c r="G930" s="2501"/>
      <c r="H930" s="2501"/>
      <c r="I930" s="2501"/>
      <c r="J930" s="2501"/>
      <c r="K930" s="2501"/>
      <c r="L930" s="2501"/>
      <c r="M930" s="2501"/>
      <c r="N930" s="2501"/>
      <c r="O930" s="2501"/>
      <c r="P930" s="2501"/>
      <c r="Q930" s="2501"/>
      <c r="R930" s="2501"/>
      <c r="S930" s="2501"/>
      <c r="T930" s="2501"/>
      <c r="U930" s="2501"/>
      <c r="V930" s="2501"/>
      <c r="W930" s="2501"/>
      <c r="X930" s="2501"/>
      <c r="Y930" s="2501"/>
      <c r="Z930" s="2501"/>
      <c r="AA930" s="2501"/>
    </row>
    <row r="931" spans="1:27" ht="15.75" customHeight="1" x14ac:dyDescent="0.3">
      <c r="A931" s="2501"/>
      <c r="B931" s="2501"/>
      <c r="C931" s="2501"/>
      <c r="D931" s="2501"/>
      <c r="E931" s="2501"/>
      <c r="F931" s="2501"/>
      <c r="G931" s="2501"/>
      <c r="H931" s="2501"/>
      <c r="I931" s="2501"/>
      <c r="J931" s="2501"/>
      <c r="K931" s="2501"/>
      <c r="L931" s="2501"/>
      <c r="M931" s="2501"/>
      <c r="N931" s="2501"/>
      <c r="O931" s="2501"/>
      <c r="P931" s="2501"/>
      <c r="Q931" s="2501"/>
      <c r="R931" s="2501"/>
      <c r="S931" s="2501"/>
      <c r="T931" s="2501"/>
      <c r="U931" s="2501"/>
      <c r="V931" s="2501"/>
      <c r="W931" s="2501"/>
      <c r="X931" s="2501"/>
      <c r="Y931" s="2501"/>
      <c r="Z931" s="2501"/>
      <c r="AA931" s="2501"/>
    </row>
    <row r="932" spans="1:27" ht="15.75" customHeight="1" x14ac:dyDescent="0.3">
      <c r="A932" s="2501"/>
      <c r="B932" s="2501"/>
      <c r="C932" s="2501"/>
      <c r="D932" s="2501"/>
      <c r="E932" s="2501"/>
      <c r="F932" s="2501"/>
      <c r="G932" s="2501"/>
      <c r="H932" s="2501"/>
      <c r="I932" s="2501"/>
      <c r="J932" s="2501"/>
      <c r="K932" s="2501"/>
      <c r="L932" s="2501"/>
      <c r="M932" s="2501"/>
      <c r="N932" s="2501"/>
      <c r="O932" s="2501"/>
      <c r="P932" s="2501"/>
      <c r="Q932" s="2501"/>
      <c r="R932" s="2501"/>
      <c r="S932" s="2501"/>
      <c r="T932" s="2501"/>
      <c r="U932" s="2501"/>
      <c r="V932" s="2501"/>
      <c r="W932" s="2501"/>
      <c r="X932" s="2501"/>
      <c r="Y932" s="2501"/>
      <c r="Z932" s="2501"/>
      <c r="AA932" s="2501"/>
    </row>
    <row r="933" spans="1:27" ht="15.75" customHeight="1" x14ac:dyDescent="0.3">
      <c r="A933" s="2501"/>
      <c r="B933" s="2501"/>
      <c r="C933" s="2501"/>
      <c r="D933" s="2501"/>
      <c r="E933" s="2501"/>
      <c r="F933" s="2501"/>
      <c r="G933" s="2501"/>
      <c r="H933" s="2501"/>
      <c r="I933" s="2501"/>
      <c r="J933" s="2501"/>
      <c r="K933" s="2501"/>
      <c r="L933" s="2501"/>
      <c r="M933" s="2501"/>
      <c r="N933" s="2501"/>
      <c r="O933" s="2501"/>
      <c r="P933" s="2501"/>
      <c r="Q933" s="2501"/>
      <c r="R933" s="2501"/>
      <c r="S933" s="2501"/>
      <c r="T933" s="2501"/>
      <c r="U933" s="2501"/>
      <c r="V933" s="2501"/>
      <c r="W933" s="2501"/>
      <c r="X933" s="2501"/>
      <c r="Y933" s="2501"/>
      <c r="Z933" s="2501"/>
      <c r="AA933" s="2501"/>
    </row>
    <row r="934" spans="1:27" ht="15.75" customHeight="1" x14ac:dyDescent="0.3">
      <c r="A934" s="2501"/>
      <c r="B934" s="2501"/>
      <c r="C934" s="2501"/>
      <c r="D934" s="2501"/>
      <c r="E934" s="2501"/>
      <c r="F934" s="2501"/>
      <c r="G934" s="2501"/>
      <c r="H934" s="2501"/>
      <c r="I934" s="2501"/>
      <c r="J934" s="2501"/>
      <c r="K934" s="2501"/>
      <c r="L934" s="2501"/>
      <c r="M934" s="2501"/>
      <c r="N934" s="2501"/>
      <c r="O934" s="2501"/>
      <c r="P934" s="2501"/>
      <c r="Q934" s="2501"/>
      <c r="R934" s="2501"/>
      <c r="S934" s="2501"/>
      <c r="T934" s="2501"/>
      <c r="U934" s="2501"/>
      <c r="V934" s="2501"/>
      <c r="W934" s="2501"/>
      <c r="X934" s="2501"/>
      <c r="Y934" s="2501"/>
      <c r="Z934" s="2501"/>
      <c r="AA934" s="2501"/>
    </row>
    <row r="935" spans="1:27" ht="15.75" customHeight="1" x14ac:dyDescent="0.3">
      <c r="A935" s="2501"/>
      <c r="B935" s="2501"/>
      <c r="C935" s="2501"/>
      <c r="D935" s="2501"/>
      <c r="E935" s="2501"/>
      <c r="F935" s="2501"/>
      <c r="G935" s="2501"/>
      <c r="H935" s="2501"/>
      <c r="I935" s="2501"/>
      <c r="J935" s="2501"/>
      <c r="K935" s="2501"/>
      <c r="L935" s="2501"/>
      <c r="M935" s="2501"/>
      <c r="N935" s="2501"/>
      <c r="O935" s="2501"/>
      <c r="P935" s="2501"/>
      <c r="Q935" s="2501"/>
      <c r="R935" s="2501"/>
      <c r="S935" s="2501"/>
      <c r="T935" s="2501"/>
      <c r="U935" s="2501"/>
      <c r="V935" s="2501"/>
      <c r="W935" s="2501"/>
      <c r="X935" s="2501"/>
      <c r="Y935" s="2501"/>
      <c r="Z935" s="2501"/>
      <c r="AA935" s="2501"/>
    </row>
    <row r="936" spans="1:27" ht="15.75" customHeight="1" x14ac:dyDescent="0.3">
      <c r="A936" s="2501"/>
      <c r="B936" s="2501"/>
      <c r="C936" s="2501"/>
      <c r="D936" s="2501"/>
      <c r="E936" s="2501"/>
      <c r="F936" s="2501"/>
      <c r="G936" s="2501"/>
      <c r="H936" s="2501"/>
      <c r="I936" s="2501"/>
      <c r="J936" s="2501"/>
      <c r="K936" s="2501"/>
      <c r="L936" s="2501"/>
      <c r="M936" s="2501"/>
      <c r="N936" s="2501"/>
      <c r="O936" s="2501"/>
      <c r="P936" s="2501"/>
      <c r="Q936" s="2501"/>
      <c r="R936" s="2501"/>
      <c r="S936" s="2501"/>
      <c r="T936" s="2501"/>
      <c r="U936" s="2501"/>
      <c r="V936" s="2501"/>
      <c r="W936" s="2501"/>
      <c r="X936" s="2501"/>
      <c r="Y936" s="2501"/>
      <c r="Z936" s="2501"/>
      <c r="AA936" s="2501"/>
    </row>
    <row r="937" spans="1:27" ht="15.75" customHeight="1" x14ac:dyDescent="0.3">
      <c r="A937" s="2501"/>
      <c r="B937" s="2501"/>
      <c r="C937" s="2501"/>
      <c r="D937" s="2501"/>
      <c r="E937" s="2501"/>
      <c r="F937" s="2501"/>
      <c r="G937" s="2501"/>
      <c r="H937" s="2501"/>
      <c r="I937" s="2501"/>
      <c r="J937" s="2501"/>
      <c r="K937" s="2501"/>
      <c r="L937" s="2501"/>
      <c r="M937" s="2501"/>
      <c r="N937" s="2501"/>
      <c r="O937" s="2501"/>
      <c r="P937" s="2501"/>
      <c r="Q937" s="2501"/>
      <c r="R937" s="2501"/>
      <c r="S937" s="2501"/>
      <c r="T937" s="2501"/>
      <c r="U937" s="2501"/>
      <c r="V937" s="2501"/>
      <c r="W937" s="2501"/>
      <c r="X937" s="2501"/>
      <c r="Y937" s="2501"/>
      <c r="Z937" s="2501"/>
      <c r="AA937" s="2501"/>
    </row>
    <row r="938" spans="1:27" ht="15.75" customHeight="1" x14ac:dyDescent="0.3">
      <c r="A938" s="2501"/>
      <c r="B938" s="2501"/>
      <c r="C938" s="2501"/>
      <c r="D938" s="2501"/>
      <c r="E938" s="2501"/>
      <c r="F938" s="2501"/>
      <c r="G938" s="2501"/>
      <c r="H938" s="2501"/>
      <c r="I938" s="2501"/>
      <c r="J938" s="2501"/>
      <c r="K938" s="2501"/>
      <c r="L938" s="2501"/>
      <c r="M938" s="2501"/>
      <c r="N938" s="2501"/>
      <c r="O938" s="2501"/>
      <c r="P938" s="2501"/>
      <c r="Q938" s="2501"/>
      <c r="R938" s="2501"/>
      <c r="S938" s="2501"/>
      <c r="T938" s="2501"/>
      <c r="U938" s="2501"/>
      <c r="V938" s="2501"/>
      <c r="W938" s="2501"/>
      <c r="X938" s="2501"/>
      <c r="Y938" s="2501"/>
      <c r="Z938" s="2501"/>
      <c r="AA938" s="2501"/>
    </row>
    <row r="939" spans="1:27" ht="15.75" customHeight="1" x14ac:dyDescent="0.3">
      <c r="A939" s="2501"/>
      <c r="B939" s="2501"/>
      <c r="C939" s="2501"/>
      <c r="D939" s="2501"/>
      <c r="E939" s="2501"/>
      <c r="F939" s="2501"/>
      <c r="G939" s="2501"/>
      <c r="H939" s="2501"/>
      <c r="I939" s="2501"/>
      <c r="J939" s="2501"/>
      <c r="K939" s="2501"/>
      <c r="L939" s="2501"/>
      <c r="M939" s="2501"/>
      <c r="N939" s="2501"/>
      <c r="O939" s="2501"/>
      <c r="P939" s="2501"/>
      <c r="Q939" s="2501"/>
      <c r="R939" s="2501"/>
      <c r="S939" s="2501"/>
      <c r="T939" s="2501"/>
      <c r="U939" s="2501"/>
      <c r="V939" s="2501"/>
      <c r="W939" s="2501"/>
      <c r="X939" s="2501"/>
      <c r="Y939" s="2501"/>
      <c r="Z939" s="2501"/>
      <c r="AA939" s="2501"/>
    </row>
    <row r="940" spans="1:27" ht="15.75" customHeight="1" x14ac:dyDescent="0.3">
      <c r="A940" s="2501"/>
      <c r="B940" s="2501"/>
      <c r="C940" s="2501"/>
      <c r="D940" s="2501"/>
      <c r="E940" s="2501"/>
      <c r="F940" s="2501"/>
      <c r="G940" s="2501"/>
      <c r="H940" s="2501"/>
      <c r="I940" s="2501"/>
      <c r="J940" s="2501"/>
      <c r="K940" s="2501"/>
      <c r="L940" s="2501"/>
      <c r="M940" s="2501"/>
      <c r="N940" s="2501"/>
      <c r="O940" s="2501"/>
      <c r="P940" s="2501"/>
      <c r="Q940" s="2501"/>
      <c r="R940" s="2501"/>
      <c r="S940" s="2501"/>
      <c r="T940" s="2501"/>
      <c r="U940" s="2501"/>
      <c r="V940" s="2501"/>
      <c r="W940" s="2501"/>
      <c r="X940" s="2501"/>
      <c r="Y940" s="2501"/>
      <c r="Z940" s="2501"/>
      <c r="AA940" s="2501"/>
    </row>
    <row r="941" spans="1:27" ht="15.75" customHeight="1" x14ac:dyDescent="0.3">
      <c r="A941" s="2501"/>
      <c r="B941" s="2501"/>
      <c r="C941" s="2501"/>
      <c r="D941" s="2501"/>
      <c r="E941" s="2501"/>
      <c r="F941" s="2501"/>
      <c r="G941" s="2501"/>
      <c r="H941" s="2501"/>
      <c r="I941" s="2501"/>
      <c r="J941" s="2501"/>
      <c r="K941" s="2501"/>
      <c r="L941" s="2501"/>
      <c r="M941" s="2501"/>
      <c r="N941" s="2501"/>
      <c r="O941" s="2501"/>
      <c r="P941" s="2501"/>
      <c r="Q941" s="2501"/>
      <c r="R941" s="2501"/>
      <c r="S941" s="2501"/>
      <c r="T941" s="2501"/>
      <c r="U941" s="2501"/>
      <c r="V941" s="2501"/>
      <c r="W941" s="2501"/>
      <c r="X941" s="2501"/>
      <c r="Y941" s="2501"/>
      <c r="Z941" s="2501"/>
      <c r="AA941" s="2501"/>
    </row>
    <row r="942" spans="1:27" ht="15.75" customHeight="1" x14ac:dyDescent="0.3">
      <c r="A942" s="2501"/>
      <c r="B942" s="2501"/>
      <c r="C942" s="2501"/>
      <c r="D942" s="2501"/>
      <c r="E942" s="2501"/>
      <c r="F942" s="2501"/>
      <c r="G942" s="2501"/>
      <c r="H942" s="2501"/>
      <c r="I942" s="2501"/>
      <c r="J942" s="2501"/>
      <c r="K942" s="2501"/>
      <c r="L942" s="2501"/>
      <c r="M942" s="2501"/>
      <c r="N942" s="2501"/>
      <c r="O942" s="2501"/>
      <c r="P942" s="2501"/>
      <c r="Q942" s="2501"/>
      <c r="R942" s="2501"/>
      <c r="S942" s="2501"/>
      <c r="T942" s="2501"/>
      <c r="U942" s="2501"/>
      <c r="V942" s="2501"/>
      <c r="W942" s="2501"/>
      <c r="X942" s="2501"/>
      <c r="Y942" s="2501"/>
      <c r="Z942" s="2501"/>
      <c r="AA942" s="2501"/>
    </row>
    <row r="943" spans="1:27" ht="15.75" customHeight="1" x14ac:dyDescent="0.3">
      <c r="A943" s="2501"/>
      <c r="B943" s="2501"/>
      <c r="C943" s="2501"/>
      <c r="D943" s="2501"/>
      <c r="E943" s="2501"/>
      <c r="F943" s="2501"/>
      <c r="G943" s="2501"/>
      <c r="H943" s="2501"/>
      <c r="I943" s="2501"/>
      <c r="J943" s="2501"/>
      <c r="K943" s="2501"/>
      <c r="L943" s="2501"/>
      <c r="M943" s="2501"/>
      <c r="N943" s="2501"/>
      <c r="O943" s="2501"/>
      <c r="P943" s="2501"/>
      <c r="Q943" s="2501"/>
      <c r="R943" s="2501"/>
      <c r="S943" s="2501"/>
      <c r="T943" s="2501"/>
      <c r="U943" s="2501"/>
      <c r="V943" s="2501"/>
      <c r="W943" s="2501"/>
      <c r="X943" s="2501"/>
      <c r="Y943" s="2501"/>
      <c r="Z943" s="2501"/>
      <c r="AA943" s="2501"/>
    </row>
    <row r="944" spans="1:27" ht="15.75" customHeight="1" x14ac:dyDescent="0.3">
      <c r="A944" s="2501"/>
      <c r="B944" s="2501"/>
      <c r="C944" s="2501"/>
      <c r="D944" s="2501"/>
      <c r="E944" s="2501"/>
      <c r="F944" s="2501"/>
      <c r="G944" s="2501"/>
      <c r="H944" s="2501"/>
      <c r="I944" s="2501"/>
      <c r="J944" s="2501"/>
      <c r="K944" s="2501"/>
      <c r="L944" s="2501"/>
      <c r="M944" s="2501"/>
      <c r="N944" s="2501"/>
      <c r="O944" s="2501"/>
      <c r="P944" s="2501"/>
      <c r="Q944" s="2501"/>
      <c r="R944" s="2501"/>
      <c r="S944" s="2501"/>
      <c r="T944" s="2501"/>
      <c r="U944" s="2501"/>
      <c r="V944" s="2501"/>
      <c r="W944" s="2501"/>
      <c r="X944" s="2501"/>
      <c r="Y944" s="2501"/>
      <c r="Z944" s="2501"/>
      <c r="AA944" s="2501"/>
    </row>
    <row r="945" spans="1:27" ht="15.75" customHeight="1" x14ac:dyDescent="0.3">
      <c r="A945" s="2501"/>
      <c r="B945" s="2501"/>
      <c r="C945" s="2501"/>
      <c r="D945" s="2501"/>
      <c r="E945" s="2501"/>
      <c r="F945" s="2501"/>
      <c r="G945" s="2501"/>
      <c r="H945" s="2501"/>
      <c r="I945" s="2501"/>
      <c r="J945" s="2501"/>
      <c r="K945" s="2501"/>
      <c r="L945" s="2501"/>
      <c r="M945" s="2501"/>
      <c r="N945" s="2501"/>
      <c r="O945" s="2501"/>
      <c r="P945" s="2501"/>
      <c r="Q945" s="2501"/>
      <c r="R945" s="2501"/>
      <c r="S945" s="2501"/>
      <c r="T945" s="2501"/>
      <c r="U945" s="2501"/>
      <c r="V945" s="2501"/>
      <c r="W945" s="2501"/>
      <c r="X945" s="2501"/>
      <c r="Y945" s="2501"/>
      <c r="Z945" s="2501"/>
      <c r="AA945" s="2501"/>
    </row>
    <row r="946" spans="1:27" ht="15.75" customHeight="1" x14ac:dyDescent="0.3">
      <c r="A946" s="2501"/>
      <c r="B946" s="2501"/>
      <c r="C946" s="2501"/>
      <c r="D946" s="2501"/>
      <c r="E946" s="2501"/>
      <c r="F946" s="2501"/>
      <c r="G946" s="2501"/>
      <c r="H946" s="2501"/>
      <c r="I946" s="2501"/>
      <c r="J946" s="2501"/>
      <c r="K946" s="2501"/>
      <c r="L946" s="2501"/>
      <c r="M946" s="2501"/>
      <c r="N946" s="2501"/>
      <c r="O946" s="2501"/>
      <c r="P946" s="2501"/>
      <c r="Q946" s="2501"/>
      <c r="R946" s="2501"/>
      <c r="S946" s="2501"/>
      <c r="T946" s="2501"/>
      <c r="U946" s="2501"/>
      <c r="V946" s="2501"/>
      <c r="W946" s="2501"/>
      <c r="X946" s="2501"/>
      <c r="Y946" s="2501"/>
      <c r="Z946" s="2501"/>
      <c r="AA946" s="2501"/>
    </row>
    <row r="947" spans="1:27" ht="15.75" customHeight="1" x14ac:dyDescent="0.3">
      <c r="A947" s="2501"/>
      <c r="B947" s="2501"/>
      <c r="C947" s="2501"/>
      <c r="D947" s="2501"/>
      <c r="E947" s="2501"/>
      <c r="F947" s="2501"/>
      <c r="G947" s="2501"/>
      <c r="H947" s="2501"/>
      <c r="I947" s="2501"/>
      <c r="J947" s="2501"/>
      <c r="K947" s="2501"/>
      <c r="L947" s="2501"/>
      <c r="M947" s="2501"/>
      <c r="N947" s="2501"/>
      <c r="O947" s="2501"/>
      <c r="P947" s="2501"/>
      <c r="Q947" s="2501"/>
      <c r="R947" s="2501"/>
      <c r="S947" s="2501"/>
      <c r="T947" s="2501"/>
      <c r="U947" s="2501"/>
      <c r="V947" s="2501"/>
      <c r="W947" s="2501"/>
      <c r="X947" s="2501"/>
      <c r="Y947" s="2501"/>
      <c r="Z947" s="2501"/>
      <c r="AA947" s="2501"/>
    </row>
    <row r="948" spans="1:27" ht="15.75" customHeight="1" x14ac:dyDescent="0.3">
      <c r="A948" s="2501"/>
      <c r="B948" s="2501"/>
      <c r="C948" s="2501"/>
      <c r="D948" s="2501"/>
      <c r="E948" s="2501"/>
      <c r="F948" s="2501"/>
      <c r="G948" s="2501"/>
      <c r="H948" s="2501"/>
      <c r="I948" s="2501"/>
      <c r="J948" s="2501"/>
      <c r="K948" s="2501"/>
      <c r="L948" s="2501"/>
      <c r="M948" s="2501"/>
      <c r="N948" s="2501"/>
      <c r="O948" s="2501"/>
      <c r="P948" s="2501"/>
      <c r="Q948" s="2501"/>
      <c r="R948" s="2501"/>
      <c r="S948" s="2501"/>
      <c r="T948" s="2501"/>
      <c r="U948" s="2501"/>
      <c r="V948" s="2501"/>
      <c r="W948" s="2501"/>
      <c r="X948" s="2501"/>
      <c r="Y948" s="2501"/>
      <c r="Z948" s="2501"/>
      <c r="AA948" s="2501"/>
    </row>
    <row r="949" spans="1:27" ht="15.75" customHeight="1" x14ac:dyDescent="0.3">
      <c r="A949" s="2501"/>
      <c r="B949" s="2501"/>
      <c r="C949" s="2501"/>
      <c r="D949" s="2501"/>
      <c r="E949" s="2501"/>
      <c r="F949" s="2501"/>
      <c r="G949" s="2501"/>
      <c r="H949" s="2501"/>
      <c r="I949" s="2501"/>
      <c r="J949" s="2501"/>
      <c r="K949" s="2501"/>
      <c r="L949" s="2501"/>
      <c r="M949" s="2501"/>
      <c r="N949" s="2501"/>
      <c r="O949" s="2501"/>
      <c r="P949" s="2501"/>
      <c r="Q949" s="2501"/>
      <c r="R949" s="2501"/>
      <c r="S949" s="2501"/>
      <c r="T949" s="2501"/>
      <c r="U949" s="2501"/>
      <c r="V949" s="2501"/>
      <c r="W949" s="2501"/>
      <c r="X949" s="2501"/>
      <c r="Y949" s="2501"/>
      <c r="Z949" s="2501"/>
      <c r="AA949" s="2501"/>
    </row>
    <row r="950" spans="1:27" ht="15.75" customHeight="1" x14ac:dyDescent="0.3">
      <c r="A950" s="2501"/>
      <c r="B950" s="2501"/>
      <c r="C950" s="2501"/>
      <c r="D950" s="2501"/>
      <c r="E950" s="2501"/>
      <c r="F950" s="2501"/>
      <c r="G950" s="2501"/>
      <c r="H950" s="2501"/>
      <c r="I950" s="2501"/>
      <c r="J950" s="2501"/>
      <c r="K950" s="2501"/>
      <c r="L950" s="2501"/>
      <c r="M950" s="2501"/>
      <c r="N950" s="2501"/>
      <c r="O950" s="2501"/>
      <c r="P950" s="2501"/>
      <c r="Q950" s="2501"/>
      <c r="R950" s="2501"/>
      <c r="S950" s="2501"/>
      <c r="T950" s="2501"/>
      <c r="U950" s="2501"/>
      <c r="V950" s="2501"/>
      <c r="W950" s="2501"/>
      <c r="X950" s="2501"/>
      <c r="Y950" s="2501"/>
      <c r="Z950" s="2501"/>
      <c r="AA950" s="2501"/>
    </row>
    <row r="951" spans="1:27" ht="15.75" customHeight="1" x14ac:dyDescent="0.3">
      <c r="A951" s="2501"/>
      <c r="B951" s="2501"/>
      <c r="C951" s="2501"/>
      <c r="D951" s="2501"/>
      <c r="E951" s="2501"/>
      <c r="F951" s="2501"/>
      <c r="G951" s="2501"/>
      <c r="H951" s="2501"/>
      <c r="I951" s="2501"/>
      <c r="J951" s="2501"/>
      <c r="K951" s="2501"/>
      <c r="L951" s="2501"/>
      <c r="M951" s="2501"/>
      <c r="N951" s="2501"/>
      <c r="O951" s="2501"/>
      <c r="P951" s="2501"/>
      <c r="Q951" s="2501"/>
      <c r="R951" s="2501"/>
      <c r="S951" s="2501"/>
      <c r="T951" s="2501"/>
      <c r="U951" s="2501"/>
      <c r="V951" s="2501"/>
      <c r="W951" s="2501"/>
      <c r="X951" s="2501"/>
      <c r="Y951" s="2501"/>
      <c r="Z951" s="2501"/>
      <c r="AA951" s="2501"/>
    </row>
    <row r="952" spans="1:27" ht="15.75" customHeight="1" x14ac:dyDescent="0.3">
      <c r="A952" s="2501"/>
      <c r="B952" s="2501"/>
      <c r="C952" s="2501"/>
      <c r="D952" s="2501"/>
      <c r="E952" s="2501"/>
      <c r="F952" s="2501"/>
      <c r="G952" s="2501"/>
      <c r="H952" s="2501"/>
      <c r="I952" s="2501"/>
      <c r="J952" s="2501"/>
      <c r="K952" s="2501"/>
      <c r="L952" s="2501"/>
      <c r="M952" s="2501"/>
      <c r="N952" s="2501"/>
      <c r="O952" s="2501"/>
      <c r="P952" s="2501"/>
      <c r="Q952" s="2501"/>
      <c r="R952" s="2501"/>
      <c r="S952" s="2501"/>
      <c r="T952" s="2501"/>
      <c r="U952" s="2501"/>
      <c r="V952" s="2501"/>
      <c r="W952" s="2501"/>
      <c r="X952" s="2501"/>
      <c r="Y952" s="2501"/>
      <c r="Z952" s="2501"/>
      <c r="AA952" s="2501"/>
    </row>
  </sheetData>
  <mergeCells count="1">
    <mergeCell ref="B2:O2"/>
  </mergeCells>
  <pageMargins left="0.7" right="0.7" top="0.75" bottom="0.75" header="0" footer="0"/>
  <pageSetup paperSize="9" scale="53" fitToHeight="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0070C0"/>
  </sheetPr>
  <dimension ref="A2:N18"/>
  <sheetViews>
    <sheetView workbookViewId="0">
      <selection activeCell="O30" sqref="O30"/>
    </sheetView>
  </sheetViews>
  <sheetFormatPr defaultColWidth="9.109375" defaultRowHeight="14.4" x14ac:dyDescent="0.3"/>
  <cols>
    <col min="1" max="1" width="8.5546875" bestFit="1" customWidth="1"/>
    <col min="2" max="2" width="24" bestFit="1" customWidth="1"/>
    <col min="3" max="3" width="9.44140625" bestFit="1" customWidth="1"/>
    <col min="4" max="4" width="10.33203125" bestFit="1" customWidth="1"/>
    <col min="6" max="6" width="8.44140625" bestFit="1" customWidth="1"/>
    <col min="7" max="7" width="9.88671875" bestFit="1" customWidth="1"/>
    <col min="8" max="8" width="8.6640625" bestFit="1" customWidth="1"/>
    <col min="9" max="9" width="9.33203125" bestFit="1" customWidth="1"/>
    <col min="10" max="10" width="10" bestFit="1" customWidth="1"/>
    <col min="13" max="13" width="8.88671875" bestFit="1" customWidth="1"/>
    <col min="14" max="14" width="10.44140625" bestFit="1" customWidth="1"/>
  </cols>
  <sheetData>
    <row r="2" spans="1:14" ht="32.25" customHeight="1" x14ac:dyDescent="0.3">
      <c r="A2" s="6446" t="s">
        <v>1821</v>
      </c>
      <c r="B2" s="6447" t="s">
        <v>1889</v>
      </c>
      <c r="C2" s="6448" t="s">
        <v>2254</v>
      </c>
      <c r="D2" s="6448"/>
      <c r="E2" s="6448"/>
      <c r="F2" s="6448"/>
      <c r="G2" s="6448"/>
      <c r="H2" s="6448"/>
      <c r="I2" s="6448"/>
      <c r="J2" s="6448"/>
      <c r="K2" s="6448"/>
      <c r="L2" s="6448"/>
      <c r="M2" s="6448"/>
      <c r="N2" s="6448"/>
    </row>
    <row r="3" spans="1:14" ht="18" x14ac:dyDescent="0.35">
      <c r="A3" s="6446"/>
      <c r="B3" s="6447"/>
      <c r="C3" s="5210" t="s">
        <v>2242</v>
      </c>
      <c r="D3" s="5210" t="s">
        <v>2243</v>
      </c>
      <c r="E3" s="5211" t="s">
        <v>2244</v>
      </c>
      <c r="F3" s="5211" t="s">
        <v>2245</v>
      </c>
      <c r="G3" s="5211" t="s">
        <v>2246</v>
      </c>
      <c r="H3" s="5211" t="s">
        <v>2247</v>
      </c>
      <c r="I3" s="5211" t="s">
        <v>2248</v>
      </c>
      <c r="J3" s="5212" t="s">
        <v>2249</v>
      </c>
      <c r="K3" s="5211" t="s">
        <v>2250</v>
      </c>
      <c r="L3" s="5211" t="s">
        <v>2251</v>
      </c>
      <c r="M3" s="5211" t="s">
        <v>2252</v>
      </c>
      <c r="N3" s="5211" t="s">
        <v>2253</v>
      </c>
    </row>
    <row r="4" spans="1:14" ht="18" x14ac:dyDescent="0.35">
      <c r="A4" s="5213">
        <v>1</v>
      </c>
      <c r="B4" s="5214" t="s">
        <v>686</v>
      </c>
      <c r="C4" s="5215">
        <v>1.6507933663641332</v>
      </c>
      <c r="D4" s="5215">
        <v>4.5466226355386326</v>
      </c>
      <c r="E4" s="5215"/>
      <c r="F4" s="5215"/>
      <c r="G4" s="5215"/>
      <c r="H4" s="5215"/>
      <c r="I4" s="5215"/>
      <c r="J4" s="5215"/>
      <c r="K4" s="5215"/>
      <c r="L4" s="5215"/>
      <c r="M4" s="5215"/>
      <c r="N4" s="5215"/>
    </row>
    <row r="5" spans="1:14" ht="18" x14ac:dyDescent="0.35">
      <c r="A5" s="5213">
        <v>2</v>
      </c>
      <c r="B5" s="5214" t="s">
        <v>371</v>
      </c>
      <c r="C5" s="5215">
        <v>0.26527635669680055</v>
      </c>
      <c r="D5" s="5215">
        <v>0.48788396309848719</v>
      </c>
      <c r="E5" s="5215"/>
      <c r="F5" s="5215"/>
      <c r="G5" s="5215"/>
      <c r="H5" s="5215"/>
      <c r="I5" s="5215"/>
      <c r="J5" s="5215"/>
      <c r="K5" s="5215"/>
      <c r="L5" s="5215"/>
      <c r="M5" s="5215"/>
      <c r="N5" s="5215"/>
    </row>
    <row r="6" spans="1:14" ht="18" x14ac:dyDescent="0.35">
      <c r="A6" s="5213">
        <v>3</v>
      </c>
      <c r="B6" s="5214" t="s">
        <v>1890</v>
      </c>
      <c r="C6" s="5215">
        <v>0</v>
      </c>
      <c r="D6" s="5215">
        <v>0</v>
      </c>
      <c r="E6" s="5215"/>
      <c r="F6" s="5215"/>
      <c r="G6" s="5215"/>
      <c r="H6" s="5215"/>
      <c r="I6" s="5215"/>
      <c r="J6" s="5215"/>
      <c r="K6" s="5215"/>
      <c r="L6" s="5215"/>
      <c r="M6" s="5215"/>
      <c r="N6" s="5215"/>
    </row>
    <row r="7" spans="1:14" ht="18" x14ac:dyDescent="0.35">
      <c r="A7" s="5213">
        <v>4</v>
      </c>
      <c r="B7" s="5214" t="s">
        <v>1891</v>
      </c>
      <c r="C7" s="5215">
        <v>0.44939209590280704</v>
      </c>
      <c r="D7" s="5215">
        <v>0.17503649411500491</v>
      </c>
      <c r="E7" s="5215"/>
      <c r="F7" s="5215"/>
      <c r="G7" s="5215"/>
      <c r="H7" s="5215"/>
      <c r="I7" s="5215"/>
      <c r="J7" s="5215"/>
      <c r="K7" s="5215"/>
      <c r="L7" s="5215"/>
      <c r="M7" s="5215"/>
      <c r="N7" s="5215"/>
    </row>
    <row r="8" spans="1:14" ht="18" x14ac:dyDescent="0.35">
      <c r="A8" s="5213">
        <v>5</v>
      </c>
      <c r="B8" s="5214" t="s">
        <v>1892</v>
      </c>
      <c r="C8" s="5215">
        <v>0.3300093477760952</v>
      </c>
      <c r="D8" s="5215">
        <v>0.75199994555656535</v>
      </c>
      <c r="E8" s="5215"/>
      <c r="F8" s="5215"/>
      <c r="G8" s="5215"/>
      <c r="H8" s="5215"/>
      <c r="I8" s="5215"/>
      <c r="J8" s="5215"/>
      <c r="K8" s="5215"/>
      <c r="L8" s="5215"/>
      <c r="M8" s="5215"/>
      <c r="N8" s="5215"/>
    </row>
    <row r="9" spans="1:14" ht="18" x14ac:dyDescent="0.35">
      <c r="A9" s="5213">
        <v>6</v>
      </c>
      <c r="B9" s="5214" t="s">
        <v>1893</v>
      </c>
      <c r="C9" s="5215">
        <v>3.9570688002293646</v>
      </c>
      <c r="D9" s="5215">
        <v>2.6667186941742118</v>
      </c>
      <c r="E9" s="5215"/>
      <c r="F9" s="5215"/>
      <c r="G9" s="5215"/>
      <c r="H9" s="5215"/>
      <c r="I9" s="5215"/>
      <c r="J9" s="5215"/>
      <c r="K9" s="5215"/>
      <c r="L9" s="5215"/>
      <c r="M9" s="5215"/>
      <c r="N9" s="5215"/>
    </row>
    <row r="10" spans="1:14" ht="18" x14ac:dyDescent="0.35">
      <c r="A10" s="5213">
        <v>7</v>
      </c>
      <c r="B10" s="5214" t="s">
        <v>1894</v>
      </c>
      <c r="C10" s="5215">
        <v>0.57166175087131432</v>
      </c>
      <c r="D10" s="5215">
        <v>0.61406151427608946</v>
      </c>
      <c r="E10" s="5215"/>
      <c r="F10" s="5215"/>
      <c r="G10" s="5215"/>
      <c r="H10" s="5215"/>
      <c r="I10" s="5215"/>
      <c r="J10" s="5215"/>
      <c r="K10" s="5215"/>
      <c r="L10" s="5215"/>
      <c r="M10" s="5215"/>
      <c r="N10" s="5215"/>
    </row>
    <row r="11" spans="1:14" ht="18" x14ac:dyDescent="0.35">
      <c r="A11" s="5213">
        <v>8</v>
      </c>
      <c r="B11" s="5214" t="s">
        <v>1895</v>
      </c>
      <c r="C11" s="5215">
        <v>1.3631735998494801</v>
      </c>
      <c r="D11" s="5215">
        <v>1.9747113647267789</v>
      </c>
      <c r="E11" s="5215"/>
      <c r="F11" s="5215"/>
      <c r="G11" s="5215"/>
      <c r="H11" s="5215"/>
      <c r="I11" s="5215"/>
      <c r="J11" s="5215"/>
      <c r="K11" s="5215"/>
      <c r="L11" s="5215"/>
      <c r="M11" s="5215"/>
      <c r="N11" s="5215"/>
    </row>
    <row r="12" spans="1:14" ht="18" x14ac:dyDescent="0.35">
      <c r="A12" s="5213">
        <v>9</v>
      </c>
      <c r="B12" s="5214" t="s">
        <v>1896</v>
      </c>
      <c r="C12" s="5215">
        <v>0</v>
      </c>
      <c r="D12" s="5215">
        <v>0</v>
      </c>
      <c r="E12" s="5215"/>
      <c r="F12" s="5215"/>
      <c r="G12" s="5215"/>
      <c r="H12" s="5215"/>
      <c r="I12" s="5215"/>
      <c r="J12" s="5215"/>
      <c r="K12" s="5215"/>
      <c r="L12" s="5215"/>
      <c r="M12" s="5215"/>
      <c r="N12" s="5215"/>
    </row>
    <row r="13" spans="1:14" ht="18" x14ac:dyDescent="0.35">
      <c r="A13" s="5213">
        <v>10</v>
      </c>
      <c r="B13" s="5214" t="s">
        <v>1897</v>
      </c>
      <c r="C13" s="5215">
        <v>0.13887271196007633</v>
      </c>
      <c r="D13" s="5215">
        <v>7.5540266024234137E-2</v>
      </c>
      <c r="E13" s="5215"/>
      <c r="F13" s="5215"/>
      <c r="G13" s="5215"/>
      <c r="H13" s="5215"/>
      <c r="I13" s="5215"/>
      <c r="J13" s="5215"/>
      <c r="K13" s="5215"/>
      <c r="L13" s="5215"/>
      <c r="M13" s="5215"/>
      <c r="N13" s="5215"/>
    </row>
    <row r="14" spans="1:14" ht="18" x14ac:dyDescent="0.35">
      <c r="A14" s="5213">
        <v>11</v>
      </c>
      <c r="B14" s="5214" t="s">
        <v>1898</v>
      </c>
      <c r="C14" s="5215">
        <v>3.5838119215503571E-4</v>
      </c>
      <c r="D14" s="5215">
        <v>7.7908555445534447E-2</v>
      </c>
      <c r="E14" s="5215"/>
      <c r="F14" s="5215"/>
      <c r="G14" s="5215"/>
      <c r="H14" s="5215"/>
      <c r="I14" s="5215"/>
      <c r="J14" s="5215"/>
      <c r="K14" s="5215"/>
      <c r="L14" s="5215"/>
      <c r="M14" s="5215"/>
      <c r="N14" s="5215"/>
    </row>
    <row r="15" spans="1:14" ht="18" x14ac:dyDescent="0.35">
      <c r="A15" s="5213">
        <v>12</v>
      </c>
      <c r="B15" s="5214" t="s">
        <v>1899</v>
      </c>
      <c r="C15" s="5215">
        <v>0.21667135548726402</v>
      </c>
      <c r="D15" s="5215">
        <v>2.7716260552668919</v>
      </c>
      <c r="E15" s="5215"/>
      <c r="F15" s="5215"/>
      <c r="G15" s="5215"/>
      <c r="H15" s="5215"/>
      <c r="I15" s="5215"/>
      <c r="J15" s="5215"/>
      <c r="K15" s="5215"/>
      <c r="L15" s="5215"/>
      <c r="M15" s="5215"/>
      <c r="N15" s="5215"/>
    </row>
    <row r="16" spans="1:14" ht="18" x14ac:dyDescent="0.35">
      <c r="A16" s="5213">
        <v>13</v>
      </c>
      <c r="B16" s="5214" t="s">
        <v>82</v>
      </c>
      <c r="C16" s="5215">
        <v>0</v>
      </c>
      <c r="D16" s="5215">
        <v>3.3909118935086422</v>
      </c>
      <c r="E16" s="5215"/>
      <c r="F16" s="5215"/>
      <c r="G16" s="5215"/>
      <c r="H16" s="5215"/>
      <c r="I16" s="5215"/>
      <c r="J16" s="5215"/>
      <c r="K16" s="5215"/>
      <c r="L16" s="5215"/>
      <c r="M16" s="5215"/>
      <c r="N16" s="5215"/>
    </row>
    <row r="17" spans="1:14" ht="18" x14ac:dyDescent="0.35">
      <c r="A17" s="5213">
        <v>14</v>
      </c>
      <c r="B17" s="5214" t="s">
        <v>441</v>
      </c>
      <c r="C17" s="5215">
        <v>0</v>
      </c>
      <c r="D17" s="5215">
        <v>4.4633762415655209E-3</v>
      </c>
      <c r="E17" s="5215"/>
      <c r="F17" s="5215"/>
      <c r="G17" s="5215"/>
      <c r="H17" s="5215"/>
      <c r="I17" s="5215"/>
      <c r="J17" s="5215"/>
      <c r="K17" s="5215"/>
      <c r="L17" s="5215"/>
      <c r="M17" s="5215"/>
      <c r="N17" s="5215"/>
    </row>
    <row r="18" spans="1:14" ht="18" x14ac:dyDescent="0.35">
      <c r="A18" s="5213"/>
      <c r="B18" s="5216" t="s">
        <v>1900</v>
      </c>
      <c r="C18" s="5217">
        <f>SUM(C4:C17)</f>
        <v>8.9432777663294907</v>
      </c>
      <c r="D18" s="5217">
        <f>SUM(D4:D17)</f>
        <v>17.537484757972642</v>
      </c>
      <c r="E18" s="5217">
        <f t="shared" ref="E18:I18" si="0">SUM(E4:E17)</f>
        <v>0</v>
      </c>
      <c r="F18" s="5217">
        <f t="shared" si="0"/>
        <v>0</v>
      </c>
      <c r="G18" s="5217">
        <f t="shared" si="0"/>
        <v>0</v>
      </c>
      <c r="H18" s="5217">
        <f t="shared" si="0"/>
        <v>0</v>
      </c>
      <c r="I18" s="5217">
        <f t="shared" si="0"/>
        <v>0</v>
      </c>
      <c r="J18" s="5217">
        <f>SUM(J4:J17)</f>
        <v>0</v>
      </c>
      <c r="K18" s="5217">
        <f>SUM(K4:K17)</f>
        <v>0</v>
      </c>
      <c r="L18" s="5217">
        <f>SUM(L4:L17)</f>
        <v>0</v>
      </c>
      <c r="M18" s="5217">
        <f>SUM(M4:M17)</f>
        <v>0</v>
      </c>
      <c r="N18" s="5217">
        <f>SUM(N4:N17)</f>
        <v>0</v>
      </c>
    </row>
  </sheetData>
  <mergeCells count="3">
    <mergeCell ref="A2:A3"/>
    <mergeCell ref="B2:B3"/>
    <mergeCell ref="C2:N2"/>
  </mergeCells>
  <pageMargins left="0.7" right="0.7" top="0.75" bottom="0.75" header="0.3" footer="0.3"/>
  <pageSetup orientation="portrait" verticalDpi="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tabColor rgb="FF0000FF"/>
    <pageSetUpPr fitToPage="1"/>
  </sheetPr>
  <dimension ref="C2:BI17"/>
  <sheetViews>
    <sheetView zoomScaleNormal="100" workbookViewId="0">
      <pane xSplit="3" topLeftCell="D1" activePane="topRight" state="frozen"/>
      <selection pane="topRight" activeCell="I12" sqref="I12"/>
    </sheetView>
  </sheetViews>
  <sheetFormatPr defaultColWidth="8.88671875" defaultRowHeight="18" x14ac:dyDescent="0.35"/>
  <cols>
    <col min="1" max="2" width="8.88671875" style="500"/>
    <col min="3" max="3" width="53.109375" style="500" customWidth="1"/>
    <col min="4" max="4" width="19.44140625" style="500" customWidth="1"/>
    <col min="5" max="5" width="11.6640625" style="500" customWidth="1"/>
    <col min="6" max="6" width="13.5546875" style="500" customWidth="1"/>
    <col min="7" max="10" width="9.109375" style="500" customWidth="1"/>
    <col min="11" max="28" width="9.109375" style="500" hidden="1" customWidth="1"/>
    <col min="29" max="58" width="8.88671875" style="500" hidden="1" customWidth="1"/>
    <col min="59" max="59" width="8.88671875" style="500" customWidth="1"/>
    <col min="60" max="16384" width="8.88671875" style="500"/>
  </cols>
  <sheetData>
    <row r="2" spans="3:61" x14ac:dyDescent="0.35">
      <c r="C2" s="1960" t="s">
        <v>631</v>
      </c>
    </row>
    <row r="3" spans="3:61" ht="15.75" customHeight="1" thickBot="1" x14ac:dyDescent="0.4">
      <c r="C3" s="1961"/>
    </row>
    <row r="4" spans="3:61" ht="18.600000000000001" thickBot="1" x14ac:dyDescent="0.4">
      <c r="C4" s="6458" t="s">
        <v>564</v>
      </c>
      <c r="D4" s="6460" t="s">
        <v>171</v>
      </c>
      <c r="E4" s="6453" t="s">
        <v>2211</v>
      </c>
      <c r="F4" s="6462"/>
      <c r="G4" s="6453" t="s">
        <v>2260</v>
      </c>
      <c r="H4" s="6453"/>
      <c r="I4" s="6451" t="s">
        <v>14</v>
      </c>
      <c r="J4" s="6452"/>
      <c r="K4" s="6454" t="s">
        <v>1963</v>
      </c>
      <c r="L4" s="6455"/>
      <c r="M4" s="6456" t="s">
        <v>137</v>
      </c>
      <c r="N4" s="6457"/>
      <c r="O4" s="6453" t="s">
        <v>1985</v>
      </c>
      <c r="P4" s="6453"/>
      <c r="Q4" s="6451" t="s">
        <v>17</v>
      </c>
      <c r="R4" s="6452"/>
      <c r="S4" s="6453" t="s">
        <v>1988</v>
      </c>
      <c r="T4" s="6453"/>
      <c r="U4" s="6451" t="s">
        <v>18</v>
      </c>
      <c r="V4" s="6452"/>
      <c r="W4" s="6453" t="s">
        <v>2019</v>
      </c>
      <c r="X4" s="6453"/>
      <c r="Y4" s="6463" t="s">
        <v>138</v>
      </c>
      <c r="Z4" s="6457"/>
      <c r="AA4" s="6464" t="s">
        <v>486</v>
      </c>
      <c r="AB4" s="6465"/>
      <c r="AC4" s="6453" t="s">
        <v>2043</v>
      </c>
      <c r="AD4" s="6453"/>
      <c r="AE4" s="6451" t="s">
        <v>24</v>
      </c>
      <c r="AF4" s="6452"/>
      <c r="AG4" s="6453" t="s">
        <v>2064</v>
      </c>
      <c r="AH4" s="6453"/>
      <c r="AI4" s="6451" t="s">
        <v>27</v>
      </c>
      <c r="AJ4" s="6452"/>
      <c r="AK4" s="6453" t="s">
        <v>2088</v>
      </c>
      <c r="AL4" s="6453"/>
      <c r="AM4" s="6463" t="s">
        <v>1567</v>
      </c>
      <c r="AN4" s="6457"/>
      <c r="AO4" s="6451" t="s">
        <v>1565</v>
      </c>
      <c r="AP4" s="6452"/>
      <c r="AQ4" s="6454" t="s">
        <v>2099</v>
      </c>
      <c r="AR4" s="6455"/>
      <c r="AS4" s="6449" t="s">
        <v>28</v>
      </c>
      <c r="AT4" s="6450"/>
      <c r="AU4" s="6454" t="s">
        <v>2136</v>
      </c>
      <c r="AV4" s="6455"/>
      <c r="AW4" s="6449" t="s">
        <v>30</v>
      </c>
      <c r="AX4" s="6450"/>
      <c r="AY4" s="6454" t="s">
        <v>2154</v>
      </c>
      <c r="AZ4" s="6455"/>
      <c r="BA4" s="6463" t="s">
        <v>1601</v>
      </c>
      <c r="BB4" s="6457"/>
      <c r="BC4" s="6464" t="s">
        <v>524</v>
      </c>
      <c r="BD4" s="6465"/>
      <c r="BE4" s="6449" t="s">
        <v>1961</v>
      </c>
      <c r="BF4" s="6450"/>
    </row>
    <row r="5" spans="3:61" ht="18.600000000000001" thickBot="1" x14ac:dyDescent="0.4">
      <c r="C5" s="6459"/>
      <c r="D5" s="6461"/>
      <c r="E5" s="1962" t="s">
        <v>172</v>
      </c>
      <c r="F5" s="1963" t="s">
        <v>173</v>
      </c>
      <c r="G5" s="1962" t="s">
        <v>172</v>
      </c>
      <c r="H5" s="1964" t="s">
        <v>173</v>
      </c>
      <c r="I5" s="1965" t="s">
        <v>172</v>
      </c>
      <c r="J5" s="1966" t="s">
        <v>173</v>
      </c>
      <c r="K5" s="1967" t="s">
        <v>172</v>
      </c>
      <c r="L5" s="1968" t="s">
        <v>173</v>
      </c>
      <c r="M5" s="1969" t="s">
        <v>172</v>
      </c>
      <c r="N5" s="1970" t="s">
        <v>173</v>
      </c>
      <c r="O5" s="1962" t="s">
        <v>172</v>
      </c>
      <c r="P5" s="1964" t="s">
        <v>173</v>
      </c>
      <c r="Q5" s="1965" t="s">
        <v>172</v>
      </c>
      <c r="R5" s="1966" t="s">
        <v>173</v>
      </c>
      <c r="S5" s="1962" t="s">
        <v>172</v>
      </c>
      <c r="T5" s="1964" t="s">
        <v>173</v>
      </c>
      <c r="U5" s="1965" t="s">
        <v>172</v>
      </c>
      <c r="V5" s="1966" t="s">
        <v>173</v>
      </c>
      <c r="W5" s="1962" t="s">
        <v>172</v>
      </c>
      <c r="X5" s="1964" t="s">
        <v>173</v>
      </c>
      <c r="Y5" s="1971" t="s">
        <v>172</v>
      </c>
      <c r="Z5" s="1970" t="s">
        <v>173</v>
      </c>
      <c r="AA5" s="1972" t="s">
        <v>172</v>
      </c>
      <c r="AB5" s="1973" t="s">
        <v>173</v>
      </c>
      <c r="AC5" s="1962" t="s">
        <v>172</v>
      </c>
      <c r="AD5" s="1964" t="s">
        <v>173</v>
      </c>
      <c r="AE5" s="1965" t="s">
        <v>172</v>
      </c>
      <c r="AF5" s="1966" t="s">
        <v>173</v>
      </c>
      <c r="AG5" s="1962" t="s">
        <v>172</v>
      </c>
      <c r="AH5" s="1964" t="s">
        <v>173</v>
      </c>
      <c r="AI5" s="1965" t="s">
        <v>172</v>
      </c>
      <c r="AJ5" s="1966" t="s">
        <v>173</v>
      </c>
      <c r="AK5" s="1962" t="s">
        <v>172</v>
      </c>
      <c r="AL5" s="1964" t="s">
        <v>173</v>
      </c>
      <c r="AM5" s="1971" t="s">
        <v>172</v>
      </c>
      <c r="AN5" s="1970" t="s">
        <v>173</v>
      </c>
      <c r="AO5" s="1965" t="s">
        <v>172</v>
      </c>
      <c r="AP5" s="1966" t="s">
        <v>173</v>
      </c>
      <c r="AQ5" s="1962" t="s">
        <v>172</v>
      </c>
      <c r="AR5" s="1964" t="s">
        <v>173</v>
      </c>
      <c r="AS5" s="1965" t="s">
        <v>172</v>
      </c>
      <c r="AT5" s="1966" t="s">
        <v>173</v>
      </c>
      <c r="AU5" s="1962" t="s">
        <v>172</v>
      </c>
      <c r="AV5" s="1964" t="s">
        <v>173</v>
      </c>
      <c r="AW5" s="1965" t="s">
        <v>172</v>
      </c>
      <c r="AX5" s="1966" t="s">
        <v>173</v>
      </c>
      <c r="AY5" s="1962" t="s">
        <v>172</v>
      </c>
      <c r="AZ5" s="1964" t="s">
        <v>173</v>
      </c>
      <c r="BA5" s="1971" t="s">
        <v>172</v>
      </c>
      <c r="BB5" s="1970" t="s">
        <v>173</v>
      </c>
      <c r="BC5" s="1972" t="s">
        <v>172</v>
      </c>
      <c r="BD5" s="1973" t="s">
        <v>173</v>
      </c>
      <c r="BE5" s="1965" t="s">
        <v>172</v>
      </c>
      <c r="BF5" s="1966" t="s">
        <v>173</v>
      </c>
    </row>
    <row r="6" spans="3:61" ht="18.600000000000001" thickBot="1" x14ac:dyDescent="0.4">
      <c r="C6" s="1974" t="s">
        <v>7</v>
      </c>
      <c r="D6" s="1975" t="s">
        <v>50</v>
      </c>
      <c r="E6" s="1976">
        <v>99</v>
      </c>
      <c r="F6" s="1977">
        <v>97.89</v>
      </c>
      <c r="G6" s="1976">
        <v>101</v>
      </c>
      <c r="H6" s="1977">
        <v>130</v>
      </c>
      <c r="I6" s="1979">
        <f t="shared" ref="I6:J8" si="0">+E6+G6</f>
        <v>200</v>
      </c>
      <c r="J6" s="1980">
        <f t="shared" si="0"/>
        <v>227.89</v>
      </c>
      <c r="K6" s="1978">
        <v>100</v>
      </c>
      <c r="L6" s="1977">
        <v>92.57</v>
      </c>
      <c r="M6" s="1981">
        <f t="shared" ref="M6:N8" si="1">+I6+K6</f>
        <v>300</v>
      </c>
      <c r="N6" s="1982">
        <f t="shared" si="1"/>
        <v>320.45999999999998</v>
      </c>
      <c r="O6" s="1978">
        <v>101</v>
      </c>
      <c r="P6" s="1977">
        <v>132.46</v>
      </c>
      <c r="Q6" s="1979">
        <f t="shared" ref="Q6:R8" si="2">+M6+O6</f>
        <v>401</v>
      </c>
      <c r="R6" s="1980">
        <f t="shared" si="2"/>
        <v>452.91999999999996</v>
      </c>
      <c r="S6" s="1978">
        <v>101</v>
      </c>
      <c r="T6" s="1977">
        <v>151.11000000000001</v>
      </c>
      <c r="U6" s="1979">
        <f t="shared" ref="U6:U8" si="3">+Q6+S6</f>
        <v>502</v>
      </c>
      <c r="V6" s="1980">
        <f t="shared" ref="V6:V8" si="4">+R6+T6</f>
        <v>604.03</v>
      </c>
      <c r="W6" s="1978">
        <v>99</v>
      </c>
      <c r="X6" s="1977">
        <v>141.69</v>
      </c>
      <c r="Y6" s="1981">
        <f t="shared" ref="Y6:Z8" si="5">+O6+S6+W6</f>
        <v>301</v>
      </c>
      <c r="Z6" s="1982">
        <f t="shared" si="5"/>
        <v>425.26000000000005</v>
      </c>
      <c r="AA6" s="1983">
        <f t="shared" ref="AA6:AB8" si="6">+U6+W6</f>
        <v>601</v>
      </c>
      <c r="AB6" s="1984">
        <f t="shared" si="6"/>
        <v>745.72</v>
      </c>
      <c r="AC6" s="1978">
        <v>100</v>
      </c>
      <c r="AD6" s="1977">
        <v>131.66999999999999</v>
      </c>
      <c r="AE6" s="1979">
        <f t="shared" ref="AE6:AE8" si="7">+AA6+AC6</f>
        <v>701</v>
      </c>
      <c r="AF6" s="1980">
        <f t="shared" ref="AF6:AF8" si="8">+AB6+AD6</f>
        <v>877.39</v>
      </c>
      <c r="AG6" s="1978">
        <v>100</v>
      </c>
      <c r="AH6" s="1977">
        <v>158.5</v>
      </c>
      <c r="AI6" s="1979">
        <f t="shared" ref="AI6:AI8" si="9">+AE6+AG6</f>
        <v>801</v>
      </c>
      <c r="AJ6" s="1980">
        <f t="shared" ref="AJ6:AJ8" si="10">+AF6+AH6</f>
        <v>1035.8899999999999</v>
      </c>
      <c r="AK6" s="1978">
        <v>100</v>
      </c>
      <c r="AL6" s="1977">
        <v>139.09</v>
      </c>
      <c r="AM6" s="1981">
        <f t="shared" ref="AM6:AM8" si="11">+AC6+AG6+AK6</f>
        <v>300</v>
      </c>
      <c r="AN6" s="1982">
        <f t="shared" ref="AN6:AN8" si="12">+AD6+AH6+AL6</f>
        <v>429.26</v>
      </c>
      <c r="AO6" s="1979">
        <f t="shared" ref="AO6:AO8" si="13">+AI6+AK6</f>
        <v>901</v>
      </c>
      <c r="AP6" s="1980">
        <f t="shared" ref="AP6:AP8" si="14">+AJ6+AL6</f>
        <v>1174.9799999999998</v>
      </c>
      <c r="AQ6" s="1978">
        <v>100</v>
      </c>
      <c r="AR6" s="1977">
        <v>141.66999999999999</v>
      </c>
      <c r="AS6" s="1979">
        <f t="shared" ref="AS6:AS8" si="15">+AO6+AQ6</f>
        <v>1001</v>
      </c>
      <c r="AT6" s="1980">
        <f t="shared" ref="AT6:AT8" si="16">+AP6+AR6</f>
        <v>1316.6499999999999</v>
      </c>
      <c r="AU6" s="1978">
        <v>99</v>
      </c>
      <c r="AV6" s="1977">
        <v>89.76</v>
      </c>
      <c r="AW6" s="1979">
        <f t="shared" ref="AW6:AW8" si="17">+AS6+AU6</f>
        <v>1100</v>
      </c>
      <c r="AX6" s="1980">
        <f t="shared" ref="AX6:AX8" si="18">+AT6+AV6</f>
        <v>1406.4099999999999</v>
      </c>
      <c r="AY6" s="1978">
        <v>100</v>
      </c>
      <c r="AZ6" s="1977">
        <v>171.8</v>
      </c>
      <c r="BA6" s="1981">
        <f t="shared" ref="BA6:BA8" si="19">+AQ6+AU6+AY6</f>
        <v>299</v>
      </c>
      <c r="BB6" s="1982">
        <f t="shared" ref="BB6:BB8" si="20">+AR6+AV6+AZ6</f>
        <v>403.23</v>
      </c>
      <c r="BC6" s="1983">
        <f>AM6+BA6</f>
        <v>599</v>
      </c>
      <c r="BD6" s="1983">
        <f>AN6+BB6</f>
        <v>832.49</v>
      </c>
      <c r="BE6" s="1979">
        <f t="shared" ref="BE6:BE8" si="21">+AW6+AY6</f>
        <v>1200</v>
      </c>
      <c r="BF6" s="1980">
        <f t="shared" ref="BF6:BF8" si="22">+AX6+AZ6</f>
        <v>1578.2099999999998</v>
      </c>
      <c r="BG6" s="542"/>
      <c r="BH6" s="542"/>
      <c r="BI6" s="542"/>
    </row>
    <row r="7" spans="3:61" ht="18.600000000000001" thickBot="1" x14ac:dyDescent="0.4">
      <c r="C7" s="1985" t="s">
        <v>565</v>
      </c>
      <c r="D7" s="1986" t="s">
        <v>50</v>
      </c>
      <c r="E7" s="1987">
        <v>150</v>
      </c>
      <c r="F7" s="1988">
        <v>144.55000000000001</v>
      </c>
      <c r="G7" s="1987">
        <v>150</v>
      </c>
      <c r="H7" s="1988">
        <v>132.5</v>
      </c>
      <c r="I7" s="1990">
        <f t="shared" si="0"/>
        <v>300</v>
      </c>
      <c r="J7" s="1991">
        <f t="shared" si="0"/>
        <v>277.05</v>
      </c>
      <c r="K7" s="1989">
        <v>150</v>
      </c>
      <c r="L7" s="1988">
        <v>134.4</v>
      </c>
      <c r="M7" s="1992">
        <f t="shared" si="1"/>
        <v>450</v>
      </c>
      <c r="N7" s="1993">
        <f t="shared" si="1"/>
        <v>411.45000000000005</v>
      </c>
      <c r="O7" s="1989">
        <v>150</v>
      </c>
      <c r="P7" s="1988">
        <v>111</v>
      </c>
      <c r="Q7" s="1990">
        <f t="shared" si="2"/>
        <v>600</v>
      </c>
      <c r="R7" s="1991">
        <f t="shared" si="2"/>
        <v>522.45000000000005</v>
      </c>
      <c r="S7" s="1989">
        <v>151</v>
      </c>
      <c r="T7" s="1988">
        <v>143.9</v>
      </c>
      <c r="U7" s="1990">
        <f t="shared" si="3"/>
        <v>751</v>
      </c>
      <c r="V7" s="1991">
        <f t="shared" si="4"/>
        <v>666.35</v>
      </c>
      <c r="W7" s="1989">
        <v>150</v>
      </c>
      <c r="X7" s="1988">
        <v>129.5</v>
      </c>
      <c r="Y7" s="1992">
        <f t="shared" si="5"/>
        <v>451</v>
      </c>
      <c r="Z7" s="1993">
        <f t="shared" si="5"/>
        <v>384.4</v>
      </c>
      <c r="AA7" s="1994">
        <f t="shared" si="6"/>
        <v>901</v>
      </c>
      <c r="AB7" s="1995">
        <f t="shared" si="6"/>
        <v>795.85</v>
      </c>
      <c r="AC7" s="1989">
        <v>150</v>
      </c>
      <c r="AD7" s="1988">
        <v>132.4</v>
      </c>
      <c r="AE7" s="1990">
        <f t="shared" si="7"/>
        <v>1051</v>
      </c>
      <c r="AF7" s="1991">
        <f t="shared" si="8"/>
        <v>928.25</v>
      </c>
      <c r="AG7" s="1989">
        <v>150</v>
      </c>
      <c r="AH7" s="1988">
        <v>128.5</v>
      </c>
      <c r="AI7" s="1990">
        <f t="shared" si="9"/>
        <v>1201</v>
      </c>
      <c r="AJ7" s="1991">
        <f t="shared" si="10"/>
        <v>1056.75</v>
      </c>
      <c r="AK7" s="1989">
        <v>150</v>
      </c>
      <c r="AL7" s="1988">
        <v>132.5</v>
      </c>
      <c r="AM7" s="1992">
        <f t="shared" si="11"/>
        <v>450</v>
      </c>
      <c r="AN7" s="1993">
        <f t="shared" si="12"/>
        <v>393.4</v>
      </c>
      <c r="AO7" s="1990">
        <f t="shared" si="13"/>
        <v>1351</v>
      </c>
      <c r="AP7" s="1991">
        <f t="shared" si="14"/>
        <v>1189.25</v>
      </c>
      <c r="AQ7" s="1989">
        <v>150</v>
      </c>
      <c r="AR7" s="1988">
        <v>130.6</v>
      </c>
      <c r="AS7" s="1990">
        <f t="shared" si="15"/>
        <v>1501</v>
      </c>
      <c r="AT7" s="1991">
        <f t="shared" si="16"/>
        <v>1319.85</v>
      </c>
      <c r="AU7" s="1989">
        <v>149</v>
      </c>
      <c r="AV7" s="1988">
        <v>120.85</v>
      </c>
      <c r="AW7" s="1990">
        <f t="shared" si="17"/>
        <v>1650</v>
      </c>
      <c r="AX7" s="1991">
        <f t="shared" si="18"/>
        <v>1440.6999999999998</v>
      </c>
      <c r="AY7" s="1989">
        <v>150</v>
      </c>
      <c r="AZ7" s="1988">
        <v>159.75</v>
      </c>
      <c r="BA7" s="1992">
        <f t="shared" si="19"/>
        <v>449</v>
      </c>
      <c r="BB7" s="1993">
        <f t="shared" si="20"/>
        <v>411.2</v>
      </c>
      <c r="BC7" s="1983">
        <f>AM7+BA7</f>
        <v>899</v>
      </c>
      <c r="BD7" s="1983">
        <f>AN7+BB7</f>
        <v>804.59999999999991</v>
      </c>
      <c r="BE7" s="1990">
        <f t="shared" si="21"/>
        <v>1800</v>
      </c>
      <c r="BF7" s="1991">
        <f t="shared" si="22"/>
        <v>1600.4499999999998</v>
      </c>
      <c r="BG7" s="542"/>
      <c r="BH7" s="542"/>
      <c r="BI7" s="542"/>
    </row>
    <row r="8" spans="3:61" ht="18.600000000000001" thickBot="1" x14ac:dyDescent="0.4">
      <c r="C8" s="1996" t="s">
        <v>8</v>
      </c>
      <c r="D8" s="1997" t="s">
        <v>50</v>
      </c>
      <c r="E8" s="1998">
        <v>4</v>
      </c>
      <c r="F8" s="1999">
        <v>4</v>
      </c>
      <c r="G8" s="1998">
        <v>4</v>
      </c>
      <c r="H8" s="1999">
        <v>4</v>
      </c>
      <c r="I8" s="2001">
        <f t="shared" si="0"/>
        <v>8</v>
      </c>
      <c r="J8" s="2002">
        <f t="shared" si="0"/>
        <v>8</v>
      </c>
      <c r="K8" s="2000">
        <v>4</v>
      </c>
      <c r="L8" s="1999">
        <v>5</v>
      </c>
      <c r="M8" s="2003">
        <f t="shared" si="1"/>
        <v>12</v>
      </c>
      <c r="N8" s="2004">
        <f t="shared" si="1"/>
        <v>13</v>
      </c>
      <c r="O8" s="2000">
        <v>5</v>
      </c>
      <c r="P8" s="1999">
        <v>4.7</v>
      </c>
      <c r="Q8" s="2001">
        <f t="shared" si="2"/>
        <v>17</v>
      </c>
      <c r="R8" s="2002">
        <f t="shared" si="2"/>
        <v>17.7</v>
      </c>
      <c r="S8" s="2000">
        <v>5</v>
      </c>
      <c r="T8" s="1999">
        <v>4.75</v>
      </c>
      <c r="U8" s="2001">
        <f t="shared" si="3"/>
        <v>22</v>
      </c>
      <c r="V8" s="2002">
        <f t="shared" si="4"/>
        <v>22.45</v>
      </c>
      <c r="W8" s="2000">
        <v>4</v>
      </c>
      <c r="X8" s="1999">
        <v>4</v>
      </c>
      <c r="Y8" s="2003">
        <f t="shared" si="5"/>
        <v>14</v>
      </c>
      <c r="Z8" s="2004">
        <f t="shared" si="5"/>
        <v>13.45</v>
      </c>
      <c r="AA8" s="2005">
        <f t="shared" si="6"/>
        <v>26</v>
      </c>
      <c r="AB8" s="2006">
        <f t="shared" si="6"/>
        <v>26.45</v>
      </c>
      <c r="AC8" s="2000">
        <v>4</v>
      </c>
      <c r="AD8" s="1999">
        <v>4</v>
      </c>
      <c r="AE8" s="2001">
        <f t="shared" si="7"/>
        <v>30</v>
      </c>
      <c r="AF8" s="2002">
        <f t="shared" si="8"/>
        <v>30.45</v>
      </c>
      <c r="AG8" s="2000">
        <v>4</v>
      </c>
      <c r="AH8" s="1999">
        <v>4</v>
      </c>
      <c r="AI8" s="2001">
        <f t="shared" si="9"/>
        <v>34</v>
      </c>
      <c r="AJ8" s="2002">
        <f t="shared" si="10"/>
        <v>34.450000000000003</v>
      </c>
      <c r="AK8" s="2000">
        <v>4</v>
      </c>
      <c r="AL8" s="1999">
        <v>4</v>
      </c>
      <c r="AM8" s="2003">
        <f t="shared" si="11"/>
        <v>12</v>
      </c>
      <c r="AN8" s="2004">
        <f t="shared" si="12"/>
        <v>12</v>
      </c>
      <c r="AO8" s="2001">
        <f t="shared" si="13"/>
        <v>38</v>
      </c>
      <c r="AP8" s="2002">
        <f t="shared" si="14"/>
        <v>38.450000000000003</v>
      </c>
      <c r="AQ8" s="2000">
        <v>4</v>
      </c>
      <c r="AR8" s="1999">
        <v>4</v>
      </c>
      <c r="AS8" s="2001">
        <f t="shared" si="15"/>
        <v>42</v>
      </c>
      <c r="AT8" s="2002">
        <f t="shared" si="16"/>
        <v>42.45</v>
      </c>
      <c r="AU8" s="2000">
        <v>4</v>
      </c>
      <c r="AV8" s="1999">
        <v>4</v>
      </c>
      <c r="AW8" s="2001">
        <f t="shared" si="17"/>
        <v>46</v>
      </c>
      <c r="AX8" s="2002">
        <f t="shared" si="18"/>
        <v>46.45</v>
      </c>
      <c r="AY8" s="2000">
        <v>4</v>
      </c>
      <c r="AZ8" s="1999">
        <v>4</v>
      </c>
      <c r="BA8" s="2003">
        <f t="shared" si="19"/>
        <v>12</v>
      </c>
      <c r="BB8" s="2004">
        <f t="shared" si="20"/>
        <v>12</v>
      </c>
      <c r="BC8" s="1983">
        <f t="shared" ref="BC8:BD8" si="23">AM8+BA8</f>
        <v>24</v>
      </c>
      <c r="BD8" s="1983">
        <f t="shared" si="23"/>
        <v>24</v>
      </c>
      <c r="BE8" s="2001">
        <f t="shared" si="21"/>
        <v>50</v>
      </c>
      <c r="BF8" s="2002">
        <f t="shared" si="22"/>
        <v>50.45</v>
      </c>
      <c r="BG8" s="542"/>
      <c r="BH8" s="4962"/>
      <c r="BI8" s="542"/>
    </row>
    <row r="13" spans="3:61" x14ac:dyDescent="0.35">
      <c r="K13" s="2007"/>
      <c r="L13" s="2008"/>
    </row>
    <row r="14" spans="3:61" x14ac:dyDescent="0.35">
      <c r="K14" s="2007"/>
      <c r="L14" s="2009"/>
    </row>
    <row r="15" spans="3:61" x14ac:dyDescent="0.35">
      <c r="K15" s="2007"/>
      <c r="L15" s="2008"/>
    </row>
    <row r="17" spans="3:3" x14ac:dyDescent="0.35">
      <c r="C17" s="501"/>
    </row>
  </sheetData>
  <mergeCells count="29">
    <mergeCell ref="AY4:AZ4"/>
    <mergeCell ref="BE4:BF4"/>
    <mergeCell ref="BA4:BB4"/>
    <mergeCell ref="BC4:BD4"/>
    <mergeCell ref="O4:P4"/>
    <mergeCell ref="Q4:R4"/>
    <mergeCell ref="AU4:AV4"/>
    <mergeCell ref="AW4:AX4"/>
    <mergeCell ref="AE4:AF4"/>
    <mergeCell ref="AM4:AN4"/>
    <mergeCell ref="U4:V4"/>
    <mergeCell ref="W4:X4"/>
    <mergeCell ref="Y4:Z4"/>
    <mergeCell ref="AA4:AB4"/>
    <mergeCell ref="AK4:AL4"/>
    <mergeCell ref="AQ4:AR4"/>
    <mergeCell ref="K4:L4"/>
    <mergeCell ref="M4:N4"/>
    <mergeCell ref="S4:T4"/>
    <mergeCell ref="C4:C5"/>
    <mergeCell ref="D4:D5"/>
    <mergeCell ref="E4:F4"/>
    <mergeCell ref="G4:H4"/>
    <mergeCell ref="I4:J4"/>
    <mergeCell ref="AS4:AT4"/>
    <mergeCell ref="AO4:AP4"/>
    <mergeCell ref="AG4:AH4"/>
    <mergeCell ref="AI4:AJ4"/>
    <mergeCell ref="AC4:AD4"/>
  </mergeCells>
  <pageMargins left="0.7" right="0.7" top="0.75" bottom="0.75" header="0.3" footer="0.3"/>
  <pageSetup scale="85" orientation="landscape"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CC98B4"/>
    <pageSetUpPr fitToPage="1"/>
  </sheetPr>
  <dimension ref="D5:AD77"/>
  <sheetViews>
    <sheetView topLeftCell="H1" zoomScale="70" zoomScaleNormal="70" workbookViewId="0">
      <selection activeCell="AD85" sqref="AD85"/>
    </sheetView>
  </sheetViews>
  <sheetFormatPr defaultColWidth="9.109375" defaultRowHeight="15.6" x14ac:dyDescent="0.3"/>
  <cols>
    <col min="1" max="3" width="9.109375" style="1551"/>
    <col min="4" max="4" width="30.44140625" style="1551" customWidth="1"/>
    <col min="5" max="5" width="16.109375" style="1551" hidden="1" customWidth="1"/>
    <col min="6" max="6" width="15.44140625" style="1551" customWidth="1"/>
    <col min="7" max="7" width="15.6640625" style="1551" bestFit="1" customWidth="1"/>
    <col min="8" max="8" width="16.44140625" style="1551" bestFit="1" customWidth="1"/>
    <col min="9" max="9" width="2.88671875" style="2332" customWidth="1"/>
    <col min="10" max="10" width="30.88671875" style="1551" customWidth="1"/>
    <col min="11" max="11" width="15.44140625" style="1551" hidden="1" customWidth="1"/>
    <col min="12" max="12" width="17.109375" style="1551" customWidth="1"/>
    <col min="13" max="13" width="15.6640625" style="1551" bestFit="1" customWidth="1"/>
    <col min="14" max="14" width="16.44140625" style="1551" bestFit="1" customWidth="1"/>
    <col min="15" max="15" width="3.109375" style="2332" customWidth="1"/>
    <col min="16" max="16" width="30" style="1551" customWidth="1"/>
    <col min="17" max="17" width="5.6640625" style="1551" hidden="1" customWidth="1"/>
    <col min="18" max="18" width="13.88671875" style="1551" customWidth="1"/>
    <col min="19" max="19" width="14" style="1551" bestFit="1" customWidth="1"/>
    <col min="20" max="20" width="16.44140625" style="1551" customWidth="1"/>
    <col min="21" max="21" width="17.109375" style="1551" bestFit="1" customWidth="1"/>
    <col min="22" max="22" width="3" style="1551" customWidth="1"/>
    <col min="23" max="23" width="32" style="1551" customWidth="1"/>
    <col min="24" max="24" width="17.109375" style="1551" bestFit="1" customWidth="1"/>
    <col min="25" max="25" width="15.44140625" style="1551" customWidth="1"/>
    <col min="26" max="26" width="17.88671875" style="1551" customWidth="1"/>
    <col min="27" max="27" width="14.33203125" style="1551" bestFit="1" customWidth="1"/>
    <col min="28" max="28" width="18.88671875" style="1551" customWidth="1"/>
    <col min="29" max="29" width="18.5546875" style="1551" customWidth="1"/>
    <col min="30" max="30" width="20.109375" style="1551" bestFit="1" customWidth="1"/>
    <col min="31" max="16384" width="9.109375" style="1551"/>
  </cols>
  <sheetData>
    <row r="5" spans="4:30" ht="28.8" x14ac:dyDescent="0.55000000000000004">
      <c r="D5" s="6469" t="s">
        <v>1406</v>
      </c>
      <c r="E5" s="6469"/>
      <c r="F5" s="6469"/>
      <c r="G5" s="6469"/>
      <c r="H5" s="6469"/>
      <c r="J5" s="6469" t="s">
        <v>1407</v>
      </c>
      <c r="K5" s="6469"/>
      <c r="L5" s="6469"/>
      <c r="M5" s="6469"/>
      <c r="N5" s="6469"/>
      <c r="P5" s="6470" t="s">
        <v>60</v>
      </c>
      <c r="Q5" s="6471"/>
      <c r="R5" s="6471"/>
      <c r="S5" s="6471"/>
      <c r="T5" s="6471"/>
      <c r="U5" s="6472"/>
      <c r="W5" s="6469" t="s">
        <v>1244</v>
      </c>
      <c r="X5" s="6469"/>
      <c r="Y5" s="6469"/>
      <c r="Z5" s="6469"/>
      <c r="AA5" s="6469"/>
      <c r="AB5" s="6469"/>
      <c r="AC5" s="6469"/>
      <c r="AD5" s="6469"/>
    </row>
    <row r="6" spans="4:30" ht="28.8" x14ac:dyDescent="0.3">
      <c r="D6" s="4777"/>
      <c r="E6" s="4777"/>
      <c r="F6" s="4778" t="s">
        <v>1408</v>
      </c>
      <c r="G6" s="4778" t="s">
        <v>1409</v>
      </c>
      <c r="H6" s="4778" t="s">
        <v>1410</v>
      </c>
      <c r="I6" s="2333"/>
      <c r="J6" s="4777"/>
      <c r="K6" s="4777"/>
      <c r="L6" s="4778" t="s">
        <v>1408</v>
      </c>
      <c r="M6" s="4778" t="s">
        <v>1409</v>
      </c>
      <c r="N6" s="4778" t="s">
        <v>1410</v>
      </c>
      <c r="P6" s="4777"/>
      <c r="Q6" s="4777"/>
      <c r="R6" s="4778" t="s">
        <v>1408</v>
      </c>
      <c r="S6" s="4778" t="s">
        <v>1409</v>
      </c>
      <c r="T6" s="4778" t="s">
        <v>1410</v>
      </c>
      <c r="U6" s="4778" t="s">
        <v>1548</v>
      </c>
      <c r="W6" s="4777"/>
      <c r="X6" s="4778" t="s">
        <v>1408</v>
      </c>
      <c r="Y6" s="4778" t="s">
        <v>2079</v>
      </c>
      <c r="Z6" s="4778" t="s">
        <v>208</v>
      </c>
      <c r="AA6" s="4778" t="s">
        <v>2080</v>
      </c>
      <c r="AB6" s="4778" t="s">
        <v>2077</v>
      </c>
      <c r="AC6" s="4778" t="s">
        <v>2078</v>
      </c>
      <c r="AD6" s="4778" t="s">
        <v>2087</v>
      </c>
    </row>
    <row r="7" spans="4:30" ht="32.25" customHeight="1" x14ac:dyDescent="0.55000000000000004">
      <c r="D7" s="4688" t="s">
        <v>1411</v>
      </c>
      <c r="E7" s="4779"/>
      <c r="F7" s="4706">
        <v>62.592421052631636</v>
      </c>
      <c r="G7" s="4706">
        <v>2.7966315789473684</v>
      </c>
      <c r="H7" s="4706">
        <v>3.3077368421052609</v>
      </c>
      <c r="J7" s="4688" t="s">
        <v>1411</v>
      </c>
      <c r="K7" s="4779"/>
      <c r="L7" s="4706">
        <v>63.913176470588255</v>
      </c>
      <c r="M7" s="4706">
        <v>1.8717647058823521</v>
      </c>
      <c r="N7" s="4706">
        <v>2.5894117647058814</v>
      </c>
      <c r="P7" s="4688" t="s">
        <v>1411</v>
      </c>
      <c r="Q7" s="4779"/>
      <c r="R7" s="4706">
        <v>57.384682274928792</v>
      </c>
      <c r="S7" s="4706">
        <v>4.061069698250412</v>
      </c>
      <c r="T7" s="4706">
        <v>2.9385519762231174</v>
      </c>
      <c r="U7" s="4706">
        <v>2.0851733646466379</v>
      </c>
      <c r="W7" s="4688" t="s">
        <v>1411</v>
      </c>
      <c r="X7" s="6473" t="s">
        <v>1855</v>
      </c>
      <c r="Y7" s="6473"/>
      <c r="Z7" s="6473"/>
      <c r="AA7" s="6473"/>
      <c r="AB7" s="6473"/>
      <c r="AC7" s="6473"/>
      <c r="AD7" s="6473"/>
    </row>
    <row r="8" spans="4:30" ht="28.8" x14ac:dyDescent="0.55000000000000004">
      <c r="D8" s="4688" t="s">
        <v>1412</v>
      </c>
      <c r="E8" s="4779"/>
      <c r="F8" s="4706">
        <v>62.414772946859848</v>
      </c>
      <c r="G8" s="4706">
        <v>3.0926360708534615</v>
      </c>
      <c r="H8" s="4706">
        <v>3.2114518760195785</v>
      </c>
      <c r="J8" s="4688" t="s">
        <v>1412</v>
      </c>
      <c r="K8" s="4779"/>
      <c r="L8" s="4706">
        <v>62.616530612244915</v>
      </c>
      <c r="M8" s="4706">
        <v>2.7822448979591838</v>
      </c>
      <c r="N8" s="4706">
        <v>3.0315918367346955</v>
      </c>
      <c r="P8" s="4688" t="s">
        <v>1412</v>
      </c>
      <c r="Q8" s="4779"/>
      <c r="R8" s="4706">
        <v>57.666494386436916</v>
      </c>
      <c r="S8" s="4706">
        <v>4.2392835375161679</v>
      </c>
      <c r="T8" s="4706">
        <v>3.0860570231678586</v>
      </c>
      <c r="U8" s="4706">
        <v>1.991930149178982</v>
      </c>
      <c r="W8" s="4688" t="s">
        <v>1412</v>
      </c>
      <c r="X8" s="6473"/>
      <c r="Y8" s="6473"/>
      <c r="Z8" s="6473"/>
      <c r="AA8" s="6473"/>
      <c r="AB8" s="6473"/>
      <c r="AC8" s="6473"/>
      <c r="AD8" s="6473"/>
    </row>
    <row r="9" spans="4:30" ht="28.8" x14ac:dyDescent="0.55000000000000004">
      <c r="D9" s="4688" t="s">
        <v>1413</v>
      </c>
      <c r="E9" s="4779"/>
      <c r="F9" s="4706">
        <v>62.249008403361287</v>
      </c>
      <c r="G9" s="4706">
        <v>3.7766554621848756</v>
      </c>
      <c r="H9" s="4706">
        <v>2.8714453781512606</v>
      </c>
      <c r="J9" s="4688" t="s">
        <v>1413</v>
      </c>
      <c r="K9" s="4779"/>
      <c r="L9" s="4706">
        <v>62.877727272727292</v>
      </c>
      <c r="M9" s="4706">
        <v>3.2952447552447564</v>
      </c>
      <c r="N9" s="4706">
        <v>2.1003496503496493</v>
      </c>
      <c r="P9" s="4688" t="s">
        <v>1413</v>
      </c>
      <c r="Q9" s="4779"/>
      <c r="R9" s="4706">
        <v>56.516058983090353</v>
      </c>
      <c r="S9" s="4706">
        <v>4.6805393152959391</v>
      </c>
      <c r="T9" s="4706">
        <v>2.9923282891980403</v>
      </c>
      <c r="U9" s="4706">
        <v>1.9580285119928031</v>
      </c>
      <c r="W9" s="4688" t="s">
        <v>1413</v>
      </c>
      <c r="X9" s="6473"/>
      <c r="Y9" s="6473"/>
      <c r="Z9" s="6473"/>
      <c r="AA9" s="6473"/>
      <c r="AB9" s="6473"/>
      <c r="AC9" s="6473"/>
      <c r="AD9" s="6473"/>
    </row>
    <row r="10" spans="4:30" ht="28.8" x14ac:dyDescent="0.55000000000000004">
      <c r="D10" s="4688" t="s">
        <v>1414</v>
      </c>
      <c r="E10" s="4779"/>
      <c r="F10" s="4706">
        <v>62.630572774869059</v>
      </c>
      <c r="G10" s="4706">
        <v>3.8978219895288015</v>
      </c>
      <c r="H10" s="4706">
        <v>2.2407120418848168</v>
      </c>
      <c r="J10" s="4688" t="s">
        <v>1414</v>
      </c>
      <c r="K10" s="4779"/>
      <c r="L10" s="4706">
        <v>63.026620999999963</v>
      </c>
      <c r="M10" s="4706">
        <v>3.7217741935483826</v>
      </c>
      <c r="N10" s="4706">
        <v>1.7948387096774181</v>
      </c>
      <c r="P10" s="4688" t="s">
        <v>1414</v>
      </c>
      <c r="Q10" s="4779"/>
      <c r="R10" s="4706">
        <v>56.248274943557462</v>
      </c>
      <c r="S10" s="4706">
        <v>4.8152999238446981</v>
      </c>
      <c r="T10" s="4706">
        <v>2.7998356123762473</v>
      </c>
      <c r="U10" s="4706">
        <v>1.9306909509977692</v>
      </c>
      <c r="W10" s="4688" t="s">
        <v>1414</v>
      </c>
      <c r="X10" s="6473"/>
      <c r="Y10" s="6473"/>
      <c r="Z10" s="6473"/>
      <c r="AA10" s="6473"/>
      <c r="AB10" s="6473"/>
      <c r="AC10" s="6473"/>
      <c r="AD10" s="6473"/>
    </row>
    <row r="11" spans="4:30" ht="28.8" x14ac:dyDescent="0.55000000000000004">
      <c r="D11" s="4688" t="s">
        <v>1415</v>
      </c>
      <c r="E11" s="4779"/>
      <c r="F11" s="4706">
        <v>61.856832946635677</v>
      </c>
      <c r="G11" s="4706">
        <v>4.2113573085846827</v>
      </c>
      <c r="H11" s="4706">
        <v>2.9364037122969839</v>
      </c>
      <c r="J11" s="4688" t="s">
        <v>1415</v>
      </c>
      <c r="K11" s="4779"/>
      <c r="L11" s="4706">
        <v>63.031521739130476</v>
      </c>
      <c r="M11" s="4706">
        <v>3.6093675889328081</v>
      </c>
      <c r="N11" s="4706">
        <v>1.8816403162055333</v>
      </c>
      <c r="P11" s="4688" t="s">
        <v>1415</v>
      </c>
      <c r="Q11" s="4779"/>
      <c r="R11" s="4706">
        <v>54.658268778978936</v>
      </c>
      <c r="S11" s="4706">
        <v>5.7694903097523493</v>
      </c>
      <c r="T11" s="4706">
        <v>2.9344785604493309</v>
      </c>
      <c r="U11" s="4706">
        <v>1.8331881373504406</v>
      </c>
      <c r="W11" s="4688" t="s">
        <v>1415</v>
      </c>
      <c r="X11" s="6473"/>
      <c r="Y11" s="6473"/>
      <c r="Z11" s="6473"/>
      <c r="AA11" s="6473"/>
      <c r="AB11" s="6473"/>
      <c r="AC11" s="6473"/>
      <c r="AD11" s="6473"/>
    </row>
    <row r="12" spans="4:30" ht="28.8" x14ac:dyDescent="0.55000000000000004">
      <c r="D12" s="4688" t="s">
        <v>1416</v>
      </c>
      <c r="E12" s="4779"/>
      <c r="F12" s="4706">
        <v>62.0164385093167</v>
      </c>
      <c r="G12" s="4706">
        <v>4.8478136645962682</v>
      </c>
      <c r="H12" s="4706">
        <v>2.1067950310558992</v>
      </c>
      <c r="J12" s="4688" t="s">
        <v>1416</v>
      </c>
      <c r="K12" s="4779"/>
      <c r="L12" s="4706">
        <v>62.828988919667516</v>
      </c>
      <c r="M12" s="4706">
        <v>4.1222160664819949</v>
      </c>
      <c r="N12" s="4706">
        <v>1.5608310249307473</v>
      </c>
      <c r="P12" s="4688" t="s">
        <v>1416</v>
      </c>
      <c r="Q12" s="4779"/>
      <c r="R12" s="4706">
        <v>54.557901847922452</v>
      </c>
      <c r="S12" s="4706">
        <v>5.9917244627008408</v>
      </c>
      <c r="T12" s="4706">
        <v>2.300313254544184</v>
      </c>
      <c r="U12" s="4706">
        <v>1.8502380482071401</v>
      </c>
      <c r="W12" s="4688" t="s">
        <v>1416</v>
      </c>
      <c r="X12" s="6473"/>
      <c r="Y12" s="6473"/>
      <c r="Z12" s="6473"/>
      <c r="AA12" s="6473"/>
      <c r="AB12" s="6473"/>
      <c r="AC12" s="6473"/>
      <c r="AD12" s="6473"/>
    </row>
    <row r="13" spans="4:30" ht="9.75" customHeight="1" x14ac:dyDescent="0.55000000000000004">
      <c r="D13" s="4780"/>
      <c r="E13" s="4781"/>
      <c r="F13" s="4782"/>
      <c r="G13" s="4782"/>
      <c r="H13" s="4782"/>
      <c r="J13" s="4780"/>
      <c r="K13" s="4781"/>
      <c r="L13" s="4782"/>
      <c r="M13" s="4782"/>
      <c r="N13" s="4782"/>
      <c r="P13" s="4780"/>
      <c r="Q13" s="4781"/>
      <c r="R13" s="4782"/>
      <c r="S13" s="4782"/>
      <c r="T13" s="4782"/>
      <c r="U13" s="4782"/>
      <c r="W13" s="4780"/>
      <c r="X13" s="4782"/>
      <c r="Y13" s="4689"/>
      <c r="Z13" s="4689"/>
      <c r="AA13" s="4689"/>
      <c r="AB13" s="4689"/>
      <c r="AC13" s="4689"/>
      <c r="AD13" s="4689"/>
    </row>
    <row r="14" spans="4:30" ht="28.8" x14ac:dyDescent="0.55000000000000004">
      <c r="D14" s="4690" t="s">
        <v>1417</v>
      </c>
      <c r="E14" s="4783"/>
      <c r="F14" s="4692">
        <v>61.36</v>
      </c>
      <c r="G14" s="4692">
        <v>4.2300000000000004</v>
      </c>
      <c r="H14" s="4692">
        <v>2.64</v>
      </c>
      <c r="J14" s="4690" t="s">
        <v>1417</v>
      </c>
      <c r="K14" s="4783"/>
      <c r="L14" s="4692">
        <v>62.43</v>
      </c>
      <c r="M14" s="4692">
        <v>3.52</v>
      </c>
      <c r="N14" s="4692">
        <v>2.2000000000000002</v>
      </c>
      <c r="P14" s="4690" t="s">
        <v>1417</v>
      </c>
      <c r="Q14" s="4783"/>
      <c r="R14" s="4692" t="s">
        <v>1549</v>
      </c>
      <c r="S14" s="4692" t="s">
        <v>1550</v>
      </c>
      <c r="T14" s="4692" t="s">
        <v>1551</v>
      </c>
      <c r="U14" s="4692">
        <v>1.85</v>
      </c>
      <c r="W14" s="4690"/>
      <c r="X14" s="4691"/>
      <c r="Y14" s="4691"/>
      <c r="Z14" s="4691"/>
      <c r="AA14" s="4691"/>
      <c r="AB14" s="4691"/>
      <c r="AC14" s="4691"/>
      <c r="AD14" s="4691"/>
    </row>
    <row r="15" spans="4:30" ht="28.5" hidden="1" customHeight="1" x14ac:dyDescent="0.55000000000000004">
      <c r="D15" s="6466" t="s">
        <v>1418</v>
      </c>
      <c r="E15" s="4783" t="s">
        <v>1419</v>
      </c>
      <c r="F15" s="4692">
        <v>62.26452542372882</v>
      </c>
      <c r="G15" s="4692">
        <v>4.0506779661016958</v>
      </c>
      <c r="H15" s="4692">
        <v>2.4597457627118628</v>
      </c>
      <c r="J15" s="4690"/>
      <c r="K15" s="4783" t="s">
        <v>1419</v>
      </c>
      <c r="L15" s="4692">
        <v>63.255868686868716</v>
      </c>
      <c r="M15" s="4692">
        <v>2.9725252525252523</v>
      </c>
      <c r="N15" s="4692">
        <v>1.8761616161616164</v>
      </c>
      <c r="P15" s="4690"/>
      <c r="Q15" s="4783"/>
      <c r="R15" s="4692"/>
      <c r="S15" s="4692"/>
      <c r="T15" s="4692"/>
      <c r="U15" s="4692"/>
      <c r="W15" s="4690"/>
      <c r="X15" s="4692"/>
      <c r="Y15" s="4689"/>
      <c r="Z15" s="4689"/>
      <c r="AA15" s="4689"/>
      <c r="AB15" s="4689"/>
      <c r="AC15" s="4689"/>
      <c r="AD15" s="4689"/>
    </row>
    <row r="16" spans="4:30" ht="28.5" hidden="1" customHeight="1" x14ac:dyDescent="0.55000000000000004">
      <c r="D16" s="6467"/>
      <c r="E16" s="4783" t="s">
        <v>1420</v>
      </c>
      <c r="F16" s="4692">
        <v>60.557013432835802</v>
      </c>
      <c r="G16" s="4692">
        <v>6.7840298507462693</v>
      </c>
      <c r="H16" s="4692">
        <v>2.5667164179104476</v>
      </c>
      <c r="J16" s="4690"/>
      <c r="K16" s="4783"/>
      <c r="L16" s="4692"/>
      <c r="M16" s="4692"/>
      <c r="N16" s="4692"/>
      <c r="P16" s="4690"/>
      <c r="Q16" s="4783"/>
      <c r="R16" s="4692"/>
      <c r="S16" s="4692"/>
      <c r="T16" s="4692"/>
      <c r="U16" s="4692"/>
      <c r="W16" s="4690"/>
      <c r="X16" s="4692"/>
      <c r="Y16" s="4689"/>
      <c r="Z16" s="4689"/>
      <c r="AA16" s="4689"/>
      <c r="AB16" s="4689"/>
      <c r="AC16" s="4689"/>
      <c r="AD16" s="4689"/>
    </row>
    <row r="17" spans="4:30" ht="28.5" hidden="1" customHeight="1" x14ac:dyDescent="0.55000000000000004">
      <c r="D17" s="6467"/>
      <c r="E17" s="4783" t="s">
        <v>1421</v>
      </c>
      <c r="F17" s="4692">
        <v>59.483333333333348</v>
      </c>
      <c r="G17" s="4692">
        <v>5.6566666666666663</v>
      </c>
      <c r="H17" s="4692">
        <v>5.4725000000000001</v>
      </c>
      <c r="J17" s="4690"/>
      <c r="K17" s="4783"/>
      <c r="L17" s="4692"/>
      <c r="M17" s="4692"/>
      <c r="N17" s="4692"/>
      <c r="P17" s="4690"/>
      <c r="Q17" s="4783"/>
      <c r="R17" s="4692"/>
      <c r="S17" s="4692"/>
      <c r="T17" s="4692"/>
      <c r="U17" s="4692"/>
      <c r="W17" s="4690"/>
      <c r="X17" s="4692"/>
      <c r="Y17" s="4689"/>
      <c r="Z17" s="4689"/>
      <c r="AA17" s="4689"/>
      <c r="AB17" s="4689"/>
      <c r="AC17" s="4689"/>
      <c r="AD17" s="4689"/>
    </row>
    <row r="18" spans="4:30" ht="28.5" hidden="1" customHeight="1" x14ac:dyDescent="0.55000000000000004">
      <c r="D18" s="6467"/>
      <c r="E18" s="4783" t="s">
        <v>1422</v>
      </c>
      <c r="F18" s="4692">
        <v>60.085000000000001</v>
      </c>
      <c r="G18" s="4692">
        <v>6.68</v>
      </c>
      <c r="H18" s="4692">
        <v>3.2549999999999999</v>
      </c>
      <c r="J18" s="4690"/>
      <c r="K18" s="4783"/>
      <c r="L18" s="4692"/>
      <c r="M18" s="4692"/>
      <c r="N18" s="4692"/>
      <c r="P18" s="4690"/>
      <c r="Q18" s="4783"/>
      <c r="R18" s="4692"/>
      <c r="S18" s="4692"/>
      <c r="T18" s="4692"/>
      <c r="U18" s="4692"/>
      <c r="W18" s="4690"/>
      <c r="X18" s="4692"/>
      <c r="Y18" s="4689"/>
      <c r="Z18" s="4689"/>
      <c r="AA18" s="4689"/>
      <c r="AB18" s="4689"/>
      <c r="AC18" s="4689"/>
      <c r="AD18" s="4689"/>
    </row>
    <row r="19" spans="4:30" ht="28.5" hidden="1" customHeight="1" x14ac:dyDescent="0.55000000000000004">
      <c r="D19" s="6467"/>
      <c r="E19" s="4783" t="s">
        <v>1423</v>
      </c>
      <c r="F19" s="4692">
        <v>61.6405009428032</v>
      </c>
      <c r="G19" s="4692">
        <v>4.9323067253299859</v>
      </c>
      <c r="H19" s="4692">
        <v>2.6575109993714601</v>
      </c>
      <c r="J19" s="4690"/>
      <c r="K19" s="4783"/>
      <c r="L19" s="4692"/>
      <c r="M19" s="4692"/>
      <c r="N19" s="4692"/>
      <c r="P19" s="4690"/>
      <c r="Q19" s="4783"/>
      <c r="R19" s="4692"/>
      <c r="S19" s="4692"/>
      <c r="T19" s="4692"/>
      <c r="U19" s="4692"/>
      <c r="W19" s="4690"/>
      <c r="X19" s="4692"/>
      <c r="Y19" s="4689"/>
      <c r="Z19" s="4689"/>
      <c r="AA19" s="4689"/>
      <c r="AB19" s="4689"/>
      <c r="AC19" s="4689"/>
      <c r="AD19" s="4689"/>
    </row>
    <row r="20" spans="4:30" ht="27.75" customHeight="1" x14ac:dyDescent="0.55000000000000004">
      <c r="D20" s="6468"/>
      <c r="E20" s="4783" t="s">
        <v>1424</v>
      </c>
      <c r="F20" s="4692">
        <v>61.65299988764054</v>
      </c>
      <c r="G20" s="4692">
        <v>4.8020112359550522</v>
      </c>
      <c r="H20" s="4692">
        <v>2.6520674157303348</v>
      </c>
      <c r="J20" s="4690" t="s">
        <v>1418</v>
      </c>
      <c r="K20" s="4783" t="s">
        <v>1424</v>
      </c>
      <c r="L20" s="4692">
        <v>62.937881390593041</v>
      </c>
      <c r="M20" s="4692">
        <v>3.5104498977505156</v>
      </c>
      <c r="N20" s="4692">
        <v>1.8599591002044982</v>
      </c>
      <c r="P20" s="4690" t="s">
        <v>1418</v>
      </c>
      <c r="Q20" s="4783" t="s">
        <v>1424</v>
      </c>
      <c r="R20" s="4692">
        <v>53.472138936884413</v>
      </c>
      <c r="S20" s="4692">
        <v>6.2968578269727109</v>
      </c>
      <c r="T20" s="4692">
        <v>2.6378704610110186</v>
      </c>
      <c r="U20" s="4692">
        <v>1.8678503639381072</v>
      </c>
      <c r="W20" s="4690" t="s">
        <v>1418</v>
      </c>
      <c r="X20" s="4692"/>
      <c r="Y20" s="4691"/>
      <c r="Z20" s="4691"/>
      <c r="AA20" s="4691"/>
      <c r="AB20" s="4691"/>
      <c r="AC20" s="4691"/>
      <c r="AD20" s="4691"/>
    </row>
    <row r="21" spans="4:30" ht="26.25" hidden="1" customHeight="1" x14ac:dyDescent="0.55000000000000004">
      <c r="D21" s="4690" t="s">
        <v>1425</v>
      </c>
      <c r="E21" s="4783"/>
      <c r="F21" s="4692">
        <v>61.5</v>
      </c>
      <c r="G21" s="4692">
        <v>4.2</v>
      </c>
      <c r="H21" s="4692">
        <v>2.5</v>
      </c>
      <c r="J21" s="4690" t="s">
        <v>1425</v>
      </c>
      <c r="K21" s="4783"/>
      <c r="L21" s="4692">
        <v>62.8</v>
      </c>
      <c r="M21" s="4692">
        <v>3.5</v>
      </c>
      <c r="N21" s="4692">
        <v>1.9</v>
      </c>
      <c r="P21" s="4690" t="s">
        <v>1425</v>
      </c>
      <c r="Q21" s="4783"/>
      <c r="R21" s="4692">
        <v>53.37822824219618</v>
      </c>
      <c r="S21" s="4692">
        <v>5.9162847311280826</v>
      </c>
      <c r="T21" s="4692">
        <v>3.1141975851535659</v>
      </c>
      <c r="U21" s="4692">
        <v>1.8680849713778922</v>
      </c>
      <c r="W21" s="4690" t="s">
        <v>1425</v>
      </c>
      <c r="X21" s="4692"/>
      <c r="Y21" s="4689"/>
      <c r="Z21" s="4689"/>
      <c r="AA21" s="4689"/>
      <c r="AB21" s="4689"/>
      <c r="AC21" s="4689"/>
      <c r="AD21" s="4689"/>
    </row>
    <row r="22" spans="4:30" ht="29.25" customHeight="1" x14ac:dyDescent="0.55000000000000004">
      <c r="D22" s="4690" t="s">
        <v>1629</v>
      </c>
      <c r="E22" s="4783"/>
      <c r="F22" s="4692">
        <v>61.37</v>
      </c>
      <c r="G22" s="4692">
        <v>4.9800000000000004</v>
      </c>
      <c r="H22" s="4692">
        <v>2.65</v>
      </c>
      <c r="J22" s="4690" t="s">
        <v>1629</v>
      </c>
      <c r="K22" s="4783"/>
      <c r="L22" s="4692">
        <v>62.5</v>
      </c>
      <c r="M22" s="4692">
        <v>3.95</v>
      </c>
      <c r="N22" s="4692">
        <v>2.0299999999999998</v>
      </c>
      <c r="P22" s="4690" t="s">
        <v>1629</v>
      </c>
      <c r="Q22" s="4783"/>
      <c r="R22" s="4692">
        <v>53.37822824219618</v>
      </c>
      <c r="S22" s="4692">
        <v>5.9162847311280826</v>
      </c>
      <c r="T22" s="4692">
        <v>3.1141975851535659</v>
      </c>
      <c r="U22" s="4692">
        <v>1.8680849713778922</v>
      </c>
      <c r="W22" s="4690" t="s">
        <v>1629</v>
      </c>
      <c r="X22" s="4692"/>
      <c r="Y22" s="4691"/>
      <c r="Z22" s="4691"/>
      <c r="AA22" s="4691"/>
      <c r="AB22" s="4691"/>
      <c r="AC22" s="4691"/>
      <c r="AD22" s="4691"/>
    </row>
    <row r="23" spans="4:30" ht="114" hidden="1" customHeight="1" x14ac:dyDescent="0.55000000000000004">
      <c r="D23" s="4693" t="s">
        <v>1582</v>
      </c>
      <c r="E23" s="4784"/>
      <c r="F23" s="4694">
        <v>60.83</v>
      </c>
      <c r="G23" s="4694">
        <v>4.82</v>
      </c>
      <c r="H23" s="4694">
        <v>3.32</v>
      </c>
      <c r="J23" s="4693" t="s">
        <v>1582</v>
      </c>
      <c r="K23" s="4784"/>
      <c r="L23" s="4694">
        <v>62.45</v>
      </c>
      <c r="M23" s="4694">
        <v>2.85</v>
      </c>
      <c r="N23" s="4694">
        <v>2.29</v>
      </c>
      <c r="P23" s="4693" t="s">
        <v>1582</v>
      </c>
      <c r="Q23" s="4784"/>
      <c r="R23" s="4694">
        <v>53.16</v>
      </c>
      <c r="S23" s="4694">
        <v>6.19</v>
      </c>
      <c r="T23" s="4694">
        <v>3.12</v>
      </c>
      <c r="U23" s="4694">
        <v>1.87</v>
      </c>
      <c r="W23" s="4693" t="s">
        <v>1582</v>
      </c>
      <c r="X23" s="4694"/>
      <c r="Y23" s="4689"/>
      <c r="Z23" s="4689"/>
      <c r="AA23" s="4689"/>
      <c r="AB23" s="4689"/>
      <c r="AC23" s="4689"/>
      <c r="AD23" s="4689"/>
    </row>
    <row r="24" spans="4:30" ht="114" hidden="1" customHeight="1" x14ac:dyDescent="0.55000000000000004">
      <c r="D24" s="4693" t="s">
        <v>1574</v>
      </c>
      <c r="E24" s="4784"/>
      <c r="F24" s="4694">
        <v>61.312799999999982</v>
      </c>
      <c r="G24" s="4694">
        <v>3.6630000000000003</v>
      </c>
      <c r="H24" s="4694">
        <v>2.8299999999999987</v>
      </c>
      <c r="J24" s="4693" t="s">
        <v>1574</v>
      </c>
      <c r="K24" s="4784"/>
      <c r="L24" s="4694">
        <v>62.771507246376814</v>
      </c>
      <c r="M24" s="4694">
        <v>2.4013043478260871</v>
      </c>
      <c r="N24" s="4694">
        <v>1.6024637681159422</v>
      </c>
      <c r="P24" s="4693" t="s">
        <v>1574</v>
      </c>
      <c r="Q24" s="4784"/>
      <c r="R24" s="4694">
        <v>52.19</v>
      </c>
      <c r="S24" s="4694">
        <v>6.36</v>
      </c>
      <c r="T24" s="4694">
        <v>3.15</v>
      </c>
      <c r="U24" s="4694">
        <v>1.85</v>
      </c>
      <c r="W24" s="4693" t="s">
        <v>1574</v>
      </c>
      <c r="X24" s="4694"/>
      <c r="Y24" s="4689"/>
      <c r="Z24" s="4689"/>
      <c r="AA24" s="4689"/>
      <c r="AB24" s="4689"/>
      <c r="AC24" s="4689"/>
      <c r="AD24" s="4689"/>
    </row>
    <row r="25" spans="4:30" ht="114" hidden="1" customHeight="1" x14ac:dyDescent="0.55000000000000004">
      <c r="D25" s="4693" t="s">
        <v>1576</v>
      </c>
      <c r="E25" s="4784"/>
      <c r="F25" s="4694">
        <v>61.834753424657535</v>
      </c>
      <c r="G25" s="4694">
        <v>3.0872602739726025</v>
      </c>
      <c r="H25" s="4694">
        <v>2.512876712328767</v>
      </c>
      <c r="J25" s="4693" t="s">
        <v>1576</v>
      </c>
      <c r="K25" s="4784"/>
      <c r="L25" s="4694">
        <v>62.529117647058818</v>
      </c>
      <c r="M25" s="4694">
        <v>2.3072549019607846</v>
      </c>
      <c r="N25" s="4694">
        <v>1.975490196078431</v>
      </c>
      <c r="P25" s="4693" t="s">
        <v>1576</v>
      </c>
      <c r="Q25" s="4784"/>
      <c r="R25" s="4694">
        <v>55.08</v>
      </c>
      <c r="S25" s="4694">
        <v>5.1260000000000003</v>
      </c>
      <c r="T25" s="4694">
        <v>2.67</v>
      </c>
      <c r="U25" s="4694">
        <v>1.87</v>
      </c>
      <c r="W25" s="4693" t="s">
        <v>1576</v>
      </c>
      <c r="X25" s="4694"/>
      <c r="Y25" s="4689"/>
      <c r="Z25" s="4689"/>
      <c r="AA25" s="4689"/>
      <c r="AB25" s="4689"/>
      <c r="AC25" s="4689"/>
      <c r="AD25" s="4689"/>
    </row>
    <row r="26" spans="4:30" ht="114" hidden="1" customHeight="1" x14ac:dyDescent="0.55000000000000004">
      <c r="D26" s="4693" t="s">
        <v>1575</v>
      </c>
      <c r="E26" s="4784"/>
      <c r="F26" s="4694">
        <v>61.09731868131869</v>
      </c>
      <c r="G26" s="4694">
        <v>4.4797802197802179</v>
      </c>
      <c r="H26" s="4694">
        <v>2.3717582417582417</v>
      </c>
      <c r="I26" s="2332">
        <v>61.09731868131869</v>
      </c>
      <c r="J26" s="4693" t="s">
        <v>1575</v>
      </c>
      <c r="K26" s="4784"/>
      <c r="L26" s="4694">
        <v>62.505999999999993</v>
      </c>
      <c r="M26" s="4694">
        <v>2.7073170731707319</v>
      </c>
      <c r="N26" s="4694">
        <v>1.6843902439024394</v>
      </c>
      <c r="P26" s="4693" t="s">
        <v>1575</v>
      </c>
      <c r="Q26" s="4784"/>
      <c r="R26" s="4694">
        <v>52.78</v>
      </c>
      <c r="S26" s="4694">
        <v>6.24</v>
      </c>
      <c r="T26" s="4694">
        <v>2.65</v>
      </c>
      <c r="U26" s="4694">
        <v>1.86</v>
      </c>
      <c r="W26" s="4693" t="s">
        <v>1575</v>
      </c>
      <c r="X26" s="4694"/>
      <c r="Y26" s="4689"/>
      <c r="Z26" s="4689"/>
      <c r="AA26" s="4689"/>
      <c r="AB26" s="4689"/>
      <c r="AC26" s="4689"/>
      <c r="AD26" s="4689"/>
    </row>
    <row r="27" spans="4:30" ht="114" hidden="1" customHeight="1" x14ac:dyDescent="0.55000000000000004">
      <c r="D27" s="4693" t="s">
        <v>1577</v>
      </c>
      <c r="E27" s="4784"/>
      <c r="F27" s="4694">
        <v>60.579487804878084</v>
      </c>
      <c r="G27" s="4694">
        <v>5.0039024390243911</v>
      </c>
      <c r="H27" s="4694">
        <v>2.4721951219512199</v>
      </c>
      <c r="J27" s="4693" t="s">
        <v>1577</v>
      </c>
      <c r="K27" s="4784"/>
      <c r="L27" s="4694">
        <v>62.400642857142863</v>
      </c>
      <c r="M27" s="4694">
        <v>3.3657142857142861</v>
      </c>
      <c r="N27" s="4694">
        <v>1.3010714285714289</v>
      </c>
      <c r="P27" s="4693" t="s">
        <v>1577</v>
      </c>
      <c r="Q27" s="4784"/>
      <c r="R27" s="4694">
        <v>52.52</v>
      </c>
      <c r="S27" s="4694">
        <v>6.63</v>
      </c>
      <c r="T27" s="4694">
        <v>2.58</v>
      </c>
      <c r="U27" s="4694">
        <v>1.81</v>
      </c>
      <c r="W27" s="4693" t="s">
        <v>1577</v>
      </c>
      <c r="X27" s="4694"/>
      <c r="Y27" s="4689"/>
      <c r="Z27" s="4689"/>
      <c r="AA27" s="4689"/>
      <c r="AB27" s="4689"/>
      <c r="AC27" s="4689"/>
      <c r="AD27" s="4689"/>
    </row>
    <row r="28" spans="4:30" ht="114" hidden="1" customHeight="1" x14ac:dyDescent="0.55000000000000004">
      <c r="D28" s="4693" t="s">
        <v>1578</v>
      </c>
      <c r="E28" s="4784"/>
      <c r="F28" s="4694">
        <v>61.352785714285709</v>
      </c>
      <c r="G28" s="4694">
        <v>4.1680000000000019</v>
      </c>
      <c r="H28" s="4694">
        <v>2.0210000000000008</v>
      </c>
      <c r="J28" s="4693" t="s">
        <v>1578</v>
      </c>
      <c r="K28" s="4784"/>
      <c r="L28" s="4694">
        <v>62.178060606060612</v>
      </c>
      <c r="M28" s="4694">
        <v>3.3260606060606062</v>
      </c>
      <c r="N28" s="4694">
        <v>1.4766666666666668</v>
      </c>
      <c r="P28" s="4693" t="s">
        <v>1578</v>
      </c>
      <c r="Q28" s="4784"/>
      <c r="R28" s="4694">
        <v>52.6</v>
      </c>
      <c r="S28" s="4694">
        <v>6.63</v>
      </c>
      <c r="T28" s="4694">
        <v>2.42</v>
      </c>
      <c r="U28" s="4694">
        <v>1.75</v>
      </c>
      <c r="W28" s="4693" t="s">
        <v>1578</v>
      </c>
      <c r="X28" s="4694"/>
      <c r="Y28" s="4689"/>
      <c r="Z28" s="4689"/>
      <c r="AA28" s="4689"/>
      <c r="AB28" s="4689"/>
      <c r="AC28" s="4689"/>
      <c r="AD28" s="4689"/>
    </row>
    <row r="29" spans="4:30" ht="114" hidden="1" customHeight="1" x14ac:dyDescent="0.55000000000000004">
      <c r="D29" s="4693" t="s">
        <v>1579</v>
      </c>
      <c r="E29" s="4784"/>
      <c r="F29" s="4694">
        <v>60.652396039603971</v>
      </c>
      <c r="G29" s="4694">
        <v>4.925841584158416</v>
      </c>
      <c r="H29" s="4694">
        <v>2.2668316831683168</v>
      </c>
      <c r="J29" s="4693" t="s">
        <v>1579</v>
      </c>
      <c r="K29" s="4784"/>
      <c r="L29" s="4694">
        <v>62.535204545454569</v>
      </c>
      <c r="M29" s="4694">
        <v>2.8165909090909089</v>
      </c>
      <c r="N29" s="4694">
        <v>1.3911363636363632</v>
      </c>
      <c r="P29" s="4693" t="s">
        <v>1579</v>
      </c>
      <c r="Q29" s="4784"/>
      <c r="R29" s="4694">
        <v>53.18</v>
      </c>
      <c r="S29" s="4694">
        <v>6.46</v>
      </c>
      <c r="T29" s="4694">
        <v>2.27</v>
      </c>
      <c r="U29" s="4694">
        <v>1.75</v>
      </c>
      <c r="W29" s="4693" t="s">
        <v>1579</v>
      </c>
      <c r="X29" s="4694"/>
      <c r="Y29" s="4689"/>
      <c r="Z29" s="4689"/>
      <c r="AA29" s="4689"/>
      <c r="AB29" s="4689"/>
      <c r="AC29" s="4689"/>
      <c r="AD29" s="4689"/>
    </row>
    <row r="30" spans="4:30" ht="114" hidden="1" customHeight="1" x14ac:dyDescent="0.55000000000000004">
      <c r="D30" s="4693" t="s">
        <v>1580</v>
      </c>
      <c r="E30" s="4784"/>
      <c r="F30" s="4694">
        <v>61.29</v>
      </c>
      <c r="G30" s="4694">
        <v>4.04</v>
      </c>
      <c r="H30" s="4694">
        <v>2.21</v>
      </c>
      <c r="J30" s="4693" t="s">
        <v>1580</v>
      </c>
      <c r="K30" s="4784"/>
      <c r="L30" s="4694">
        <v>62.22</v>
      </c>
      <c r="M30" s="4694">
        <v>3.19</v>
      </c>
      <c r="N30" s="4694">
        <v>1.7</v>
      </c>
      <c r="P30" s="4693" t="s">
        <v>1580</v>
      </c>
      <c r="Q30" s="4784"/>
      <c r="R30" s="4694">
        <v>53.3</v>
      </c>
      <c r="S30" s="4694">
        <v>6.38</v>
      </c>
      <c r="T30" s="4694">
        <v>2.41</v>
      </c>
      <c r="U30" s="4694">
        <v>1.74</v>
      </c>
      <c r="W30" s="4693" t="s">
        <v>1580</v>
      </c>
      <c r="X30" s="4694"/>
      <c r="Y30" s="4689"/>
      <c r="Z30" s="4689"/>
      <c r="AA30" s="4689"/>
      <c r="AB30" s="4689"/>
      <c r="AC30" s="4689"/>
      <c r="AD30" s="4689"/>
    </row>
    <row r="31" spans="4:30" ht="114" hidden="1" customHeight="1" x14ac:dyDescent="0.55000000000000004">
      <c r="D31" s="4693" t="s">
        <v>1581</v>
      </c>
      <c r="E31" s="4784"/>
      <c r="F31" s="4694">
        <v>61.497297029702963</v>
      </c>
      <c r="G31" s="4694">
        <v>4.2097029702970303</v>
      </c>
      <c r="H31" s="4694">
        <v>1.8356435643564362</v>
      </c>
      <c r="J31" s="4693" t="s">
        <v>1581</v>
      </c>
      <c r="K31" s="4784"/>
      <c r="L31" s="4694">
        <v>62.373446808510671</v>
      </c>
      <c r="M31" s="4694">
        <v>3.2148936170212763</v>
      </c>
      <c r="N31" s="4694">
        <v>1.4134042553191488</v>
      </c>
      <c r="P31" s="4693" t="s">
        <v>1581</v>
      </c>
      <c r="Q31" s="4784"/>
      <c r="R31" s="4694">
        <v>53.96</v>
      </c>
      <c r="S31" s="4694">
        <v>6.1</v>
      </c>
      <c r="T31" s="4694">
        <v>2.21</v>
      </c>
      <c r="U31" s="4694">
        <v>1.74</v>
      </c>
      <c r="W31" s="4693" t="s">
        <v>1581</v>
      </c>
      <c r="X31" s="4694"/>
      <c r="Y31" s="4689"/>
      <c r="Z31" s="4689"/>
      <c r="AA31" s="4689"/>
      <c r="AB31" s="4689"/>
      <c r="AC31" s="4689"/>
      <c r="AD31" s="4689"/>
    </row>
    <row r="32" spans="4:30" ht="114" hidden="1" customHeight="1" x14ac:dyDescent="0.55000000000000004">
      <c r="D32" s="4693" t="s">
        <v>1586</v>
      </c>
      <c r="E32" s="4784"/>
      <c r="F32" s="4694">
        <v>61.49</v>
      </c>
      <c r="G32" s="4694">
        <v>3.8231868131868114</v>
      </c>
      <c r="H32" s="4694">
        <v>2.1123076923076924</v>
      </c>
      <c r="J32" s="4693" t="s">
        <v>1586</v>
      </c>
      <c r="K32" s="4784"/>
      <c r="L32" s="4694">
        <v>62</v>
      </c>
      <c r="M32" s="4694">
        <v>3.22</v>
      </c>
      <c r="N32" s="4694">
        <v>1.89</v>
      </c>
      <c r="P32" s="4693" t="s">
        <v>1586</v>
      </c>
      <c r="Q32" s="4784"/>
      <c r="R32" s="4694">
        <v>53.82</v>
      </c>
      <c r="S32" s="4694">
        <v>6.04</v>
      </c>
      <c r="T32" s="4694">
        <v>2.4</v>
      </c>
      <c r="U32" s="4694">
        <v>1.76</v>
      </c>
      <c r="W32" s="4693" t="s">
        <v>1586</v>
      </c>
      <c r="X32" s="4694"/>
      <c r="Y32" s="4689"/>
      <c r="Z32" s="4689"/>
      <c r="AA32" s="4689"/>
      <c r="AB32" s="4689"/>
      <c r="AC32" s="4689"/>
      <c r="AD32" s="4689"/>
    </row>
    <row r="33" spans="4:30" ht="114" hidden="1" customHeight="1" x14ac:dyDescent="0.55000000000000004">
      <c r="D33" s="4693" t="s">
        <v>1597</v>
      </c>
      <c r="E33" s="4784"/>
      <c r="F33" s="4694">
        <v>60.483788732394359</v>
      </c>
      <c r="G33" s="4694">
        <v>4.5140845070422539</v>
      </c>
      <c r="H33" s="4694">
        <v>2.9476056338028171</v>
      </c>
      <c r="J33" s="4693" t="s">
        <v>1597</v>
      </c>
      <c r="K33" s="4784"/>
      <c r="L33" s="4694">
        <v>61.784959183673486</v>
      </c>
      <c r="M33" s="4694">
        <v>3.1918367346938772</v>
      </c>
      <c r="N33" s="4694">
        <v>2.2140816326530612</v>
      </c>
      <c r="P33" s="4693" t="s">
        <v>1597</v>
      </c>
      <c r="Q33" s="4784"/>
      <c r="R33" s="4694">
        <v>53.01</v>
      </c>
      <c r="S33" s="4694">
        <v>6.26</v>
      </c>
      <c r="T33" s="4694">
        <v>2.79</v>
      </c>
      <c r="U33" s="4694">
        <v>1.77</v>
      </c>
      <c r="W33" s="4693" t="s">
        <v>1597</v>
      </c>
      <c r="X33" s="4694"/>
      <c r="Y33" s="4689"/>
      <c r="Z33" s="4689"/>
      <c r="AA33" s="4689"/>
      <c r="AB33" s="4689"/>
      <c r="AC33" s="4689"/>
      <c r="AD33" s="4689"/>
    </row>
    <row r="34" spans="4:30" ht="114" hidden="1" customHeight="1" x14ac:dyDescent="0.55000000000000004">
      <c r="D34" s="4693" t="s">
        <v>1608</v>
      </c>
      <c r="E34" s="4784"/>
      <c r="F34" s="4694">
        <v>60.709963855421684</v>
      </c>
      <c r="G34" s="4694">
        <v>4.3401204819277126</v>
      </c>
      <c r="H34" s="4694">
        <v>2.8090361445783141</v>
      </c>
      <c r="J34" s="4693" t="s">
        <v>1608</v>
      </c>
      <c r="K34" s="4784"/>
      <c r="L34" s="4694">
        <v>62.315816326530602</v>
      </c>
      <c r="M34" s="4694">
        <v>2.6636734693877555</v>
      </c>
      <c r="N34" s="4694">
        <v>1.9604081632653059</v>
      </c>
      <c r="P34" s="4693" t="s">
        <v>1608</v>
      </c>
      <c r="Q34" s="4784"/>
      <c r="R34" s="4694">
        <v>51.75</v>
      </c>
      <c r="S34" s="4694">
        <v>6.94</v>
      </c>
      <c r="T34" s="4694">
        <v>3.05</v>
      </c>
      <c r="U34" s="4694">
        <v>1.75</v>
      </c>
      <c r="W34" s="4693" t="s">
        <v>1608</v>
      </c>
      <c r="X34" s="4694"/>
      <c r="Y34" s="4689"/>
      <c r="Z34" s="4689"/>
      <c r="AA34" s="4689"/>
      <c r="AB34" s="4689"/>
      <c r="AC34" s="4689"/>
      <c r="AD34" s="4689"/>
    </row>
    <row r="35" spans="4:30" ht="28.8" x14ac:dyDescent="0.55000000000000004">
      <c r="D35" s="4688" t="s">
        <v>1630</v>
      </c>
      <c r="E35" s="4779"/>
      <c r="F35" s="4706">
        <f>+AVERAGE(F23:F34)</f>
        <v>61.094215940188583</v>
      </c>
      <c r="G35" s="4706">
        <f>+AVERAGE(G23:G34)</f>
        <v>4.2562399407824527</v>
      </c>
      <c r="H35" s="4706">
        <f>+AVERAGE(H23:H34)</f>
        <v>2.4757712328543167</v>
      </c>
      <c r="J35" s="4688" t="s">
        <v>1630</v>
      </c>
      <c r="K35" s="4779"/>
      <c r="L35" s="4706">
        <f>+AVERAGE(L23:L34)</f>
        <v>62.338729601734038</v>
      </c>
      <c r="M35" s="4706">
        <f t="shared" ref="M35:N35" si="0">+AVERAGE(M23:M34)</f>
        <v>2.9378871620771925</v>
      </c>
      <c r="N35" s="4706">
        <f t="shared" si="0"/>
        <v>1.7415927265173989</v>
      </c>
      <c r="P35" s="4688" t="s">
        <v>1630</v>
      </c>
      <c r="Q35" s="4779"/>
      <c r="R35" s="4706">
        <f t="shared" ref="R35:U35" si="1">+AVERAGE(R23:R34)</f>
        <v>53.112500000000004</v>
      </c>
      <c r="S35" s="4706">
        <f t="shared" si="1"/>
        <v>6.2796666666666674</v>
      </c>
      <c r="T35" s="4706">
        <f t="shared" si="1"/>
        <v>2.6433333333333331</v>
      </c>
      <c r="U35" s="4706">
        <f t="shared" si="1"/>
        <v>1.7933333333333332</v>
      </c>
      <c r="W35" s="4688" t="s">
        <v>1630</v>
      </c>
      <c r="X35" s="4706">
        <v>63.409864864864851</v>
      </c>
      <c r="Y35" s="4706">
        <v>94.173066666666728</v>
      </c>
      <c r="Z35" s="4706">
        <v>0.70680000000000009</v>
      </c>
      <c r="AA35" s="4785">
        <v>222.89333333333335</v>
      </c>
      <c r="AB35" s="4706">
        <v>2.3660000000000001</v>
      </c>
      <c r="AC35" s="4706">
        <v>3.803066666666667</v>
      </c>
      <c r="AD35" s="4706">
        <v>22.167466666666673</v>
      </c>
    </row>
    <row r="36" spans="4:30" x14ac:dyDescent="0.3">
      <c r="I36" s="1551"/>
      <c r="O36" s="1551"/>
      <c r="W36" s="4689"/>
      <c r="X36" s="4689"/>
      <c r="Y36" s="4689"/>
      <c r="Z36" s="4689"/>
      <c r="AA36" s="4689"/>
      <c r="AB36" s="4689"/>
      <c r="AC36" s="4689"/>
      <c r="AD36" s="4689"/>
    </row>
    <row r="37" spans="4:30" ht="28.8" x14ac:dyDescent="0.55000000000000004">
      <c r="D37" s="4690" t="s">
        <v>1618</v>
      </c>
      <c r="F37" s="4692">
        <v>61.57</v>
      </c>
      <c r="G37" s="4692">
        <v>4.67</v>
      </c>
      <c r="H37" s="4692">
        <v>2.59</v>
      </c>
      <c r="I37" s="1551"/>
      <c r="J37" s="4690" t="s">
        <v>1618</v>
      </c>
      <c r="L37" s="4692">
        <v>62.47</v>
      </c>
      <c r="M37" s="4692">
        <v>3.84</v>
      </c>
      <c r="N37" s="4692">
        <v>2.13</v>
      </c>
      <c r="O37" s="1551"/>
      <c r="P37" s="4690" t="s">
        <v>1618</v>
      </c>
      <c r="R37" s="4692">
        <f>+[2]SINTER!D103</f>
        <v>55.430739802849317</v>
      </c>
      <c r="S37" s="4692">
        <f>+[2]SINTER!D105</f>
        <v>5.3691091749165931</v>
      </c>
      <c r="T37" s="4692">
        <f>+[2]SINTER!D106</f>
        <v>2.7277716029417967</v>
      </c>
      <c r="U37" s="4692">
        <f>+[2]SINTER!D109</f>
        <v>1.7221171729653546</v>
      </c>
      <c r="W37" s="4690"/>
      <c r="X37" s="4692"/>
      <c r="Y37" s="4692"/>
      <c r="Z37" s="4692"/>
      <c r="AA37" s="4692"/>
      <c r="AB37" s="4692"/>
      <c r="AC37" s="4692"/>
      <c r="AD37" s="4692"/>
    </row>
    <row r="38" spans="4:30" ht="114" hidden="1" customHeight="1" x14ac:dyDescent="0.55000000000000004">
      <c r="D38" s="4695" t="s">
        <v>1624</v>
      </c>
      <c r="E38" s="4786"/>
      <c r="F38" s="4696">
        <v>61.297225352112704</v>
      </c>
      <c r="G38" s="4696">
        <v>4.1054929577464776</v>
      </c>
      <c r="H38" s="4696">
        <v>2.1745070422535218</v>
      </c>
      <c r="I38" s="1551"/>
      <c r="J38" s="4695" t="s">
        <v>1624</v>
      </c>
      <c r="K38" s="4786"/>
      <c r="L38" s="4696">
        <v>61.974096774193548</v>
      </c>
      <c r="M38" s="4696">
        <v>3.3241935483870959</v>
      </c>
      <c r="N38" s="4696">
        <v>1.9058064516129034</v>
      </c>
      <c r="O38" s="1551"/>
      <c r="P38" s="4695" t="s">
        <v>1624</v>
      </c>
      <c r="Q38" s="4786"/>
      <c r="R38" s="4696">
        <v>53.9</v>
      </c>
      <c r="S38" s="4696">
        <v>6</v>
      </c>
      <c r="T38" s="4696">
        <v>2.5099999999999998</v>
      </c>
      <c r="U38" s="4696">
        <v>1.76</v>
      </c>
      <c r="W38" s="4695" t="s">
        <v>1624</v>
      </c>
      <c r="X38" s="4696"/>
      <c r="Y38" s="4689"/>
      <c r="Z38" s="4689"/>
      <c r="AA38" s="4689"/>
      <c r="AB38" s="4689"/>
      <c r="AC38" s="4689"/>
      <c r="AD38" s="4689"/>
    </row>
    <row r="39" spans="4:30" ht="114" hidden="1" customHeight="1" x14ac:dyDescent="0.55000000000000004">
      <c r="D39" s="4695" t="s">
        <v>1723</v>
      </c>
      <c r="E39" s="4786"/>
      <c r="F39" s="4696">
        <v>60.624448275862093</v>
      </c>
      <c r="G39" s="4696">
        <v>4.3388505747126436</v>
      </c>
      <c r="H39" s="4696">
        <v>3.0133333333333336</v>
      </c>
      <c r="I39" s="1551"/>
      <c r="J39" s="4695" t="s">
        <v>1723</v>
      </c>
      <c r="K39" s="4786"/>
      <c r="L39" s="4696">
        <v>62.292258620689672</v>
      </c>
      <c r="M39" s="4696">
        <v>2.7684482758620699</v>
      </c>
      <c r="N39" s="4696">
        <v>1.9418965517241378</v>
      </c>
      <c r="O39" s="1551"/>
      <c r="P39" s="4695" t="s">
        <v>1723</v>
      </c>
      <c r="Q39" s="4786"/>
      <c r="R39" s="4696">
        <v>54.71</v>
      </c>
      <c r="S39" s="4696">
        <v>5.6</v>
      </c>
      <c r="T39" s="4696">
        <v>2.5299999999999998</v>
      </c>
      <c r="U39" s="4696">
        <v>1.76</v>
      </c>
      <c r="W39" s="4695" t="s">
        <v>1723</v>
      </c>
      <c r="X39" s="4696"/>
      <c r="Y39" s="4689"/>
      <c r="Z39" s="4689"/>
      <c r="AA39" s="4689"/>
      <c r="AB39" s="4689"/>
      <c r="AC39" s="4689"/>
      <c r="AD39" s="4689"/>
    </row>
    <row r="40" spans="4:30" ht="114" hidden="1" customHeight="1" x14ac:dyDescent="0.55000000000000004">
      <c r="D40" s="4695" t="s">
        <v>1755</v>
      </c>
      <c r="E40" s="4786"/>
      <c r="F40" s="4696">
        <v>61.508841269841277</v>
      </c>
      <c r="G40" s="4696">
        <v>3.5650793650793644</v>
      </c>
      <c r="H40" s="4696">
        <v>2.4058730158730164</v>
      </c>
      <c r="I40" s="1551"/>
      <c r="J40" s="4695" t="s">
        <v>1755</v>
      </c>
      <c r="K40" s="4786"/>
      <c r="L40" s="4696">
        <v>62.426810810810807</v>
      </c>
      <c r="M40" s="4696">
        <v>2.7586486486486481</v>
      </c>
      <c r="N40" s="4696">
        <v>1.7997297297297299</v>
      </c>
      <c r="O40" s="1551"/>
      <c r="P40" s="4695" t="s">
        <v>1755</v>
      </c>
      <c r="Q40" s="4786"/>
      <c r="R40" s="4696">
        <v>55.77</v>
      </c>
      <c r="S40" s="4696">
        <v>5.04</v>
      </c>
      <c r="T40" s="4696">
        <v>2.65</v>
      </c>
      <c r="U40" s="4696">
        <v>1.79</v>
      </c>
      <c r="W40" s="4695" t="s">
        <v>1755</v>
      </c>
      <c r="X40" s="4696"/>
      <c r="Y40" s="4689"/>
      <c r="Z40" s="4689"/>
      <c r="AA40" s="4689"/>
      <c r="AB40" s="4689"/>
      <c r="AC40" s="4689"/>
      <c r="AD40" s="4689"/>
    </row>
    <row r="41" spans="4:30" ht="114" hidden="1" customHeight="1" x14ac:dyDescent="0.55000000000000004">
      <c r="D41" s="4695" t="s">
        <v>1768</v>
      </c>
      <c r="E41" s="4786"/>
      <c r="F41" s="4696">
        <v>61.76</v>
      </c>
      <c r="G41" s="4696">
        <v>3.52</v>
      </c>
      <c r="H41" s="4696">
        <v>2.09</v>
      </c>
      <c r="I41" s="1551"/>
      <c r="J41" s="4695" t="s">
        <v>1768</v>
      </c>
      <c r="K41" s="4786"/>
      <c r="L41" s="4696">
        <v>62.4</v>
      </c>
      <c r="M41" s="4696">
        <v>2.99</v>
      </c>
      <c r="N41" s="4696">
        <v>1.62</v>
      </c>
      <c r="O41" s="1551"/>
      <c r="P41" s="4695" t="s">
        <v>1768</v>
      </c>
      <c r="Q41" s="4786"/>
      <c r="R41" s="4696">
        <v>55.7</v>
      </c>
      <c r="S41" s="4696">
        <v>5.23</v>
      </c>
      <c r="T41" s="4696">
        <v>2.71</v>
      </c>
      <c r="U41" s="4696">
        <v>1.79</v>
      </c>
      <c r="W41" s="4695" t="s">
        <v>1768</v>
      </c>
      <c r="X41" s="4696"/>
      <c r="Y41" s="4689"/>
      <c r="Z41" s="4689"/>
      <c r="AA41" s="4689"/>
      <c r="AB41" s="4689"/>
      <c r="AC41" s="4689"/>
      <c r="AD41" s="4689"/>
    </row>
    <row r="42" spans="4:30" ht="114" hidden="1" customHeight="1" x14ac:dyDescent="0.55000000000000004">
      <c r="D42" s="4695" t="s">
        <v>1777</v>
      </c>
      <c r="E42" s="4786"/>
      <c r="F42" s="4696">
        <v>61.220569444444465</v>
      </c>
      <c r="G42" s="4696">
        <v>4.3161111111111099</v>
      </c>
      <c r="H42" s="4696">
        <v>2.3977777777777782</v>
      </c>
      <c r="I42" s="1551"/>
      <c r="J42" s="4695" t="s">
        <v>1777</v>
      </c>
      <c r="K42" s="4786"/>
      <c r="L42" s="4696">
        <v>62.312097560975616</v>
      </c>
      <c r="M42" s="4696">
        <v>3.2736585365853652</v>
      </c>
      <c r="N42" s="4696">
        <v>1.6480487804878043</v>
      </c>
      <c r="O42" s="1551"/>
      <c r="P42" s="4695" t="s">
        <v>1777</v>
      </c>
      <c r="Q42" s="4786"/>
      <c r="R42" s="4696">
        <v>55.53</v>
      </c>
      <c r="S42" s="4696">
        <v>5.43</v>
      </c>
      <c r="T42" s="4696">
        <v>2.5</v>
      </c>
      <c r="U42" s="4696">
        <v>1.76</v>
      </c>
      <c r="W42" s="4695" t="s">
        <v>1777</v>
      </c>
      <c r="X42" s="4696"/>
      <c r="Y42" s="4689"/>
      <c r="Z42" s="4689"/>
      <c r="AA42" s="4689"/>
      <c r="AB42" s="4689"/>
      <c r="AC42" s="4689"/>
      <c r="AD42" s="4689"/>
    </row>
    <row r="43" spans="4:30" ht="114" hidden="1" customHeight="1" x14ac:dyDescent="0.55000000000000004">
      <c r="D43" s="4695" t="s">
        <v>1787</v>
      </c>
      <c r="E43" s="4786"/>
      <c r="F43" s="4696">
        <v>60.76</v>
      </c>
      <c r="G43" s="4696">
        <v>4.8</v>
      </c>
      <c r="H43" s="4696">
        <v>2.64</v>
      </c>
      <c r="I43" s="1551"/>
      <c r="J43" s="4695" t="s">
        <v>1787</v>
      </c>
      <c r="K43" s="4786"/>
      <c r="L43" s="4696">
        <v>62.21</v>
      </c>
      <c r="M43" s="4696">
        <v>3.43</v>
      </c>
      <c r="N43" s="4696">
        <v>1.65</v>
      </c>
      <c r="O43" s="1551"/>
      <c r="P43" s="4695" t="s">
        <v>1787</v>
      </c>
      <c r="Q43" s="4786"/>
      <c r="R43" s="4696">
        <v>55.61</v>
      </c>
      <c r="S43" s="4696">
        <v>5.49</v>
      </c>
      <c r="T43" s="4696">
        <v>2.5299999999999998</v>
      </c>
      <c r="U43" s="4696">
        <v>1.76</v>
      </c>
      <c r="W43" s="4695" t="s">
        <v>1787</v>
      </c>
      <c r="X43" s="4696"/>
      <c r="Y43" s="4689"/>
      <c r="Z43" s="4689"/>
      <c r="AA43" s="4689"/>
      <c r="AB43" s="4689"/>
      <c r="AC43" s="4689"/>
      <c r="AD43" s="4689"/>
    </row>
    <row r="44" spans="4:30" ht="114" hidden="1" customHeight="1" x14ac:dyDescent="0.55000000000000004">
      <c r="D44" s="4695" t="s">
        <v>1798</v>
      </c>
      <c r="E44" s="4786"/>
      <c r="F44" s="4696">
        <v>60.77</v>
      </c>
      <c r="G44" s="4696">
        <v>5.14</v>
      </c>
      <c r="H44" s="4696">
        <v>2.27</v>
      </c>
      <c r="I44" s="1551"/>
      <c r="J44" s="4695" t="s">
        <v>1798</v>
      </c>
      <c r="K44" s="4786"/>
      <c r="L44" s="4696">
        <v>61.98</v>
      </c>
      <c r="M44" s="4696">
        <v>4.04</v>
      </c>
      <c r="N44" s="4696">
        <v>1.47</v>
      </c>
      <c r="O44" s="1551"/>
      <c r="P44" s="4695" t="s">
        <v>1798</v>
      </c>
      <c r="Q44" s="4786"/>
      <c r="R44" s="4696">
        <v>55.38</v>
      </c>
      <c r="S44" s="4696">
        <v>5.92</v>
      </c>
      <c r="T44" s="4696">
        <v>2.21</v>
      </c>
      <c r="U44" s="4696">
        <v>1.71</v>
      </c>
      <c r="W44" s="4695" t="s">
        <v>1798</v>
      </c>
      <c r="X44" s="4696"/>
      <c r="Y44" s="4689"/>
      <c r="Z44" s="4689"/>
      <c r="AA44" s="4689"/>
      <c r="AB44" s="4689"/>
      <c r="AC44" s="4689"/>
      <c r="AD44" s="4689"/>
    </row>
    <row r="45" spans="4:30" ht="114" hidden="1" customHeight="1" x14ac:dyDescent="0.55000000000000004">
      <c r="D45" s="4695" t="s">
        <v>1799</v>
      </c>
      <c r="E45" s="4786"/>
      <c r="F45" s="4696">
        <v>60.28</v>
      </c>
      <c r="G45" s="4696">
        <v>5.9</v>
      </c>
      <c r="H45" s="4696">
        <v>2.3199999999999998</v>
      </c>
      <c r="I45" s="1551"/>
      <c r="J45" s="4695" t="s">
        <v>1799</v>
      </c>
      <c r="K45" s="4786"/>
      <c r="L45" s="4696">
        <v>63.36</v>
      </c>
      <c r="M45" s="4696">
        <v>1.94</v>
      </c>
      <c r="N45" s="4696">
        <v>1.1599999999999999</v>
      </c>
      <c r="O45" s="1551"/>
      <c r="P45" s="4695" t="s">
        <v>1799</v>
      </c>
      <c r="Q45" s="4786"/>
      <c r="R45" s="4696">
        <v>55.14</v>
      </c>
      <c r="S45" s="4696">
        <v>6.21</v>
      </c>
      <c r="T45" s="4696">
        <v>1.86</v>
      </c>
      <c r="U45" s="4696">
        <v>1.65</v>
      </c>
      <c r="W45" s="4695" t="s">
        <v>1799</v>
      </c>
      <c r="X45" s="4696"/>
      <c r="Y45" s="4689"/>
      <c r="Z45" s="4689"/>
      <c r="AA45" s="4689"/>
      <c r="AB45" s="4689"/>
      <c r="AC45" s="4689"/>
      <c r="AD45" s="4689"/>
    </row>
    <row r="46" spans="4:30" ht="114" hidden="1" customHeight="1" x14ac:dyDescent="0.55000000000000004">
      <c r="D46" s="4695" t="s">
        <v>1820</v>
      </c>
      <c r="E46" s="4786"/>
      <c r="F46" s="4696">
        <v>60.800194029850751</v>
      </c>
      <c r="G46" s="4696">
        <v>5.4104477611940291</v>
      </c>
      <c r="H46" s="4696">
        <v>2.5916417910447751</v>
      </c>
      <c r="I46" s="1551"/>
      <c r="J46" s="4695" t="s">
        <v>1820</v>
      </c>
      <c r="K46" s="4786"/>
      <c r="L46" s="4696">
        <v>62.609470588235297</v>
      </c>
      <c r="M46" s="4696">
        <v>3.2664705882352947</v>
      </c>
      <c r="N46" s="4696">
        <v>1.8623529411764705</v>
      </c>
      <c r="O46" s="1551"/>
      <c r="P46" s="4695" t="s">
        <v>1820</v>
      </c>
      <c r="Q46" s="4786"/>
      <c r="R46" s="4696">
        <v>55.163473084886107</v>
      </c>
      <c r="S46" s="4696">
        <v>6.0949327122153214</v>
      </c>
      <c r="T46" s="4696">
        <v>2.0597308488612844</v>
      </c>
      <c r="U46" s="4696">
        <v>1.6836904761904761</v>
      </c>
      <c r="W46" s="4695" t="s">
        <v>1820</v>
      </c>
      <c r="X46" s="4696"/>
      <c r="Y46" s="4689"/>
      <c r="Z46" s="4689"/>
      <c r="AA46" s="4689"/>
      <c r="AB46" s="4689"/>
      <c r="AC46" s="4689"/>
      <c r="AD46" s="4689"/>
    </row>
    <row r="47" spans="4:30" ht="114" hidden="1" customHeight="1" x14ac:dyDescent="0.55000000000000004">
      <c r="D47" s="4695" t="s">
        <v>1830</v>
      </c>
      <c r="E47" s="4786"/>
      <c r="F47" s="4696">
        <v>61.573957142857161</v>
      </c>
      <c r="G47" s="4696">
        <v>4.7048571428571444</v>
      </c>
      <c r="H47" s="4696">
        <v>2.452285714285714</v>
      </c>
      <c r="I47" s="1551"/>
      <c r="J47" s="4695" t="s">
        <v>1830</v>
      </c>
      <c r="K47" s="4786"/>
      <c r="L47" s="4696">
        <v>62.925323529411756</v>
      </c>
      <c r="M47" s="4696">
        <v>3.1526470588235291</v>
      </c>
      <c r="N47" s="4696">
        <v>1.9364705882352942</v>
      </c>
      <c r="O47" s="1551"/>
      <c r="P47" s="4695" t="s">
        <v>1830</v>
      </c>
      <c r="Q47" s="4786"/>
      <c r="R47" s="4696">
        <v>55.2</v>
      </c>
      <c r="S47" s="4696">
        <v>6.21</v>
      </c>
      <c r="T47" s="4696">
        <v>2.08</v>
      </c>
      <c r="U47" s="4696">
        <v>1.67</v>
      </c>
      <c r="W47" s="4695" t="s">
        <v>1830</v>
      </c>
      <c r="X47" s="4696"/>
      <c r="Y47" s="4689"/>
      <c r="Z47" s="4689"/>
      <c r="AA47" s="4689"/>
      <c r="AB47" s="4689"/>
      <c r="AC47" s="4689"/>
      <c r="AD47" s="4689"/>
    </row>
    <row r="48" spans="4:30" ht="114" hidden="1" customHeight="1" x14ac:dyDescent="0.55000000000000004">
      <c r="D48" s="4695" t="s">
        <v>1834</v>
      </c>
      <c r="E48" s="4786"/>
      <c r="F48" s="4696">
        <v>61.4</v>
      </c>
      <c r="G48" s="4696">
        <v>4.8082857142857129</v>
      </c>
      <c r="H48" s="4696">
        <v>2.6940000000000004</v>
      </c>
      <c r="I48" s="1551"/>
      <c r="J48" s="4695" t="s">
        <v>1834</v>
      </c>
      <c r="K48" s="4786"/>
      <c r="L48" s="4696">
        <v>62.508307692307682</v>
      </c>
      <c r="M48" s="4696">
        <v>3.5346153846153849</v>
      </c>
      <c r="N48" s="4696">
        <v>2.2957692307692303</v>
      </c>
      <c r="O48" s="1551"/>
      <c r="P48" s="4695" t="s">
        <v>1834</v>
      </c>
      <c r="Q48" s="4786"/>
      <c r="R48" s="4696">
        <v>56.4</v>
      </c>
      <c r="S48" s="4696">
        <v>5.55</v>
      </c>
      <c r="T48" s="4696">
        <v>2.15</v>
      </c>
      <c r="U48" s="4696">
        <v>1.68</v>
      </c>
      <c r="W48" s="4695" t="s">
        <v>1834</v>
      </c>
      <c r="X48" s="4696"/>
      <c r="Y48" s="4689"/>
      <c r="Z48" s="4689"/>
      <c r="AA48" s="4689"/>
      <c r="AB48" s="4689"/>
      <c r="AC48" s="4689"/>
      <c r="AD48" s="4689"/>
    </row>
    <row r="49" spans="4:30" ht="114" hidden="1" customHeight="1" x14ac:dyDescent="0.55000000000000004">
      <c r="D49" s="4695" t="s">
        <v>1846</v>
      </c>
      <c r="E49" s="4786"/>
      <c r="F49" s="4696">
        <v>61.197309278350545</v>
      </c>
      <c r="G49" s="4696">
        <v>4.8077319587628855</v>
      </c>
      <c r="H49" s="4696">
        <v>3.0503092783505159</v>
      </c>
      <c r="I49" s="1551"/>
      <c r="J49" s="4695" t="s">
        <v>1846</v>
      </c>
      <c r="K49" s="4786"/>
      <c r="L49" s="4696">
        <v>62.936629032258054</v>
      </c>
      <c r="M49" s="4696">
        <v>3.0269354838709677</v>
      </c>
      <c r="N49" s="4696">
        <v>2.02</v>
      </c>
      <c r="O49" s="1551"/>
      <c r="P49" s="4695" t="s">
        <v>1846</v>
      </c>
      <c r="Q49" s="4786"/>
      <c r="R49" s="4696">
        <v>55.72</v>
      </c>
      <c r="S49" s="4696">
        <v>5.85</v>
      </c>
      <c r="T49" s="4696">
        <v>2.48</v>
      </c>
      <c r="U49" s="4696">
        <v>1.66</v>
      </c>
      <c r="W49" s="4695" t="s">
        <v>1846</v>
      </c>
      <c r="X49" s="4696"/>
      <c r="Y49" s="4689"/>
      <c r="Z49" s="4689"/>
      <c r="AA49" s="4689"/>
      <c r="AB49" s="4689"/>
      <c r="AC49" s="4689"/>
      <c r="AD49" s="4689"/>
    </row>
    <row r="50" spans="4:30" ht="28.8" x14ac:dyDescent="0.55000000000000004">
      <c r="D50" s="4688" t="s">
        <v>1929</v>
      </c>
      <c r="E50" s="4779"/>
      <c r="F50" s="4706">
        <f>AVERAGE(F38:F49)</f>
        <v>61.099378732776579</v>
      </c>
      <c r="G50" s="4706">
        <f t="shared" ref="G50:H50" si="2">AVERAGE(G38:G49)</f>
        <v>4.6180713821457813</v>
      </c>
      <c r="H50" s="4706">
        <f t="shared" si="2"/>
        <v>2.5083106627432215</v>
      </c>
      <c r="J50" s="4688" t="s">
        <v>1929</v>
      </c>
      <c r="K50" s="4779"/>
      <c r="L50" s="4706">
        <f>AVERAGE(L38:L49)</f>
        <v>62.49458288407353</v>
      </c>
      <c r="M50" s="4706">
        <f t="shared" ref="M50:N50" si="3">AVERAGE(M38:M49)</f>
        <v>3.1254681270856959</v>
      </c>
      <c r="N50" s="4706">
        <f t="shared" si="3"/>
        <v>1.7758395228112978</v>
      </c>
      <c r="P50" s="4688" t="s">
        <v>1929</v>
      </c>
      <c r="Q50" s="4779"/>
      <c r="R50" s="4706">
        <v>55.364096471484046</v>
      </c>
      <c r="S50" s="4706">
        <v>5.691699348023473</v>
      </c>
      <c r="T50" s="4706">
        <v>2.3946434167015349</v>
      </c>
      <c r="U50" s="4706">
        <v>1.7271057079087773</v>
      </c>
      <c r="W50" s="4688" t="s">
        <v>1929</v>
      </c>
      <c r="X50" s="4706">
        <v>63.88831578947368</v>
      </c>
      <c r="Y50" s="4706">
        <v>96.467894736842069</v>
      </c>
      <c r="Z50" s="4706">
        <v>0.82434210526315799</v>
      </c>
      <c r="AA50" s="4785">
        <v>221.875</v>
      </c>
      <c r="AB50" s="4706">
        <v>1.3349342105263151</v>
      </c>
      <c r="AC50" s="4706">
        <v>4.2319736842105282</v>
      </c>
      <c r="AD50" s="4706">
        <v>20.966249999999992</v>
      </c>
    </row>
    <row r="51" spans="4:30" ht="24" hidden="1" customHeight="1" x14ac:dyDescent="0.55000000000000004">
      <c r="D51" s="4690" t="s">
        <v>2241</v>
      </c>
      <c r="F51" s="4692"/>
      <c r="G51" s="4692"/>
      <c r="H51" s="4692"/>
      <c r="I51" s="1551"/>
      <c r="J51" s="4690" t="s">
        <v>2241</v>
      </c>
      <c r="L51" s="4692"/>
      <c r="M51" s="4692"/>
      <c r="N51" s="4692"/>
      <c r="O51" s="1551"/>
      <c r="P51" s="4690" t="s">
        <v>2241</v>
      </c>
      <c r="R51" s="4692"/>
      <c r="S51" s="4692"/>
      <c r="T51" s="4692"/>
      <c r="U51" s="4692"/>
      <c r="W51" s="5221"/>
      <c r="X51" s="5221"/>
      <c r="Y51" s="5221"/>
      <c r="Z51" s="5221"/>
      <c r="AA51" s="5221"/>
      <c r="AB51" s="5221"/>
      <c r="AC51" s="5221"/>
      <c r="AD51" s="5221"/>
    </row>
    <row r="52" spans="4:30" ht="28.8" hidden="1" x14ac:dyDescent="0.55000000000000004">
      <c r="D52" s="4695" t="s">
        <v>1928</v>
      </c>
      <c r="E52" s="4786"/>
      <c r="F52" s="4696">
        <v>61.33</v>
      </c>
      <c r="G52" s="4696">
        <v>4.9000000000000004</v>
      </c>
      <c r="H52" s="4696">
        <v>2.75</v>
      </c>
      <c r="I52" s="1551"/>
      <c r="J52" s="4695" t="s">
        <v>1928</v>
      </c>
      <c r="K52" s="4786"/>
      <c r="L52" s="4696">
        <v>62.97</v>
      </c>
      <c r="M52" s="4696">
        <v>3.26</v>
      </c>
      <c r="N52" s="4696">
        <v>1.76</v>
      </c>
      <c r="O52" s="1551"/>
      <c r="P52" s="4695" t="s">
        <v>1928</v>
      </c>
      <c r="Q52" s="4786"/>
      <c r="R52" s="4696">
        <v>57.06</v>
      </c>
      <c r="S52" s="4696">
        <v>5.18</v>
      </c>
      <c r="T52" s="4696">
        <v>2.21</v>
      </c>
      <c r="U52" s="4696">
        <v>1.67</v>
      </c>
      <c r="W52" s="4695" t="s">
        <v>1928</v>
      </c>
      <c r="X52" s="4696">
        <v>63.366999999999997</v>
      </c>
      <c r="Y52" s="4696">
        <v>98.02000000000001</v>
      </c>
      <c r="Z52" s="4696">
        <v>0.71799999999999997</v>
      </c>
      <c r="AA52" s="4787">
        <v>221.8</v>
      </c>
      <c r="AB52" s="4696">
        <v>1.302</v>
      </c>
      <c r="AC52" s="4696">
        <v>4.266</v>
      </c>
      <c r="AD52" s="4696">
        <v>20.634000000000004</v>
      </c>
    </row>
    <row r="53" spans="4:30" ht="28.8" hidden="1" x14ac:dyDescent="0.55000000000000004">
      <c r="D53" s="4695" t="s">
        <v>1949</v>
      </c>
      <c r="E53" s="4786"/>
      <c r="F53" s="4696">
        <v>62.17</v>
      </c>
      <c r="G53" s="4696">
        <v>4.08</v>
      </c>
      <c r="H53" s="4696">
        <v>2.25</v>
      </c>
      <c r="I53" s="1551"/>
      <c r="J53" s="4695" t="s">
        <v>1949</v>
      </c>
      <c r="K53" s="4786"/>
      <c r="L53" s="4696">
        <v>63.05</v>
      </c>
      <c r="M53" s="4696">
        <v>3.07</v>
      </c>
      <c r="N53" s="4696">
        <v>1.79</v>
      </c>
      <c r="O53" s="1551"/>
      <c r="P53" s="4695" t="s">
        <v>1949</v>
      </c>
      <c r="Q53" s="4786"/>
      <c r="R53" s="4696">
        <v>56.88</v>
      </c>
      <c r="S53" s="4696">
        <v>5.22</v>
      </c>
      <c r="T53" s="4696">
        <v>2.36</v>
      </c>
      <c r="U53" s="4696">
        <v>1.67</v>
      </c>
      <c r="W53" s="4695" t="s">
        <v>1949</v>
      </c>
      <c r="X53" s="4696">
        <v>63.336250000000007</v>
      </c>
      <c r="Y53" s="4696">
        <v>97.935000000000002</v>
      </c>
      <c r="Z53" s="4696">
        <v>0.67125000000000001</v>
      </c>
      <c r="AA53" s="4787">
        <v>221.6875</v>
      </c>
      <c r="AB53" s="4696">
        <v>1.3712500000000001</v>
      </c>
      <c r="AC53" s="4696">
        <v>4.6375000000000002</v>
      </c>
      <c r="AD53" s="4696">
        <v>20.680000000000003</v>
      </c>
    </row>
    <row r="54" spans="4:30" ht="28.8" hidden="1" x14ac:dyDescent="0.55000000000000004">
      <c r="D54" s="4695" t="s">
        <v>1984</v>
      </c>
      <c r="E54" s="4786"/>
      <c r="F54" s="4696">
        <v>62.248035714285727</v>
      </c>
      <c r="G54" s="4696">
        <v>4.3788095238095242</v>
      </c>
      <c r="H54" s="4696">
        <v>1.8026190476190478</v>
      </c>
      <c r="I54" s="1551"/>
      <c r="J54" s="4695" t="s">
        <v>1984</v>
      </c>
      <c r="K54" s="4786"/>
      <c r="L54" s="4696">
        <v>63.086674418604645</v>
      </c>
      <c r="M54" s="4696">
        <v>3.4095348837209305</v>
      </c>
      <c r="N54" s="4696">
        <v>1.40139534883721</v>
      </c>
      <c r="O54" s="1551"/>
      <c r="P54" s="4695" t="s">
        <v>1984</v>
      </c>
      <c r="Q54" s="4786"/>
      <c r="R54" s="4696">
        <v>56.59</v>
      </c>
      <c r="S54" s="4696">
        <v>5.53</v>
      </c>
      <c r="T54" s="4696">
        <v>2.1800000000000002</v>
      </c>
      <c r="U54" s="4696">
        <v>1.67</v>
      </c>
      <c r="W54" s="4695" t="s">
        <v>1984</v>
      </c>
      <c r="X54" s="4696">
        <v>63.178235294117648</v>
      </c>
      <c r="Y54" s="4696">
        <v>97.392941176470586</v>
      </c>
      <c r="Z54" s="4696">
        <v>0.79882352941176482</v>
      </c>
      <c r="AA54" s="4787">
        <v>222.23529411764707</v>
      </c>
      <c r="AB54" s="4696">
        <v>1.3947058823529412</v>
      </c>
      <c r="AC54" s="4696">
        <v>4.5182352941176473</v>
      </c>
      <c r="AD54" s="4696">
        <v>19.970588235294112</v>
      </c>
    </row>
    <row r="55" spans="4:30" ht="28.8" hidden="1" x14ac:dyDescent="0.55000000000000004">
      <c r="D55" s="4695" t="s">
        <v>1996</v>
      </c>
      <c r="E55" s="4786"/>
      <c r="F55" s="4696">
        <v>61.9</v>
      </c>
      <c r="G55" s="4696">
        <v>4.83</v>
      </c>
      <c r="H55" s="4696">
        <v>1.94</v>
      </c>
      <c r="I55" s="1551"/>
      <c r="J55" s="4695" t="s">
        <v>1996</v>
      </c>
      <c r="K55" s="4786"/>
      <c r="L55" s="4696">
        <v>62.5</v>
      </c>
      <c r="M55" s="4696">
        <v>4.16</v>
      </c>
      <c r="N55" s="4696">
        <v>1.59</v>
      </c>
      <c r="O55" s="1551"/>
      <c r="P55" s="4695" t="s">
        <v>1996</v>
      </c>
      <c r="Q55" s="4786"/>
      <c r="R55" s="4696">
        <v>55.77</v>
      </c>
      <c r="S55" s="4696">
        <v>5.97</v>
      </c>
      <c r="T55" s="4696">
        <v>2.06</v>
      </c>
      <c r="U55" s="4696">
        <v>1.68</v>
      </c>
      <c r="W55" s="4695" t="s">
        <v>1996</v>
      </c>
      <c r="X55" s="4696">
        <v>63.954999999999998</v>
      </c>
      <c r="Y55" s="4696">
        <v>92.20750000000001</v>
      </c>
      <c r="Z55" s="4696">
        <v>0.82062499999999994</v>
      </c>
      <c r="AA55" s="4787">
        <v>221.6875</v>
      </c>
      <c r="AB55" s="4696">
        <v>1.5856249999999998</v>
      </c>
      <c r="AC55" s="4696">
        <v>4.5562499999999995</v>
      </c>
      <c r="AD55" s="4696">
        <v>20.580625000000001</v>
      </c>
    </row>
    <row r="56" spans="4:30" ht="28.8" hidden="1" x14ac:dyDescent="0.55000000000000004">
      <c r="D56" s="4695" t="s">
        <v>2016</v>
      </c>
      <c r="E56" s="4786"/>
      <c r="F56" s="4696">
        <v>62.336177215189885</v>
      </c>
      <c r="G56" s="4696">
        <v>4.4302531645569596</v>
      </c>
      <c r="H56" s="4696">
        <v>1.7729113924050632</v>
      </c>
      <c r="I56" s="1551"/>
      <c r="J56" s="4695" t="s">
        <v>2016</v>
      </c>
      <c r="K56" s="4786"/>
      <c r="L56" s="4696">
        <v>63.167023255813973</v>
      </c>
      <c r="M56" s="4696">
        <v>3.5416279069767445</v>
      </c>
      <c r="N56" s="4696">
        <v>1.35</v>
      </c>
      <c r="O56" s="1551"/>
      <c r="P56" s="4695" t="s">
        <v>2016</v>
      </c>
      <c r="Q56" s="4786"/>
      <c r="R56" s="4696">
        <v>56.09</v>
      </c>
      <c r="S56" s="4696">
        <v>5.79</v>
      </c>
      <c r="T56" s="4696">
        <v>2.0299999999999998</v>
      </c>
      <c r="U56" s="4696">
        <v>1.66</v>
      </c>
      <c r="W56" s="4695" t="s">
        <v>2016</v>
      </c>
      <c r="X56" s="4696">
        <v>63.846666666666678</v>
      </c>
      <c r="Y56" s="4696">
        <v>98.188571428571407</v>
      </c>
      <c r="Z56" s="4696">
        <v>0.80666666666666653</v>
      </c>
      <c r="AA56" s="4787">
        <v>222.1904761904762</v>
      </c>
      <c r="AB56" s="4696">
        <v>1.52</v>
      </c>
      <c r="AC56" s="4696">
        <v>4.539523809523808</v>
      </c>
      <c r="AD56" s="4696">
        <v>20.658095238095243</v>
      </c>
    </row>
    <row r="57" spans="4:30" ht="28.8" hidden="1" x14ac:dyDescent="0.55000000000000004">
      <c r="D57" s="4695" t="s">
        <v>2040</v>
      </c>
      <c r="E57" s="4786"/>
      <c r="F57" s="4696">
        <v>62.11</v>
      </c>
      <c r="G57" s="4696">
        <v>4.82</v>
      </c>
      <c r="H57" s="4696">
        <v>1.83</v>
      </c>
      <c r="I57" s="1551"/>
      <c r="J57" s="4695" t="s">
        <v>2040</v>
      </c>
      <c r="K57" s="4786"/>
      <c r="L57" s="4696">
        <v>62.72</v>
      </c>
      <c r="M57" s="4696">
        <v>4.03</v>
      </c>
      <c r="N57" s="4696">
        <v>1.65</v>
      </c>
      <c r="O57" s="1551"/>
      <c r="P57" s="4695" t="s">
        <v>2040</v>
      </c>
      <c r="Q57" s="4786"/>
      <c r="R57" s="4696">
        <v>55.81</v>
      </c>
      <c r="S57" s="4696">
        <v>6.16</v>
      </c>
      <c r="T57" s="4696">
        <v>2.06</v>
      </c>
      <c r="U57" s="4696">
        <v>1.65</v>
      </c>
      <c r="W57" s="4695" t="s">
        <v>2040</v>
      </c>
      <c r="X57" s="4696">
        <v>63.853076923076927</v>
      </c>
      <c r="Y57" s="4696">
        <v>97.533076923076905</v>
      </c>
      <c r="Z57" s="4696">
        <v>0.88615384615384607</v>
      </c>
      <c r="AA57" s="4787">
        <v>222.69230769230768</v>
      </c>
      <c r="AB57" s="4696">
        <v>1.513076923076923</v>
      </c>
      <c r="AC57" s="4696">
        <v>4.5823076923076931</v>
      </c>
      <c r="AD57" s="4696">
        <v>20.495384615384616</v>
      </c>
    </row>
    <row r="58" spans="4:30" ht="28.8" hidden="1" x14ac:dyDescent="0.55000000000000004">
      <c r="D58" s="4695" t="s">
        <v>2044</v>
      </c>
      <c r="E58" s="4786"/>
      <c r="F58" s="4696">
        <v>61.59</v>
      </c>
      <c r="G58" s="4696">
        <v>5.0599999999999996</v>
      </c>
      <c r="H58" s="4696">
        <v>2.35</v>
      </c>
      <c r="I58" s="1551"/>
      <c r="J58" s="4695" t="s">
        <v>2044</v>
      </c>
      <c r="K58" s="4786"/>
      <c r="L58" s="4696">
        <v>62.71</v>
      </c>
      <c r="M58" s="4696">
        <v>4</v>
      </c>
      <c r="N58" s="4696">
        <v>1.7</v>
      </c>
      <c r="O58" s="1551"/>
      <c r="P58" s="4695" t="s">
        <v>2044</v>
      </c>
      <c r="Q58" s="4786"/>
      <c r="R58" s="4696">
        <v>55.81</v>
      </c>
      <c r="S58" s="4696">
        <v>6.75</v>
      </c>
      <c r="T58" s="4696">
        <v>2.13</v>
      </c>
      <c r="U58" s="4696">
        <v>1.65</v>
      </c>
      <c r="W58" s="4695" t="s">
        <v>2044</v>
      </c>
      <c r="X58" s="4696">
        <v>63.32866666666667</v>
      </c>
      <c r="Y58" s="4696">
        <v>97.765999999999991</v>
      </c>
      <c r="Z58" s="4696">
        <v>0.79199999999999982</v>
      </c>
      <c r="AA58" s="4787">
        <v>222.46666666666667</v>
      </c>
      <c r="AB58" s="4696">
        <v>1.774</v>
      </c>
      <c r="AC58" s="4696">
        <v>4.352666666666666</v>
      </c>
      <c r="AD58" s="4696">
        <v>20.649333333333335</v>
      </c>
    </row>
    <row r="59" spans="4:30" ht="28.8" hidden="1" x14ac:dyDescent="0.55000000000000004">
      <c r="D59" s="4695" t="s">
        <v>2075</v>
      </c>
      <c r="E59" s="4786"/>
      <c r="F59" s="4696">
        <v>61.53716129032258</v>
      </c>
      <c r="G59" s="4696">
        <v>4.8370967741935491</v>
      </c>
      <c r="H59" s="4696">
        <v>2.6507258064516135</v>
      </c>
      <c r="I59" s="1551"/>
      <c r="J59" s="4695" t="s">
        <v>2075</v>
      </c>
      <c r="K59" s="4786"/>
      <c r="L59" s="4696">
        <v>63.103594594594576</v>
      </c>
      <c r="M59" s="4696">
        <v>3.1154054054054052</v>
      </c>
      <c r="N59" s="4696">
        <v>1.6935135135135133</v>
      </c>
      <c r="O59" s="1551"/>
      <c r="P59" s="4695" t="s">
        <v>2075</v>
      </c>
      <c r="Q59" s="4786"/>
      <c r="R59" s="4696">
        <v>55.81</v>
      </c>
      <c r="S59" s="4696">
        <v>6.53</v>
      </c>
      <c r="T59" s="4696">
        <v>2.48</v>
      </c>
      <c r="U59" s="4696">
        <v>1.65</v>
      </c>
      <c r="W59" s="4695" t="s">
        <v>2075</v>
      </c>
      <c r="X59" s="4696">
        <v>62.823333333333338</v>
      </c>
      <c r="Y59" s="4696">
        <v>97.611333333333334</v>
      </c>
      <c r="Z59" s="4696">
        <v>0.78933333333333333</v>
      </c>
      <c r="AA59" s="4787">
        <v>221.86666666666667</v>
      </c>
      <c r="AB59" s="4696">
        <v>1.7860000000000003</v>
      </c>
      <c r="AC59" s="4696">
        <v>4.3860000000000001</v>
      </c>
      <c r="AD59" s="4696">
        <v>20.500666666666671</v>
      </c>
    </row>
    <row r="60" spans="4:30" ht="28.5" hidden="1" customHeight="1" x14ac:dyDescent="0.55000000000000004">
      <c r="D60" s="4695" t="s">
        <v>2095</v>
      </c>
      <c r="E60" s="4786"/>
      <c r="F60" s="4696">
        <v>61.02</v>
      </c>
      <c r="G60" s="4696">
        <v>5.04</v>
      </c>
      <c r="H60" s="4696">
        <v>3.16</v>
      </c>
      <c r="I60" s="1551"/>
      <c r="J60" s="4695" t="s">
        <v>2095</v>
      </c>
      <c r="K60" s="4786"/>
      <c r="L60" s="4696">
        <v>62.52</v>
      </c>
      <c r="M60" s="4696">
        <v>3.47</v>
      </c>
      <c r="N60" s="4696">
        <v>2.35</v>
      </c>
      <c r="O60" s="1551"/>
      <c r="P60" s="4695" t="s">
        <v>2095</v>
      </c>
      <c r="Q60" s="4786"/>
      <c r="R60" s="4696">
        <v>53.71</v>
      </c>
      <c r="S60" s="4696">
        <v>6.78</v>
      </c>
      <c r="T60" s="4696">
        <v>2.86</v>
      </c>
      <c r="U60" s="4696">
        <v>1.64</v>
      </c>
      <c r="W60" s="4695" t="s">
        <v>2095</v>
      </c>
      <c r="X60" s="4696">
        <v>62.42</v>
      </c>
      <c r="Y60" s="4696">
        <v>97.7</v>
      </c>
      <c r="Z60" s="4696">
        <v>0.79</v>
      </c>
      <c r="AA60" s="4805">
        <v>222</v>
      </c>
      <c r="AB60" s="4696">
        <v>1.73</v>
      </c>
      <c r="AC60" s="4696">
        <v>4.25</v>
      </c>
      <c r="AD60" s="4696">
        <v>20.6</v>
      </c>
    </row>
    <row r="61" spans="4:30" ht="28.5" hidden="1" customHeight="1" x14ac:dyDescent="0.55000000000000004">
      <c r="D61" s="4695" t="s">
        <v>2135</v>
      </c>
      <c r="E61" s="4786"/>
      <c r="F61" s="4696">
        <v>61.440828571428575</v>
      </c>
      <c r="G61" s="4696">
        <v>4.7460000000000004</v>
      </c>
      <c r="H61" s="4696">
        <v>2.8357142857142867</v>
      </c>
      <c r="I61" s="1551"/>
      <c r="J61" s="4695" t="s">
        <v>2135</v>
      </c>
      <c r="K61" s="4786"/>
      <c r="L61" s="4696">
        <v>62.606999999999992</v>
      </c>
      <c r="M61" s="4696">
        <v>3.4915384615384628</v>
      </c>
      <c r="N61" s="4696">
        <v>2.253076923076923</v>
      </c>
      <c r="O61" s="1551"/>
      <c r="P61" s="4695" t="s">
        <v>2135</v>
      </c>
      <c r="Q61" s="4786"/>
      <c r="R61" s="4696">
        <v>54.17</v>
      </c>
      <c r="S61" s="4696">
        <v>6.42</v>
      </c>
      <c r="T61" s="4696">
        <v>2.77</v>
      </c>
      <c r="U61" s="4696">
        <v>1.68</v>
      </c>
      <c r="W61" s="4695" t="s">
        <v>2135</v>
      </c>
      <c r="X61" s="4696">
        <v>62.94</v>
      </c>
      <c r="Y61" s="4696">
        <v>97.16</v>
      </c>
      <c r="Z61" s="4696">
        <v>0.79</v>
      </c>
      <c r="AA61" s="4805">
        <v>222</v>
      </c>
      <c r="AB61" s="4696">
        <v>1.68</v>
      </c>
      <c r="AC61" s="4696">
        <v>4.4400000000000004</v>
      </c>
      <c r="AD61" s="4696">
        <v>20.48</v>
      </c>
    </row>
    <row r="62" spans="4:30" ht="28.5" hidden="1" customHeight="1" x14ac:dyDescent="0.55000000000000004">
      <c r="D62" s="4695" t="s">
        <v>2150</v>
      </c>
      <c r="E62" s="4786"/>
      <c r="F62" s="4696">
        <v>61.577289855072443</v>
      </c>
      <c r="G62" s="4696">
        <v>4.7105797101449278</v>
      </c>
      <c r="H62" s="4696">
        <v>2.623188405797102</v>
      </c>
      <c r="I62" s="1551"/>
      <c r="J62" s="4695" t="s">
        <v>2150</v>
      </c>
      <c r="K62" s="4786"/>
      <c r="L62" s="4696">
        <v>62.828891304347806</v>
      </c>
      <c r="M62" s="4696">
        <v>3.3573913043478258</v>
      </c>
      <c r="N62" s="4696">
        <v>1.9639130434782603</v>
      </c>
      <c r="O62" s="1551"/>
      <c r="P62" s="4695" t="s">
        <v>2150</v>
      </c>
      <c r="Q62" s="4786"/>
      <c r="R62" s="4696">
        <v>55.25</v>
      </c>
      <c r="S62" s="4696">
        <v>6.1</v>
      </c>
      <c r="T62" s="4696">
        <v>2.5</v>
      </c>
      <c r="U62" s="4696">
        <v>1.65</v>
      </c>
      <c r="W62" s="4695" t="s">
        <v>2150</v>
      </c>
      <c r="X62" s="4696">
        <v>63.323571428571434</v>
      </c>
      <c r="Y62" s="4696">
        <v>97.559999999999988</v>
      </c>
      <c r="Z62" s="4696">
        <v>0.78999999999999992</v>
      </c>
      <c r="AA62" s="4805">
        <v>222.28571428571428</v>
      </c>
      <c r="AB62" s="4696">
        <v>1.5185714285714285</v>
      </c>
      <c r="AC62" s="4696">
        <v>4.4550000000000001</v>
      </c>
      <c r="AD62" s="4696">
        <v>20.580714285714286</v>
      </c>
    </row>
    <row r="63" spans="4:30" ht="28.5" hidden="1" customHeight="1" x14ac:dyDescent="0.55000000000000004">
      <c r="D63" s="4695" t="s">
        <v>2170</v>
      </c>
      <c r="E63" s="4786"/>
      <c r="F63" s="4696">
        <v>61.330570666666667</v>
      </c>
      <c r="G63" s="4696">
        <v>4.6728000000000005</v>
      </c>
      <c r="H63" s="4696">
        <v>2.9284000000000012</v>
      </c>
      <c r="I63" s="1551"/>
      <c r="J63" s="4695" t="s">
        <v>2170</v>
      </c>
      <c r="K63" s="4786"/>
      <c r="L63" s="4696">
        <v>62.996566037735839</v>
      </c>
      <c r="M63" s="4696">
        <v>2.8333962264150947</v>
      </c>
      <c r="N63" s="4696">
        <v>2.1915094339622647</v>
      </c>
      <c r="O63" s="1551"/>
      <c r="P63" s="4695" t="s">
        <v>2170</v>
      </c>
      <c r="Q63" s="4786"/>
      <c r="R63" s="4696">
        <v>55.76</v>
      </c>
      <c r="S63" s="4696">
        <v>5.77</v>
      </c>
      <c r="T63" s="4696">
        <v>2.71</v>
      </c>
      <c r="U63" s="4696">
        <v>1.64</v>
      </c>
      <c r="W63" s="4695" t="s">
        <v>2170</v>
      </c>
      <c r="X63" s="4696">
        <v>62.881333333333338</v>
      </c>
      <c r="Y63" s="4696">
        <v>97.48066666666665</v>
      </c>
      <c r="Z63" s="4696">
        <v>0.8819999999999999</v>
      </c>
      <c r="AA63" s="4805">
        <v>222.06666666666666</v>
      </c>
      <c r="AB63" s="4696">
        <v>1.7353333333333334</v>
      </c>
      <c r="AC63" s="4696">
        <v>4.280666666666666</v>
      </c>
      <c r="AD63" s="4696">
        <v>20.545333333333335</v>
      </c>
    </row>
    <row r="64" spans="4:30" ht="28.8" x14ac:dyDescent="0.55000000000000004">
      <c r="D64" s="4688" t="s">
        <v>2255</v>
      </c>
      <c r="E64" s="4788"/>
      <c r="F64" s="4706">
        <f>AVERAGE(F52:F63)</f>
        <v>61.715838609413822</v>
      </c>
      <c r="G64" s="4706">
        <f t="shared" ref="G64" si="4">AVERAGE(G52:G63)</f>
        <v>4.7087949310587467</v>
      </c>
      <c r="H64" s="4706">
        <f>AVERAGE(H52:H63)</f>
        <v>2.4077965781655926</v>
      </c>
      <c r="I64" s="5218"/>
      <c r="J64" s="4688" t="s">
        <v>2255</v>
      </c>
      <c r="K64" s="5219"/>
      <c r="L64" s="4706">
        <f>AVERAGE(L52:L63)</f>
        <v>62.85497913425808</v>
      </c>
      <c r="M64" s="4706">
        <f>AVERAGE(M52:M63)</f>
        <v>3.4782411823670389</v>
      </c>
      <c r="N64" s="4706">
        <f>AVERAGE(N52:N63)</f>
        <v>1.8077840219056807</v>
      </c>
      <c r="O64" s="5220"/>
      <c r="P64" s="4688" t="s">
        <v>2255</v>
      </c>
      <c r="Q64" s="5219"/>
      <c r="R64" s="4706">
        <v>55.72005642302755</v>
      </c>
      <c r="S64" s="4706">
        <v>6.0114655960496437</v>
      </c>
      <c r="T64" s="4706">
        <v>2.3618628089530618</v>
      </c>
      <c r="U64" s="4706">
        <v>1.6594047947477459</v>
      </c>
      <c r="V64" s="5220"/>
      <c r="W64" s="4688" t="s">
        <v>2255</v>
      </c>
      <c r="X64" s="4706">
        <f t="shared" ref="X64:AD64" si="5">AVERAGE(X52:X63)</f>
        <v>63.271094470480499</v>
      </c>
      <c r="Y64" s="4706">
        <f t="shared" si="5"/>
        <v>97.212924127343243</v>
      </c>
      <c r="Z64" s="4706">
        <f t="shared" si="5"/>
        <v>0.79457103129713413</v>
      </c>
      <c r="AA64" s="4785">
        <f t="shared" si="5"/>
        <v>222.08156602384543</v>
      </c>
      <c r="AB64" s="4706">
        <f t="shared" si="5"/>
        <v>1.5758802139445522</v>
      </c>
      <c r="AC64" s="4706">
        <f t="shared" si="5"/>
        <v>4.438679177440207</v>
      </c>
      <c r="AD64" s="4706">
        <f t="shared" si="5"/>
        <v>20.531228392318464</v>
      </c>
    </row>
    <row r="65" spans="4:30" ht="28.8" x14ac:dyDescent="0.55000000000000004">
      <c r="D65" s="4695" t="s">
        <v>2256</v>
      </c>
      <c r="E65" s="4786"/>
      <c r="F65" s="4696">
        <v>62.055623188405796</v>
      </c>
      <c r="G65" s="4696">
        <v>3.8842028985507246</v>
      </c>
      <c r="H65" s="4696">
        <v>2.6689855072463762</v>
      </c>
      <c r="I65" s="1551"/>
      <c r="J65" s="4695" t="s">
        <v>2256</v>
      </c>
      <c r="K65" s="4786"/>
      <c r="L65" s="4696">
        <v>62.74799999999999</v>
      </c>
      <c r="M65" s="4696">
        <v>3.1624242424242435</v>
      </c>
      <c r="N65" s="4696">
        <v>2.2821212121212122</v>
      </c>
      <c r="O65" s="1551"/>
      <c r="P65" s="4695" t="s">
        <v>2256</v>
      </c>
      <c r="Q65" s="4786"/>
      <c r="R65" s="4696">
        <v>56.6</v>
      </c>
      <c r="S65" s="4696">
        <v>5.29</v>
      </c>
      <c r="T65" s="4696">
        <v>2.5</v>
      </c>
      <c r="U65" s="4696">
        <v>1.7</v>
      </c>
      <c r="W65" s="4695" t="s">
        <v>2256</v>
      </c>
      <c r="X65" s="4696">
        <v>63.29</v>
      </c>
      <c r="Y65" s="4696">
        <v>97.53</v>
      </c>
      <c r="Z65" s="4696">
        <v>0.81</v>
      </c>
      <c r="AA65" s="4787">
        <v>222</v>
      </c>
      <c r="AB65" s="4696">
        <v>1.66</v>
      </c>
      <c r="AC65" s="4696">
        <v>4.5199999999999996</v>
      </c>
      <c r="AD65" s="4696">
        <v>20.45</v>
      </c>
    </row>
    <row r="66" spans="4:30" ht="28.8" x14ac:dyDescent="0.55000000000000004">
      <c r="D66" s="4695" t="s">
        <v>2292</v>
      </c>
      <c r="E66" s="4786"/>
      <c r="F66" s="4696"/>
      <c r="G66" s="4696"/>
      <c r="H66" s="4696"/>
      <c r="I66" s="1551"/>
      <c r="J66" s="4695" t="s">
        <v>2292</v>
      </c>
      <c r="K66" s="4786"/>
      <c r="L66" s="4696"/>
      <c r="M66" s="4696"/>
      <c r="N66" s="4696"/>
      <c r="O66" s="1551"/>
      <c r="P66" s="4695" t="s">
        <v>2292</v>
      </c>
      <c r="Q66" s="4786"/>
      <c r="R66" s="4696">
        <v>56.08</v>
      </c>
      <c r="S66" s="4696">
        <v>5.4</v>
      </c>
      <c r="T66" s="4696">
        <v>2.56</v>
      </c>
      <c r="U66" s="4696">
        <v>1.7</v>
      </c>
      <c r="W66" s="4695" t="s">
        <v>2292</v>
      </c>
      <c r="X66" s="4696">
        <v>63.35</v>
      </c>
      <c r="Y66" s="4696">
        <v>97.51</v>
      </c>
      <c r="Z66" s="4696">
        <v>0.8</v>
      </c>
      <c r="AA66" s="4787">
        <v>222</v>
      </c>
      <c r="AB66" s="4696">
        <v>1.66</v>
      </c>
      <c r="AC66" s="4696">
        <v>4.51</v>
      </c>
      <c r="AD66" s="4696">
        <v>20.5</v>
      </c>
    </row>
    <row r="67" spans="4:30" ht="28.8" hidden="1" x14ac:dyDescent="0.55000000000000004">
      <c r="D67" s="4695" t="s">
        <v>1984</v>
      </c>
      <c r="E67" s="4786"/>
      <c r="F67" s="4696"/>
      <c r="G67" s="4696"/>
      <c r="H67" s="4696"/>
      <c r="I67" s="1551"/>
      <c r="J67" s="4695" t="s">
        <v>1984</v>
      </c>
      <c r="K67" s="4786"/>
      <c r="L67" s="4696"/>
      <c r="M67" s="4696"/>
      <c r="N67" s="4696"/>
      <c r="O67" s="1551"/>
      <c r="P67" s="4695" t="s">
        <v>1984</v>
      </c>
      <c r="Q67" s="4786"/>
      <c r="R67" s="4696"/>
      <c r="S67" s="4696"/>
      <c r="T67" s="4696"/>
      <c r="U67" s="4696"/>
      <c r="W67" s="4695" t="s">
        <v>1984</v>
      </c>
      <c r="X67" s="4696"/>
      <c r="Y67" s="4696"/>
      <c r="Z67" s="4696"/>
      <c r="AA67" s="4787"/>
      <c r="AB67" s="4696"/>
      <c r="AC67" s="4696"/>
      <c r="AD67" s="4696"/>
    </row>
    <row r="68" spans="4:30" ht="28.8" hidden="1" x14ac:dyDescent="0.55000000000000004">
      <c r="D68" s="4695" t="s">
        <v>1996</v>
      </c>
      <c r="E68" s="4786"/>
      <c r="F68" s="4696"/>
      <c r="G68" s="4696"/>
      <c r="H68" s="4696"/>
      <c r="I68" s="1551"/>
      <c r="J68" s="4695" t="s">
        <v>1996</v>
      </c>
      <c r="K68" s="4786"/>
      <c r="L68" s="4696"/>
      <c r="M68" s="4696"/>
      <c r="N68" s="4696"/>
      <c r="O68" s="1551"/>
      <c r="P68" s="4695" t="s">
        <v>1996</v>
      </c>
      <c r="Q68" s="4786"/>
      <c r="R68" s="4696"/>
      <c r="S68" s="4696"/>
      <c r="T68" s="4696"/>
      <c r="U68" s="4696"/>
      <c r="W68" s="4695" t="s">
        <v>1996</v>
      </c>
      <c r="X68" s="4696"/>
      <c r="Y68" s="4696"/>
      <c r="Z68" s="4696"/>
      <c r="AA68" s="4787"/>
      <c r="AB68" s="4696"/>
      <c r="AC68" s="4696"/>
      <c r="AD68" s="4696"/>
    </row>
    <row r="69" spans="4:30" ht="28.8" hidden="1" x14ac:dyDescent="0.55000000000000004">
      <c r="D69" s="4695" t="s">
        <v>2016</v>
      </c>
      <c r="E69" s="4786"/>
      <c r="F69" s="4696"/>
      <c r="G69" s="4696"/>
      <c r="H69" s="4696"/>
      <c r="I69" s="1551"/>
      <c r="J69" s="4695" t="s">
        <v>2016</v>
      </c>
      <c r="K69" s="4786"/>
      <c r="L69" s="4696"/>
      <c r="M69" s="4696"/>
      <c r="N69" s="4696"/>
      <c r="O69" s="1551"/>
      <c r="P69" s="4695" t="s">
        <v>2016</v>
      </c>
      <c r="Q69" s="4786"/>
      <c r="R69" s="4696"/>
      <c r="S69" s="4696"/>
      <c r="T69" s="4696"/>
      <c r="U69" s="4696"/>
      <c r="W69" s="4695" t="s">
        <v>2016</v>
      </c>
      <c r="X69" s="4696"/>
      <c r="Y69" s="4696"/>
      <c r="Z69" s="4696"/>
      <c r="AA69" s="4787"/>
      <c r="AB69" s="4696"/>
      <c r="AC69" s="4696"/>
      <c r="AD69" s="4696"/>
    </row>
    <row r="70" spans="4:30" ht="28.8" hidden="1" x14ac:dyDescent="0.55000000000000004">
      <c r="D70" s="4695" t="s">
        <v>2040</v>
      </c>
      <c r="E70" s="4786"/>
      <c r="F70" s="4696"/>
      <c r="G70" s="4696"/>
      <c r="H70" s="4696"/>
      <c r="I70" s="1551"/>
      <c r="J70" s="4695" t="s">
        <v>2040</v>
      </c>
      <c r="K70" s="4786"/>
      <c r="L70" s="4696"/>
      <c r="M70" s="4696"/>
      <c r="N70" s="4696"/>
      <c r="O70" s="1551"/>
      <c r="P70" s="4695" t="s">
        <v>2040</v>
      </c>
      <c r="Q70" s="4786"/>
      <c r="R70" s="4696"/>
      <c r="S70" s="4696"/>
      <c r="T70" s="4696"/>
      <c r="U70" s="4696"/>
      <c r="W70" s="4695" t="s">
        <v>2040</v>
      </c>
      <c r="X70" s="4696"/>
      <c r="Y70" s="4696"/>
      <c r="Z70" s="4696"/>
      <c r="AA70" s="4787"/>
      <c r="AB70" s="4696"/>
      <c r="AC70" s="4696"/>
      <c r="AD70" s="4696"/>
    </row>
    <row r="71" spans="4:30" ht="28.8" hidden="1" x14ac:dyDescent="0.55000000000000004">
      <c r="D71" s="4695" t="s">
        <v>2044</v>
      </c>
      <c r="E71" s="4786"/>
      <c r="F71" s="4696"/>
      <c r="G71" s="4696"/>
      <c r="H71" s="4696"/>
      <c r="I71" s="1551"/>
      <c r="J71" s="4695" t="s">
        <v>2044</v>
      </c>
      <c r="K71" s="4786"/>
      <c r="L71" s="4696"/>
      <c r="M71" s="4696"/>
      <c r="N71" s="4696"/>
      <c r="O71" s="1551"/>
      <c r="P71" s="4695" t="s">
        <v>2044</v>
      </c>
      <c r="Q71" s="4786"/>
      <c r="R71" s="4696"/>
      <c r="S71" s="4696"/>
      <c r="T71" s="4696"/>
      <c r="U71" s="4696"/>
      <c r="W71" s="4695" t="s">
        <v>2044</v>
      </c>
      <c r="X71" s="4696"/>
      <c r="Y71" s="4696"/>
      <c r="Z71" s="4696"/>
      <c r="AA71" s="4787"/>
      <c r="AB71" s="4696"/>
      <c r="AC71" s="4696"/>
      <c r="AD71" s="4696"/>
    </row>
    <row r="72" spans="4:30" ht="28.8" hidden="1" x14ac:dyDescent="0.55000000000000004">
      <c r="D72" s="4695" t="s">
        <v>2075</v>
      </c>
      <c r="E72" s="4786"/>
      <c r="F72" s="4696"/>
      <c r="G72" s="4696"/>
      <c r="H72" s="4696"/>
      <c r="I72" s="1551"/>
      <c r="J72" s="4695" t="s">
        <v>2075</v>
      </c>
      <c r="K72" s="4786"/>
      <c r="L72" s="4696"/>
      <c r="M72" s="4696"/>
      <c r="N72" s="4696"/>
      <c r="O72" s="1551"/>
      <c r="P72" s="4695" t="s">
        <v>2075</v>
      </c>
      <c r="Q72" s="4786"/>
      <c r="R72" s="4696"/>
      <c r="S72" s="4696"/>
      <c r="T72" s="4696"/>
      <c r="U72" s="4696"/>
      <c r="W72" s="4695" t="s">
        <v>2075</v>
      </c>
      <c r="X72" s="4696"/>
      <c r="Y72" s="4696"/>
      <c r="Z72" s="4696"/>
      <c r="AA72" s="4787"/>
      <c r="AB72" s="4696"/>
      <c r="AC72" s="4696"/>
      <c r="AD72" s="4696"/>
    </row>
    <row r="73" spans="4:30" ht="28.8" hidden="1" x14ac:dyDescent="0.55000000000000004">
      <c r="D73" s="4695" t="s">
        <v>2095</v>
      </c>
      <c r="E73" s="4786"/>
      <c r="F73" s="4696"/>
      <c r="G73" s="4696"/>
      <c r="H73" s="4696"/>
      <c r="I73" s="1551"/>
      <c r="J73" s="4695" t="s">
        <v>2095</v>
      </c>
      <c r="K73" s="4786"/>
      <c r="L73" s="4696"/>
      <c r="M73" s="4696"/>
      <c r="N73" s="4696"/>
      <c r="O73" s="1551"/>
      <c r="P73" s="4695" t="s">
        <v>2095</v>
      </c>
      <c r="Q73" s="4786"/>
      <c r="R73" s="4696"/>
      <c r="S73" s="4696"/>
      <c r="T73" s="4696"/>
      <c r="U73" s="4696"/>
      <c r="W73" s="4695" t="s">
        <v>2095</v>
      </c>
      <c r="X73" s="4696"/>
      <c r="Y73" s="4696"/>
      <c r="Z73" s="4696"/>
      <c r="AA73" s="4805"/>
      <c r="AB73" s="4696"/>
      <c r="AC73" s="4696"/>
      <c r="AD73" s="4696"/>
    </row>
    <row r="74" spans="4:30" ht="28.8" hidden="1" x14ac:dyDescent="0.55000000000000004">
      <c r="D74" s="4695" t="s">
        <v>2135</v>
      </c>
      <c r="E74" s="4786"/>
      <c r="F74" s="4696"/>
      <c r="G74" s="4696"/>
      <c r="H74" s="4696"/>
      <c r="I74" s="1551"/>
      <c r="J74" s="4695" t="s">
        <v>2135</v>
      </c>
      <c r="K74" s="4786"/>
      <c r="L74" s="4696"/>
      <c r="M74" s="4696"/>
      <c r="N74" s="4696"/>
      <c r="O74" s="1551"/>
      <c r="P74" s="4695" t="s">
        <v>2135</v>
      </c>
      <c r="Q74" s="4786"/>
      <c r="R74" s="4696"/>
      <c r="S74" s="4696"/>
      <c r="T74" s="4696"/>
      <c r="U74" s="4696"/>
      <c r="W74" s="4695" t="s">
        <v>2135</v>
      </c>
      <c r="X74" s="4696"/>
      <c r="Y74" s="4696"/>
      <c r="Z74" s="4696"/>
      <c r="AA74" s="4805"/>
      <c r="AB74" s="4696"/>
      <c r="AC74" s="4696"/>
      <c r="AD74" s="4696"/>
    </row>
    <row r="75" spans="4:30" ht="28.8" hidden="1" x14ac:dyDescent="0.55000000000000004">
      <c r="D75" s="4695" t="s">
        <v>2150</v>
      </c>
      <c r="E75" s="4786"/>
      <c r="F75" s="4696"/>
      <c r="G75" s="4696"/>
      <c r="H75" s="4696"/>
      <c r="I75" s="1551"/>
      <c r="J75" s="4695" t="s">
        <v>2150</v>
      </c>
      <c r="K75" s="4786"/>
      <c r="L75" s="4696"/>
      <c r="M75" s="4696"/>
      <c r="N75" s="4696"/>
      <c r="O75" s="1551"/>
      <c r="P75" s="4695" t="s">
        <v>2150</v>
      </c>
      <c r="Q75" s="4786"/>
      <c r="R75" s="4696"/>
      <c r="S75" s="4696"/>
      <c r="T75" s="4696"/>
      <c r="U75" s="4696"/>
      <c r="W75" s="4695" t="s">
        <v>2150</v>
      </c>
      <c r="X75" s="4696"/>
      <c r="Y75" s="4696"/>
      <c r="Z75" s="4696"/>
      <c r="AA75" s="4805"/>
      <c r="AB75" s="4696"/>
      <c r="AC75" s="4696"/>
      <c r="AD75" s="4696"/>
    </row>
    <row r="76" spans="4:30" ht="28.8" hidden="1" x14ac:dyDescent="0.55000000000000004">
      <c r="D76" s="4695" t="s">
        <v>2170</v>
      </c>
      <c r="E76" s="4786"/>
      <c r="F76" s="4696"/>
      <c r="G76" s="4696"/>
      <c r="H76" s="4696"/>
      <c r="I76" s="1551"/>
      <c r="J76" s="4695" t="s">
        <v>2170</v>
      </c>
      <c r="K76" s="4786"/>
      <c r="L76" s="4696"/>
      <c r="M76" s="4696"/>
      <c r="N76" s="4696"/>
      <c r="O76" s="1551"/>
      <c r="P76" s="4695" t="s">
        <v>2170</v>
      </c>
      <c r="Q76" s="4786"/>
      <c r="R76" s="4696"/>
      <c r="S76" s="4696"/>
      <c r="T76" s="4696"/>
      <c r="U76" s="4696"/>
      <c r="W76" s="4695" t="s">
        <v>2170</v>
      </c>
      <c r="X76" s="4696"/>
      <c r="Y76" s="4696"/>
      <c r="Z76" s="4696"/>
      <c r="AA76" s="4805"/>
      <c r="AB76" s="4696"/>
      <c r="AC76" s="4696"/>
      <c r="AD76" s="4696"/>
    </row>
    <row r="77" spans="4:30" ht="28.8" x14ac:dyDescent="0.55000000000000004">
      <c r="D77" s="4697" t="s">
        <v>1424</v>
      </c>
      <c r="E77" s="4788"/>
      <c r="F77" s="4698">
        <f>AVERAGE(F65:F76)</f>
        <v>62.055623188405796</v>
      </c>
      <c r="G77" s="4698">
        <f t="shared" ref="G77:H77" si="6">AVERAGE(G65:G76)</f>
        <v>3.8842028985507246</v>
      </c>
      <c r="H77" s="4698">
        <f t="shared" si="6"/>
        <v>2.6689855072463762</v>
      </c>
      <c r="I77" s="1551"/>
      <c r="J77" s="4790" t="s">
        <v>1424</v>
      </c>
      <c r="K77" s="4791"/>
      <c r="L77" s="4698">
        <f t="shared" ref="L77" si="7">AVERAGE(L65:L76)</f>
        <v>62.74799999999999</v>
      </c>
      <c r="M77" s="4698">
        <f t="shared" ref="M77" si="8">AVERAGE(M65:M76)</f>
        <v>3.1624242424242435</v>
      </c>
      <c r="N77" s="4698">
        <f t="shared" ref="N77" si="9">AVERAGE(N65:N76)</f>
        <v>2.2821212121212122</v>
      </c>
      <c r="O77" s="4792"/>
      <c r="P77" s="4790" t="s">
        <v>1424</v>
      </c>
      <c r="Q77" s="4791"/>
      <c r="R77" s="4698">
        <f t="shared" ref="R77" si="10">AVERAGE(R65:R76)</f>
        <v>56.34</v>
      </c>
      <c r="S77" s="4698">
        <f t="shared" ref="S77" si="11">AVERAGE(S65:S76)</f>
        <v>5.3450000000000006</v>
      </c>
      <c r="T77" s="4698">
        <f t="shared" ref="T77" si="12">AVERAGE(T65:T76)</f>
        <v>2.5300000000000002</v>
      </c>
      <c r="U77" s="4698">
        <f t="shared" ref="U77" si="13">AVERAGE(U65:U76)</f>
        <v>1.7</v>
      </c>
      <c r="V77" s="4792"/>
      <c r="W77" s="4790" t="s">
        <v>1424</v>
      </c>
      <c r="X77" s="4698">
        <f t="shared" ref="X77:AD77" si="14">AVERAGE(X65:X76)</f>
        <v>63.32</v>
      </c>
      <c r="Y77" s="4698">
        <f t="shared" si="14"/>
        <v>97.52000000000001</v>
      </c>
      <c r="Z77" s="4698">
        <f t="shared" si="14"/>
        <v>0.80500000000000005</v>
      </c>
      <c r="AA77" s="4789">
        <f t="shared" si="14"/>
        <v>222</v>
      </c>
      <c r="AB77" s="4698">
        <f t="shared" si="14"/>
        <v>1.66</v>
      </c>
      <c r="AC77" s="4698">
        <f t="shared" si="14"/>
        <v>4.5149999999999997</v>
      </c>
      <c r="AD77" s="4698">
        <f t="shared" si="14"/>
        <v>20.475000000000001</v>
      </c>
    </row>
  </sheetData>
  <mergeCells count="6">
    <mergeCell ref="D15:D20"/>
    <mergeCell ref="D5:H5"/>
    <mergeCell ref="J5:N5"/>
    <mergeCell ref="P5:U5"/>
    <mergeCell ref="W5:AD5"/>
    <mergeCell ref="X7:AD12"/>
  </mergeCells>
  <printOptions horizontalCentered="1" verticalCentered="1"/>
  <pageMargins left="0.15748031496062992" right="0" top="0" bottom="0" header="0" footer="0"/>
  <pageSetup paperSize="9" scale="56" orientation="landscape" blackAndWhite="1"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33">
    <tabColor rgb="FFFFC000"/>
    <pageSetUpPr fitToPage="1"/>
  </sheetPr>
  <dimension ref="C1:BJ87"/>
  <sheetViews>
    <sheetView workbookViewId="0">
      <pane xSplit="4" ySplit="3" topLeftCell="E4" activePane="bottomRight" state="frozen"/>
      <selection pane="topRight" activeCell="E1" sqref="E1"/>
      <selection pane="bottomLeft" activeCell="A4" sqref="A4"/>
      <selection pane="bottomRight" activeCell="BJ66" sqref="BJ66"/>
    </sheetView>
  </sheetViews>
  <sheetFormatPr defaultRowHeight="18" x14ac:dyDescent="0.35"/>
  <cols>
    <col min="2" max="2" width="30.109375" bestFit="1" customWidth="1"/>
    <col min="3" max="3" width="24.5546875" bestFit="1" customWidth="1"/>
    <col min="4" max="4" width="59.44140625" bestFit="1" customWidth="1"/>
    <col min="5" max="5" width="9.88671875" bestFit="1" customWidth="1"/>
    <col min="6" max="6" width="15.44140625" hidden="1" customWidth="1"/>
    <col min="7" max="7" width="12.5546875" bestFit="1" customWidth="1"/>
    <col min="8" max="8" width="9.88671875" hidden="1" customWidth="1"/>
    <col min="9" max="9" width="15.5546875" customWidth="1"/>
    <col min="10" max="10" width="10.109375" hidden="1" customWidth="1"/>
    <col min="11" max="11" width="10.109375" customWidth="1"/>
    <col min="12" max="12" width="10.109375" hidden="1" customWidth="1"/>
    <col min="13" max="13" width="11.5546875" hidden="1" customWidth="1"/>
    <col min="14" max="14" width="10.109375" hidden="1" customWidth="1"/>
    <col min="15" max="15" width="9.88671875" hidden="1" customWidth="1"/>
    <col min="16" max="16" width="9.109375" hidden="1" customWidth="1"/>
    <col min="17" max="17" width="9.88671875" hidden="1" customWidth="1"/>
    <col min="18" max="18" width="9.109375" hidden="1" customWidth="1"/>
    <col min="19" max="21" width="9.88671875" hidden="1" customWidth="1"/>
    <col min="22" max="22" width="9.109375" hidden="1" customWidth="1"/>
    <col min="23" max="24" width="11.44140625" hidden="1" customWidth="1"/>
    <col min="25" max="25" width="9.88671875" hidden="1" customWidth="1"/>
    <col min="26" max="26" width="9.109375" hidden="1" customWidth="1"/>
    <col min="27" max="27" width="11.44140625" hidden="1" customWidth="1"/>
    <col min="28" max="28" width="9.109375" hidden="1" customWidth="1"/>
    <col min="29" max="29" width="11.33203125" style="500" hidden="1" customWidth="1"/>
    <col min="30" max="30" width="9.109375" hidden="1" customWidth="1"/>
    <col min="31" max="31" width="9.88671875" hidden="1" customWidth="1"/>
    <col min="32" max="32" width="9.109375" hidden="1" customWidth="1"/>
    <col min="33" max="33" width="11.33203125" hidden="1" customWidth="1"/>
    <col min="34" max="34" width="9.109375" hidden="1" customWidth="1"/>
    <col min="35" max="35" width="9.88671875" hidden="1" customWidth="1"/>
    <col min="36" max="36" width="9.109375" hidden="1" customWidth="1"/>
    <col min="37" max="37" width="11.33203125" hidden="1" customWidth="1"/>
    <col min="38" max="38" width="9.109375" hidden="1" customWidth="1"/>
    <col min="39" max="41" width="9.88671875" hidden="1" customWidth="1"/>
    <col min="42" max="42" width="9.109375" hidden="1" customWidth="1"/>
    <col min="43" max="43" width="11.33203125" hidden="1" customWidth="1"/>
    <col min="44" max="44" width="9.109375" hidden="1" customWidth="1"/>
    <col min="45" max="45" width="9.88671875" hidden="1" customWidth="1"/>
    <col min="46" max="46" width="9.109375" hidden="1" customWidth="1"/>
    <col min="47" max="47" width="11.33203125" hidden="1" customWidth="1"/>
    <col min="48" max="48" width="9.109375" hidden="1" customWidth="1"/>
    <col min="49" max="49" width="9.88671875" hidden="1" customWidth="1"/>
    <col min="50" max="50" width="9.109375" hidden="1" customWidth="1"/>
    <col min="51" max="51" width="11.33203125" hidden="1" customWidth="1"/>
    <col min="52" max="52" width="9.109375" hidden="1" customWidth="1"/>
    <col min="53" max="53" width="9.88671875" hidden="1" customWidth="1"/>
    <col min="54" max="54" width="9.109375" hidden="1" customWidth="1"/>
    <col min="55" max="55" width="9.88671875" hidden="1" customWidth="1"/>
    <col min="56" max="56" width="9.109375" hidden="1" customWidth="1"/>
    <col min="57" max="57" width="11.33203125" hidden="1" customWidth="1"/>
    <col min="58" max="58" width="9.109375" hidden="1" customWidth="1"/>
    <col min="59" max="59" width="11.33203125" hidden="1" customWidth="1"/>
    <col min="60" max="60" width="9.109375" customWidth="1"/>
    <col min="61" max="61" width="9.5546875" bestFit="1" customWidth="1"/>
  </cols>
  <sheetData>
    <row r="1" spans="3:62" ht="23.4" x14ac:dyDescent="0.45">
      <c r="C1" s="6416" t="s">
        <v>1832</v>
      </c>
      <c r="D1" s="6416"/>
      <c r="E1" s="6416"/>
      <c r="F1" s="6416"/>
      <c r="G1" s="6416"/>
      <c r="H1" s="6416"/>
      <c r="I1" s="6416"/>
      <c r="J1" s="6416"/>
      <c r="K1" s="6416"/>
      <c r="L1" s="6416"/>
      <c r="M1" s="6416"/>
      <c r="N1" s="6416"/>
      <c r="O1" s="6416"/>
    </row>
    <row r="3" spans="3:62" ht="17.399999999999999" x14ac:dyDescent="0.3">
      <c r="C3" s="511" t="s">
        <v>919</v>
      </c>
      <c r="D3" s="511" t="s">
        <v>808</v>
      </c>
      <c r="E3" s="511" t="s">
        <v>171</v>
      </c>
      <c r="F3" s="6483" t="s">
        <v>2239</v>
      </c>
      <c r="G3" s="6482"/>
      <c r="H3" s="6483" t="s">
        <v>2260</v>
      </c>
      <c r="I3" s="6482"/>
      <c r="J3" s="6476" t="s">
        <v>624</v>
      </c>
      <c r="K3" s="6477"/>
      <c r="L3" s="6483" t="s">
        <v>1963</v>
      </c>
      <c r="M3" s="6482"/>
      <c r="N3" s="6478" t="s">
        <v>604</v>
      </c>
      <c r="O3" s="6479"/>
      <c r="P3" s="6483" t="s">
        <v>1985</v>
      </c>
      <c r="Q3" s="6482"/>
      <c r="R3" s="6478" t="s">
        <v>617</v>
      </c>
      <c r="S3" s="6479"/>
      <c r="T3" s="6474">
        <v>45870</v>
      </c>
      <c r="U3" s="6482"/>
      <c r="V3" s="6478" t="s">
        <v>794</v>
      </c>
      <c r="W3" s="6479"/>
      <c r="X3" s="6474">
        <v>45901</v>
      </c>
      <c r="Y3" s="6475"/>
      <c r="Z3" s="6478" t="s">
        <v>625</v>
      </c>
      <c r="AA3" s="6480"/>
      <c r="AB3" s="6481" t="s">
        <v>486</v>
      </c>
      <c r="AC3" s="6481"/>
      <c r="AD3" s="6474">
        <v>45931</v>
      </c>
      <c r="AE3" s="6475"/>
      <c r="AF3" s="6478" t="s">
        <v>1051</v>
      </c>
      <c r="AG3" s="6479"/>
      <c r="AH3" s="6474">
        <v>45962</v>
      </c>
      <c r="AI3" s="6475"/>
      <c r="AJ3" s="6476" t="s">
        <v>1552</v>
      </c>
      <c r="AK3" s="6477"/>
      <c r="AL3" s="6474">
        <v>45992</v>
      </c>
      <c r="AM3" s="6475"/>
      <c r="AN3" s="6478" t="s">
        <v>627</v>
      </c>
      <c r="AO3" s="6480"/>
      <c r="AP3" s="6476" t="s">
        <v>872</v>
      </c>
      <c r="AQ3" s="6477"/>
      <c r="AR3" s="6474" t="s">
        <v>2099</v>
      </c>
      <c r="AS3" s="6475"/>
      <c r="AT3" s="6476" t="s">
        <v>1583</v>
      </c>
      <c r="AU3" s="6477"/>
      <c r="AV3" s="6474" t="s">
        <v>2136</v>
      </c>
      <c r="AW3" s="6475"/>
      <c r="AX3" s="6476" t="s">
        <v>1589</v>
      </c>
      <c r="AY3" s="6477"/>
      <c r="AZ3" s="6474" t="s">
        <v>2154</v>
      </c>
      <c r="BA3" s="6475"/>
      <c r="BB3" s="6478" t="s">
        <v>628</v>
      </c>
      <c r="BC3" s="6480"/>
      <c r="BD3" s="6481" t="s">
        <v>524</v>
      </c>
      <c r="BE3" s="6481"/>
      <c r="BF3" s="6476" t="s">
        <v>1961</v>
      </c>
      <c r="BG3" s="6477"/>
    </row>
    <row r="4" spans="3:62" x14ac:dyDescent="0.35">
      <c r="C4" s="512" t="s">
        <v>16</v>
      </c>
      <c r="D4" s="1494" t="s">
        <v>1308</v>
      </c>
      <c r="E4" s="3995"/>
      <c r="F4" s="512"/>
      <c r="G4" s="513">
        <f>+SUMIF(WRM!$C$7:$C$128,$D4,WRM!$F$7:$F$128)</f>
        <v>7943.75</v>
      </c>
      <c r="H4" s="513"/>
      <c r="I4" s="513">
        <f>+SUMIF(WRM!$C$7:$C$128,$D4,WRM!$H$7:$H$128)</f>
        <v>5102.4500000000007</v>
      </c>
      <c r="J4" s="581"/>
      <c r="K4" s="581">
        <f t="shared" ref="K4:K37" si="0">+G4+I4</f>
        <v>13046.2</v>
      </c>
      <c r="L4" s="513"/>
      <c r="M4" s="513">
        <f>+SUMIF(WRM!$C$7:$C$128,$D4,WRM!$L$7:$L$128)</f>
        <v>301.34999999999997</v>
      </c>
      <c r="N4" s="586"/>
      <c r="O4" s="586">
        <f t="shared" ref="O4:O37" si="1">+G4+I4+M4</f>
        <v>13347.550000000001</v>
      </c>
      <c r="P4" s="513"/>
      <c r="Q4" s="513">
        <f>+SUMIF(WRM!$C$7:$C$128,$D4,WRM!P$7:$P$128)</f>
        <v>990.15000000000009</v>
      </c>
      <c r="R4" s="586"/>
      <c r="S4" s="586">
        <f>O4+Q4</f>
        <v>14337.7</v>
      </c>
      <c r="T4" s="513"/>
      <c r="U4" s="513">
        <f>+SUMIF(WRM!$C$7:$C$128,$D4,WRM!$T$7:T$128)</f>
        <v>303.39999999999998</v>
      </c>
      <c r="V4" s="586"/>
      <c r="W4" s="586">
        <f>S4+U4</f>
        <v>14641.1</v>
      </c>
      <c r="X4" s="586"/>
      <c r="Y4" s="513">
        <f>+SUMIF(WRM!$C$7:$C$128,$D4,WRM!$X$7:X$128)</f>
        <v>1195.1500000000001</v>
      </c>
      <c r="Z4" s="586"/>
      <c r="AA4" s="2010">
        <f>Q4+U4+Y4</f>
        <v>2488.7000000000003</v>
      </c>
      <c r="AB4" s="2053"/>
      <c r="AC4" s="1066">
        <f>O4+AA4</f>
        <v>15836.250000000002</v>
      </c>
      <c r="AD4" s="586"/>
      <c r="AE4" s="513">
        <f>+SUMIF(WRM!$C$7:$C$128,$D4,WRM!$AD$7:$AD$128)</f>
        <v>442.79999999999995</v>
      </c>
      <c r="AF4" s="586"/>
      <c r="AG4" s="586">
        <f>AC4+AE4</f>
        <v>16279.050000000001</v>
      </c>
      <c r="AH4" s="586"/>
      <c r="AI4" s="513">
        <f>+SUMIF(WRM!$C$7:$C$128,$D4,WRM!$AH$7:$AH$128)</f>
        <v>1070.1000000000001</v>
      </c>
      <c r="AJ4" s="581"/>
      <c r="AK4" s="581">
        <f>AG4+AI4</f>
        <v>17349.150000000001</v>
      </c>
      <c r="AL4" s="586"/>
      <c r="AM4" s="513">
        <f>+SUMIF(WRM!$C$7:$C$128,$D4,WRM!$AL$7:$AL$128)</f>
        <v>918.4</v>
      </c>
      <c r="AN4" s="586"/>
      <c r="AO4" s="2010">
        <f>AE4+AI4+AM4</f>
        <v>2431.3000000000002</v>
      </c>
      <c r="AP4" s="581"/>
      <c r="AQ4" s="581">
        <f>AK4+AM4</f>
        <v>18267.550000000003</v>
      </c>
      <c r="AR4" s="586"/>
      <c r="AS4" s="513">
        <f>+SUMIF(WRM!$C$7:$C$128,$D4,WRM!$AR$7:$AR$128)</f>
        <v>0</v>
      </c>
      <c r="AT4" s="581"/>
      <c r="AU4" s="581">
        <f>AQ4+AS4</f>
        <v>18267.550000000003</v>
      </c>
      <c r="AV4" s="586"/>
      <c r="AW4" s="513">
        <f>+SUMIF(WRM!$C$7:$C$128,$D4,WRM!$AV$7:$AV$128)</f>
        <v>1353</v>
      </c>
      <c r="AX4" s="581"/>
      <c r="AY4" s="581">
        <f>AU4+AW4</f>
        <v>19620.550000000003</v>
      </c>
      <c r="AZ4" s="586"/>
      <c r="BA4" s="513">
        <f>+SUMIF(WRM!$C$7:$C$128,$D4,WRM!$AZ$7:$AZ$128)</f>
        <v>5303.3500000000031</v>
      </c>
      <c r="BB4" s="586"/>
      <c r="BC4" s="2010">
        <f>AS4+AW4+BA4</f>
        <v>6656.3500000000031</v>
      </c>
      <c r="BD4" s="2053"/>
      <c r="BE4" s="1066">
        <f>AO4+BC4</f>
        <v>9087.6500000000033</v>
      </c>
      <c r="BF4" s="581"/>
      <c r="BG4" s="581">
        <f>AY4+BA4</f>
        <v>24923.900000000005</v>
      </c>
      <c r="BH4" s="23"/>
      <c r="BI4" s="23"/>
      <c r="BJ4" s="23"/>
    </row>
    <row r="5" spans="3:62" x14ac:dyDescent="0.35">
      <c r="C5" s="512" t="s">
        <v>16</v>
      </c>
      <c r="D5" s="1494" t="s">
        <v>1779</v>
      </c>
      <c r="E5" s="3996"/>
      <c r="F5" s="512"/>
      <c r="G5" s="513">
        <f>+SUMIF(WRM!$C$7:$C$128,$D5,WRM!$F$7:$F$128)</f>
        <v>0</v>
      </c>
      <c r="H5" s="513"/>
      <c r="I5" s="513">
        <f>+SUMIF(WRM!$C$7:$C$128,$D5,WRM!$H$7:$H$128)</f>
        <v>0</v>
      </c>
      <c r="J5" s="581"/>
      <c r="K5" s="581">
        <f t="shared" si="0"/>
        <v>0</v>
      </c>
      <c r="L5" s="513"/>
      <c r="M5" s="513">
        <f>+SUMIF(WRM!$C$7:$C$128,$D5,WRM!$L$7:$L$128)</f>
        <v>0</v>
      </c>
      <c r="N5" s="586"/>
      <c r="O5" s="586">
        <f t="shared" si="1"/>
        <v>0</v>
      </c>
      <c r="P5" s="513"/>
      <c r="Q5" s="513">
        <f>+SUMIF(WRM!$C$7:$C$128,$D5,WRM!P$7:$P$128)</f>
        <v>0</v>
      </c>
      <c r="R5" s="586"/>
      <c r="S5" s="586">
        <f t="shared" ref="S5:S24" si="2">O5+Q5</f>
        <v>0</v>
      </c>
      <c r="T5" s="513"/>
      <c r="U5" s="513">
        <f>+SUMIF(WRM!$C$7:$C$128,$D5,WRM!$T$7:T$128)</f>
        <v>0</v>
      </c>
      <c r="V5" s="586"/>
      <c r="W5" s="586">
        <f t="shared" ref="W5:W37" si="3">S5+U5</f>
        <v>0</v>
      </c>
      <c r="X5" s="586"/>
      <c r="Y5" s="513">
        <f>+SUMIF(WRM!$C$7:$C$128,$D5,WRM!$X$7:X$128)</f>
        <v>0</v>
      </c>
      <c r="Z5" s="586"/>
      <c r="AA5" s="2010">
        <f t="shared" ref="AA5:AA37" si="4">Q5+U5+Y5</f>
        <v>0</v>
      </c>
      <c r="AB5" s="2053"/>
      <c r="AC5" s="1066">
        <f t="shared" ref="AC5:AC37" si="5">O5+AA5</f>
        <v>0</v>
      </c>
      <c r="AD5" s="586"/>
      <c r="AE5" s="513">
        <f>+SUMIF(WRM!$C$7:$C$128,$D5,WRM!$AD$7:$AD$128)</f>
        <v>0</v>
      </c>
      <c r="AF5" s="586"/>
      <c r="AG5" s="586">
        <f t="shared" ref="AG5:AG37" si="6">AC5+AE5</f>
        <v>0</v>
      </c>
      <c r="AH5" s="586"/>
      <c r="AI5" s="513">
        <f>+SUMIF(WRM!$C$7:$C$128,$D5,WRM!$AH$7:$AH$128)</f>
        <v>0</v>
      </c>
      <c r="AJ5" s="581"/>
      <c r="AK5" s="581">
        <f t="shared" ref="AK5:AK37" si="7">AG5+AI5</f>
        <v>0</v>
      </c>
      <c r="AL5" s="586"/>
      <c r="AM5" s="513">
        <f>+SUMIF(WRM!$C$7:$C$128,$D5,WRM!$AL$7:$AL$128)</f>
        <v>0</v>
      </c>
      <c r="AN5" s="586"/>
      <c r="AO5" s="2010">
        <f t="shared" ref="AO5:AO37" si="8">AE5+AI5+AM5</f>
        <v>0</v>
      </c>
      <c r="AP5" s="581"/>
      <c r="AQ5" s="581">
        <f t="shared" ref="AQ5:AQ37" si="9">AK5+AM5</f>
        <v>0</v>
      </c>
      <c r="AR5" s="586"/>
      <c r="AS5" s="513">
        <f>+SUMIF(WRM!$C$7:$C$128,$D5,WRM!$AR$7:$AR$128)</f>
        <v>0</v>
      </c>
      <c r="AT5" s="581"/>
      <c r="AU5" s="581">
        <f t="shared" ref="AU5:AU37" si="10">AQ5+AS5</f>
        <v>0</v>
      </c>
      <c r="AV5" s="586"/>
      <c r="AW5" s="513">
        <f>+SUMIF(WRM!$C$7:$C$128,$D5,WRM!$AV$7:$AV$128)</f>
        <v>0</v>
      </c>
      <c r="AX5" s="581"/>
      <c r="AY5" s="581">
        <f t="shared" ref="AY5:AY37" si="11">AU5+AW5</f>
        <v>0</v>
      </c>
      <c r="AZ5" s="586"/>
      <c r="BA5" s="513">
        <f>+SUMIF(WRM!$C$7:$C$128,$D5,WRM!$AZ$7:$AZ$128)</f>
        <v>0</v>
      </c>
      <c r="BB5" s="586"/>
      <c r="BC5" s="2010">
        <f t="shared" ref="BC5:BC37" si="12">AS5+AW5+BA5</f>
        <v>0</v>
      </c>
      <c r="BD5" s="2053"/>
      <c r="BE5" s="1066">
        <f t="shared" ref="BE5:BE68" si="13">AO5+BC5</f>
        <v>0</v>
      </c>
      <c r="BF5" s="581"/>
      <c r="BG5" s="581">
        <f t="shared" ref="BG5:BG71" si="14">AY5+BA5</f>
        <v>0</v>
      </c>
      <c r="BH5" s="23"/>
      <c r="BI5" s="23"/>
      <c r="BJ5" s="23"/>
    </row>
    <row r="6" spans="3:62" x14ac:dyDescent="0.35">
      <c r="C6" s="512" t="s">
        <v>16</v>
      </c>
      <c r="D6" s="1494" t="s">
        <v>1266</v>
      </c>
      <c r="E6" s="3996"/>
      <c r="F6" s="512"/>
      <c r="G6" s="513">
        <f>+SUMIF(WRM!$C$7:$C$128,$D6,WRM!$F$7:$F$128)</f>
        <v>0</v>
      </c>
      <c r="H6" s="513"/>
      <c r="I6" s="513">
        <f>+SUMIF(WRM!$C$7:$C$128,$D6,WRM!$H$7:$H$128)</f>
        <v>0</v>
      </c>
      <c r="J6" s="581"/>
      <c r="K6" s="581">
        <f t="shared" si="0"/>
        <v>0</v>
      </c>
      <c r="L6" s="513"/>
      <c r="M6" s="513">
        <f>+SUMIF(WRM!$C$7:$C$128,$D6,WRM!$L$7:$L$128)</f>
        <v>161.95000000000002</v>
      </c>
      <c r="N6" s="586"/>
      <c r="O6" s="586">
        <f t="shared" si="1"/>
        <v>161.95000000000002</v>
      </c>
      <c r="P6" s="513"/>
      <c r="Q6" s="513">
        <f>+SUMIF(WRM!$C$7:$C$128,$D6,WRM!P$7:$P$128)</f>
        <v>676.5</v>
      </c>
      <c r="R6" s="586"/>
      <c r="S6" s="586">
        <f t="shared" si="2"/>
        <v>838.45</v>
      </c>
      <c r="T6" s="513"/>
      <c r="U6" s="513">
        <f>+SUMIF(WRM!$C$7:$C$128,$D6,WRM!$T$7:T$128)</f>
        <v>211.14999999999998</v>
      </c>
      <c r="V6" s="586"/>
      <c r="W6" s="586">
        <f t="shared" si="3"/>
        <v>1049.5999999999999</v>
      </c>
      <c r="X6" s="586"/>
      <c r="Y6" s="513">
        <f>+SUMIF(WRM!$C$7:$C$128,$D6,WRM!$X$7:X$128)</f>
        <v>1326.3500000000001</v>
      </c>
      <c r="Z6" s="586"/>
      <c r="AA6" s="2010">
        <f t="shared" si="4"/>
        <v>2214</v>
      </c>
      <c r="AB6" s="2053"/>
      <c r="AC6" s="1066">
        <f t="shared" si="5"/>
        <v>2375.9499999999998</v>
      </c>
      <c r="AD6" s="586"/>
      <c r="AE6" s="513">
        <f>+SUMIF(WRM!$C$7:$C$128,$D6,WRM!$AD$7:$AD$128)</f>
        <v>0</v>
      </c>
      <c r="AF6" s="586"/>
      <c r="AG6" s="586">
        <f t="shared" si="6"/>
        <v>2375.9499999999998</v>
      </c>
      <c r="AH6" s="586"/>
      <c r="AI6" s="513">
        <f>+SUMIF(WRM!$C$7:$C$128,$D6,WRM!$AH$7:$AH$128)</f>
        <v>0</v>
      </c>
      <c r="AJ6" s="581"/>
      <c r="AK6" s="581">
        <f t="shared" si="7"/>
        <v>2375.9499999999998</v>
      </c>
      <c r="AL6" s="586"/>
      <c r="AM6" s="513">
        <f>+SUMIF(WRM!$C$7:$C$128,$D6,WRM!$AL$7:$AL$128)</f>
        <v>0</v>
      </c>
      <c r="AN6" s="586"/>
      <c r="AO6" s="2010">
        <f t="shared" si="8"/>
        <v>0</v>
      </c>
      <c r="AP6" s="581"/>
      <c r="AQ6" s="581">
        <f t="shared" si="9"/>
        <v>2375.9499999999998</v>
      </c>
      <c r="AR6" s="586"/>
      <c r="AS6" s="513">
        <f>+SUMIF(WRM!$C$7:$C$128,$D6,WRM!$AR$7:$AR$128)</f>
        <v>670.35</v>
      </c>
      <c r="AT6" s="581"/>
      <c r="AU6" s="581">
        <f t="shared" si="10"/>
        <v>3046.2999999999997</v>
      </c>
      <c r="AV6" s="586"/>
      <c r="AW6" s="513">
        <f>+SUMIF(WRM!$C$7:$C$128,$D6,WRM!$AV$7:$AV$128)</f>
        <v>0</v>
      </c>
      <c r="AX6" s="581"/>
      <c r="AY6" s="581">
        <f t="shared" si="11"/>
        <v>3046.2999999999997</v>
      </c>
      <c r="AZ6" s="586"/>
      <c r="BA6" s="513">
        <f>+SUMIF(WRM!$C$7:$C$128,$D6,WRM!$AZ$7:$AZ$128)</f>
        <v>0</v>
      </c>
      <c r="BB6" s="586"/>
      <c r="BC6" s="2010">
        <f t="shared" si="12"/>
        <v>670.35</v>
      </c>
      <c r="BD6" s="2053"/>
      <c r="BE6" s="1066">
        <f t="shared" si="13"/>
        <v>670.35</v>
      </c>
      <c r="BF6" s="581"/>
      <c r="BG6" s="581">
        <f t="shared" si="14"/>
        <v>3046.2999999999997</v>
      </c>
      <c r="BH6" s="23"/>
      <c r="BI6" s="23"/>
      <c r="BJ6" s="23"/>
    </row>
    <row r="7" spans="3:62" x14ac:dyDescent="0.35">
      <c r="C7" s="512" t="s">
        <v>16</v>
      </c>
      <c r="D7" s="1494" t="s">
        <v>904</v>
      </c>
      <c r="E7" s="3996"/>
      <c r="F7" s="512"/>
      <c r="G7" s="513">
        <f>+SUMIF(WRM!$C$7:$C$128,$D7,WRM!$F$7:$F$128)</f>
        <v>0</v>
      </c>
      <c r="H7" s="513"/>
      <c r="I7" s="513">
        <f>+SUMIF(WRM!$C$7:$C$128,$D7,WRM!$H$7:$H$128)</f>
        <v>0</v>
      </c>
      <c r="J7" s="581"/>
      <c r="K7" s="581">
        <f t="shared" si="0"/>
        <v>0</v>
      </c>
      <c r="L7" s="513"/>
      <c r="M7" s="513">
        <f>+SUMIF(WRM!$C$7:$C$128,$D7,WRM!$L$7:$L$128)</f>
        <v>0</v>
      </c>
      <c r="N7" s="586"/>
      <c r="O7" s="586">
        <f t="shared" si="1"/>
        <v>0</v>
      </c>
      <c r="P7" s="513"/>
      <c r="Q7" s="513">
        <f>+SUMIF(WRM!$C$7:$C$128,$D7,WRM!P$7:$P$128)</f>
        <v>0</v>
      </c>
      <c r="R7" s="586"/>
      <c r="S7" s="586">
        <f t="shared" si="2"/>
        <v>0</v>
      </c>
      <c r="T7" s="513"/>
      <c r="U7" s="513">
        <f>+SUMIF(WRM!$C$7:$C$128,$D7,WRM!$T$7:T$128)</f>
        <v>0</v>
      </c>
      <c r="V7" s="586"/>
      <c r="W7" s="586">
        <f t="shared" si="3"/>
        <v>0</v>
      </c>
      <c r="X7" s="586"/>
      <c r="Y7" s="513">
        <f>+SUMIF(WRM!$C$7:$C$128,$D7,WRM!$X$7:X$128)</f>
        <v>0</v>
      </c>
      <c r="Z7" s="586"/>
      <c r="AA7" s="2010">
        <f t="shared" si="4"/>
        <v>0</v>
      </c>
      <c r="AB7" s="2053"/>
      <c r="AC7" s="1066">
        <f t="shared" si="5"/>
        <v>0</v>
      </c>
      <c r="AD7" s="586"/>
      <c r="AE7" s="513">
        <f>+SUMIF(WRM!$C$7:$C$128,$D7,WRM!$AD$7:$AD$128)</f>
        <v>0</v>
      </c>
      <c r="AF7" s="586"/>
      <c r="AG7" s="586">
        <f t="shared" si="6"/>
        <v>0</v>
      </c>
      <c r="AH7" s="586"/>
      <c r="AI7" s="513">
        <f>+SUMIF(WRM!$C$7:$C$128,$D7,WRM!$AH$7:$AH$128)</f>
        <v>0</v>
      </c>
      <c r="AJ7" s="581"/>
      <c r="AK7" s="581">
        <f t="shared" si="7"/>
        <v>0</v>
      </c>
      <c r="AL7" s="586"/>
      <c r="AM7" s="513">
        <f>+SUMIF(WRM!$C$7:$C$128,$D7,WRM!$AL$7:$AL$128)</f>
        <v>0</v>
      </c>
      <c r="AN7" s="586"/>
      <c r="AO7" s="2010">
        <f t="shared" si="8"/>
        <v>0</v>
      </c>
      <c r="AP7" s="581"/>
      <c r="AQ7" s="581">
        <f t="shared" si="9"/>
        <v>0</v>
      </c>
      <c r="AR7" s="586"/>
      <c r="AS7" s="513">
        <f>+SUMIF(WRM!$C$7:$C$128,$D7,WRM!$AR$7:$AR$128)</f>
        <v>0</v>
      </c>
      <c r="AT7" s="581"/>
      <c r="AU7" s="581">
        <f t="shared" si="10"/>
        <v>0</v>
      </c>
      <c r="AV7" s="586"/>
      <c r="AW7" s="513">
        <f>+SUMIF(WRM!$C$7:$C$128,$D7,WRM!$AV$7:$AV$128)</f>
        <v>0</v>
      </c>
      <c r="AX7" s="581"/>
      <c r="AY7" s="581">
        <f t="shared" si="11"/>
        <v>0</v>
      </c>
      <c r="AZ7" s="586"/>
      <c r="BA7" s="513">
        <f>+SUMIF(WRM!$C$7:$C$128,$D7,WRM!$AZ$7:$AZ$128)</f>
        <v>0</v>
      </c>
      <c r="BB7" s="586"/>
      <c r="BC7" s="2010">
        <f t="shared" si="12"/>
        <v>0</v>
      </c>
      <c r="BD7" s="2053"/>
      <c r="BE7" s="1066">
        <f t="shared" si="13"/>
        <v>0</v>
      </c>
      <c r="BF7" s="581"/>
      <c r="BG7" s="581">
        <f t="shared" si="14"/>
        <v>0</v>
      </c>
      <c r="BH7" s="23"/>
      <c r="BI7" s="23"/>
      <c r="BJ7" s="23"/>
    </row>
    <row r="8" spans="3:62" x14ac:dyDescent="0.35">
      <c r="C8" s="512" t="s">
        <v>16</v>
      </c>
      <c r="D8" s="1494" t="s">
        <v>1309</v>
      </c>
      <c r="E8" s="3996"/>
      <c r="F8" s="512"/>
      <c r="G8" s="513">
        <f>+SUMIF(WRM!$C$7:$C$128,$D8,WRM!$F$7:$F$128)</f>
        <v>0</v>
      </c>
      <c r="H8" s="513"/>
      <c r="I8" s="513">
        <f>+SUMIF(WRM!$C$7:$C$128,$D8,WRM!$H$7:$H$128)</f>
        <v>0</v>
      </c>
      <c r="J8" s="581"/>
      <c r="K8" s="581">
        <f t="shared" si="0"/>
        <v>0</v>
      </c>
      <c r="L8" s="513"/>
      <c r="M8" s="513">
        <f>+SUMIF(WRM!$C$7:$C$128,$D8,WRM!$L$7:$L$128)</f>
        <v>0</v>
      </c>
      <c r="N8" s="586"/>
      <c r="O8" s="586">
        <f t="shared" si="1"/>
        <v>0</v>
      </c>
      <c r="P8" s="513"/>
      <c r="Q8" s="513">
        <f>+SUMIF(WRM!$C$7:$C$128,$D8,WRM!P$7:$P$128)</f>
        <v>0</v>
      </c>
      <c r="R8" s="586"/>
      <c r="S8" s="586">
        <f t="shared" si="2"/>
        <v>0</v>
      </c>
      <c r="T8" s="513"/>
      <c r="U8" s="513">
        <f>+SUMIF(WRM!$C$7:$C$128,$D8,WRM!$T$7:T$128)</f>
        <v>0</v>
      </c>
      <c r="V8" s="586"/>
      <c r="W8" s="586">
        <f t="shared" si="3"/>
        <v>0</v>
      </c>
      <c r="X8" s="586"/>
      <c r="Y8" s="513">
        <f>+SUMIF(WRM!$C$7:$C$128,$D8,WRM!$X$7:X$128)</f>
        <v>0</v>
      </c>
      <c r="Z8" s="586"/>
      <c r="AA8" s="2010">
        <f t="shared" si="4"/>
        <v>0</v>
      </c>
      <c r="AB8" s="2053"/>
      <c r="AC8" s="1066">
        <f t="shared" si="5"/>
        <v>0</v>
      </c>
      <c r="AD8" s="586"/>
      <c r="AE8" s="513">
        <f>+SUMIF(WRM!$C$7:$C$128,$D8,WRM!$AD$7:$AD$128)</f>
        <v>0</v>
      </c>
      <c r="AF8" s="586"/>
      <c r="AG8" s="586">
        <f t="shared" si="6"/>
        <v>0</v>
      </c>
      <c r="AH8" s="586"/>
      <c r="AI8" s="513">
        <f>+SUMIF(WRM!$C$7:$C$128,$D8,WRM!$AH$7:$AH$128)</f>
        <v>0</v>
      </c>
      <c r="AJ8" s="581"/>
      <c r="AK8" s="581">
        <f t="shared" si="7"/>
        <v>0</v>
      </c>
      <c r="AL8" s="586"/>
      <c r="AM8" s="513">
        <f>+SUMIF(WRM!$C$7:$C$128,$D8,WRM!$AL$7:$AL$128)</f>
        <v>0</v>
      </c>
      <c r="AN8" s="586"/>
      <c r="AO8" s="2010">
        <f t="shared" si="8"/>
        <v>0</v>
      </c>
      <c r="AP8" s="581"/>
      <c r="AQ8" s="581">
        <f t="shared" si="9"/>
        <v>0</v>
      </c>
      <c r="AR8" s="586"/>
      <c r="AS8" s="513">
        <f>+SUMIF(WRM!$C$7:$C$128,$D8,WRM!$AR$7:$AR$128)</f>
        <v>0</v>
      </c>
      <c r="AT8" s="581"/>
      <c r="AU8" s="581">
        <f t="shared" si="10"/>
        <v>0</v>
      </c>
      <c r="AV8" s="586"/>
      <c r="AW8" s="513">
        <f>+SUMIF(WRM!$C$7:$C$128,$D8,WRM!$AV$7:$AV$128)</f>
        <v>0</v>
      </c>
      <c r="AX8" s="581"/>
      <c r="AY8" s="581">
        <f t="shared" si="11"/>
        <v>0</v>
      </c>
      <c r="AZ8" s="586"/>
      <c r="BA8" s="513">
        <f>+SUMIF(WRM!$C$7:$C$128,$D8,WRM!$AZ$7:$AZ$128)</f>
        <v>0</v>
      </c>
      <c r="BB8" s="586"/>
      <c r="BC8" s="2010">
        <f t="shared" si="12"/>
        <v>0</v>
      </c>
      <c r="BD8" s="2053"/>
      <c r="BE8" s="1066">
        <f t="shared" si="13"/>
        <v>0</v>
      </c>
      <c r="BF8" s="581"/>
      <c r="BG8" s="581">
        <f t="shared" si="14"/>
        <v>0</v>
      </c>
      <c r="BH8" s="23"/>
      <c r="BI8" s="23"/>
      <c r="BJ8" s="23"/>
    </row>
    <row r="9" spans="3:62" x14ac:dyDescent="0.35">
      <c r="C9" s="512" t="s">
        <v>16</v>
      </c>
      <c r="D9" s="1494" t="s">
        <v>832</v>
      </c>
      <c r="E9" s="3996"/>
      <c r="F9" s="512"/>
      <c r="G9" s="513">
        <f>+SUMIF(WRM!$C$7:$C$128,$D9,WRM!$F$7:$F$128)</f>
        <v>8933.9</v>
      </c>
      <c r="H9" s="513"/>
      <c r="I9" s="513">
        <f>+SUMIF(WRM!$C$7:$C$128,$D9,WRM!$H$7:$H$128)</f>
        <v>4419.8000000000029</v>
      </c>
      <c r="J9" s="581"/>
      <c r="K9" s="581">
        <f t="shared" si="0"/>
        <v>13353.700000000003</v>
      </c>
      <c r="L9" s="513"/>
      <c r="M9" s="513">
        <f>+SUMIF(WRM!$C$7:$C$128,$D9,WRM!$L$7:$L$128)</f>
        <v>4954.8500000000004</v>
      </c>
      <c r="N9" s="586"/>
      <c r="O9" s="586">
        <f t="shared" si="1"/>
        <v>18308.550000000003</v>
      </c>
      <c r="P9" s="513"/>
      <c r="Q9" s="513">
        <f>+SUMIF(WRM!$C$7:$C$128,$D9,WRM!P$7:$P$128)</f>
        <v>7790.0000000000009</v>
      </c>
      <c r="R9" s="586"/>
      <c r="S9" s="586">
        <f t="shared" si="2"/>
        <v>26098.550000000003</v>
      </c>
      <c r="T9" s="513"/>
      <c r="U9" s="513">
        <f>+SUMIF(WRM!$C$7:$C$128,$D9,WRM!$T$7:T$128)</f>
        <v>6562.05</v>
      </c>
      <c r="V9" s="586"/>
      <c r="W9" s="586">
        <f t="shared" si="3"/>
        <v>32660.600000000002</v>
      </c>
      <c r="X9" s="586"/>
      <c r="Y9" s="513">
        <f>+SUMIF(WRM!$C$7:$C$128,$D9,WRM!$X$7:X$128)</f>
        <v>8247.15</v>
      </c>
      <c r="Z9" s="586"/>
      <c r="AA9" s="2010">
        <f t="shared" si="4"/>
        <v>22599.200000000001</v>
      </c>
      <c r="AB9" s="2053"/>
      <c r="AC9" s="1066">
        <f t="shared" si="5"/>
        <v>40907.75</v>
      </c>
      <c r="AD9" s="586"/>
      <c r="AE9" s="513">
        <f>+SUMIF(WRM!$C$7:$C$128,$D9,WRM!$AD$7:$AD$128)</f>
        <v>5110.6499999999996</v>
      </c>
      <c r="AF9" s="586"/>
      <c r="AG9" s="586">
        <f t="shared" si="6"/>
        <v>46018.400000000001</v>
      </c>
      <c r="AH9" s="586"/>
      <c r="AI9" s="513">
        <f>+SUMIF(WRM!$C$7:$C$128,$D9,WRM!$AH$7:$AH$128)</f>
        <v>9261.9000000000051</v>
      </c>
      <c r="AJ9" s="581"/>
      <c r="AK9" s="581">
        <f t="shared" si="7"/>
        <v>55280.3</v>
      </c>
      <c r="AL9" s="586"/>
      <c r="AM9" s="513">
        <f>+SUMIF(WRM!$C$7:$C$128,$D9,WRM!$AL$7:$AL$128)</f>
        <v>5922.4500000000007</v>
      </c>
      <c r="AN9" s="586"/>
      <c r="AO9" s="2010">
        <f t="shared" si="8"/>
        <v>20295.000000000007</v>
      </c>
      <c r="AP9" s="581"/>
      <c r="AQ9" s="581">
        <f t="shared" si="9"/>
        <v>61202.75</v>
      </c>
      <c r="AR9" s="586"/>
      <c r="AS9" s="513">
        <f>+SUMIF(WRM!$C$7:$C$128,$D9,WRM!$AR$7:$AR$128)</f>
        <v>5807.65</v>
      </c>
      <c r="AT9" s="581"/>
      <c r="AU9" s="581">
        <f t="shared" si="10"/>
        <v>67010.399999999994</v>
      </c>
      <c r="AV9" s="586"/>
      <c r="AW9" s="513">
        <f>+SUMIF(WRM!$C$7:$C$128,$D9,WRM!$AV$7:$AV$128)</f>
        <v>9950.7000000000098</v>
      </c>
      <c r="AX9" s="581"/>
      <c r="AY9" s="581">
        <f t="shared" si="11"/>
        <v>76961.100000000006</v>
      </c>
      <c r="AZ9" s="586"/>
      <c r="BA9" s="513">
        <f>+SUMIF(WRM!$C$7:$C$128,$D9,WRM!$AZ$7:$AZ$128)</f>
        <v>9653.4499999999989</v>
      </c>
      <c r="BB9" s="586"/>
      <c r="BC9" s="2010">
        <f t="shared" si="12"/>
        <v>25411.80000000001</v>
      </c>
      <c r="BD9" s="2053"/>
      <c r="BE9" s="1066">
        <f t="shared" si="13"/>
        <v>45706.800000000017</v>
      </c>
      <c r="BF9" s="581"/>
      <c r="BG9" s="581">
        <f t="shared" si="14"/>
        <v>86614.55</v>
      </c>
      <c r="BH9" s="23"/>
      <c r="BI9" s="23"/>
      <c r="BJ9" s="23"/>
    </row>
    <row r="10" spans="3:62" x14ac:dyDescent="0.35">
      <c r="C10" s="512" t="s">
        <v>16</v>
      </c>
      <c r="D10" s="1494" t="s">
        <v>1965</v>
      </c>
      <c r="E10" s="3996"/>
      <c r="F10" s="512"/>
      <c r="G10" s="513">
        <f>+SUMIF(WRM!$C$7:$C$128,$D10,WRM!$F$7:$F$128)</f>
        <v>0</v>
      </c>
      <c r="H10" s="513"/>
      <c r="I10" s="513">
        <f>+SUMIF(WRM!$C$7:$C$128,$D10,WRM!$H$7:$H$128)</f>
        <v>0</v>
      </c>
      <c r="J10" s="581"/>
      <c r="K10" s="581">
        <f t="shared" si="0"/>
        <v>0</v>
      </c>
      <c r="L10" s="513"/>
      <c r="M10" s="513">
        <f>+SUMIF(WRM!$C$7:$C$128,$D10,WRM!$L$7:$L$128)</f>
        <v>3761.75</v>
      </c>
      <c r="N10" s="586"/>
      <c r="O10" s="586">
        <f t="shared" si="1"/>
        <v>3761.75</v>
      </c>
      <c r="P10" s="513"/>
      <c r="Q10" s="513">
        <f>+SUMIF(WRM!$C$7:$C$128,$D10,WRM!P$7:$P$128)</f>
        <v>9542.7500000000018</v>
      </c>
      <c r="R10" s="586"/>
      <c r="S10" s="586">
        <f t="shared" si="2"/>
        <v>13304.500000000002</v>
      </c>
      <c r="T10" s="513"/>
      <c r="U10" s="513">
        <f>+SUMIF(WRM!$C$7:$C$128,$D10,WRM!$T$7:T$128)</f>
        <v>0</v>
      </c>
      <c r="V10" s="586"/>
      <c r="W10" s="586">
        <f t="shared" si="3"/>
        <v>13304.500000000002</v>
      </c>
      <c r="X10" s="586"/>
      <c r="Y10" s="513">
        <f>+SUMIF(WRM!$C$7:$C$128,$D10,WRM!$X$7:X$128)</f>
        <v>0</v>
      </c>
      <c r="Z10" s="586"/>
      <c r="AA10" s="2010">
        <f t="shared" si="4"/>
        <v>9542.7500000000018</v>
      </c>
      <c r="AB10" s="2053"/>
      <c r="AC10" s="1066">
        <f t="shared" si="5"/>
        <v>13304.500000000002</v>
      </c>
      <c r="AD10" s="586"/>
      <c r="AE10" s="513">
        <f>+SUMIF(WRM!$C$7:$C$128,$D10,WRM!$AD$7:$AD$128)</f>
        <v>0</v>
      </c>
      <c r="AF10" s="586"/>
      <c r="AG10" s="586">
        <f t="shared" si="6"/>
        <v>13304.500000000002</v>
      </c>
      <c r="AH10" s="586"/>
      <c r="AI10" s="513">
        <f>+SUMIF(WRM!$C$7:$C$128,$D10,WRM!$AH$7:$AH$128)</f>
        <v>0</v>
      </c>
      <c r="AJ10" s="581"/>
      <c r="AK10" s="581">
        <f t="shared" si="7"/>
        <v>13304.500000000002</v>
      </c>
      <c r="AL10" s="586"/>
      <c r="AM10" s="513">
        <f>+SUMIF(WRM!$C$7:$C$128,$D10,WRM!$AL$7:$AL$128)</f>
        <v>0</v>
      </c>
      <c r="AN10" s="586"/>
      <c r="AO10" s="2010">
        <f t="shared" si="8"/>
        <v>0</v>
      </c>
      <c r="AP10" s="581"/>
      <c r="AQ10" s="581">
        <f t="shared" si="9"/>
        <v>13304.500000000002</v>
      </c>
      <c r="AR10" s="586"/>
      <c r="AS10" s="513">
        <f>+SUMIF(WRM!$C$7:$C$128,$D10,WRM!$AR$7:$AR$128)</f>
        <v>0</v>
      </c>
      <c r="AT10" s="581"/>
      <c r="AU10" s="581">
        <f t="shared" si="10"/>
        <v>13304.500000000002</v>
      </c>
      <c r="AV10" s="586"/>
      <c r="AW10" s="513">
        <f>+SUMIF(WRM!$C$7:$C$128,$D10,WRM!$AV$7:$AV$128)</f>
        <v>0</v>
      </c>
      <c r="AX10" s="581"/>
      <c r="AY10" s="581">
        <f t="shared" si="11"/>
        <v>13304.500000000002</v>
      </c>
      <c r="AZ10" s="586"/>
      <c r="BA10" s="513">
        <f>+SUMIF(WRM!$C$7:$C$128,$D10,WRM!$AZ$7:$AZ$128)</f>
        <v>0</v>
      </c>
      <c r="BB10" s="586"/>
      <c r="BC10" s="2010">
        <f t="shared" si="12"/>
        <v>0</v>
      </c>
      <c r="BD10" s="2053"/>
      <c r="BE10" s="1066">
        <f t="shared" si="13"/>
        <v>0</v>
      </c>
      <c r="BF10" s="581"/>
      <c r="BG10" s="581">
        <f t="shared" si="14"/>
        <v>13304.500000000002</v>
      </c>
      <c r="BH10" s="23"/>
      <c r="BI10" s="23"/>
      <c r="BJ10" s="23"/>
    </row>
    <row r="11" spans="3:62" x14ac:dyDescent="0.35">
      <c r="C11" s="512" t="s">
        <v>16</v>
      </c>
      <c r="D11" s="1494" t="s">
        <v>1214</v>
      </c>
      <c r="E11" s="3996"/>
      <c r="F11" s="512"/>
      <c r="G11" s="513">
        <f>+SUMIF(WRM!$C$7:$C$128,$D11,WRM!$F$7:$F$128)</f>
        <v>0</v>
      </c>
      <c r="H11" s="513"/>
      <c r="I11" s="513">
        <f>+SUMIF(WRM!$C$7:$C$128,$D11,WRM!$H$7:$H$128)</f>
        <v>0</v>
      </c>
      <c r="J11" s="581"/>
      <c r="K11" s="581">
        <f t="shared" si="0"/>
        <v>0</v>
      </c>
      <c r="L11" s="513"/>
      <c r="M11" s="513">
        <f>+SUMIF(WRM!$C$7:$C$128,$D11,WRM!$L$7:$L$128)</f>
        <v>5600</v>
      </c>
      <c r="N11" s="586"/>
      <c r="O11" s="586">
        <f t="shared" si="1"/>
        <v>5600</v>
      </c>
      <c r="P11" s="513"/>
      <c r="Q11" s="513">
        <f>+SUMIF(WRM!$C$7:$C$128,$D11,WRM!P$7:$P$128)</f>
        <v>1705.6</v>
      </c>
      <c r="R11" s="586"/>
      <c r="S11" s="586">
        <f t="shared" si="2"/>
        <v>7305.6</v>
      </c>
      <c r="T11" s="513"/>
      <c r="U11" s="513">
        <f>+SUMIF(WRM!$C$7:$C$128,$D11,WRM!$T$7:T$128)</f>
        <v>0</v>
      </c>
      <c r="V11" s="586"/>
      <c r="W11" s="586">
        <f t="shared" si="3"/>
        <v>7305.6</v>
      </c>
      <c r="X11" s="586"/>
      <c r="Y11" s="513">
        <f>+SUMIF(WRM!$C$7:$C$128,$D11,WRM!$X$7:X$128)</f>
        <v>0</v>
      </c>
      <c r="Z11" s="586"/>
      <c r="AA11" s="2010">
        <f t="shared" si="4"/>
        <v>1705.6</v>
      </c>
      <c r="AB11" s="2053"/>
      <c r="AC11" s="1066">
        <f t="shared" si="5"/>
        <v>7305.6</v>
      </c>
      <c r="AD11" s="586"/>
      <c r="AE11" s="513">
        <f>+SUMIF(WRM!$C$7:$C$128,$D11,WRM!$AD$7:$AD$128)</f>
        <v>0</v>
      </c>
      <c r="AF11" s="586"/>
      <c r="AG11" s="586">
        <f t="shared" si="6"/>
        <v>7305.6</v>
      </c>
      <c r="AH11" s="586"/>
      <c r="AI11" s="513">
        <f>+SUMIF(WRM!$C$7:$C$128,$D11,WRM!$AH$7:$AH$128)</f>
        <v>0</v>
      </c>
      <c r="AJ11" s="581"/>
      <c r="AK11" s="581">
        <f t="shared" si="7"/>
        <v>7305.6</v>
      </c>
      <c r="AL11" s="586"/>
      <c r="AM11" s="513">
        <f>+SUMIF(WRM!$C$7:$C$128,$D11,WRM!$AL$7:$AL$128)</f>
        <v>0</v>
      </c>
      <c r="AN11" s="586"/>
      <c r="AO11" s="2010">
        <f t="shared" si="8"/>
        <v>0</v>
      </c>
      <c r="AP11" s="581"/>
      <c r="AQ11" s="581">
        <f t="shared" si="9"/>
        <v>7305.6</v>
      </c>
      <c r="AR11" s="586"/>
      <c r="AS11" s="513">
        <f>+SUMIF(WRM!$C$7:$C$128,$D11,WRM!$AR$7:$AR$128)</f>
        <v>0</v>
      </c>
      <c r="AT11" s="581"/>
      <c r="AU11" s="581">
        <f t="shared" si="10"/>
        <v>7305.6</v>
      </c>
      <c r="AV11" s="586"/>
      <c r="AW11" s="513">
        <f>+SUMIF(WRM!$C$7:$C$128,$D11,WRM!$AV$7:$AV$128)</f>
        <v>0</v>
      </c>
      <c r="AX11" s="581"/>
      <c r="AY11" s="581">
        <f t="shared" si="11"/>
        <v>7305.6</v>
      </c>
      <c r="AZ11" s="586"/>
      <c r="BA11" s="513">
        <f>+SUMIF(WRM!$C$7:$C$128,$D11,WRM!$AZ$7:$AZ$128)</f>
        <v>0</v>
      </c>
      <c r="BB11" s="586"/>
      <c r="BC11" s="2010">
        <f t="shared" si="12"/>
        <v>0</v>
      </c>
      <c r="BD11" s="2053"/>
      <c r="BE11" s="1066">
        <f t="shared" si="13"/>
        <v>0</v>
      </c>
      <c r="BF11" s="581"/>
      <c r="BG11" s="581">
        <f t="shared" si="14"/>
        <v>7305.6</v>
      </c>
      <c r="BH11" s="23"/>
      <c r="BI11" s="23"/>
      <c r="BJ11" s="23"/>
    </row>
    <row r="12" spans="3:62" x14ac:dyDescent="0.35">
      <c r="C12" s="512" t="s">
        <v>16</v>
      </c>
      <c r="D12" s="1494" t="s">
        <v>925</v>
      </c>
      <c r="E12" s="3996"/>
      <c r="F12" s="512"/>
      <c r="G12" s="513">
        <f>+SUMIF(WRM!$C$7:$C$128,$D12,WRM!$F$7:$F$128)</f>
        <v>207.05</v>
      </c>
      <c r="H12" s="513"/>
      <c r="I12" s="513">
        <f>+SUMIF(WRM!$C$7:$C$128,$D12,WRM!$H$7:$H$128)</f>
        <v>1373.5</v>
      </c>
      <c r="J12" s="581"/>
      <c r="K12" s="581">
        <f t="shared" si="0"/>
        <v>1580.55</v>
      </c>
      <c r="L12" s="513"/>
      <c r="M12" s="513">
        <f>+SUMIF(WRM!$C$7:$C$128,$D12,WRM!$L$7:$L$128)</f>
        <v>699.05000000000007</v>
      </c>
      <c r="N12" s="586"/>
      <c r="O12" s="586">
        <f t="shared" si="1"/>
        <v>2279.6</v>
      </c>
      <c r="P12" s="513"/>
      <c r="Q12" s="513">
        <f>+SUMIF(WRM!$C$7:$C$128,$D12,WRM!P$7:$P$128)</f>
        <v>455.09999999999997</v>
      </c>
      <c r="R12" s="586"/>
      <c r="S12" s="586">
        <f t="shared" si="2"/>
        <v>2734.7</v>
      </c>
      <c r="T12" s="513"/>
      <c r="U12" s="513">
        <f>+SUMIF(WRM!$C$7:$C$128,$D12,WRM!$T$7:T$128)</f>
        <v>1242.3</v>
      </c>
      <c r="V12" s="586"/>
      <c r="W12" s="586">
        <f t="shared" si="3"/>
        <v>3977</v>
      </c>
      <c r="X12" s="586"/>
      <c r="Y12" s="513">
        <f>+SUMIF(WRM!$C$7:$C$128,$D12,WRM!$X$7:X$128)</f>
        <v>742.1</v>
      </c>
      <c r="Z12" s="586"/>
      <c r="AA12" s="2010">
        <f t="shared" si="4"/>
        <v>2439.5</v>
      </c>
      <c r="AB12" s="2053"/>
      <c r="AC12" s="1066">
        <f t="shared" si="5"/>
        <v>4719.1000000000004</v>
      </c>
      <c r="AD12" s="586"/>
      <c r="AE12" s="513">
        <f>+SUMIF(WRM!$C$7:$C$128,$D12,WRM!$AD$7:$AD$128)</f>
        <v>0</v>
      </c>
      <c r="AF12" s="586"/>
      <c r="AG12" s="586">
        <f t="shared" si="6"/>
        <v>4719.1000000000004</v>
      </c>
      <c r="AH12" s="586"/>
      <c r="AI12" s="513">
        <f>+SUMIF(WRM!$C$7:$C$128,$D12,WRM!$AH$7:$AH$128)</f>
        <v>1869.6</v>
      </c>
      <c r="AJ12" s="581"/>
      <c r="AK12" s="581">
        <f t="shared" si="7"/>
        <v>6588.7000000000007</v>
      </c>
      <c r="AL12" s="586"/>
      <c r="AM12" s="513">
        <f>+SUMIF(WRM!$C$7:$C$128,$D12,WRM!$AL$7:$AL$128)</f>
        <v>399.75</v>
      </c>
      <c r="AN12" s="586"/>
      <c r="AO12" s="2010">
        <f t="shared" si="8"/>
        <v>2269.35</v>
      </c>
      <c r="AP12" s="581"/>
      <c r="AQ12" s="581">
        <f t="shared" si="9"/>
        <v>6988.4500000000007</v>
      </c>
      <c r="AR12" s="586"/>
      <c r="AS12" s="513">
        <f>+SUMIF(WRM!$C$7:$C$128,$D12,WRM!$AR$7:$AR$128)</f>
        <v>655.99999999999989</v>
      </c>
      <c r="AT12" s="581"/>
      <c r="AU12" s="581">
        <f t="shared" si="10"/>
        <v>7644.4500000000007</v>
      </c>
      <c r="AV12" s="586"/>
      <c r="AW12" s="513">
        <f>+SUMIF(WRM!$C$7:$C$128,$D12,WRM!$AV$7:$AV$128)</f>
        <v>979.90000000000009</v>
      </c>
      <c r="AX12" s="581"/>
      <c r="AY12" s="581">
        <f t="shared" si="11"/>
        <v>8624.35</v>
      </c>
      <c r="AZ12" s="586"/>
      <c r="BA12" s="513">
        <f>+SUMIF(WRM!$C$7:$C$128,$D12,WRM!$AZ$7:$AZ$128)</f>
        <v>186.55</v>
      </c>
      <c r="BB12" s="586"/>
      <c r="BC12" s="2010">
        <f t="shared" si="12"/>
        <v>1822.45</v>
      </c>
      <c r="BD12" s="2053"/>
      <c r="BE12" s="1066">
        <f t="shared" si="13"/>
        <v>4091.8</v>
      </c>
      <c r="BF12" s="581"/>
      <c r="BG12" s="581">
        <f t="shared" si="14"/>
        <v>8810.9</v>
      </c>
      <c r="BH12" s="23"/>
      <c r="BI12" s="23"/>
      <c r="BJ12" s="23"/>
    </row>
    <row r="13" spans="3:62" x14ac:dyDescent="0.35">
      <c r="C13" s="512" t="s">
        <v>16</v>
      </c>
      <c r="D13" s="1494" t="s">
        <v>1535</v>
      </c>
      <c r="E13" s="3996"/>
      <c r="F13" s="512"/>
      <c r="G13" s="513">
        <f>+SUMIF(WRM!$C$7:$C$128,$D13,WRM!$F$7:$F$128)</f>
        <v>0</v>
      </c>
      <c r="H13" s="513"/>
      <c r="I13" s="513">
        <f>+SUMIF(WRM!$C$7:$C$128,$D13,WRM!$H$7:$H$128)</f>
        <v>0</v>
      </c>
      <c r="J13" s="581"/>
      <c r="K13" s="581">
        <f t="shared" si="0"/>
        <v>0</v>
      </c>
      <c r="L13" s="513"/>
      <c r="M13" s="513">
        <f>+SUMIF(WRM!$C$7:$C$128,$D13,WRM!$L$7:$L$128)</f>
        <v>0</v>
      </c>
      <c r="N13" s="586"/>
      <c r="O13" s="586">
        <f t="shared" si="1"/>
        <v>0</v>
      </c>
      <c r="P13" s="513"/>
      <c r="Q13" s="513">
        <f>+SUMIF(WRM!$C$7:$C$128,$D13,WRM!P$7:$P$128)</f>
        <v>0</v>
      </c>
      <c r="R13" s="586"/>
      <c r="S13" s="586">
        <f t="shared" si="2"/>
        <v>0</v>
      </c>
      <c r="T13" s="513"/>
      <c r="U13" s="513">
        <f>+SUMIF(WRM!$C$7:$C$128,$D13,WRM!$T$7:T$128)</f>
        <v>0</v>
      </c>
      <c r="V13" s="586"/>
      <c r="W13" s="586">
        <f t="shared" si="3"/>
        <v>0</v>
      </c>
      <c r="X13" s="586"/>
      <c r="Y13" s="513">
        <f>+SUMIF(WRM!$C$7:$C$128,$D13,WRM!$X$7:X$128)</f>
        <v>0</v>
      </c>
      <c r="Z13" s="586"/>
      <c r="AA13" s="2010">
        <f t="shared" si="4"/>
        <v>0</v>
      </c>
      <c r="AB13" s="2053"/>
      <c r="AC13" s="1066">
        <f t="shared" si="5"/>
        <v>0</v>
      </c>
      <c r="AD13" s="586"/>
      <c r="AE13" s="513">
        <f>+SUMIF(WRM!$C$7:$C$128,$D13,WRM!$AD$7:$AD$128)</f>
        <v>0</v>
      </c>
      <c r="AF13" s="586"/>
      <c r="AG13" s="586">
        <f t="shared" si="6"/>
        <v>0</v>
      </c>
      <c r="AH13" s="586"/>
      <c r="AI13" s="513">
        <f>+SUMIF(WRM!$C$7:$C$128,$D13,WRM!$AH$7:$AH$128)</f>
        <v>0</v>
      </c>
      <c r="AJ13" s="581"/>
      <c r="AK13" s="581">
        <f t="shared" si="7"/>
        <v>0</v>
      </c>
      <c r="AL13" s="586"/>
      <c r="AM13" s="513">
        <f>+SUMIF(WRM!$C$7:$C$128,$D13,WRM!$AL$7:$AL$128)</f>
        <v>0</v>
      </c>
      <c r="AN13" s="586"/>
      <c r="AO13" s="2010">
        <f t="shared" si="8"/>
        <v>0</v>
      </c>
      <c r="AP13" s="581"/>
      <c r="AQ13" s="581">
        <f t="shared" si="9"/>
        <v>0</v>
      </c>
      <c r="AR13" s="586"/>
      <c r="AS13" s="513">
        <f>+SUMIF(WRM!$C$7:$C$128,$D13,WRM!$AR$7:$AR$128)</f>
        <v>0</v>
      </c>
      <c r="AT13" s="581"/>
      <c r="AU13" s="581">
        <f t="shared" si="10"/>
        <v>0</v>
      </c>
      <c r="AV13" s="586"/>
      <c r="AW13" s="513">
        <f>+SUMIF(WRM!$C$7:$C$128,$D13,WRM!$AV$7:$AV$128)</f>
        <v>0</v>
      </c>
      <c r="AX13" s="581"/>
      <c r="AY13" s="581">
        <f t="shared" si="11"/>
        <v>0</v>
      </c>
      <c r="AZ13" s="586"/>
      <c r="BA13" s="513">
        <f>+SUMIF(WRM!$C$7:$C$128,$D13,WRM!$AZ$7:$AZ$128)</f>
        <v>0</v>
      </c>
      <c r="BB13" s="586"/>
      <c r="BC13" s="2010">
        <f t="shared" si="12"/>
        <v>0</v>
      </c>
      <c r="BD13" s="2053"/>
      <c r="BE13" s="1066">
        <f t="shared" si="13"/>
        <v>0</v>
      </c>
      <c r="BF13" s="581"/>
      <c r="BG13" s="581">
        <f t="shared" si="14"/>
        <v>0</v>
      </c>
      <c r="BH13" s="23"/>
      <c r="BI13" s="23"/>
      <c r="BJ13" s="23"/>
    </row>
    <row r="14" spans="3:62" x14ac:dyDescent="0.35">
      <c r="C14" s="2491" t="s">
        <v>16</v>
      </c>
      <c r="D14" s="2492" t="s">
        <v>928</v>
      </c>
      <c r="E14" s="3996"/>
      <c r="F14" s="2491"/>
      <c r="G14" s="513">
        <f>+SUMIF(WRM!$C$7:$C$128,$D14,WRM!$F$7:$F$128)</f>
        <v>0</v>
      </c>
      <c r="H14" s="2493"/>
      <c r="I14" s="513">
        <f>+SUMIF(WRM!$C$7:$C$128,$D14,WRM!$H$7:$H$128)</f>
        <v>528.90000000000009</v>
      </c>
      <c r="J14" s="2494"/>
      <c r="K14" s="581">
        <f t="shared" si="0"/>
        <v>528.90000000000009</v>
      </c>
      <c r="L14" s="2493"/>
      <c r="M14" s="513">
        <f>+SUMIF(WRM!$C$7:$C$128,$D14,WRM!$L$7:$L$128)</f>
        <v>502.24999999999994</v>
      </c>
      <c r="N14" s="2495"/>
      <c r="O14" s="586">
        <f t="shared" si="1"/>
        <v>1031.1500000000001</v>
      </c>
      <c r="P14" s="2493"/>
      <c r="Q14" s="513">
        <f>+SUMIF(WRM!$C$7:$C$128,$D14,WRM!P$7:$P$128)</f>
        <v>338.25</v>
      </c>
      <c r="R14" s="2495"/>
      <c r="S14" s="586">
        <f t="shared" si="2"/>
        <v>1369.4</v>
      </c>
      <c r="T14" s="2493"/>
      <c r="U14" s="513">
        <f>+SUMIF(WRM!$C$7:$C$128,$D14,WRM!$T$7:T$128)</f>
        <v>338.25</v>
      </c>
      <c r="V14" s="2495"/>
      <c r="W14" s="586">
        <f t="shared" si="3"/>
        <v>1707.65</v>
      </c>
      <c r="X14" s="2495"/>
      <c r="Y14" s="513">
        <f>+SUMIF(WRM!$C$7:$C$128,$D14,WRM!$X$7:X$128)</f>
        <v>319.8</v>
      </c>
      <c r="Z14" s="2495"/>
      <c r="AA14" s="2010">
        <f t="shared" si="4"/>
        <v>996.3</v>
      </c>
      <c r="AB14" s="2053"/>
      <c r="AC14" s="1066">
        <f t="shared" si="5"/>
        <v>2027.45</v>
      </c>
      <c r="AD14" s="2495"/>
      <c r="AE14" s="513">
        <f>+SUMIF(WRM!$C$7:$C$128,$D14,WRM!$AD$7:$AD$128)</f>
        <v>0</v>
      </c>
      <c r="AF14" s="2495"/>
      <c r="AG14" s="586">
        <f t="shared" si="6"/>
        <v>2027.45</v>
      </c>
      <c r="AH14" s="2495"/>
      <c r="AI14" s="513">
        <f>+SUMIF(WRM!$C$7:$C$128,$D14,WRM!$AH$7:$AH$128)</f>
        <v>0</v>
      </c>
      <c r="AJ14" s="2494"/>
      <c r="AK14" s="581">
        <f t="shared" si="7"/>
        <v>2027.45</v>
      </c>
      <c r="AL14" s="2495"/>
      <c r="AM14" s="513">
        <f>+SUMIF(WRM!$C$7:$C$128,$D14,WRM!$AL$7:$AL$128)</f>
        <v>709.30000000000007</v>
      </c>
      <c r="AN14" s="2495"/>
      <c r="AO14" s="2010">
        <f t="shared" si="8"/>
        <v>709.30000000000007</v>
      </c>
      <c r="AP14" s="2494"/>
      <c r="AQ14" s="581">
        <f t="shared" si="9"/>
        <v>2736.75</v>
      </c>
      <c r="AR14" s="2495"/>
      <c r="AS14" s="513">
        <f>+SUMIF(WRM!$C$7:$C$128,$D14,WRM!$AR$7:$AR$128)</f>
        <v>699.05</v>
      </c>
      <c r="AT14" s="2494"/>
      <c r="AU14" s="581">
        <f t="shared" si="10"/>
        <v>3435.8</v>
      </c>
      <c r="AV14" s="2495"/>
      <c r="AW14" s="513">
        <f>+SUMIF(WRM!$C$7:$C$128,$D14,WRM!$AV$7:$AV$128)</f>
        <v>0</v>
      </c>
      <c r="AX14" s="2494"/>
      <c r="AY14" s="581">
        <f t="shared" si="11"/>
        <v>3435.8</v>
      </c>
      <c r="AZ14" s="2495"/>
      <c r="BA14" s="513">
        <f>+SUMIF(WRM!$C$7:$C$128,$D14,WRM!$AZ$7:$AZ$128)</f>
        <v>120.95</v>
      </c>
      <c r="BB14" s="2495"/>
      <c r="BC14" s="2010">
        <f t="shared" si="12"/>
        <v>820</v>
      </c>
      <c r="BD14" s="2496"/>
      <c r="BE14" s="1066">
        <f t="shared" si="13"/>
        <v>1529.3000000000002</v>
      </c>
      <c r="BF14" s="2494"/>
      <c r="BG14" s="581">
        <f t="shared" si="14"/>
        <v>3556.75</v>
      </c>
      <c r="BH14" s="23"/>
      <c r="BI14" s="23"/>
      <c r="BJ14" s="23"/>
    </row>
    <row r="15" spans="3:62" x14ac:dyDescent="0.35">
      <c r="C15" s="512" t="s">
        <v>16</v>
      </c>
      <c r="D15" s="1494" t="s">
        <v>927</v>
      </c>
      <c r="E15" s="3996"/>
      <c r="F15" s="512"/>
      <c r="G15" s="513">
        <f>+SUMIF(WRM!$C$7:$C$128,$D15,WRM!$F$7:$F$128)</f>
        <v>1576.4499999999998</v>
      </c>
      <c r="H15" s="513"/>
      <c r="I15" s="513">
        <f>+SUMIF(WRM!$C$7:$C$128,$D15,WRM!$H$7:$H$128)</f>
        <v>1580.55</v>
      </c>
      <c r="J15" s="581"/>
      <c r="K15" s="581">
        <f t="shared" si="0"/>
        <v>3157</v>
      </c>
      <c r="L15" s="513"/>
      <c r="M15" s="513">
        <f>+SUMIF(WRM!$C$7:$C$128,$D15,WRM!$L$7:$L$128)</f>
        <v>1012.7</v>
      </c>
      <c r="N15" s="586"/>
      <c r="O15" s="586">
        <f t="shared" si="1"/>
        <v>4169.7</v>
      </c>
      <c r="P15" s="513"/>
      <c r="Q15" s="513">
        <f>+SUMIF(WRM!$C$7:$C$128,$D15,WRM!P$7:$P$128)</f>
        <v>1246.3999999999999</v>
      </c>
      <c r="R15" s="586"/>
      <c r="S15" s="586">
        <f t="shared" si="2"/>
        <v>5416.0999999999995</v>
      </c>
      <c r="T15" s="513"/>
      <c r="U15" s="513">
        <f>+SUMIF(WRM!$C$7:$C$128,$D15,WRM!$T$7:T$128)</f>
        <v>1609.25</v>
      </c>
      <c r="V15" s="586"/>
      <c r="W15" s="586">
        <f t="shared" si="3"/>
        <v>7025.3499999999995</v>
      </c>
      <c r="X15" s="586"/>
      <c r="Y15" s="513">
        <f>+SUMIF(WRM!$C$7:$C$128,$D15,WRM!$X$7:X$128)</f>
        <v>1783.5</v>
      </c>
      <c r="Z15" s="586"/>
      <c r="AA15" s="2010">
        <f t="shared" si="4"/>
        <v>4639.1499999999996</v>
      </c>
      <c r="AB15" s="2053"/>
      <c r="AC15" s="1066">
        <f t="shared" si="5"/>
        <v>8808.8499999999985</v>
      </c>
      <c r="AD15" s="586"/>
      <c r="AE15" s="513">
        <f>+SUMIF(WRM!$C$7:$C$128,$D15,WRM!$AD$7:$AD$128)</f>
        <v>813.85</v>
      </c>
      <c r="AF15" s="586"/>
      <c r="AG15" s="586">
        <f t="shared" si="6"/>
        <v>9622.6999999999989</v>
      </c>
      <c r="AH15" s="586"/>
      <c r="AI15" s="513">
        <f>+SUMIF(WRM!$C$7:$C$128,$D15,WRM!$AH$7:$AH$128)</f>
        <v>1603.1000000000001</v>
      </c>
      <c r="AJ15" s="581"/>
      <c r="AK15" s="581">
        <f t="shared" si="7"/>
        <v>11225.8</v>
      </c>
      <c r="AL15" s="586"/>
      <c r="AM15" s="513">
        <f>+SUMIF(WRM!$C$7:$C$128,$D15,WRM!$AL$7:$AL$128)</f>
        <v>1227.9500000000003</v>
      </c>
      <c r="AN15" s="586"/>
      <c r="AO15" s="2010">
        <f t="shared" si="8"/>
        <v>3644.9000000000005</v>
      </c>
      <c r="AP15" s="581"/>
      <c r="AQ15" s="581">
        <f t="shared" si="9"/>
        <v>12453.75</v>
      </c>
      <c r="AR15" s="586"/>
      <c r="AS15" s="513">
        <f>+SUMIF(WRM!$C$7:$C$128,$D15,WRM!$AR$7:$AR$128)</f>
        <v>2457.9500000000003</v>
      </c>
      <c r="AT15" s="581"/>
      <c r="AU15" s="581">
        <f t="shared" si="10"/>
        <v>14911.7</v>
      </c>
      <c r="AV15" s="586"/>
      <c r="AW15" s="513">
        <f>+SUMIF(WRM!$C$7:$C$128,$D15,WRM!$AV$7:$AV$128)</f>
        <v>1457.5500000000004</v>
      </c>
      <c r="AX15" s="581"/>
      <c r="AY15" s="581">
        <f t="shared" si="11"/>
        <v>16369.250000000002</v>
      </c>
      <c r="AZ15" s="586"/>
      <c r="BA15" s="513">
        <f>+SUMIF(WRM!$C$7:$C$128,$D15,WRM!$AZ$7:$AZ$128)</f>
        <v>1371.4499999999998</v>
      </c>
      <c r="BB15" s="586"/>
      <c r="BC15" s="2010">
        <f t="shared" si="12"/>
        <v>5286.9500000000007</v>
      </c>
      <c r="BD15" s="2053"/>
      <c r="BE15" s="1066">
        <f t="shared" si="13"/>
        <v>8931.8500000000022</v>
      </c>
      <c r="BF15" s="581"/>
      <c r="BG15" s="581">
        <f t="shared" si="14"/>
        <v>17740.7</v>
      </c>
      <c r="BH15" s="23"/>
      <c r="BI15" s="23"/>
      <c r="BJ15" s="23"/>
    </row>
    <row r="16" spans="3:62" x14ac:dyDescent="0.35">
      <c r="C16" s="512" t="s">
        <v>16</v>
      </c>
      <c r="D16" s="1494" t="s">
        <v>1085</v>
      </c>
      <c r="E16" s="3996"/>
      <c r="F16" s="512"/>
      <c r="G16" s="513">
        <f>+SUMIF(WRM!$C$7:$C$128,$D16,WRM!$F$7:$F$128)</f>
        <v>123</v>
      </c>
      <c r="H16" s="513"/>
      <c r="I16" s="513">
        <f>+SUMIF(WRM!$C$7:$C$128,$D16,WRM!$H$7:$H$128)</f>
        <v>662.15000000000009</v>
      </c>
      <c r="J16" s="581"/>
      <c r="K16" s="581">
        <f t="shared" si="0"/>
        <v>785.15000000000009</v>
      </c>
      <c r="L16" s="513"/>
      <c r="M16" s="513">
        <f>+SUMIF(WRM!$C$7:$C$128,$D16,WRM!$L$7:$L$128)</f>
        <v>0</v>
      </c>
      <c r="N16" s="586"/>
      <c r="O16" s="586">
        <f t="shared" si="1"/>
        <v>785.15000000000009</v>
      </c>
      <c r="P16" s="513"/>
      <c r="Q16" s="513">
        <f>+SUMIF(WRM!$C$7:$C$128,$D16,WRM!P$7:$P$128)</f>
        <v>202.95</v>
      </c>
      <c r="R16" s="586"/>
      <c r="S16" s="586">
        <f t="shared" si="2"/>
        <v>988.10000000000014</v>
      </c>
      <c r="T16" s="513"/>
      <c r="U16" s="513">
        <f>+SUMIF(WRM!$C$7:$C$128,$D16,WRM!$T$7:T$128)</f>
        <v>399.74999999999994</v>
      </c>
      <c r="V16" s="586"/>
      <c r="W16" s="586">
        <f t="shared" si="3"/>
        <v>1387.8500000000001</v>
      </c>
      <c r="X16" s="586"/>
      <c r="Y16" s="513">
        <f>+SUMIF(WRM!$C$7:$C$128,$D16,WRM!$X$7:X$128)</f>
        <v>0</v>
      </c>
      <c r="Z16" s="586"/>
      <c r="AA16" s="2010">
        <f t="shared" si="4"/>
        <v>602.69999999999993</v>
      </c>
      <c r="AB16" s="2053"/>
      <c r="AC16" s="1066">
        <f t="shared" si="5"/>
        <v>1387.85</v>
      </c>
      <c r="AD16" s="586"/>
      <c r="AE16" s="513">
        <f>+SUMIF(WRM!$C$7:$C$128,$D16,WRM!$AD$7:$AD$128)</f>
        <v>0</v>
      </c>
      <c r="AF16" s="586"/>
      <c r="AG16" s="586">
        <f t="shared" si="6"/>
        <v>1387.85</v>
      </c>
      <c r="AH16" s="586"/>
      <c r="AI16" s="513">
        <f>+SUMIF(WRM!$C$7:$C$128,$D16,WRM!$AH$7:$AH$128)</f>
        <v>0</v>
      </c>
      <c r="AJ16" s="581"/>
      <c r="AK16" s="581">
        <f t="shared" si="7"/>
        <v>1387.85</v>
      </c>
      <c r="AL16" s="586"/>
      <c r="AM16" s="513">
        <f>+SUMIF(WRM!$C$7:$C$128,$D16,WRM!$AL$7:$AL$128)</f>
        <v>340.3</v>
      </c>
      <c r="AN16" s="586"/>
      <c r="AO16" s="2010">
        <f t="shared" si="8"/>
        <v>340.3</v>
      </c>
      <c r="AP16" s="581"/>
      <c r="AQ16" s="581">
        <f t="shared" si="9"/>
        <v>1728.1499999999999</v>
      </c>
      <c r="AR16" s="586"/>
      <c r="AS16" s="513">
        <f>+SUMIF(WRM!$C$7:$C$128,$D16,WRM!$AR$7:$AR$128)</f>
        <v>594.5</v>
      </c>
      <c r="AT16" s="581"/>
      <c r="AU16" s="581">
        <f t="shared" si="10"/>
        <v>2322.6499999999996</v>
      </c>
      <c r="AV16" s="586"/>
      <c r="AW16" s="513">
        <f>+SUMIF(WRM!$C$7:$C$128,$D16,WRM!$AV$7:$AV$128)</f>
        <v>291.10000000000002</v>
      </c>
      <c r="AX16" s="581"/>
      <c r="AY16" s="581">
        <f t="shared" si="11"/>
        <v>2613.7499999999995</v>
      </c>
      <c r="AZ16" s="586"/>
      <c r="BA16" s="513">
        <f>+SUMIF(WRM!$C$7:$C$128,$D16,WRM!$AZ$7:$AZ$128)</f>
        <v>0</v>
      </c>
      <c r="BB16" s="586"/>
      <c r="BC16" s="2010">
        <f t="shared" si="12"/>
        <v>885.6</v>
      </c>
      <c r="BD16" s="2053"/>
      <c r="BE16" s="1066">
        <f t="shared" si="13"/>
        <v>1225.9000000000001</v>
      </c>
      <c r="BF16" s="581"/>
      <c r="BG16" s="581">
        <f t="shared" si="14"/>
        <v>2613.7499999999995</v>
      </c>
      <c r="BH16" s="23"/>
      <c r="BI16" s="23"/>
      <c r="BJ16" s="23"/>
    </row>
    <row r="17" spans="3:62" x14ac:dyDescent="0.35">
      <c r="C17" s="512" t="s">
        <v>16</v>
      </c>
      <c r="D17" s="1494" t="s">
        <v>929</v>
      </c>
      <c r="E17" s="3996"/>
      <c r="F17" s="512"/>
      <c r="G17" s="513">
        <f>+SUMIF(WRM!$C$7:$C$128,$D17,WRM!$F$7:$F$128)</f>
        <v>1970.0499999999997</v>
      </c>
      <c r="H17" s="513"/>
      <c r="I17" s="513">
        <f>+SUMIF(WRM!$C$7:$C$128,$D17,WRM!$H$7:$H$128)</f>
        <v>1994.6499999999999</v>
      </c>
      <c r="J17" s="581"/>
      <c r="K17" s="581">
        <f t="shared" si="0"/>
        <v>3964.7</v>
      </c>
      <c r="L17" s="513"/>
      <c r="M17" s="513">
        <f>+SUMIF(WRM!$C$7:$C$128,$D17,WRM!$L$7:$L$128)</f>
        <v>1922.8999999999994</v>
      </c>
      <c r="N17" s="586"/>
      <c r="O17" s="586">
        <f t="shared" si="1"/>
        <v>5887.5999999999995</v>
      </c>
      <c r="P17" s="513"/>
      <c r="Q17" s="513">
        <f>+SUMIF(WRM!$C$7:$C$128,$D17,WRM!P$7:$P$128)</f>
        <v>1215.6499999999999</v>
      </c>
      <c r="R17" s="586"/>
      <c r="S17" s="586">
        <f t="shared" si="2"/>
        <v>7103.2499999999991</v>
      </c>
      <c r="T17" s="513"/>
      <c r="U17" s="513">
        <f>+SUMIF(WRM!$C$7:$C$128,$D17,WRM!$T$7:T$128)</f>
        <v>2285.7500000000005</v>
      </c>
      <c r="V17" s="586"/>
      <c r="W17" s="586">
        <f t="shared" si="3"/>
        <v>9389</v>
      </c>
      <c r="X17" s="586"/>
      <c r="Y17" s="513">
        <f>+SUMIF(WRM!$C$7:$C$128,$D17,WRM!$X$7:X$128)</f>
        <v>1029.0999999999999</v>
      </c>
      <c r="Z17" s="586"/>
      <c r="AA17" s="2010">
        <f t="shared" si="4"/>
        <v>4530.5</v>
      </c>
      <c r="AB17" s="2053"/>
      <c r="AC17" s="1066">
        <f t="shared" si="5"/>
        <v>10418.099999999999</v>
      </c>
      <c r="AD17" s="586"/>
      <c r="AE17" s="513">
        <f>+SUMIF(WRM!$C$7:$C$128,$D17,WRM!$AD$7:$AD$128)</f>
        <v>861.00000000000023</v>
      </c>
      <c r="AF17" s="586"/>
      <c r="AG17" s="586">
        <f t="shared" si="6"/>
        <v>11279.099999999999</v>
      </c>
      <c r="AH17" s="586"/>
      <c r="AI17" s="513">
        <f>+SUMIF(WRM!$C$7:$C$128,$D17,WRM!$AH$7:$AH$128)</f>
        <v>2410.8000000000002</v>
      </c>
      <c r="AJ17" s="581"/>
      <c r="AK17" s="581">
        <f t="shared" si="7"/>
        <v>13689.899999999998</v>
      </c>
      <c r="AL17" s="586"/>
      <c r="AM17" s="513">
        <f>+SUMIF(WRM!$C$7:$C$128,$D17,WRM!$AL$7:$AL$128)</f>
        <v>711.34999999999991</v>
      </c>
      <c r="AN17" s="586"/>
      <c r="AO17" s="2010">
        <f t="shared" si="8"/>
        <v>3983.15</v>
      </c>
      <c r="AP17" s="581"/>
      <c r="AQ17" s="581">
        <f t="shared" si="9"/>
        <v>14401.249999999998</v>
      </c>
      <c r="AR17" s="586"/>
      <c r="AS17" s="513">
        <f>+SUMIF(WRM!$C$7:$C$128,$D17,WRM!$AR$7:$AR$128)</f>
        <v>2103.3000000000002</v>
      </c>
      <c r="AT17" s="581"/>
      <c r="AU17" s="581">
        <f t="shared" si="10"/>
        <v>16504.55</v>
      </c>
      <c r="AV17" s="586"/>
      <c r="AW17" s="513">
        <f>+SUMIF(WRM!$C$7:$C$128,$D17,WRM!$AV$7:$AV$128)</f>
        <v>1033.1999999999998</v>
      </c>
      <c r="AX17" s="581"/>
      <c r="AY17" s="581">
        <f t="shared" si="11"/>
        <v>17537.75</v>
      </c>
      <c r="AZ17" s="586"/>
      <c r="BA17" s="513">
        <f>+SUMIF(WRM!$C$7:$C$128,$D17,WRM!$AZ$7:$AZ$128)</f>
        <v>2339.0499999999997</v>
      </c>
      <c r="BB17" s="586"/>
      <c r="BC17" s="2010">
        <f t="shared" si="12"/>
        <v>5475.5499999999993</v>
      </c>
      <c r="BD17" s="2053"/>
      <c r="BE17" s="1066">
        <f t="shared" si="13"/>
        <v>9458.6999999999989</v>
      </c>
      <c r="BF17" s="581"/>
      <c r="BG17" s="581">
        <f t="shared" si="14"/>
        <v>19876.8</v>
      </c>
      <c r="BH17" s="23"/>
      <c r="BI17" s="23"/>
      <c r="BJ17" s="23"/>
    </row>
    <row r="18" spans="3:62" x14ac:dyDescent="0.35">
      <c r="C18" s="512" t="s">
        <v>16</v>
      </c>
      <c r="D18" s="1494" t="s">
        <v>1089</v>
      </c>
      <c r="E18" s="3996"/>
      <c r="F18" s="512"/>
      <c r="G18" s="513">
        <f>+SUMIF(WRM!$C$7:$C$128,$D18,WRM!$F$7:$F$128)</f>
        <v>0</v>
      </c>
      <c r="H18" s="513"/>
      <c r="I18" s="513">
        <f>+SUMIF(WRM!$C$7:$C$128,$D18,WRM!$H$7:$H$128)</f>
        <v>0</v>
      </c>
      <c r="J18" s="581"/>
      <c r="K18" s="581">
        <f t="shared" si="0"/>
        <v>0</v>
      </c>
      <c r="L18" s="513"/>
      <c r="M18" s="513">
        <f>+SUMIF(WRM!$C$7:$C$128,$D18,WRM!$L$7:$L$128)</f>
        <v>98.4</v>
      </c>
      <c r="N18" s="586"/>
      <c r="O18" s="586">
        <f t="shared" si="1"/>
        <v>98.4</v>
      </c>
      <c r="P18" s="513"/>
      <c r="Q18" s="513">
        <f>+SUMIF(WRM!$C$7:$C$128,$D18,WRM!P$7:$P$128)</f>
        <v>6.1499999999999995</v>
      </c>
      <c r="R18" s="586"/>
      <c r="S18" s="586">
        <f t="shared" si="2"/>
        <v>104.55000000000001</v>
      </c>
      <c r="T18" s="513"/>
      <c r="U18" s="513">
        <f>+SUMIF(WRM!$C$7:$C$128,$D18,WRM!$T$7:T$128)</f>
        <v>6.15</v>
      </c>
      <c r="V18" s="586"/>
      <c r="W18" s="586">
        <f t="shared" si="3"/>
        <v>110.70000000000002</v>
      </c>
      <c r="X18" s="586"/>
      <c r="Y18" s="513">
        <f>+SUMIF(WRM!$C$7:$C$128,$D18,WRM!$X$7:X$128)</f>
        <v>0</v>
      </c>
      <c r="Z18" s="586"/>
      <c r="AA18" s="2010">
        <f t="shared" si="4"/>
        <v>12.3</v>
      </c>
      <c r="AB18" s="2053"/>
      <c r="AC18" s="1066">
        <f t="shared" si="5"/>
        <v>110.7</v>
      </c>
      <c r="AD18" s="586"/>
      <c r="AE18" s="513">
        <f>+SUMIF(WRM!$C$7:$C$128,$D18,WRM!$AD$7:$AD$128)</f>
        <v>94.3</v>
      </c>
      <c r="AF18" s="586"/>
      <c r="AG18" s="586">
        <f t="shared" si="6"/>
        <v>205</v>
      </c>
      <c r="AH18" s="586"/>
      <c r="AI18" s="513">
        <f>+SUMIF(WRM!$C$7:$C$128,$D18,WRM!$AH$7:$AH$128)</f>
        <v>2.0499999999999998</v>
      </c>
      <c r="AJ18" s="581"/>
      <c r="AK18" s="581">
        <f t="shared" si="7"/>
        <v>207.05</v>
      </c>
      <c r="AL18" s="586"/>
      <c r="AM18" s="513">
        <f>+SUMIF(WRM!$C$7:$C$128,$D18,WRM!$AL$7:$AL$128)</f>
        <v>92.25</v>
      </c>
      <c r="AN18" s="586"/>
      <c r="AO18" s="2010">
        <f t="shared" si="8"/>
        <v>188.6</v>
      </c>
      <c r="AP18" s="581"/>
      <c r="AQ18" s="581">
        <f t="shared" si="9"/>
        <v>299.3</v>
      </c>
      <c r="AR18" s="586"/>
      <c r="AS18" s="513">
        <f>+SUMIF(WRM!$C$7:$C$128,$D18,WRM!$AR$7:$AR$128)</f>
        <v>0</v>
      </c>
      <c r="AT18" s="581"/>
      <c r="AU18" s="581">
        <f t="shared" si="10"/>
        <v>299.3</v>
      </c>
      <c r="AV18" s="586"/>
      <c r="AW18" s="513">
        <f>+SUMIF(WRM!$C$7:$C$128,$D18,WRM!$AV$7:$AV$128)</f>
        <v>225.5</v>
      </c>
      <c r="AX18" s="581"/>
      <c r="AY18" s="581">
        <f t="shared" si="11"/>
        <v>524.79999999999995</v>
      </c>
      <c r="AZ18" s="586"/>
      <c r="BA18" s="513">
        <f>+SUMIF(WRM!$C$7:$C$128,$D18,WRM!$AZ$7:$AZ$128)</f>
        <v>53.3</v>
      </c>
      <c r="BB18" s="586"/>
      <c r="BC18" s="2010">
        <f t="shared" si="12"/>
        <v>278.8</v>
      </c>
      <c r="BD18" s="2053"/>
      <c r="BE18" s="1066">
        <f t="shared" si="13"/>
        <v>467.4</v>
      </c>
      <c r="BF18" s="581"/>
      <c r="BG18" s="581">
        <f t="shared" si="14"/>
        <v>578.09999999999991</v>
      </c>
      <c r="BH18" s="23"/>
      <c r="BI18" s="23"/>
      <c r="BJ18" s="23"/>
    </row>
    <row r="19" spans="3:62" x14ac:dyDescent="0.35">
      <c r="C19" s="512" t="s">
        <v>16</v>
      </c>
      <c r="D19" s="1494" t="s">
        <v>930</v>
      </c>
      <c r="E19" s="3996"/>
      <c r="F19" s="512"/>
      <c r="G19" s="513">
        <f>+SUMIF(WRM!$C$7:$C$128,$D19,WRM!$F$7:$F$128)</f>
        <v>82</v>
      </c>
      <c r="H19" s="513"/>
      <c r="I19" s="513">
        <f>+SUMIF(WRM!$C$7:$C$128,$D19,WRM!$H$7:$H$128)</f>
        <v>0</v>
      </c>
      <c r="J19" s="581"/>
      <c r="K19" s="581">
        <f t="shared" si="0"/>
        <v>82</v>
      </c>
      <c r="L19" s="513"/>
      <c r="M19" s="513">
        <f>+SUMIF(WRM!$C$7:$C$128,$D19,WRM!$L$7:$L$128)</f>
        <v>0</v>
      </c>
      <c r="N19" s="586"/>
      <c r="O19" s="586">
        <f t="shared" si="1"/>
        <v>82</v>
      </c>
      <c r="P19" s="513"/>
      <c r="Q19" s="513">
        <f>+SUMIF(WRM!$C$7:$C$128,$D19,WRM!P$7:$P$128)</f>
        <v>0</v>
      </c>
      <c r="R19" s="586"/>
      <c r="S19" s="586">
        <f t="shared" si="2"/>
        <v>82</v>
      </c>
      <c r="T19" s="513"/>
      <c r="U19" s="513">
        <f>+SUMIF(WRM!$C$7:$C$128,$D19,WRM!$T$7:T$128)</f>
        <v>0</v>
      </c>
      <c r="V19" s="586"/>
      <c r="W19" s="586">
        <f t="shared" si="3"/>
        <v>82</v>
      </c>
      <c r="X19" s="586"/>
      <c r="Y19" s="513">
        <f>+SUMIF(WRM!$C$7:$C$128,$D19,WRM!$X$7:X$128)</f>
        <v>0</v>
      </c>
      <c r="Z19" s="586"/>
      <c r="AA19" s="2010">
        <f t="shared" si="4"/>
        <v>0</v>
      </c>
      <c r="AB19" s="2053"/>
      <c r="AC19" s="1066">
        <f t="shared" si="5"/>
        <v>82</v>
      </c>
      <c r="AD19" s="586"/>
      <c r="AE19" s="513">
        <f>+SUMIF(WRM!$C$7:$C$128,$D19,WRM!$AD$7:$AD$128)</f>
        <v>0</v>
      </c>
      <c r="AF19" s="586"/>
      <c r="AG19" s="586">
        <f t="shared" si="6"/>
        <v>82</v>
      </c>
      <c r="AH19" s="586"/>
      <c r="AI19" s="513">
        <f>+SUMIF(WRM!$C$7:$C$128,$D19,WRM!$AH$7:$AH$128)</f>
        <v>0</v>
      </c>
      <c r="AJ19" s="581"/>
      <c r="AK19" s="581">
        <f t="shared" si="7"/>
        <v>82</v>
      </c>
      <c r="AL19" s="586"/>
      <c r="AM19" s="513">
        <f>+SUMIF(WRM!$C$7:$C$128,$D19,WRM!$AL$7:$AL$128)</f>
        <v>82</v>
      </c>
      <c r="AN19" s="586"/>
      <c r="AO19" s="2010">
        <f t="shared" si="8"/>
        <v>82</v>
      </c>
      <c r="AP19" s="581"/>
      <c r="AQ19" s="581">
        <f t="shared" si="9"/>
        <v>164</v>
      </c>
      <c r="AR19" s="586"/>
      <c r="AS19" s="513">
        <f>+SUMIF(WRM!$C$7:$C$128,$D19,WRM!$AR$7:$AR$128)</f>
        <v>0</v>
      </c>
      <c r="AT19" s="581"/>
      <c r="AU19" s="581">
        <f t="shared" si="10"/>
        <v>164</v>
      </c>
      <c r="AV19" s="586"/>
      <c r="AW19" s="513">
        <f>+SUMIF(WRM!$C$7:$C$128,$D19,WRM!$AV$7:$AV$128)</f>
        <v>375.15</v>
      </c>
      <c r="AX19" s="581"/>
      <c r="AY19" s="581">
        <f t="shared" si="11"/>
        <v>539.15</v>
      </c>
      <c r="AZ19" s="586"/>
      <c r="BA19" s="513">
        <f>+SUMIF(WRM!$C$7:$C$128,$D19,WRM!$AZ$7:$AZ$128)</f>
        <v>0</v>
      </c>
      <c r="BB19" s="586"/>
      <c r="BC19" s="2010">
        <f t="shared" si="12"/>
        <v>375.15</v>
      </c>
      <c r="BD19" s="2053"/>
      <c r="BE19" s="1066">
        <f t="shared" si="13"/>
        <v>457.15</v>
      </c>
      <c r="BF19" s="581"/>
      <c r="BG19" s="581">
        <f t="shared" si="14"/>
        <v>539.15</v>
      </c>
      <c r="BH19" s="23"/>
      <c r="BI19" s="23"/>
      <c r="BJ19" s="23"/>
    </row>
    <row r="20" spans="3:62" x14ac:dyDescent="0.35">
      <c r="C20" s="3998" t="s">
        <v>16</v>
      </c>
      <c r="D20" s="3999" t="s">
        <v>1793</v>
      </c>
      <c r="E20" s="3996"/>
      <c r="F20" s="3998"/>
      <c r="G20" s="513">
        <f>+SUMIF(WRM!$C$7:$C$128,$D20,WRM!$F$7:$F$128)</f>
        <v>0</v>
      </c>
      <c r="H20" s="513"/>
      <c r="I20" s="513">
        <f>+SUMIF(WRM!$C$7:$C$128,$D20,WRM!$H$7:$H$128)</f>
        <v>0</v>
      </c>
      <c r="J20" s="581"/>
      <c r="K20" s="581">
        <f t="shared" ref="K20:K21" si="15">+G20+I20</f>
        <v>0</v>
      </c>
      <c r="L20" s="513"/>
      <c r="M20" s="513">
        <f>+SUMIF(WRM!$C$7:$C$128,$D20,WRM!$L$7:$L$128)</f>
        <v>79.95</v>
      </c>
      <c r="N20" s="586"/>
      <c r="O20" s="586">
        <f t="shared" si="1"/>
        <v>79.95</v>
      </c>
      <c r="P20" s="513"/>
      <c r="Q20" s="513">
        <f>+SUMIF(WRM!$C$7:$C$128,$D20,WRM!P$7:$P$128)</f>
        <v>0</v>
      </c>
      <c r="R20" s="586"/>
      <c r="S20" s="586">
        <f t="shared" ref="S20:S21" si="16">O20+Q20</f>
        <v>79.95</v>
      </c>
      <c r="T20" s="513"/>
      <c r="U20" s="513">
        <f>+SUMIF(WRM!$C$7:$C$128,$D20,WRM!$T$7:T$128)</f>
        <v>0</v>
      </c>
      <c r="V20" s="586"/>
      <c r="W20" s="586">
        <f t="shared" ref="W20:W21" si="17">S20+U20</f>
        <v>79.95</v>
      </c>
      <c r="X20" s="586"/>
      <c r="Y20" s="513">
        <f>+SUMIF(WRM!$C$7:$C$128,$D20,WRM!$X$7:X$128)</f>
        <v>0</v>
      </c>
      <c r="Z20" s="586"/>
      <c r="AA20" s="2010">
        <f t="shared" si="4"/>
        <v>0</v>
      </c>
      <c r="AB20" s="2053"/>
      <c r="AC20" s="1066">
        <f t="shared" si="5"/>
        <v>79.95</v>
      </c>
      <c r="AD20" s="586"/>
      <c r="AE20" s="513">
        <f>+SUMIF(WRM!$C$7:$C$128,$D20,WRM!$AD$7:$AD$128)</f>
        <v>0</v>
      </c>
      <c r="AF20" s="586"/>
      <c r="AG20" s="586">
        <f t="shared" si="6"/>
        <v>79.95</v>
      </c>
      <c r="AH20" s="586"/>
      <c r="AI20" s="513">
        <f>+SUMIF(WRM!$C$7:$C$128,$D20,WRM!$AH$7:$AH$128)</f>
        <v>0</v>
      </c>
      <c r="AJ20" s="581"/>
      <c r="AK20" s="581">
        <f t="shared" si="7"/>
        <v>79.95</v>
      </c>
      <c r="AL20" s="586"/>
      <c r="AM20" s="513">
        <f>+SUMIF(WRM!$C$7:$C$128,$D20,WRM!$AL$7:$AL$128)</f>
        <v>0</v>
      </c>
      <c r="AN20" s="586"/>
      <c r="AO20" s="2010">
        <f t="shared" ref="AO20:AO21" si="18">AE20+AI20+AM20</f>
        <v>0</v>
      </c>
      <c r="AP20" s="581"/>
      <c r="AQ20" s="581">
        <f t="shared" si="9"/>
        <v>79.95</v>
      </c>
      <c r="AR20" s="586"/>
      <c r="AS20" s="513">
        <f>+SUMIF(WRM!$C$7:$C$128,$D20,WRM!$AR$7:$AR$128)</f>
        <v>0</v>
      </c>
      <c r="AT20" s="581"/>
      <c r="AU20" s="581">
        <f t="shared" ref="AU20:AU21" si="19">AQ20+AS20</f>
        <v>79.95</v>
      </c>
      <c r="AV20" s="586"/>
      <c r="AW20" s="513">
        <f>+SUMIF(WRM!$C$7:$C$128,$D20,WRM!$AV$7:$AV$128)</f>
        <v>0</v>
      </c>
      <c r="AX20" s="581"/>
      <c r="AY20" s="581">
        <f t="shared" si="11"/>
        <v>79.95</v>
      </c>
      <c r="AZ20" s="586"/>
      <c r="BA20" s="513">
        <f>+SUMIF(WRM!$C$7:$C$128,$D20,WRM!$AZ$7:$AZ$128)</f>
        <v>0</v>
      </c>
      <c r="BB20" s="586"/>
      <c r="BC20" s="2010">
        <f t="shared" si="12"/>
        <v>0</v>
      </c>
      <c r="BD20" s="2053"/>
      <c r="BE20" s="1066">
        <f t="shared" si="13"/>
        <v>0</v>
      </c>
      <c r="BF20" s="581"/>
      <c r="BG20" s="581">
        <f t="shared" si="14"/>
        <v>79.95</v>
      </c>
      <c r="BH20" s="23"/>
      <c r="BI20" s="23"/>
      <c r="BJ20" s="23"/>
    </row>
    <row r="21" spans="3:62" x14ac:dyDescent="0.35">
      <c r="C21" s="3998" t="s">
        <v>16</v>
      </c>
      <c r="D21" s="3999" t="s">
        <v>1794</v>
      </c>
      <c r="E21" s="3996"/>
      <c r="F21" s="3998"/>
      <c r="G21" s="513">
        <f>+SUMIF(WRM!$C$7:$C$128,$D21,WRM!$F$7:$F$128)</f>
        <v>0</v>
      </c>
      <c r="H21" s="513"/>
      <c r="I21" s="513">
        <f>+SUMIF(WRM!$C$7:$C$128,$D21,WRM!$H$7:$H$128)</f>
        <v>0</v>
      </c>
      <c r="J21" s="581"/>
      <c r="K21" s="581">
        <f t="shared" si="15"/>
        <v>0</v>
      </c>
      <c r="L21" s="513"/>
      <c r="M21" s="513">
        <f>+SUMIF(WRM!$C$7:$C$128,$D21,WRM!$L$7:$L$128)</f>
        <v>434.6</v>
      </c>
      <c r="N21" s="586"/>
      <c r="O21" s="586">
        <f t="shared" si="1"/>
        <v>434.6</v>
      </c>
      <c r="P21" s="513"/>
      <c r="Q21" s="513">
        <f>+SUMIF(WRM!$C$7:$C$128,$D21,WRM!P$7:$P$128)</f>
        <v>0</v>
      </c>
      <c r="R21" s="586"/>
      <c r="S21" s="586">
        <f t="shared" si="16"/>
        <v>434.6</v>
      </c>
      <c r="T21" s="513"/>
      <c r="U21" s="513">
        <f>+SUMIF(WRM!$C$7:$C$128,$D21,WRM!$T$7:T$128)</f>
        <v>0</v>
      </c>
      <c r="V21" s="586"/>
      <c r="W21" s="586">
        <f t="shared" si="17"/>
        <v>434.6</v>
      </c>
      <c r="X21" s="586"/>
      <c r="Y21" s="513">
        <f>+SUMIF(WRM!$C$7:$C$128,$D21,WRM!$X$7:X$128)</f>
        <v>0</v>
      </c>
      <c r="Z21" s="586"/>
      <c r="AA21" s="2010">
        <f t="shared" si="4"/>
        <v>0</v>
      </c>
      <c r="AB21" s="2053"/>
      <c r="AC21" s="1066">
        <f t="shared" si="5"/>
        <v>434.6</v>
      </c>
      <c r="AD21" s="586"/>
      <c r="AE21" s="513">
        <f>+SUMIF(WRM!$C$7:$C$128,$D21,WRM!$AD$7:$AD$128)</f>
        <v>0</v>
      </c>
      <c r="AF21" s="586"/>
      <c r="AG21" s="586">
        <f t="shared" si="6"/>
        <v>434.6</v>
      </c>
      <c r="AH21" s="586"/>
      <c r="AI21" s="513">
        <f>+SUMIF(WRM!$C$7:$C$128,$D21,WRM!$AH$7:$AH$128)</f>
        <v>0</v>
      </c>
      <c r="AJ21" s="581"/>
      <c r="AK21" s="581">
        <f t="shared" si="7"/>
        <v>434.6</v>
      </c>
      <c r="AL21" s="586"/>
      <c r="AM21" s="513">
        <f>+SUMIF(WRM!$C$7:$C$128,$D21,WRM!$AL$7:$AL$128)</f>
        <v>0</v>
      </c>
      <c r="AN21" s="586"/>
      <c r="AO21" s="2010">
        <f t="shared" si="18"/>
        <v>0</v>
      </c>
      <c r="AP21" s="581"/>
      <c r="AQ21" s="581">
        <f t="shared" si="9"/>
        <v>434.6</v>
      </c>
      <c r="AR21" s="586"/>
      <c r="AS21" s="513">
        <f>+SUMIF(WRM!$C$7:$C$128,$D21,WRM!$AR$7:$AR$128)</f>
        <v>0</v>
      </c>
      <c r="AT21" s="581"/>
      <c r="AU21" s="581">
        <f t="shared" si="19"/>
        <v>434.6</v>
      </c>
      <c r="AV21" s="586"/>
      <c r="AW21" s="513">
        <f>+SUMIF(WRM!$C$7:$C$128,$D21,WRM!$AV$7:$AV$128)</f>
        <v>0</v>
      </c>
      <c r="AX21" s="581"/>
      <c r="AY21" s="581">
        <f t="shared" si="11"/>
        <v>434.6</v>
      </c>
      <c r="AZ21" s="586"/>
      <c r="BA21" s="513">
        <f>+SUMIF(WRM!$C$7:$C$128,$D21,WRM!$AZ$7:$AZ$128)</f>
        <v>0</v>
      </c>
      <c r="BB21" s="586"/>
      <c r="BC21" s="2010">
        <f t="shared" si="12"/>
        <v>0</v>
      </c>
      <c r="BD21" s="2053"/>
      <c r="BE21" s="1066">
        <f t="shared" si="13"/>
        <v>0</v>
      </c>
      <c r="BF21" s="581"/>
      <c r="BG21" s="581">
        <f t="shared" si="14"/>
        <v>434.6</v>
      </c>
      <c r="BH21" s="23"/>
      <c r="BI21" s="23"/>
      <c r="BJ21" s="23"/>
    </row>
    <row r="22" spans="3:62" x14ac:dyDescent="0.35">
      <c r="C22" s="3998" t="s">
        <v>16</v>
      </c>
      <c r="D22" s="3999" t="s">
        <v>1757</v>
      </c>
      <c r="E22" s="3996"/>
      <c r="F22" s="3998"/>
      <c r="G22" s="513">
        <f>+SUMIF(WRM!$C$7:$C$128,$D22,WRM!$F$7:$F$128)</f>
        <v>0</v>
      </c>
      <c r="H22" s="513"/>
      <c r="I22" s="513">
        <f>+SUMIF(WRM!$C$7:$C$128,$D22,WRM!$H$7:$H$128)</f>
        <v>0</v>
      </c>
      <c r="J22" s="581"/>
      <c r="K22" s="581">
        <f t="shared" ref="K22" si="20">+G22+I22</f>
        <v>0</v>
      </c>
      <c r="L22" s="513"/>
      <c r="M22" s="513">
        <f>+SUMIF(WRM!$C$7:$C$128,$D22,WRM!$L$7:$L$128)</f>
        <v>0</v>
      </c>
      <c r="N22" s="586"/>
      <c r="O22" s="586">
        <f t="shared" si="1"/>
        <v>0</v>
      </c>
      <c r="P22" s="513"/>
      <c r="Q22" s="513">
        <f>+SUMIF(WRM!$C$7:$C$128,$D22,WRM!P$7:$P$128)</f>
        <v>0</v>
      </c>
      <c r="R22" s="586"/>
      <c r="S22" s="586">
        <f t="shared" ref="S22" si="21">O22+Q22</f>
        <v>0</v>
      </c>
      <c r="T22" s="513"/>
      <c r="U22" s="513">
        <f>+SUMIF(WRM!$C$7:$C$128,$D22,WRM!$T$7:T$128)</f>
        <v>0</v>
      </c>
      <c r="V22" s="586"/>
      <c r="W22" s="586">
        <f t="shared" ref="W22" si="22">S22+U22</f>
        <v>0</v>
      </c>
      <c r="X22" s="586"/>
      <c r="Y22" s="513">
        <f>+SUMIF(WRM!$C$7:$C$128,$D22,WRM!$X$7:X$128)</f>
        <v>0</v>
      </c>
      <c r="Z22" s="586"/>
      <c r="AA22" s="2010">
        <f t="shared" si="4"/>
        <v>0</v>
      </c>
      <c r="AB22" s="2053"/>
      <c r="AC22" s="1066">
        <f t="shared" si="5"/>
        <v>0</v>
      </c>
      <c r="AD22" s="586"/>
      <c r="AE22" s="513">
        <f>+SUMIF(WRM!$C$7:$C$128,$D22,WRM!$AD$7:$AD$128)</f>
        <v>0</v>
      </c>
      <c r="AF22" s="586"/>
      <c r="AG22" s="586">
        <f t="shared" si="6"/>
        <v>0</v>
      </c>
      <c r="AH22" s="586"/>
      <c r="AI22" s="513">
        <f>+SUMIF(WRM!$C$7:$C$128,$D22,WRM!$AH$7:$AH$128)</f>
        <v>0</v>
      </c>
      <c r="AJ22" s="581"/>
      <c r="AK22" s="581">
        <f t="shared" si="7"/>
        <v>0</v>
      </c>
      <c r="AL22" s="586"/>
      <c r="AM22" s="513">
        <f>+SUMIF(WRM!$C$7:$C$128,$D22,WRM!$AL$7:$AL$128)</f>
        <v>0</v>
      </c>
      <c r="AN22" s="586"/>
      <c r="AO22" s="2010">
        <f t="shared" ref="AO22" si="23">AE22+AI22+AM22</f>
        <v>0</v>
      </c>
      <c r="AP22" s="581"/>
      <c r="AQ22" s="581">
        <f t="shared" si="9"/>
        <v>0</v>
      </c>
      <c r="AR22" s="586"/>
      <c r="AS22" s="513">
        <f>+SUMIF(WRM!$C$7:$C$128,$D22,WRM!$AR$7:$AR$128)</f>
        <v>0</v>
      </c>
      <c r="AT22" s="581"/>
      <c r="AU22" s="581">
        <f t="shared" ref="AU22" si="24">AQ22+AS22</f>
        <v>0</v>
      </c>
      <c r="AV22" s="586"/>
      <c r="AW22" s="513">
        <f>+SUMIF(WRM!$C$7:$C$128,$D22,WRM!$AV$7:$AV$128)</f>
        <v>0</v>
      </c>
      <c r="AX22" s="581"/>
      <c r="AY22" s="581">
        <f t="shared" si="11"/>
        <v>0</v>
      </c>
      <c r="AZ22" s="586"/>
      <c r="BA22" s="513">
        <f>+SUMIF(WRM!$C$7:$C$128,$D22,WRM!$AZ$7:$AZ$128)</f>
        <v>0</v>
      </c>
      <c r="BB22" s="586"/>
      <c r="BC22" s="2010">
        <f t="shared" si="12"/>
        <v>0</v>
      </c>
      <c r="BD22" s="2053"/>
      <c r="BE22" s="1066">
        <f t="shared" si="13"/>
        <v>0</v>
      </c>
      <c r="BF22" s="581"/>
      <c r="BG22" s="581">
        <f t="shared" si="14"/>
        <v>0</v>
      </c>
      <c r="BH22" s="23"/>
      <c r="BI22" s="23"/>
      <c r="BJ22" s="23"/>
    </row>
    <row r="23" spans="3:62" x14ac:dyDescent="0.35">
      <c r="C23" s="3998" t="s">
        <v>16</v>
      </c>
      <c r="D23" s="3999" t="s">
        <v>1519</v>
      </c>
      <c r="E23" s="3996"/>
      <c r="F23" s="3998"/>
      <c r="G23" s="513">
        <f>+SUMIF(WRM!$C$7:$C$128,$D23,WRM!$F$7:$F$128)</f>
        <v>789.25</v>
      </c>
      <c r="H23" s="513"/>
      <c r="I23" s="513">
        <f>+SUMIF(WRM!$C$7:$C$128,$D23,WRM!$H$7:$H$128)</f>
        <v>459.20000000000005</v>
      </c>
      <c r="J23" s="581"/>
      <c r="K23" s="581">
        <f t="shared" ref="K23" si="25">+G23+I23</f>
        <v>1248.45</v>
      </c>
      <c r="L23" s="513"/>
      <c r="M23" s="513">
        <f>+SUMIF(WRM!$C$7:$C$128,$D23,WRM!$L$7:$L$128)</f>
        <v>0</v>
      </c>
      <c r="N23" s="586"/>
      <c r="O23" s="586">
        <f t="shared" si="1"/>
        <v>1248.45</v>
      </c>
      <c r="P23" s="513"/>
      <c r="Q23" s="513">
        <f>+SUMIF(WRM!$C$7:$C$128,$D23,WRM!P$7:$P$128)</f>
        <v>0</v>
      </c>
      <c r="R23" s="586"/>
      <c r="S23" s="586">
        <f t="shared" ref="S23" si="26">O23+Q23</f>
        <v>1248.45</v>
      </c>
      <c r="T23" s="513"/>
      <c r="U23" s="513">
        <f>+SUMIF(WRM!$C$7:$C$128,$D23,WRM!$T$7:T$128)</f>
        <v>0</v>
      </c>
      <c r="V23" s="586"/>
      <c r="W23" s="586">
        <f t="shared" ref="W23" si="27">S23+U23</f>
        <v>1248.45</v>
      </c>
      <c r="X23" s="586"/>
      <c r="Y23" s="513">
        <f>+SUMIF(WRM!$C$7:$C$128,$D23,WRM!$X$7:X$128)</f>
        <v>0</v>
      </c>
      <c r="Z23" s="586"/>
      <c r="AA23" s="2010">
        <f t="shared" si="4"/>
        <v>0</v>
      </c>
      <c r="AB23" s="2053"/>
      <c r="AC23" s="1066">
        <f t="shared" si="5"/>
        <v>1248.45</v>
      </c>
      <c r="AD23" s="586"/>
      <c r="AE23" s="513">
        <f>+SUMIF(WRM!$C$7:$C$128,$D23,WRM!$AD$7:$AD$128)</f>
        <v>0</v>
      </c>
      <c r="AF23" s="586"/>
      <c r="AG23" s="586">
        <f t="shared" si="6"/>
        <v>1248.45</v>
      </c>
      <c r="AH23" s="586"/>
      <c r="AI23" s="513">
        <f>+SUMIF(WRM!$C$7:$C$128,$D23,WRM!$AH$7:$AH$128)</f>
        <v>149.65</v>
      </c>
      <c r="AJ23" s="581"/>
      <c r="AK23" s="581">
        <f t="shared" si="7"/>
        <v>1398.1000000000001</v>
      </c>
      <c r="AL23" s="586"/>
      <c r="AM23" s="513">
        <f>+SUMIF(WRM!$C$7:$C$128,$D23,WRM!$AL$7:$AL$128)</f>
        <v>0</v>
      </c>
      <c r="AN23" s="586"/>
      <c r="AO23" s="2010">
        <f t="shared" ref="AO23" si="28">AE23+AI23+AM23</f>
        <v>149.65</v>
      </c>
      <c r="AP23" s="581"/>
      <c r="AQ23" s="581">
        <f t="shared" si="9"/>
        <v>1398.1000000000001</v>
      </c>
      <c r="AR23" s="586"/>
      <c r="AS23" s="513">
        <f>+SUMIF(WRM!$C$7:$C$128,$D23,WRM!$AR$7:$AR$128)</f>
        <v>512.5</v>
      </c>
      <c r="AT23" s="581"/>
      <c r="AU23" s="581">
        <f t="shared" ref="AU23" si="29">AQ23+AS23</f>
        <v>1910.6000000000001</v>
      </c>
      <c r="AV23" s="586"/>
      <c r="AW23" s="513">
        <f>+SUMIF(WRM!$C$7:$C$128,$D23,WRM!$AV$7:$AV$128)</f>
        <v>629.35</v>
      </c>
      <c r="AX23" s="581"/>
      <c r="AY23" s="581">
        <f t="shared" si="11"/>
        <v>2539.9500000000003</v>
      </c>
      <c r="AZ23" s="586"/>
      <c r="BA23" s="513">
        <f>+SUMIF(WRM!$C$7:$C$128,$D23,WRM!$AZ$7:$AZ$128)</f>
        <v>0</v>
      </c>
      <c r="BB23" s="586"/>
      <c r="BC23" s="2010">
        <f t="shared" si="12"/>
        <v>1141.8499999999999</v>
      </c>
      <c r="BD23" s="2053"/>
      <c r="BE23" s="1066">
        <f t="shared" si="13"/>
        <v>1291.5</v>
      </c>
      <c r="BF23" s="581"/>
      <c r="BG23" s="581">
        <f t="shared" si="14"/>
        <v>2539.9500000000003</v>
      </c>
      <c r="BH23" s="23"/>
      <c r="BI23" s="23"/>
      <c r="BJ23" s="23"/>
    </row>
    <row r="24" spans="3:62" x14ac:dyDescent="0.35">
      <c r="C24" s="512" t="s">
        <v>16</v>
      </c>
      <c r="D24" s="1494" t="s">
        <v>1090</v>
      </c>
      <c r="E24" s="3996"/>
      <c r="F24" s="512"/>
      <c r="G24" s="513">
        <f>+SUMIF(WRM!$C$7:$C$128,$D24,WRM!$F$7:$F$128)</f>
        <v>17759.149999999994</v>
      </c>
      <c r="H24" s="513"/>
      <c r="I24" s="513">
        <f>+SUMIF(WRM!$C$7:$C$128,$D24,WRM!$H$7:$H$128)</f>
        <v>0</v>
      </c>
      <c r="J24" s="581"/>
      <c r="K24" s="581">
        <f t="shared" si="0"/>
        <v>17759.149999999994</v>
      </c>
      <c r="L24" s="513"/>
      <c r="M24" s="513">
        <f>+SUMIF(WRM!$C$7:$C$128,$D24,WRM!$L$7:$L$128)</f>
        <v>6943.3499999999995</v>
      </c>
      <c r="N24" s="586"/>
      <c r="O24" s="586">
        <f t="shared" si="1"/>
        <v>24702.499999999993</v>
      </c>
      <c r="P24" s="513"/>
      <c r="Q24" s="513">
        <f>+SUMIF(WRM!$C$7:$C$128,$D24,WRM!P$7:$P$128)</f>
        <v>6264.8</v>
      </c>
      <c r="R24" s="586"/>
      <c r="S24" s="586">
        <f t="shared" si="2"/>
        <v>30967.299999999992</v>
      </c>
      <c r="T24" s="513"/>
      <c r="U24" s="513">
        <f>+SUMIF(WRM!$C$7:$C$128,$D24,WRM!$T$7:T$128)</f>
        <v>4844.1500000000005</v>
      </c>
      <c r="V24" s="586"/>
      <c r="W24" s="586">
        <f t="shared" si="3"/>
        <v>35811.44999999999</v>
      </c>
      <c r="X24" s="586"/>
      <c r="Y24" s="513">
        <f>+SUMIF(WRM!$C$7:$C$128,$D24,WRM!$X$7:X$128)</f>
        <v>6642</v>
      </c>
      <c r="Z24" s="586"/>
      <c r="AA24" s="2010">
        <f t="shared" si="4"/>
        <v>17750.95</v>
      </c>
      <c r="AB24" s="2053"/>
      <c r="AC24" s="1066">
        <f t="shared" si="5"/>
        <v>42453.45</v>
      </c>
      <c r="AD24" s="586"/>
      <c r="AE24" s="513">
        <f>+SUMIF(WRM!$C$7:$C$128,$D24,WRM!$AD$7:$AD$128)</f>
        <v>9739.5499999999993</v>
      </c>
      <c r="AF24" s="586"/>
      <c r="AG24" s="586">
        <f t="shared" si="6"/>
        <v>52193</v>
      </c>
      <c r="AH24" s="586"/>
      <c r="AI24" s="513">
        <f>+SUMIF(WRM!$C$7:$C$128,$D24,WRM!$AH$7:$AH$128)</f>
        <v>5760.5</v>
      </c>
      <c r="AJ24" s="581"/>
      <c r="AK24" s="581">
        <f t="shared" si="7"/>
        <v>57953.5</v>
      </c>
      <c r="AL24" s="586"/>
      <c r="AM24" s="513">
        <f>+SUMIF(WRM!$C$7:$C$128,$D24,WRM!$AL$7:$AL$128)</f>
        <v>8384.5</v>
      </c>
      <c r="AN24" s="586"/>
      <c r="AO24" s="2010">
        <f t="shared" si="8"/>
        <v>23884.55</v>
      </c>
      <c r="AP24" s="581"/>
      <c r="AQ24" s="581">
        <f t="shared" si="9"/>
        <v>66338</v>
      </c>
      <c r="AR24" s="586"/>
      <c r="AS24" s="513">
        <f>+SUMIF(WRM!$C$7:$C$128,$D24,WRM!$AR$7:$AR$128)</f>
        <v>11320.100000000002</v>
      </c>
      <c r="AT24" s="581"/>
      <c r="AU24" s="581">
        <f t="shared" si="10"/>
        <v>77658.100000000006</v>
      </c>
      <c r="AV24" s="586"/>
      <c r="AW24" s="513">
        <f>+SUMIF(WRM!$C$7:$C$128,$D24,WRM!$AV$7:$AV$128)</f>
        <v>8419.35</v>
      </c>
      <c r="AX24" s="581"/>
      <c r="AY24" s="581">
        <f t="shared" si="11"/>
        <v>86077.450000000012</v>
      </c>
      <c r="AZ24" s="586"/>
      <c r="BA24" s="513">
        <f>+SUMIF(WRM!$C$7:$C$128,$D24,WRM!$AZ$7:$AZ$128)</f>
        <v>9930.1999999999916</v>
      </c>
      <c r="BB24" s="586"/>
      <c r="BC24" s="2010">
        <f t="shared" si="12"/>
        <v>29669.649999999994</v>
      </c>
      <c r="BD24" s="2053"/>
      <c r="BE24" s="1066">
        <f t="shared" si="13"/>
        <v>53554.2</v>
      </c>
      <c r="BF24" s="581"/>
      <c r="BG24" s="581">
        <f t="shared" si="14"/>
        <v>96007.650000000009</v>
      </c>
      <c r="BH24" s="23"/>
      <c r="BI24" s="23"/>
      <c r="BJ24" s="23"/>
    </row>
    <row r="25" spans="3:62" x14ac:dyDescent="0.35">
      <c r="C25" s="512" t="s">
        <v>16</v>
      </c>
      <c r="D25" s="1494" t="s">
        <v>833</v>
      </c>
      <c r="E25" s="3996"/>
      <c r="F25" s="512"/>
      <c r="G25" s="513">
        <f>+SUMIF(WRM!$C$7:$C$128,$D25,WRM!$F$7:$F$128)</f>
        <v>0</v>
      </c>
      <c r="H25" s="513"/>
      <c r="I25" s="513">
        <f>+SUMIF(WRM!$C$7:$C$128,$D25,WRM!$H$7:$H$128)</f>
        <v>1145.95</v>
      </c>
      <c r="J25" s="581"/>
      <c r="K25" s="581">
        <f t="shared" si="0"/>
        <v>1145.95</v>
      </c>
      <c r="L25" s="513"/>
      <c r="M25" s="513">
        <f>+SUMIF(WRM!$C$7:$C$128,$D25,WRM!$L$7:$L$128)</f>
        <v>508.40000000000003</v>
      </c>
      <c r="N25" s="586"/>
      <c r="O25" s="586">
        <f t="shared" si="1"/>
        <v>1654.3500000000001</v>
      </c>
      <c r="P25" s="513"/>
      <c r="Q25" s="513">
        <f>+SUMIF(WRM!$C$7:$C$128,$D25,WRM!P$7:$P$128)</f>
        <v>0</v>
      </c>
      <c r="R25" s="586"/>
      <c r="S25" s="586">
        <f t="shared" ref="S25:S68" si="30">O25+Q25</f>
        <v>1654.3500000000001</v>
      </c>
      <c r="T25" s="513"/>
      <c r="U25" s="513">
        <f>+SUMIF(WRM!$C$7:$C$128,$D25,WRM!$T$7:T$128)</f>
        <v>0</v>
      </c>
      <c r="V25" s="586"/>
      <c r="W25" s="586">
        <f t="shared" si="3"/>
        <v>1654.3500000000001</v>
      </c>
      <c r="X25" s="586"/>
      <c r="Y25" s="513">
        <f>+SUMIF(WRM!$C$7:$C$128,$D25,WRM!$X$7:X$128)</f>
        <v>0</v>
      </c>
      <c r="Z25" s="586"/>
      <c r="AA25" s="2010">
        <f t="shared" si="4"/>
        <v>0</v>
      </c>
      <c r="AB25" s="2053"/>
      <c r="AC25" s="1066">
        <f t="shared" si="5"/>
        <v>1654.3500000000001</v>
      </c>
      <c r="AD25" s="586"/>
      <c r="AE25" s="513">
        <f>+SUMIF(WRM!$C$7:$C$128,$D25,WRM!$AD$7:$AD$128)</f>
        <v>0</v>
      </c>
      <c r="AF25" s="586"/>
      <c r="AG25" s="586">
        <f t="shared" si="6"/>
        <v>1654.3500000000001</v>
      </c>
      <c r="AH25" s="586"/>
      <c r="AI25" s="513">
        <f>+SUMIF(WRM!$C$7:$C$128,$D25,WRM!$AH$7:$AH$128)</f>
        <v>166.04999999999998</v>
      </c>
      <c r="AJ25" s="581"/>
      <c r="AK25" s="581">
        <f t="shared" si="7"/>
        <v>1820.4</v>
      </c>
      <c r="AL25" s="586"/>
      <c r="AM25" s="513">
        <f>+SUMIF(WRM!$C$7:$C$128,$D25,WRM!$AL$7:$AL$128)</f>
        <v>0</v>
      </c>
      <c r="AN25" s="586"/>
      <c r="AO25" s="2010">
        <f t="shared" si="8"/>
        <v>166.04999999999998</v>
      </c>
      <c r="AP25" s="581"/>
      <c r="AQ25" s="581">
        <f t="shared" si="9"/>
        <v>1820.4</v>
      </c>
      <c r="AR25" s="586"/>
      <c r="AS25" s="513">
        <f>+SUMIF(WRM!$C$7:$C$128,$D25,WRM!$AR$7:$AR$128)</f>
        <v>0</v>
      </c>
      <c r="AT25" s="581"/>
      <c r="AU25" s="581">
        <f t="shared" si="10"/>
        <v>1820.4</v>
      </c>
      <c r="AV25" s="586"/>
      <c r="AW25" s="513">
        <f>+SUMIF(WRM!$C$7:$C$128,$D25,WRM!$AV$7:$AV$128)</f>
        <v>379.25000000000006</v>
      </c>
      <c r="AX25" s="581"/>
      <c r="AY25" s="581">
        <f t="shared" si="11"/>
        <v>2199.65</v>
      </c>
      <c r="AZ25" s="586"/>
      <c r="BA25" s="513">
        <f>+SUMIF(WRM!$C$7:$C$128,$D25,WRM!$AZ$7:$AZ$128)</f>
        <v>373.1</v>
      </c>
      <c r="BB25" s="586"/>
      <c r="BC25" s="2010">
        <f t="shared" si="12"/>
        <v>752.35000000000014</v>
      </c>
      <c r="BD25" s="2053"/>
      <c r="BE25" s="1066">
        <f t="shared" si="13"/>
        <v>918.40000000000009</v>
      </c>
      <c r="BF25" s="581"/>
      <c r="BG25" s="581">
        <f t="shared" si="14"/>
        <v>2572.75</v>
      </c>
      <c r="BH25" s="23"/>
      <c r="BI25" s="23"/>
      <c r="BJ25" s="23"/>
    </row>
    <row r="26" spans="3:62" x14ac:dyDescent="0.35">
      <c r="C26" s="3998" t="s">
        <v>16</v>
      </c>
      <c r="D26" s="3999" t="s">
        <v>1791</v>
      </c>
      <c r="E26" s="3996"/>
      <c r="F26" s="3998"/>
      <c r="G26" s="513">
        <f>+SUMIF(WRM!$C$7:$C$128,$D26,WRM!$F$7:$F$128)</f>
        <v>0</v>
      </c>
      <c r="H26" s="513"/>
      <c r="I26" s="513">
        <f>+SUMIF(WRM!$C$7:$C$128,$D26,WRM!$H$7:$H$128)</f>
        <v>0</v>
      </c>
      <c r="J26" s="581"/>
      <c r="K26" s="581">
        <f t="shared" ref="K26" si="31">+G26+I26</f>
        <v>0</v>
      </c>
      <c r="L26" s="513"/>
      <c r="M26" s="513">
        <f>+SUMIF(WRM!$C$7:$C$128,$D26,WRM!$L$7:$L$128)</f>
        <v>0</v>
      </c>
      <c r="N26" s="586"/>
      <c r="O26" s="586">
        <f t="shared" si="1"/>
        <v>0</v>
      </c>
      <c r="P26" s="513"/>
      <c r="Q26" s="513">
        <f>+SUMIF(WRM!$C$7:$C$128,$D26,WRM!P$7:$P$128)</f>
        <v>0</v>
      </c>
      <c r="R26" s="586"/>
      <c r="S26" s="586">
        <f t="shared" ref="S26" si="32">O26+Q26</f>
        <v>0</v>
      </c>
      <c r="T26" s="513"/>
      <c r="U26" s="513">
        <f>+SUMIF(WRM!$C$7:$C$128,$D26,WRM!$T$7:T$128)</f>
        <v>0</v>
      </c>
      <c r="V26" s="586"/>
      <c r="W26" s="586">
        <f t="shared" ref="W26" si="33">S26+U26</f>
        <v>0</v>
      </c>
      <c r="X26" s="586"/>
      <c r="Y26" s="513">
        <f>+SUMIF(WRM!$C$7:$C$128,$D26,WRM!$X$7:X$128)</f>
        <v>0</v>
      </c>
      <c r="Z26" s="586"/>
      <c r="AA26" s="2010">
        <f t="shared" si="4"/>
        <v>0</v>
      </c>
      <c r="AB26" s="2053"/>
      <c r="AC26" s="1066">
        <f t="shared" si="5"/>
        <v>0</v>
      </c>
      <c r="AD26" s="586"/>
      <c r="AE26" s="513">
        <f>+SUMIF(WRM!$C$7:$C$128,$D26,WRM!$AD$7:$AD$128)</f>
        <v>0</v>
      </c>
      <c r="AF26" s="586"/>
      <c r="AG26" s="586">
        <f t="shared" ref="AG26" si="34">AC26+AE26</f>
        <v>0</v>
      </c>
      <c r="AH26" s="586"/>
      <c r="AI26" s="513">
        <f>+SUMIF(WRM!$C$7:$C$128,$D26,WRM!$AH$7:$AH$128)</f>
        <v>0</v>
      </c>
      <c r="AJ26" s="581"/>
      <c r="AK26" s="581">
        <f t="shared" ref="AK26" si="35">AG26+AI26</f>
        <v>0</v>
      </c>
      <c r="AL26" s="586"/>
      <c r="AM26" s="513">
        <f>+SUMIF(WRM!$C$7:$C$128,$D26,WRM!$AL$7:$AL$128)</f>
        <v>0</v>
      </c>
      <c r="AN26" s="586"/>
      <c r="AO26" s="2010">
        <f t="shared" ref="AO26" si="36">AE26+AI26+AM26</f>
        <v>0</v>
      </c>
      <c r="AP26" s="581"/>
      <c r="AQ26" s="581">
        <f t="shared" ref="AQ26" si="37">AK26+AM26</f>
        <v>0</v>
      </c>
      <c r="AR26" s="586"/>
      <c r="AS26" s="513">
        <f>+SUMIF(WRM!$C$7:$C$128,$D26,WRM!$AR$7:$AR$128)</f>
        <v>0</v>
      </c>
      <c r="AT26" s="581"/>
      <c r="AU26" s="581">
        <f t="shared" ref="AU26" si="38">AQ26+AS26</f>
        <v>0</v>
      </c>
      <c r="AV26" s="586"/>
      <c r="AW26" s="513">
        <f>+SUMIF(WRM!$C$7:$C$128,$D26,WRM!$AV$7:$AV$128)</f>
        <v>0</v>
      </c>
      <c r="AX26" s="581"/>
      <c r="AY26" s="581">
        <f t="shared" si="11"/>
        <v>0</v>
      </c>
      <c r="AZ26" s="586"/>
      <c r="BA26" s="513">
        <f>+SUMIF(WRM!$C$7:$C$128,$D26,WRM!$AZ$7:$AZ$128)</f>
        <v>0</v>
      </c>
      <c r="BB26" s="586"/>
      <c r="BC26" s="2010">
        <f t="shared" si="12"/>
        <v>0</v>
      </c>
      <c r="BD26" s="2053"/>
      <c r="BE26" s="1066">
        <f t="shared" si="13"/>
        <v>0</v>
      </c>
      <c r="BF26" s="581"/>
      <c r="BG26" s="581">
        <f t="shared" si="14"/>
        <v>0</v>
      </c>
      <c r="BH26" s="23"/>
      <c r="BI26" s="23"/>
      <c r="BJ26" s="23"/>
    </row>
    <row r="27" spans="3:62" x14ac:dyDescent="0.35">
      <c r="C27" s="512" t="s">
        <v>16</v>
      </c>
      <c r="D27" s="1494" t="s">
        <v>924</v>
      </c>
      <c r="E27" s="3996"/>
      <c r="F27" s="512"/>
      <c r="G27" s="513">
        <f>+SUMIF(WRM!$C$7:$C$128,$D27,WRM!$F$7:$F$128)</f>
        <v>0</v>
      </c>
      <c r="H27" s="513"/>
      <c r="I27" s="513">
        <f>+SUMIF(WRM!$C$7:$C$128,$D27,WRM!$H$7:$H$128)</f>
        <v>207.04999999999998</v>
      </c>
      <c r="J27" s="581"/>
      <c r="K27" s="581">
        <f t="shared" si="0"/>
        <v>207.04999999999998</v>
      </c>
      <c r="L27" s="513"/>
      <c r="M27" s="513">
        <f>+SUMIF(WRM!$C$7:$C$128,$D27,WRM!$L$7:$L$128)</f>
        <v>4950.75</v>
      </c>
      <c r="N27" s="586"/>
      <c r="O27" s="586">
        <f t="shared" si="1"/>
        <v>5157.8</v>
      </c>
      <c r="P27" s="513"/>
      <c r="Q27" s="513">
        <f>+SUMIF(WRM!$C$7:$C$128,$D27,WRM!P$7:$P$128)</f>
        <v>9462.7999999999993</v>
      </c>
      <c r="R27" s="586"/>
      <c r="S27" s="586">
        <f t="shared" si="30"/>
        <v>14620.599999999999</v>
      </c>
      <c r="T27" s="513"/>
      <c r="U27" s="513">
        <f>+SUMIF(WRM!$C$7:$C$128,$D27,WRM!$T$7:T$128)</f>
        <v>10547.25</v>
      </c>
      <c r="V27" s="586"/>
      <c r="W27" s="586">
        <f t="shared" si="3"/>
        <v>25167.85</v>
      </c>
      <c r="X27" s="586"/>
      <c r="Y27" s="513">
        <f>+SUMIF(WRM!$C$7:$C$128,$D27,WRM!$X$7:X$128)</f>
        <v>10947</v>
      </c>
      <c r="Z27" s="586"/>
      <c r="AA27" s="2010">
        <f t="shared" si="4"/>
        <v>30957.05</v>
      </c>
      <c r="AB27" s="2053"/>
      <c r="AC27" s="1066">
        <f t="shared" si="5"/>
        <v>36114.85</v>
      </c>
      <c r="AD27" s="586"/>
      <c r="AE27" s="513">
        <f>+SUMIF(WRM!$C$7:$C$128,$D27,WRM!$AD$7:$AD$128)</f>
        <v>7306.2000000000007</v>
      </c>
      <c r="AF27" s="586"/>
      <c r="AG27" s="586">
        <f t="shared" si="6"/>
        <v>43421.05</v>
      </c>
      <c r="AH27" s="586"/>
      <c r="AI27" s="513">
        <f>+SUMIF(WRM!$C$7:$C$128,$D27,WRM!$AH$7:$AH$128)</f>
        <v>7740.8</v>
      </c>
      <c r="AJ27" s="581"/>
      <c r="AK27" s="581">
        <f t="shared" si="7"/>
        <v>51161.850000000006</v>
      </c>
      <c r="AL27" s="586"/>
      <c r="AM27" s="513">
        <f>+SUMIF(WRM!$C$7:$C$128,$D27,WRM!$AL$7:$AL$128)</f>
        <v>8146.7</v>
      </c>
      <c r="AN27" s="586"/>
      <c r="AO27" s="2010">
        <f t="shared" si="8"/>
        <v>23193.7</v>
      </c>
      <c r="AP27" s="581"/>
      <c r="AQ27" s="581">
        <f t="shared" si="9"/>
        <v>59308.55</v>
      </c>
      <c r="AR27" s="586"/>
      <c r="AS27" s="513">
        <f>+SUMIF(WRM!$C$7:$C$128,$D27,WRM!$AR$7:$AR$128)</f>
        <v>7150.4000000000096</v>
      </c>
      <c r="AT27" s="581"/>
      <c r="AU27" s="581">
        <f t="shared" si="10"/>
        <v>66458.950000000012</v>
      </c>
      <c r="AV27" s="586"/>
      <c r="AW27" s="513">
        <f>+SUMIF(WRM!$C$7:$C$128,$D27,WRM!$AV$7:$AV$128)</f>
        <v>8312.7500000000036</v>
      </c>
      <c r="AX27" s="581"/>
      <c r="AY27" s="581">
        <f t="shared" si="11"/>
        <v>74771.700000000012</v>
      </c>
      <c r="AZ27" s="586"/>
      <c r="BA27" s="513">
        <f>+SUMIF(WRM!$C$7:$C$128,$D27,WRM!$AZ$7:$AZ$128)</f>
        <v>0</v>
      </c>
      <c r="BB27" s="586"/>
      <c r="BC27" s="2010">
        <f t="shared" si="12"/>
        <v>15463.150000000012</v>
      </c>
      <c r="BD27" s="2053"/>
      <c r="BE27" s="1066">
        <f t="shared" si="13"/>
        <v>38656.850000000013</v>
      </c>
      <c r="BF27" s="581"/>
      <c r="BG27" s="581">
        <f t="shared" si="14"/>
        <v>74771.700000000012</v>
      </c>
      <c r="BH27" s="23"/>
      <c r="BI27" s="23"/>
      <c r="BJ27" s="23"/>
    </row>
    <row r="28" spans="3:62" x14ac:dyDescent="0.35">
      <c r="C28" s="4578" t="s">
        <v>16</v>
      </c>
      <c r="D28" s="4579" t="s">
        <v>2023</v>
      </c>
      <c r="E28" s="3996"/>
      <c r="F28" s="4578"/>
      <c r="G28" s="513">
        <f>+SUMIF(WRM!$C$7:$C$128,$D28,WRM!$F$7:$F$128)</f>
        <v>0</v>
      </c>
      <c r="H28" s="513"/>
      <c r="I28" s="513">
        <f>+SUMIF(WRM!$C$7:$C$128,$D28,WRM!$H$7:$H$128)</f>
        <v>0</v>
      </c>
      <c r="J28" s="581"/>
      <c r="K28" s="581">
        <f t="shared" ref="K28" si="39">+G28+I28</f>
        <v>0</v>
      </c>
      <c r="L28" s="513"/>
      <c r="M28" s="513">
        <f>+SUMIF(WRM!$C$7:$C$128,$D28,WRM!$L$7:$L$128)</f>
        <v>0</v>
      </c>
      <c r="N28" s="586"/>
      <c r="O28" s="586">
        <f t="shared" ref="O28" si="40">+G28+I28+M28</f>
        <v>0</v>
      </c>
      <c r="P28" s="513"/>
      <c r="Q28" s="513">
        <f>+SUMIF(WRM!$C$7:$C$128,$D28,WRM!P$7:$P$128)</f>
        <v>0</v>
      </c>
      <c r="R28" s="586"/>
      <c r="S28" s="586">
        <f t="shared" ref="S28" si="41">O28+Q28</f>
        <v>0</v>
      </c>
      <c r="T28" s="513"/>
      <c r="U28" s="513">
        <f>+SUMIF(WRM!$C$7:$C$128,$D28,WRM!$T$7:T$128)</f>
        <v>0</v>
      </c>
      <c r="V28" s="586"/>
      <c r="W28" s="586">
        <f t="shared" ref="W28" si="42">S28+U28</f>
        <v>0</v>
      </c>
      <c r="X28" s="586"/>
      <c r="Y28" s="513">
        <f>+SUMIF(WRM!$C$7:$C$128,$D28,WRM!$X$7:X$128)</f>
        <v>94.3</v>
      </c>
      <c r="Z28" s="586"/>
      <c r="AA28" s="2010">
        <f t="shared" si="4"/>
        <v>94.3</v>
      </c>
      <c r="AB28" s="2053"/>
      <c r="AC28" s="1066">
        <f t="shared" si="5"/>
        <v>94.3</v>
      </c>
      <c r="AD28" s="586"/>
      <c r="AE28" s="513">
        <f>+SUMIF(WRM!$C$7:$C$128,$D28,WRM!$AD$7:$AD$128)</f>
        <v>0</v>
      </c>
      <c r="AF28" s="586"/>
      <c r="AG28" s="586">
        <f t="shared" ref="AG28" si="43">AC28+AE28</f>
        <v>94.3</v>
      </c>
      <c r="AH28" s="586"/>
      <c r="AI28" s="513">
        <f>+SUMIF(WRM!$C$7:$C$128,$D28,WRM!$AH$7:$AH$128)</f>
        <v>0</v>
      </c>
      <c r="AJ28" s="581"/>
      <c r="AK28" s="581">
        <f t="shared" ref="AK28" si="44">AG28+AI28</f>
        <v>94.3</v>
      </c>
      <c r="AL28" s="586"/>
      <c r="AM28" s="513">
        <f>+SUMIF(WRM!$C$7:$C$128,$D28,WRM!$AL$7:$AL$128)</f>
        <v>0</v>
      </c>
      <c r="AN28" s="586"/>
      <c r="AO28" s="2010">
        <f t="shared" ref="AO28" si="45">AE28+AI28+AM28</f>
        <v>0</v>
      </c>
      <c r="AP28" s="581"/>
      <c r="AQ28" s="581">
        <f t="shared" ref="AQ28" si="46">AK28+AM28</f>
        <v>94.3</v>
      </c>
      <c r="AR28" s="586"/>
      <c r="AS28" s="513">
        <f>+SUMIF(WRM!$C$7:$C$128,$D28,WRM!$AR$7:$AR$128)</f>
        <v>0</v>
      </c>
      <c r="AT28" s="581"/>
      <c r="AU28" s="581">
        <f t="shared" ref="AU28" si="47">AQ28+AS28</f>
        <v>94.3</v>
      </c>
      <c r="AV28" s="586"/>
      <c r="AW28" s="513">
        <f>+SUMIF(WRM!$C$7:$C$128,$D28,WRM!$AV$7:$AV$128)</f>
        <v>0</v>
      </c>
      <c r="AX28" s="581"/>
      <c r="AY28" s="581">
        <f t="shared" ref="AY28" si="48">AU28+AW28</f>
        <v>94.3</v>
      </c>
      <c r="AZ28" s="586"/>
      <c r="BA28" s="513">
        <f>+SUMIF(WRM!$C$7:$C$128,$D28,WRM!$AZ$7:$AZ$128)</f>
        <v>0</v>
      </c>
      <c r="BB28" s="586"/>
      <c r="BC28" s="2010">
        <f t="shared" ref="BC28" si="49">AS28+AW28+BA28</f>
        <v>0</v>
      </c>
      <c r="BD28" s="2053"/>
      <c r="BE28" s="1066">
        <f t="shared" ref="BE28" si="50">AO28+BC28</f>
        <v>0</v>
      </c>
      <c r="BF28" s="581"/>
      <c r="BG28" s="581">
        <f t="shared" ref="BG28" si="51">AY28+BA28</f>
        <v>94.3</v>
      </c>
      <c r="BH28" s="23"/>
      <c r="BI28" s="23"/>
      <c r="BJ28" s="23"/>
    </row>
    <row r="29" spans="3:62" x14ac:dyDescent="0.35">
      <c r="C29" s="512" t="s">
        <v>16</v>
      </c>
      <c r="D29" s="1494" t="s">
        <v>926</v>
      </c>
      <c r="E29" s="3996"/>
      <c r="F29" s="512"/>
      <c r="G29" s="513">
        <f>+SUMIF(WRM!$C$7:$C$128,$D29,WRM!$F$7:$F$128)</f>
        <v>43.05</v>
      </c>
      <c r="H29" s="513"/>
      <c r="I29" s="513">
        <f>+SUMIF(WRM!$C$7:$C$128,$D29,WRM!$H$7:$H$128)</f>
        <v>3550.599999999999</v>
      </c>
      <c r="J29" s="581"/>
      <c r="K29" s="581">
        <f t="shared" si="0"/>
        <v>3593.6499999999992</v>
      </c>
      <c r="L29" s="513"/>
      <c r="M29" s="513">
        <f>+SUMIF(WRM!$C$7:$C$128,$D29,WRM!$L$7:$L$128)</f>
        <v>1920.8500000000001</v>
      </c>
      <c r="N29" s="586"/>
      <c r="O29" s="586">
        <f t="shared" si="1"/>
        <v>5514.4999999999991</v>
      </c>
      <c r="P29" s="513"/>
      <c r="Q29" s="513">
        <f>+SUMIF(WRM!$C$7:$C$128,$D29,WRM!P$7:$P$128)</f>
        <v>2345.1999999999985</v>
      </c>
      <c r="R29" s="586"/>
      <c r="S29" s="586">
        <f t="shared" si="30"/>
        <v>7859.6999999999971</v>
      </c>
      <c r="T29" s="513"/>
      <c r="U29" s="513">
        <f>+SUMIF(WRM!$C$7:$C$128,$D29,WRM!$T$7:T$128)</f>
        <v>1430.9</v>
      </c>
      <c r="V29" s="586"/>
      <c r="W29" s="586">
        <f t="shared" si="3"/>
        <v>9290.5999999999967</v>
      </c>
      <c r="X29" s="586"/>
      <c r="Y29" s="513">
        <f>+SUMIF(WRM!$C$7:$C$128,$D29,WRM!$X$7:X$128)</f>
        <v>1492.4</v>
      </c>
      <c r="Z29" s="586"/>
      <c r="AA29" s="2010">
        <f t="shared" si="4"/>
        <v>5268.4999999999982</v>
      </c>
      <c r="AB29" s="2053"/>
      <c r="AC29" s="1066">
        <f t="shared" si="5"/>
        <v>10782.999999999996</v>
      </c>
      <c r="AD29" s="586"/>
      <c r="AE29" s="513">
        <f>+SUMIF(WRM!$C$7:$C$128,$D29,WRM!$AD$7:$AD$128)</f>
        <v>535.04999999999995</v>
      </c>
      <c r="AF29" s="586"/>
      <c r="AG29" s="586">
        <f t="shared" si="6"/>
        <v>11318.049999999996</v>
      </c>
      <c r="AH29" s="586"/>
      <c r="AI29" s="513">
        <f>+SUMIF(WRM!$C$7:$C$128,$D29,WRM!$AH$7:$AH$128)</f>
        <v>2060.25</v>
      </c>
      <c r="AJ29" s="581"/>
      <c r="AK29" s="581">
        <f t="shared" si="7"/>
        <v>13378.299999999996</v>
      </c>
      <c r="AL29" s="586"/>
      <c r="AM29" s="513">
        <f>+SUMIF(WRM!$C$7:$C$128,$D29,WRM!$AL$7:$AL$128)</f>
        <v>4034.4</v>
      </c>
      <c r="AN29" s="586"/>
      <c r="AO29" s="2010">
        <f t="shared" si="8"/>
        <v>6629.7000000000007</v>
      </c>
      <c r="AP29" s="581"/>
      <c r="AQ29" s="581">
        <f t="shared" si="9"/>
        <v>17412.699999999997</v>
      </c>
      <c r="AR29" s="586"/>
      <c r="AS29" s="513">
        <f>+SUMIF(WRM!$C$7:$C$128,$D29,WRM!$AR$7:$AR$128)</f>
        <v>994.25</v>
      </c>
      <c r="AT29" s="581"/>
      <c r="AU29" s="581">
        <f t="shared" si="10"/>
        <v>18406.949999999997</v>
      </c>
      <c r="AV29" s="586"/>
      <c r="AW29" s="513">
        <f>+SUMIF(WRM!$C$7:$C$128,$D29,WRM!$AV$7:$AV$128)</f>
        <v>1908.55</v>
      </c>
      <c r="AX29" s="581"/>
      <c r="AY29" s="581">
        <f t="shared" si="11"/>
        <v>20315.499999999996</v>
      </c>
      <c r="AZ29" s="586"/>
      <c r="BA29" s="513">
        <f>+SUMIF(WRM!$C$7:$C$128,$D29,WRM!$AZ$7:$AZ$128)</f>
        <v>1076.2499999999998</v>
      </c>
      <c r="BB29" s="586"/>
      <c r="BC29" s="2010">
        <f t="shared" si="12"/>
        <v>3979.05</v>
      </c>
      <c r="BD29" s="2053"/>
      <c r="BE29" s="1066">
        <f t="shared" si="13"/>
        <v>10608.75</v>
      </c>
      <c r="BF29" s="581"/>
      <c r="BG29" s="581">
        <f t="shared" si="14"/>
        <v>21391.749999999996</v>
      </c>
      <c r="BH29" s="23"/>
      <c r="BI29" s="23"/>
      <c r="BJ29" s="23"/>
    </row>
    <row r="30" spans="3:62" x14ac:dyDescent="0.35">
      <c r="C30" s="512" t="s">
        <v>16</v>
      </c>
      <c r="D30" s="1494" t="s">
        <v>1072</v>
      </c>
      <c r="E30" s="3996"/>
      <c r="F30" s="512"/>
      <c r="G30" s="513">
        <f>+SUMIF(WRM!$C$7:$C$128,$D30,WRM!$F$7:$F$128)</f>
        <v>1861.3999999999999</v>
      </c>
      <c r="H30" s="513"/>
      <c r="I30" s="513">
        <f>+SUMIF(WRM!$C$7:$C$128,$D30,WRM!$H$7:$H$128)</f>
        <v>0</v>
      </c>
      <c r="J30" s="581"/>
      <c r="K30" s="581">
        <f t="shared" si="0"/>
        <v>1861.3999999999999</v>
      </c>
      <c r="L30" s="513"/>
      <c r="M30" s="513">
        <f>+SUMIF(WRM!$C$7:$C$128,$D30,WRM!$L$7:$L$128)</f>
        <v>0</v>
      </c>
      <c r="N30" s="586"/>
      <c r="O30" s="586">
        <f t="shared" si="1"/>
        <v>1861.3999999999999</v>
      </c>
      <c r="P30" s="513"/>
      <c r="Q30" s="513">
        <f>+SUMIF(WRM!$C$7:$C$128,$D30,WRM!P$7:$P$128)</f>
        <v>0</v>
      </c>
      <c r="R30" s="586"/>
      <c r="S30" s="586">
        <f t="shared" si="30"/>
        <v>1861.3999999999999</v>
      </c>
      <c r="T30" s="513"/>
      <c r="U30" s="513">
        <f>+SUMIF(WRM!$C$7:$C$128,$D30,WRM!$T$7:T$128)</f>
        <v>940.95000000000016</v>
      </c>
      <c r="V30" s="586"/>
      <c r="W30" s="586">
        <f t="shared" si="3"/>
        <v>2802.35</v>
      </c>
      <c r="X30" s="586"/>
      <c r="Y30" s="513">
        <f>+SUMIF(WRM!$C$7:$C$128,$D30,WRM!$X$7:X$128)</f>
        <v>1281.25</v>
      </c>
      <c r="Z30" s="586"/>
      <c r="AA30" s="2010">
        <f t="shared" si="4"/>
        <v>2222.2000000000003</v>
      </c>
      <c r="AB30" s="2053"/>
      <c r="AC30" s="1066">
        <f t="shared" si="5"/>
        <v>4083.6000000000004</v>
      </c>
      <c r="AD30" s="586"/>
      <c r="AE30" s="513">
        <f>+SUMIF(WRM!$C$7:$C$128,$D30,WRM!$AD$7:$AD$128)</f>
        <v>219.35</v>
      </c>
      <c r="AF30" s="586"/>
      <c r="AG30" s="586">
        <f t="shared" si="6"/>
        <v>4302.9500000000007</v>
      </c>
      <c r="AH30" s="586"/>
      <c r="AI30" s="513">
        <f>+SUMIF(WRM!$C$7:$C$128,$D30,WRM!$AH$7:$AH$128)</f>
        <v>1051.6500000000001</v>
      </c>
      <c r="AJ30" s="581"/>
      <c r="AK30" s="581">
        <f t="shared" si="7"/>
        <v>5354.6</v>
      </c>
      <c r="AL30" s="586"/>
      <c r="AM30" s="513">
        <f>+SUMIF(WRM!$C$7:$C$128,$D30,WRM!$AL$7:$AL$128)</f>
        <v>1389.9</v>
      </c>
      <c r="AN30" s="586"/>
      <c r="AO30" s="2010">
        <f t="shared" si="8"/>
        <v>2660.9</v>
      </c>
      <c r="AP30" s="581"/>
      <c r="AQ30" s="581">
        <f t="shared" si="9"/>
        <v>6744.5</v>
      </c>
      <c r="AR30" s="586"/>
      <c r="AS30" s="513">
        <f>+SUMIF(WRM!$C$7:$C$128,$D30,WRM!$AR$7:$AR$128)</f>
        <v>1799.9</v>
      </c>
      <c r="AT30" s="581"/>
      <c r="AU30" s="581">
        <f t="shared" si="10"/>
        <v>8544.4</v>
      </c>
      <c r="AV30" s="586"/>
      <c r="AW30" s="513">
        <f>+SUMIF(WRM!$C$7:$C$128,$D30,WRM!$AV$7:$AV$128)</f>
        <v>1605.15</v>
      </c>
      <c r="AX30" s="581"/>
      <c r="AY30" s="581">
        <f t="shared" si="11"/>
        <v>10149.549999999999</v>
      </c>
      <c r="AZ30" s="586"/>
      <c r="BA30" s="513">
        <f>+SUMIF(WRM!$C$7:$C$128,$D30,WRM!$AZ$7:$AZ$128)</f>
        <v>2865.9</v>
      </c>
      <c r="BB30" s="586"/>
      <c r="BC30" s="2010">
        <f t="shared" si="12"/>
        <v>6270.9500000000007</v>
      </c>
      <c r="BD30" s="2053"/>
      <c r="BE30" s="1066">
        <f t="shared" si="13"/>
        <v>8931.85</v>
      </c>
      <c r="BF30" s="581"/>
      <c r="BG30" s="581">
        <f t="shared" si="14"/>
        <v>13015.449999999999</v>
      </c>
      <c r="BH30" s="23"/>
      <c r="BI30" s="23"/>
      <c r="BJ30" s="23"/>
    </row>
    <row r="31" spans="3:62" x14ac:dyDescent="0.35">
      <c r="C31" s="512" t="s">
        <v>16</v>
      </c>
      <c r="D31" s="1494" t="s">
        <v>990</v>
      </c>
      <c r="E31" s="3996"/>
      <c r="F31" s="512"/>
      <c r="G31" s="513">
        <f>+SUMIF(WRM!$C$7:$C$128,$D31,WRM!$F$7:$F$128)</f>
        <v>0</v>
      </c>
      <c r="H31" s="513"/>
      <c r="I31" s="513">
        <f>+SUMIF(WRM!$C$7:$C$128,$D31,WRM!$H$7:$H$128)</f>
        <v>0</v>
      </c>
      <c r="J31" s="581"/>
      <c r="K31" s="581">
        <f t="shared" si="0"/>
        <v>0</v>
      </c>
      <c r="L31" s="513"/>
      <c r="M31" s="513">
        <f>+SUMIF(WRM!$C$7:$C$128,$D31,WRM!$L$7:$L$128)</f>
        <v>1785.55</v>
      </c>
      <c r="N31" s="586"/>
      <c r="O31" s="586">
        <f t="shared" si="1"/>
        <v>1785.55</v>
      </c>
      <c r="P31" s="513"/>
      <c r="Q31" s="513">
        <f>+SUMIF(WRM!$C$7:$C$128,$D31,WRM!P$7:$P$128)</f>
        <v>820</v>
      </c>
      <c r="R31" s="586"/>
      <c r="S31" s="586">
        <f t="shared" si="30"/>
        <v>2605.5500000000002</v>
      </c>
      <c r="T31" s="513"/>
      <c r="U31" s="513">
        <f>+SUMIF(WRM!$C$7:$C$128,$D31,WRM!$T$7:T$128)</f>
        <v>578.1</v>
      </c>
      <c r="V31" s="586"/>
      <c r="W31" s="586">
        <f t="shared" si="3"/>
        <v>3183.65</v>
      </c>
      <c r="X31" s="586"/>
      <c r="Y31" s="513">
        <f>+SUMIF(WRM!$C$7:$C$128,$D31,WRM!$X$7:X$128)</f>
        <v>0</v>
      </c>
      <c r="Z31" s="586"/>
      <c r="AA31" s="2010">
        <f t="shared" si="4"/>
        <v>1398.1</v>
      </c>
      <c r="AB31" s="2053"/>
      <c r="AC31" s="1066">
        <f t="shared" si="5"/>
        <v>3183.6499999999996</v>
      </c>
      <c r="AD31" s="586"/>
      <c r="AE31" s="513">
        <f>+SUMIF(WRM!$C$7:$C$128,$D31,WRM!$AD$7:$AD$128)</f>
        <v>1053.6999999999998</v>
      </c>
      <c r="AF31" s="586"/>
      <c r="AG31" s="586">
        <f t="shared" si="6"/>
        <v>4237.3499999999995</v>
      </c>
      <c r="AH31" s="586"/>
      <c r="AI31" s="513">
        <f>+SUMIF(WRM!$C$7:$C$128,$D31,WRM!$AH$7:$AH$128)</f>
        <v>172.2</v>
      </c>
      <c r="AJ31" s="581"/>
      <c r="AK31" s="581">
        <f t="shared" si="7"/>
        <v>4409.5499999999993</v>
      </c>
      <c r="AL31" s="586"/>
      <c r="AM31" s="513">
        <f>+SUMIF(WRM!$C$7:$C$128,$D31,WRM!$AL$7:$AL$128)</f>
        <v>2509.2000000000007</v>
      </c>
      <c r="AN31" s="586"/>
      <c r="AO31" s="2010">
        <f t="shared" si="8"/>
        <v>3735.1000000000004</v>
      </c>
      <c r="AP31" s="581"/>
      <c r="AQ31" s="581">
        <f t="shared" si="9"/>
        <v>6918.75</v>
      </c>
      <c r="AR31" s="586"/>
      <c r="AS31" s="513">
        <f>+SUMIF(WRM!$C$7:$C$128,$D31,WRM!$AR$7:$AR$128)</f>
        <v>774.9</v>
      </c>
      <c r="AT31" s="581"/>
      <c r="AU31" s="581">
        <f t="shared" si="10"/>
        <v>7693.65</v>
      </c>
      <c r="AV31" s="586"/>
      <c r="AW31" s="513">
        <f>+SUMIF(WRM!$C$7:$C$128,$D31,WRM!$AV$7:$AV$128)</f>
        <v>0</v>
      </c>
      <c r="AX31" s="581"/>
      <c r="AY31" s="581">
        <f t="shared" si="11"/>
        <v>7693.65</v>
      </c>
      <c r="AZ31" s="586"/>
      <c r="BA31" s="513">
        <f>+SUMIF(WRM!$C$7:$C$128,$D31,WRM!$AZ$7:$AZ$128)</f>
        <v>3372.25</v>
      </c>
      <c r="BB31" s="586"/>
      <c r="BC31" s="2010">
        <f t="shared" si="12"/>
        <v>4147.1499999999996</v>
      </c>
      <c r="BD31" s="2053"/>
      <c r="BE31" s="1066">
        <f t="shared" si="13"/>
        <v>7882.25</v>
      </c>
      <c r="BF31" s="581"/>
      <c r="BG31" s="581">
        <f t="shared" si="14"/>
        <v>11065.9</v>
      </c>
      <c r="BH31" s="23"/>
      <c r="BI31" s="23"/>
      <c r="BJ31" s="23"/>
    </row>
    <row r="32" spans="3:62" x14ac:dyDescent="0.35">
      <c r="C32" s="512" t="s">
        <v>16</v>
      </c>
      <c r="D32" s="1494" t="s">
        <v>991</v>
      </c>
      <c r="E32" s="3996"/>
      <c r="F32" s="512"/>
      <c r="G32" s="513">
        <f>+SUMIF(WRM!$C$7:$C$128,$D32,WRM!$F$7:$F$128)</f>
        <v>0</v>
      </c>
      <c r="H32" s="513"/>
      <c r="I32" s="513">
        <f>+SUMIF(WRM!$C$7:$C$128,$D32,WRM!$H$7:$H$128)</f>
        <v>0</v>
      </c>
      <c r="J32" s="581"/>
      <c r="K32" s="581">
        <f t="shared" si="0"/>
        <v>0</v>
      </c>
      <c r="L32" s="513"/>
      <c r="M32" s="513">
        <f>+SUMIF(WRM!$C$7:$C$128,$D32,WRM!$L$7:$L$128)</f>
        <v>1814.25</v>
      </c>
      <c r="N32" s="586"/>
      <c r="O32" s="586">
        <f t="shared" si="1"/>
        <v>1814.25</v>
      </c>
      <c r="P32" s="513"/>
      <c r="Q32" s="513">
        <f>+SUMIF(WRM!$C$7:$C$128,$D32,WRM!P$7:$P$128)</f>
        <v>1137.75</v>
      </c>
      <c r="R32" s="586"/>
      <c r="S32" s="586">
        <f t="shared" si="30"/>
        <v>2952</v>
      </c>
      <c r="T32" s="513"/>
      <c r="U32" s="513">
        <f>+SUMIF(WRM!$C$7:$C$128,$D32,WRM!$T$7:T$128)</f>
        <v>2359.5500000000002</v>
      </c>
      <c r="V32" s="586"/>
      <c r="W32" s="586">
        <f t="shared" si="3"/>
        <v>5311.55</v>
      </c>
      <c r="X32" s="586"/>
      <c r="Y32" s="513">
        <f>+SUMIF(WRM!$C$7:$C$128,$D32,WRM!$X$7:X$128)</f>
        <v>2312.3999999999996</v>
      </c>
      <c r="Z32" s="586"/>
      <c r="AA32" s="2010">
        <f t="shared" si="4"/>
        <v>5809.7</v>
      </c>
      <c r="AB32" s="2053"/>
      <c r="AC32" s="1066">
        <f t="shared" si="5"/>
        <v>7623.95</v>
      </c>
      <c r="AD32" s="586"/>
      <c r="AE32" s="513">
        <f>+SUMIF(WRM!$C$7:$C$128,$D32,WRM!$AD$7:$AD$128)</f>
        <v>1941.3499999999997</v>
      </c>
      <c r="AF32" s="586"/>
      <c r="AG32" s="586">
        <f t="shared" si="6"/>
        <v>9565.2999999999993</v>
      </c>
      <c r="AH32" s="586"/>
      <c r="AI32" s="513">
        <f>+SUMIF(WRM!$C$7:$C$128,$D32,WRM!$AH$7:$AH$128)</f>
        <v>672.39999999999986</v>
      </c>
      <c r="AJ32" s="581"/>
      <c r="AK32" s="581">
        <f t="shared" si="7"/>
        <v>10237.699999999999</v>
      </c>
      <c r="AL32" s="586"/>
      <c r="AM32" s="513">
        <f>+SUMIF(WRM!$C$7:$C$128,$D32,WRM!$AL$7:$AL$128)</f>
        <v>4637.1000000000004</v>
      </c>
      <c r="AN32" s="586"/>
      <c r="AO32" s="2010">
        <f t="shared" si="8"/>
        <v>7250.85</v>
      </c>
      <c r="AP32" s="581"/>
      <c r="AQ32" s="581">
        <f t="shared" si="9"/>
        <v>14874.8</v>
      </c>
      <c r="AR32" s="586"/>
      <c r="AS32" s="513">
        <f>+SUMIF(WRM!$C$7:$C$128,$D32,WRM!$AR$7:$AR$128)</f>
        <v>3862.2</v>
      </c>
      <c r="AT32" s="581"/>
      <c r="AU32" s="581">
        <f t="shared" si="10"/>
        <v>18737</v>
      </c>
      <c r="AV32" s="586"/>
      <c r="AW32" s="513">
        <f>+SUMIF(WRM!$C$7:$C$128,$D32,WRM!$AV$7:$AV$128)</f>
        <v>0</v>
      </c>
      <c r="AX32" s="581"/>
      <c r="AY32" s="581">
        <f t="shared" si="11"/>
        <v>18737</v>
      </c>
      <c r="AZ32" s="586"/>
      <c r="BA32" s="513">
        <f>+SUMIF(WRM!$C$7:$C$128,$D32,WRM!$AZ$7:$AZ$128)</f>
        <v>9263.9499999999989</v>
      </c>
      <c r="BB32" s="586"/>
      <c r="BC32" s="2010">
        <f t="shared" si="12"/>
        <v>13126.149999999998</v>
      </c>
      <c r="BD32" s="2053"/>
      <c r="BE32" s="1066">
        <f t="shared" si="13"/>
        <v>20377</v>
      </c>
      <c r="BF32" s="581"/>
      <c r="BG32" s="581">
        <f t="shared" si="14"/>
        <v>28000.949999999997</v>
      </c>
      <c r="BH32" s="23"/>
      <c r="BI32" s="23"/>
      <c r="BJ32" s="23"/>
    </row>
    <row r="33" spans="3:62" x14ac:dyDescent="0.35">
      <c r="C33" s="512" t="s">
        <v>16</v>
      </c>
      <c r="D33" s="1494" t="s">
        <v>1520</v>
      </c>
      <c r="E33" s="3996"/>
      <c r="F33" s="512"/>
      <c r="G33" s="513">
        <f>+SUMIF(WRM!$C$7:$C$128,$D33,WRM!$F$7:$F$128)</f>
        <v>0</v>
      </c>
      <c r="H33" s="513"/>
      <c r="I33" s="513">
        <f>+SUMIF(WRM!$C$7:$C$128,$D33,WRM!$H$7:$H$128)</f>
        <v>0</v>
      </c>
      <c r="J33" s="581"/>
      <c r="K33" s="581">
        <f t="shared" si="0"/>
        <v>0</v>
      </c>
      <c r="L33" s="513"/>
      <c r="M33" s="513">
        <f>+SUMIF(WRM!$C$7:$C$128,$D33,WRM!$L$7:$L$128)</f>
        <v>0</v>
      </c>
      <c r="N33" s="586"/>
      <c r="O33" s="586">
        <f t="shared" si="1"/>
        <v>0</v>
      </c>
      <c r="P33" s="513"/>
      <c r="Q33" s="513">
        <f>+SUMIF(WRM!$C$7:$C$128,$D33,WRM!P$7:$P$128)</f>
        <v>0</v>
      </c>
      <c r="R33" s="586"/>
      <c r="S33" s="586">
        <f t="shared" si="30"/>
        <v>0</v>
      </c>
      <c r="T33" s="513"/>
      <c r="U33" s="513">
        <f>+SUMIF(WRM!$C$7:$C$128,$D33,WRM!$T$7:T$128)</f>
        <v>0</v>
      </c>
      <c r="V33" s="586"/>
      <c r="W33" s="586">
        <f t="shared" si="3"/>
        <v>0</v>
      </c>
      <c r="X33" s="586"/>
      <c r="Y33" s="513">
        <f>+SUMIF(WRM!$C$7:$C$128,$D33,WRM!$X$7:X$128)</f>
        <v>0</v>
      </c>
      <c r="Z33" s="586"/>
      <c r="AA33" s="2010">
        <f t="shared" si="4"/>
        <v>0</v>
      </c>
      <c r="AB33" s="2053"/>
      <c r="AC33" s="1066">
        <f t="shared" si="5"/>
        <v>0</v>
      </c>
      <c r="AD33" s="586"/>
      <c r="AE33" s="513">
        <f>+SUMIF(WRM!$C$7:$C$128,$D33,WRM!$AD$7:$AD$128)</f>
        <v>0</v>
      </c>
      <c r="AF33" s="586"/>
      <c r="AG33" s="586">
        <f t="shared" si="6"/>
        <v>0</v>
      </c>
      <c r="AH33" s="586"/>
      <c r="AI33" s="513">
        <f>+SUMIF(WRM!$C$7:$C$128,$D33,WRM!$AH$7:$AH$128)</f>
        <v>0</v>
      </c>
      <c r="AJ33" s="581"/>
      <c r="AK33" s="581">
        <f t="shared" si="7"/>
        <v>0</v>
      </c>
      <c r="AL33" s="586"/>
      <c r="AM33" s="513">
        <f>+SUMIF(WRM!$C$7:$C$128,$D33,WRM!$AL$7:$AL$128)</f>
        <v>0</v>
      </c>
      <c r="AN33" s="586"/>
      <c r="AO33" s="2010">
        <f t="shared" si="8"/>
        <v>0</v>
      </c>
      <c r="AP33" s="581"/>
      <c r="AQ33" s="581">
        <f t="shared" si="9"/>
        <v>0</v>
      </c>
      <c r="AR33" s="586"/>
      <c r="AS33" s="513">
        <f>+SUMIF(WRM!$C$7:$C$128,$D33,WRM!$AR$7:$AR$128)</f>
        <v>0</v>
      </c>
      <c r="AT33" s="581"/>
      <c r="AU33" s="581">
        <f t="shared" si="10"/>
        <v>0</v>
      </c>
      <c r="AV33" s="591"/>
      <c r="AW33" s="513">
        <f>+SUMIF(WRM!$C$7:$C$128,$D33,WRM!$AV$7:$AV$128)</f>
        <v>0</v>
      </c>
      <c r="AX33" s="581"/>
      <c r="AY33" s="581">
        <f t="shared" si="11"/>
        <v>0</v>
      </c>
      <c r="AZ33" s="591"/>
      <c r="BA33" s="513">
        <f>+SUMIF(WRM!$C$7:$C$128,$D33,WRM!$AZ$7:$AZ$128)</f>
        <v>0</v>
      </c>
      <c r="BB33" s="591"/>
      <c r="BC33" s="2010">
        <f t="shared" si="12"/>
        <v>0</v>
      </c>
      <c r="BD33" s="2053"/>
      <c r="BE33" s="1066">
        <f t="shared" si="13"/>
        <v>0</v>
      </c>
      <c r="BF33" s="591"/>
      <c r="BG33" s="581">
        <f t="shared" si="14"/>
        <v>0</v>
      </c>
      <c r="BH33" s="23"/>
      <c r="BI33" s="23"/>
      <c r="BJ33" s="23"/>
    </row>
    <row r="34" spans="3:62" x14ac:dyDescent="0.35">
      <c r="C34" s="512" t="s">
        <v>16</v>
      </c>
      <c r="D34" s="1494" t="s">
        <v>1337</v>
      </c>
      <c r="E34" s="3996"/>
      <c r="F34" s="512"/>
      <c r="G34" s="513">
        <f>+SUMIF(WRM!$C$7:$C$128,$D34,WRM!$F$7:$F$128)</f>
        <v>0</v>
      </c>
      <c r="H34" s="513"/>
      <c r="I34" s="513">
        <f>+SUMIF(WRM!$C$7:$C$128,$D34,WRM!$H$7:$H$128)</f>
        <v>0</v>
      </c>
      <c r="J34" s="581"/>
      <c r="K34" s="581">
        <f t="shared" si="0"/>
        <v>0</v>
      </c>
      <c r="L34" s="513"/>
      <c r="M34" s="513">
        <f>+SUMIF(WRM!$C$7:$C$128,$D34,WRM!$L$7:$L$128)</f>
        <v>0</v>
      </c>
      <c r="N34" s="586"/>
      <c r="O34" s="586">
        <f t="shared" si="1"/>
        <v>0</v>
      </c>
      <c r="P34" s="513"/>
      <c r="Q34" s="513">
        <f>+SUMIF(WRM!$C$7:$C$128,$D34,WRM!P$7:$P$128)</f>
        <v>0</v>
      </c>
      <c r="R34" s="586"/>
      <c r="S34" s="586">
        <f t="shared" si="30"/>
        <v>0</v>
      </c>
      <c r="T34" s="513"/>
      <c r="U34" s="513">
        <f>+SUMIF(WRM!$C$7:$C$128,$D34,WRM!$T$7:T$128)</f>
        <v>0</v>
      </c>
      <c r="V34" s="586"/>
      <c r="W34" s="586">
        <f t="shared" si="3"/>
        <v>0</v>
      </c>
      <c r="X34" s="586"/>
      <c r="Y34" s="513">
        <f>+SUMIF(WRM!$C$7:$C$128,$D34,WRM!$X$7:X$128)</f>
        <v>0</v>
      </c>
      <c r="Z34" s="586"/>
      <c r="AA34" s="2010">
        <f t="shared" si="4"/>
        <v>0</v>
      </c>
      <c r="AB34" s="2053"/>
      <c r="AC34" s="1066">
        <f t="shared" si="5"/>
        <v>0</v>
      </c>
      <c r="AD34" s="586"/>
      <c r="AE34" s="513">
        <f>+SUMIF(WRM!$C$7:$C$128,$D34,WRM!$AD$7:$AD$128)</f>
        <v>0</v>
      </c>
      <c r="AF34" s="586"/>
      <c r="AG34" s="586">
        <f t="shared" si="6"/>
        <v>0</v>
      </c>
      <c r="AH34" s="586"/>
      <c r="AI34" s="513">
        <f>+SUMIF(WRM!$C$7:$C$128,$D34,WRM!$AH$7:$AH$128)</f>
        <v>0</v>
      </c>
      <c r="AJ34" s="581"/>
      <c r="AK34" s="581">
        <f t="shared" si="7"/>
        <v>0</v>
      </c>
      <c r="AL34" s="586"/>
      <c r="AM34" s="513">
        <f>+SUMIF(WRM!$C$7:$C$128,$D34,WRM!$AL$7:$AL$128)</f>
        <v>0</v>
      </c>
      <c r="AN34" s="586"/>
      <c r="AO34" s="2010">
        <f t="shared" si="8"/>
        <v>0</v>
      </c>
      <c r="AP34" s="581"/>
      <c r="AQ34" s="581">
        <f t="shared" si="9"/>
        <v>0</v>
      </c>
      <c r="AR34" s="586"/>
      <c r="AS34" s="513">
        <f>+SUMIF(WRM!$C$7:$C$128,$D34,WRM!$AR$7:$AR$128)</f>
        <v>0</v>
      </c>
      <c r="AT34" s="581"/>
      <c r="AU34" s="581">
        <f t="shared" si="10"/>
        <v>0</v>
      </c>
      <c r="AV34" s="586"/>
      <c r="AW34" s="513">
        <f>+SUMIF(WRM!$C$7:$C$128,$D34,WRM!$AV$7:$AV$128)</f>
        <v>0</v>
      </c>
      <c r="AX34" s="581"/>
      <c r="AY34" s="581">
        <f t="shared" si="11"/>
        <v>0</v>
      </c>
      <c r="AZ34" s="586"/>
      <c r="BA34" s="513">
        <f>+SUMIF(WRM!$C$7:$C$128,$D34,WRM!$AZ$7:$AZ$128)</f>
        <v>0</v>
      </c>
      <c r="BB34" s="586"/>
      <c r="BC34" s="2010">
        <f t="shared" si="12"/>
        <v>0</v>
      </c>
      <c r="BD34" s="2053"/>
      <c r="BE34" s="1066">
        <f t="shared" si="13"/>
        <v>0</v>
      </c>
      <c r="BF34" s="586"/>
      <c r="BG34" s="581">
        <f t="shared" si="14"/>
        <v>0</v>
      </c>
      <c r="BH34" s="23"/>
      <c r="BI34" s="23"/>
      <c r="BJ34" s="23"/>
    </row>
    <row r="35" spans="3:62" x14ac:dyDescent="0.35">
      <c r="C35" s="512" t="s">
        <v>16</v>
      </c>
      <c r="D35" s="1494" t="s">
        <v>1387</v>
      </c>
      <c r="E35" s="3996"/>
      <c r="F35" s="512"/>
      <c r="G35" s="513">
        <f>+SUMIF(WRM!$C$7:$C$128,$D35,WRM!$F$7:$F$128)</f>
        <v>0</v>
      </c>
      <c r="H35" s="513"/>
      <c r="I35" s="513">
        <f>+SUMIF(WRM!$C$7:$C$128,$D35,WRM!$H$7:$H$128)</f>
        <v>0</v>
      </c>
      <c r="J35" s="581"/>
      <c r="K35" s="581">
        <f t="shared" si="0"/>
        <v>0</v>
      </c>
      <c r="L35" s="513"/>
      <c r="M35" s="513">
        <f>+SUMIF(WRM!$C$7:$C$128,$D35,WRM!$L$7:$L$128)</f>
        <v>0</v>
      </c>
      <c r="N35" s="586"/>
      <c r="O35" s="586">
        <f t="shared" si="1"/>
        <v>0</v>
      </c>
      <c r="P35" s="513"/>
      <c r="Q35" s="513">
        <f>+SUMIF(WRM!$C$7:$C$128,$D35,WRM!P$7:$P$128)</f>
        <v>0</v>
      </c>
      <c r="R35" s="586"/>
      <c r="S35" s="586">
        <f t="shared" si="30"/>
        <v>0</v>
      </c>
      <c r="T35" s="513"/>
      <c r="U35" s="513">
        <f>+SUMIF(WRM!$C$7:$C$128,$D35,WRM!$T$7:T$128)</f>
        <v>0</v>
      </c>
      <c r="V35" s="586"/>
      <c r="W35" s="586">
        <f t="shared" si="3"/>
        <v>0</v>
      </c>
      <c r="X35" s="586"/>
      <c r="Y35" s="513">
        <f>+SUMIF(WRM!$C$7:$C$128,$D35,WRM!$X$7:X$128)</f>
        <v>0</v>
      </c>
      <c r="Z35" s="586"/>
      <c r="AA35" s="2010">
        <f t="shared" si="4"/>
        <v>0</v>
      </c>
      <c r="AB35" s="2053"/>
      <c r="AC35" s="1066">
        <f t="shared" si="5"/>
        <v>0</v>
      </c>
      <c r="AD35" s="586"/>
      <c r="AE35" s="513">
        <f>+SUMIF(WRM!$C$7:$C$128,$D35,WRM!$AD$7:$AD$128)</f>
        <v>0</v>
      </c>
      <c r="AF35" s="586"/>
      <c r="AG35" s="586">
        <f t="shared" si="6"/>
        <v>0</v>
      </c>
      <c r="AH35" s="586"/>
      <c r="AI35" s="513">
        <f>+SUMIF(WRM!$C$7:$C$128,$D35,WRM!$AH$7:$AH$128)</f>
        <v>0</v>
      </c>
      <c r="AJ35" s="581"/>
      <c r="AK35" s="581">
        <f t="shared" si="7"/>
        <v>0</v>
      </c>
      <c r="AL35" s="586"/>
      <c r="AM35" s="513">
        <f>+SUMIF(WRM!$C$7:$C$128,$D35,WRM!$AL$7:$AL$128)</f>
        <v>0</v>
      </c>
      <c r="AN35" s="586"/>
      <c r="AO35" s="2010">
        <f t="shared" si="8"/>
        <v>0</v>
      </c>
      <c r="AP35" s="581"/>
      <c r="AQ35" s="581">
        <f t="shared" si="9"/>
        <v>0</v>
      </c>
      <c r="AR35" s="586"/>
      <c r="AS35" s="513">
        <f>+SUMIF(WRM!$C$7:$C$128,$D35,WRM!$AR$7:$AR$128)</f>
        <v>0</v>
      </c>
      <c r="AT35" s="581"/>
      <c r="AU35" s="581">
        <f t="shared" si="10"/>
        <v>0</v>
      </c>
      <c r="AV35" s="586"/>
      <c r="AW35" s="513">
        <f>+SUMIF(WRM!$C$7:$C$128,$D35,WRM!$AV$7:$AV$128)</f>
        <v>0</v>
      </c>
      <c r="AX35" s="581"/>
      <c r="AY35" s="581">
        <f t="shared" si="11"/>
        <v>0</v>
      </c>
      <c r="AZ35" s="586"/>
      <c r="BA35" s="513">
        <f>+SUMIF(WRM!$C$7:$C$128,$D35,WRM!$AZ$7:$AZ$128)</f>
        <v>0</v>
      </c>
      <c r="BB35" s="586"/>
      <c r="BC35" s="2010">
        <f t="shared" si="12"/>
        <v>0</v>
      </c>
      <c r="BD35" s="2053"/>
      <c r="BE35" s="1066">
        <f t="shared" si="13"/>
        <v>0</v>
      </c>
      <c r="BF35" s="586"/>
      <c r="BG35" s="581">
        <f t="shared" si="14"/>
        <v>0</v>
      </c>
      <c r="BH35" s="23"/>
      <c r="BI35" s="23"/>
      <c r="BJ35" s="23"/>
    </row>
    <row r="36" spans="3:62" x14ac:dyDescent="0.35">
      <c r="C36" s="512" t="s">
        <v>16</v>
      </c>
      <c r="D36" s="1494" t="s">
        <v>1443</v>
      </c>
      <c r="E36" s="3996"/>
      <c r="F36" s="512"/>
      <c r="G36" s="513">
        <f>+SUMIF(WRM!$C$7:$C$128,$D36,WRM!$F$7:$F$128)</f>
        <v>0</v>
      </c>
      <c r="H36" s="513"/>
      <c r="I36" s="513">
        <f>+SUMIF(WRM!$C$7:$C$128,$D36,WRM!$H$7:$H$128)</f>
        <v>0</v>
      </c>
      <c r="J36" s="581"/>
      <c r="K36" s="581">
        <f t="shared" si="0"/>
        <v>0</v>
      </c>
      <c r="L36" s="513"/>
      <c r="M36" s="513">
        <f>+SUMIF(WRM!$C$7:$C$128,$D36,WRM!$L$7:$L$128)</f>
        <v>0</v>
      </c>
      <c r="N36" s="586"/>
      <c r="O36" s="586">
        <f t="shared" si="1"/>
        <v>0</v>
      </c>
      <c r="P36" s="513"/>
      <c r="Q36" s="513">
        <f>+SUMIF(WRM!$C$7:$C$128,$D36,WRM!P$7:$P$128)</f>
        <v>0</v>
      </c>
      <c r="R36" s="586"/>
      <c r="S36" s="586">
        <f t="shared" si="30"/>
        <v>0</v>
      </c>
      <c r="T36" s="513"/>
      <c r="U36" s="513">
        <f>+SUMIF(WRM!$C$7:$C$128,$D36,WRM!$T$7:T$128)</f>
        <v>0</v>
      </c>
      <c r="V36" s="586"/>
      <c r="W36" s="586">
        <f t="shared" si="3"/>
        <v>0</v>
      </c>
      <c r="X36" s="586"/>
      <c r="Y36" s="513">
        <f>+SUMIF(WRM!$C$7:$C$128,$D36,WRM!$X$7:X$128)</f>
        <v>0</v>
      </c>
      <c r="Z36" s="586"/>
      <c r="AA36" s="2010">
        <f t="shared" si="4"/>
        <v>0</v>
      </c>
      <c r="AB36" s="2053"/>
      <c r="AC36" s="1066">
        <f t="shared" si="5"/>
        <v>0</v>
      </c>
      <c r="AD36" s="586"/>
      <c r="AE36" s="513">
        <f>+SUMIF(WRM!$C$7:$C$128,$D36,WRM!$AD$7:$AD$128)</f>
        <v>0</v>
      </c>
      <c r="AF36" s="586"/>
      <c r="AG36" s="586">
        <f t="shared" si="6"/>
        <v>0</v>
      </c>
      <c r="AH36" s="586"/>
      <c r="AI36" s="513">
        <f>+SUMIF(WRM!$C$7:$C$128,$D36,WRM!$AH$7:$AH$128)</f>
        <v>0</v>
      </c>
      <c r="AJ36" s="581"/>
      <c r="AK36" s="581">
        <f t="shared" si="7"/>
        <v>0</v>
      </c>
      <c r="AL36" s="586"/>
      <c r="AM36" s="513">
        <f>+SUMIF(WRM!$C$7:$C$128,$D36,WRM!$AL$7:$AL$128)</f>
        <v>0</v>
      </c>
      <c r="AN36" s="586"/>
      <c r="AO36" s="2010">
        <f t="shared" si="8"/>
        <v>0</v>
      </c>
      <c r="AP36" s="581"/>
      <c r="AQ36" s="581">
        <f t="shared" si="9"/>
        <v>0</v>
      </c>
      <c r="AR36" s="586"/>
      <c r="AS36" s="513">
        <f>+SUMIF(WRM!$C$7:$C$128,$D36,WRM!$AR$7:$AR$128)</f>
        <v>0</v>
      </c>
      <c r="AT36" s="581"/>
      <c r="AU36" s="581">
        <f t="shared" si="10"/>
        <v>0</v>
      </c>
      <c r="AV36" s="586"/>
      <c r="AW36" s="513">
        <f>+SUMIF(WRM!$C$7:$C$128,$D36,WRM!$AV$7:$AV$128)</f>
        <v>0</v>
      </c>
      <c r="AX36" s="581"/>
      <c r="AY36" s="581">
        <f t="shared" si="11"/>
        <v>0</v>
      </c>
      <c r="AZ36" s="586"/>
      <c r="BA36" s="513">
        <f>+SUMIF(WRM!$C$7:$C$128,$D36,WRM!$AZ$7:$AZ$128)</f>
        <v>0</v>
      </c>
      <c r="BB36" s="586"/>
      <c r="BC36" s="2010">
        <f t="shared" si="12"/>
        <v>0</v>
      </c>
      <c r="BD36" s="2053"/>
      <c r="BE36" s="1066">
        <f t="shared" si="13"/>
        <v>0</v>
      </c>
      <c r="BF36" s="586"/>
      <c r="BG36" s="581">
        <f t="shared" si="14"/>
        <v>0</v>
      </c>
      <c r="BH36" s="23"/>
      <c r="BI36" s="23"/>
      <c r="BJ36" s="23"/>
    </row>
    <row r="37" spans="3:62" x14ac:dyDescent="0.35">
      <c r="C37" s="512" t="s">
        <v>16</v>
      </c>
      <c r="D37" s="1494" t="s">
        <v>1389</v>
      </c>
      <c r="E37" s="3996"/>
      <c r="F37" s="512"/>
      <c r="G37" s="513">
        <f>+SUMIF(WRM!$C$7:$C$128,$D37,WRM!$F$7:$F$128)</f>
        <v>0</v>
      </c>
      <c r="H37" s="513"/>
      <c r="I37" s="513">
        <f>+SUMIF(WRM!$C$7:$C$128,$D37,WRM!$H$7:$H$128)</f>
        <v>0</v>
      </c>
      <c r="J37" s="581"/>
      <c r="K37" s="581">
        <f t="shared" si="0"/>
        <v>0</v>
      </c>
      <c r="L37" s="513"/>
      <c r="M37" s="513">
        <f>+SUMIF(WRM!$C$7:$C$128,$D37,WRM!$L$7:$L$128)</f>
        <v>0</v>
      </c>
      <c r="N37" s="586"/>
      <c r="O37" s="586">
        <f t="shared" si="1"/>
        <v>0</v>
      </c>
      <c r="P37" s="513"/>
      <c r="Q37" s="513">
        <f>+SUMIF(WRM!$C$7:$C$128,$D37,WRM!P$7:$P$128)</f>
        <v>0</v>
      </c>
      <c r="R37" s="586"/>
      <c r="S37" s="586">
        <f t="shared" si="30"/>
        <v>0</v>
      </c>
      <c r="T37" s="513"/>
      <c r="U37" s="513">
        <f>+SUMIF(WRM!$C$7:$C$128,$D37,WRM!$T$7:T$128)</f>
        <v>0</v>
      </c>
      <c r="V37" s="586"/>
      <c r="W37" s="586">
        <f t="shared" si="3"/>
        <v>0</v>
      </c>
      <c r="X37" s="586"/>
      <c r="Y37" s="513">
        <f>+SUMIF(WRM!$C$7:$C$128,$D37,WRM!$X$7:X$128)</f>
        <v>0</v>
      </c>
      <c r="Z37" s="586"/>
      <c r="AA37" s="2010">
        <f t="shared" si="4"/>
        <v>0</v>
      </c>
      <c r="AB37" s="2053"/>
      <c r="AC37" s="1066">
        <f t="shared" si="5"/>
        <v>0</v>
      </c>
      <c r="AD37" s="586"/>
      <c r="AE37" s="513">
        <f>+SUMIF(WRM!$C$7:$C$128,$D37,WRM!$AD$7:$AD$128)</f>
        <v>0</v>
      </c>
      <c r="AF37" s="586"/>
      <c r="AG37" s="586">
        <f t="shared" si="6"/>
        <v>0</v>
      </c>
      <c r="AH37" s="586"/>
      <c r="AI37" s="513">
        <f>+SUMIF(WRM!$C$7:$C$128,$D37,WRM!$AH$7:$AH$128)</f>
        <v>0</v>
      </c>
      <c r="AJ37" s="581"/>
      <c r="AK37" s="581">
        <f t="shared" si="7"/>
        <v>0</v>
      </c>
      <c r="AL37" s="586"/>
      <c r="AM37" s="513">
        <f>+SUMIF(WRM!$C$7:$C$128,$D37,WRM!$AL$7:$AL$128)</f>
        <v>20.5</v>
      </c>
      <c r="AN37" s="586"/>
      <c r="AO37" s="2010">
        <f t="shared" si="8"/>
        <v>20.5</v>
      </c>
      <c r="AP37" s="581"/>
      <c r="AQ37" s="581">
        <f t="shared" si="9"/>
        <v>20.5</v>
      </c>
      <c r="AR37" s="586"/>
      <c r="AS37" s="513">
        <f>+SUMIF(WRM!$C$7:$C$128,$D37,WRM!$AR$7:$AR$128)</f>
        <v>182.45</v>
      </c>
      <c r="AT37" s="581"/>
      <c r="AU37" s="581">
        <f t="shared" si="10"/>
        <v>202.95</v>
      </c>
      <c r="AV37" s="586"/>
      <c r="AW37" s="513">
        <f>+SUMIF(WRM!$C$7:$C$128,$D37,WRM!$AV$7:$AV$128)</f>
        <v>20.5</v>
      </c>
      <c r="AX37" s="581"/>
      <c r="AY37" s="581">
        <f t="shared" si="11"/>
        <v>223.45</v>
      </c>
      <c r="AZ37" s="586"/>
      <c r="BA37" s="513">
        <f>+SUMIF(WRM!$C$7:$C$128,$D37,WRM!$AZ$7:$AZ$128)</f>
        <v>137.35000000000002</v>
      </c>
      <c r="BB37" s="586"/>
      <c r="BC37" s="2010">
        <f t="shared" si="12"/>
        <v>340.3</v>
      </c>
      <c r="BD37" s="2053"/>
      <c r="BE37" s="1066">
        <f t="shared" si="13"/>
        <v>360.8</v>
      </c>
      <c r="BF37" s="586"/>
      <c r="BG37" s="581">
        <f t="shared" si="14"/>
        <v>360.8</v>
      </c>
      <c r="BH37" s="23"/>
      <c r="BI37" s="23"/>
      <c r="BJ37" s="23"/>
    </row>
    <row r="38" spans="3:62" x14ac:dyDescent="0.35">
      <c r="C38" s="6487" t="s">
        <v>921</v>
      </c>
      <c r="D38" s="6487"/>
      <c r="E38" s="3996"/>
      <c r="F38" s="590"/>
      <c r="G38" s="591">
        <f>SUM(G4:G37)</f>
        <v>41289.049999999996</v>
      </c>
      <c r="H38" s="591"/>
      <c r="I38" s="591">
        <f>SUM(I4:I37)</f>
        <v>21024.799999999999</v>
      </c>
      <c r="J38" s="591"/>
      <c r="K38" s="592">
        <f>SUM(K4:K37)</f>
        <v>62313.85</v>
      </c>
      <c r="L38" s="591"/>
      <c r="M38" s="591">
        <f>SUM(M4:M37)</f>
        <v>37452.9</v>
      </c>
      <c r="N38" s="591"/>
      <c r="O38" s="591">
        <f>SUM(O4:O37)</f>
        <v>99766.75</v>
      </c>
      <c r="P38" s="591"/>
      <c r="Q38" s="591">
        <f>SUM(Q4:Q37)</f>
        <v>44200.05</v>
      </c>
      <c r="R38" s="591"/>
      <c r="S38" s="591">
        <f>SUM(S4:S37)</f>
        <v>143966.79999999996</v>
      </c>
      <c r="T38" s="591"/>
      <c r="U38" s="591">
        <f>SUM(U4:U37)</f>
        <v>33658.950000000004</v>
      </c>
      <c r="V38" s="591"/>
      <c r="W38" s="591">
        <f>SUM(W4:W37)</f>
        <v>177625.75</v>
      </c>
      <c r="X38" s="591"/>
      <c r="Y38" s="591">
        <f>SUM(Y4:Y37)</f>
        <v>37412.5</v>
      </c>
      <c r="Z38" s="591"/>
      <c r="AA38" s="2011">
        <f>SUM(AA4:AA37)</f>
        <v>115271.50000000001</v>
      </c>
      <c r="AB38" s="2053"/>
      <c r="AC38" s="2011">
        <f t="shared" ref="AC38:AC77" si="52">O38+AA38</f>
        <v>215038.25</v>
      </c>
      <c r="AD38" s="591"/>
      <c r="AE38" s="591">
        <f>SUM(AE4:AE37)</f>
        <v>28117.8</v>
      </c>
      <c r="AF38" s="591"/>
      <c r="AG38" s="591">
        <f>SUM(AG4:AG37)</f>
        <v>243156.05000000002</v>
      </c>
      <c r="AH38" s="591"/>
      <c r="AI38" s="591">
        <f>SUM(AI4:AI37)</f>
        <v>33991.050000000003</v>
      </c>
      <c r="AJ38" s="591"/>
      <c r="AK38" s="591">
        <f>SUM(AK4:AK37)</f>
        <v>277147.09999999998</v>
      </c>
      <c r="AL38" s="591"/>
      <c r="AM38" s="591">
        <f>SUM(AM4:AM37)</f>
        <v>39526.050000000003</v>
      </c>
      <c r="AN38" s="591"/>
      <c r="AO38" s="2011">
        <f>SUM(AO4:AO37)</f>
        <v>101634.90000000001</v>
      </c>
      <c r="AP38" s="591"/>
      <c r="AQ38" s="591">
        <f>SUM(AQ4:AQ37)</f>
        <v>316673.14999999997</v>
      </c>
      <c r="AR38" s="591"/>
      <c r="AS38" s="591">
        <f>SUM(AS4:AS37)</f>
        <v>39585.500000000007</v>
      </c>
      <c r="AT38" s="591"/>
      <c r="AU38" s="591">
        <f>SUM(AU4:AU37)</f>
        <v>356258.65000000008</v>
      </c>
      <c r="AV38" s="586"/>
      <c r="AW38" s="591">
        <f>SUM(AW4:AW37)</f>
        <v>36941.000000000022</v>
      </c>
      <c r="AX38" s="591"/>
      <c r="AY38" s="591">
        <f>SUM(AY4:AY37)</f>
        <v>393199.65000000008</v>
      </c>
      <c r="AZ38" s="586"/>
      <c r="BA38" s="591">
        <f>SUM(BA4:BA37)</f>
        <v>46047.099999999991</v>
      </c>
      <c r="BB38" s="586"/>
      <c r="BC38" s="2011">
        <f>SUM(BC4:BC37)</f>
        <v>122573.6</v>
      </c>
      <c r="BD38" s="2053"/>
      <c r="BE38" s="2011">
        <f>AO38+BC38</f>
        <v>224208.5</v>
      </c>
      <c r="BF38" s="586"/>
      <c r="BG38" s="591">
        <f>SUM(BG4:BG37)</f>
        <v>439246.75000000006</v>
      </c>
      <c r="BH38" s="3464"/>
      <c r="BI38" s="23"/>
      <c r="BJ38" s="23"/>
    </row>
    <row r="39" spans="3:62" x14ac:dyDescent="0.35">
      <c r="C39" s="512" t="s">
        <v>91</v>
      </c>
      <c r="D39" s="512" t="s">
        <v>995</v>
      </c>
      <c r="E39" s="3996"/>
      <c r="F39" s="512"/>
      <c r="G39" s="513">
        <f>+SUMIF(BM!$C$7:$C$42,$D39,BM!$F$7:$F$42)</f>
        <v>0</v>
      </c>
      <c r="H39" s="513"/>
      <c r="I39" s="513">
        <f>+SUMIF(BM!$C$7:$C$42,$D39,BM!$H$7:$H$42)</f>
        <v>0</v>
      </c>
      <c r="J39" s="581"/>
      <c r="K39" s="581">
        <f t="shared" ref="K39:K77" si="53">+G39+I39</f>
        <v>0</v>
      </c>
      <c r="L39" s="513"/>
      <c r="M39" s="513">
        <f>+SUMIF(BM!$C$7:$C$42,$D39,BM!$L$7:$L$42)</f>
        <v>13893.16</v>
      </c>
      <c r="N39" s="586"/>
      <c r="O39" s="586">
        <f t="shared" ref="O39:O77" si="54">+G39+I39+M39</f>
        <v>13893.16</v>
      </c>
      <c r="P39" s="513"/>
      <c r="Q39" s="513">
        <f>+SUMIF(BM!$C$7:$C$42,$D39,BM!$P$7:$P$42)</f>
        <v>22964.860000000015</v>
      </c>
      <c r="R39" s="586"/>
      <c r="S39" s="586">
        <f t="shared" si="30"/>
        <v>36858.020000000019</v>
      </c>
      <c r="T39" s="513"/>
      <c r="U39" s="513">
        <f>+SUMIF(BM!$C$7:$C$42,$D39,BM!$T$7:$T$42)</f>
        <v>5623.75</v>
      </c>
      <c r="V39" s="586"/>
      <c r="W39" s="586">
        <f t="shared" ref="W39:W44" si="55">S39+U39</f>
        <v>42481.770000000019</v>
      </c>
      <c r="X39" s="586"/>
      <c r="Y39" s="513">
        <f>+SUMIF(BM!$C$7:$C$42,$D39,BM!$X$7:$X$42)</f>
        <v>7496.6249999999991</v>
      </c>
      <c r="Z39" s="586"/>
      <c r="AA39" s="2010">
        <f>Q39+U39+Y39</f>
        <v>36085.235000000015</v>
      </c>
      <c r="AB39" s="2053"/>
      <c r="AC39" s="1066">
        <f t="shared" si="52"/>
        <v>49978.395000000019</v>
      </c>
      <c r="AD39" s="586"/>
      <c r="AE39" s="513">
        <f>+SUMIF(BM!$C$7:$C$42,$D39,BM!$AD$7:$AD$42)</f>
        <v>1136.0549999999998</v>
      </c>
      <c r="AF39" s="586"/>
      <c r="AG39" s="586">
        <f t="shared" ref="AG39:AG44" si="56">AC39+AE39</f>
        <v>51114.450000000019</v>
      </c>
      <c r="AH39" s="586"/>
      <c r="AI39" s="513">
        <f>+SUMIF(BM!$C$7:$C$42,$D39,BM!$AH$7:$AH$42)</f>
        <v>0</v>
      </c>
      <c r="AJ39" s="586"/>
      <c r="AK39" s="581">
        <f t="shared" ref="AK39:AK44" si="57">AG39+AI39</f>
        <v>51114.450000000019</v>
      </c>
      <c r="AL39" s="586"/>
      <c r="AM39" s="513">
        <f>+SUMIF(BM!$C$7:$C$42,$D39,BM!$AL$7:$AL$42)</f>
        <v>2696.335</v>
      </c>
      <c r="AN39" s="586"/>
      <c r="AO39" s="2010">
        <f>AE39+AI39+AM39</f>
        <v>3832.39</v>
      </c>
      <c r="AP39" s="586"/>
      <c r="AQ39" s="581">
        <f t="shared" ref="AQ39:AQ44" si="58">AK39+AM39</f>
        <v>53810.785000000018</v>
      </c>
      <c r="AR39" s="586"/>
      <c r="AS39" s="513">
        <f>+SUMIF(BM!$C$7:$C$42,$D39,BM!$AR$7:$AR$42)</f>
        <v>6561.7749999999996</v>
      </c>
      <c r="AT39" s="586"/>
      <c r="AU39" s="581">
        <f t="shared" ref="AU39:AU44" si="59">AQ39+AS39</f>
        <v>60372.560000000019</v>
      </c>
      <c r="AV39" s="586"/>
      <c r="AW39" s="513">
        <f>+SUMIF(BM!$C$7:$C$42,$D39,BM!$AV$7:$AV$42)</f>
        <v>8664.6650000000009</v>
      </c>
      <c r="AX39" s="586"/>
      <c r="AY39" s="581">
        <f t="shared" ref="AY39:AY44" si="60">AU39+AW39</f>
        <v>69037.22500000002</v>
      </c>
      <c r="AZ39" s="586"/>
      <c r="BA39" s="513">
        <f>+SUMIF(BM!$C$7:$C$42,$D39,BM!$AZ$7:$AZ$42)</f>
        <v>9169.8310753426213</v>
      </c>
      <c r="BB39" s="586"/>
      <c r="BC39" s="2010">
        <f>AS39+AW39+BA39</f>
        <v>24396.271075342622</v>
      </c>
      <c r="BD39" s="2053"/>
      <c r="BE39" s="1066">
        <f t="shared" si="13"/>
        <v>28228.661075342621</v>
      </c>
      <c r="BF39" s="586"/>
      <c r="BG39" s="581">
        <f t="shared" si="14"/>
        <v>78207.05607534264</v>
      </c>
      <c r="BH39" s="23"/>
      <c r="BI39" s="23"/>
      <c r="BJ39" s="23"/>
    </row>
    <row r="40" spans="3:62" x14ac:dyDescent="0.35">
      <c r="C40" s="512" t="s">
        <v>91</v>
      </c>
      <c r="D40" s="512" t="s">
        <v>996</v>
      </c>
      <c r="E40" s="3996"/>
      <c r="F40" s="512"/>
      <c r="G40" s="513">
        <f>+SUMIF(BM!$C$7:$C$42,$D40,BM!$F$7:$F$42)</f>
        <v>37275.245000000046</v>
      </c>
      <c r="H40" s="513"/>
      <c r="I40" s="513">
        <f>+SUMIF(BM!$C$7:$C$42,$D40,BM!$H$7:$H$42)</f>
        <v>17029.465000000029</v>
      </c>
      <c r="J40" s="581"/>
      <c r="K40" s="581">
        <f t="shared" si="53"/>
        <v>54304.710000000079</v>
      </c>
      <c r="L40" s="513"/>
      <c r="M40" s="513">
        <f>+SUMIF(BM!$C$7:$C$42,$D40,BM!$L$7:$L$42)</f>
        <v>24809.215000000015</v>
      </c>
      <c r="N40" s="586"/>
      <c r="O40" s="586">
        <f t="shared" si="54"/>
        <v>79113.92500000009</v>
      </c>
      <c r="P40" s="513"/>
      <c r="Q40" s="513">
        <f>+SUMIF(BM!$C$7:$C$42,$D40,BM!$P$7:$P$42)</f>
        <v>46228.605000000076</v>
      </c>
      <c r="R40" s="586"/>
      <c r="S40" s="586">
        <f t="shared" si="30"/>
        <v>125342.53000000017</v>
      </c>
      <c r="T40" s="513"/>
      <c r="U40" s="513">
        <f>+SUMIF(BM!$C$7:$C$42,$D40,BM!$T$7:$T$42)</f>
        <v>36993.745000000017</v>
      </c>
      <c r="V40" s="586"/>
      <c r="W40" s="586">
        <f t="shared" si="55"/>
        <v>162336.2750000002</v>
      </c>
      <c r="X40" s="586"/>
      <c r="Y40" s="513">
        <f>+SUMIF(BM!$C$7:$C$42,$D40,BM!$X$7:$X$42)</f>
        <v>36854.330000000053</v>
      </c>
      <c r="Z40" s="586"/>
      <c r="AA40" s="2010">
        <f t="shared" ref="AA40:AA44" si="61">Q40+U40+Y40</f>
        <v>120076.68000000014</v>
      </c>
      <c r="AB40" s="2053"/>
      <c r="AC40" s="1066">
        <f t="shared" si="52"/>
        <v>199190.60500000021</v>
      </c>
      <c r="AD40" s="586"/>
      <c r="AE40" s="513">
        <f>+SUMIF(BM!$C$7:$C$42,$D40,BM!$AD$7:$AD$42)</f>
        <v>39236.38000000007</v>
      </c>
      <c r="AF40" s="586"/>
      <c r="AG40" s="586">
        <f t="shared" si="56"/>
        <v>238426.98500000028</v>
      </c>
      <c r="AH40" s="586"/>
      <c r="AI40" s="513">
        <f>+SUMIF(BM!$C$7:$C$42,$D40,BM!$AH$7:$AH$42)</f>
        <v>40296.170000000035</v>
      </c>
      <c r="AJ40" s="586"/>
      <c r="AK40" s="581">
        <f t="shared" si="57"/>
        <v>278723.15500000032</v>
      </c>
      <c r="AL40" s="586"/>
      <c r="AM40" s="513">
        <f>+SUMIF(BM!$C$7:$C$42,$D40,BM!$AL$7:$AL$42)</f>
        <v>42591.195000000109</v>
      </c>
      <c r="AN40" s="586"/>
      <c r="AO40" s="2010">
        <f t="shared" ref="AO40:AO44" si="62">AE40+AI40+AM40</f>
        <v>122123.74500000021</v>
      </c>
      <c r="AP40" s="586"/>
      <c r="AQ40" s="581">
        <f t="shared" si="58"/>
        <v>321314.35000000044</v>
      </c>
      <c r="AR40" s="586"/>
      <c r="AS40" s="513">
        <f>+SUMIF(BM!$C$7:$C$42,$D40,BM!$AR$7:$AR$42)</f>
        <v>48889.360000000073</v>
      </c>
      <c r="AT40" s="586"/>
      <c r="AU40" s="581">
        <f t="shared" si="59"/>
        <v>370203.71000000054</v>
      </c>
      <c r="AV40" s="591"/>
      <c r="AW40" s="513">
        <f>+SUMIF(BM!$C$7:$C$42,$D40,BM!$AV$7:$AV$42)</f>
        <v>23043.060000000005</v>
      </c>
      <c r="AX40" s="586"/>
      <c r="AY40" s="581">
        <f t="shared" si="60"/>
        <v>393246.77000000054</v>
      </c>
      <c r="AZ40" s="591"/>
      <c r="BA40" s="513">
        <f>+SUMIF(BM!$C$7:$C$42,$D40,BM!$AZ$7:$AZ$42)</f>
        <v>47438.358295731814</v>
      </c>
      <c r="BB40" s="591"/>
      <c r="BC40" s="2010">
        <f t="shared" ref="BC40:BC44" si="63">AS40+AW40+BA40</f>
        <v>119370.77829573189</v>
      </c>
      <c r="BD40" s="2053"/>
      <c r="BE40" s="1066">
        <f t="shared" si="13"/>
        <v>241494.5232957321</v>
      </c>
      <c r="BF40" s="591"/>
      <c r="BG40" s="581">
        <f t="shared" si="14"/>
        <v>440685.12829573237</v>
      </c>
      <c r="BH40" s="23"/>
      <c r="BI40" s="23"/>
      <c r="BJ40" s="23"/>
    </row>
    <row r="41" spans="3:62" x14ac:dyDescent="0.35">
      <c r="C41" s="512" t="s">
        <v>91</v>
      </c>
      <c r="D41" s="512" t="s">
        <v>1095</v>
      </c>
      <c r="E41" s="3996"/>
      <c r="F41" s="512"/>
      <c r="G41" s="513">
        <f>+SUMIF(BM!$C$7:$C$42,$D41,BM!$F$7:$F$42)</f>
        <v>34201.175000000025</v>
      </c>
      <c r="H41" s="513"/>
      <c r="I41" s="513">
        <f>+SUMIF(BM!$C$7:$C$42,$D41,BM!$H$7:$H$42)</f>
        <v>14161.400000000005</v>
      </c>
      <c r="J41" s="581"/>
      <c r="K41" s="581">
        <f t="shared" si="53"/>
        <v>48362.575000000026</v>
      </c>
      <c r="L41" s="513"/>
      <c r="M41" s="513">
        <f>+SUMIF(BM!$C$7:$C$42,$D41,BM!$L$7:$L$42)</f>
        <v>32011.095000000038</v>
      </c>
      <c r="N41" s="586"/>
      <c r="O41" s="586">
        <f t="shared" si="54"/>
        <v>80373.670000000071</v>
      </c>
      <c r="P41" s="513"/>
      <c r="Q41" s="513">
        <f>+SUMIF(BM!$C$7:$C$42,$D41,BM!$P$7:$P$42)</f>
        <v>18863.025000000012</v>
      </c>
      <c r="R41" s="586"/>
      <c r="S41" s="586">
        <f t="shared" si="30"/>
        <v>99236.69500000008</v>
      </c>
      <c r="T41" s="513"/>
      <c r="U41" s="513">
        <f>+SUMIF(BM!$C$7:$C$42,$D41,BM!$T$7:$T$42)</f>
        <v>28986.125000000029</v>
      </c>
      <c r="V41" s="586"/>
      <c r="W41" s="586">
        <f t="shared" si="55"/>
        <v>128222.82000000011</v>
      </c>
      <c r="X41" s="586"/>
      <c r="Y41" s="513">
        <f>+SUMIF(BM!$C$7:$C$42,$D41,BM!$X$7:$X$42)</f>
        <v>29188.925000000021</v>
      </c>
      <c r="Z41" s="586"/>
      <c r="AA41" s="2010">
        <f t="shared" si="61"/>
        <v>77038.075000000055</v>
      </c>
      <c r="AB41" s="2053"/>
      <c r="AC41" s="1066">
        <f t="shared" si="52"/>
        <v>157411.74500000011</v>
      </c>
      <c r="AD41" s="586"/>
      <c r="AE41" s="513">
        <f>+SUMIF(BM!$C$7:$C$42,$D41,BM!$AD$7:$AD$42)</f>
        <v>10577.840000000002</v>
      </c>
      <c r="AF41" s="586"/>
      <c r="AG41" s="586">
        <f t="shared" si="56"/>
        <v>167989.58500000011</v>
      </c>
      <c r="AH41" s="586"/>
      <c r="AI41" s="513">
        <f>+SUMIF(BM!$C$7:$C$42,$D41,BM!$AH$7:$AH$42)</f>
        <v>25310.055000000022</v>
      </c>
      <c r="AJ41" s="586"/>
      <c r="AK41" s="581">
        <f t="shared" si="57"/>
        <v>193299.64000000013</v>
      </c>
      <c r="AL41" s="586"/>
      <c r="AM41" s="513">
        <f>+SUMIF(BM!$C$7:$C$42,$D41,BM!$AL$7:$AL$42)</f>
        <v>31272.44500000004</v>
      </c>
      <c r="AN41" s="586"/>
      <c r="AO41" s="2010">
        <f t="shared" si="62"/>
        <v>67160.340000000069</v>
      </c>
      <c r="AP41" s="586"/>
      <c r="AQ41" s="581">
        <f t="shared" si="58"/>
        <v>224572.08500000017</v>
      </c>
      <c r="AR41" s="586"/>
      <c r="AS41" s="513">
        <f>+SUMIF(BM!$C$7:$C$42,$D41,BM!$AR$7:$AR$42)</f>
        <v>28699.930000000048</v>
      </c>
      <c r="AT41" s="586"/>
      <c r="AU41" s="581">
        <f t="shared" si="59"/>
        <v>253272.01500000022</v>
      </c>
      <c r="AV41" s="586"/>
      <c r="AW41" s="513">
        <f>+SUMIF(BM!$C$7:$C$42,$D41,BM!$AV$7:$AV$42)</f>
        <v>42350.595000000088</v>
      </c>
      <c r="AX41" s="586"/>
      <c r="AY41" s="581">
        <f t="shared" si="60"/>
        <v>295622.61000000034</v>
      </c>
      <c r="AZ41" s="586"/>
      <c r="BA41" s="513">
        <f>+SUMIF(BM!$C$7:$C$42,$D41,BM!$AZ$7:$AZ$42)</f>
        <v>24591.810628925559</v>
      </c>
      <c r="BB41" s="586"/>
      <c r="BC41" s="2010">
        <f t="shared" si="63"/>
        <v>95642.335628925706</v>
      </c>
      <c r="BD41" s="2053"/>
      <c r="BE41" s="1066">
        <f t="shared" si="13"/>
        <v>162802.67562892579</v>
      </c>
      <c r="BF41" s="586"/>
      <c r="BG41" s="581">
        <f t="shared" si="14"/>
        <v>320214.4206289259</v>
      </c>
      <c r="BH41" s="23"/>
      <c r="BI41" s="23"/>
      <c r="BJ41" s="23"/>
    </row>
    <row r="42" spans="3:62" x14ac:dyDescent="0.35">
      <c r="C42" s="512" t="s">
        <v>91</v>
      </c>
      <c r="D42" s="512" t="s">
        <v>1075</v>
      </c>
      <c r="E42" s="3996"/>
      <c r="F42" s="512"/>
      <c r="G42" s="513">
        <f>+SUMIF(BM!$C$7:$C$42,$D42,BM!$F$7:$F$42)</f>
        <v>0</v>
      </c>
      <c r="H42" s="513"/>
      <c r="I42" s="513">
        <f>+SUMIF(BM!$C$7:$C$42,$D42,BM!$H$7:$H$42)</f>
        <v>0</v>
      </c>
      <c r="J42" s="581"/>
      <c r="K42" s="581">
        <f t="shared" si="53"/>
        <v>0</v>
      </c>
      <c r="L42" s="513"/>
      <c r="M42" s="513">
        <f>+SUMIF(BM!$C$7:$C$42,$D42,BM!$L$7:$L$42)</f>
        <v>1015.7500000000002</v>
      </c>
      <c r="N42" s="586"/>
      <c r="O42" s="586">
        <f t="shared" si="54"/>
        <v>1015.7500000000002</v>
      </c>
      <c r="P42" s="513"/>
      <c r="Q42" s="513">
        <f>+SUMIF(BM!$C$7:$C$42,$D42,BM!$P$7:$P$42)</f>
        <v>0</v>
      </c>
      <c r="R42" s="586"/>
      <c r="S42" s="586">
        <f t="shared" si="30"/>
        <v>1015.7500000000002</v>
      </c>
      <c r="T42" s="513"/>
      <c r="U42" s="513">
        <f>+SUMIF(BM!$C$7:$C$42,$D42,BM!$T$7:$T$42)</f>
        <v>0</v>
      </c>
      <c r="V42" s="586"/>
      <c r="W42" s="586">
        <f t="shared" si="55"/>
        <v>1015.7500000000002</v>
      </c>
      <c r="X42" s="586"/>
      <c r="Y42" s="513">
        <f>+SUMIF(BM!$C$7:$C$42,$D42,BM!$X$7:$X$42)</f>
        <v>0</v>
      </c>
      <c r="Z42" s="586"/>
      <c r="AA42" s="2010">
        <f t="shared" si="61"/>
        <v>0</v>
      </c>
      <c r="AB42" s="2053"/>
      <c r="AC42" s="1066">
        <f t="shared" si="52"/>
        <v>1015.7500000000002</v>
      </c>
      <c r="AD42" s="586"/>
      <c r="AE42" s="513">
        <f>+SUMIF(BM!$C$7:$C$42,$D42,BM!$AD$7:$AD$42)</f>
        <v>0</v>
      </c>
      <c r="AF42" s="586"/>
      <c r="AG42" s="586">
        <f t="shared" si="56"/>
        <v>1015.7500000000002</v>
      </c>
      <c r="AH42" s="586"/>
      <c r="AI42" s="513">
        <f>+SUMIF(BM!$C$7:$C$42,$D42,BM!$AH$7:$AH$42)</f>
        <v>0</v>
      </c>
      <c r="AJ42" s="586"/>
      <c r="AK42" s="581">
        <f t="shared" si="57"/>
        <v>1015.7500000000002</v>
      </c>
      <c r="AL42" s="586"/>
      <c r="AM42" s="513">
        <f>+SUMIF(BM!$C$7:$C$42,$D42,BM!$AL$7:$AL$42)</f>
        <v>0</v>
      </c>
      <c r="AN42" s="586"/>
      <c r="AO42" s="2010">
        <f t="shared" si="62"/>
        <v>0</v>
      </c>
      <c r="AP42" s="586"/>
      <c r="AQ42" s="581">
        <f t="shared" si="58"/>
        <v>1015.7500000000002</v>
      </c>
      <c r="AR42" s="586"/>
      <c r="AS42" s="513">
        <f>+SUMIF(BM!$C$7:$C$42,$D42,BM!$AR$7:$AR$42)</f>
        <v>0</v>
      </c>
      <c r="AT42" s="586"/>
      <c r="AU42" s="581">
        <f t="shared" si="59"/>
        <v>1015.7500000000002</v>
      </c>
      <c r="AV42" s="586"/>
      <c r="AW42" s="513">
        <f>+SUMIF(BM!$C$7:$C$42,$D42,BM!$AV$7:$AV$42)</f>
        <v>0</v>
      </c>
      <c r="AX42" s="586"/>
      <c r="AY42" s="581">
        <f t="shared" si="60"/>
        <v>1015.7500000000002</v>
      </c>
      <c r="AZ42" s="586"/>
      <c r="BA42" s="513">
        <f>+SUMIF(BM!$C$7:$C$42,$D42,BM!$AZ$7:$AZ$42)</f>
        <v>0</v>
      </c>
      <c r="BB42" s="586"/>
      <c r="BC42" s="2010">
        <f t="shared" si="63"/>
        <v>0</v>
      </c>
      <c r="BD42" s="2053"/>
      <c r="BE42" s="1066">
        <f t="shared" si="13"/>
        <v>0</v>
      </c>
      <c r="BF42" s="586"/>
      <c r="BG42" s="581">
        <f t="shared" si="14"/>
        <v>1015.7500000000002</v>
      </c>
      <c r="BH42" s="23"/>
      <c r="BI42" s="23"/>
      <c r="BJ42" s="23"/>
    </row>
    <row r="43" spans="3:62" x14ac:dyDescent="0.35">
      <c r="C43" s="512" t="s">
        <v>91</v>
      </c>
      <c r="D43" s="512" t="s">
        <v>997</v>
      </c>
      <c r="E43" s="3996"/>
      <c r="F43" s="512"/>
      <c r="G43" s="513">
        <f>+SUMIF(BM!$C$7:$C$42,$D43,BM!$F$7:$F$42)</f>
        <v>3184.62</v>
      </c>
      <c r="H43" s="513"/>
      <c r="I43" s="513">
        <f>+SUMIF(BM!$C$7:$C$42,$D43,BM!$H$7:$H$42)</f>
        <v>2002.0549999999994</v>
      </c>
      <c r="J43" s="581"/>
      <c r="K43" s="581">
        <f t="shared" si="53"/>
        <v>5186.6749999999993</v>
      </c>
      <c r="L43" s="513"/>
      <c r="M43" s="513">
        <f>+SUMIF(BM!$C$7:$C$42,$D43,BM!$L$7:$L$42)</f>
        <v>1914.7949999999998</v>
      </c>
      <c r="N43" s="586"/>
      <c r="O43" s="586">
        <f t="shared" si="54"/>
        <v>7101.4699999999993</v>
      </c>
      <c r="P43" s="513"/>
      <c r="Q43" s="513">
        <f>+SUMIF(BM!$C$7:$C$42,$D43,BM!$P$7:$P$42)</f>
        <v>0</v>
      </c>
      <c r="R43" s="586"/>
      <c r="S43" s="586">
        <f t="shared" si="30"/>
        <v>7101.4699999999993</v>
      </c>
      <c r="T43" s="513"/>
      <c r="U43" s="513">
        <f>+SUMIF(BM!$C$7:$C$42,$D43,BM!$T$7:$T$42)</f>
        <v>4250.0749999999998</v>
      </c>
      <c r="V43" s="586"/>
      <c r="W43" s="586">
        <f t="shared" si="55"/>
        <v>11351.544999999998</v>
      </c>
      <c r="X43" s="586"/>
      <c r="Y43" s="513">
        <f>+SUMIF(BM!$C$7:$C$42,$D43,BM!$X$7:$X$42)</f>
        <v>2779.1549999999997</v>
      </c>
      <c r="Z43" s="586"/>
      <c r="AA43" s="2010">
        <f t="shared" si="61"/>
        <v>7029.23</v>
      </c>
      <c r="AB43" s="2053"/>
      <c r="AC43" s="1066">
        <f t="shared" si="52"/>
        <v>14130.699999999999</v>
      </c>
      <c r="AD43" s="586"/>
      <c r="AE43" s="513">
        <f>+SUMIF(BM!$C$7:$C$42,$D43,BM!$AD$7:$AD$42)</f>
        <v>0</v>
      </c>
      <c r="AF43" s="586"/>
      <c r="AG43" s="586">
        <f t="shared" si="56"/>
        <v>14130.699999999999</v>
      </c>
      <c r="AH43" s="586"/>
      <c r="AI43" s="513">
        <f>+SUMIF(BM!$C$7:$C$42,$D43,BM!$AH$7:$AH$42)</f>
        <v>4114.5399999999991</v>
      </c>
      <c r="AJ43" s="586"/>
      <c r="AK43" s="581">
        <f t="shared" si="57"/>
        <v>18245.239999999998</v>
      </c>
      <c r="AL43" s="586"/>
      <c r="AM43" s="513">
        <f>+SUMIF(BM!$C$7:$C$42,$D43,BM!$AL$7:$AL$42)</f>
        <v>5056.7899999999991</v>
      </c>
      <c r="AN43" s="586"/>
      <c r="AO43" s="2010">
        <f t="shared" si="62"/>
        <v>9171.3299999999981</v>
      </c>
      <c r="AP43" s="586"/>
      <c r="AQ43" s="581">
        <f t="shared" si="58"/>
        <v>23302.03</v>
      </c>
      <c r="AR43" s="586"/>
      <c r="AS43" s="513">
        <f>+SUMIF(BM!$C$7:$C$42,$D43,BM!$AR$7:$AR$42)</f>
        <v>1653.5350000000001</v>
      </c>
      <c r="AT43" s="586"/>
      <c r="AU43" s="581">
        <f t="shared" si="59"/>
        <v>24955.564999999999</v>
      </c>
      <c r="AV43" s="586"/>
      <c r="AW43" s="513">
        <f>+SUMIF(BM!$C$7:$C$42,$D43,BM!$AV$7:$AV$42)</f>
        <v>0</v>
      </c>
      <c r="AX43" s="586"/>
      <c r="AY43" s="581">
        <f t="shared" si="60"/>
        <v>24955.564999999999</v>
      </c>
      <c r="AZ43" s="586"/>
      <c r="BA43" s="513">
        <f>+SUMIF(BM!$C$7:$C$42,$D43,BM!$AZ$7:$AZ$42)</f>
        <v>0</v>
      </c>
      <c r="BB43" s="586"/>
      <c r="BC43" s="2010">
        <f t="shared" si="63"/>
        <v>1653.5350000000001</v>
      </c>
      <c r="BD43" s="2053"/>
      <c r="BE43" s="1066">
        <f t="shared" si="13"/>
        <v>10824.864999999998</v>
      </c>
      <c r="BF43" s="586"/>
      <c r="BG43" s="581">
        <f t="shared" si="14"/>
        <v>24955.564999999999</v>
      </c>
      <c r="BH43" s="23"/>
      <c r="BI43" s="23"/>
      <c r="BJ43" s="23"/>
    </row>
    <row r="44" spans="3:62" x14ac:dyDescent="0.35">
      <c r="C44" s="512" t="s">
        <v>91</v>
      </c>
      <c r="D44" s="512" t="s">
        <v>965</v>
      </c>
      <c r="E44" s="3996"/>
      <c r="F44" s="512"/>
      <c r="G44" s="513">
        <f>+SUMIF(BM!$C$7:$C$42,$D44,BM!$F$7:$F$42)</f>
        <v>0</v>
      </c>
      <c r="H44" s="513"/>
      <c r="I44" s="513">
        <f>+SUMIF(BM!$C$7:$C$42,$D44,BM!$H$7:$H$42)</f>
        <v>0</v>
      </c>
      <c r="J44" s="581"/>
      <c r="K44" s="581">
        <f t="shared" si="53"/>
        <v>0</v>
      </c>
      <c r="L44" s="513"/>
      <c r="M44" s="513">
        <f>+SUMIF(BM!$C$7:$C$42,$D44,BM!$L$7:$L$42)</f>
        <v>0</v>
      </c>
      <c r="N44" s="586"/>
      <c r="O44" s="586">
        <f t="shared" si="54"/>
        <v>0</v>
      </c>
      <c r="P44" s="513"/>
      <c r="Q44" s="513">
        <f>+SUMIF(BM!$C$7:$C$42,$D44,BM!$P$7:$P$42)</f>
        <v>0</v>
      </c>
      <c r="R44" s="586"/>
      <c r="S44" s="586">
        <f t="shared" si="30"/>
        <v>0</v>
      </c>
      <c r="T44" s="513"/>
      <c r="U44" s="513">
        <f>+SUMIF(BM!$C$7:$C$42,$D44,BM!$T$7:$T$42)</f>
        <v>0</v>
      </c>
      <c r="V44" s="586"/>
      <c r="W44" s="586">
        <f t="shared" si="55"/>
        <v>0</v>
      </c>
      <c r="X44" s="586"/>
      <c r="Y44" s="513">
        <f>+SUMIF(BM!$C$7:$C$42,$D44,BM!$X$7:$X$42)</f>
        <v>0</v>
      </c>
      <c r="Z44" s="586"/>
      <c r="AA44" s="2010">
        <f t="shared" si="61"/>
        <v>0</v>
      </c>
      <c r="AB44" s="2053"/>
      <c r="AC44" s="1066">
        <f t="shared" si="52"/>
        <v>0</v>
      </c>
      <c r="AD44" s="586"/>
      <c r="AE44" s="513">
        <f>+SUMIF(BM!$C$7:$C$42,$D44,BM!$AD$7:$AD$42)</f>
        <v>0</v>
      </c>
      <c r="AF44" s="586"/>
      <c r="AG44" s="586">
        <f t="shared" si="56"/>
        <v>0</v>
      </c>
      <c r="AH44" s="586"/>
      <c r="AI44" s="513">
        <f>+SUMIF(BM!$C$7:$C$42,$D44,BM!$AH$7:$AH$42)</f>
        <v>0</v>
      </c>
      <c r="AJ44" s="586"/>
      <c r="AK44" s="581">
        <f t="shared" si="57"/>
        <v>0</v>
      </c>
      <c r="AL44" s="586"/>
      <c r="AM44" s="513">
        <f>+SUMIF(BM!$C$7:$C$42,$D44,BM!$AL$7:$AL$42)</f>
        <v>0</v>
      </c>
      <c r="AN44" s="586"/>
      <c r="AO44" s="2010">
        <f t="shared" si="62"/>
        <v>0</v>
      </c>
      <c r="AP44" s="586"/>
      <c r="AQ44" s="581">
        <f t="shared" si="58"/>
        <v>0</v>
      </c>
      <c r="AR44" s="586"/>
      <c r="AS44" s="513">
        <f>+SUMIF(BM!$C$7:$C$42,$D44,BM!$AR$7:$AR$42)</f>
        <v>0</v>
      </c>
      <c r="AT44" s="586"/>
      <c r="AU44" s="581">
        <f t="shared" si="59"/>
        <v>0</v>
      </c>
      <c r="AV44" s="591"/>
      <c r="AW44" s="513">
        <f>+SUMIF(BM!$C$7:$C$42,$D44,BM!$AV$7:$AV$42)</f>
        <v>0</v>
      </c>
      <c r="AX44" s="586"/>
      <c r="AY44" s="581">
        <f t="shared" si="60"/>
        <v>0</v>
      </c>
      <c r="AZ44" s="591"/>
      <c r="BA44" s="513">
        <f>+SUMIF(BM!$C$7:$C$42,$D44,BM!$AZ$7:$AZ$42)</f>
        <v>0</v>
      </c>
      <c r="BB44" s="591"/>
      <c r="BC44" s="2010">
        <f t="shared" si="63"/>
        <v>0</v>
      </c>
      <c r="BD44" s="2053"/>
      <c r="BE44" s="1066">
        <f t="shared" si="13"/>
        <v>0</v>
      </c>
      <c r="BF44" s="591"/>
      <c r="BG44" s="581">
        <f t="shared" si="14"/>
        <v>0</v>
      </c>
      <c r="BH44" s="23"/>
      <c r="BI44" s="23"/>
      <c r="BJ44" s="23"/>
    </row>
    <row r="45" spans="3:62" x14ac:dyDescent="0.35">
      <c r="C45" s="6487" t="s">
        <v>922</v>
      </c>
      <c r="D45" s="6487"/>
      <c r="E45" s="3996"/>
      <c r="F45" s="590"/>
      <c r="G45" s="591">
        <f>SUM(G39:G44)</f>
        <v>74661.040000000066</v>
      </c>
      <c r="H45" s="591"/>
      <c r="I45" s="591">
        <f>SUM(I39:I44)</f>
        <v>33192.920000000035</v>
      </c>
      <c r="J45" s="591"/>
      <c r="K45" s="592">
        <f>SUM(K39:K44)</f>
        <v>107853.96000000011</v>
      </c>
      <c r="L45" s="591"/>
      <c r="M45" s="591">
        <f>SUM(M39:M44)</f>
        <v>73644.015000000058</v>
      </c>
      <c r="N45" s="591"/>
      <c r="O45" s="591">
        <f>SUM(O39:O44)</f>
        <v>181497.97500000018</v>
      </c>
      <c r="P45" s="591"/>
      <c r="Q45" s="591">
        <f>SUM(Q39:Q44)</f>
        <v>88056.490000000093</v>
      </c>
      <c r="R45" s="591"/>
      <c r="S45" s="591">
        <f>SUM(S39:S44)</f>
        <v>269554.46500000026</v>
      </c>
      <c r="T45" s="591"/>
      <c r="U45" s="591">
        <f>SUM(U39:U44)</f>
        <v>75853.695000000051</v>
      </c>
      <c r="V45" s="591"/>
      <c r="W45" s="591">
        <f>SUM(W39:W44)</f>
        <v>345408.16000000032</v>
      </c>
      <c r="X45" s="591"/>
      <c r="Y45" s="591">
        <f>SUM(Y39:Y44)</f>
        <v>76319.035000000076</v>
      </c>
      <c r="Z45" s="591"/>
      <c r="AA45" s="2011">
        <f>SUM(AA39:AA44)</f>
        <v>240229.22000000023</v>
      </c>
      <c r="AB45" s="2053"/>
      <c r="AC45" s="2011">
        <f t="shared" si="52"/>
        <v>421727.19500000041</v>
      </c>
      <c r="AD45" s="591"/>
      <c r="AE45" s="591">
        <f>SUM(AE39:AE44)</f>
        <v>50950.275000000074</v>
      </c>
      <c r="AF45" s="591"/>
      <c r="AG45" s="591">
        <f>SUM(AG39:AG44)</f>
        <v>472677.47000000038</v>
      </c>
      <c r="AH45" s="591"/>
      <c r="AI45" s="591">
        <f>SUM(AI39:AI44)</f>
        <v>69720.765000000058</v>
      </c>
      <c r="AJ45" s="591"/>
      <c r="AK45" s="591">
        <f>SUM(AK39:AK44)</f>
        <v>542398.23500000045</v>
      </c>
      <c r="AL45" s="591"/>
      <c r="AM45" s="591">
        <f>SUM(AM39:AM44)</f>
        <v>81616.765000000145</v>
      </c>
      <c r="AN45" s="591"/>
      <c r="AO45" s="2011">
        <f>SUM(AO39:AO44)</f>
        <v>202287.80500000025</v>
      </c>
      <c r="AP45" s="591"/>
      <c r="AQ45" s="591">
        <f>SUM(AQ39:AQ44)</f>
        <v>624015.0000000007</v>
      </c>
      <c r="AR45" s="591"/>
      <c r="AS45" s="591">
        <f>SUM(AS39:AS44)</f>
        <v>85804.600000000122</v>
      </c>
      <c r="AT45" s="591"/>
      <c r="AU45" s="591">
        <f>SUM(AU39:AU44)</f>
        <v>709819.60000000068</v>
      </c>
      <c r="AV45" s="586"/>
      <c r="AW45" s="591">
        <f>SUM(AW39:AW44)</f>
        <v>74058.320000000094</v>
      </c>
      <c r="AX45" s="591"/>
      <c r="AY45" s="591">
        <f>SUM(AY39:AY44)</f>
        <v>783877.92000000086</v>
      </c>
      <c r="AZ45" s="586"/>
      <c r="BA45" s="591">
        <f>SUM(BA39:BA44)</f>
        <v>81200</v>
      </c>
      <c r="BB45" s="586"/>
      <c r="BC45" s="2011">
        <f>SUM(BC39:BC44)</f>
        <v>241062.92000000022</v>
      </c>
      <c r="BD45" s="2053"/>
      <c r="BE45" s="2011">
        <f>AO45+BC45</f>
        <v>443350.72500000044</v>
      </c>
      <c r="BF45" s="586"/>
      <c r="BG45" s="591">
        <f>SUM(BG39:BG44)</f>
        <v>865077.92000000086</v>
      </c>
      <c r="BH45" s="23"/>
      <c r="BI45" s="23"/>
      <c r="BJ45" s="23"/>
    </row>
    <row r="46" spans="3:62" x14ac:dyDescent="0.35">
      <c r="C46" s="512" t="s">
        <v>109</v>
      </c>
      <c r="D46" s="512" t="s">
        <v>901</v>
      </c>
      <c r="E46" s="3996"/>
      <c r="F46" s="512"/>
      <c r="G46" s="513">
        <f>SUMIF(USM!$C$8:$C$103,$D46,USM!$G$8:$G$103)</f>
        <v>13092.567999999999</v>
      </c>
      <c r="H46" s="513"/>
      <c r="I46" s="513">
        <f>SUMIF(USM!$C$8:$C$103,$D46,USM!$I$8:$I$103)</f>
        <v>262.63400000000001</v>
      </c>
      <c r="J46" s="581"/>
      <c r="K46" s="581">
        <f t="shared" si="53"/>
        <v>13355.201999999999</v>
      </c>
      <c r="L46" s="513"/>
      <c r="M46" s="513">
        <f>SUMIF(USM!$C$8:$C$103,$D46,USM!$M$8:$M$103)</f>
        <v>15766.755000000001</v>
      </c>
      <c r="N46" s="586"/>
      <c r="O46" s="586">
        <f t="shared" si="54"/>
        <v>29121.957000000002</v>
      </c>
      <c r="P46" s="513"/>
      <c r="Q46" s="513">
        <f>SUMIF(USM!$C$8:$C$103,$D46,USM!$Q$8:$Q$103)</f>
        <v>11945.610999999999</v>
      </c>
      <c r="R46" s="586"/>
      <c r="S46" s="586">
        <f t="shared" si="30"/>
        <v>41067.567999999999</v>
      </c>
      <c r="T46" s="513"/>
      <c r="U46" s="513">
        <f>SUMIF(USM!$C$8:$C$103,$D46,USM!$U$8:$U$103)</f>
        <v>5801.0050000000001</v>
      </c>
      <c r="V46" s="586"/>
      <c r="W46" s="586">
        <f t="shared" ref="W46:W50" si="64">S46+U46</f>
        <v>46868.572999999997</v>
      </c>
      <c r="X46" s="586"/>
      <c r="Y46" s="513">
        <f>SUMIF(USM!$C$8:$C$103,$D46,USM!$Y$8:$Y$103)</f>
        <v>11476.604000000001</v>
      </c>
      <c r="Z46" s="586"/>
      <c r="AA46" s="2010">
        <f>Q46+U46+Y46</f>
        <v>29223.22</v>
      </c>
      <c r="AB46" s="2053"/>
      <c r="AC46" s="1066">
        <f t="shared" si="52"/>
        <v>58345.177000000003</v>
      </c>
      <c r="AD46" s="586"/>
      <c r="AE46" s="513">
        <f>SUMIF(USM!$C$8:$C$103,$D46,USM!$AE$8:$AE$103)</f>
        <v>5961.8090000000002</v>
      </c>
      <c r="AF46" s="586"/>
      <c r="AG46" s="586">
        <f t="shared" ref="AG46:AG50" si="65">AC46+AE46</f>
        <v>64306.986000000004</v>
      </c>
      <c r="AH46" s="586"/>
      <c r="AI46" s="513">
        <f>SUMIF(USM!$C$8:$C$103,$D46,USM!$AI$8:$AI$103)</f>
        <v>6030.4699999999993</v>
      </c>
      <c r="AJ46" s="586"/>
      <c r="AK46" s="581">
        <f t="shared" ref="AK46:AK50" si="66">AG46+AI46</f>
        <v>70337.456000000006</v>
      </c>
      <c r="AL46" s="586"/>
      <c r="AM46" s="513">
        <f>SUMIF(USM!$C$8:$C$103,$D46,USM!$AM$8:$AM$103)</f>
        <v>9293.3559999999979</v>
      </c>
      <c r="AN46" s="586"/>
      <c r="AO46" s="2010">
        <f>AE46+AI46+AM46</f>
        <v>21285.634999999995</v>
      </c>
      <c r="AP46" s="586"/>
      <c r="AQ46" s="581">
        <f t="shared" ref="AQ46:AQ50" si="67">AK46+AM46</f>
        <v>79630.812000000005</v>
      </c>
      <c r="AR46" s="586"/>
      <c r="AS46" s="513">
        <f>SUMIF(USM!$C$8:$C$103,$D46,USM!$AS$8:$AS$103)</f>
        <v>13085.248000000001</v>
      </c>
      <c r="AT46" s="586"/>
      <c r="AU46" s="581">
        <f t="shared" ref="AU46:AU50" si="68">AQ46+AS46</f>
        <v>92716.060000000012</v>
      </c>
      <c r="AV46" s="586"/>
      <c r="AW46" s="513">
        <f>SUMIF(USM!$C$8:$C$103,$D46,USM!$AW$8:$AW$103)</f>
        <v>6516.0370000000003</v>
      </c>
      <c r="AX46" s="586"/>
      <c r="AY46" s="581">
        <f t="shared" ref="AY46:AY50" si="69">AU46+AW46</f>
        <v>99232.097000000009</v>
      </c>
      <c r="AZ46" s="586"/>
      <c r="BA46" s="513">
        <f>SUMIF(USM!$C$8:$C$103,$D46,USM!$BA$8:$BA$103)</f>
        <v>10155.597999999998</v>
      </c>
      <c r="BB46" s="586"/>
      <c r="BC46" s="2010">
        <f>AS46+AW46+BA46</f>
        <v>29756.883000000002</v>
      </c>
      <c r="BD46" s="2053"/>
      <c r="BE46" s="1066">
        <f t="shared" si="13"/>
        <v>51042.517999999996</v>
      </c>
      <c r="BF46" s="586"/>
      <c r="BG46" s="581">
        <f t="shared" si="14"/>
        <v>109387.69500000001</v>
      </c>
      <c r="BH46" s="23"/>
      <c r="BI46" s="23"/>
      <c r="BJ46" s="23"/>
    </row>
    <row r="47" spans="3:62" x14ac:dyDescent="0.35">
      <c r="C47" s="3998" t="s">
        <v>109</v>
      </c>
      <c r="D47" s="3998" t="s">
        <v>1291</v>
      </c>
      <c r="E47" s="3996"/>
      <c r="F47" s="3998"/>
      <c r="G47" s="513">
        <f>SUMIF(USM!$C$8:$C$103,$D47,USM!$G$8:$G$103)</f>
        <v>2426.3939999999998</v>
      </c>
      <c r="H47" s="513"/>
      <c r="I47" s="513">
        <f>SUMIF(USM!$C$8:$C$103,$D47,USM!$I$8:$I$103)</f>
        <v>2879.5259999999994</v>
      </c>
      <c r="J47" s="581"/>
      <c r="K47" s="581">
        <f t="shared" ref="K47" si="70">+G47+I47</f>
        <v>5305.9199999999992</v>
      </c>
      <c r="L47" s="513"/>
      <c r="M47" s="513">
        <f>SUMIF(USM!$C$8:$C$103,$D47,USM!$M$8:$M$103)</f>
        <v>2518.1869999999999</v>
      </c>
      <c r="N47" s="586"/>
      <c r="O47" s="586">
        <f t="shared" ref="O47" si="71">+G47+I47+M47</f>
        <v>7824.1069999999991</v>
      </c>
      <c r="P47" s="513"/>
      <c r="Q47" s="513">
        <f>SUMIF(USM!$C$8:$C$103,$D47,USM!$Q$8:$Q$103)</f>
        <v>2855.9759999999992</v>
      </c>
      <c r="R47" s="586"/>
      <c r="S47" s="586">
        <f t="shared" ref="S47" si="72">O47+Q47</f>
        <v>10680.082999999999</v>
      </c>
      <c r="T47" s="513"/>
      <c r="U47" s="513">
        <f>SUMIF(USM!$C$8:$C$103,$D47,USM!$U$8:$U$103)</f>
        <v>1438.2529999999997</v>
      </c>
      <c r="V47" s="586"/>
      <c r="W47" s="586">
        <f t="shared" ref="W47" si="73">S47+U47</f>
        <v>12118.335999999999</v>
      </c>
      <c r="X47" s="586"/>
      <c r="Y47" s="513">
        <f>SUMIF(USM!$C$8:$C$103,$D47,USM!$Y$8:$Y$103)</f>
        <v>57.984000000000009</v>
      </c>
      <c r="Z47" s="586"/>
      <c r="AA47" s="2010">
        <f>Q47+U47+Y47</f>
        <v>4352.2129999999997</v>
      </c>
      <c r="AB47" s="2053"/>
      <c r="AC47" s="1066">
        <f t="shared" ref="AC47" si="74">O47+AA47</f>
        <v>12176.32</v>
      </c>
      <c r="AD47" s="586"/>
      <c r="AE47" s="513">
        <f>SUMIF(USM!$C$8:$C$103,$D47,USM!$AE$8:$AE$103)</f>
        <v>215.73599999999999</v>
      </c>
      <c r="AF47" s="586"/>
      <c r="AG47" s="586">
        <f t="shared" ref="AG47" si="75">AC47+AE47</f>
        <v>12392.056</v>
      </c>
      <c r="AH47" s="586"/>
      <c r="AI47" s="513">
        <f>SUMIF(USM!$C$8:$C$103,$D47,USM!$AI$8:$AI$103)</f>
        <v>2549.181</v>
      </c>
      <c r="AJ47" s="586"/>
      <c r="AK47" s="581">
        <f t="shared" ref="AK47" si="76">AG47+AI47</f>
        <v>14941.237000000001</v>
      </c>
      <c r="AL47" s="586"/>
      <c r="AM47" s="513">
        <f>SUMIF(USM!$C$8:$C$103,$D47,USM!$AM$8:$AM$103)</f>
        <v>0</v>
      </c>
      <c r="AN47" s="586"/>
      <c r="AO47" s="2010">
        <f>AE47+AI47+AM47</f>
        <v>2764.9169999999999</v>
      </c>
      <c r="AP47" s="586"/>
      <c r="AQ47" s="581">
        <f t="shared" ref="AQ47" si="77">AK47+AM47</f>
        <v>14941.237000000001</v>
      </c>
      <c r="AR47" s="586"/>
      <c r="AS47" s="513">
        <f>SUMIF(USM!$C$8:$C$103,$D47,USM!$AS$8:$AS$103)</f>
        <v>3795.9500000000007</v>
      </c>
      <c r="AT47" s="586"/>
      <c r="AU47" s="581">
        <f t="shared" ref="AU47" si="78">AQ47+AS47</f>
        <v>18737.187000000002</v>
      </c>
      <c r="AV47" s="2495"/>
      <c r="AW47" s="513">
        <f>SUMIF(USM!$C$8:$C$103,$D47,USM!$AW$8:$AW$103)</f>
        <v>0</v>
      </c>
      <c r="AX47" s="586"/>
      <c r="AY47" s="581">
        <f t="shared" si="69"/>
        <v>18737.187000000002</v>
      </c>
      <c r="AZ47" s="2495"/>
      <c r="BA47" s="513">
        <f>SUMIF(USM!$C$8:$C$103,$D47,USM!$BA$8:$BA$103)</f>
        <v>1738.6020000000001</v>
      </c>
      <c r="BB47" s="2495"/>
      <c r="BC47" s="2010">
        <f>AS47+AW47+BA47</f>
        <v>5534.5520000000006</v>
      </c>
      <c r="BD47" s="2496"/>
      <c r="BE47" s="1066">
        <f t="shared" si="13"/>
        <v>8299.469000000001</v>
      </c>
      <c r="BF47" s="2495"/>
      <c r="BG47" s="581">
        <f t="shared" si="14"/>
        <v>20475.789000000001</v>
      </c>
      <c r="BH47" s="23"/>
      <c r="BI47" s="23"/>
      <c r="BJ47" s="23"/>
    </row>
    <row r="48" spans="3:62" x14ac:dyDescent="0.35">
      <c r="C48" s="512" t="s">
        <v>109</v>
      </c>
      <c r="D48" s="512" t="s">
        <v>1537</v>
      </c>
      <c r="E48" s="3996"/>
      <c r="F48" s="512"/>
      <c r="G48" s="513">
        <f>SUMIF(USM!$C$8:$C$103,$D48,USM!$G$8:$G$103)</f>
        <v>0</v>
      </c>
      <c r="H48" s="513"/>
      <c r="I48" s="513">
        <f>SUMIF(USM!$C$8:$C$103,$D48,USM!$I$8:$I$103)</f>
        <v>0</v>
      </c>
      <c r="J48" s="581"/>
      <c r="K48" s="581">
        <f t="shared" si="53"/>
        <v>0</v>
      </c>
      <c r="L48" s="513"/>
      <c r="M48" s="513">
        <f>SUMIF(USM!$C$8:$C$103,$D48,USM!$M$8:$M$103)</f>
        <v>0</v>
      </c>
      <c r="N48" s="586"/>
      <c r="O48" s="586">
        <f t="shared" si="54"/>
        <v>0</v>
      </c>
      <c r="P48" s="513"/>
      <c r="Q48" s="513">
        <f>SUMIF(USM!$C$8:$C$103,$D48,USM!$Q$8:$Q$103)</f>
        <v>300.69599999999997</v>
      </c>
      <c r="R48" s="586"/>
      <c r="S48" s="586">
        <f t="shared" si="30"/>
        <v>300.69599999999997</v>
      </c>
      <c r="T48" s="513"/>
      <c r="U48" s="513">
        <f>SUMIF(USM!$C$8:$C$103,$D48,USM!$U$8:$U$103)</f>
        <v>792.84600000000012</v>
      </c>
      <c r="V48" s="586"/>
      <c r="W48" s="586">
        <f t="shared" si="64"/>
        <v>1093.5420000000001</v>
      </c>
      <c r="X48" s="586"/>
      <c r="Y48" s="513">
        <f>SUMIF(USM!$C$8:$C$103,$D48,USM!$Y$8:$Y$103)</f>
        <v>0</v>
      </c>
      <c r="Z48" s="586"/>
      <c r="AA48" s="2010">
        <f>Q48+U48+Y48</f>
        <v>1093.5420000000001</v>
      </c>
      <c r="AB48" s="2053"/>
      <c r="AC48" s="1066">
        <f t="shared" si="52"/>
        <v>1093.5420000000001</v>
      </c>
      <c r="AD48" s="586"/>
      <c r="AE48" s="513">
        <f>SUMIF(USM!$C$8:$C$103,$D48,USM!$AE$8:$AE$103)</f>
        <v>0</v>
      </c>
      <c r="AF48" s="586"/>
      <c r="AG48" s="586">
        <f t="shared" si="65"/>
        <v>1093.5420000000001</v>
      </c>
      <c r="AH48" s="586"/>
      <c r="AI48" s="513">
        <f>SUMIF(USM!$C$8:$C$103,$D48,USM!$AI$8:$AI$103)</f>
        <v>330.005</v>
      </c>
      <c r="AJ48" s="586"/>
      <c r="AK48" s="581">
        <f t="shared" si="66"/>
        <v>1423.547</v>
      </c>
      <c r="AL48" s="586"/>
      <c r="AM48" s="513">
        <f>SUMIF(USM!$C$8:$C$103,$D48,USM!$AM$8:$AM$103)</f>
        <v>804.02599999999995</v>
      </c>
      <c r="AN48" s="586"/>
      <c r="AO48" s="2010">
        <f t="shared" ref="AO48:AO50" si="79">AE48+AI48+AM48</f>
        <v>1134.0309999999999</v>
      </c>
      <c r="AP48" s="586"/>
      <c r="AQ48" s="581">
        <f t="shared" si="67"/>
        <v>2227.5729999999999</v>
      </c>
      <c r="AR48" s="586"/>
      <c r="AS48" s="513">
        <f>SUMIF(USM!$C$8:$C$103,$D48,USM!$AS$8:$AS$103)</f>
        <v>659.03700000000003</v>
      </c>
      <c r="AT48" s="586"/>
      <c r="AU48" s="581">
        <f t="shared" si="68"/>
        <v>2886.6099999999997</v>
      </c>
      <c r="AV48" s="586"/>
      <c r="AW48" s="513">
        <f>SUMIF(USM!$C$8:$C$103,$D48,USM!$AW$8:$AW$103)</f>
        <v>0</v>
      </c>
      <c r="AX48" s="586"/>
      <c r="AY48" s="581">
        <f t="shared" si="69"/>
        <v>2886.6099999999997</v>
      </c>
      <c r="AZ48" s="586"/>
      <c r="BA48" s="513">
        <f>SUMIF(USM!$C$8:$C$103,$D48,USM!$BA$8:$BA$103)</f>
        <v>0</v>
      </c>
      <c r="BB48" s="586"/>
      <c r="BC48" s="2010">
        <f t="shared" ref="BC48:BC50" si="80">AS48+AW48+BA48</f>
        <v>659.03700000000003</v>
      </c>
      <c r="BD48" s="2053"/>
      <c r="BE48" s="1066">
        <f t="shared" si="13"/>
        <v>1793.068</v>
      </c>
      <c r="BF48" s="586"/>
      <c r="BG48" s="581">
        <f t="shared" si="14"/>
        <v>2886.6099999999997</v>
      </c>
      <c r="BH48" s="23"/>
      <c r="BI48" s="23"/>
      <c r="BJ48" s="23"/>
    </row>
    <row r="49" spans="3:62" x14ac:dyDescent="0.35">
      <c r="C49" s="4442" t="s">
        <v>109</v>
      </c>
      <c r="D49" s="4442" t="s">
        <v>1968</v>
      </c>
      <c r="E49" s="3996"/>
      <c r="F49" s="4442"/>
      <c r="G49" s="513">
        <f>SUMIF(USM!$C$8:$C$103,$D49,USM!$G$8:$G$103)</f>
        <v>0</v>
      </c>
      <c r="H49" s="513"/>
      <c r="I49" s="513">
        <f>SUMIF(USM!$C$8:$C$103,$D49,USM!$I$8:$I$103)</f>
        <v>0</v>
      </c>
      <c r="J49" s="581"/>
      <c r="K49" s="581">
        <f t="shared" ref="K49" si="81">+G49+I49</f>
        <v>0</v>
      </c>
      <c r="L49" s="513"/>
      <c r="M49" s="513">
        <f>SUMIF(USM!$C$8:$C$103,$D49,USM!$M$8:$M$103)</f>
        <v>229.86200000000002</v>
      </c>
      <c r="N49" s="586"/>
      <c r="O49" s="586">
        <f t="shared" ref="O49" si="82">+G49+I49+M49</f>
        <v>229.86200000000002</v>
      </c>
      <c r="P49" s="513"/>
      <c r="Q49" s="513">
        <f>SUMIF(USM!$C$8:$C$103,$D49,USM!$Q$8:$Q$103)</f>
        <v>0</v>
      </c>
      <c r="R49" s="586"/>
      <c r="S49" s="586">
        <f t="shared" ref="S49" si="83">O49+Q49</f>
        <v>229.86200000000002</v>
      </c>
      <c r="T49" s="513"/>
      <c r="U49" s="513">
        <f>SUMIF(USM!$C$8:$C$103,$D49,USM!$U$8:$U$103)</f>
        <v>0</v>
      </c>
      <c r="V49" s="586"/>
      <c r="W49" s="586">
        <f t="shared" ref="W49" si="84">S49+U49</f>
        <v>229.86200000000002</v>
      </c>
      <c r="X49" s="586"/>
      <c r="Y49" s="513">
        <f>SUMIF(USM!$C$8:$C$103,$D49,USM!$Y$8:$Y$103)</f>
        <v>0</v>
      </c>
      <c r="Z49" s="586"/>
      <c r="AA49" s="2010">
        <f>Q49+U49+Y49</f>
        <v>0</v>
      </c>
      <c r="AB49" s="2053"/>
      <c r="AC49" s="1066">
        <f t="shared" ref="AC49" si="85">O49+AA49</f>
        <v>229.86200000000002</v>
      </c>
      <c r="AD49" s="586"/>
      <c r="AE49" s="513">
        <f>SUMIF(USM!$C$8:$C$103,$D49,USM!$AE$8:$AE$103)</f>
        <v>0</v>
      </c>
      <c r="AF49" s="586"/>
      <c r="AG49" s="586">
        <f t="shared" ref="AG49" si="86">AC49+AE49</f>
        <v>229.86200000000002</v>
      </c>
      <c r="AH49" s="586"/>
      <c r="AI49" s="513">
        <f>SUMIF(USM!$C$8:$C$103,$D49,USM!$AI$8:$AI$103)</f>
        <v>0</v>
      </c>
      <c r="AJ49" s="586"/>
      <c r="AK49" s="581">
        <f t="shared" ref="AK49" si="87">AG49+AI49</f>
        <v>229.86200000000002</v>
      </c>
      <c r="AL49" s="586"/>
      <c r="AM49" s="513">
        <f>SUMIF(USM!$C$8:$C$103,$D49,USM!$AM$8:$AM$103)</f>
        <v>0</v>
      </c>
      <c r="AN49" s="586"/>
      <c r="AO49" s="2010">
        <f t="shared" ref="AO49" si="88">AE49+AI49+AM49</f>
        <v>0</v>
      </c>
      <c r="AP49" s="586"/>
      <c r="AQ49" s="581">
        <f t="shared" ref="AQ49" si="89">AK49+AM49</f>
        <v>229.86200000000002</v>
      </c>
      <c r="AR49" s="586"/>
      <c r="AS49" s="513">
        <f>SUMIF(USM!$C$8:$C$103,$D49,USM!$AS$8:$AS$103)</f>
        <v>0</v>
      </c>
      <c r="AT49" s="586"/>
      <c r="AU49" s="581">
        <f t="shared" ref="AU49" si="90">AQ49+AS49</f>
        <v>229.86200000000002</v>
      </c>
      <c r="AV49" s="586"/>
      <c r="AW49" s="513">
        <f>SUMIF(USM!$C$8:$C$103,$D49,USM!$AW$8:$AW$103)</f>
        <v>0</v>
      </c>
      <c r="AX49" s="586"/>
      <c r="AY49" s="581">
        <f t="shared" ref="AY49" si="91">AU49+AW49</f>
        <v>229.86200000000002</v>
      </c>
      <c r="AZ49" s="586"/>
      <c r="BA49" s="513">
        <f>SUMIF(USM!$C$8:$C$103,$D49,USM!$BA$8:$BA$103)</f>
        <v>0</v>
      </c>
      <c r="BB49" s="586"/>
      <c r="BC49" s="2010">
        <f t="shared" ref="BC49" si="92">AS49+AW49+BA49</f>
        <v>0</v>
      </c>
      <c r="BD49" s="2053"/>
      <c r="BE49" s="1066">
        <f t="shared" ref="BE49" si="93">AO49+BC49</f>
        <v>0</v>
      </c>
      <c r="BF49" s="586"/>
      <c r="BG49" s="581">
        <f t="shared" ref="BG49" si="94">AY49+BA49</f>
        <v>229.86200000000002</v>
      </c>
      <c r="BH49" s="23"/>
      <c r="BI49" s="23"/>
      <c r="BJ49" s="23"/>
    </row>
    <row r="50" spans="3:62" x14ac:dyDescent="0.35">
      <c r="C50" s="512" t="s">
        <v>109</v>
      </c>
      <c r="D50" s="512" t="s">
        <v>1523</v>
      </c>
      <c r="E50" s="3996"/>
      <c r="F50" s="512"/>
      <c r="G50" s="513">
        <f>SUMIF(USM!$C$8:$C$103,$D50,USM!$G$8:$G$103)</f>
        <v>0</v>
      </c>
      <c r="H50" s="513"/>
      <c r="I50" s="513">
        <f>SUMIF(USM!$C$8:$C$103,$D50,USM!$I$8:$I$103)</f>
        <v>0</v>
      </c>
      <c r="J50" s="581"/>
      <c r="K50" s="581">
        <f t="shared" si="53"/>
        <v>0</v>
      </c>
      <c r="L50" s="513"/>
      <c r="M50" s="513">
        <f>SUMIF(USM!$C$8:$C$103,$D50,USM!$M$8:$M$103)</f>
        <v>700.48399999999992</v>
      </c>
      <c r="N50" s="586"/>
      <c r="O50" s="586">
        <f t="shared" si="54"/>
        <v>700.48399999999992</v>
      </c>
      <c r="P50" s="513"/>
      <c r="Q50" s="513">
        <f>SUMIF(USM!$C$8:$C$103,$D50,USM!$Q$8:$Q$103)</f>
        <v>934.69800000000009</v>
      </c>
      <c r="R50" s="586"/>
      <c r="S50" s="586">
        <f t="shared" si="30"/>
        <v>1635.182</v>
      </c>
      <c r="T50" s="513"/>
      <c r="U50" s="513">
        <f>SUMIF(USM!$C$8:$C$103,$D50,USM!$U$8:$U$103)</f>
        <v>84.19</v>
      </c>
      <c r="V50" s="586"/>
      <c r="W50" s="586">
        <f t="shared" si="64"/>
        <v>1719.3720000000001</v>
      </c>
      <c r="X50" s="586"/>
      <c r="Y50" s="513">
        <f>SUMIF(USM!$C$8:$C$103,$D50,USM!$Y$8:$Y$103)</f>
        <v>471.18099999999998</v>
      </c>
      <c r="Z50" s="586"/>
      <c r="AA50" s="2010">
        <f>Q50+U50+Y50</f>
        <v>1490.0690000000002</v>
      </c>
      <c r="AB50" s="2053"/>
      <c r="AC50" s="1066">
        <f t="shared" si="52"/>
        <v>2190.5529999999999</v>
      </c>
      <c r="AD50" s="586"/>
      <c r="AE50" s="513">
        <f>SUMIF(USM!$C$8:$C$103,$D50,USM!$AE$8:$AE$103)</f>
        <v>0</v>
      </c>
      <c r="AF50" s="586"/>
      <c r="AG50" s="586">
        <f t="shared" si="65"/>
        <v>2190.5529999999999</v>
      </c>
      <c r="AH50" s="586"/>
      <c r="AI50" s="513">
        <f>SUMIF(USM!$C$8:$C$103,$D50,USM!$AI$8:$AI$103)</f>
        <v>368.22899999999998</v>
      </c>
      <c r="AJ50" s="586"/>
      <c r="AK50" s="581">
        <f t="shared" si="66"/>
        <v>2558.7819999999997</v>
      </c>
      <c r="AL50" s="586"/>
      <c r="AM50" s="513">
        <f>SUMIF(USM!$C$8:$C$103,$D50,USM!$AM$8:$AM$103)</f>
        <v>34.414000000000001</v>
      </c>
      <c r="AN50" s="586"/>
      <c r="AO50" s="2010">
        <f t="shared" si="79"/>
        <v>402.64299999999997</v>
      </c>
      <c r="AP50" s="586"/>
      <c r="AQ50" s="581">
        <f t="shared" si="67"/>
        <v>2593.1959999999999</v>
      </c>
      <c r="AR50" s="586"/>
      <c r="AS50" s="513">
        <f>SUMIF(USM!$C$8:$C$103,$D50,USM!$AS$8:$AS$103)</f>
        <v>0</v>
      </c>
      <c r="AT50" s="586"/>
      <c r="AU50" s="581">
        <f t="shared" si="68"/>
        <v>2593.1959999999999</v>
      </c>
      <c r="AV50" s="586"/>
      <c r="AW50" s="513">
        <f>SUMIF(USM!$C$8:$C$103,$D50,USM!$AW$8:$AW$103)</f>
        <v>112.935</v>
      </c>
      <c r="AX50" s="586"/>
      <c r="AY50" s="581">
        <f t="shared" si="69"/>
        <v>2706.1309999999999</v>
      </c>
      <c r="AZ50" s="586"/>
      <c r="BA50" s="513">
        <f>SUMIF(USM!$C$8:$C$103,$D50,USM!$BA$8:$BA$103)</f>
        <v>360.86999999999995</v>
      </c>
      <c r="BB50" s="586"/>
      <c r="BC50" s="2010">
        <f t="shared" si="80"/>
        <v>473.80499999999995</v>
      </c>
      <c r="BD50" s="2053"/>
      <c r="BE50" s="1066">
        <f t="shared" si="13"/>
        <v>876.44799999999987</v>
      </c>
      <c r="BF50" s="586"/>
      <c r="BG50" s="581">
        <f t="shared" si="14"/>
        <v>3067.0009999999997</v>
      </c>
      <c r="BH50" s="23"/>
      <c r="BI50" s="23"/>
      <c r="BJ50" s="23"/>
    </row>
    <row r="51" spans="3:62" x14ac:dyDescent="0.35">
      <c r="C51" s="6487" t="s">
        <v>923</v>
      </c>
      <c r="D51" s="6487"/>
      <c r="E51" s="3996"/>
      <c r="F51" s="590"/>
      <c r="G51" s="591">
        <f>SUM(G46:G50)</f>
        <v>15518.962</v>
      </c>
      <c r="H51" s="591"/>
      <c r="I51" s="591">
        <f>SUM(I46:I50)</f>
        <v>3142.1599999999994</v>
      </c>
      <c r="J51" s="591"/>
      <c r="K51" s="592">
        <f>SUM(K46:K50)</f>
        <v>18661.121999999999</v>
      </c>
      <c r="L51" s="591"/>
      <c r="M51" s="591">
        <f>SUM(M46:M50)</f>
        <v>19215.288000000004</v>
      </c>
      <c r="N51" s="591"/>
      <c r="O51" s="591">
        <f>SUM(O46:O50)</f>
        <v>37876.409999999996</v>
      </c>
      <c r="P51" s="591"/>
      <c r="Q51" s="591">
        <f>SUM(Q46:Q50)</f>
        <v>16036.980999999998</v>
      </c>
      <c r="R51" s="591"/>
      <c r="S51" s="591">
        <f>SUM(S46:S46)</f>
        <v>41067.567999999999</v>
      </c>
      <c r="T51" s="591"/>
      <c r="U51" s="591">
        <f>SUM(U46:U50)</f>
        <v>8116.2939999999999</v>
      </c>
      <c r="V51" s="591"/>
      <c r="W51" s="591">
        <f>SUM(W46:W46)</f>
        <v>46868.572999999997</v>
      </c>
      <c r="X51" s="591"/>
      <c r="Y51" s="591">
        <f>SUM(Y46:Y50)</f>
        <v>12005.769000000002</v>
      </c>
      <c r="Z51" s="591"/>
      <c r="AA51" s="2011">
        <f>SUM(AA46:AA50)</f>
        <v>36159.044000000009</v>
      </c>
      <c r="AB51" s="2053"/>
      <c r="AC51" s="2011">
        <f>SUM(AC46:AC50)</f>
        <v>74035.453999999998</v>
      </c>
      <c r="AD51" s="591"/>
      <c r="AE51" s="591">
        <f>SUM(AE46:AE50)</f>
        <v>6177.5450000000001</v>
      </c>
      <c r="AF51" s="591"/>
      <c r="AG51" s="591">
        <f>SUM(AG46:AG46)</f>
        <v>64306.986000000004</v>
      </c>
      <c r="AH51" s="591"/>
      <c r="AI51" s="591">
        <f>SUM(AI46:AI50)</f>
        <v>9277.8849999999984</v>
      </c>
      <c r="AJ51" s="591"/>
      <c r="AK51" s="591">
        <f>SUM(AK46:AK46)</f>
        <v>70337.456000000006</v>
      </c>
      <c r="AL51" s="591"/>
      <c r="AM51" s="591">
        <f>SUM(AM46:AM50)</f>
        <v>10131.795999999998</v>
      </c>
      <c r="AN51" s="591"/>
      <c r="AO51" s="2011">
        <f>SUM(AO46:AO50)</f>
        <v>25587.225999999995</v>
      </c>
      <c r="AP51" s="591"/>
      <c r="AQ51" s="591">
        <f>SUM(AQ46:AQ46)</f>
        <v>79630.812000000005</v>
      </c>
      <c r="AR51" s="591"/>
      <c r="AS51" s="591">
        <f>SUM(AS46:AS50)</f>
        <v>17540.235000000004</v>
      </c>
      <c r="AT51" s="591"/>
      <c r="AU51" s="591">
        <f>SUM(AU46:AU50)</f>
        <v>117162.91500000001</v>
      </c>
      <c r="AV51" s="586"/>
      <c r="AW51" s="591">
        <f>SUM(AW46:AW50)</f>
        <v>6628.9720000000007</v>
      </c>
      <c r="AX51" s="591"/>
      <c r="AY51" s="591">
        <f>SUM(AY46:AY50)</f>
        <v>123791.887</v>
      </c>
      <c r="AZ51" s="586"/>
      <c r="BA51" s="591">
        <f>SUM(BA46:BA50)</f>
        <v>12255.07</v>
      </c>
      <c r="BB51" s="586"/>
      <c r="BC51" s="2011">
        <f>SUM(BC46:BC50)</f>
        <v>36424.277000000002</v>
      </c>
      <c r="BD51" s="2053"/>
      <c r="BE51" s="2011">
        <f>SUM(BE46:BE50)</f>
        <v>62011.50299999999</v>
      </c>
      <c r="BF51" s="586"/>
      <c r="BG51" s="591">
        <f>SUM(BG46:BG50)</f>
        <v>136046.95699999999</v>
      </c>
      <c r="BH51" s="1111"/>
      <c r="BI51" s="23"/>
      <c r="BJ51" s="23"/>
    </row>
    <row r="52" spans="3:62" x14ac:dyDescent="0.35">
      <c r="C52" s="512" t="s">
        <v>932</v>
      </c>
      <c r="D52" s="512" t="s">
        <v>899</v>
      </c>
      <c r="E52" s="3996"/>
      <c r="F52" s="512"/>
      <c r="G52" s="538">
        <f>SUMIF('Value added steel '!$D$55:$D$78,'Special steel '!$D52,'Value added steel '!$G$55:$G$78)</f>
        <v>0</v>
      </c>
      <c r="H52" s="538"/>
      <c r="I52" s="538">
        <f>SUMIF('Value added steel '!$D$55:$D$78,'Special steel '!$D52,'Value added steel '!$I$55:$I$78)</f>
        <v>0</v>
      </c>
      <c r="J52" s="581"/>
      <c r="K52" s="581">
        <f t="shared" si="53"/>
        <v>0</v>
      </c>
      <c r="L52" s="538"/>
      <c r="M52" s="538">
        <f>SUMIF('Value added steel '!$D$55:$D$78,'Special steel '!$D52,'Value added steel '!$M$55:$M$78)</f>
        <v>0</v>
      </c>
      <c r="N52" s="586"/>
      <c r="O52" s="586">
        <f t="shared" si="54"/>
        <v>0</v>
      </c>
      <c r="P52" s="538"/>
      <c r="Q52" s="538">
        <f>SUMIF('Value added steel '!$D$55:$D$78,'Special steel '!$D52,'Value added steel '!$Q$55:$Q$78)</f>
        <v>0</v>
      </c>
      <c r="R52" s="586"/>
      <c r="S52" s="586">
        <f t="shared" si="30"/>
        <v>0</v>
      </c>
      <c r="T52" s="538"/>
      <c r="U52" s="538">
        <f>SUMIF('Value added steel '!$D$55:$D$78,'Special steel '!$D52,'Value added steel '!$U$55:$U$78)</f>
        <v>0</v>
      </c>
      <c r="V52" s="586"/>
      <c r="W52" s="586">
        <f t="shared" ref="W52:W68" si="95">S52+U52</f>
        <v>0</v>
      </c>
      <c r="X52" s="586"/>
      <c r="Y52" s="538">
        <f>SUMIF('Value added steel '!$D$55:$D$78,'Special steel '!$D52,'Value added steel '!$Y$55:$Y$78)</f>
        <v>0</v>
      </c>
      <c r="Z52" s="586"/>
      <c r="AA52" s="2010">
        <f>Q52+U52+Y52</f>
        <v>0</v>
      </c>
      <c r="AB52" s="2053"/>
      <c r="AC52" s="1066">
        <f t="shared" si="52"/>
        <v>0</v>
      </c>
      <c r="AD52" s="586"/>
      <c r="AE52" s="538">
        <f>SUMIF('Value added steel '!$D$55:$D$78,'Special steel '!$D52,'Value added steel '!$AE$55:$AE$78)</f>
        <v>0</v>
      </c>
      <c r="AF52" s="586"/>
      <c r="AG52" s="586">
        <f t="shared" ref="AG52:AG68" si="96">AC52+AE52</f>
        <v>0</v>
      </c>
      <c r="AH52" s="586"/>
      <c r="AI52" s="538">
        <f>SUMIF('Value added steel '!$D$55:$D$78,'Special steel '!$D52,'Value added steel '!$AI$55:$AI$78)</f>
        <v>0</v>
      </c>
      <c r="AJ52" s="586"/>
      <c r="AK52" s="581">
        <f t="shared" ref="AK52:AK68" si="97">AG52+AI52</f>
        <v>0</v>
      </c>
      <c r="AL52" s="586"/>
      <c r="AM52" s="538">
        <f>SUMIF('Value added steel '!$D$55:$D$78,'Special steel '!$D52,'Value added steel '!$AM$55:$AM$78)</f>
        <v>0</v>
      </c>
      <c r="AN52" s="586"/>
      <c r="AO52" s="2010">
        <f>AE52+AI52+AM52</f>
        <v>0</v>
      </c>
      <c r="AP52" s="586"/>
      <c r="AQ52" s="581">
        <f t="shared" ref="AQ52:AQ68" si="98">AK52+AM52</f>
        <v>0</v>
      </c>
      <c r="AR52" s="586"/>
      <c r="AS52" s="538">
        <f>SUMIF('Value added steel '!$D$55:$D$78,'Special steel '!$D52,'Value added steel '!$AS$55:$AS$78)</f>
        <v>0</v>
      </c>
      <c r="AT52" s="586"/>
      <c r="AU52" s="581">
        <f t="shared" ref="AU52:AU68" si="99">AQ52+AS52</f>
        <v>0</v>
      </c>
      <c r="AV52" s="586"/>
      <c r="AW52" s="538">
        <f>SUMIF('Value added steel '!$D$55:$D$78,'Special steel '!$D52,'Value added steel '!$AW$55:$AW$78)</f>
        <v>0</v>
      </c>
      <c r="AX52" s="586"/>
      <c r="AY52" s="581">
        <f t="shared" ref="AY52:AY68" si="100">AU52+AW52</f>
        <v>0</v>
      </c>
      <c r="AZ52" s="586"/>
      <c r="BA52" s="538">
        <f>SUMIF('Value added steel '!$D$55:$D$78,'Special steel '!$D52,'Value added steel '!$BA$55:$BA$78)</f>
        <v>0</v>
      </c>
      <c r="BB52" s="586"/>
      <c r="BC52" s="2010">
        <f>AS52+AW52+BA52</f>
        <v>0</v>
      </c>
      <c r="BD52" s="2053"/>
      <c r="BE52" s="1066">
        <f t="shared" si="13"/>
        <v>0</v>
      </c>
      <c r="BF52" s="586"/>
      <c r="BG52" s="581">
        <f t="shared" si="14"/>
        <v>0</v>
      </c>
      <c r="BH52" s="23"/>
      <c r="BI52" s="23"/>
      <c r="BJ52" s="23"/>
    </row>
    <row r="53" spans="3:62" x14ac:dyDescent="0.35">
      <c r="C53" s="512" t="s">
        <v>932</v>
      </c>
      <c r="D53" s="512" t="s">
        <v>1220</v>
      </c>
      <c r="E53" s="3996"/>
      <c r="F53" s="512"/>
      <c r="G53" s="538">
        <f>SUMIF('Value added steel '!$D$55:$D$78,'Special steel '!$D53,'Value added steel '!$G$55:$G$78)</f>
        <v>0</v>
      </c>
      <c r="H53" s="538"/>
      <c r="I53" s="538">
        <f>SUMIF('Value added steel '!$D$55:$D$78,'Special steel '!$D53,'Value added steel '!$I$55:$I$78)</f>
        <v>0</v>
      </c>
      <c r="J53" s="581"/>
      <c r="K53" s="581">
        <f t="shared" si="53"/>
        <v>0</v>
      </c>
      <c r="L53" s="538"/>
      <c r="M53" s="538">
        <f>SUMIF('Value added steel '!$D$55:$D$78,'Special steel '!$D53,'Value added steel '!$M$55:$M$78)</f>
        <v>0</v>
      </c>
      <c r="N53" s="586"/>
      <c r="O53" s="586">
        <f t="shared" si="54"/>
        <v>0</v>
      </c>
      <c r="P53" s="538"/>
      <c r="Q53" s="538">
        <f>SUMIF('Value added steel '!$D$55:$D$78,'Special steel '!$D53,'Value added steel '!$Q$55:$Q$78)</f>
        <v>0</v>
      </c>
      <c r="R53" s="586"/>
      <c r="S53" s="586">
        <f t="shared" si="30"/>
        <v>0</v>
      </c>
      <c r="T53" s="538"/>
      <c r="U53" s="538">
        <f>SUMIF('Value added steel '!$D$55:$D$78,'Special steel '!$D53,'Value added steel '!$U$55:$U$78)</f>
        <v>0</v>
      </c>
      <c r="V53" s="586"/>
      <c r="W53" s="586">
        <f t="shared" si="95"/>
        <v>0</v>
      </c>
      <c r="X53" s="586"/>
      <c r="Y53" s="538">
        <f>SUMIF('Value added steel '!$D$55:$D$78,'Special steel '!$D53,'Value added steel '!$Y$55:$Y$78)</f>
        <v>0</v>
      </c>
      <c r="Z53" s="586"/>
      <c r="AA53" s="2010">
        <f t="shared" ref="AA53:AA67" si="101">Q53+U53+Y53</f>
        <v>0</v>
      </c>
      <c r="AB53" s="2053"/>
      <c r="AC53" s="1066">
        <f t="shared" ref="AC53:AC67" si="102">O53+AA53</f>
        <v>0</v>
      </c>
      <c r="AD53" s="586"/>
      <c r="AE53" s="538">
        <f>SUMIF('Value added steel '!$D$55:$D$78,'Special steel '!$D53,'Value added steel '!$AE$55:$AE$78)</f>
        <v>0</v>
      </c>
      <c r="AF53" s="586"/>
      <c r="AG53" s="586">
        <f t="shared" si="96"/>
        <v>0</v>
      </c>
      <c r="AH53" s="586"/>
      <c r="AI53" s="538">
        <f>SUMIF('Value added steel '!$D$55:$D$78,'Special steel '!$D53,'Value added steel '!$AI$55:$AI$78)</f>
        <v>0</v>
      </c>
      <c r="AJ53" s="586"/>
      <c r="AK53" s="581">
        <f t="shared" si="97"/>
        <v>0</v>
      </c>
      <c r="AL53" s="586"/>
      <c r="AM53" s="538">
        <f>SUMIF('Value added steel '!$D$55:$D$78,'Special steel '!$D53,'Value added steel '!$AM$55:$AM$78)</f>
        <v>0</v>
      </c>
      <c r="AN53" s="586"/>
      <c r="AO53" s="2010">
        <f t="shared" ref="AO53:AO68" si="103">AE53+AI53+AM53</f>
        <v>0</v>
      </c>
      <c r="AP53" s="586"/>
      <c r="AQ53" s="581">
        <f t="shared" si="98"/>
        <v>0</v>
      </c>
      <c r="AR53" s="586"/>
      <c r="AS53" s="538">
        <f>SUMIF('Value added steel '!$D$55:$D$78,'Special steel '!$D53,'Value added steel '!$AS$55:$AS$78)</f>
        <v>0</v>
      </c>
      <c r="AT53" s="586"/>
      <c r="AU53" s="581">
        <f t="shared" si="99"/>
        <v>0</v>
      </c>
      <c r="AV53" s="586"/>
      <c r="AW53" s="538">
        <f>SUMIF('Value added steel '!$D$55:$D$78,'Special steel '!$D53,'Value added steel '!$AW$55:$AW$78)</f>
        <v>0</v>
      </c>
      <c r="AX53" s="586"/>
      <c r="AY53" s="581">
        <f t="shared" si="100"/>
        <v>0</v>
      </c>
      <c r="AZ53" s="586"/>
      <c r="BA53" s="538">
        <f>SUMIF('Value added steel '!$D$55:$D$78,'Special steel '!$D53,'Value added steel '!$BA$55:$BA$78)</f>
        <v>0</v>
      </c>
      <c r="BB53" s="586"/>
      <c r="BC53" s="2010">
        <f t="shared" ref="BC53:BC68" si="104">AS53+AW53+BA53</f>
        <v>0</v>
      </c>
      <c r="BD53" s="2053"/>
      <c r="BE53" s="1066">
        <f t="shared" si="13"/>
        <v>0</v>
      </c>
      <c r="BF53" s="586"/>
      <c r="BG53" s="581">
        <f t="shared" si="14"/>
        <v>0</v>
      </c>
      <c r="BH53" s="23"/>
      <c r="BI53" s="23"/>
    </row>
    <row r="54" spans="3:62" x14ac:dyDescent="0.35">
      <c r="C54" s="2491" t="s">
        <v>932</v>
      </c>
      <c r="D54" s="2491" t="s">
        <v>1769</v>
      </c>
      <c r="E54" s="3996"/>
      <c r="F54" s="2491"/>
      <c r="G54" s="538">
        <f>SUMIF('Value added steel '!$D$55:$D$78,'Special steel '!$D54,'Value added steel '!$G$55:$G$78)</f>
        <v>0</v>
      </c>
      <c r="H54" s="538"/>
      <c r="I54" s="538">
        <f>SUMIF('Value added steel '!$D$55:$D$78,'Special steel '!$D54,'Value added steel '!$I$55:$I$78)</f>
        <v>0</v>
      </c>
      <c r="J54" s="581"/>
      <c r="K54" s="581">
        <f t="shared" ref="K54" si="105">+G54+I54</f>
        <v>0</v>
      </c>
      <c r="L54" s="538"/>
      <c r="M54" s="538">
        <f>SUMIF('Value added steel '!$D$55:$D$78,'Special steel '!$D54,'Value added steel '!$M$55:$M$78)</f>
        <v>0</v>
      </c>
      <c r="N54" s="586"/>
      <c r="O54" s="586">
        <f t="shared" si="54"/>
        <v>0</v>
      </c>
      <c r="P54" s="2381"/>
      <c r="Q54" s="538">
        <f>SUMIF('Value added steel '!$D$55:$D$78,'Special steel '!$D54,'Value added steel '!$Q$55:$Q$78)</f>
        <v>0</v>
      </c>
      <c r="R54" s="2495"/>
      <c r="S54" s="586">
        <f t="shared" si="30"/>
        <v>0</v>
      </c>
      <c r="T54" s="2381"/>
      <c r="U54" s="538">
        <f>SUMIF('Value added steel '!$D$55:$D$78,'Special steel '!$D54,'Value added steel '!$U$55:$U$78)</f>
        <v>0</v>
      </c>
      <c r="V54" s="2495"/>
      <c r="W54" s="586">
        <f t="shared" si="95"/>
        <v>0</v>
      </c>
      <c r="X54" s="2495"/>
      <c r="Y54" s="538">
        <f>SUMIF('Value added steel '!$D$55:$D$78,'Special steel '!$D54,'Value added steel '!$Y$55:$Y$78)</f>
        <v>0</v>
      </c>
      <c r="Z54" s="2495"/>
      <c r="AA54" s="2010">
        <f t="shared" si="101"/>
        <v>0</v>
      </c>
      <c r="AB54" s="2053"/>
      <c r="AC54" s="1066">
        <f t="shared" si="102"/>
        <v>0</v>
      </c>
      <c r="AD54" s="2495"/>
      <c r="AE54" s="538">
        <f>SUMIF('Value added steel '!$D$55:$D$78,'Special steel '!$D54,'Value added steel '!$AE$55:$AE$78)</f>
        <v>0</v>
      </c>
      <c r="AF54" s="2495"/>
      <c r="AG54" s="2495"/>
      <c r="AH54" s="2495"/>
      <c r="AI54" s="538">
        <f>SUMIF('Value added steel '!$D$55:$D$78,'Special steel '!$D54,'Value added steel '!$AI$55:$AI$78)</f>
        <v>0</v>
      </c>
      <c r="AJ54" s="2495"/>
      <c r="AK54" s="581">
        <f t="shared" si="97"/>
        <v>0</v>
      </c>
      <c r="AL54" s="2495"/>
      <c r="AM54" s="538">
        <f>SUMIF('Value added steel '!$D$55:$D$78,'Special steel '!$D54,'Value added steel '!$AM$55:$AM$78)</f>
        <v>0</v>
      </c>
      <c r="AN54" s="2495"/>
      <c r="AO54" s="2010">
        <f t="shared" si="103"/>
        <v>0</v>
      </c>
      <c r="AP54" s="2495"/>
      <c r="AQ54" s="581">
        <f t="shared" si="98"/>
        <v>0</v>
      </c>
      <c r="AR54" s="2495"/>
      <c r="AS54" s="538">
        <f>SUMIF('Value added steel '!$D$55:$D$78,'Special steel '!$D54,'Value added steel '!$AS$55:$AS$78)</f>
        <v>0</v>
      </c>
      <c r="AT54" s="2495"/>
      <c r="AU54" s="581">
        <f t="shared" si="99"/>
        <v>0</v>
      </c>
      <c r="AV54" s="586"/>
      <c r="AW54" s="538">
        <f>SUMIF('Value added steel '!$D$55:$D$78,'Special steel '!$D54,'Value added steel '!$AW$55:$AW$78)</f>
        <v>0</v>
      </c>
      <c r="AX54" s="2495"/>
      <c r="AY54" s="581">
        <f t="shared" si="100"/>
        <v>0</v>
      </c>
      <c r="AZ54" s="586"/>
      <c r="BA54" s="538">
        <f>SUMIF('Value added steel '!$D$55:$D$78,'Special steel '!$D54,'Value added steel '!$BA$55:$BA$78)</f>
        <v>0</v>
      </c>
      <c r="BB54" s="586"/>
      <c r="BC54" s="2010">
        <f t="shared" si="104"/>
        <v>0</v>
      </c>
      <c r="BD54" s="2053"/>
      <c r="BE54" s="1066">
        <f t="shared" si="13"/>
        <v>0</v>
      </c>
      <c r="BF54" s="586"/>
      <c r="BG54" s="581">
        <f t="shared" si="14"/>
        <v>0</v>
      </c>
      <c r="BH54" s="23"/>
      <c r="BI54" s="23"/>
    </row>
    <row r="55" spans="3:62" x14ac:dyDescent="0.35">
      <c r="C55" s="512" t="s">
        <v>932</v>
      </c>
      <c r="D55" s="512" t="s">
        <v>1058</v>
      </c>
      <c r="E55" s="3996"/>
      <c r="F55" s="512"/>
      <c r="G55" s="538">
        <f>SUMIF('Value added steel '!$D$55:$D$78,'Special steel '!$D55,'Value added steel '!$G$55:$G$78)</f>
        <v>0</v>
      </c>
      <c r="H55" s="538"/>
      <c r="I55" s="538">
        <f>SUMIF('Value added steel '!$D$55:$D$78,'Special steel '!$D55,'Value added steel '!$I$55:$I$78)</f>
        <v>0</v>
      </c>
      <c r="J55" s="581"/>
      <c r="K55" s="581">
        <f t="shared" si="53"/>
        <v>0</v>
      </c>
      <c r="L55" s="538"/>
      <c r="M55" s="538">
        <f>SUMIF('Value added steel '!$D$55:$D$78,'Special steel '!$D55,'Value added steel '!$M$55:$M$78)</f>
        <v>613</v>
      </c>
      <c r="N55" s="586"/>
      <c r="O55" s="586">
        <f t="shared" si="54"/>
        <v>613</v>
      </c>
      <c r="P55" s="538"/>
      <c r="Q55" s="538">
        <f>SUMIF('Value added steel '!$D$55:$D$78,'Special steel '!$D55,'Value added steel '!$Q$55:$Q$78)</f>
        <v>0</v>
      </c>
      <c r="R55" s="586"/>
      <c r="S55" s="586">
        <f t="shared" si="30"/>
        <v>613</v>
      </c>
      <c r="T55" s="538"/>
      <c r="U55" s="538">
        <f>SUMIF('Value added steel '!$D$55:$D$78,'Special steel '!$D55,'Value added steel '!$U$55:$U$78)</f>
        <v>0</v>
      </c>
      <c r="V55" s="586"/>
      <c r="W55" s="586">
        <f t="shared" si="95"/>
        <v>613</v>
      </c>
      <c r="X55" s="586"/>
      <c r="Y55" s="538">
        <f>SUMIF('Value added steel '!$D$55:$D$78,'Special steel '!$D55,'Value added steel '!$Y$55:$Y$78)</f>
        <v>0</v>
      </c>
      <c r="Z55" s="586"/>
      <c r="AA55" s="2010">
        <f t="shared" si="101"/>
        <v>0</v>
      </c>
      <c r="AB55" s="2053"/>
      <c r="AC55" s="1066">
        <f t="shared" si="102"/>
        <v>613</v>
      </c>
      <c r="AD55" s="586"/>
      <c r="AE55" s="538">
        <f>SUMIF('Value added steel '!$D$55:$D$78,'Special steel '!$D55,'Value added steel '!$AE$55:$AE$78)</f>
        <v>292</v>
      </c>
      <c r="AF55" s="586"/>
      <c r="AG55" s="586">
        <f t="shared" si="96"/>
        <v>905</v>
      </c>
      <c r="AH55" s="586"/>
      <c r="AI55" s="538">
        <f>SUMIF('Value added steel '!$D$55:$D$78,'Special steel '!$D55,'Value added steel '!$AI$55:$AI$78)</f>
        <v>0</v>
      </c>
      <c r="AJ55" s="586"/>
      <c r="AK55" s="581">
        <f t="shared" si="97"/>
        <v>905</v>
      </c>
      <c r="AL55" s="586"/>
      <c r="AM55" s="538">
        <f>SUMIF('Value added steel '!$D$55:$D$78,'Special steel '!$D55,'Value added steel '!$AM$55:$AM$78)</f>
        <v>153</v>
      </c>
      <c r="AN55" s="586"/>
      <c r="AO55" s="2010">
        <f t="shared" si="103"/>
        <v>445</v>
      </c>
      <c r="AP55" s="586"/>
      <c r="AQ55" s="581">
        <f t="shared" si="98"/>
        <v>1058</v>
      </c>
      <c r="AR55" s="586"/>
      <c r="AS55" s="538">
        <f>SUMIF('Value added steel '!$D$55:$D$78,'Special steel '!$D55,'Value added steel '!$AS$55:$AS$78)</f>
        <v>2353</v>
      </c>
      <c r="AT55" s="586"/>
      <c r="AU55" s="581">
        <f t="shared" si="99"/>
        <v>3411</v>
      </c>
      <c r="AV55" s="586"/>
      <c r="AW55" s="538">
        <f>SUMIF('Value added steel '!$D$55:$D$78,'Special steel '!$D55,'Value added steel '!$AW$55:$AW$78)</f>
        <v>0</v>
      </c>
      <c r="AX55" s="586"/>
      <c r="AY55" s="581">
        <f t="shared" si="100"/>
        <v>3411</v>
      </c>
      <c r="AZ55" s="586"/>
      <c r="BA55" s="538">
        <f>SUMIF('Value added steel '!$D$55:$D$78,'Special steel '!$D55,'Value added steel '!$BA$55:$BA$78)</f>
        <v>89.292000000000002</v>
      </c>
      <c r="BB55" s="586"/>
      <c r="BC55" s="2010">
        <f t="shared" si="104"/>
        <v>2442.2919999999999</v>
      </c>
      <c r="BD55" s="2053"/>
      <c r="BE55" s="1066">
        <f t="shared" si="13"/>
        <v>2887.2919999999999</v>
      </c>
      <c r="BF55" s="586"/>
      <c r="BG55" s="581">
        <f t="shared" si="14"/>
        <v>3500.2919999999999</v>
      </c>
      <c r="BH55" s="23"/>
      <c r="BI55" s="23"/>
    </row>
    <row r="56" spans="3:62" x14ac:dyDescent="0.35">
      <c r="C56" s="512" t="s">
        <v>932</v>
      </c>
      <c r="D56" s="512" t="s">
        <v>1054</v>
      </c>
      <c r="E56" s="3996"/>
      <c r="F56" s="512"/>
      <c r="G56" s="538">
        <f>SUMIF('Value added steel '!$D$55:$D$78,'Special steel '!$D56,'Value added steel '!$G$55:$G$78)</f>
        <v>0</v>
      </c>
      <c r="H56" s="538"/>
      <c r="I56" s="538">
        <f>SUMIF('Value added steel '!$D$55:$D$78,'Special steel '!$D56,'Value added steel '!$I$55:$I$78)</f>
        <v>0</v>
      </c>
      <c r="J56" s="581"/>
      <c r="K56" s="581">
        <f t="shared" si="53"/>
        <v>0</v>
      </c>
      <c r="L56" s="538"/>
      <c r="M56" s="538">
        <f>SUMIF('Value added steel '!$D$55:$D$78,'Special steel '!$D56,'Value added steel '!$M$55:$M$78)</f>
        <v>0</v>
      </c>
      <c r="N56" s="586"/>
      <c r="O56" s="586">
        <f t="shared" si="54"/>
        <v>0</v>
      </c>
      <c r="P56" s="538"/>
      <c r="Q56" s="538">
        <f>SUMIF('Value added steel '!$D$55:$D$78,'Special steel '!$D56,'Value added steel '!$Q$55:$Q$78)</f>
        <v>0</v>
      </c>
      <c r="R56" s="586"/>
      <c r="S56" s="586">
        <f t="shared" si="30"/>
        <v>0</v>
      </c>
      <c r="T56" s="538"/>
      <c r="U56" s="538">
        <f>SUMIF('Value added steel '!$D$55:$D$78,'Special steel '!$D56,'Value added steel '!$U$55:$U$78)</f>
        <v>0</v>
      </c>
      <c r="V56" s="586"/>
      <c r="W56" s="586">
        <f t="shared" si="95"/>
        <v>0</v>
      </c>
      <c r="X56" s="586"/>
      <c r="Y56" s="538">
        <f>SUMIF('Value added steel '!$D$55:$D$78,'Special steel '!$D56,'Value added steel '!$Y$55:$Y$78)</f>
        <v>0</v>
      </c>
      <c r="Z56" s="586"/>
      <c r="AA56" s="2010">
        <f t="shared" si="101"/>
        <v>0</v>
      </c>
      <c r="AB56" s="2053"/>
      <c r="AC56" s="1066">
        <f t="shared" si="102"/>
        <v>0</v>
      </c>
      <c r="AD56" s="586"/>
      <c r="AE56" s="538">
        <f>SUMIF('Value added steel '!$D$55:$D$78,'Special steel '!$D56,'Value added steel '!$AE$55:$AE$78)</f>
        <v>0</v>
      </c>
      <c r="AF56" s="586"/>
      <c r="AG56" s="586">
        <f t="shared" si="96"/>
        <v>0</v>
      </c>
      <c r="AH56" s="586"/>
      <c r="AI56" s="538">
        <f>SUMIF('Value added steel '!$D$55:$D$78,'Special steel '!$D56,'Value added steel '!$AI$55:$AI$78)</f>
        <v>0</v>
      </c>
      <c r="AJ56" s="586"/>
      <c r="AK56" s="581">
        <f t="shared" si="97"/>
        <v>0</v>
      </c>
      <c r="AL56" s="586"/>
      <c r="AM56" s="538">
        <f>SUMIF('Value added steel '!$D$55:$D$78,'Special steel '!$D56,'Value added steel '!$AM$55:$AM$78)</f>
        <v>0</v>
      </c>
      <c r="AN56" s="586"/>
      <c r="AO56" s="2010">
        <f t="shared" si="103"/>
        <v>0</v>
      </c>
      <c r="AP56" s="586"/>
      <c r="AQ56" s="581">
        <f t="shared" si="98"/>
        <v>0</v>
      </c>
      <c r="AR56" s="586"/>
      <c r="AS56" s="538">
        <f>SUMIF('Value added steel '!$D$55:$D$78,'Special steel '!$D56,'Value added steel '!$AS$55:$AS$78)</f>
        <v>0</v>
      </c>
      <c r="AT56" s="586"/>
      <c r="AU56" s="581">
        <f t="shared" si="99"/>
        <v>0</v>
      </c>
      <c r="AV56" s="586"/>
      <c r="AW56" s="538">
        <f>SUMIF('Value added steel '!$D$55:$D$78,'Special steel '!$D56,'Value added steel '!$AW$55:$AW$78)</f>
        <v>0</v>
      </c>
      <c r="AX56" s="586"/>
      <c r="AY56" s="581">
        <f t="shared" si="100"/>
        <v>0</v>
      </c>
      <c r="AZ56" s="586"/>
      <c r="BA56" s="538">
        <f>SUMIF('Value added steel '!$D$55:$D$78,'Special steel '!$D56,'Value added steel '!$BA$55:$BA$78)</f>
        <v>0</v>
      </c>
      <c r="BB56" s="586"/>
      <c r="BC56" s="2010">
        <f t="shared" si="104"/>
        <v>0</v>
      </c>
      <c r="BD56" s="2053"/>
      <c r="BE56" s="1066">
        <f t="shared" si="13"/>
        <v>0</v>
      </c>
      <c r="BF56" s="586"/>
      <c r="BG56" s="581">
        <f t="shared" si="14"/>
        <v>0</v>
      </c>
      <c r="BH56" s="23"/>
      <c r="BI56" s="23"/>
    </row>
    <row r="57" spans="3:62" x14ac:dyDescent="0.35">
      <c r="C57" s="512" t="s">
        <v>932</v>
      </c>
      <c r="D57" s="512" t="s">
        <v>1028</v>
      </c>
      <c r="E57" s="3996"/>
      <c r="F57" s="512"/>
      <c r="G57" s="538">
        <f>SUMIF('Value added steel '!$D$55:$D$78,'Special steel '!$D57,'Value added steel '!$G$55:$G$78)</f>
        <v>1424</v>
      </c>
      <c r="H57" s="538"/>
      <c r="I57" s="538">
        <f>SUMIF('Value added steel '!$D$55:$D$78,'Special steel '!$D57,'Value added steel '!$I$55:$I$78)</f>
        <v>0</v>
      </c>
      <c r="J57" s="581"/>
      <c r="K57" s="581">
        <f t="shared" si="53"/>
        <v>1424</v>
      </c>
      <c r="L57" s="538"/>
      <c r="M57" s="538">
        <f>SUMIF('Value added steel '!$D$55:$D$78,'Special steel '!$D57,'Value added steel '!$M$55:$M$78)</f>
        <v>3911</v>
      </c>
      <c r="N57" s="586"/>
      <c r="O57" s="586">
        <f t="shared" si="54"/>
        <v>5335</v>
      </c>
      <c r="P57" s="538"/>
      <c r="Q57" s="538">
        <f>SUMIF('Value added steel '!$D$55:$D$78,'Special steel '!$D57,'Value added steel '!$Q$55:$Q$78)</f>
        <v>0</v>
      </c>
      <c r="R57" s="586"/>
      <c r="S57" s="586">
        <f t="shared" si="30"/>
        <v>5335</v>
      </c>
      <c r="T57" s="538"/>
      <c r="U57" s="538">
        <f>SUMIF('Value added steel '!$D$55:$D$78,'Special steel '!$D57,'Value added steel '!$U$55:$U$78)</f>
        <v>0</v>
      </c>
      <c r="V57" s="586"/>
      <c r="W57" s="586">
        <f t="shared" si="95"/>
        <v>5335</v>
      </c>
      <c r="X57" s="586"/>
      <c r="Y57" s="538">
        <f>SUMIF('Value added steel '!$D$55:$D$78,'Special steel '!$D57,'Value added steel '!$Y$55:$Y$78)</f>
        <v>1778</v>
      </c>
      <c r="Z57" s="586"/>
      <c r="AA57" s="2010">
        <f t="shared" si="101"/>
        <v>1778</v>
      </c>
      <c r="AB57" s="2053"/>
      <c r="AC57" s="1066">
        <f t="shared" si="102"/>
        <v>7113</v>
      </c>
      <c r="AD57" s="586"/>
      <c r="AE57" s="538">
        <f>SUMIF('Value added steel '!$D$55:$D$78,'Special steel '!$D57,'Value added steel '!$AE$55:$AE$78)</f>
        <v>6209</v>
      </c>
      <c r="AF57" s="586"/>
      <c r="AG57" s="586">
        <f t="shared" si="96"/>
        <v>13322</v>
      </c>
      <c r="AH57" s="586"/>
      <c r="AI57" s="538">
        <f>SUMIF('Value added steel '!$D$55:$D$78,'Special steel '!$D57,'Value added steel '!$AI$55:$AI$78)</f>
        <v>3737.4479999999999</v>
      </c>
      <c r="AJ57" s="586"/>
      <c r="AK57" s="581">
        <f t="shared" si="97"/>
        <v>17059.448</v>
      </c>
      <c r="AL57" s="586"/>
      <c r="AM57" s="538">
        <f>SUMIF('Value added steel '!$D$55:$D$78,'Special steel '!$D57,'Value added steel '!$AM$55:$AM$78)</f>
        <v>3995</v>
      </c>
      <c r="AN57" s="586"/>
      <c r="AO57" s="2010">
        <f t="shared" si="103"/>
        <v>13941.448</v>
      </c>
      <c r="AP57" s="586"/>
      <c r="AQ57" s="581">
        <f t="shared" si="98"/>
        <v>21054.448</v>
      </c>
      <c r="AR57" s="586"/>
      <c r="AS57" s="538">
        <f>SUMIF('Value added steel '!$D$55:$D$78,'Special steel '!$D57,'Value added steel '!$AS$55:$AS$78)</f>
        <v>3115</v>
      </c>
      <c r="AT57" s="586"/>
      <c r="AU57" s="581">
        <f t="shared" si="99"/>
        <v>24169.448</v>
      </c>
      <c r="AV57" s="586"/>
      <c r="AW57" s="538">
        <f>SUMIF('Value added steel '!$D$55:$D$78,'Special steel '!$D57,'Value added steel '!$AW$55:$AW$78)</f>
        <v>1894.2660000000001</v>
      </c>
      <c r="AX57" s="586"/>
      <c r="AY57" s="581">
        <f t="shared" si="100"/>
        <v>26063.714</v>
      </c>
      <c r="AZ57" s="586"/>
      <c r="BA57" s="538">
        <f>SUMIF('Value added steel '!$D$55:$D$78,'Special steel '!$D57,'Value added steel '!$BA$55:$BA$78)</f>
        <v>4694.2079999999996</v>
      </c>
      <c r="BB57" s="586"/>
      <c r="BC57" s="2010">
        <f t="shared" si="104"/>
        <v>9703.4739999999983</v>
      </c>
      <c r="BD57" s="2053"/>
      <c r="BE57" s="1066">
        <f t="shared" si="13"/>
        <v>23644.921999999999</v>
      </c>
      <c r="BF57" s="586"/>
      <c r="BG57" s="581">
        <f t="shared" si="14"/>
        <v>30757.921999999999</v>
      </c>
      <c r="BH57" s="23"/>
      <c r="BI57" s="23"/>
    </row>
    <row r="58" spans="3:62" x14ac:dyDescent="0.35">
      <c r="C58" s="512" t="s">
        <v>932</v>
      </c>
      <c r="D58" s="512" t="s">
        <v>1556</v>
      </c>
      <c r="E58" s="3996"/>
      <c r="F58" s="512"/>
      <c r="G58" s="538">
        <f>SUMIF('Value added steel '!$D$55:$D$78,'Special steel '!$D58,'Value added steel '!$G$55:$G$78)</f>
        <v>0</v>
      </c>
      <c r="H58" s="538"/>
      <c r="I58" s="538">
        <f>SUMIF('Value added steel '!$D$55:$D$78,'Special steel '!$D58,'Value added steel '!$I$55:$I$78)</f>
        <v>0</v>
      </c>
      <c r="J58" s="581"/>
      <c r="K58" s="581">
        <f t="shared" si="53"/>
        <v>0</v>
      </c>
      <c r="L58" s="538"/>
      <c r="M58" s="538">
        <f>SUMIF('Value added steel '!$D$55:$D$78,'Special steel '!$D58,'Value added steel '!$M$55:$M$78)</f>
        <v>0</v>
      </c>
      <c r="N58" s="586"/>
      <c r="O58" s="586">
        <f t="shared" si="54"/>
        <v>0</v>
      </c>
      <c r="P58" s="538"/>
      <c r="Q58" s="538">
        <f>SUMIF('Value added steel '!$D$55:$D$78,'Special steel '!$D58,'Value added steel '!$Q$55:$Q$78)</f>
        <v>0</v>
      </c>
      <c r="R58" s="586"/>
      <c r="S58" s="586">
        <f t="shared" si="30"/>
        <v>0</v>
      </c>
      <c r="T58" s="538"/>
      <c r="U58" s="538">
        <f>SUMIF('Value added steel '!$D$55:$D$78,'Special steel '!$D58,'Value added steel '!$U$55:$U$78)</f>
        <v>0</v>
      </c>
      <c r="V58" s="586"/>
      <c r="W58" s="586">
        <f t="shared" si="95"/>
        <v>0</v>
      </c>
      <c r="X58" s="586"/>
      <c r="Y58" s="538">
        <f>SUMIF('Value added steel '!$D$55:$D$78,'Special steel '!$D58,'Value added steel '!$Y$55:$Y$78)</f>
        <v>0</v>
      </c>
      <c r="Z58" s="586"/>
      <c r="AA58" s="2010">
        <f t="shared" si="101"/>
        <v>0</v>
      </c>
      <c r="AB58" s="2053"/>
      <c r="AC58" s="1066">
        <f t="shared" si="102"/>
        <v>0</v>
      </c>
      <c r="AD58" s="586"/>
      <c r="AE58" s="538">
        <f>SUMIF('Value added steel '!$D$55:$D$78,'Special steel '!$D58,'Value added steel '!$AE$55:$AE$78)</f>
        <v>0</v>
      </c>
      <c r="AF58" s="586"/>
      <c r="AG58" s="586">
        <f t="shared" si="96"/>
        <v>0</v>
      </c>
      <c r="AH58" s="586"/>
      <c r="AI58" s="538">
        <f>SUMIF('Value added steel '!$D$55:$D$78,'Special steel '!$D58,'Value added steel '!$AI$55:$AI$78)</f>
        <v>0</v>
      </c>
      <c r="AJ58" s="586"/>
      <c r="AK58" s="581">
        <f t="shared" si="97"/>
        <v>0</v>
      </c>
      <c r="AL58" s="586"/>
      <c r="AM58" s="538">
        <f>SUMIF('Value added steel '!$D$55:$D$78,'Special steel '!$D58,'Value added steel '!$AM$55:$AM$78)</f>
        <v>0</v>
      </c>
      <c r="AN58" s="586"/>
      <c r="AO58" s="2010">
        <f t="shared" si="103"/>
        <v>0</v>
      </c>
      <c r="AP58" s="586"/>
      <c r="AQ58" s="581">
        <f t="shared" si="98"/>
        <v>0</v>
      </c>
      <c r="AR58" s="586"/>
      <c r="AS58" s="538">
        <f>SUMIF('Value added steel '!$D$55:$D$78,'Special steel '!$D58,'Value added steel '!$AS$55:$AS$78)</f>
        <v>0</v>
      </c>
      <c r="AT58" s="586"/>
      <c r="AU58" s="581">
        <f t="shared" si="99"/>
        <v>0</v>
      </c>
      <c r="AV58" s="586"/>
      <c r="AW58" s="538">
        <f>SUMIF('Value added steel '!$D$55:$D$78,'Special steel '!$D58,'Value added steel '!$AW$55:$AW$78)</f>
        <v>0</v>
      </c>
      <c r="AX58" s="586"/>
      <c r="AY58" s="581">
        <f t="shared" si="100"/>
        <v>0</v>
      </c>
      <c r="AZ58" s="586"/>
      <c r="BA58" s="538">
        <f>SUMIF('Value added steel '!$D$55:$D$78,'Special steel '!$D58,'Value added steel '!$BA$55:$BA$78)</f>
        <v>0</v>
      </c>
      <c r="BB58" s="586"/>
      <c r="BC58" s="2010">
        <f t="shared" si="104"/>
        <v>0</v>
      </c>
      <c r="BD58" s="2053"/>
      <c r="BE58" s="1066">
        <f t="shared" si="13"/>
        <v>0</v>
      </c>
      <c r="BF58" s="586"/>
      <c r="BG58" s="581">
        <f t="shared" si="14"/>
        <v>0</v>
      </c>
      <c r="BH58" s="23"/>
      <c r="BI58" s="23"/>
    </row>
    <row r="59" spans="3:62" x14ac:dyDescent="0.35">
      <c r="C59" s="512" t="s">
        <v>932</v>
      </c>
      <c r="D59" s="512" t="s">
        <v>1557</v>
      </c>
      <c r="E59" s="3996"/>
      <c r="F59" s="512"/>
      <c r="G59" s="538">
        <f>SUMIF('Value added steel '!$D$55:$D$78,'Special steel '!$D59,'Value added steel '!$G$55:$G$78)</f>
        <v>0</v>
      </c>
      <c r="H59" s="538"/>
      <c r="I59" s="538">
        <f>SUMIF('Value added steel '!$D$55:$D$78,'Special steel '!$D59,'Value added steel '!$I$55:$I$78)</f>
        <v>0</v>
      </c>
      <c r="J59" s="581"/>
      <c r="K59" s="581">
        <f t="shared" si="53"/>
        <v>0</v>
      </c>
      <c r="L59" s="538"/>
      <c r="M59" s="538">
        <f>SUMIF('Value added steel '!$D$55:$D$78,'Special steel '!$D59,'Value added steel '!$M$55:$M$78)</f>
        <v>0</v>
      </c>
      <c r="N59" s="586"/>
      <c r="O59" s="586">
        <f t="shared" si="54"/>
        <v>0</v>
      </c>
      <c r="P59" s="538"/>
      <c r="Q59" s="538">
        <f>SUMIF('Value added steel '!$D$55:$D$78,'Special steel '!$D59,'Value added steel '!$Q$55:$Q$78)</f>
        <v>0</v>
      </c>
      <c r="R59" s="586"/>
      <c r="S59" s="586">
        <f t="shared" si="30"/>
        <v>0</v>
      </c>
      <c r="T59" s="538"/>
      <c r="U59" s="538">
        <f>SUMIF('Value added steel '!$D$55:$D$78,'Special steel '!$D59,'Value added steel '!$U$55:$U$78)</f>
        <v>0</v>
      </c>
      <c r="V59" s="586"/>
      <c r="W59" s="586">
        <f t="shared" si="95"/>
        <v>0</v>
      </c>
      <c r="X59" s="586"/>
      <c r="Y59" s="538">
        <f>SUMIF('Value added steel '!$D$55:$D$78,'Special steel '!$D59,'Value added steel '!$Y$55:$Y$78)</f>
        <v>0</v>
      </c>
      <c r="Z59" s="586"/>
      <c r="AA59" s="2010">
        <f t="shared" si="101"/>
        <v>0</v>
      </c>
      <c r="AB59" s="2053"/>
      <c r="AC59" s="1066">
        <f t="shared" si="102"/>
        <v>0</v>
      </c>
      <c r="AD59" s="586"/>
      <c r="AE59" s="538">
        <f>SUMIF('Value added steel '!$D$55:$D$78,'Special steel '!$D59,'Value added steel '!$AE$55:$AE$78)</f>
        <v>0</v>
      </c>
      <c r="AF59" s="586"/>
      <c r="AG59" s="586">
        <f t="shared" si="96"/>
        <v>0</v>
      </c>
      <c r="AH59" s="586"/>
      <c r="AI59" s="538">
        <f>SUMIF('Value added steel '!$D$55:$D$78,'Special steel '!$D59,'Value added steel '!$AI$55:$AI$78)</f>
        <v>0</v>
      </c>
      <c r="AJ59" s="586"/>
      <c r="AK59" s="581">
        <f t="shared" si="97"/>
        <v>0</v>
      </c>
      <c r="AL59" s="586"/>
      <c r="AM59" s="538">
        <f>SUMIF('Value added steel '!$D$55:$D$78,'Special steel '!$D59,'Value added steel '!$AM$55:$AM$78)</f>
        <v>0</v>
      </c>
      <c r="AN59" s="586"/>
      <c r="AO59" s="2010">
        <f t="shared" si="103"/>
        <v>0</v>
      </c>
      <c r="AP59" s="586"/>
      <c r="AQ59" s="581">
        <f t="shared" si="98"/>
        <v>0</v>
      </c>
      <c r="AR59" s="586"/>
      <c r="AS59" s="538">
        <f>SUMIF('Value added steel '!$D$55:$D$78,'Special steel '!$D59,'Value added steel '!$AS$55:$AS$78)</f>
        <v>0</v>
      </c>
      <c r="AT59" s="586"/>
      <c r="AU59" s="581">
        <f t="shared" si="99"/>
        <v>0</v>
      </c>
      <c r="AV59" s="586"/>
      <c r="AW59" s="538">
        <f>SUMIF('Value added steel '!$D$55:$D$78,'Special steel '!$D59,'Value added steel '!$AW$55:$AW$78)</f>
        <v>0</v>
      </c>
      <c r="AX59" s="586"/>
      <c r="AY59" s="581">
        <f t="shared" si="100"/>
        <v>0</v>
      </c>
      <c r="AZ59" s="586"/>
      <c r="BA59" s="538">
        <f>SUMIF('Value added steel '!$D$55:$D$78,'Special steel '!$D59,'Value added steel '!$BA$55:$BA$78)</f>
        <v>0</v>
      </c>
      <c r="BB59" s="586"/>
      <c r="BC59" s="2010">
        <f t="shared" si="104"/>
        <v>0</v>
      </c>
      <c r="BD59" s="2053"/>
      <c r="BE59" s="1066">
        <f t="shared" si="13"/>
        <v>0</v>
      </c>
      <c r="BF59" s="586"/>
      <c r="BG59" s="581">
        <f t="shared" si="14"/>
        <v>0</v>
      </c>
      <c r="BH59" s="23"/>
      <c r="BI59" s="23"/>
    </row>
    <row r="60" spans="3:62" x14ac:dyDescent="0.35">
      <c r="C60" s="512" t="s">
        <v>932</v>
      </c>
      <c r="D60" s="512" t="s">
        <v>1451</v>
      </c>
      <c r="E60" s="3996"/>
      <c r="F60" s="512"/>
      <c r="G60" s="538">
        <f>SUMIF('Value added steel '!$D$55:$D$78,'Special steel '!$D60,'Value added steel '!$G$55:$G$78)</f>
        <v>0</v>
      </c>
      <c r="H60" s="538"/>
      <c r="I60" s="538">
        <f>SUMIF('Value added steel '!$D$55:$D$78,'Special steel '!$D60,'Value added steel '!$I$55:$I$78)</f>
        <v>0</v>
      </c>
      <c r="J60" s="581"/>
      <c r="K60" s="581">
        <f t="shared" si="53"/>
        <v>0</v>
      </c>
      <c r="L60" s="538"/>
      <c r="M60" s="538">
        <f>SUMIF('Value added steel '!$D$55:$D$78,'Special steel '!$D60,'Value added steel '!$M$55:$M$78)</f>
        <v>0</v>
      </c>
      <c r="N60" s="586"/>
      <c r="O60" s="586">
        <f t="shared" si="54"/>
        <v>0</v>
      </c>
      <c r="P60" s="538"/>
      <c r="Q60" s="538">
        <f>SUMIF('Value added steel '!$D$55:$D$78,'Special steel '!$D60,'Value added steel '!$Q$55:$Q$78)</f>
        <v>0</v>
      </c>
      <c r="R60" s="586"/>
      <c r="S60" s="586">
        <f t="shared" si="30"/>
        <v>0</v>
      </c>
      <c r="T60" s="538"/>
      <c r="U60" s="538">
        <f>SUMIF('Value added steel '!$D$55:$D$78,'Special steel '!$D60,'Value added steel '!$U$55:$U$78)</f>
        <v>0</v>
      </c>
      <c r="V60" s="586"/>
      <c r="W60" s="586">
        <f t="shared" si="95"/>
        <v>0</v>
      </c>
      <c r="X60" s="586"/>
      <c r="Y60" s="538">
        <f>SUMIF('Value added steel '!$D$55:$D$78,'Special steel '!$D60,'Value added steel '!$Y$55:$Y$78)</f>
        <v>0</v>
      </c>
      <c r="Z60" s="586"/>
      <c r="AA60" s="2010">
        <f t="shared" si="101"/>
        <v>0</v>
      </c>
      <c r="AB60" s="2053"/>
      <c r="AC60" s="1066">
        <f t="shared" si="102"/>
        <v>0</v>
      </c>
      <c r="AD60" s="586"/>
      <c r="AE60" s="538">
        <f>SUMIF('Value added steel '!$D$55:$D$78,'Special steel '!$D60,'Value added steel '!$AE$55:$AE$78)</f>
        <v>0</v>
      </c>
      <c r="AF60" s="586"/>
      <c r="AG60" s="586">
        <f t="shared" si="96"/>
        <v>0</v>
      </c>
      <c r="AH60" s="586"/>
      <c r="AI60" s="538">
        <f>SUMIF('Value added steel '!$D$55:$D$78,'Special steel '!$D60,'Value added steel '!$AI$55:$AI$78)</f>
        <v>0</v>
      </c>
      <c r="AJ60" s="586"/>
      <c r="AK60" s="581">
        <f t="shared" si="97"/>
        <v>0</v>
      </c>
      <c r="AL60" s="586"/>
      <c r="AM60" s="538">
        <f>SUMIF('Value added steel '!$D$55:$D$78,'Special steel '!$D60,'Value added steel '!$AM$55:$AM$78)</f>
        <v>0</v>
      </c>
      <c r="AN60" s="586"/>
      <c r="AO60" s="2010">
        <f t="shared" si="103"/>
        <v>0</v>
      </c>
      <c r="AP60" s="586"/>
      <c r="AQ60" s="581">
        <f t="shared" si="98"/>
        <v>0</v>
      </c>
      <c r="AR60" s="586"/>
      <c r="AS60" s="538">
        <f>SUMIF('Value added steel '!$D$55:$D$78,'Special steel '!$D60,'Value added steel '!$AS$55:$AS$78)</f>
        <v>0</v>
      </c>
      <c r="AT60" s="586"/>
      <c r="AU60" s="581">
        <f t="shared" si="99"/>
        <v>0</v>
      </c>
      <c r="AV60" s="586"/>
      <c r="AW60" s="538">
        <f>SUMIF('Value added steel '!$D$55:$D$78,'Special steel '!$D60,'Value added steel '!$AW$55:$AW$78)</f>
        <v>0</v>
      </c>
      <c r="AX60" s="586"/>
      <c r="AY60" s="581">
        <f t="shared" si="100"/>
        <v>0</v>
      </c>
      <c r="AZ60" s="586"/>
      <c r="BA60" s="538">
        <f>SUMIF('Value added steel '!$D$55:$D$78,'Special steel '!$D60,'Value added steel '!$BA$55:$BA$78)</f>
        <v>0</v>
      </c>
      <c r="BB60" s="586"/>
      <c r="BC60" s="2010">
        <f t="shared" si="104"/>
        <v>0</v>
      </c>
      <c r="BD60" s="2053"/>
      <c r="BE60" s="1066">
        <f t="shared" si="13"/>
        <v>0</v>
      </c>
      <c r="BF60" s="586"/>
      <c r="BG60" s="581">
        <f t="shared" si="14"/>
        <v>0</v>
      </c>
      <c r="BH60" s="23"/>
      <c r="BI60" s="23"/>
    </row>
    <row r="61" spans="3:62" x14ac:dyDescent="0.35">
      <c r="C61" s="512" t="s">
        <v>932</v>
      </c>
      <c r="D61" s="512" t="s">
        <v>1029</v>
      </c>
      <c r="E61" s="3996"/>
      <c r="F61" s="512"/>
      <c r="G61" s="538">
        <f>SUMIF('Value added steel '!$D$55:$D$78,'Special steel '!$D61,'Value added steel '!$G$55:$G$78)</f>
        <v>134</v>
      </c>
      <c r="H61" s="538"/>
      <c r="I61" s="538">
        <f>SUMIF('Value added steel '!$D$55:$D$78,'Special steel '!$D61,'Value added steel '!$I$55:$I$78)</f>
        <v>0</v>
      </c>
      <c r="J61" s="581"/>
      <c r="K61" s="581">
        <f t="shared" si="53"/>
        <v>134</v>
      </c>
      <c r="L61" s="538"/>
      <c r="M61" s="538">
        <f>SUMIF('Value added steel '!$D$55:$D$78,'Special steel '!$D61,'Value added steel '!$M$55:$M$78)</f>
        <v>0</v>
      </c>
      <c r="N61" s="586"/>
      <c r="O61" s="586">
        <f t="shared" si="54"/>
        <v>134</v>
      </c>
      <c r="P61" s="538"/>
      <c r="Q61" s="538">
        <f>SUMIF('Value added steel '!$D$55:$D$78,'Special steel '!$D61,'Value added steel '!$Q$55:$Q$78)</f>
        <v>0</v>
      </c>
      <c r="R61" s="586"/>
      <c r="S61" s="586">
        <f t="shared" si="30"/>
        <v>134</v>
      </c>
      <c r="T61" s="538"/>
      <c r="U61" s="538">
        <f>SUMIF('Value added steel '!$D$55:$D$78,'Special steel '!$D61,'Value added steel '!$U$55:$U$78)</f>
        <v>0</v>
      </c>
      <c r="V61" s="586"/>
      <c r="W61" s="586">
        <f t="shared" si="95"/>
        <v>134</v>
      </c>
      <c r="X61" s="586"/>
      <c r="Y61" s="538">
        <f>SUMIF('Value added steel '!$D$55:$D$78,'Special steel '!$D61,'Value added steel '!$Y$55:$Y$78)</f>
        <v>0</v>
      </c>
      <c r="Z61" s="586"/>
      <c r="AA61" s="2010">
        <f t="shared" si="101"/>
        <v>0</v>
      </c>
      <c r="AB61" s="2053"/>
      <c r="AC61" s="1066">
        <f t="shared" si="102"/>
        <v>134</v>
      </c>
      <c r="AD61" s="586"/>
      <c r="AE61" s="538">
        <f>SUMIF('Value added steel '!$D$55:$D$78,'Special steel '!$D61,'Value added steel '!$AE$55:$AE$78)</f>
        <v>0</v>
      </c>
      <c r="AF61" s="586"/>
      <c r="AG61" s="586">
        <f t="shared" si="96"/>
        <v>134</v>
      </c>
      <c r="AH61" s="586"/>
      <c r="AI61" s="538">
        <f>SUMIF('Value added steel '!$D$55:$D$78,'Special steel '!$D61,'Value added steel '!$AI$55:$AI$78)</f>
        <v>0</v>
      </c>
      <c r="AJ61" s="586"/>
      <c r="AK61" s="581">
        <f t="shared" si="97"/>
        <v>134</v>
      </c>
      <c r="AL61" s="586"/>
      <c r="AM61" s="538">
        <f>SUMIF('Value added steel '!$D$55:$D$78,'Special steel '!$D61,'Value added steel '!$AM$55:$AM$78)</f>
        <v>0</v>
      </c>
      <c r="AN61" s="586"/>
      <c r="AO61" s="2010">
        <f t="shared" si="103"/>
        <v>0</v>
      </c>
      <c r="AP61" s="586"/>
      <c r="AQ61" s="581">
        <f t="shared" si="98"/>
        <v>134</v>
      </c>
      <c r="AR61" s="586"/>
      <c r="AS61" s="538">
        <f>SUMIF('Value added steel '!$D$55:$D$78,'Special steel '!$D61,'Value added steel '!$AS$55:$AS$78)</f>
        <v>0</v>
      </c>
      <c r="AT61" s="586"/>
      <c r="AU61" s="581">
        <f t="shared" si="99"/>
        <v>134</v>
      </c>
      <c r="AV61" s="586"/>
      <c r="AW61" s="538">
        <f>SUMIF('Value added steel '!$D$55:$D$78,'Special steel '!$D61,'Value added steel '!$AW$55:$AW$78)</f>
        <v>0</v>
      </c>
      <c r="AX61" s="586"/>
      <c r="AY61" s="581">
        <f t="shared" si="100"/>
        <v>134</v>
      </c>
      <c r="AZ61" s="586"/>
      <c r="BA61" s="538">
        <f>SUMIF('Value added steel '!$D$55:$D$78,'Special steel '!$D61,'Value added steel '!$BA$55:$BA$78)</f>
        <v>0</v>
      </c>
      <c r="BB61" s="588"/>
      <c r="BC61" s="2010">
        <f t="shared" si="104"/>
        <v>0</v>
      </c>
      <c r="BD61" s="2053"/>
      <c r="BE61" s="1066">
        <f t="shared" si="13"/>
        <v>0</v>
      </c>
      <c r="BF61" s="588"/>
      <c r="BG61" s="581">
        <f t="shared" si="14"/>
        <v>134</v>
      </c>
      <c r="BH61" s="23"/>
      <c r="BI61" s="23"/>
    </row>
    <row r="62" spans="3:62" x14ac:dyDescent="0.35">
      <c r="C62" s="512" t="s">
        <v>932</v>
      </c>
      <c r="D62" s="512" t="s">
        <v>1298</v>
      </c>
      <c r="E62" s="3996"/>
      <c r="F62" s="512"/>
      <c r="G62" s="538">
        <f>SUMIF('Value added steel '!$D$55:$D$78,'Special steel '!$D62,'Value added steel '!$G$55:$G$78)</f>
        <v>0</v>
      </c>
      <c r="H62" s="538"/>
      <c r="I62" s="538">
        <f>SUMIF('Value added steel '!$D$55:$D$78,'Special steel '!$D62,'Value added steel '!$I$55:$I$78)</f>
        <v>0</v>
      </c>
      <c r="J62" s="581"/>
      <c r="K62" s="581">
        <f t="shared" si="53"/>
        <v>0</v>
      </c>
      <c r="L62" s="538"/>
      <c r="M62" s="538">
        <f>SUMIF('Value added steel '!$D$55:$D$78,'Special steel '!$D62,'Value added steel '!$M$55:$M$78)</f>
        <v>0</v>
      </c>
      <c r="N62" s="586"/>
      <c r="O62" s="586">
        <f t="shared" si="54"/>
        <v>0</v>
      </c>
      <c r="P62" s="538"/>
      <c r="Q62" s="538">
        <f>SUMIF('Value added steel '!$D$55:$D$78,'Special steel '!$D62,'Value added steel '!$Q$55:$Q$78)</f>
        <v>0</v>
      </c>
      <c r="R62" s="586"/>
      <c r="S62" s="586">
        <f t="shared" si="30"/>
        <v>0</v>
      </c>
      <c r="T62" s="538"/>
      <c r="U62" s="538">
        <f>SUMIF('Value added steel '!$D$55:$D$78,'Special steel '!$D62,'Value added steel '!$U$55:$U$78)</f>
        <v>0</v>
      </c>
      <c r="V62" s="586"/>
      <c r="W62" s="586">
        <f t="shared" si="95"/>
        <v>0</v>
      </c>
      <c r="X62" s="586"/>
      <c r="Y62" s="538">
        <f>SUMIF('Value added steel '!$D$55:$D$78,'Special steel '!$D62,'Value added steel '!$Y$55:$Y$78)</f>
        <v>0</v>
      </c>
      <c r="Z62" s="586"/>
      <c r="AA62" s="2010">
        <f t="shared" si="101"/>
        <v>0</v>
      </c>
      <c r="AB62" s="2053"/>
      <c r="AC62" s="1066">
        <f t="shared" si="102"/>
        <v>0</v>
      </c>
      <c r="AD62" s="586"/>
      <c r="AE62" s="538">
        <f>SUMIF('Value added steel '!$D$55:$D$78,'Special steel '!$D62,'Value added steel '!$AE$55:$AE$78)</f>
        <v>0</v>
      </c>
      <c r="AF62" s="586"/>
      <c r="AG62" s="586">
        <f t="shared" si="96"/>
        <v>0</v>
      </c>
      <c r="AH62" s="586"/>
      <c r="AI62" s="538">
        <f>SUMIF('Value added steel '!$D$55:$D$78,'Special steel '!$D62,'Value added steel '!$AI$55:$AI$78)</f>
        <v>0</v>
      </c>
      <c r="AJ62" s="586"/>
      <c r="AK62" s="581">
        <f t="shared" si="97"/>
        <v>0</v>
      </c>
      <c r="AL62" s="586"/>
      <c r="AM62" s="538">
        <f>SUMIF('Value added steel '!$D$55:$D$78,'Special steel '!$D62,'Value added steel '!$AM$55:$AM$78)</f>
        <v>0</v>
      </c>
      <c r="AN62" s="586"/>
      <c r="AO62" s="2010">
        <f t="shared" si="103"/>
        <v>0</v>
      </c>
      <c r="AP62" s="586"/>
      <c r="AQ62" s="581">
        <f t="shared" si="98"/>
        <v>0</v>
      </c>
      <c r="AR62" s="586"/>
      <c r="AS62" s="538">
        <f>SUMIF('Value added steel '!$D$55:$D$78,'Special steel '!$D62,'Value added steel '!$AS$55:$AS$78)</f>
        <v>0</v>
      </c>
      <c r="AT62" s="586"/>
      <c r="AU62" s="581">
        <f t="shared" si="99"/>
        <v>0</v>
      </c>
      <c r="AV62" s="591"/>
      <c r="AW62" s="538">
        <f>SUMIF('Value added steel '!$D$55:$D$78,'Special steel '!$D62,'Value added steel '!$AW$55:$AW$78)</f>
        <v>0</v>
      </c>
      <c r="AX62" s="586"/>
      <c r="AY62" s="581">
        <f t="shared" si="100"/>
        <v>0</v>
      </c>
      <c r="AZ62" s="591"/>
      <c r="BA62" s="538">
        <f>SUMIF('Value added steel '!$D$55:$D$78,'Special steel '!$D62,'Value added steel '!$BA$55:$BA$78)</f>
        <v>0</v>
      </c>
      <c r="BB62" s="591"/>
      <c r="BC62" s="2010">
        <f t="shared" si="104"/>
        <v>0</v>
      </c>
      <c r="BD62" s="2053"/>
      <c r="BE62" s="1066">
        <f t="shared" si="13"/>
        <v>0</v>
      </c>
      <c r="BF62" s="591"/>
      <c r="BG62" s="581">
        <f t="shared" si="14"/>
        <v>0</v>
      </c>
      <c r="BH62" s="23"/>
      <c r="BI62" s="23"/>
    </row>
    <row r="63" spans="3:62" x14ac:dyDescent="0.35">
      <c r="C63" s="512" t="s">
        <v>932</v>
      </c>
      <c r="D63" s="512" t="s">
        <v>1480</v>
      </c>
      <c r="E63" s="3996"/>
      <c r="F63" s="512"/>
      <c r="G63" s="538">
        <f>SUMIF('Value added steel '!$D$55:$D$78,'Special steel '!$D63,'Value added steel '!$G$55:$G$78)</f>
        <v>0</v>
      </c>
      <c r="H63" s="538"/>
      <c r="I63" s="538">
        <f>SUMIF('Value added steel '!$D$55:$D$78,'Special steel '!$D63,'Value added steel '!$I$55:$I$78)</f>
        <v>0</v>
      </c>
      <c r="J63" s="581"/>
      <c r="K63" s="581">
        <f t="shared" si="53"/>
        <v>0</v>
      </c>
      <c r="L63" s="538"/>
      <c r="M63" s="538">
        <f>SUMIF('Value added steel '!$D$55:$D$78,'Special steel '!$D63,'Value added steel '!$M$55:$M$78)</f>
        <v>619</v>
      </c>
      <c r="N63" s="586"/>
      <c r="O63" s="586">
        <f t="shared" si="54"/>
        <v>619</v>
      </c>
      <c r="P63" s="538"/>
      <c r="Q63" s="538">
        <f>SUMIF('Value added steel '!$D$55:$D$78,'Special steel '!$D63,'Value added steel '!$Q$55:$Q$78)</f>
        <v>583</v>
      </c>
      <c r="R63" s="586"/>
      <c r="S63" s="586">
        <f t="shared" si="30"/>
        <v>1202</v>
      </c>
      <c r="T63" s="538"/>
      <c r="U63" s="538">
        <f>SUMIF('Value added steel '!$D$55:$D$78,'Special steel '!$D63,'Value added steel '!$U$55:$U$78)</f>
        <v>112.042</v>
      </c>
      <c r="V63" s="586"/>
      <c r="W63" s="586"/>
      <c r="X63" s="586"/>
      <c r="Y63" s="538">
        <f>SUMIF('Value added steel '!$D$55:$D$78,'Special steel '!$D63,'Value added steel '!$Y$55:$Y$78)</f>
        <v>674</v>
      </c>
      <c r="Z63" s="586"/>
      <c r="AA63" s="2010">
        <f t="shared" si="101"/>
        <v>1369.0419999999999</v>
      </c>
      <c r="AB63" s="2053"/>
      <c r="AC63" s="1066">
        <f t="shared" si="102"/>
        <v>1988.0419999999999</v>
      </c>
      <c r="AD63" s="586"/>
      <c r="AE63" s="538">
        <f>SUMIF('Value added steel '!$D$55:$D$78,'Special steel '!$D63,'Value added steel '!$AE$55:$AE$78)</f>
        <v>543</v>
      </c>
      <c r="AF63" s="586"/>
      <c r="AG63" s="586">
        <f t="shared" si="96"/>
        <v>2531.0419999999999</v>
      </c>
      <c r="AH63" s="586"/>
      <c r="AI63" s="538">
        <f>SUMIF('Value added steel '!$D$55:$D$78,'Special steel '!$D63,'Value added steel '!$AI$55:$AI$78)</f>
        <v>722.36599999999999</v>
      </c>
      <c r="AJ63" s="586"/>
      <c r="AK63" s="581">
        <f t="shared" si="97"/>
        <v>3253.4079999999999</v>
      </c>
      <c r="AL63" s="586"/>
      <c r="AM63" s="538">
        <f>SUMIF('Value added steel '!$D$55:$D$78,'Special steel '!$D63,'Value added steel '!$AM$55:$AM$78)</f>
        <v>412</v>
      </c>
      <c r="AN63" s="586"/>
      <c r="AO63" s="2010">
        <f t="shared" si="103"/>
        <v>1677.366</v>
      </c>
      <c r="AP63" s="586"/>
      <c r="AQ63" s="581">
        <f t="shared" si="98"/>
        <v>3665.4079999999999</v>
      </c>
      <c r="AR63" s="586"/>
      <c r="AS63" s="538">
        <f>SUMIF('Value added steel '!$D$55:$D$78,'Special steel '!$D63,'Value added steel '!$AS$55:$AS$78)</f>
        <v>0</v>
      </c>
      <c r="AT63" s="586"/>
      <c r="AU63" s="581">
        <f t="shared" si="99"/>
        <v>3665.4079999999999</v>
      </c>
      <c r="AV63" s="586"/>
      <c r="AW63" s="538">
        <f>SUMIF('Value added steel '!$D$55:$D$78,'Special steel '!$D63,'Value added steel '!$AW$55:$AW$78)</f>
        <v>0</v>
      </c>
      <c r="AX63" s="586"/>
      <c r="AY63" s="581">
        <f t="shared" si="100"/>
        <v>3665.4079999999999</v>
      </c>
      <c r="AZ63" s="586"/>
      <c r="BA63" s="538">
        <f>SUMIF('Value added steel '!$D$55:$D$78,'Special steel '!$D63,'Value added steel '!$BA$55:$BA$78)</f>
        <v>0</v>
      </c>
      <c r="BB63" s="588"/>
      <c r="BC63" s="2010">
        <f t="shared" si="104"/>
        <v>0</v>
      </c>
      <c r="BD63" s="2053"/>
      <c r="BE63" s="1066">
        <f t="shared" si="13"/>
        <v>1677.366</v>
      </c>
      <c r="BF63" s="588"/>
      <c r="BG63" s="581">
        <f t="shared" si="14"/>
        <v>3665.4079999999999</v>
      </c>
      <c r="BH63" s="23"/>
      <c r="BI63" s="23"/>
    </row>
    <row r="64" spans="3:62" x14ac:dyDescent="0.35">
      <c r="C64" s="4013" t="s">
        <v>932</v>
      </c>
      <c r="D64" s="4013" t="s">
        <v>1833</v>
      </c>
      <c r="E64" s="3996"/>
      <c r="F64" s="4013"/>
      <c r="G64" s="538">
        <f>SUMIF('Value added steel '!$D$55:$D$78,'Special steel '!$D64,'Value added steel '!$G$55:$G$78)</f>
        <v>0</v>
      </c>
      <c r="H64" s="538"/>
      <c r="I64" s="538">
        <f>SUMIF('Value added steel '!$D$55:$D$78,'Special steel '!$D64,'Value added steel '!$I$55:$I$78)</f>
        <v>0</v>
      </c>
      <c r="J64" s="581"/>
      <c r="K64" s="581">
        <f t="shared" ref="K64" si="106">+G64+I64</f>
        <v>0</v>
      </c>
      <c r="L64" s="538"/>
      <c r="M64" s="538">
        <f>SUMIF('Value added steel '!$D$55:$D$78,'Special steel '!$D64,'Value added steel '!$M$55:$M$78)</f>
        <v>0</v>
      </c>
      <c r="N64" s="586"/>
      <c r="O64" s="586">
        <f t="shared" si="54"/>
        <v>0</v>
      </c>
      <c r="P64" s="538"/>
      <c r="Q64" s="538">
        <f>SUMIF('Value added steel '!$D$55:$D$78,'Special steel '!$D64,'Value added steel '!$Q$55:$Q$78)</f>
        <v>0</v>
      </c>
      <c r="R64" s="586"/>
      <c r="S64" s="586">
        <f t="shared" ref="S64" si="107">O64+Q64</f>
        <v>0</v>
      </c>
      <c r="T64" s="538"/>
      <c r="U64" s="538">
        <f>SUMIF('Value added steel '!$D$55:$D$78,'Special steel '!$D64,'Value added steel '!$U$55:$U$78)</f>
        <v>0</v>
      </c>
      <c r="V64" s="586"/>
      <c r="W64" s="586"/>
      <c r="X64" s="586"/>
      <c r="Y64" s="538">
        <f>SUMIF('Value added steel '!$D$55:$D$78,'Special steel '!$D64,'Value added steel '!$Y$55:$Y$78)</f>
        <v>0</v>
      </c>
      <c r="Z64" s="586"/>
      <c r="AA64" s="2010">
        <f t="shared" si="101"/>
        <v>0</v>
      </c>
      <c r="AB64" s="2053"/>
      <c r="AC64" s="1066">
        <f t="shared" si="102"/>
        <v>0</v>
      </c>
      <c r="AD64" s="586"/>
      <c r="AE64" s="538">
        <f>SUMIF('Value added steel '!$D$55:$D$78,'Special steel '!$D64,'Value added steel '!$AE$55:$AE$78)</f>
        <v>0</v>
      </c>
      <c r="AF64" s="586"/>
      <c r="AG64" s="586">
        <f t="shared" ref="AG64" si="108">AC64+AE64</f>
        <v>0</v>
      </c>
      <c r="AH64" s="586"/>
      <c r="AI64" s="538">
        <f>SUMIF('Value added steel '!$D$55:$D$78,'Special steel '!$D64,'Value added steel '!$AI$55:$AI$78)</f>
        <v>0</v>
      </c>
      <c r="AJ64" s="586"/>
      <c r="AK64" s="581">
        <f t="shared" ref="AK64" si="109">AG64+AI64</f>
        <v>0</v>
      </c>
      <c r="AL64" s="586"/>
      <c r="AM64" s="538">
        <f>SUMIF('Value added steel '!$D$55:$D$78,'Special steel '!$D64,'Value added steel '!$AM$55:$AM$78)</f>
        <v>0</v>
      </c>
      <c r="AN64" s="586"/>
      <c r="AO64" s="2010">
        <f t="shared" ref="AO64" si="110">AE64+AI64+AM64</f>
        <v>0</v>
      </c>
      <c r="AP64" s="586"/>
      <c r="AQ64" s="581">
        <f t="shared" ref="AQ64" si="111">AK64+AM64</f>
        <v>0</v>
      </c>
      <c r="AR64" s="586"/>
      <c r="AS64" s="538">
        <f>SUMIF('Value added steel '!$D$55:$D$78,'Special steel '!$D64,'Value added steel '!$AS$55:$AS$78)</f>
        <v>0</v>
      </c>
      <c r="AT64" s="586"/>
      <c r="AU64" s="581">
        <f t="shared" ref="AU64" si="112">AQ64+AS64</f>
        <v>0</v>
      </c>
      <c r="AV64" s="586"/>
      <c r="AW64" s="538">
        <f>SUMIF('Value added steel '!$D$55:$D$78,'Special steel '!$D64,'Value added steel '!$AW$55:$AW$78)</f>
        <v>0</v>
      </c>
      <c r="AX64" s="586"/>
      <c r="AY64" s="581">
        <f t="shared" si="100"/>
        <v>0</v>
      </c>
      <c r="AZ64" s="586"/>
      <c r="BA64" s="538">
        <f>SUMIF('Value added steel '!$D$55:$D$78,'Special steel '!$D64,'Value added steel '!$BA$55:$BA$78)</f>
        <v>0</v>
      </c>
      <c r="BB64" s="588"/>
      <c r="BC64" s="2010">
        <f t="shared" si="104"/>
        <v>0</v>
      </c>
      <c r="BD64" s="2053"/>
      <c r="BE64" s="1066">
        <f t="shared" si="13"/>
        <v>0</v>
      </c>
      <c r="BF64" s="588"/>
      <c r="BG64" s="581">
        <f t="shared" si="14"/>
        <v>0</v>
      </c>
      <c r="BH64" s="23"/>
      <c r="BI64" s="23"/>
    </row>
    <row r="65" spans="3:61" x14ac:dyDescent="0.35">
      <c r="C65" s="512" t="s">
        <v>932</v>
      </c>
      <c r="D65" s="512" t="s">
        <v>1221</v>
      </c>
      <c r="E65" s="3996"/>
      <c r="F65" s="512"/>
      <c r="G65" s="538">
        <f>SUMIF('Value added steel '!$D$55:$D$78,'Special steel '!$D65,'Value added steel '!$G$55:$G$78)</f>
        <v>0</v>
      </c>
      <c r="H65" s="538"/>
      <c r="I65" s="538">
        <f>SUMIF('Value added steel '!$D$55:$D$78,'Special steel '!$D65,'Value added steel '!$I$55:$I$78)</f>
        <v>0</v>
      </c>
      <c r="J65" s="581"/>
      <c r="K65" s="581">
        <f t="shared" si="53"/>
        <v>0</v>
      </c>
      <c r="L65" s="538"/>
      <c r="M65" s="538">
        <f>SUMIF('Value added steel '!$D$55:$D$78,'Special steel '!$D65,'Value added steel '!$M$55:$M$78)</f>
        <v>0</v>
      </c>
      <c r="N65" s="586"/>
      <c r="O65" s="586">
        <f t="shared" si="54"/>
        <v>0</v>
      </c>
      <c r="P65" s="538"/>
      <c r="Q65" s="538">
        <f>SUMIF('Value added steel '!$D$55:$D$78,'Special steel '!$D65,'Value added steel '!$Q$55:$Q$78)</f>
        <v>0</v>
      </c>
      <c r="R65" s="586"/>
      <c r="S65" s="586">
        <f t="shared" si="30"/>
        <v>0</v>
      </c>
      <c r="T65" s="538"/>
      <c r="U65" s="538">
        <f>SUMIF('Value added steel '!$D$55:$D$78,'Special steel '!$D65,'Value added steel '!$U$55:$U$78)</f>
        <v>0</v>
      </c>
      <c r="V65" s="586"/>
      <c r="W65" s="586">
        <f t="shared" si="95"/>
        <v>0</v>
      </c>
      <c r="X65" s="586"/>
      <c r="Y65" s="538">
        <f>SUMIF('Value added steel '!$D$55:$D$78,'Special steel '!$D65,'Value added steel '!$Y$55:$Y$78)</f>
        <v>0</v>
      </c>
      <c r="Z65" s="586"/>
      <c r="AA65" s="2010">
        <f t="shared" si="101"/>
        <v>0</v>
      </c>
      <c r="AB65" s="2053"/>
      <c r="AC65" s="1066">
        <f t="shared" si="102"/>
        <v>0</v>
      </c>
      <c r="AD65" s="586"/>
      <c r="AE65" s="538">
        <f>SUMIF('Value added steel '!$D$55:$D$78,'Special steel '!$D65,'Value added steel '!$AE$55:$AE$78)</f>
        <v>0</v>
      </c>
      <c r="AF65" s="586"/>
      <c r="AG65" s="586">
        <f t="shared" si="96"/>
        <v>0</v>
      </c>
      <c r="AH65" s="586"/>
      <c r="AI65" s="538">
        <f>SUMIF('Value added steel '!$D$55:$D$78,'Special steel '!$D65,'Value added steel '!$AI$55:$AI$78)</f>
        <v>0</v>
      </c>
      <c r="AJ65" s="586"/>
      <c r="AK65" s="581">
        <f t="shared" si="97"/>
        <v>0</v>
      </c>
      <c r="AL65" s="586"/>
      <c r="AM65" s="538">
        <f>SUMIF('Value added steel '!$D$55:$D$78,'Special steel '!$D65,'Value added steel '!$AM$55:$AM$78)</f>
        <v>0</v>
      </c>
      <c r="AN65" s="586"/>
      <c r="AO65" s="2010">
        <f t="shared" si="103"/>
        <v>0</v>
      </c>
      <c r="AP65" s="586"/>
      <c r="AQ65" s="581">
        <f t="shared" si="98"/>
        <v>0</v>
      </c>
      <c r="AR65" s="586"/>
      <c r="AS65" s="538">
        <f>SUMIF('Value added steel '!$D$55:$D$78,'Special steel '!$D65,'Value added steel '!$AS$55:$AS$78)</f>
        <v>0</v>
      </c>
      <c r="AT65" s="586"/>
      <c r="AU65" s="581">
        <f t="shared" si="99"/>
        <v>0</v>
      </c>
      <c r="AV65" s="586"/>
      <c r="AW65" s="538">
        <f>SUMIF('Value added steel '!$D$55:$D$78,'Special steel '!$D65,'Value added steel '!$AW$55:$AW$78)</f>
        <v>0</v>
      </c>
      <c r="AX65" s="586"/>
      <c r="AY65" s="581">
        <f t="shared" si="100"/>
        <v>0</v>
      </c>
      <c r="AZ65" s="586"/>
      <c r="BA65" s="538">
        <f>SUMIF('Value added steel '!$D$55:$D$78,'Special steel '!$D65,'Value added steel '!$BA$55:$BA$78)</f>
        <v>0</v>
      </c>
      <c r="BB65" s="588"/>
      <c r="BC65" s="2010">
        <f t="shared" si="104"/>
        <v>0</v>
      </c>
      <c r="BD65" s="2053"/>
      <c r="BE65" s="1066">
        <f t="shared" si="13"/>
        <v>0</v>
      </c>
      <c r="BF65" s="588"/>
      <c r="BG65" s="581">
        <f t="shared" si="14"/>
        <v>0</v>
      </c>
      <c r="BH65" s="23"/>
      <c r="BI65" s="23"/>
    </row>
    <row r="66" spans="3:61" x14ac:dyDescent="0.35">
      <c r="C66" s="512" t="s">
        <v>932</v>
      </c>
      <c r="D66" s="512" t="s">
        <v>1210</v>
      </c>
      <c r="E66" s="3996"/>
      <c r="F66" s="512"/>
      <c r="G66" s="538">
        <f>SUMIF('Value added steel '!$D$55:$D$78,'Special steel '!$D66,'Value added steel '!$G$55:$G$78)</f>
        <v>0</v>
      </c>
      <c r="H66" s="538"/>
      <c r="I66" s="538">
        <f>SUMIF('Value added steel '!$D$55:$D$78,'Special steel '!$D66,'Value added steel '!$I$55:$I$78)</f>
        <v>0</v>
      </c>
      <c r="J66" s="581"/>
      <c r="K66" s="581">
        <f t="shared" si="53"/>
        <v>0</v>
      </c>
      <c r="L66" s="538"/>
      <c r="M66" s="538">
        <f>SUMIF('Value added steel '!$D$55:$D$78,'Special steel '!$D66,'Value added steel '!$M$55:$M$78)</f>
        <v>235</v>
      </c>
      <c r="N66" s="586"/>
      <c r="O66" s="586">
        <f t="shared" si="54"/>
        <v>235</v>
      </c>
      <c r="P66" s="538"/>
      <c r="Q66" s="538">
        <f>SUMIF('Value added steel '!$D$55:$D$78,'Special steel '!$D66,'Value added steel '!$Q$55:$Q$78)</f>
        <v>116</v>
      </c>
      <c r="R66" s="586"/>
      <c r="S66" s="586">
        <f t="shared" si="30"/>
        <v>351</v>
      </c>
      <c r="T66" s="538"/>
      <c r="U66" s="538">
        <f>SUMIF('Value added steel '!$D$55:$D$78,'Special steel '!$D66,'Value added steel '!$U$55:$U$78)</f>
        <v>0</v>
      </c>
      <c r="V66" s="586"/>
      <c r="W66" s="586">
        <f t="shared" si="95"/>
        <v>351</v>
      </c>
      <c r="X66" s="586"/>
      <c r="Y66" s="538">
        <f>SUMIF('Value added steel '!$D$55:$D$78,'Special steel '!$D66,'Value added steel '!$Y$55:$Y$78)</f>
        <v>0</v>
      </c>
      <c r="Z66" s="586"/>
      <c r="AA66" s="2010">
        <f t="shared" si="101"/>
        <v>116</v>
      </c>
      <c r="AB66" s="2053"/>
      <c r="AC66" s="1066">
        <f t="shared" si="102"/>
        <v>351</v>
      </c>
      <c r="AD66" s="586"/>
      <c r="AE66" s="538">
        <f>SUMIF('Value added steel '!$D$55:$D$78,'Special steel '!$D66,'Value added steel '!$AE$55:$AE$78)</f>
        <v>0</v>
      </c>
      <c r="AF66" s="586"/>
      <c r="AG66" s="586">
        <f t="shared" si="96"/>
        <v>351</v>
      </c>
      <c r="AH66" s="586"/>
      <c r="AI66" s="538">
        <f>SUMIF('Value added steel '!$D$55:$D$78,'Special steel '!$D66,'Value added steel '!$AI$55:$AI$78)</f>
        <v>0</v>
      </c>
      <c r="AJ66" s="586"/>
      <c r="AK66" s="581">
        <f t="shared" si="97"/>
        <v>351</v>
      </c>
      <c r="AL66" s="586"/>
      <c r="AM66" s="538">
        <f>SUMIF('Value added steel '!$D$55:$D$78,'Special steel '!$D66,'Value added steel '!$AM$55:$AM$78)</f>
        <v>0</v>
      </c>
      <c r="AN66" s="586"/>
      <c r="AO66" s="2010">
        <f t="shared" si="103"/>
        <v>0</v>
      </c>
      <c r="AP66" s="586"/>
      <c r="AQ66" s="581">
        <f t="shared" si="98"/>
        <v>351</v>
      </c>
      <c r="AR66" s="586"/>
      <c r="AS66" s="538">
        <f>SUMIF('Value added steel '!$D$55:$D$78,'Special steel '!$D66,'Value added steel '!$AS$55:$AS$78)</f>
        <v>0</v>
      </c>
      <c r="AT66" s="586"/>
      <c r="AU66" s="581">
        <f t="shared" si="99"/>
        <v>351</v>
      </c>
      <c r="AV66" s="586"/>
      <c r="AW66" s="538">
        <f>SUMIF('Value added steel '!$D$55:$D$78,'Special steel '!$D66,'Value added steel '!$AW$55:$AW$78)</f>
        <v>0</v>
      </c>
      <c r="AX66" s="586"/>
      <c r="AY66" s="581">
        <f t="shared" si="100"/>
        <v>351</v>
      </c>
      <c r="AZ66" s="586"/>
      <c r="BA66" s="538">
        <f>SUMIF('Value added steel '!$D$55:$D$78,'Special steel '!$D66,'Value added steel '!$BA$55:$BA$78)</f>
        <v>0</v>
      </c>
      <c r="BB66" s="588"/>
      <c r="BC66" s="2010">
        <f t="shared" si="104"/>
        <v>0</v>
      </c>
      <c r="BD66" s="2053"/>
      <c r="BE66" s="1066">
        <f t="shared" si="13"/>
        <v>0</v>
      </c>
      <c r="BF66" s="588"/>
      <c r="BG66" s="581">
        <f t="shared" si="14"/>
        <v>351</v>
      </c>
      <c r="BH66" s="23"/>
      <c r="BI66" s="23"/>
    </row>
    <row r="67" spans="3:61" x14ac:dyDescent="0.35">
      <c r="C67" s="512" t="s">
        <v>932</v>
      </c>
      <c r="D67" s="512" t="s">
        <v>1083</v>
      </c>
      <c r="E67" s="3996"/>
      <c r="F67" s="512"/>
      <c r="G67" s="538">
        <f>SUMIF('Value added steel '!$D$55:$D$78,'Special steel '!$D67,'Value added steel '!$G$55:$G$78)</f>
        <v>0</v>
      </c>
      <c r="H67" s="538"/>
      <c r="I67" s="538">
        <f>SUMIF('Value added steel '!$D$55:$D$78,'Special steel '!$D67,'Value added steel '!$I$55:$I$78)</f>
        <v>0</v>
      </c>
      <c r="J67" s="581"/>
      <c r="K67" s="581">
        <f t="shared" si="53"/>
        <v>0</v>
      </c>
      <c r="L67" s="538"/>
      <c r="M67" s="538">
        <f>SUMIF('Value added steel '!$D$55:$D$78,'Special steel '!$D67,'Value added steel '!$M$55:$M$78)</f>
        <v>0</v>
      </c>
      <c r="N67" s="586"/>
      <c r="O67" s="586">
        <f t="shared" si="54"/>
        <v>0</v>
      </c>
      <c r="P67" s="538"/>
      <c r="Q67" s="538">
        <f>SUMIF('Value added steel '!$D$55:$D$78,'Special steel '!$D67,'Value added steel '!$Q$55:$Q$78)</f>
        <v>0</v>
      </c>
      <c r="R67" s="586"/>
      <c r="S67" s="586">
        <f t="shared" si="30"/>
        <v>0</v>
      </c>
      <c r="T67" s="538"/>
      <c r="U67" s="538">
        <f>SUMIF('Value added steel '!$D$55:$D$78,'Special steel '!$D67,'Value added steel '!$U$55:$U$78)</f>
        <v>353.03800000000001</v>
      </c>
      <c r="V67" s="586"/>
      <c r="W67" s="586">
        <f t="shared" si="95"/>
        <v>353.03800000000001</v>
      </c>
      <c r="X67" s="586"/>
      <c r="Y67" s="538">
        <f>SUMIF('Value added steel '!$D$55:$D$78,'Special steel '!$D67,'Value added steel '!$Y$55:$Y$78)</f>
        <v>114</v>
      </c>
      <c r="Z67" s="586"/>
      <c r="AA67" s="2010">
        <f t="shared" si="101"/>
        <v>467.03800000000001</v>
      </c>
      <c r="AB67" s="2053"/>
      <c r="AC67" s="1066">
        <f t="shared" si="102"/>
        <v>467.03800000000001</v>
      </c>
      <c r="AD67" s="586"/>
      <c r="AE67" s="538">
        <f>SUMIF('Value added steel '!$D$55:$D$78,'Special steel '!$D67,'Value added steel '!$AE$55:$AE$78)</f>
        <v>114</v>
      </c>
      <c r="AF67" s="586"/>
      <c r="AG67" s="586">
        <f t="shared" si="96"/>
        <v>581.03800000000001</v>
      </c>
      <c r="AH67" s="586"/>
      <c r="AI67" s="538">
        <f>SUMIF('Value added steel '!$D$55:$D$78,'Special steel '!$D67,'Value added steel '!$AI$55:$AI$78)</f>
        <v>114.804</v>
      </c>
      <c r="AJ67" s="586"/>
      <c r="AK67" s="581">
        <f t="shared" si="97"/>
        <v>695.84199999999998</v>
      </c>
      <c r="AL67" s="586"/>
      <c r="AM67" s="538">
        <f>SUMIF('Value added steel '!$D$55:$D$78,'Special steel '!$D67,'Value added steel '!$AM$55:$AM$78)</f>
        <v>249</v>
      </c>
      <c r="AN67" s="586"/>
      <c r="AO67" s="2010">
        <f t="shared" si="103"/>
        <v>477.80399999999997</v>
      </c>
      <c r="AP67" s="586"/>
      <c r="AQ67" s="581">
        <f t="shared" si="98"/>
        <v>944.84199999999998</v>
      </c>
      <c r="AR67" s="586"/>
      <c r="AS67" s="538">
        <f>SUMIF('Value added steel '!$D$55:$D$78,'Special steel '!$D67,'Value added steel '!$AS$55:$AS$78)</f>
        <v>203</v>
      </c>
      <c r="AT67" s="586"/>
      <c r="AU67" s="581">
        <f t="shared" si="99"/>
        <v>1147.8420000000001</v>
      </c>
      <c r="AV67" s="586"/>
      <c r="AW67" s="538">
        <f>SUMIF('Value added steel '!$D$55:$D$78,'Special steel '!$D67,'Value added steel '!$AW$55:$AW$78)</f>
        <v>0</v>
      </c>
      <c r="AX67" s="586"/>
      <c r="AY67" s="581">
        <f t="shared" si="100"/>
        <v>1147.8420000000001</v>
      </c>
      <c r="AZ67" s="586"/>
      <c r="BA67" s="538">
        <f>SUMIF('Value added steel '!$D$55:$D$78,'Special steel '!$D67,'Value added steel '!$BA$55:$BA$78)</f>
        <v>150.946</v>
      </c>
      <c r="BB67" s="588"/>
      <c r="BC67" s="2010">
        <f t="shared" si="104"/>
        <v>353.94600000000003</v>
      </c>
      <c r="BD67" s="2053"/>
      <c r="BE67" s="1066">
        <f t="shared" si="13"/>
        <v>831.75</v>
      </c>
      <c r="BF67" s="588"/>
      <c r="BG67" s="581">
        <f t="shared" si="14"/>
        <v>1298.788</v>
      </c>
      <c r="BH67" s="23"/>
      <c r="BI67" s="23"/>
    </row>
    <row r="68" spans="3:61" x14ac:dyDescent="0.35">
      <c r="C68" s="512" t="s">
        <v>932</v>
      </c>
      <c r="D68" s="512" t="s">
        <v>944</v>
      </c>
      <c r="E68" s="3996"/>
      <c r="F68" s="512"/>
      <c r="G68" s="538">
        <f>SUMIF('Value added steel '!$D$55:$D$78,'Special steel '!$D68,'Value added steel '!$G$55:$G$78)</f>
        <v>3712</v>
      </c>
      <c r="H68" s="537"/>
      <c r="I68" s="538">
        <f>SUMIF('Value added steel '!$D$55:$D$78,'Special steel '!$D68,'Value added steel '!$I$55:$I$78)</f>
        <v>0</v>
      </c>
      <c r="J68" s="583"/>
      <c r="K68" s="581">
        <f t="shared" si="53"/>
        <v>3712</v>
      </c>
      <c r="L68" s="537"/>
      <c r="M68" s="538">
        <f>SUMIF('Value added steel '!$D$55:$D$78,'Special steel '!$D68,'Value added steel '!$M$55:$M$78)</f>
        <v>15189</v>
      </c>
      <c r="N68" s="588"/>
      <c r="O68" s="586">
        <f t="shared" si="54"/>
        <v>18901</v>
      </c>
      <c r="P68" s="537"/>
      <c r="Q68" s="538">
        <f>SUMIF('Value added steel '!$D$55:$D$78,'Special steel '!$D68,'Value added steel '!$Q$55:$Q$78)</f>
        <v>17017</v>
      </c>
      <c r="R68" s="588"/>
      <c r="S68" s="586">
        <f t="shared" si="30"/>
        <v>35918</v>
      </c>
      <c r="T68" s="537"/>
      <c r="U68" s="538">
        <f>SUMIF('Value added steel '!$D$55:$D$78,'Special steel '!$D68,'Value added steel '!$U$55:$U$78)</f>
        <v>14747.263999999999</v>
      </c>
      <c r="V68" s="588"/>
      <c r="W68" s="586">
        <f t="shared" si="95"/>
        <v>50665.263999999996</v>
      </c>
      <c r="X68" s="586"/>
      <c r="Y68" s="538">
        <f>SUMIF('Value added steel '!$D$55:$D$78,'Special steel '!$D68,'Value added steel '!$Y$55:$Y$78)</f>
        <v>10684</v>
      </c>
      <c r="Z68" s="588"/>
      <c r="AA68" s="2010">
        <f t="shared" ref="AA68" si="113">Q68+U68+Y68</f>
        <v>42448.263999999996</v>
      </c>
      <c r="AB68" s="2053"/>
      <c r="AC68" s="1066">
        <f t="shared" si="52"/>
        <v>61349.263999999996</v>
      </c>
      <c r="AD68" s="586"/>
      <c r="AE68" s="538">
        <f>SUMIF('Value added steel '!$D$55:$D$78,'Special steel '!$D68,'Value added steel '!$AE$55:$AE$78)</f>
        <v>14218</v>
      </c>
      <c r="AF68" s="588"/>
      <c r="AG68" s="586">
        <f t="shared" si="96"/>
        <v>75567.263999999996</v>
      </c>
      <c r="AH68" s="586"/>
      <c r="AI68" s="538">
        <f>SUMIF('Value added steel '!$D$55:$D$78,'Special steel '!$D68,'Value added steel '!$AI$55:$AI$78)</f>
        <v>14613.73</v>
      </c>
      <c r="AJ68" s="588"/>
      <c r="AK68" s="581">
        <f t="shared" si="97"/>
        <v>90180.993999999992</v>
      </c>
      <c r="AL68" s="586"/>
      <c r="AM68" s="538">
        <f>SUMIF('Value added steel '!$D$55:$D$78,'Special steel '!$D68,'Value added steel '!$AM$55:$AM$78)</f>
        <v>19136</v>
      </c>
      <c r="AN68" s="588"/>
      <c r="AO68" s="2010">
        <f t="shared" si="103"/>
        <v>47967.729999999996</v>
      </c>
      <c r="AP68" s="588"/>
      <c r="AQ68" s="581">
        <f t="shared" si="98"/>
        <v>109316.99399999999</v>
      </c>
      <c r="AR68" s="586"/>
      <c r="AS68" s="538">
        <f>SUMIF('Value added steel '!$D$55:$D$78,'Special steel '!$D68,'Value added steel '!$AS$55:$AS$78)</f>
        <v>5141</v>
      </c>
      <c r="AT68" s="588"/>
      <c r="AU68" s="581">
        <f t="shared" si="99"/>
        <v>114457.99399999999</v>
      </c>
      <c r="AV68" s="586"/>
      <c r="AW68" s="538">
        <f>SUMIF('Value added steel '!$D$55:$D$78,'Special steel '!$D68,'Value added steel '!$AW$55:$AW$78)</f>
        <v>0</v>
      </c>
      <c r="AX68" s="588"/>
      <c r="AY68" s="581">
        <f t="shared" si="100"/>
        <v>114457.99399999999</v>
      </c>
      <c r="AZ68" s="586"/>
      <c r="BA68" s="538">
        <f>SUMIF('Value added steel '!$D$55:$D$78,'Special steel '!$D68,'Value added steel '!$BA$55:$BA$78)</f>
        <v>10972.29</v>
      </c>
      <c r="BB68" s="588"/>
      <c r="BC68" s="2010">
        <f t="shared" si="104"/>
        <v>16113.29</v>
      </c>
      <c r="BD68" s="2053"/>
      <c r="BE68" s="1066">
        <f t="shared" si="13"/>
        <v>64081.02</v>
      </c>
      <c r="BF68" s="588"/>
      <c r="BG68" s="581">
        <f t="shared" si="14"/>
        <v>125430.28399999999</v>
      </c>
      <c r="BH68" s="23"/>
      <c r="BI68" s="23"/>
    </row>
    <row r="69" spans="3:61" x14ac:dyDescent="0.35">
      <c r="C69" s="6487" t="s">
        <v>993</v>
      </c>
      <c r="D69" s="6487"/>
      <c r="E69" s="3996"/>
      <c r="F69" s="590"/>
      <c r="G69" s="591">
        <f>SUM(G52:G68)</f>
        <v>5270</v>
      </c>
      <c r="H69" s="591"/>
      <c r="I69" s="591">
        <f>SUM(I52:I68)</f>
        <v>0</v>
      </c>
      <c r="J69" s="591"/>
      <c r="K69" s="592">
        <f>SUM(K52:K68)</f>
        <v>5270</v>
      </c>
      <c r="L69" s="591"/>
      <c r="M69" s="591">
        <f>SUM(M52:M68)</f>
        <v>20567</v>
      </c>
      <c r="N69" s="591"/>
      <c r="O69" s="591">
        <f>SUM(O52:O68)</f>
        <v>25837</v>
      </c>
      <c r="P69" s="591"/>
      <c r="Q69" s="591">
        <f>SUM(Q52:Q68)</f>
        <v>17716</v>
      </c>
      <c r="R69" s="591"/>
      <c r="S69" s="591">
        <f>SUM(S52:S68)</f>
        <v>43553</v>
      </c>
      <c r="T69" s="591"/>
      <c r="U69" s="591">
        <f>SUM(U52:U68)</f>
        <v>15212.343999999999</v>
      </c>
      <c r="V69" s="591"/>
      <c r="W69" s="591">
        <f>SUM(W52:W68)</f>
        <v>57451.301999999996</v>
      </c>
      <c r="X69" s="591"/>
      <c r="Y69" s="591">
        <f>SUM(Y52:Y68)</f>
        <v>13250</v>
      </c>
      <c r="Z69" s="591"/>
      <c r="AA69" s="2011">
        <f>SUM(AA52:AA68)</f>
        <v>46178.343999999997</v>
      </c>
      <c r="AB69" s="2053"/>
      <c r="AC69" s="2011">
        <f t="shared" si="52"/>
        <v>72015.343999999997</v>
      </c>
      <c r="AD69" s="591"/>
      <c r="AE69" s="591">
        <f>SUM(AE52:AE68)</f>
        <v>21376</v>
      </c>
      <c r="AF69" s="591"/>
      <c r="AG69" s="591">
        <f>SUM(AG52:AG68)</f>
        <v>93391.343999999997</v>
      </c>
      <c r="AH69" s="591"/>
      <c r="AI69" s="591">
        <f>SUM(AI52:AI68)</f>
        <v>19188.347999999998</v>
      </c>
      <c r="AJ69" s="591"/>
      <c r="AK69" s="591">
        <f>SUM(AK52:AK68)</f>
        <v>112579.692</v>
      </c>
      <c r="AL69" s="591"/>
      <c r="AM69" s="591">
        <f>SUM(AM52:AM68)</f>
        <v>23945</v>
      </c>
      <c r="AN69" s="591"/>
      <c r="AO69" s="2011">
        <f>SUM(AO52:AO68)</f>
        <v>64509.347999999998</v>
      </c>
      <c r="AP69" s="591"/>
      <c r="AQ69" s="591">
        <f>SUM(AQ52:AQ68)</f>
        <v>136524.69199999998</v>
      </c>
      <c r="AR69" s="591"/>
      <c r="AS69" s="591">
        <f>SUM(AS52:AS68)</f>
        <v>10812</v>
      </c>
      <c r="AT69" s="591"/>
      <c r="AU69" s="591">
        <f>SUM(AU52:AU68)</f>
        <v>147336.69199999998</v>
      </c>
      <c r="AV69" s="586"/>
      <c r="AW69" s="591">
        <f>SUM(AW52:AW68)</f>
        <v>1894.2660000000001</v>
      </c>
      <c r="AX69" s="591"/>
      <c r="AY69" s="591">
        <f>SUM(AY52:AY68)</f>
        <v>149230.95799999998</v>
      </c>
      <c r="AZ69" s="586"/>
      <c r="BA69" s="591">
        <f>SUM(BA52:BA68)</f>
        <v>15906.736000000001</v>
      </c>
      <c r="BB69" s="588"/>
      <c r="BC69" s="2011">
        <f>SUM(BC52:BC68)</f>
        <v>28613.002</v>
      </c>
      <c r="BD69" s="2053"/>
      <c r="BE69" s="2011">
        <f>AO69+BC69</f>
        <v>93122.35</v>
      </c>
      <c r="BF69" s="588"/>
      <c r="BG69" s="591">
        <f>SUM(BG52:BG68)</f>
        <v>165137.69399999999</v>
      </c>
      <c r="BH69" s="23"/>
      <c r="BI69" s="23"/>
    </row>
    <row r="70" spans="3:61" x14ac:dyDescent="0.35">
      <c r="C70" s="512" t="s">
        <v>933</v>
      </c>
      <c r="D70" s="512" t="s">
        <v>1530</v>
      </c>
      <c r="E70" s="3996"/>
      <c r="F70" s="512"/>
      <c r="G70" s="513">
        <f>SUMIF('Value added steel '!$D$80:$D$93,$D70,'Value added steel '!$G$80:$G$93)</f>
        <v>0</v>
      </c>
      <c r="H70" s="992"/>
      <c r="I70" s="513">
        <f>SUMIF('Value added steel '!$D$80:$D$93,$D70,'Value added steel '!$I$80:$I$93)</f>
        <v>0</v>
      </c>
      <c r="J70" s="583"/>
      <c r="K70" s="581">
        <f t="shared" si="53"/>
        <v>0</v>
      </c>
      <c r="L70" s="992"/>
      <c r="M70" s="513">
        <f>SUMIF('Value added steel '!$D$80:$D$93,$D70,'Value added steel '!$M$80:$M$93)</f>
        <v>0</v>
      </c>
      <c r="N70" s="588"/>
      <c r="O70" s="586">
        <f t="shared" si="54"/>
        <v>0</v>
      </c>
      <c r="P70" s="992"/>
      <c r="Q70" s="513">
        <f>SUMIF('Value added steel '!$D$80:$D$93,$D70,'Value added steel '!$Q$80:$Q$93)</f>
        <v>0</v>
      </c>
      <c r="R70" s="588"/>
      <c r="S70" s="586">
        <f t="shared" ref="S70:S74" si="114">O70+Q70</f>
        <v>0</v>
      </c>
      <c r="T70" s="992"/>
      <c r="U70" s="513">
        <f>SUMIF('Value added steel '!$D$80:$D$93,$D70,'Value added steel '!$U$80:$U$93)</f>
        <v>0</v>
      </c>
      <c r="V70" s="588"/>
      <c r="W70" s="586"/>
      <c r="X70" s="586"/>
      <c r="Y70" s="513">
        <f>SUMIF('Value added steel '!$D$80:$D$93,$D70,'Value added steel '!$Y$80:$Y$93)</f>
        <v>0</v>
      </c>
      <c r="Z70" s="588"/>
      <c r="AA70" s="2010">
        <f t="shared" ref="AA70:AA75" si="115">Q70+U70+Y70</f>
        <v>0</v>
      </c>
      <c r="AB70" s="2053"/>
      <c r="AC70" s="1066">
        <f t="shared" si="52"/>
        <v>0</v>
      </c>
      <c r="AD70" s="586"/>
      <c r="AE70" s="513">
        <f>SUMIF('Value added steel '!$D$80:$D$93,$D70,'Value added steel '!$AE$80:$AE$93)</f>
        <v>0</v>
      </c>
      <c r="AF70" s="588"/>
      <c r="AG70" s="586">
        <f t="shared" ref="AG70:AG75" si="116">+Y70+AA70+AE70</f>
        <v>0</v>
      </c>
      <c r="AH70" s="586"/>
      <c r="AI70" s="513">
        <f>SUMIF('Value added steel '!$D$80:$D$93,$D70,'Value added steel '!$AI$80:$AI$93)</f>
        <v>0</v>
      </c>
      <c r="AJ70" s="588"/>
      <c r="AK70" s="581">
        <f t="shared" ref="AK70:AK75" si="117">+AC70+AE70+AI70</f>
        <v>0</v>
      </c>
      <c r="AL70" s="586"/>
      <c r="AM70" s="513">
        <f>SUMIF('Value added steel '!$D$80:$D$93,$D70,'Value added steel '!$AM$80:$AM$93)</f>
        <v>0</v>
      </c>
      <c r="AN70" s="588"/>
      <c r="AO70" s="2010">
        <f t="shared" ref="AO70:AO75" si="118">AE70+AI70+AM70</f>
        <v>0</v>
      </c>
      <c r="AP70" s="588"/>
      <c r="AQ70" s="581">
        <f t="shared" ref="AQ70:AQ75" si="119">+AG70+AI70+AM70</f>
        <v>0</v>
      </c>
      <c r="AR70" s="586"/>
      <c r="AS70" s="513">
        <f>SUMIF('Value added steel '!$D$80:$D$93,$D70,'Value added steel '!$AS$80:$AS$93)</f>
        <v>1882</v>
      </c>
      <c r="AT70" s="588"/>
      <c r="AU70" s="581">
        <f t="shared" ref="AU70:AU77" si="120">AQ70+AS70</f>
        <v>1882</v>
      </c>
      <c r="AV70" s="591"/>
      <c r="AW70" s="513">
        <f>SUMIF('Value added steel '!$D$80:$D$93,$D70,'Value added steel '!$AW$80:$AW$93)</f>
        <v>1221.2460000000001</v>
      </c>
      <c r="AX70" s="588"/>
      <c r="AY70" s="581">
        <f t="shared" ref="AY70:AY75" si="121">AU70+AW70</f>
        <v>3103.2460000000001</v>
      </c>
      <c r="AZ70" s="591"/>
      <c r="BA70" s="513">
        <f>SUMIF('Value added steel '!$D$80:$D$93,$D70,'Value added steel '!$BA$80:$BA$93)</f>
        <v>0</v>
      </c>
      <c r="BB70" s="593"/>
      <c r="BC70" s="2010">
        <f t="shared" ref="BC70:BC75" si="122">AS70+AW70+BA70</f>
        <v>3103.2460000000001</v>
      </c>
      <c r="BD70" s="2053"/>
      <c r="BE70" s="1066">
        <f>AO70+BC70</f>
        <v>3103.2460000000001</v>
      </c>
      <c r="BF70" s="593"/>
      <c r="BG70" s="581">
        <f t="shared" si="14"/>
        <v>3103.2460000000001</v>
      </c>
      <c r="BH70" s="23"/>
      <c r="BI70" s="23"/>
    </row>
    <row r="71" spans="3:61" x14ac:dyDescent="0.35">
      <c r="C71" s="512" t="s">
        <v>933</v>
      </c>
      <c r="D71" s="4861" t="s">
        <v>2105</v>
      </c>
      <c r="E71" s="3996"/>
      <c r="F71" s="4861"/>
      <c r="G71" s="4862"/>
      <c r="H71" s="4863"/>
      <c r="I71" s="4862"/>
      <c r="J71" s="4864"/>
      <c r="K71" s="581">
        <f t="shared" si="53"/>
        <v>0</v>
      </c>
      <c r="L71" s="4863"/>
      <c r="M71" s="4862"/>
      <c r="N71" s="4866"/>
      <c r="O71" s="4867"/>
      <c r="P71" s="4863"/>
      <c r="Q71" s="4862"/>
      <c r="R71" s="4866"/>
      <c r="S71" s="4867"/>
      <c r="T71" s="4863"/>
      <c r="U71" s="4862"/>
      <c r="V71" s="4866"/>
      <c r="W71" s="4867"/>
      <c r="X71" s="4867"/>
      <c r="Y71" s="4862"/>
      <c r="Z71" s="4866"/>
      <c r="AA71" s="4868"/>
      <c r="AB71" s="4869"/>
      <c r="AC71" s="4870"/>
      <c r="AD71" s="4867"/>
      <c r="AE71" s="4862"/>
      <c r="AF71" s="4866"/>
      <c r="AG71" s="4867"/>
      <c r="AH71" s="4867"/>
      <c r="AI71" s="4862"/>
      <c r="AJ71" s="4866"/>
      <c r="AK71" s="4865"/>
      <c r="AL71" s="4867"/>
      <c r="AM71" s="4862"/>
      <c r="AN71" s="4866"/>
      <c r="AO71" s="4868"/>
      <c r="AP71" s="4866"/>
      <c r="AQ71" s="4865"/>
      <c r="AR71" s="4867"/>
      <c r="AS71" s="513">
        <f>SUMIF('Value added steel '!$D$80:$D$93,$D71,'Value added steel '!$AS$80:$AS$93)</f>
        <v>1655</v>
      </c>
      <c r="AT71" s="4866"/>
      <c r="AU71" s="581">
        <f t="shared" si="120"/>
        <v>1655</v>
      </c>
      <c r="AV71" s="4871"/>
      <c r="AW71" s="513">
        <f>SUMIF('Value added steel '!$D$80:$D$93,$D71,'Value added steel '!$AW$80:$AW$93)</f>
        <v>0</v>
      </c>
      <c r="AX71" s="4866"/>
      <c r="AY71" s="581">
        <f t="shared" si="121"/>
        <v>1655</v>
      </c>
      <c r="AZ71" s="4871"/>
      <c r="BA71" s="513">
        <f>SUMIF('Value added steel '!$D$80:$D$93,$D71,'Value added steel '!$BA$80:$BA$93)</f>
        <v>2258.1779999999999</v>
      </c>
      <c r="BB71" s="4872"/>
      <c r="BC71" s="2010">
        <f t="shared" si="122"/>
        <v>3913.1779999999999</v>
      </c>
      <c r="BD71" s="4869"/>
      <c r="BE71" s="1066">
        <f>AO71+BC71</f>
        <v>3913.1779999999999</v>
      </c>
      <c r="BF71" s="4872"/>
      <c r="BG71" s="581">
        <f t="shared" si="14"/>
        <v>3913.1779999999999</v>
      </c>
      <c r="BH71" s="23"/>
      <c r="BI71" s="23"/>
    </row>
    <row r="72" spans="3:61" x14ac:dyDescent="0.35">
      <c r="C72" s="512" t="s">
        <v>933</v>
      </c>
      <c r="D72" s="512" t="s">
        <v>639</v>
      </c>
      <c r="E72" s="3996"/>
      <c r="F72" s="512"/>
      <c r="G72" s="513">
        <f>SUMIF('Value added steel '!$D$80:$D$93,$D72,'Value added steel '!$G$80:$G$93)</f>
        <v>0</v>
      </c>
      <c r="H72" s="992"/>
      <c r="I72" s="513">
        <f>SUMIF('Value added steel '!$D$80:$D$93,$D72,'Value added steel '!$I$80:$I$93)</f>
        <v>0</v>
      </c>
      <c r="J72" s="583"/>
      <c r="K72" s="581">
        <f t="shared" si="53"/>
        <v>0</v>
      </c>
      <c r="L72" s="992"/>
      <c r="M72" s="513">
        <f>SUMIF('Value added steel '!$D$80:$D$93,$D72,'Value added steel '!$M$80:$M$93)</f>
        <v>0</v>
      </c>
      <c r="N72" s="588"/>
      <c r="O72" s="586">
        <f t="shared" si="54"/>
        <v>0</v>
      </c>
      <c r="P72" s="992"/>
      <c r="Q72" s="513">
        <f>SUMIF('Value added steel '!$D$80:$D$93,$D72,'Value added steel '!$Q$80:$Q$93)</f>
        <v>0</v>
      </c>
      <c r="R72" s="588"/>
      <c r="S72" s="586">
        <f t="shared" si="114"/>
        <v>0</v>
      </c>
      <c r="T72" s="992"/>
      <c r="U72" s="513">
        <f>SUMIF('Value added steel '!$D$80:$D$93,$D72,'Value added steel '!$U$80:$U$93)</f>
        <v>5899.3739999999998</v>
      </c>
      <c r="V72" s="588"/>
      <c r="W72" s="586">
        <f t="shared" ref="W72:W74" si="123">S72+U72</f>
        <v>5899.3739999999998</v>
      </c>
      <c r="X72" s="586"/>
      <c r="Y72" s="513">
        <f>SUMIF('Value added steel '!$D$80:$D$93,$D72,'Value added steel '!$Y$80:$Y$93)</f>
        <v>0</v>
      </c>
      <c r="Z72" s="588"/>
      <c r="AA72" s="2010">
        <f t="shared" si="115"/>
        <v>5899.3739999999998</v>
      </c>
      <c r="AB72" s="2053"/>
      <c r="AC72" s="1066">
        <f t="shared" si="52"/>
        <v>5899.3739999999998</v>
      </c>
      <c r="AD72" s="586"/>
      <c r="AE72" s="513">
        <f>SUMIF('Value added steel '!$D$80:$D$93,$D72,'Value added steel '!$AE$80:$AE$93)</f>
        <v>9050</v>
      </c>
      <c r="AF72" s="588"/>
      <c r="AG72" s="586">
        <f t="shared" si="116"/>
        <v>14949.374</v>
      </c>
      <c r="AH72" s="586"/>
      <c r="AI72" s="513">
        <f>SUMIF('Value added steel '!$D$80:$D$93,$D72,'Value added steel '!$AI$80:$AI$93)</f>
        <v>0</v>
      </c>
      <c r="AJ72" s="588"/>
      <c r="AK72" s="581">
        <f t="shared" si="117"/>
        <v>14949.374</v>
      </c>
      <c r="AL72" s="586"/>
      <c r="AM72" s="513">
        <f>SUMIF('Value added steel '!$D$80:$D$93,$D72,'Value added steel '!$AM$80:$AM$93)</f>
        <v>0</v>
      </c>
      <c r="AN72" s="588"/>
      <c r="AO72" s="2010">
        <f t="shared" si="118"/>
        <v>9050</v>
      </c>
      <c r="AP72" s="588"/>
      <c r="AQ72" s="581">
        <f t="shared" si="119"/>
        <v>14949.374</v>
      </c>
      <c r="AR72" s="586"/>
      <c r="AS72" s="513">
        <f>SUMIF('Value added steel '!$D$80:$D$93,$D72,'Value added steel '!$AS$80:$AS$93)</f>
        <v>0</v>
      </c>
      <c r="AT72" s="588"/>
      <c r="AU72" s="581">
        <f t="shared" si="120"/>
        <v>14949.374</v>
      </c>
      <c r="AV72" s="587"/>
      <c r="AW72" s="513">
        <f>SUMIF('Value added steel '!$D$80:$D$93,$D72,'Value added steel '!$AW$80:$AW$93)</f>
        <v>0</v>
      </c>
      <c r="AX72" s="588"/>
      <c r="AY72" s="581">
        <f t="shared" si="121"/>
        <v>14949.374</v>
      </c>
      <c r="AZ72" s="587"/>
      <c r="BA72" s="513">
        <f>SUMIF('Value added steel '!$D$80:$D$93,$D72,'Value added steel '!$BA$80:$BA$93)</f>
        <v>0</v>
      </c>
      <c r="BB72" s="587"/>
      <c r="BC72" s="2010">
        <f t="shared" si="122"/>
        <v>0</v>
      </c>
      <c r="BD72" s="2053"/>
      <c r="BE72" s="1066">
        <f t="shared" ref="BE72:BE75" si="124">AO72+BC72</f>
        <v>9050</v>
      </c>
      <c r="BF72" s="587"/>
      <c r="BG72" s="581">
        <f t="shared" ref="BG72:BG75" si="125">AY72+BA72</f>
        <v>14949.374</v>
      </c>
      <c r="BH72" s="23"/>
      <c r="BI72" s="23"/>
    </row>
    <row r="73" spans="3:61" x14ac:dyDescent="0.35">
      <c r="C73" s="512" t="s">
        <v>933</v>
      </c>
      <c r="D73" s="512" t="s">
        <v>1071</v>
      </c>
      <c r="E73" s="3996"/>
      <c r="F73" s="512"/>
      <c r="G73" s="513">
        <f>SUMIF('Value added steel '!$D$80:$D$93,$D73,'Value added steel '!$G$80:$G$93)</f>
        <v>0</v>
      </c>
      <c r="H73" s="992"/>
      <c r="I73" s="513">
        <f>SUMIF('Value added steel '!$D$80:$D$93,$D73,'Value added steel '!$I$80:$I$93)</f>
        <v>0</v>
      </c>
      <c r="J73" s="583"/>
      <c r="K73" s="581">
        <f t="shared" si="53"/>
        <v>0</v>
      </c>
      <c r="L73" s="992"/>
      <c r="M73" s="513">
        <f>SUMIF('Value added steel '!$D$80:$D$93,$D73,'Value added steel '!$M$80:$M$93)</f>
        <v>0</v>
      </c>
      <c r="N73" s="588"/>
      <c r="O73" s="586">
        <f t="shared" si="54"/>
        <v>0</v>
      </c>
      <c r="P73" s="992"/>
      <c r="Q73" s="513">
        <f>SUMIF('Value added steel '!$D$80:$D$93,$D73,'Value added steel '!$Q$80:$Q$93)</f>
        <v>0</v>
      </c>
      <c r="R73" s="588"/>
      <c r="S73" s="586">
        <f t="shared" si="114"/>
        <v>0</v>
      </c>
      <c r="T73" s="992"/>
      <c r="U73" s="513">
        <f>SUMIF('Value added steel '!$D$80:$D$93,$D73,'Value added steel '!$U$80:$U$93)</f>
        <v>0</v>
      </c>
      <c r="V73" s="588"/>
      <c r="W73" s="586">
        <f t="shared" si="123"/>
        <v>0</v>
      </c>
      <c r="X73" s="586"/>
      <c r="Y73" s="513">
        <f>SUMIF('Value added steel '!$D$80:$D$93,$D73,'Value added steel '!$Y$80:$Y$93)</f>
        <v>0</v>
      </c>
      <c r="Z73" s="588"/>
      <c r="AA73" s="2010">
        <f t="shared" si="115"/>
        <v>0</v>
      </c>
      <c r="AB73" s="2053"/>
      <c r="AC73" s="1066">
        <f t="shared" si="52"/>
        <v>0</v>
      </c>
      <c r="AD73" s="586"/>
      <c r="AE73" s="513">
        <f>SUMIF('Value added steel '!$D$80:$D$93,$D73,'Value added steel '!$AE$80:$AE$93)</f>
        <v>0</v>
      </c>
      <c r="AF73" s="588"/>
      <c r="AG73" s="586">
        <f t="shared" si="116"/>
        <v>0</v>
      </c>
      <c r="AH73" s="586"/>
      <c r="AI73" s="513">
        <f>SUMIF('Value added steel '!$D$80:$D$93,$D73,'Value added steel '!$AI$80:$AI$93)</f>
        <v>0</v>
      </c>
      <c r="AJ73" s="588"/>
      <c r="AK73" s="581">
        <f t="shared" si="117"/>
        <v>0</v>
      </c>
      <c r="AL73" s="586"/>
      <c r="AM73" s="513">
        <f>SUMIF('Value added steel '!$D$80:$D$93,$D73,'Value added steel '!$AM$80:$AM$93)</f>
        <v>0</v>
      </c>
      <c r="AN73" s="588"/>
      <c r="AO73" s="2010">
        <f t="shared" si="118"/>
        <v>0</v>
      </c>
      <c r="AP73" s="588"/>
      <c r="AQ73" s="581">
        <f t="shared" si="119"/>
        <v>0</v>
      </c>
      <c r="AR73" s="586"/>
      <c r="AS73" s="513">
        <f>SUMIF('Value added steel '!$D$80:$D$93,$D73,'Value added steel '!$AS$80:$AS$93)</f>
        <v>0</v>
      </c>
      <c r="AT73" s="588"/>
      <c r="AU73" s="581">
        <f t="shared" si="120"/>
        <v>0</v>
      </c>
      <c r="AV73" s="644"/>
      <c r="AW73" s="513">
        <f>SUMIF('Value added steel '!$D$80:$D$93,$D73,'Value added steel '!$AW$80:$AW$93)</f>
        <v>0</v>
      </c>
      <c r="AX73" s="588"/>
      <c r="AY73" s="581">
        <f t="shared" si="121"/>
        <v>0</v>
      </c>
      <c r="AZ73" s="644"/>
      <c r="BA73" s="513">
        <f>SUMIF('Value added steel '!$D$80:$D$93,$D73,'Value added steel '!$BA$80:$BA$93)</f>
        <v>0</v>
      </c>
      <c r="BB73" s="644"/>
      <c r="BC73" s="2010">
        <f t="shared" si="122"/>
        <v>0</v>
      </c>
      <c r="BD73" s="2053"/>
      <c r="BE73" s="1066">
        <f t="shared" si="124"/>
        <v>0</v>
      </c>
      <c r="BF73" s="644"/>
      <c r="BG73" s="581">
        <f t="shared" si="125"/>
        <v>0</v>
      </c>
      <c r="BH73" s="23"/>
      <c r="BI73" s="1111"/>
    </row>
    <row r="74" spans="3:61" s="137" customFormat="1" x14ac:dyDescent="0.35">
      <c r="C74" s="512" t="s">
        <v>933</v>
      </c>
      <c r="D74" s="512" t="s">
        <v>638</v>
      </c>
      <c r="E74" s="3996"/>
      <c r="F74" s="512"/>
      <c r="G74" s="513">
        <f>SUMIF('Value added steel '!$D$80:$D$93,$D74,'Value added steel '!$G$80:$G$93)</f>
        <v>0</v>
      </c>
      <c r="H74" s="992"/>
      <c r="I74" s="513">
        <f>SUMIF('Value added steel '!$D$80:$D$93,$D74,'Value added steel '!$I$80:$I$93)</f>
        <v>0</v>
      </c>
      <c r="J74" s="583"/>
      <c r="K74" s="581">
        <f t="shared" si="53"/>
        <v>0</v>
      </c>
      <c r="L74" s="992"/>
      <c r="M74" s="513">
        <f>SUMIF('Value added steel '!$D$80:$D$93,$D74,'Value added steel '!$M$80:$M$93)</f>
        <v>0</v>
      </c>
      <c r="N74" s="588"/>
      <c r="O74" s="586">
        <f t="shared" si="54"/>
        <v>0</v>
      </c>
      <c r="P74" s="992"/>
      <c r="Q74" s="513">
        <f>SUMIF('Value added steel '!$D$80:$D$93,$D74,'Value added steel '!$Q$80:$Q$93)</f>
        <v>0</v>
      </c>
      <c r="R74" s="588"/>
      <c r="S74" s="586">
        <f t="shared" si="114"/>
        <v>0</v>
      </c>
      <c r="T74" s="992"/>
      <c r="U74" s="513">
        <f>SUMIF('Value added steel '!$D$80:$D$93,$D74,'Value added steel '!$U$80:$U$93)</f>
        <v>0</v>
      </c>
      <c r="V74" s="588"/>
      <c r="W74" s="586">
        <f t="shared" si="123"/>
        <v>0</v>
      </c>
      <c r="X74" s="586"/>
      <c r="Y74" s="513">
        <f>SUMIF('Value added steel '!$D$80:$D$93,$D74,'Value added steel '!$Y$80:$Y$93)</f>
        <v>0</v>
      </c>
      <c r="Z74" s="588"/>
      <c r="AA74" s="2010">
        <f t="shared" si="115"/>
        <v>0</v>
      </c>
      <c r="AB74" s="2053"/>
      <c r="AC74" s="1066">
        <f t="shared" si="52"/>
        <v>0</v>
      </c>
      <c r="AD74" s="586"/>
      <c r="AE74" s="513">
        <f>SUMIF('Value added steel '!$D$80:$D$93,$D74,'Value added steel '!$AE$80:$AE$93)</f>
        <v>0</v>
      </c>
      <c r="AF74" s="588"/>
      <c r="AG74" s="586">
        <f t="shared" si="116"/>
        <v>0</v>
      </c>
      <c r="AH74" s="586"/>
      <c r="AI74" s="513">
        <f>SUMIF('Value added steel '!$D$80:$D$93,$D74,'Value added steel '!$AI$80:$AI$93)</f>
        <v>0</v>
      </c>
      <c r="AJ74" s="588"/>
      <c r="AK74" s="581">
        <f t="shared" si="117"/>
        <v>0</v>
      </c>
      <c r="AL74" s="586"/>
      <c r="AM74" s="513">
        <f>SUMIF('Value added steel '!$D$80:$D$93,$D74,'Value added steel '!$AM$80:$AM$93)</f>
        <v>0</v>
      </c>
      <c r="AN74" s="588"/>
      <c r="AO74" s="2010">
        <f t="shared" si="118"/>
        <v>0</v>
      </c>
      <c r="AP74" s="588"/>
      <c r="AQ74" s="581">
        <f t="shared" si="119"/>
        <v>0</v>
      </c>
      <c r="AR74" s="586"/>
      <c r="AS74" s="513">
        <f>SUMIF('Value added steel '!$D$80:$D$93,$D74,'Value added steel '!$AS$80:$AS$93)</f>
        <v>0</v>
      </c>
      <c r="AT74" s="588"/>
      <c r="AU74" s="581">
        <f t="shared" si="120"/>
        <v>0</v>
      </c>
      <c r="AW74" s="513">
        <f>SUMIF('Value added steel '!$D$80:$D$93,$D74,'Value added steel '!$AW$80:$AW$93)</f>
        <v>0</v>
      </c>
      <c r="AX74" s="588"/>
      <c r="AY74" s="581">
        <f t="shared" si="121"/>
        <v>0</v>
      </c>
      <c r="BA74" s="513">
        <f>SUMIF('Value added steel '!$D$80:$D$93,$D74,'Value added steel '!$BA$80:$BA$93)</f>
        <v>0</v>
      </c>
      <c r="BC74" s="2010">
        <f t="shared" si="122"/>
        <v>0</v>
      </c>
      <c r="BE74" s="1066">
        <f t="shared" si="124"/>
        <v>0</v>
      </c>
      <c r="BG74" s="581">
        <f t="shared" si="125"/>
        <v>0</v>
      </c>
      <c r="BH74" s="23"/>
      <c r="BI74" s="23"/>
    </row>
    <row r="75" spans="3:61" x14ac:dyDescent="0.35">
      <c r="C75" s="512" t="s">
        <v>933</v>
      </c>
      <c r="D75" s="512" t="s">
        <v>1031</v>
      </c>
      <c r="E75" s="3996"/>
      <c r="F75" s="512"/>
      <c r="G75" s="513">
        <f>SUMIF('Value added steel '!$D$80:$D$93,$D75,'Value added steel '!$G$80:$G$93)</f>
        <v>0</v>
      </c>
      <c r="H75" s="992"/>
      <c r="I75" s="513">
        <f>SUMIF('Value added steel '!$D$80:$D$93,$D75,'Value added steel '!$I$80:$I$93)</f>
        <v>0</v>
      </c>
      <c r="J75" s="583"/>
      <c r="K75" s="581">
        <f t="shared" si="53"/>
        <v>0</v>
      </c>
      <c r="L75" s="992"/>
      <c r="M75" s="513">
        <f>SUMIF('Value added steel '!$D$80:$D$93,$D75,'Value added steel '!$M$80:$M$93)</f>
        <v>0</v>
      </c>
      <c r="N75" s="588"/>
      <c r="O75" s="586">
        <f t="shared" si="54"/>
        <v>0</v>
      </c>
      <c r="P75" s="992"/>
      <c r="Q75" s="513">
        <f>SUMIF('Value added steel '!$D$80:$D$93,$D75,'Value added steel '!$Q$80:$Q$93)</f>
        <v>0</v>
      </c>
      <c r="R75" s="588"/>
      <c r="S75" s="586">
        <f t="shared" ref="S75" si="126">+K75+M75+Q75</f>
        <v>0</v>
      </c>
      <c r="T75" s="992"/>
      <c r="U75" s="513">
        <f>SUMIF('Value added steel '!$D$80:$D$93,$D75,'Value added steel '!$U$80:$U$93)</f>
        <v>0</v>
      </c>
      <c r="V75" s="588"/>
      <c r="W75" s="586">
        <f t="shared" ref="W75" si="127">+O75+Q75+U75</f>
        <v>0</v>
      </c>
      <c r="X75" s="586"/>
      <c r="Y75" s="513">
        <f>SUMIF('Value added steel '!$D$80:$D$93,$D75,'Value added steel '!$Y$80:$Y$93)</f>
        <v>0</v>
      </c>
      <c r="Z75" s="588"/>
      <c r="AA75" s="2010">
        <f t="shared" si="115"/>
        <v>0</v>
      </c>
      <c r="AB75" s="2053"/>
      <c r="AC75" s="1066">
        <f t="shared" si="52"/>
        <v>0</v>
      </c>
      <c r="AD75" s="586"/>
      <c r="AE75" s="513">
        <f>SUMIF('Value added steel '!$D$80:$D$93,$D75,'Value added steel '!$AE$80:$AE$93)</f>
        <v>0</v>
      </c>
      <c r="AF75" s="588"/>
      <c r="AG75" s="586">
        <f t="shared" si="116"/>
        <v>0</v>
      </c>
      <c r="AH75" s="586"/>
      <c r="AI75" s="513">
        <f>SUMIF('Value added steel '!$D$80:$D$93,$D75,'Value added steel '!$AI$80:$AI$93)</f>
        <v>0</v>
      </c>
      <c r="AJ75" s="588"/>
      <c r="AK75" s="581">
        <f t="shared" si="117"/>
        <v>0</v>
      </c>
      <c r="AL75" s="586"/>
      <c r="AM75" s="513">
        <f>SUMIF('Value added steel '!$D$80:$D$93,$D75,'Value added steel '!$AM$80:$AM$93)</f>
        <v>0</v>
      </c>
      <c r="AN75" s="588"/>
      <c r="AO75" s="2010">
        <f t="shared" si="118"/>
        <v>0</v>
      </c>
      <c r="AP75" s="588"/>
      <c r="AQ75" s="581">
        <f t="shared" si="119"/>
        <v>0</v>
      </c>
      <c r="AR75" s="586"/>
      <c r="AS75" s="513">
        <f>SUMIF('Value added steel '!$D$80:$D$93,$D75,'Value added steel '!$AS$80:$AS$93)</f>
        <v>0</v>
      </c>
      <c r="AT75" s="588"/>
      <c r="AU75" s="581">
        <f t="shared" si="120"/>
        <v>0</v>
      </c>
      <c r="AW75" s="513">
        <f>SUMIF('Value added steel '!$D$80:$D$93,$D75,'Value added steel '!$AW$80:$AW$93)</f>
        <v>0</v>
      </c>
      <c r="AX75" s="588"/>
      <c r="AY75" s="581">
        <f t="shared" si="121"/>
        <v>0</v>
      </c>
      <c r="BA75" s="513">
        <f>SUMIF('Value added steel '!$D$80:$D$93,$D75,'Value added steel '!$BA$80:$BA$93)</f>
        <v>0</v>
      </c>
      <c r="BC75" s="2010">
        <f t="shared" si="122"/>
        <v>0</v>
      </c>
      <c r="BE75" s="1066">
        <f t="shared" si="124"/>
        <v>0</v>
      </c>
      <c r="BG75" s="581">
        <f t="shared" si="125"/>
        <v>0</v>
      </c>
      <c r="BH75" s="23"/>
    </row>
    <row r="76" spans="3:61" x14ac:dyDescent="0.35">
      <c r="C76" s="6487" t="s">
        <v>994</v>
      </c>
      <c r="D76" s="6487"/>
      <c r="E76" s="3996"/>
      <c r="F76" s="590"/>
      <c r="G76" s="591">
        <f>SUM(G70:G75)</f>
        <v>0</v>
      </c>
      <c r="H76" s="593"/>
      <c r="I76" s="591">
        <f>SUM(I70:I75)</f>
        <v>0</v>
      </c>
      <c r="J76" s="593"/>
      <c r="K76" s="592">
        <f>SUM(K70:K75)</f>
        <v>0</v>
      </c>
      <c r="L76" s="593"/>
      <c r="M76" s="591">
        <f>SUM(M70:M75)</f>
        <v>0</v>
      </c>
      <c r="N76" s="593"/>
      <c r="O76" s="591">
        <f>SUM(O70:O75)</f>
        <v>0</v>
      </c>
      <c r="P76" s="593"/>
      <c r="Q76" s="591">
        <f>SUM(Q70:Q75)</f>
        <v>0</v>
      </c>
      <c r="R76" s="593"/>
      <c r="S76" s="591">
        <f>SUM(S70:S75)</f>
        <v>0</v>
      </c>
      <c r="T76" s="593"/>
      <c r="U76" s="591">
        <f>SUM(U70:U75)</f>
        <v>5899.3739999999998</v>
      </c>
      <c r="V76" s="593"/>
      <c r="W76" s="591">
        <f>SUM(W70:W75)</f>
        <v>5899.3739999999998</v>
      </c>
      <c r="X76" s="591"/>
      <c r="Y76" s="591">
        <f>SUM(Y70:Y75)</f>
        <v>0</v>
      </c>
      <c r="Z76" s="593"/>
      <c r="AA76" s="2011">
        <f>SUM(AA70:AA75)</f>
        <v>5899.3739999999998</v>
      </c>
      <c r="AB76" s="2053"/>
      <c r="AC76" s="2011">
        <f t="shared" si="52"/>
        <v>5899.3739999999998</v>
      </c>
      <c r="AD76" s="591"/>
      <c r="AE76" s="591">
        <f>SUM(AE70:AE75)</f>
        <v>9050</v>
      </c>
      <c r="AF76" s="593"/>
      <c r="AG76" s="591">
        <f>SUM(AG70:AG75)</f>
        <v>14949.374</v>
      </c>
      <c r="AH76" s="591"/>
      <c r="AI76" s="591">
        <f>SUM(AI70:AI75)</f>
        <v>0</v>
      </c>
      <c r="AJ76" s="593"/>
      <c r="AK76" s="591">
        <f>SUM(AK70:AK75)</f>
        <v>14949.374</v>
      </c>
      <c r="AL76" s="591"/>
      <c r="AM76" s="591">
        <f>SUM(AM70:AM75)</f>
        <v>0</v>
      </c>
      <c r="AN76" s="593"/>
      <c r="AO76" s="2011">
        <f>SUM(AO70:AO75)</f>
        <v>9050</v>
      </c>
      <c r="AP76" s="593"/>
      <c r="AQ76" s="591">
        <f>SUM(AQ70:AQ75)</f>
        <v>14949.374</v>
      </c>
      <c r="AR76" s="591"/>
      <c r="AS76" s="591">
        <f>SUM(AS70:AS75)</f>
        <v>3537</v>
      </c>
      <c r="AT76" s="593"/>
      <c r="AU76" s="591">
        <f>SUM(AU70:AU75)</f>
        <v>18486.374</v>
      </c>
      <c r="AW76" s="591">
        <f>SUM(AW70:AW75)</f>
        <v>1221.2460000000001</v>
      </c>
      <c r="AX76" s="593"/>
      <c r="AY76" s="591">
        <f>SUM(AY70:AY75)</f>
        <v>19707.62</v>
      </c>
      <c r="BA76" s="591">
        <f>SUM(BA70:BA75)</f>
        <v>2258.1779999999999</v>
      </c>
      <c r="BC76" s="2011">
        <f>SUM(BC70:BC75)</f>
        <v>7016.424</v>
      </c>
      <c r="BE76" s="2011">
        <f>AO76+BC76</f>
        <v>16066.423999999999</v>
      </c>
      <c r="BG76" s="591">
        <f>SUM(BG70:BG75)</f>
        <v>21965.797999999999</v>
      </c>
    </row>
    <row r="77" spans="3:61" x14ac:dyDescent="0.35">
      <c r="C77" s="6488" t="s">
        <v>934</v>
      </c>
      <c r="D77" s="6488"/>
      <c r="E77" s="3997"/>
      <c r="F77" s="514"/>
      <c r="G77" s="515">
        <f>+G76+G69+G51+G45+G38</f>
        <v>136739.05200000005</v>
      </c>
      <c r="H77" s="515"/>
      <c r="I77" s="515">
        <f>+I76+I69+I51+I45+I38</f>
        <v>57359.880000000034</v>
      </c>
      <c r="J77" s="582"/>
      <c r="K77" s="581">
        <f t="shared" si="53"/>
        <v>194098.93200000009</v>
      </c>
      <c r="L77" s="515"/>
      <c r="M77" s="515">
        <f>+M76+M69+M51+M45+M38</f>
        <v>150879.20300000007</v>
      </c>
      <c r="N77" s="587"/>
      <c r="O77" s="587">
        <f t="shared" si="54"/>
        <v>344978.13500000013</v>
      </c>
      <c r="P77" s="515"/>
      <c r="Q77" s="515">
        <f>+Q76+Q69+Q51+Q45+Q38</f>
        <v>166009.5210000001</v>
      </c>
      <c r="R77" s="587"/>
      <c r="S77" s="587">
        <f t="shared" ref="S77" si="128">O77+Q77</f>
        <v>510987.65600000019</v>
      </c>
      <c r="T77" s="515"/>
      <c r="U77" s="515">
        <f>+U76+U69+U51+U45+U38</f>
        <v>138740.65700000006</v>
      </c>
      <c r="V77" s="587"/>
      <c r="W77" s="587">
        <f t="shared" ref="W77" si="129">S77+U77</f>
        <v>649728.31300000031</v>
      </c>
      <c r="X77" s="587"/>
      <c r="Y77" s="515">
        <f>+Y76+Y69+Y51+Y45+Y38</f>
        <v>138987.30400000006</v>
      </c>
      <c r="Z77" s="587"/>
      <c r="AA77" s="2012">
        <f>Q77+U77+Y77</f>
        <v>443737.48200000025</v>
      </c>
      <c r="AB77" s="2053"/>
      <c r="AC77" s="2215">
        <f t="shared" si="52"/>
        <v>788715.61700000032</v>
      </c>
      <c r="AD77" s="587"/>
      <c r="AE77" s="515">
        <f>+AE76+AE69+AE51+AE45+AE38</f>
        <v>115671.62000000007</v>
      </c>
      <c r="AF77" s="587"/>
      <c r="AG77" s="587">
        <f t="shared" ref="AG77" si="130">AC77+AE77</f>
        <v>904387.23700000043</v>
      </c>
      <c r="AH77" s="587"/>
      <c r="AI77" s="515">
        <f>+AI76+AI69+AI51+AI45+AI38</f>
        <v>132178.04800000007</v>
      </c>
      <c r="AJ77" s="587"/>
      <c r="AK77" s="582">
        <f t="shared" ref="AK77" si="131">AG77+AI77</f>
        <v>1036565.2850000005</v>
      </c>
      <c r="AL77" s="587"/>
      <c r="AM77" s="515">
        <f>+AM76+AM69+AM51+AM45+AM38</f>
        <v>155219.61100000015</v>
      </c>
      <c r="AN77" s="587"/>
      <c r="AO77" s="2012">
        <f>AE77+AI77+AM77</f>
        <v>403069.27900000027</v>
      </c>
      <c r="AP77" s="587"/>
      <c r="AQ77" s="582">
        <f t="shared" ref="AQ77" si="132">AK77+AM77</f>
        <v>1191784.8960000006</v>
      </c>
      <c r="AR77" s="587"/>
      <c r="AS77" s="515">
        <f>+AS76+AS69+AS51+AS45+AS38</f>
        <v>157279.33500000014</v>
      </c>
      <c r="AT77" s="587"/>
      <c r="AU77" s="582">
        <f t="shared" si="120"/>
        <v>1349064.2310000008</v>
      </c>
      <c r="AW77" s="515">
        <f>+AW76+AW69+AW51+AW45+AW38</f>
        <v>120743.80400000012</v>
      </c>
      <c r="AX77" s="587"/>
      <c r="AY77" s="582">
        <f t="shared" ref="AY77" si="133">AU77+AW77</f>
        <v>1469808.0350000011</v>
      </c>
      <c r="BA77" s="515">
        <f>+BA76+BA69+BA51+BA45+BA38</f>
        <v>157667.08399999997</v>
      </c>
      <c r="BC77" s="2012">
        <f>AS77+AW77+BA77</f>
        <v>435690.22300000023</v>
      </c>
      <c r="BE77" s="2215">
        <f>AO77+BC77</f>
        <v>838759.50200000056</v>
      </c>
      <c r="BG77" s="581">
        <f t="shared" ref="BG77" si="134">AY77+BA77</f>
        <v>1627475.1190000011</v>
      </c>
    </row>
    <row r="78" spans="3:61" x14ac:dyDescent="0.35">
      <c r="C78" s="6484" t="s">
        <v>935</v>
      </c>
      <c r="D78" s="6484"/>
      <c r="E78" s="512" t="s">
        <v>936</v>
      </c>
      <c r="F78" s="512"/>
      <c r="G78" s="1018">
        <f>+G77/G80</f>
        <v>0.65512463902137785</v>
      </c>
      <c r="H78" s="594"/>
      <c r="I78" s="1018">
        <f>+I77/I80</f>
        <v>0.64923281256663834</v>
      </c>
      <c r="J78" s="1327"/>
      <c r="K78" s="1327">
        <f>+K77/K80</f>
        <v>0.65337239190971486</v>
      </c>
      <c r="L78" s="594"/>
      <c r="M78" s="1018">
        <f>+M77/M80</f>
        <v>0.66205869537643569</v>
      </c>
      <c r="N78" s="644"/>
      <c r="O78" s="644">
        <f>+O77/O80</f>
        <v>0.65714321662161868</v>
      </c>
      <c r="P78" s="594"/>
      <c r="Q78" s="1018">
        <f>+Q77/Q80</f>
        <v>0.68256627172892437</v>
      </c>
      <c r="R78" s="644"/>
      <c r="S78" s="644">
        <f>+S77/S80</f>
        <v>0.66519241799219619</v>
      </c>
      <c r="T78" s="594"/>
      <c r="U78" s="1018">
        <f>+U77/U80</f>
        <v>0.63344514343551783</v>
      </c>
      <c r="V78" s="644"/>
      <c r="W78" s="644">
        <f>+W77/W80</f>
        <v>0.6581488370491605</v>
      </c>
      <c r="X78" s="644"/>
      <c r="Y78" s="1018">
        <f>+Y77/Y80</f>
        <v>0.62378761357096457</v>
      </c>
      <c r="Z78" s="644"/>
      <c r="AA78" s="2013">
        <f>+AA77/AA80</f>
        <v>0.64774352356953602</v>
      </c>
      <c r="AB78" s="2053"/>
      <c r="AC78" s="2214">
        <f>AC77/AC80</f>
        <v>0.65182158260855649</v>
      </c>
      <c r="AD78" s="644"/>
      <c r="AE78" s="594">
        <f>+AE77/AE80</f>
        <v>0.65554259651827029</v>
      </c>
      <c r="AF78" s="644"/>
      <c r="AG78" s="644">
        <f>+AG77/AG80</f>
        <v>0.652295144684365</v>
      </c>
      <c r="AH78" s="644"/>
      <c r="AI78" s="594">
        <f>+AI77/AI80</f>
        <v>0.6162863347201597</v>
      </c>
      <c r="AJ78" s="644"/>
      <c r="AK78" s="1327">
        <f>+AK77/AK80</f>
        <v>0.64747112236894655</v>
      </c>
      <c r="AL78" s="644"/>
      <c r="AM78" s="594">
        <f>+AM77/AM80</f>
        <v>0.67002535306835342</v>
      </c>
      <c r="AN78" s="644"/>
      <c r="AO78" s="2013">
        <f>+AO77/AO80</f>
        <v>0.64740820958445477</v>
      </c>
      <c r="AP78" s="644"/>
      <c r="AQ78" s="1327">
        <f>+AQ77/AQ80</f>
        <v>0.65032223318451854</v>
      </c>
      <c r="AR78" s="644"/>
      <c r="AS78" s="594">
        <f>+AS77/AS80</f>
        <v>0.70038227906354733</v>
      </c>
      <c r="AT78" s="644"/>
      <c r="AU78" s="1327">
        <f>+AU77/AU80</f>
        <v>0.65578682615187378</v>
      </c>
      <c r="AW78" s="594">
        <f>+AW77/AW80</f>
        <v>0.65550233441924144</v>
      </c>
      <c r="AX78" s="644"/>
      <c r="AY78" s="1327">
        <f>+AY77/AY80</f>
        <v>0.65576344602579795</v>
      </c>
      <c r="BA78" s="594">
        <f>+BA77/BA80</f>
        <v>0.67571734366900982</v>
      </c>
      <c r="BC78" s="2013">
        <f>+BC77/BC80</f>
        <v>0.67854433341164322</v>
      </c>
      <c r="BE78" s="2214">
        <f>BE77/BE80</f>
        <v>0.66321639169715574</v>
      </c>
      <c r="BG78" s="1327">
        <f>+BG77/BG80</f>
        <v>0.65764484443132576</v>
      </c>
    </row>
    <row r="79" spans="3:61" x14ac:dyDescent="0.35">
      <c r="C79" s="137"/>
      <c r="D79" s="137"/>
      <c r="E79" s="137"/>
      <c r="F79" s="137"/>
      <c r="G79" s="137"/>
      <c r="H79" s="137"/>
      <c r="I79" s="137"/>
      <c r="J79" s="137"/>
      <c r="K79" s="137"/>
      <c r="L79" s="137"/>
      <c r="M79" s="137"/>
      <c r="N79" s="137"/>
      <c r="O79" s="137"/>
      <c r="P79" s="137"/>
      <c r="Q79" s="137"/>
      <c r="R79" s="137"/>
      <c r="S79" s="137"/>
      <c r="T79" s="137"/>
      <c r="U79" s="137"/>
      <c r="V79" s="137"/>
      <c r="W79" s="137"/>
      <c r="X79" s="137"/>
      <c r="Y79" s="137"/>
      <c r="Z79" s="137"/>
      <c r="AA79" s="137"/>
      <c r="AB79" s="137"/>
      <c r="AC79" s="2022"/>
      <c r="AD79" s="137"/>
      <c r="AE79" s="137"/>
      <c r="AF79" s="137"/>
      <c r="AG79" s="137"/>
      <c r="AH79" s="137"/>
      <c r="AI79" s="137"/>
      <c r="AJ79" s="137"/>
      <c r="AK79" s="137"/>
      <c r="AL79" s="137"/>
      <c r="AM79" s="137"/>
      <c r="AN79" s="137"/>
      <c r="AO79" s="137"/>
      <c r="AP79" s="137"/>
      <c r="AQ79" s="137"/>
      <c r="AR79" s="137"/>
      <c r="AS79" s="137"/>
      <c r="AT79" s="137"/>
      <c r="AU79" s="137"/>
      <c r="AW79" s="137"/>
      <c r="AX79" s="137"/>
      <c r="AY79" s="137"/>
      <c r="BA79" s="137"/>
      <c r="BC79" s="137"/>
      <c r="BE79" s="2022"/>
      <c r="BG79" s="137"/>
    </row>
    <row r="80" spans="3:61" x14ac:dyDescent="0.35">
      <c r="C80" s="6485" t="s">
        <v>992</v>
      </c>
      <c r="D80" s="6486"/>
      <c r="E80" s="514" t="s">
        <v>66</v>
      </c>
      <c r="F80" s="580">
        <f>+'Maj Production Summ'!E37</f>
        <v>181999.95710934181</v>
      </c>
      <c r="G80" s="580">
        <f>+'Maj Production Summ'!F37</f>
        <v>208722.19400000008</v>
      </c>
      <c r="H80" s="580"/>
      <c r="I80" s="580">
        <f>+'Maj Production Summ'!H37</f>
        <v>88350.248000000036</v>
      </c>
      <c r="J80" s="585"/>
      <c r="K80" s="585">
        <f>+'Maj Production Summ'!J37</f>
        <v>297072.4420000001</v>
      </c>
      <c r="L80" s="580">
        <f>+'Maj Production Summ'!K37</f>
        <v>229000.11088311521</v>
      </c>
      <c r="M80" s="580">
        <f>+'Maj Production Summ'!L37</f>
        <v>227893.99800000005</v>
      </c>
      <c r="N80" s="589"/>
      <c r="O80" s="589">
        <f>+G80+I80+M80</f>
        <v>524966.44000000018</v>
      </c>
      <c r="P80" s="580">
        <f>+'Maj Production Summ'!O37</f>
        <v>231500.1413553209</v>
      </c>
      <c r="Q80" s="580">
        <f>+'Maj Production Summ'!P37</f>
        <v>243213.77700000012</v>
      </c>
      <c r="R80" s="589"/>
      <c r="S80" s="589">
        <f t="shared" ref="S80" si="135">O80+Q80</f>
        <v>768180.2170000003</v>
      </c>
      <c r="T80" s="580">
        <f>+'Maj Production Summ'!S37</f>
        <v>231500.1413553209</v>
      </c>
      <c r="U80" s="580">
        <f>+'Maj Production Summ'!T37</f>
        <v>219025.52800000005</v>
      </c>
      <c r="V80" s="589"/>
      <c r="W80" s="589">
        <f t="shared" ref="W80" si="136">S80+U80</f>
        <v>987205.74500000034</v>
      </c>
      <c r="X80" s="589"/>
      <c r="Y80" s="580">
        <f>+'Maj Production Summ'!X37</f>
        <v>222811.90100000007</v>
      </c>
      <c r="Z80" s="589"/>
      <c r="AA80" s="2014">
        <f>Q80+U80+Y80</f>
        <v>685051.20600000024</v>
      </c>
      <c r="AB80" s="2015"/>
      <c r="AC80" s="1066">
        <f>O80+AA80</f>
        <v>1210017.6460000004</v>
      </c>
      <c r="AD80" s="589"/>
      <c r="AE80" s="580">
        <f>+'Maj Production Summ'!AD37</f>
        <v>176451.7220000001</v>
      </c>
      <c r="AF80" s="589"/>
      <c r="AG80" s="589">
        <f t="shared" ref="AG80" si="137">AC80+AE80</f>
        <v>1386469.3680000005</v>
      </c>
      <c r="AH80" s="589"/>
      <c r="AI80" s="580">
        <f>+'Maj Production Summ'!AH37</f>
        <v>214475.0590000001</v>
      </c>
      <c r="AJ80" s="589"/>
      <c r="AK80" s="585">
        <f t="shared" ref="AK80" si="138">AG80+AI80</f>
        <v>1600944.4270000006</v>
      </c>
      <c r="AL80" s="589"/>
      <c r="AM80" s="580">
        <f>+'Maj Production Summ'!AL37</f>
        <v>231662.29500000016</v>
      </c>
      <c r="AN80" s="589"/>
      <c r="AO80" s="2014">
        <f>AE80+AI80+AM80</f>
        <v>622589.07600000035</v>
      </c>
      <c r="AP80" s="589"/>
      <c r="AQ80" s="585">
        <f t="shared" ref="AQ80" si="139">AK80+AM80</f>
        <v>1832606.7220000008</v>
      </c>
      <c r="AR80" s="589"/>
      <c r="AS80" s="580">
        <f>+'Maj Production Summ'!AR37</f>
        <v>224562.12800000014</v>
      </c>
      <c r="AT80" s="589"/>
      <c r="AU80" s="585">
        <f t="shared" ref="AU80" si="140">AQ80+AS80</f>
        <v>2057168.850000001</v>
      </c>
      <c r="AW80" s="580">
        <f>+'Maj Production Summ'!AV37</f>
        <v>184200.41800000009</v>
      </c>
      <c r="AX80" s="589"/>
      <c r="AY80" s="585">
        <f t="shared" ref="AY80" si="141">AU80+AW80</f>
        <v>2241369.2680000011</v>
      </c>
      <c r="BA80" s="580">
        <f>+'Maj Production Summ'!AZ37</f>
        <v>233332.89499999999</v>
      </c>
      <c r="BC80" s="2014">
        <f>AS80+AW80+BA80</f>
        <v>642095.44100000022</v>
      </c>
      <c r="BE80" s="1066">
        <f>AO80+BC80</f>
        <v>1264684.5170000005</v>
      </c>
      <c r="BG80" s="581">
        <f t="shared" ref="BG80" si="142">AY80+BA80</f>
        <v>2474702.1630000011</v>
      </c>
    </row>
    <row r="81" spans="7:57" x14ac:dyDescent="0.35">
      <c r="BE81" s="500"/>
    </row>
    <row r="83" spans="7:57" x14ac:dyDescent="0.35">
      <c r="G83" s="23"/>
      <c r="H83" s="23"/>
      <c r="I83" s="23"/>
      <c r="J83" s="23"/>
      <c r="K83" s="23"/>
      <c r="L83" s="23"/>
      <c r="M83" s="23"/>
      <c r="O83" s="23"/>
    </row>
    <row r="84" spans="7:57" x14ac:dyDescent="0.35">
      <c r="G84" s="23"/>
      <c r="I84" s="23"/>
      <c r="K84" s="23"/>
      <c r="M84" s="23"/>
      <c r="O84" s="23"/>
    </row>
    <row r="85" spans="7:57" x14ac:dyDescent="0.35">
      <c r="G85" s="23"/>
      <c r="I85" s="23"/>
      <c r="K85" s="23"/>
      <c r="M85" s="23"/>
      <c r="O85" s="23"/>
    </row>
    <row r="86" spans="7:57" x14ac:dyDescent="0.35">
      <c r="G86" s="23"/>
      <c r="I86" s="23"/>
      <c r="M86" s="23"/>
    </row>
    <row r="87" spans="7:57" x14ac:dyDescent="0.35">
      <c r="G87" s="23"/>
      <c r="I87" s="23"/>
      <c r="K87" s="23"/>
      <c r="M87" s="23"/>
    </row>
  </sheetData>
  <mergeCells count="36">
    <mergeCell ref="AZ3:BA3"/>
    <mergeCell ref="BF3:BG3"/>
    <mergeCell ref="BB3:BC3"/>
    <mergeCell ref="BD3:BE3"/>
    <mergeCell ref="AV3:AW3"/>
    <mergeCell ref="AX3:AY3"/>
    <mergeCell ref="AR3:AS3"/>
    <mergeCell ref="AT3:AU3"/>
    <mergeCell ref="AL3:AM3"/>
    <mergeCell ref="AP3:AQ3"/>
    <mergeCell ref="AN3:AO3"/>
    <mergeCell ref="C78:D78"/>
    <mergeCell ref="C80:D80"/>
    <mergeCell ref="C38:D38"/>
    <mergeCell ref="C45:D45"/>
    <mergeCell ref="C51:D51"/>
    <mergeCell ref="C69:D69"/>
    <mergeCell ref="C76:D76"/>
    <mergeCell ref="C77:D77"/>
    <mergeCell ref="X3:Y3"/>
    <mergeCell ref="T3:U3"/>
    <mergeCell ref="V3:W3"/>
    <mergeCell ref="P3:Q3"/>
    <mergeCell ref="C1:O1"/>
    <mergeCell ref="F3:G3"/>
    <mergeCell ref="H3:I3"/>
    <mergeCell ref="J3:K3"/>
    <mergeCell ref="L3:M3"/>
    <mergeCell ref="N3:O3"/>
    <mergeCell ref="R3:S3"/>
    <mergeCell ref="AH3:AI3"/>
    <mergeCell ref="AJ3:AK3"/>
    <mergeCell ref="AD3:AE3"/>
    <mergeCell ref="AF3:AG3"/>
    <mergeCell ref="Z3:AA3"/>
    <mergeCell ref="AB3:AC3"/>
  </mergeCells>
  <printOptions horizontalCentered="1" verticalCentered="1"/>
  <pageMargins left="0" right="0" top="0" bottom="0" header="0" footer="0"/>
  <pageSetup scale="55"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theme="8" tint="0.59999389629810485"/>
  </sheetPr>
  <dimension ref="D2:U41"/>
  <sheetViews>
    <sheetView zoomScaleNormal="100" workbookViewId="0">
      <selection activeCell="V19" sqref="V19"/>
    </sheetView>
  </sheetViews>
  <sheetFormatPr defaultRowHeight="14.4" x14ac:dyDescent="0.3"/>
  <cols>
    <col min="4" max="4" width="21.6640625" customWidth="1"/>
    <col min="5" max="5" width="14.5546875" customWidth="1"/>
    <col min="6" max="8" width="8.33203125" bestFit="1" customWidth="1"/>
    <col min="9" max="9" width="13.44140625" bestFit="1" customWidth="1"/>
    <col min="10" max="12" width="8.33203125" bestFit="1" customWidth="1"/>
    <col min="13" max="13" width="13.44140625" bestFit="1" customWidth="1"/>
    <col min="17" max="17" width="13.44140625" bestFit="1" customWidth="1"/>
    <col min="21" max="21" width="13.44140625" bestFit="1" customWidth="1"/>
  </cols>
  <sheetData>
    <row r="2" spans="4:21" ht="23.4" x14ac:dyDescent="0.4">
      <c r="D2" s="6493" t="s">
        <v>2001</v>
      </c>
      <c r="E2" s="6494"/>
      <c r="F2" s="6489" t="s">
        <v>1901</v>
      </c>
      <c r="G2" s="6489"/>
      <c r="H2" s="6489"/>
      <c r="I2" s="6489"/>
      <c r="J2" s="6489" t="s">
        <v>1937</v>
      </c>
      <c r="K2" s="6489"/>
      <c r="L2" s="6489"/>
      <c r="M2" s="6489"/>
      <c r="N2" s="6489" t="s">
        <v>1963</v>
      </c>
      <c r="O2" s="6489"/>
      <c r="P2" s="6489"/>
      <c r="Q2" s="6489"/>
      <c r="R2" s="6489" t="s">
        <v>1985</v>
      </c>
      <c r="S2" s="6489"/>
      <c r="T2" s="6489"/>
      <c r="U2" s="6489"/>
    </row>
    <row r="3" spans="4:21" ht="23.4" x14ac:dyDescent="0.45">
      <c r="D3" s="6492" t="s">
        <v>1651</v>
      </c>
      <c r="E3" s="6492"/>
      <c r="F3" s="2503" t="s">
        <v>1647</v>
      </c>
      <c r="G3" s="2503" t="s">
        <v>1648</v>
      </c>
      <c r="H3" s="2503" t="s">
        <v>1649</v>
      </c>
      <c r="I3" s="2503" t="s">
        <v>1650</v>
      </c>
      <c r="J3" s="2503" t="s">
        <v>1647</v>
      </c>
      <c r="K3" s="2503" t="s">
        <v>1648</v>
      </c>
      <c r="L3" s="2503" t="s">
        <v>1649</v>
      </c>
      <c r="M3" s="2503" t="s">
        <v>1650</v>
      </c>
      <c r="N3" s="2503" t="s">
        <v>1647</v>
      </c>
      <c r="O3" s="2503" t="s">
        <v>1648</v>
      </c>
      <c r="P3" s="2503" t="s">
        <v>1649</v>
      </c>
      <c r="Q3" s="2503" t="s">
        <v>1650</v>
      </c>
      <c r="R3" s="2503" t="s">
        <v>1647</v>
      </c>
      <c r="S3" s="2503" t="s">
        <v>1648</v>
      </c>
      <c r="T3" s="2503" t="s">
        <v>1649</v>
      </c>
      <c r="U3" s="2503" t="s">
        <v>1650</v>
      </c>
    </row>
    <row r="4" spans="4:21" ht="23.4" x14ac:dyDescent="0.45">
      <c r="D4" s="6490" t="s">
        <v>410</v>
      </c>
      <c r="E4" s="6490" t="s">
        <v>410</v>
      </c>
      <c r="F4" s="2502">
        <v>37.32</v>
      </c>
      <c r="G4" s="2502">
        <v>28.86</v>
      </c>
      <c r="H4" s="2502">
        <v>34.417910643889648</v>
      </c>
      <c r="I4" s="2502">
        <v>1.0812145813631775</v>
      </c>
      <c r="J4" s="2502">
        <v>36.71</v>
      </c>
      <c r="K4" s="2502">
        <v>31.31</v>
      </c>
      <c r="L4" s="2502">
        <v>33.910976717112909</v>
      </c>
      <c r="M4" s="2502">
        <v>0.90939350773184346</v>
      </c>
      <c r="N4" s="2502">
        <v>36.6</v>
      </c>
      <c r="O4" s="2502">
        <v>31.47</v>
      </c>
      <c r="P4" s="2502">
        <v>33.800293785310735</v>
      </c>
      <c r="Q4" s="2502">
        <v>0.7730389900311585</v>
      </c>
      <c r="R4" s="2502">
        <v>39.049999999999997</v>
      </c>
      <c r="S4" s="2502">
        <v>33.020000000000003</v>
      </c>
      <c r="T4" s="2502">
        <v>35.927606837606845</v>
      </c>
      <c r="U4" s="2502">
        <v>0.97838874381713026</v>
      </c>
    </row>
    <row r="5" spans="4:21" ht="23.4" x14ac:dyDescent="0.45">
      <c r="D5" s="6490" t="s">
        <v>411</v>
      </c>
      <c r="E5" s="6490" t="s">
        <v>411</v>
      </c>
      <c r="F5" s="2502">
        <v>21.87</v>
      </c>
      <c r="G5" s="2502">
        <v>14</v>
      </c>
      <c r="H5" s="2502">
        <v>18.332851511169526</v>
      </c>
      <c r="I5" s="2502">
        <v>1.1521923680193578</v>
      </c>
      <c r="J5" s="2502">
        <v>23.37</v>
      </c>
      <c r="K5" s="2502">
        <v>15.6</v>
      </c>
      <c r="L5" s="2502">
        <v>19.471373690337597</v>
      </c>
      <c r="M5" s="2502">
        <v>1.1485112381494058</v>
      </c>
      <c r="N5" s="2502">
        <v>21.74</v>
      </c>
      <c r="O5" s="2502">
        <v>15.16</v>
      </c>
      <c r="P5" s="2502">
        <v>18.639367231638438</v>
      </c>
      <c r="Q5" s="2502">
        <v>1.0138045172276877</v>
      </c>
      <c r="R5" s="2502">
        <v>19.21</v>
      </c>
      <c r="S5" s="2502">
        <v>12.79</v>
      </c>
      <c r="T5" s="2502">
        <v>15.460705128205131</v>
      </c>
      <c r="U5" s="2502">
        <v>0.97495182089402888</v>
      </c>
    </row>
    <row r="6" spans="4:21" ht="23.4" x14ac:dyDescent="0.45">
      <c r="D6" s="6490" t="s">
        <v>412</v>
      </c>
      <c r="E6" s="6490" t="s">
        <v>412</v>
      </c>
      <c r="F6" s="2502">
        <v>38.880000000000003</v>
      </c>
      <c r="G6" s="2502">
        <v>32.159999999999997</v>
      </c>
      <c r="H6" s="2502">
        <v>35.191879106438897</v>
      </c>
      <c r="I6" s="2502">
        <v>1.3447434762602366</v>
      </c>
      <c r="J6" s="2502">
        <v>38.29</v>
      </c>
      <c r="K6" s="2502">
        <v>31.56</v>
      </c>
      <c r="L6" s="2502">
        <v>34.512374854481969</v>
      </c>
      <c r="M6" s="2502">
        <v>1.1300501026997529</v>
      </c>
      <c r="N6" s="2502">
        <v>38.799999999999997</v>
      </c>
      <c r="O6" s="2502">
        <v>32.76</v>
      </c>
      <c r="P6" s="2502">
        <v>35.191344632768349</v>
      </c>
      <c r="Q6" s="2502">
        <v>1.0352682887717712</v>
      </c>
      <c r="R6" s="2502">
        <v>42.27</v>
      </c>
      <c r="S6" s="2502">
        <v>33.49</v>
      </c>
      <c r="T6" s="2502">
        <v>36.896420940170898</v>
      </c>
      <c r="U6" s="2502">
        <v>1.3744504045612083</v>
      </c>
    </row>
    <row r="7" spans="4:21" ht="23.4" x14ac:dyDescent="0.45">
      <c r="D7" s="6490" t="s">
        <v>413</v>
      </c>
      <c r="E7" s="6490" t="s">
        <v>413</v>
      </c>
      <c r="F7" s="2502">
        <v>10.41</v>
      </c>
      <c r="G7" s="2502">
        <v>7.53</v>
      </c>
      <c r="H7" s="2502">
        <v>8.9833377135348211</v>
      </c>
      <c r="I7" s="2502">
        <v>0.4973465410075093</v>
      </c>
      <c r="J7" s="2502">
        <v>10.71</v>
      </c>
      <c r="K7" s="2502">
        <v>7.63</v>
      </c>
      <c r="L7" s="2502">
        <v>9.058428405122223</v>
      </c>
      <c r="M7" s="2502">
        <v>0.58941476480751165</v>
      </c>
      <c r="N7" s="2502">
        <v>10.87</v>
      </c>
      <c r="O7" s="2502">
        <v>7.2</v>
      </c>
      <c r="P7" s="2502">
        <v>9.2041807909604518</v>
      </c>
      <c r="Q7" s="2502">
        <v>0.63131580887506111</v>
      </c>
      <c r="R7" s="2502">
        <v>10.99</v>
      </c>
      <c r="S7" s="2502">
        <v>7.6</v>
      </c>
      <c r="T7" s="2502">
        <v>9.23356837606838</v>
      </c>
      <c r="U7" s="2502">
        <v>0.64668060835582242</v>
      </c>
    </row>
    <row r="8" spans="4:21" ht="23.4" x14ac:dyDescent="0.45">
      <c r="D8" s="6490" t="s">
        <v>409</v>
      </c>
      <c r="E8" s="6490" t="s">
        <v>409</v>
      </c>
      <c r="F8" s="2502">
        <v>2.2999999999999998</v>
      </c>
      <c r="G8" s="2502">
        <v>0.08</v>
      </c>
      <c r="H8" s="2502">
        <v>0.55325886990801609</v>
      </c>
      <c r="I8" s="2502">
        <v>0.2392766456663768</v>
      </c>
      <c r="J8" s="2502">
        <v>1.69</v>
      </c>
      <c r="K8" s="2502">
        <v>0.15</v>
      </c>
      <c r="L8" s="2502">
        <v>0.56037252619324784</v>
      </c>
      <c r="M8" s="2502">
        <v>0.2520972191747442</v>
      </c>
      <c r="N8" s="2502">
        <v>1.91</v>
      </c>
      <c r="O8" s="2502">
        <v>0.14000000000000001</v>
      </c>
      <c r="P8" s="2502">
        <v>0.61033898305084744</v>
      </c>
      <c r="Q8" s="2502">
        <v>0.25694581516115139</v>
      </c>
      <c r="R8" s="2502">
        <v>2.04</v>
      </c>
      <c r="S8" s="2502">
        <v>0.1</v>
      </c>
      <c r="T8" s="2502">
        <v>0.33230769230769208</v>
      </c>
      <c r="U8" s="2502">
        <v>0.17411538182123545</v>
      </c>
    </row>
    <row r="9" spans="4:21" ht="23.4" x14ac:dyDescent="0.45">
      <c r="D9" s="6490" t="s">
        <v>1642</v>
      </c>
      <c r="E9" s="6490" t="s">
        <v>1642</v>
      </c>
      <c r="F9" s="2502">
        <v>1.1299999999999999</v>
      </c>
      <c r="G9" s="2502">
        <v>0.24</v>
      </c>
      <c r="H9" s="2502">
        <v>0.59027595269382382</v>
      </c>
      <c r="I9" s="2502">
        <v>0.10605387192325265</v>
      </c>
      <c r="J9" s="2502">
        <v>0.93</v>
      </c>
      <c r="K9" s="2502">
        <v>0.24</v>
      </c>
      <c r="L9" s="2502">
        <v>0.55669383003492423</v>
      </c>
      <c r="M9" s="2502">
        <v>0.11421573296409736</v>
      </c>
      <c r="N9" s="2502">
        <v>1.02</v>
      </c>
      <c r="O9" s="2502">
        <v>0.36</v>
      </c>
      <c r="P9" s="2502">
        <v>0.63425988700564928</v>
      </c>
      <c r="Q9" s="2502">
        <v>0.10321111467422377</v>
      </c>
      <c r="R9" s="2502">
        <v>0.84</v>
      </c>
      <c r="S9" s="2502">
        <v>0.2</v>
      </c>
      <c r="T9" s="2502">
        <v>0.51074786324786403</v>
      </c>
      <c r="U9" s="2502">
        <v>9.2707789424770412E-2</v>
      </c>
    </row>
    <row r="10" spans="4:21" ht="23.4" x14ac:dyDescent="0.45">
      <c r="D10" s="6490" t="s">
        <v>1643</v>
      </c>
      <c r="E10" s="6490" t="s">
        <v>1643</v>
      </c>
      <c r="F10" s="2502">
        <v>0.8</v>
      </c>
      <c r="G10" s="2502">
        <v>0.23</v>
      </c>
      <c r="H10" s="2502">
        <v>0.43060446780551898</v>
      </c>
      <c r="I10" s="2502">
        <v>7.3682479750059496E-2</v>
      </c>
      <c r="J10" s="2502">
        <v>0.73</v>
      </c>
      <c r="K10" s="2502">
        <v>0.28000000000000003</v>
      </c>
      <c r="L10" s="2502">
        <v>0.45660069848661211</v>
      </c>
      <c r="M10" s="2502">
        <v>7.8932815251459648E-2</v>
      </c>
      <c r="N10" s="2502">
        <v>0.95</v>
      </c>
      <c r="O10" s="2502">
        <v>0.21</v>
      </c>
      <c r="P10" s="2502">
        <v>0.50336723163841879</v>
      </c>
      <c r="Q10" s="2502">
        <v>9.9537196313268156E-2</v>
      </c>
      <c r="R10" s="2502">
        <v>0.73</v>
      </c>
      <c r="S10" s="2502">
        <v>0.22</v>
      </c>
      <c r="T10" s="2502">
        <v>0.4239102564102567</v>
      </c>
      <c r="U10" s="2502">
        <v>8.0849027201978008E-2</v>
      </c>
    </row>
    <row r="11" spans="4:21" ht="23.4" x14ac:dyDescent="0.45">
      <c r="D11" s="6490" t="s">
        <v>1644</v>
      </c>
      <c r="E11" s="6490" t="s">
        <v>1644</v>
      </c>
      <c r="F11" s="2502">
        <v>1.1599999999999999</v>
      </c>
      <c r="G11" s="2502">
        <v>0.47</v>
      </c>
      <c r="H11" s="2502">
        <v>0.8527201051248352</v>
      </c>
      <c r="I11" s="2502">
        <v>0.10286468745005842</v>
      </c>
      <c r="J11" s="2502">
        <v>1.1399999999999999</v>
      </c>
      <c r="K11" s="2502">
        <v>0.51</v>
      </c>
      <c r="L11" s="2502">
        <v>0.8212223515715944</v>
      </c>
      <c r="M11" s="2502">
        <v>0.10870940568525161</v>
      </c>
      <c r="N11" s="2502">
        <v>1.01</v>
      </c>
      <c r="O11" s="2502">
        <v>0.42</v>
      </c>
      <c r="P11" s="2502">
        <v>0.74769491525423826</v>
      </c>
      <c r="Q11" s="2502">
        <v>9.8507514167279958E-2</v>
      </c>
      <c r="R11" s="2502">
        <v>0.79</v>
      </c>
      <c r="S11" s="2502">
        <v>0.3</v>
      </c>
      <c r="T11" s="2502">
        <v>0.59601495726495735</v>
      </c>
      <c r="U11" s="2502">
        <v>7.1382346194524993E-2</v>
      </c>
    </row>
    <row r="12" spans="4:21" ht="23.4" x14ac:dyDescent="0.45">
      <c r="D12" s="6491" t="s">
        <v>1645</v>
      </c>
      <c r="E12" s="6491" t="s">
        <v>1645</v>
      </c>
      <c r="F12" s="2559">
        <v>1.35</v>
      </c>
      <c r="G12" s="2559">
        <v>0.9</v>
      </c>
      <c r="H12" s="2559">
        <v>1.0239684625492784</v>
      </c>
      <c r="I12" s="2559">
        <v>6.0589377685292586E-2</v>
      </c>
      <c r="J12" s="2559">
        <v>1.1499999999999999</v>
      </c>
      <c r="K12" s="2559">
        <v>0.86</v>
      </c>
      <c r="L12" s="2559">
        <v>1.0188940628637915</v>
      </c>
      <c r="M12" s="2559">
        <v>4.9018922179186193E-2</v>
      </c>
      <c r="N12" s="2559">
        <v>1.1599999999999999</v>
      </c>
      <c r="O12" s="2559">
        <v>0.92</v>
      </c>
      <c r="P12" s="2559">
        <v>1.0418757062146891</v>
      </c>
      <c r="Q12" s="2559">
        <v>4.458565308684577E-2</v>
      </c>
      <c r="R12" s="2559">
        <v>1.28</v>
      </c>
      <c r="S12" s="2559">
        <v>0.9</v>
      </c>
      <c r="T12" s="2559">
        <v>1.0280662393162392</v>
      </c>
      <c r="U12" s="2559">
        <v>5.5293092597030018E-2</v>
      </c>
    </row>
    <row r="13" spans="4:21" ht="23.4" x14ac:dyDescent="0.45">
      <c r="D13" s="6491" t="s">
        <v>1646</v>
      </c>
      <c r="E13" s="6491" t="s">
        <v>1646</v>
      </c>
      <c r="F13" s="2559">
        <v>1.6455301455301456</v>
      </c>
      <c r="G13" s="2559">
        <v>1.1328231757310738</v>
      </c>
      <c r="H13" s="2559">
        <v>1.2853339809871196</v>
      </c>
      <c r="I13" s="2559">
        <v>6.5040260001185846E-2</v>
      </c>
      <c r="J13" s="2559">
        <v>1.4131808606680711</v>
      </c>
      <c r="K13" s="2559">
        <v>0.98</v>
      </c>
      <c r="L13" s="2559">
        <v>1.2857830558292311</v>
      </c>
      <c r="M13" s="2559">
        <v>5.3956262164863218E-2</v>
      </c>
      <c r="N13" s="2559">
        <v>1.4598997493734334</v>
      </c>
      <c r="O13" s="2559">
        <v>1.1643564356435643</v>
      </c>
      <c r="P13" s="2559">
        <v>1.3145727960484208</v>
      </c>
      <c r="Q13" s="2559">
        <v>5.1750142197002032E-2</v>
      </c>
      <c r="R13" s="2559">
        <v>1.5766202301635373</v>
      </c>
      <c r="S13" s="2559">
        <v>0.59</v>
      </c>
      <c r="T13" s="2559">
        <v>1.2846882181755834</v>
      </c>
      <c r="U13" s="2559">
        <v>6.6193403130805836E-2</v>
      </c>
    </row>
    <row r="15" spans="4:21" ht="23.4" x14ac:dyDescent="0.3">
      <c r="D15" s="6503" t="s">
        <v>2002</v>
      </c>
      <c r="E15" s="6504"/>
      <c r="F15" s="6489" t="s">
        <v>1901</v>
      </c>
      <c r="G15" s="6489"/>
      <c r="H15" s="6489"/>
      <c r="J15" s="6489" t="s">
        <v>1937</v>
      </c>
      <c r="K15" s="6489"/>
      <c r="L15" s="6489"/>
      <c r="N15" s="6489" t="s">
        <v>1963</v>
      </c>
      <c r="O15" s="6489"/>
      <c r="P15" s="6489"/>
      <c r="R15" s="6489" t="s">
        <v>1985</v>
      </c>
      <c r="S15" s="6489"/>
      <c r="T15" s="6489"/>
    </row>
    <row r="16" spans="4:21" ht="23.4" x14ac:dyDescent="0.45">
      <c r="D16" s="6499" t="s">
        <v>1651</v>
      </c>
      <c r="E16" s="6500"/>
      <c r="F16" s="2503" t="s">
        <v>1647</v>
      </c>
      <c r="G16" s="2503" t="s">
        <v>1648</v>
      </c>
      <c r="H16" s="2503" t="s">
        <v>1649</v>
      </c>
      <c r="J16" s="2503" t="s">
        <v>1647</v>
      </c>
      <c r="K16" s="2503" t="s">
        <v>1648</v>
      </c>
      <c r="L16" s="2503" t="s">
        <v>1649</v>
      </c>
      <c r="N16" s="2503" t="s">
        <v>1647</v>
      </c>
      <c r="O16" s="2503" t="s">
        <v>1648</v>
      </c>
      <c r="P16" s="2503" t="s">
        <v>1649</v>
      </c>
      <c r="R16" s="2503" t="s">
        <v>1647</v>
      </c>
      <c r="S16" s="2503" t="s">
        <v>1648</v>
      </c>
      <c r="T16" s="2503" t="s">
        <v>1649</v>
      </c>
    </row>
    <row r="17" spans="4:20" ht="23.4" x14ac:dyDescent="0.3">
      <c r="D17" s="6495" t="s">
        <v>412</v>
      </c>
      <c r="E17" s="6496"/>
      <c r="F17" s="2502">
        <v>55.59</v>
      </c>
      <c r="G17" s="2502">
        <v>45.21</v>
      </c>
      <c r="H17" s="2502">
        <v>49.825262172284624</v>
      </c>
      <c r="J17" s="2502"/>
      <c r="K17" s="2502"/>
      <c r="L17" s="2502"/>
      <c r="N17" s="2502"/>
      <c r="O17" s="2502"/>
      <c r="P17" s="2502"/>
      <c r="R17" s="2502"/>
      <c r="S17" s="2502"/>
      <c r="T17" s="2502"/>
    </row>
    <row r="18" spans="4:20" ht="23.4" x14ac:dyDescent="0.3">
      <c r="D18" s="6495" t="s">
        <v>410</v>
      </c>
      <c r="E18" s="6496"/>
      <c r="F18" s="2502">
        <v>19.61</v>
      </c>
      <c r="G18" s="2502">
        <v>13.25</v>
      </c>
      <c r="H18" s="2502">
        <v>16.619307116104881</v>
      </c>
      <c r="J18" s="2502"/>
      <c r="K18" s="2502"/>
      <c r="L18" s="2502"/>
      <c r="N18" s="2502"/>
      <c r="O18" s="2502"/>
      <c r="P18" s="2502"/>
      <c r="R18" s="2502"/>
      <c r="S18" s="2502"/>
      <c r="T18" s="2502"/>
    </row>
    <row r="19" spans="4:20" ht="23.4" x14ac:dyDescent="0.3">
      <c r="D19" s="6495" t="s">
        <v>411</v>
      </c>
      <c r="E19" s="6496"/>
      <c r="F19" s="2502">
        <v>1.65</v>
      </c>
      <c r="G19" s="2502">
        <v>0.41</v>
      </c>
      <c r="H19" s="2502">
        <v>0.94357677902621739</v>
      </c>
      <c r="J19" s="2502"/>
      <c r="K19" s="2502"/>
      <c r="L19" s="2502"/>
      <c r="N19" s="2502"/>
      <c r="O19" s="2502"/>
      <c r="P19" s="2502"/>
      <c r="R19" s="2502"/>
      <c r="S19" s="2502"/>
      <c r="T19" s="2502"/>
    </row>
    <row r="20" spans="4:20" ht="23.4" x14ac:dyDescent="0.3">
      <c r="D20" s="6495" t="s">
        <v>413</v>
      </c>
      <c r="E20" s="6496"/>
      <c r="F20" s="2502">
        <v>10.07</v>
      </c>
      <c r="G20" s="2502">
        <v>3.19</v>
      </c>
      <c r="H20" s="2502">
        <v>6.5086142322097391</v>
      </c>
      <c r="J20" s="2502"/>
      <c r="K20" s="2502"/>
      <c r="L20" s="2502"/>
      <c r="N20" s="2502"/>
      <c r="O20" s="2502"/>
      <c r="P20" s="2502"/>
      <c r="R20" s="2502"/>
      <c r="S20" s="2502"/>
      <c r="T20" s="2502"/>
    </row>
    <row r="21" spans="4:20" ht="27" x14ac:dyDescent="0.3">
      <c r="D21" s="6495" t="s">
        <v>1656</v>
      </c>
      <c r="E21" s="6496"/>
      <c r="F21" s="2502">
        <v>24.72</v>
      </c>
      <c r="G21" s="2502">
        <v>8.2200000000000006</v>
      </c>
      <c r="H21" s="2502">
        <v>18.187415730337094</v>
      </c>
      <c r="J21" s="2502"/>
      <c r="K21" s="2502"/>
      <c r="L21" s="2502"/>
      <c r="N21" s="2502"/>
      <c r="O21" s="2502"/>
      <c r="P21" s="2502"/>
      <c r="R21" s="2502"/>
      <c r="S21" s="2502"/>
      <c r="T21" s="2502"/>
    </row>
    <row r="22" spans="4:20" ht="23.4" x14ac:dyDescent="0.3">
      <c r="D22" s="6495" t="s">
        <v>1652</v>
      </c>
      <c r="E22" s="6496"/>
      <c r="F22" s="2502">
        <v>2.57</v>
      </c>
      <c r="G22" s="2502">
        <v>0</v>
      </c>
      <c r="H22" s="2502">
        <v>1.327865168539325</v>
      </c>
      <c r="J22" s="2502"/>
      <c r="K22" s="2502"/>
      <c r="L22" s="2502"/>
      <c r="N22" s="2502"/>
      <c r="O22" s="2502"/>
      <c r="P22" s="2502"/>
      <c r="R22" s="2502"/>
      <c r="S22" s="2502"/>
      <c r="T22" s="2502"/>
    </row>
    <row r="23" spans="4:20" ht="23.4" x14ac:dyDescent="0.3">
      <c r="D23" s="6495" t="s">
        <v>1653</v>
      </c>
      <c r="E23" s="6496"/>
      <c r="F23" s="2502">
        <v>2.5499999999999998</v>
      </c>
      <c r="G23" s="2502">
        <v>1.21</v>
      </c>
      <c r="H23" s="2502">
        <v>1.813014981273408</v>
      </c>
      <c r="J23" s="2502"/>
      <c r="K23" s="2502"/>
      <c r="L23" s="2502"/>
      <c r="N23" s="2502"/>
      <c r="O23" s="2502"/>
      <c r="P23" s="2502"/>
      <c r="R23" s="2502"/>
      <c r="S23" s="2502"/>
      <c r="T23" s="2502"/>
    </row>
    <row r="24" spans="4:20" ht="23.4" x14ac:dyDescent="0.3">
      <c r="D24" s="6495" t="s">
        <v>1642</v>
      </c>
      <c r="E24" s="6496"/>
      <c r="F24" s="2502">
        <v>0.13</v>
      </c>
      <c r="G24" s="2502">
        <v>0</v>
      </c>
      <c r="H24" s="2502">
        <v>3.0205992509363094E-2</v>
      </c>
      <c r="J24" s="2502"/>
      <c r="K24" s="2502"/>
      <c r="L24" s="2502"/>
      <c r="N24" s="2502"/>
      <c r="O24" s="2502"/>
      <c r="P24" s="2502"/>
      <c r="R24" s="2502"/>
      <c r="S24" s="2502"/>
      <c r="T24" s="2502"/>
    </row>
    <row r="25" spans="4:20" ht="23.4" x14ac:dyDescent="0.3">
      <c r="D25" s="6495" t="s">
        <v>1643</v>
      </c>
      <c r="E25" s="6496"/>
      <c r="F25" s="2502">
        <v>0.06</v>
      </c>
      <c r="G25" s="2502">
        <v>0</v>
      </c>
      <c r="H25" s="2502">
        <v>3.5580524344569291E-4</v>
      </c>
      <c r="J25" s="2502"/>
      <c r="K25" s="2502"/>
      <c r="L25" s="2502"/>
      <c r="N25" s="2502"/>
      <c r="O25" s="2502"/>
      <c r="P25" s="2502"/>
      <c r="R25" s="2502"/>
      <c r="S25" s="2502"/>
      <c r="T25" s="2502"/>
    </row>
    <row r="26" spans="4:20" ht="23.4" x14ac:dyDescent="0.3">
      <c r="D26" s="6495" t="s">
        <v>1644</v>
      </c>
      <c r="E26" s="6496"/>
      <c r="F26" s="2502">
        <v>2.5499999999999998</v>
      </c>
      <c r="G26" s="2502">
        <v>1.21</v>
      </c>
      <c r="H26" s="2502">
        <v>1.813014981273408</v>
      </c>
      <c r="J26" s="2502"/>
      <c r="K26" s="2502"/>
      <c r="L26" s="2502"/>
      <c r="N26" s="2502"/>
      <c r="O26" s="2502"/>
      <c r="P26" s="2502"/>
      <c r="R26" s="2502"/>
      <c r="S26" s="2502"/>
      <c r="T26" s="2502"/>
    </row>
    <row r="27" spans="4:20" ht="23.4" x14ac:dyDescent="0.3">
      <c r="D27" s="6497" t="s">
        <v>1654</v>
      </c>
      <c r="E27" s="6498"/>
      <c r="F27" s="2559">
        <v>3.63</v>
      </c>
      <c r="G27" s="2559">
        <v>2.44</v>
      </c>
      <c r="H27" s="2559">
        <v>3.0100000000000011</v>
      </c>
      <c r="J27" s="2559"/>
      <c r="K27" s="2559"/>
      <c r="L27" s="2559"/>
      <c r="N27" s="2559"/>
      <c r="O27" s="2559"/>
      <c r="P27" s="2559"/>
      <c r="R27" s="2559"/>
      <c r="S27" s="2559"/>
      <c r="T27" s="2559"/>
    </row>
    <row r="29" spans="4:20" ht="23.4" x14ac:dyDescent="0.45">
      <c r="D29" s="6501" t="s">
        <v>1655</v>
      </c>
      <c r="E29" s="6502"/>
      <c r="F29" s="6489" t="s">
        <v>1901</v>
      </c>
      <c r="G29" s="6489"/>
      <c r="H29" s="6489"/>
      <c r="J29" s="6489" t="s">
        <v>1937</v>
      </c>
      <c r="K29" s="6489"/>
      <c r="L29" s="6489"/>
      <c r="N29" s="6489" t="s">
        <v>1963</v>
      </c>
      <c r="O29" s="6489"/>
      <c r="P29" s="6489"/>
      <c r="R29" s="6489" t="s">
        <v>1985</v>
      </c>
      <c r="S29" s="6489"/>
      <c r="T29" s="6489"/>
    </row>
    <row r="30" spans="4:20" ht="23.4" x14ac:dyDescent="0.45">
      <c r="D30" s="6499" t="s">
        <v>1651</v>
      </c>
      <c r="E30" s="6500"/>
      <c r="F30" s="2503" t="s">
        <v>1647</v>
      </c>
      <c r="G30" s="2503" t="s">
        <v>1648</v>
      </c>
      <c r="H30" s="2503" t="s">
        <v>1649</v>
      </c>
      <c r="J30" s="2503" t="s">
        <v>1647</v>
      </c>
      <c r="K30" s="2503" t="s">
        <v>1648</v>
      </c>
      <c r="L30" s="2503" t="s">
        <v>1649</v>
      </c>
      <c r="N30" s="2503" t="s">
        <v>1647</v>
      </c>
      <c r="O30" s="2503" t="s">
        <v>1648</v>
      </c>
      <c r="P30" s="2503" t="s">
        <v>1649</v>
      </c>
      <c r="R30" s="2503" t="s">
        <v>1647</v>
      </c>
      <c r="S30" s="2503" t="s">
        <v>1648</v>
      </c>
      <c r="T30" s="2503" t="s">
        <v>1649</v>
      </c>
    </row>
    <row r="31" spans="4:20" ht="23.4" x14ac:dyDescent="0.3">
      <c r="D31" s="6495" t="s">
        <v>412</v>
      </c>
      <c r="E31" s="6496"/>
      <c r="F31" s="2502">
        <v>55.27</v>
      </c>
      <c r="G31" s="2502">
        <v>37.93</v>
      </c>
      <c r="H31" s="2502">
        <v>48.229892473118248</v>
      </c>
      <c r="J31" s="2502"/>
      <c r="K31" s="2502"/>
      <c r="L31" s="2502"/>
      <c r="N31" s="2502"/>
      <c r="O31" s="2502"/>
      <c r="P31" s="2502"/>
      <c r="R31" s="2502"/>
      <c r="S31" s="2502"/>
      <c r="T31" s="2502"/>
    </row>
    <row r="32" spans="4:20" ht="23.4" x14ac:dyDescent="0.3">
      <c r="D32" s="6495" t="s">
        <v>410</v>
      </c>
      <c r="E32" s="6496"/>
      <c r="F32" s="2502">
        <v>34.6</v>
      </c>
      <c r="G32" s="2502">
        <v>12.68</v>
      </c>
      <c r="H32" s="2502">
        <v>28.92258064516129</v>
      </c>
      <c r="J32" s="2502"/>
      <c r="K32" s="2502"/>
      <c r="L32" s="2502"/>
      <c r="N32" s="2502"/>
      <c r="O32" s="2502"/>
      <c r="P32" s="2502"/>
      <c r="R32" s="2502"/>
      <c r="S32" s="2502"/>
      <c r="T32" s="2502"/>
    </row>
    <row r="33" spans="4:20" ht="23.4" x14ac:dyDescent="0.3">
      <c r="D33" s="6495" t="s">
        <v>411</v>
      </c>
      <c r="E33" s="6496"/>
      <c r="F33" s="2502">
        <v>26.98</v>
      </c>
      <c r="G33" s="2502">
        <v>3.85</v>
      </c>
      <c r="H33" s="2502">
        <v>9.0751182795699012</v>
      </c>
      <c r="J33" s="2502"/>
      <c r="K33" s="2502"/>
      <c r="L33" s="2502"/>
      <c r="N33" s="2502"/>
      <c r="O33" s="2502"/>
      <c r="P33" s="2502"/>
      <c r="R33" s="2502"/>
      <c r="S33" s="2502"/>
      <c r="T33" s="2502"/>
    </row>
    <row r="34" spans="4:20" ht="23.4" x14ac:dyDescent="0.3">
      <c r="D34" s="6495" t="s">
        <v>413</v>
      </c>
      <c r="E34" s="6496"/>
      <c r="F34" s="2502">
        <v>22.5</v>
      </c>
      <c r="G34" s="2502">
        <v>5.33</v>
      </c>
      <c r="H34" s="2502">
        <v>9.2966021505376339</v>
      </c>
      <c r="J34" s="2502"/>
      <c r="K34" s="2502"/>
      <c r="L34" s="2502"/>
      <c r="N34" s="2502"/>
      <c r="O34" s="2502"/>
      <c r="P34" s="2502"/>
      <c r="R34" s="2502"/>
      <c r="S34" s="2502"/>
      <c r="T34" s="2502"/>
    </row>
    <row r="35" spans="4:20" ht="27" x14ac:dyDescent="0.3">
      <c r="D35" s="6495" t="s">
        <v>1656</v>
      </c>
      <c r="E35" s="6496"/>
      <c r="F35" s="2502">
        <v>3.19</v>
      </c>
      <c r="G35" s="2502">
        <v>0.2</v>
      </c>
      <c r="H35" s="2502">
        <v>1.2209677419354843</v>
      </c>
      <c r="J35" s="2502"/>
      <c r="K35" s="2502"/>
      <c r="L35" s="2502"/>
      <c r="N35" s="2502"/>
      <c r="O35" s="2502"/>
      <c r="P35" s="2502"/>
      <c r="R35" s="2502"/>
      <c r="S35" s="2502"/>
      <c r="T35" s="2502"/>
    </row>
    <row r="36" spans="4:20" ht="23.4" x14ac:dyDescent="0.3">
      <c r="D36" s="6495" t="s">
        <v>1652</v>
      </c>
      <c r="E36" s="6496"/>
      <c r="F36" s="2502">
        <v>6.32</v>
      </c>
      <c r="G36" s="2502">
        <v>0</v>
      </c>
      <c r="H36" s="2502">
        <v>1.2809677419354832</v>
      </c>
      <c r="J36" s="2502"/>
      <c r="K36" s="2502"/>
      <c r="L36" s="2502"/>
      <c r="N36" s="2502"/>
      <c r="O36" s="2502"/>
      <c r="P36" s="2502"/>
      <c r="R36" s="2502"/>
      <c r="S36" s="2502"/>
      <c r="T36" s="2502"/>
    </row>
    <row r="37" spans="4:20" ht="23.4" x14ac:dyDescent="0.3">
      <c r="D37" s="6495" t="s">
        <v>1653</v>
      </c>
      <c r="E37" s="6496"/>
      <c r="F37" s="2502">
        <v>0.34</v>
      </c>
      <c r="G37" s="2502">
        <v>0.09</v>
      </c>
      <c r="H37" s="2502">
        <v>0.18750537634408601</v>
      </c>
      <c r="J37" s="2502"/>
      <c r="K37" s="2502"/>
      <c r="L37" s="2502"/>
      <c r="N37" s="2502"/>
      <c r="O37" s="2502"/>
      <c r="P37" s="2502"/>
      <c r="R37" s="2502"/>
      <c r="S37" s="2502"/>
      <c r="T37" s="2502"/>
    </row>
    <row r="38" spans="4:20" ht="23.4" x14ac:dyDescent="0.3">
      <c r="D38" s="6495" t="s">
        <v>1642</v>
      </c>
      <c r="E38" s="6496"/>
      <c r="F38" s="2502">
        <v>0.65</v>
      </c>
      <c r="G38" s="2502">
        <v>0</v>
      </c>
      <c r="H38" s="2502">
        <v>0.12337634408602161</v>
      </c>
      <c r="J38" s="2502"/>
      <c r="K38" s="2502"/>
      <c r="L38" s="2502"/>
      <c r="N38" s="2502"/>
      <c r="O38" s="2502"/>
      <c r="P38" s="2502"/>
      <c r="R38" s="2502"/>
      <c r="S38" s="2502"/>
      <c r="T38" s="2502"/>
    </row>
    <row r="39" spans="4:20" ht="23.4" x14ac:dyDescent="0.3">
      <c r="D39" s="6495" t="s">
        <v>1643</v>
      </c>
      <c r="E39" s="6496"/>
      <c r="F39" s="2502">
        <v>0.04</v>
      </c>
      <c r="G39" s="2502">
        <v>0</v>
      </c>
      <c r="H39" s="2502">
        <v>2.0236559139784958E-3</v>
      </c>
      <c r="J39" s="2502"/>
      <c r="K39" s="2502"/>
      <c r="L39" s="2502"/>
      <c r="N39" s="2502"/>
      <c r="O39" s="2502"/>
      <c r="P39" s="2502"/>
      <c r="R39" s="2502"/>
      <c r="S39" s="2502"/>
      <c r="T39" s="2502"/>
    </row>
    <row r="40" spans="4:20" ht="23.4" x14ac:dyDescent="0.3">
      <c r="D40" s="6495" t="s">
        <v>1644</v>
      </c>
      <c r="E40" s="6496"/>
      <c r="F40" s="2502">
        <v>0.34</v>
      </c>
      <c r="G40" s="2502">
        <v>0.09</v>
      </c>
      <c r="H40" s="2502">
        <v>0.18750537634408601</v>
      </c>
      <c r="J40" s="2502"/>
      <c r="K40" s="2502"/>
      <c r="L40" s="2502"/>
      <c r="N40" s="2502"/>
      <c r="O40" s="2502"/>
      <c r="P40" s="2502"/>
      <c r="R40" s="2502"/>
      <c r="S40" s="2502"/>
      <c r="T40" s="2502"/>
    </row>
    <row r="41" spans="4:20" ht="23.4" x14ac:dyDescent="0.3">
      <c r="D41" s="6497" t="s">
        <v>1654</v>
      </c>
      <c r="E41" s="6498"/>
      <c r="F41" s="2559">
        <v>3.88</v>
      </c>
      <c r="G41" s="2559">
        <v>1.24</v>
      </c>
      <c r="H41" s="2559">
        <v>1.6956559139784944</v>
      </c>
      <c r="J41" s="2559"/>
      <c r="K41" s="2559"/>
      <c r="L41" s="2559"/>
      <c r="N41" s="2559"/>
      <c r="O41" s="2559"/>
      <c r="P41" s="2559"/>
      <c r="R41" s="2559"/>
      <c r="S41" s="2559"/>
      <c r="T41" s="2559"/>
    </row>
  </sheetData>
  <mergeCells count="50">
    <mergeCell ref="F2:I2"/>
    <mergeCell ref="F15:H15"/>
    <mergeCell ref="D29:E29"/>
    <mergeCell ref="F29:H29"/>
    <mergeCell ref="D16:E16"/>
    <mergeCell ref="D17:E17"/>
    <mergeCell ref="D18:E18"/>
    <mergeCell ref="D19:E19"/>
    <mergeCell ref="D20:E20"/>
    <mergeCell ref="D21:E21"/>
    <mergeCell ref="D22:E22"/>
    <mergeCell ref="D23:E23"/>
    <mergeCell ref="D24:E24"/>
    <mergeCell ref="D26:E26"/>
    <mergeCell ref="D27:E27"/>
    <mergeCell ref="D15:E15"/>
    <mergeCell ref="D41:E41"/>
    <mergeCell ref="D30:E30"/>
    <mergeCell ref="D31:E31"/>
    <mergeCell ref="D32:E32"/>
    <mergeCell ref="D33:E33"/>
    <mergeCell ref="D34:E34"/>
    <mergeCell ref="D35:E35"/>
    <mergeCell ref="D36:E36"/>
    <mergeCell ref="D37:E37"/>
    <mergeCell ref="D38:E38"/>
    <mergeCell ref="D39:E39"/>
    <mergeCell ref="D40:E40"/>
    <mergeCell ref="J2:M2"/>
    <mergeCell ref="J15:L15"/>
    <mergeCell ref="J29:L29"/>
    <mergeCell ref="D9:E9"/>
    <mergeCell ref="D10:E10"/>
    <mergeCell ref="D11:E11"/>
    <mergeCell ref="D12:E12"/>
    <mergeCell ref="D3:E3"/>
    <mergeCell ref="D4:E4"/>
    <mergeCell ref="D5:E5"/>
    <mergeCell ref="D6:E6"/>
    <mergeCell ref="D7:E7"/>
    <mergeCell ref="D13:E13"/>
    <mergeCell ref="D2:E2"/>
    <mergeCell ref="D25:E25"/>
    <mergeCell ref="D8:E8"/>
    <mergeCell ref="R2:U2"/>
    <mergeCell ref="R15:T15"/>
    <mergeCell ref="R29:T29"/>
    <mergeCell ref="N2:Q2"/>
    <mergeCell ref="N15:P15"/>
    <mergeCell ref="N29:P2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80023-1651-4B09-80F0-9383A994B363}">
  <sheetPr>
    <tabColor rgb="FF92D050"/>
  </sheetPr>
  <dimension ref="B2:J28"/>
  <sheetViews>
    <sheetView zoomScale="80" zoomScaleNormal="80" workbookViewId="0">
      <selection activeCell="I7" sqref="I7:I8"/>
    </sheetView>
  </sheetViews>
  <sheetFormatPr defaultColWidth="9.109375" defaultRowHeight="14.4" x14ac:dyDescent="0.3"/>
  <cols>
    <col min="2" max="2" width="18" bestFit="1" customWidth="1"/>
    <col min="3" max="3" width="48.5546875" bestFit="1" customWidth="1"/>
    <col min="4" max="4" width="32.109375" bestFit="1" customWidth="1"/>
    <col min="5" max="5" width="24.5546875" bestFit="1" customWidth="1"/>
    <col min="6" max="6" width="39.44140625" bestFit="1" customWidth="1"/>
    <col min="7" max="7" width="26.5546875" bestFit="1" customWidth="1"/>
    <col min="8" max="8" width="24.5546875" bestFit="1" customWidth="1"/>
    <col min="9" max="9" width="46.44140625" customWidth="1"/>
    <col min="10" max="10" width="47.109375" customWidth="1"/>
  </cols>
  <sheetData>
    <row r="2" spans="2:10" ht="23.4" x14ac:dyDescent="0.45">
      <c r="B2" s="6511" t="s">
        <v>2301</v>
      </c>
      <c r="C2" s="6511"/>
      <c r="D2" s="6511"/>
      <c r="E2" s="6511"/>
      <c r="F2" s="6511"/>
      <c r="G2" s="6511"/>
      <c r="H2" s="6511"/>
      <c r="I2" s="6511"/>
      <c r="J2" s="6511"/>
    </row>
    <row r="4" spans="2:10" ht="18" x14ac:dyDescent="0.35">
      <c r="B4" s="6512" t="s">
        <v>2302</v>
      </c>
      <c r="C4" s="6513" t="s">
        <v>2303</v>
      </c>
      <c r="D4" s="6513"/>
      <c r="E4" s="6513"/>
      <c r="F4" s="6514" t="s">
        <v>2304</v>
      </c>
      <c r="G4" s="6514"/>
      <c r="H4" s="6514"/>
      <c r="I4" s="6514"/>
      <c r="J4" s="6514"/>
    </row>
    <row r="5" spans="2:10" ht="36" x14ac:dyDescent="0.3">
      <c r="B5" s="6512"/>
      <c r="C5" s="5506" t="s">
        <v>2305</v>
      </c>
      <c r="D5" s="5506" t="s">
        <v>2062</v>
      </c>
      <c r="E5" s="5506" t="s">
        <v>1822</v>
      </c>
      <c r="F5" s="5507" t="s">
        <v>2061</v>
      </c>
      <c r="G5" s="5507" t="s">
        <v>2062</v>
      </c>
      <c r="H5" s="5507" t="s">
        <v>1822</v>
      </c>
      <c r="I5" s="5508" t="s">
        <v>2306</v>
      </c>
      <c r="J5" s="5508" t="s">
        <v>2307</v>
      </c>
    </row>
    <row r="6" spans="2:10" ht="36" x14ac:dyDescent="0.3">
      <c r="B6" s="5509" t="s">
        <v>56</v>
      </c>
      <c r="C6" s="5510" t="s">
        <v>2059</v>
      </c>
      <c r="D6" s="5511" t="s">
        <v>2308</v>
      </c>
      <c r="E6" s="5512">
        <v>120</v>
      </c>
      <c r="F6" s="5511" t="s">
        <v>2372</v>
      </c>
      <c r="G6" s="5512" t="s">
        <v>1855</v>
      </c>
      <c r="H6" s="5512" t="s">
        <v>1855</v>
      </c>
      <c r="I6" s="5512" t="s">
        <v>1855</v>
      </c>
      <c r="J6" s="5511" t="s">
        <v>2309</v>
      </c>
    </row>
    <row r="7" spans="2:10" ht="126" x14ac:dyDescent="0.3">
      <c r="B7" s="6515" t="s">
        <v>461</v>
      </c>
      <c r="C7" s="5510" t="s">
        <v>2310</v>
      </c>
      <c r="D7" s="6505" t="s">
        <v>2311</v>
      </c>
      <c r="E7" s="6508">
        <v>12</v>
      </c>
      <c r="F7" s="5511" t="s">
        <v>2312</v>
      </c>
      <c r="G7" s="5512" t="s">
        <v>2313</v>
      </c>
      <c r="H7" s="5512">
        <v>13</v>
      </c>
      <c r="I7" s="6508" t="s">
        <v>2373</v>
      </c>
      <c r="J7" s="5511"/>
    </row>
    <row r="8" spans="2:10" ht="198" x14ac:dyDescent="0.3">
      <c r="B8" s="6516"/>
      <c r="C8" s="5510" t="s">
        <v>2315</v>
      </c>
      <c r="D8" s="6507"/>
      <c r="E8" s="6510"/>
      <c r="F8" s="5511" t="s">
        <v>2316</v>
      </c>
      <c r="G8" s="5512" t="s">
        <v>2317</v>
      </c>
      <c r="H8" s="5512">
        <v>14</v>
      </c>
      <c r="I8" s="6510"/>
      <c r="J8" s="5511"/>
    </row>
    <row r="9" spans="2:10" ht="36" x14ac:dyDescent="0.3">
      <c r="B9" s="5509" t="s">
        <v>2318</v>
      </c>
      <c r="C9" s="5510" t="s">
        <v>2319</v>
      </c>
      <c r="D9" s="5511" t="s">
        <v>2311</v>
      </c>
      <c r="E9" s="5512">
        <v>14</v>
      </c>
      <c r="F9" s="5512" t="s">
        <v>2320</v>
      </c>
      <c r="G9" s="5512" t="s">
        <v>2321</v>
      </c>
      <c r="H9" s="5512">
        <v>8</v>
      </c>
      <c r="I9" s="5512" t="s">
        <v>2314</v>
      </c>
      <c r="J9" s="5511" t="s">
        <v>2322</v>
      </c>
    </row>
    <row r="10" spans="2:10" ht="18" x14ac:dyDescent="0.3">
      <c r="B10" s="6517" t="s">
        <v>686</v>
      </c>
      <c r="C10" s="6519" t="s">
        <v>2058</v>
      </c>
      <c r="D10" s="6519" t="s">
        <v>2323</v>
      </c>
      <c r="E10" s="6522" t="s">
        <v>2324</v>
      </c>
      <c r="F10" s="5511" t="s">
        <v>2325</v>
      </c>
      <c r="G10" s="5512" t="s">
        <v>2326</v>
      </c>
      <c r="H10" s="5512">
        <v>13</v>
      </c>
      <c r="I10" s="6508" t="s">
        <v>2327</v>
      </c>
      <c r="J10" s="6505" t="s">
        <v>2328</v>
      </c>
    </row>
    <row r="11" spans="2:10" ht="18" x14ac:dyDescent="0.3">
      <c r="B11" s="6518"/>
      <c r="C11" s="6520"/>
      <c r="D11" s="6520"/>
      <c r="E11" s="6522"/>
      <c r="F11" s="5511" t="s">
        <v>2329</v>
      </c>
      <c r="G11" s="5512" t="s">
        <v>2321</v>
      </c>
      <c r="H11" s="5512">
        <v>7</v>
      </c>
      <c r="I11" s="6509"/>
      <c r="J11" s="6506"/>
    </row>
    <row r="12" spans="2:10" ht="18" x14ac:dyDescent="0.3">
      <c r="B12" s="6518"/>
      <c r="C12" s="6520"/>
      <c r="D12" s="6520"/>
      <c r="E12" s="6522"/>
      <c r="F12" s="5511" t="s">
        <v>2330</v>
      </c>
      <c r="G12" s="5512" t="s">
        <v>2331</v>
      </c>
      <c r="H12" s="5512">
        <v>2</v>
      </c>
      <c r="I12" s="6509"/>
      <c r="J12" s="6506"/>
    </row>
    <row r="13" spans="2:10" ht="36" x14ac:dyDescent="0.3">
      <c r="B13" s="6518"/>
      <c r="C13" s="6520"/>
      <c r="D13" s="6520"/>
      <c r="E13" s="6522"/>
      <c r="F13" s="5511" t="s">
        <v>2332</v>
      </c>
      <c r="G13" s="5512" t="s">
        <v>2333</v>
      </c>
      <c r="H13" s="5512">
        <v>1</v>
      </c>
      <c r="I13" s="6509"/>
      <c r="J13" s="6506"/>
    </row>
    <row r="14" spans="2:10" ht="18" customHeight="1" x14ac:dyDescent="0.3">
      <c r="B14" s="6518"/>
      <c r="C14" s="6520"/>
      <c r="D14" s="6520"/>
      <c r="E14" s="6522"/>
      <c r="F14" s="5511" t="s">
        <v>2334</v>
      </c>
      <c r="G14" s="6508" t="s">
        <v>2335</v>
      </c>
      <c r="H14" s="6508">
        <v>2</v>
      </c>
      <c r="I14" s="6509"/>
      <c r="J14" s="6506"/>
    </row>
    <row r="15" spans="2:10" ht="18" customHeight="1" x14ac:dyDescent="0.3">
      <c r="B15" s="6518"/>
      <c r="C15" s="6520"/>
      <c r="D15" s="6520"/>
      <c r="E15" s="6522"/>
      <c r="F15" s="5511" t="s">
        <v>2336</v>
      </c>
      <c r="G15" s="6509"/>
      <c r="H15" s="6509"/>
      <c r="I15" s="6509"/>
      <c r="J15" s="6506"/>
    </row>
    <row r="16" spans="2:10" ht="18" customHeight="1" x14ac:dyDescent="0.3">
      <c r="B16" s="6518"/>
      <c r="C16" s="6520"/>
      <c r="D16" s="6520"/>
      <c r="E16" s="6522"/>
      <c r="F16" s="5511" t="s">
        <v>2337</v>
      </c>
      <c r="G16" s="6510"/>
      <c r="H16" s="6510"/>
      <c r="I16" s="6509"/>
      <c r="J16" s="6506"/>
    </row>
    <row r="17" spans="2:10" ht="18" x14ac:dyDescent="0.3">
      <c r="B17" s="6518"/>
      <c r="C17" s="6520"/>
      <c r="D17" s="6521"/>
      <c r="E17" s="6522"/>
      <c r="F17" s="5511" t="s">
        <v>2338</v>
      </c>
      <c r="G17" s="5512" t="s">
        <v>2339</v>
      </c>
      <c r="H17" s="5512">
        <v>1</v>
      </c>
      <c r="I17" s="6510"/>
      <c r="J17" s="6507"/>
    </row>
    <row r="18" spans="2:10" ht="54" x14ac:dyDescent="0.3">
      <c r="B18" s="6523" t="s">
        <v>2340</v>
      </c>
      <c r="C18" s="5510" t="s">
        <v>2341</v>
      </c>
      <c r="D18" s="6508" t="s">
        <v>2311</v>
      </c>
      <c r="E18" s="5512">
        <v>13</v>
      </c>
      <c r="F18" s="5512" t="s">
        <v>2320</v>
      </c>
      <c r="G18" s="5512" t="s">
        <v>2342</v>
      </c>
      <c r="H18" s="5512">
        <v>16</v>
      </c>
      <c r="I18" s="6508" t="s">
        <v>2343</v>
      </c>
      <c r="J18" s="6505" t="s">
        <v>2344</v>
      </c>
    </row>
    <row r="19" spans="2:10" ht="18" x14ac:dyDescent="0.3">
      <c r="B19" s="6524"/>
      <c r="C19" s="5510" t="s">
        <v>2345</v>
      </c>
      <c r="D19" s="6509"/>
      <c r="E19" s="5512">
        <v>10</v>
      </c>
      <c r="F19" s="5512" t="s">
        <v>2320</v>
      </c>
      <c r="G19" s="5512" t="s">
        <v>2346</v>
      </c>
      <c r="H19" s="5512">
        <v>10</v>
      </c>
      <c r="I19" s="6509"/>
      <c r="J19" s="6506"/>
    </row>
    <row r="20" spans="2:10" ht="36.6" thickBot="1" x14ac:dyDescent="0.4">
      <c r="B20" s="5513" t="s">
        <v>2347</v>
      </c>
      <c r="C20" s="5510" t="s">
        <v>2348</v>
      </c>
      <c r="D20" s="6509"/>
      <c r="E20" s="5512">
        <v>10</v>
      </c>
      <c r="F20" s="5512" t="s">
        <v>2320</v>
      </c>
      <c r="G20" s="5512" t="s">
        <v>2342</v>
      </c>
      <c r="H20" s="5512">
        <v>16</v>
      </c>
      <c r="I20" s="6510"/>
      <c r="J20" s="6507"/>
    </row>
    <row r="21" spans="2:10" ht="126.6" thickBot="1" x14ac:dyDescent="0.35">
      <c r="B21" s="5509" t="s">
        <v>16</v>
      </c>
      <c r="C21" s="5524" t="s">
        <v>2374</v>
      </c>
      <c r="D21" s="6509"/>
      <c r="E21" s="5512">
        <v>10</v>
      </c>
      <c r="F21" s="5512" t="s">
        <v>2320</v>
      </c>
      <c r="G21" s="5512" t="s">
        <v>2349</v>
      </c>
      <c r="H21" s="5512">
        <v>13</v>
      </c>
      <c r="I21" s="6525" t="s">
        <v>2350</v>
      </c>
      <c r="J21" s="6505" t="s">
        <v>2351</v>
      </c>
    </row>
    <row r="22" spans="2:10" ht="54.6" thickBot="1" x14ac:dyDescent="0.35">
      <c r="B22" s="5509" t="s">
        <v>91</v>
      </c>
      <c r="C22" s="5524" t="s">
        <v>2375</v>
      </c>
      <c r="D22" s="6509"/>
      <c r="E22" s="5512">
        <v>11</v>
      </c>
      <c r="F22" s="5512" t="s">
        <v>2320</v>
      </c>
      <c r="G22" s="5512" t="s">
        <v>2352</v>
      </c>
      <c r="H22" s="5512">
        <v>17.5</v>
      </c>
      <c r="I22" s="6525"/>
      <c r="J22" s="6507"/>
    </row>
    <row r="23" spans="2:10" ht="216" customHeight="1" thickBot="1" x14ac:dyDescent="0.35">
      <c r="B23" s="5509" t="s">
        <v>109</v>
      </c>
      <c r="C23" s="5524" t="s">
        <v>2376</v>
      </c>
      <c r="D23" s="6509"/>
      <c r="E23" s="5512">
        <v>11</v>
      </c>
      <c r="F23" s="5512" t="s">
        <v>2320</v>
      </c>
      <c r="G23" s="5512" t="s">
        <v>2353</v>
      </c>
      <c r="H23" s="5512">
        <v>22</v>
      </c>
      <c r="I23" s="5514" t="s">
        <v>2354</v>
      </c>
      <c r="J23" s="5511" t="s">
        <v>2355</v>
      </c>
    </row>
    <row r="24" spans="2:10" ht="18" x14ac:dyDescent="0.3">
      <c r="B24" s="5509" t="s">
        <v>2356</v>
      </c>
      <c r="C24" s="5510" t="s">
        <v>2060</v>
      </c>
      <c r="D24" s="5511" t="s">
        <v>2311</v>
      </c>
      <c r="E24" s="5512" t="s">
        <v>2357</v>
      </c>
      <c r="F24" s="5512" t="s">
        <v>2320</v>
      </c>
      <c r="G24" s="5512" t="s">
        <v>2358</v>
      </c>
      <c r="H24" s="5512">
        <v>16</v>
      </c>
      <c r="I24" s="5515" t="s">
        <v>2359</v>
      </c>
      <c r="J24" s="5515" t="s">
        <v>2359</v>
      </c>
    </row>
    <row r="25" spans="2:10" ht="90" x14ac:dyDescent="0.3">
      <c r="B25" s="6515" t="s">
        <v>2360</v>
      </c>
      <c r="C25" s="5510" t="s">
        <v>2361</v>
      </c>
      <c r="D25" s="5511" t="s">
        <v>2311</v>
      </c>
      <c r="E25" s="5512">
        <v>35</v>
      </c>
      <c r="F25" s="5512" t="s">
        <v>2320</v>
      </c>
      <c r="G25" s="5512" t="s">
        <v>2362</v>
      </c>
      <c r="H25" s="5512">
        <v>42</v>
      </c>
      <c r="I25" s="5511" t="s">
        <v>2363</v>
      </c>
      <c r="J25" s="5511" t="s">
        <v>2364</v>
      </c>
    </row>
    <row r="26" spans="2:10" ht="36" x14ac:dyDescent="0.3">
      <c r="B26" s="6515"/>
      <c r="C26" s="5510" t="s">
        <v>2365</v>
      </c>
      <c r="D26" s="5511" t="s">
        <v>2311</v>
      </c>
      <c r="E26" s="5512">
        <v>20</v>
      </c>
      <c r="F26" s="5512" t="s">
        <v>2320</v>
      </c>
      <c r="G26" s="5512" t="s">
        <v>2366</v>
      </c>
      <c r="H26" s="5512">
        <v>20</v>
      </c>
      <c r="I26" s="5511" t="s">
        <v>2367</v>
      </c>
      <c r="J26" s="5511" t="s">
        <v>2368</v>
      </c>
    </row>
    <row r="27" spans="2:10" ht="36" x14ac:dyDescent="0.3">
      <c r="B27" s="6516"/>
      <c r="C27" s="5510" t="s">
        <v>2369</v>
      </c>
      <c r="D27" s="5511" t="s">
        <v>2311</v>
      </c>
      <c r="E27" s="5512">
        <v>20</v>
      </c>
      <c r="F27" s="5512" t="s">
        <v>2320</v>
      </c>
      <c r="G27" s="5512" t="s">
        <v>2370</v>
      </c>
      <c r="H27" s="5512">
        <v>20</v>
      </c>
      <c r="I27" s="5511" t="s">
        <v>2367</v>
      </c>
      <c r="J27" s="5511" t="s">
        <v>2368</v>
      </c>
    </row>
    <row r="28" spans="2:10" s="137" customFormat="1" ht="36" x14ac:dyDescent="0.3">
      <c r="B28" s="5516" t="s">
        <v>82</v>
      </c>
      <c r="C28" s="5517" t="s">
        <v>2371</v>
      </c>
      <c r="D28" s="5518" t="s">
        <v>2311</v>
      </c>
      <c r="E28" s="5519">
        <v>16</v>
      </c>
      <c r="F28" s="5512" t="s">
        <v>2320</v>
      </c>
      <c r="G28" s="5512" t="s">
        <v>2342</v>
      </c>
      <c r="H28" s="5519">
        <v>16</v>
      </c>
      <c r="I28" s="5515" t="s">
        <v>2359</v>
      </c>
      <c r="J28" s="5515" t="s">
        <v>2359</v>
      </c>
    </row>
  </sheetData>
  <mergeCells count="23">
    <mergeCell ref="B25:B27"/>
    <mergeCell ref="B18:B19"/>
    <mergeCell ref="D18:D23"/>
    <mergeCell ref="I18:I20"/>
    <mergeCell ref="J18:J20"/>
    <mergeCell ref="I21:I22"/>
    <mergeCell ref="J21:J22"/>
    <mergeCell ref="J10:J17"/>
    <mergeCell ref="G14:G16"/>
    <mergeCell ref="H14:H16"/>
    <mergeCell ref="B2:J2"/>
    <mergeCell ref="B4:B5"/>
    <mergeCell ref="C4:E4"/>
    <mergeCell ref="F4:J4"/>
    <mergeCell ref="B7:B8"/>
    <mergeCell ref="D7:D8"/>
    <mergeCell ref="E7:E8"/>
    <mergeCell ref="I7:I8"/>
    <mergeCell ref="B10:B17"/>
    <mergeCell ref="C10:C17"/>
    <mergeCell ref="D10:D17"/>
    <mergeCell ref="E10:E17"/>
    <mergeCell ref="I10:I17"/>
  </mergeCells>
  <pageMargins left="0.7" right="0.7" top="0.75" bottom="0.75" header="0.3" footer="0.3"/>
  <pageSetup paperSize="9" orientation="portrait" verticalDpi="0"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206715-27A2-4151-830E-DDF35146548B}">
  <sheetPr>
    <tabColor rgb="FF00B0F0"/>
    <pageSetUpPr fitToPage="1"/>
  </sheetPr>
  <dimension ref="A1:S328"/>
  <sheetViews>
    <sheetView zoomScaleNormal="100" workbookViewId="0">
      <pane xSplit="3" ySplit="4" topLeftCell="D5" activePane="bottomRight" state="frozen"/>
      <selection pane="topRight" activeCell="D1" sqref="D1"/>
      <selection pane="bottomLeft" activeCell="A5" sqref="A5"/>
      <selection pane="bottomRight" activeCell="P77" sqref="P77"/>
    </sheetView>
  </sheetViews>
  <sheetFormatPr defaultColWidth="8.88671875" defaultRowHeight="14.4" x14ac:dyDescent="0.3"/>
  <cols>
    <col min="1" max="1" width="6.6640625" customWidth="1"/>
    <col min="2" max="2" width="23.33203125" customWidth="1"/>
    <col min="3" max="3" width="45.88671875" customWidth="1"/>
    <col min="4" max="4" width="8.44140625" bestFit="1" customWidth="1"/>
    <col min="5" max="5" width="9.6640625" bestFit="1" customWidth="1"/>
    <col min="6" max="6" width="11" customWidth="1"/>
    <col min="7" max="7" width="9.88671875" bestFit="1" customWidth="1"/>
    <col min="8" max="8" width="11" customWidth="1"/>
    <col min="9" max="9" width="13.109375" bestFit="1" customWidth="1"/>
    <col min="10" max="10" width="11" customWidth="1"/>
    <col min="11" max="11" width="11.88671875" bestFit="1" customWidth="1"/>
    <col min="12" max="12" width="12.88671875" bestFit="1" customWidth="1"/>
    <col min="13" max="13" width="11.88671875" bestFit="1" customWidth="1"/>
    <col min="14" max="16" width="9.5546875" bestFit="1" customWidth="1"/>
    <col min="17" max="17" width="7.5546875" customWidth="1"/>
    <col min="18" max="18" width="10" bestFit="1" customWidth="1"/>
  </cols>
  <sheetData>
    <row r="1" spans="1:13" x14ac:dyDescent="0.3">
      <c r="A1" s="2541"/>
      <c r="B1" s="2542"/>
      <c r="C1" s="2541"/>
      <c r="D1" s="2543"/>
      <c r="E1" s="2543"/>
      <c r="F1" s="2541"/>
      <c r="G1" s="2543"/>
      <c r="H1" s="2543"/>
      <c r="I1" s="2543"/>
      <c r="J1" s="2541"/>
      <c r="K1" s="2543"/>
      <c r="L1" s="2543"/>
      <c r="M1" s="2543"/>
    </row>
    <row r="2" spans="1:13" ht="21" x14ac:dyDescent="0.4">
      <c r="A2" s="2541"/>
      <c r="B2" s="6534" t="s">
        <v>1674</v>
      </c>
      <c r="C2" s="6534"/>
      <c r="D2" s="6534"/>
      <c r="E2" s="6534"/>
      <c r="F2" s="6534"/>
      <c r="G2" s="6534"/>
      <c r="H2" s="6534"/>
      <c r="I2" s="6534"/>
      <c r="J2" s="6534"/>
      <c r="K2" s="6534"/>
      <c r="L2" s="6534"/>
      <c r="M2" s="6534"/>
    </row>
    <row r="3" spans="1:13" ht="21" x14ac:dyDescent="0.3">
      <c r="A3" s="2541"/>
      <c r="B3" s="6535" t="s">
        <v>2258</v>
      </c>
      <c r="C3" s="6535"/>
      <c r="D3" s="6535"/>
      <c r="E3" s="6535"/>
      <c r="F3" s="6535"/>
      <c r="G3" s="6535"/>
      <c r="H3" s="6535"/>
      <c r="I3" s="6535"/>
      <c r="J3" s="6535"/>
      <c r="K3" s="6535"/>
      <c r="L3" s="6535"/>
      <c r="M3" s="6535"/>
    </row>
    <row r="4" spans="1:13" x14ac:dyDescent="0.3">
      <c r="A4" s="2541"/>
      <c r="B4" s="5647" t="s">
        <v>1675</v>
      </c>
      <c r="C4" s="5648" t="s">
        <v>1675</v>
      </c>
      <c r="D4" s="5649" t="s">
        <v>1676</v>
      </c>
      <c r="E4" s="5649" t="s">
        <v>1677</v>
      </c>
      <c r="F4" s="5649"/>
      <c r="G4" s="5650" t="s">
        <v>1678</v>
      </c>
      <c r="H4" s="5650"/>
      <c r="I4" s="5649" t="s">
        <v>1017</v>
      </c>
      <c r="J4" s="5649"/>
      <c r="K4" s="5649" t="s">
        <v>59</v>
      </c>
      <c r="L4" s="5649" t="s">
        <v>95</v>
      </c>
      <c r="M4" s="5649" t="s">
        <v>1239</v>
      </c>
    </row>
    <row r="5" spans="1:13" x14ac:dyDescent="0.3">
      <c r="A5" s="2541"/>
      <c r="B5" s="6536" t="s">
        <v>1679</v>
      </c>
      <c r="C5" s="5651">
        <v>46113</v>
      </c>
      <c r="D5" s="5647">
        <v>720</v>
      </c>
      <c r="E5" s="5647">
        <v>720</v>
      </c>
      <c r="F5" s="5647"/>
      <c r="G5" s="5652">
        <v>720</v>
      </c>
      <c r="H5" s="5652"/>
      <c r="I5" s="5647">
        <v>2160</v>
      </c>
      <c r="J5" s="5647"/>
      <c r="K5" s="5647">
        <v>720</v>
      </c>
      <c r="L5" s="5647">
        <v>720</v>
      </c>
      <c r="M5" s="5647">
        <v>720</v>
      </c>
    </row>
    <row r="6" spans="1:13" x14ac:dyDescent="0.3">
      <c r="A6" s="2541"/>
      <c r="B6" s="6536"/>
      <c r="C6" s="5651">
        <v>46143</v>
      </c>
      <c r="D6" s="5647">
        <v>744</v>
      </c>
      <c r="E6" s="5647">
        <v>744</v>
      </c>
      <c r="F6" s="5653"/>
      <c r="G6" s="5647">
        <v>744</v>
      </c>
      <c r="H6" s="5647"/>
      <c r="I6" s="5647">
        <v>2232</v>
      </c>
      <c r="J6" s="5654"/>
      <c r="K6" s="5647">
        <v>744</v>
      </c>
      <c r="L6" s="5647">
        <v>744</v>
      </c>
      <c r="M6" s="5647">
        <v>744</v>
      </c>
    </row>
    <row r="7" spans="1:13" hidden="1" x14ac:dyDescent="0.3">
      <c r="A7" s="2541"/>
      <c r="B7" s="6536"/>
      <c r="C7" s="5651">
        <v>46174</v>
      </c>
      <c r="D7" s="5647">
        <v>720</v>
      </c>
      <c r="E7" s="5647">
        <v>720</v>
      </c>
      <c r="F7" s="5647"/>
      <c r="G7" s="5652">
        <v>720</v>
      </c>
      <c r="H7" s="5652"/>
      <c r="I7" s="5647">
        <v>2160</v>
      </c>
      <c r="J7" s="5647"/>
      <c r="K7" s="5647">
        <v>720</v>
      </c>
      <c r="L7" s="5647">
        <v>720</v>
      </c>
      <c r="M7" s="5647">
        <v>720</v>
      </c>
    </row>
    <row r="8" spans="1:13" hidden="1" x14ac:dyDescent="0.3">
      <c r="A8" s="2541"/>
      <c r="B8" s="6536"/>
      <c r="C8" s="5655" t="s">
        <v>1680</v>
      </c>
      <c r="D8" s="5656">
        <f t="shared" ref="D8:E8" si="0">SUM(D5:D7)</f>
        <v>2184</v>
      </c>
      <c r="E8" s="5656">
        <f t="shared" si="0"/>
        <v>2184</v>
      </c>
      <c r="F8" s="5657"/>
      <c r="G8" s="5656">
        <f>SUM(G5:G7)</f>
        <v>2184</v>
      </c>
      <c r="H8" s="5656"/>
      <c r="I8" s="5656">
        <f>SUM(I5:I7)</f>
        <v>6552</v>
      </c>
      <c r="J8" s="5657"/>
      <c r="K8" s="5656">
        <f t="shared" ref="K8:M8" si="1">SUM(K5:K7)</f>
        <v>2184</v>
      </c>
      <c r="L8" s="5656">
        <f t="shared" si="1"/>
        <v>2184</v>
      </c>
      <c r="M8" s="5656">
        <f t="shared" si="1"/>
        <v>2184</v>
      </c>
    </row>
    <row r="9" spans="1:13" hidden="1" x14ac:dyDescent="0.3">
      <c r="A9" s="2541"/>
      <c r="B9" s="6536"/>
      <c r="C9" s="5651">
        <v>46204</v>
      </c>
      <c r="D9" s="5647">
        <v>744</v>
      </c>
      <c r="E9" s="5647">
        <v>744</v>
      </c>
      <c r="F9" s="5653"/>
      <c r="G9" s="5647">
        <v>744</v>
      </c>
      <c r="H9" s="5647"/>
      <c r="I9" s="5647">
        <v>2232</v>
      </c>
      <c r="J9" s="5654"/>
      <c r="K9" s="5647">
        <v>744</v>
      </c>
      <c r="L9" s="5647">
        <v>744</v>
      </c>
      <c r="M9" s="5647">
        <v>744</v>
      </c>
    </row>
    <row r="10" spans="1:13" hidden="1" x14ac:dyDescent="0.3">
      <c r="A10" s="2541"/>
      <c r="B10" s="6536"/>
      <c r="C10" s="5651">
        <v>46235</v>
      </c>
      <c r="D10" s="5647">
        <v>744</v>
      </c>
      <c r="E10" s="5647">
        <v>744</v>
      </c>
      <c r="F10" s="5653"/>
      <c r="G10" s="5647">
        <v>744</v>
      </c>
      <c r="H10" s="5647"/>
      <c r="I10" s="5647">
        <v>2232</v>
      </c>
      <c r="J10" s="5654"/>
      <c r="K10" s="5647">
        <v>744</v>
      </c>
      <c r="L10" s="5647">
        <v>744</v>
      </c>
      <c r="M10" s="5647">
        <v>744</v>
      </c>
    </row>
    <row r="11" spans="1:13" hidden="1" x14ac:dyDescent="0.3">
      <c r="A11" s="2541"/>
      <c r="B11" s="6536"/>
      <c r="C11" s="5651">
        <v>46266</v>
      </c>
      <c r="D11" s="5658">
        <v>720</v>
      </c>
      <c r="E11" s="5658">
        <v>720</v>
      </c>
      <c r="F11" s="5659"/>
      <c r="G11" s="5658">
        <v>720</v>
      </c>
      <c r="H11" s="5658"/>
      <c r="I11" s="5658">
        <v>2160</v>
      </c>
      <c r="J11" s="5659"/>
      <c r="K11" s="5658">
        <v>720</v>
      </c>
      <c r="L11" s="5658">
        <v>720</v>
      </c>
      <c r="M11" s="5658">
        <v>720</v>
      </c>
    </row>
    <row r="12" spans="1:13" hidden="1" x14ac:dyDescent="0.3">
      <c r="A12" s="2541"/>
      <c r="B12" s="6536"/>
      <c r="C12" s="5655" t="s">
        <v>1681</v>
      </c>
      <c r="D12" s="5660">
        <f>D9+D10+D11</f>
        <v>2208</v>
      </c>
      <c r="E12" s="5660">
        <f t="shared" ref="E12:M12" si="2">E9+E10+E11</f>
        <v>2208</v>
      </c>
      <c r="F12" s="5660"/>
      <c r="G12" s="5660">
        <f t="shared" si="2"/>
        <v>2208</v>
      </c>
      <c r="H12" s="5660"/>
      <c r="I12" s="5660">
        <f t="shared" si="2"/>
        <v>6624</v>
      </c>
      <c r="J12" s="5660"/>
      <c r="K12" s="5660">
        <f t="shared" si="2"/>
        <v>2208</v>
      </c>
      <c r="L12" s="5660">
        <f t="shared" si="2"/>
        <v>2208</v>
      </c>
      <c r="M12" s="5660">
        <f t="shared" si="2"/>
        <v>2208</v>
      </c>
    </row>
    <row r="13" spans="1:13" hidden="1" x14ac:dyDescent="0.3">
      <c r="A13" s="2541"/>
      <c r="B13" s="6536"/>
      <c r="C13" s="5651">
        <v>46296</v>
      </c>
      <c r="D13" s="5659">
        <v>744</v>
      </c>
      <c r="E13" s="5659">
        <v>744</v>
      </c>
      <c r="F13" s="5654"/>
      <c r="G13" s="5661">
        <v>744</v>
      </c>
      <c r="H13" s="5661"/>
      <c r="I13" s="5661">
        <v>2232</v>
      </c>
      <c r="J13" s="5654"/>
      <c r="K13" s="5659">
        <v>744</v>
      </c>
      <c r="L13" s="5659">
        <v>744</v>
      </c>
      <c r="M13" s="5659">
        <v>744</v>
      </c>
    </row>
    <row r="14" spans="1:13" hidden="1" x14ac:dyDescent="0.3">
      <c r="A14" s="2541"/>
      <c r="B14" s="6536"/>
      <c r="C14" s="5651">
        <v>46327</v>
      </c>
      <c r="D14" s="5659">
        <v>720</v>
      </c>
      <c r="E14" s="5659">
        <v>720</v>
      </c>
      <c r="F14" s="5654"/>
      <c r="G14" s="5661">
        <v>720</v>
      </c>
      <c r="H14" s="5661"/>
      <c r="I14" s="5661">
        <v>2160</v>
      </c>
      <c r="J14" s="5654"/>
      <c r="K14" s="5659">
        <v>720</v>
      </c>
      <c r="L14" s="5659">
        <v>720</v>
      </c>
      <c r="M14" s="5659">
        <v>720</v>
      </c>
    </row>
    <row r="15" spans="1:13" hidden="1" x14ac:dyDescent="0.3">
      <c r="A15" s="2541"/>
      <c r="B15" s="6536"/>
      <c r="C15" s="5651">
        <v>46357</v>
      </c>
      <c r="D15" s="5659">
        <v>744</v>
      </c>
      <c r="E15" s="5659">
        <v>744</v>
      </c>
      <c r="F15" s="5662"/>
      <c r="G15" s="5659">
        <v>744</v>
      </c>
      <c r="H15" s="5661"/>
      <c r="I15" s="5661">
        <v>2232</v>
      </c>
      <c r="J15" s="5662"/>
      <c r="K15" s="5659">
        <v>744</v>
      </c>
      <c r="L15" s="5659">
        <v>744</v>
      </c>
      <c r="M15" s="5659">
        <v>744</v>
      </c>
    </row>
    <row r="16" spans="1:13" hidden="1" x14ac:dyDescent="0.3">
      <c r="A16" s="2541"/>
      <c r="B16" s="6536"/>
      <c r="C16" s="5655" t="s">
        <v>1682</v>
      </c>
      <c r="D16" s="5656">
        <f>D13+D14+D15</f>
        <v>2208</v>
      </c>
      <c r="E16" s="5656">
        <f t="shared" ref="E16:M16" si="3">E13+E14+E15</f>
        <v>2208</v>
      </c>
      <c r="F16" s="5656"/>
      <c r="G16" s="5656">
        <f t="shared" si="3"/>
        <v>2208</v>
      </c>
      <c r="H16" s="5656"/>
      <c r="I16" s="5656">
        <f t="shared" si="3"/>
        <v>6624</v>
      </c>
      <c r="J16" s="5656"/>
      <c r="K16" s="5656">
        <f t="shared" si="3"/>
        <v>2208</v>
      </c>
      <c r="L16" s="5656">
        <f t="shared" si="3"/>
        <v>2208</v>
      </c>
      <c r="M16" s="5656">
        <f t="shared" si="3"/>
        <v>2208</v>
      </c>
    </row>
    <row r="17" spans="1:19" hidden="1" x14ac:dyDescent="0.3">
      <c r="A17" s="2541"/>
      <c r="B17" s="6536"/>
      <c r="C17" s="5651">
        <v>46388</v>
      </c>
      <c r="D17" s="5659">
        <v>744</v>
      </c>
      <c r="E17" s="5659">
        <v>744</v>
      </c>
      <c r="F17" s="5662"/>
      <c r="G17" s="5659">
        <v>744</v>
      </c>
      <c r="H17" s="5661"/>
      <c r="I17" s="5661">
        <v>2232</v>
      </c>
      <c r="J17" s="5662"/>
      <c r="K17" s="5659">
        <v>744</v>
      </c>
      <c r="L17" s="5659">
        <v>744</v>
      </c>
      <c r="M17" s="5659">
        <v>744</v>
      </c>
    </row>
    <row r="18" spans="1:19" hidden="1" x14ac:dyDescent="0.3">
      <c r="A18" s="2541"/>
      <c r="B18" s="6536"/>
      <c r="C18" s="5651">
        <v>46419</v>
      </c>
      <c r="D18" s="5661">
        <v>672</v>
      </c>
      <c r="E18" s="5661">
        <v>672</v>
      </c>
      <c r="F18" s="5662"/>
      <c r="G18" s="5661">
        <v>672</v>
      </c>
      <c r="H18" s="5661"/>
      <c r="I18" s="5661">
        <v>2016</v>
      </c>
      <c r="J18" s="5662"/>
      <c r="K18" s="5661">
        <v>672</v>
      </c>
      <c r="L18" s="5661">
        <v>672</v>
      </c>
      <c r="M18" s="5661">
        <v>672</v>
      </c>
    </row>
    <row r="19" spans="1:19" hidden="1" x14ac:dyDescent="0.3">
      <c r="A19" s="2541"/>
      <c r="B19" s="6536"/>
      <c r="C19" s="5651">
        <v>46447</v>
      </c>
      <c r="D19" s="5659">
        <v>744</v>
      </c>
      <c r="E19" s="5659">
        <v>744</v>
      </c>
      <c r="F19" s="5654"/>
      <c r="G19" s="5659">
        <v>744</v>
      </c>
      <c r="H19" s="5661"/>
      <c r="I19" s="5661">
        <v>2232</v>
      </c>
      <c r="J19" s="5654"/>
      <c r="K19" s="5659">
        <v>744</v>
      </c>
      <c r="L19" s="5659">
        <v>744</v>
      </c>
      <c r="M19" s="5659">
        <v>744</v>
      </c>
    </row>
    <row r="20" spans="1:19" hidden="1" x14ac:dyDescent="0.3">
      <c r="A20" s="2541"/>
      <c r="B20" s="6536"/>
      <c r="C20" s="5655" t="s">
        <v>1683</v>
      </c>
      <c r="D20" s="5663">
        <f t="shared" ref="D20:E20" si="4">SUM(D17:D19)</f>
        <v>2160</v>
      </c>
      <c r="E20" s="5663">
        <f t="shared" si="4"/>
        <v>2160</v>
      </c>
      <c r="F20" s="5657"/>
      <c r="G20" s="5663">
        <f>SUM(G17:G19)</f>
        <v>2160</v>
      </c>
      <c r="H20" s="5663"/>
      <c r="I20" s="5663">
        <f>SUM(I17:I19)</f>
        <v>6480</v>
      </c>
      <c r="J20" s="5657"/>
      <c r="K20" s="5663">
        <f t="shared" ref="K20:M20" si="5">SUM(K17:K19)</f>
        <v>2160</v>
      </c>
      <c r="L20" s="5663">
        <f t="shared" si="5"/>
        <v>2160</v>
      </c>
      <c r="M20" s="5663">
        <f t="shared" si="5"/>
        <v>2160</v>
      </c>
    </row>
    <row r="21" spans="1:19" hidden="1" x14ac:dyDescent="0.3">
      <c r="A21" s="2541"/>
      <c r="B21" s="6536"/>
      <c r="C21" s="5655" t="s">
        <v>1961</v>
      </c>
      <c r="D21" s="5663">
        <f t="shared" ref="D21:E21" si="6">D20+D16+D8+D12</f>
        <v>8760</v>
      </c>
      <c r="E21" s="5663">
        <f t="shared" si="6"/>
        <v>8760</v>
      </c>
      <c r="F21" s="5657"/>
      <c r="G21" s="5663">
        <f>G20+G16+G8+G12</f>
        <v>8760</v>
      </c>
      <c r="H21" s="5663"/>
      <c r="I21" s="5663">
        <f>I20+I16+I8+I12</f>
        <v>26280</v>
      </c>
      <c r="J21" s="5657"/>
      <c r="K21" s="5663">
        <f t="shared" ref="K21:M21" si="7">K20+K16+K8+K12</f>
        <v>8760</v>
      </c>
      <c r="L21" s="5663">
        <f t="shared" si="7"/>
        <v>8760</v>
      </c>
      <c r="M21" s="5664">
        <f t="shared" si="7"/>
        <v>8760</v>
      </c>
      <c r="N21" s="4662"/>
    </row>
    <row r="22" spans="1:19" hidden="1" x14ac:dyDescent="0.3">
      <c r="A22" s="2541"/>
      <c r="B22" s="5647"/>
      <c r="C22" s="5648"/>
      <c r="D22" s="5647"/>
      <c r="E22" s="5647"/>
      <c r="F22" s="5665"/>
      <c r="G22" s="5647"/>
      <c r="H22" s="5647"/>
      <c r="I22" s="5647"/>
      <c r="J22" s="5665"/>
      <c r="K22" s="5647"/>
      <c r="L22" s="5647"/>
      <c r="M22" s="5647"/>
    </row>
    <row r="23" spans="1:19" x14ac:dyDescent="0.3">
      <c r="A23" s="2541"/>
      <c r="B23" s="5647"/>
      <c r="C23" s="5651"/>
      <c r="D23" s="5647"/>
      <c r="E23" s="5647"/>
      <c r="F23" s="5665"/>
      <c r="G23" s="5647"/>
      <c r="H23" s="5647"/>
      <c r="I23" s="5647"/>
      <c r="J23" s="5665"/>
      <c r="K23" s="5647"/>
      <c r="L23" s="5647"/>
      <c r="M23" s="5647"/>
      <c r="N23" s="23"/>
      <c r="O23" s="23"/>
    </row>
    <row r="24" spans="1:19" x14ac:dyDescent="0.3">
      <c r="A24" s="2541"/>
      <c r="B24" s="5647" t="s">
        <v>1675</v>
      </c>
      <c r="C24" s="5648" t="s">
        <v>1675</v>
      </c>
      <c r="D24" s="5649" t="s">
        <v>1676</v>
      </c>
      <c r="E24" s="5649" t="s">
        <v>1677</v>
      </c>
      <c r="F24" s="5666"/>
      <c r="G24" s="5649" t="s">
        <v>1678</v>
      </c>
      <c r="H24" s="5649"/>
      <c r="I24" s="5649" t="s">
        <v>1017</v>
      </c>
      <c r="J24" s="5666"/>
      <c r="K24" s="5649" t="s">
        <v>59</v>
      </c>
      <c r="L24" s="5649" t="s">
        <v>95</v>
      </c>
      <c r="M24" s="5649" t="s">
        <v>1239</v>
      </c>
    </row>
    <row r="25" spans="1:19" x14ac:dyDescent="0.3">
      <c r="A25" s="2541"/>
      <c r="B25" s="6536" t="s">
        <v>1684</v>
      </c>
      <c r="C25" s="5651">
        <v>46113</v>
      </c>
      <c r="D25" s="5652">
        <f>+D5-D65-D66</f>
        <v>704.5</v>
      </c>
      <c r="E25" s="5652">
        <f>+E5-E65-E66</f>
        <v>687</v>
      </c>
      <c r="F25" s="5647"/>
      <c r="G25" s="5652">
        <f>+G5-G65-G66</f>
        <v>711</v>
      </c>
      <c r="H25" s="5652"/>
      <c r="I25" s="5652">
        <f>+I5-I65-I66</f>
        <v>1562.8400000000001</v>
      </c>
      <c r="J25" s="5665"/>
      <c r="K25" s="5652">
        <f>+K5-K65-K66</f>
        <v>608.63333333333333</v>
      </c>
      <c r="L25" s="5652">
        <f>+L5-L65-L66</f>
        <v>646.18333333333339</v>
      </c>
      <c r="M25" s="5652">
        <f>+M5-M65-M66</f>
        <v>593.25</v>
      </c>
      <c r="N25" s="1111"/>
      <c r="O25" s="1111"/>
      <c r="P25" s="1111"/>
    </row>
    <row r="26" spans="1:19" x14ac:dyDescent="0.3">
      <c r="A26" s="2541"/>
      <c r="B26" s="6536"/>
      <c r="C26" s="5651">
        <v>46143</v>
      </c>
      <c r="D26" s="5652">
        <f>+D6-D87-D88</f>
        <v>316.25</v>
      </c>
      <c r="E26" s="5652">
        <f>+E6-E87-E88</f>
        <v>344</v>
      </c>
      <c r="F26" s="5653"/>
      <c r="G26" s="5652">
        <f>+G6-G87-G88</f>
        <v>409.33</v>
      </c>
      <c r="H26" s="5652"/>
      <c r="I26" s="5652">
        <f>+I6-I87-I88</f>
        <v>683.75</v>
      </c>
      <c r="J26" s="5654"/>
      <c r="K26" s="5652">
        <f>+K6-K87-K88</f>
        <v>370.7166666666667</v>
      </c>
      <c r="L26" s="5652">
        <f>+L6-L87-L88</f>
        <v>287.70000000000005</v>
      </c>
      <c r="M26" s="5652">
        <f>+M6-M87-M88</f>
        <v>189.75</v>
      </c>
      <c r="N26" s="1111"/>
      <c r="O26" s="1111"/>
      <c r="P26" s="1111"/>
    </row>
    <row r="27" spans="1:19" hidden="1" x14ac:dyDescent="0.3">
      <c r="A27" s="2541"/>
      <c r="B27" s="6536"/>
      <c r="C27" s="5651">
        <v>46174</v>
      </c>
      <c r="D27" s="5667">
        <f>D7-D108-D109</f>
        <v>720</v>
      </c>
      <c r="E27" s="5667">
        <f>E7-E108-E109</f>
        <v>720</v>
      </c>
      <c r="F27" s="5667"/>
      <c r="G27" s="5667">
        <f>G7-G108-G109</f>
        <v>720</v>
      </c>
      <c r="H27" s="5667"/>
      <c r="I27" s="5667">
        <f>I7-I108-I109</f>
        <v>2160</v>
      </c>
      <c r="J27" s="5667"/>
      <c r="K27" s="5667">
        <f>K7-K108-K109</f>
        <v>720</v>
      </c>
      <c r="L27" s="5667">
        <f>L7-L108-L109</f>
        <v>720</v>
      </c>
      <c r="M27" s="5667">
        <f>M7-M108-M109</f>
        <v>720</v>
      </c>
      <c r="N27" s="5668"/>
      <c r="Q27" s="1111"/>
      <c r="R27" s="1111"/>
      <c r="S27" s="1111"/>
    </row>
    <row r="28" spans="1:19" hidden="1" x14ac:dyDescent="0.3">
      <c r="A28" s="2541"/>
      <c r="B28" s="6536"/>
      <c r="C28" s="5655" t="s">
        <v>1680</v>
      </c>
      <c r="D28" s="5669">
        <f>SUM(D25:D27)</f>
        <v>1740.75</v>
      </c>
      <c r="E28" s="5669">
        <f>SUM(E25:E27)</f>
        <v>1751</v>
      </c>
      <c r="F28" s="5670"/>
      <c r="G28" s="5669">
        <f>SUM(G25:G27)</f>
        <v>1840.33</v>
      </c>
      <c r="H28" s="5669"/>
      <c r="I28" s="5669">
        <f>SUM(I25:I27)</f>
        <v>4406.59</v>
      </c>
      <c r="J28" s="5670"/>
      <c r="K28" s="5669">
        <f t="shared" ref="K28:M28" si="8">SUM(K25:K27)</f>
        <v>1699.35</v>
      </c>
      <c r="L28" s="5669">
        <f t="shared" si="8"/>
        <v>1653.8833333333334</v>
      </c>
      <c r="M28" s="5669">
        <f t="shared" si="8"/>
        <v>1503</v>
      </c>
      <c r="Q28" s="1111"/>
      <c r="R28" s="1111"/>
      <c r="S28" s="1111"/>
    </row>
    <row r="29" spans="1:19" hidden="1" x14ac:dyDescent="0.3">
      <c r="A29" s="2541"/>
      <c r="B29" s="6536"/>
      <c r="C29" s="5651">
        <v>46204</v>
      </c>
      <c r="D29" s="5667">
        <f>D9-D130-D131</f>
        <v>744</v>
      </c>
      <c r="E29" s="5667">
        <f>E9-E130-E131</f>
        <v>744</v>
      </c>
      <c r="F29" s="5667"/>
      <c r="G29" s="5667">
        <f>G9-G130-G131</f>
        <v>744</v>
      </c>
      <c r="H29" s="5667"/>
      <c r="I29" s="5667">
        <f>I9-I130-I131</f>
        <v>2232</v>
      </c>
      <c r="J29" s="5667"/>
      <c r="K29" s="5667">
        <f>K9-K130-K131</f>
        <v>744</v>
      </c>
      <c r="L29" s="5667">
        <f>L9-L130-L131</f>
        <v>744</v>
      </c>
      <c r="M29" s="5671">
        <f>M9-M130-M131</f>
        <v>744</v>
      </c>
      <c r="N29" s="23"/>
      <c r="O29" s="23"/>
    </row>
    <row r="30" spans="1:19" hidden="1" x14ac:dyDescent="0.3">
      <c r="A30" s="2541"/>
      <c r="B30" s="6536"/>
      <c r="C30" s="5651">
        <v>46235</v>
      </c>
      <c r="D30" s="5672">
        <f>+D10-D152-D153</f>
        <v>744</v>
      </c>
      <c r="E30" s="5672">
        <f>+E10-E152-E153</f>
        <v>744</v>
      </c>
      <c r="F30" s="5672"/>
      <c r="G30" s="5672">
        <f>+G10-G152-G153</f>
        <v>744</v>
      </c>
      <c r="H30" s="5672"/>
      <c r="I30" s="5672">
        <f>+I10-I152-I153</f>
        <v>2232</v>
      </c>
      <c r="J30" s="5672"/>
      <c r="K30" s="5672">
        <f>+K10-K152-K153</f>
        <v>744</v>
      </c>
      <c r="L30" s="5672">
        <f>+L10-L152-L153</f>
        <v>744</v>
      </c>
      <c r="M30" s="5672">
        <f>+M10-M152-M153</f>
        <v>744</v>
      </c>
    </row>
    <row r="31" spans="1:19" hidden="1" x14ac:dyDescent="0.3">
      <c r="A31" s="2543"/>
      <c r="B31" s="6536"/>
      <c r="C31" s="5651">
        <v>46266</v>
      </c>
      <c r="D31" s="5672">
        <f>D11-D174-D175</f>
        <v>720</v>
      </c>
      <c r="E31" s="5672">
        <f>E11-E174-E175</f>
        <v>720</v>
      </c>
      <c r="F31" s="5672"/>
      <c r="G31" s="5672">
        <f>G11-G174-G175</f>
        <v>720</v>
      </c>
      <c r="H31" s="5672"/>
      <c r="I31" s="5672">
        <f>I11-I174-I175</f>
        <v>2160</v>
      </c>
      <c r="J31" s="5672"/>
      <c r="K31" s="5672">
        <f>K11-K174-K175</f>
        <v>720</v>
      </c>
      <c r="L31" s="5672">
        <f>L11-L174-L175</f>
        <v>720</v>
      </c>
      <c r="M31" s="5672">
        <f>M11-M174-M175</f>
        <v>720</v>
      </c>
    </row>
    <row r="32" spans="1:19" hidden="1" x14ac:dyDescent="0.3">
      <c r="A32" s="2541"/>
      <c r="B32" s="6536"/>
      <c r="C32" s="5655" t="s">
        <v>1681</v>
      </c>
      <c r="D32" s="5673">
        <f>SUM(D29:D31)</f>
        <v>2208</v>
      </c>
      <c r="E32" s="5673">
        <f t="shared" ref="E32:M32" si="9">SUM(E29:E31)</f>
        <v>2208</v>
      </c>
      <c r="F32" s="5673"/>
      <c r="G32" s="5673">
        <f t="shared" si="9"/>
        <v>2208</v>
      </c>
      <c r="H32" s="5673"/>
      <c r="I32" s="5673">
        <f t="shared" si="9"/>
        <v>6624</v>
      </c>
      <c r="J32" s="5673"/>
      <c r="K32" s="5673">
        <f t="shared" si="9"/>
        <v>2208</v>
      </c>
      <c r="L32" s="5673">
        <f t="shared" si="9"/>
        <v>2208</v>
      </c>
      <c r="M32" s="5673">
        <f t="shared" si="9"/>
        <v>2208</v>
      </c>
    </row>
    <row r="33" spans="1:19" hidden="1" x14ac:dyDescent="0.3">
      <c r="A33" s="2543"/>
      <c r="B33" s="6536"/>
      <c r="C33" s="5651">
        <v>46296</v>
      </c>
      <c r="D33" s="5667">
        <f>D13-D196-D197</f>
        <v>744</v>
      </c>
      <c r="E33" s="5667">
        <f>E13-E196-E197</f>
        <v>744</v>
      </c>
      <c r="F33" s="5674"/>
      <c r="G33" s="5667">
        <f>G13-G196-G197</f>
        <v>744</v>
      </c>
      <c r="H33" s="5667"/>
      <c r="I33" s="5667">
        <f>I13-I196-I197</f>
        <v>2232</v>
      </c>
      <c r="J33" s="5674"/>
      <c r="K33" s="5667">
        <f>K13-K196-K197</f>
        <v>744</v>
      </c>
      <c r="L33" s="5667">
        <f>L13-L196-L197</f>
        <v>744</v>
      </c>
      <c r="M33" s="5667">
        <f>M13-M196-M197</f>
        <v>744</v>
      </c>
      <c r="N33" s="4663"/>
      <c r="O33" s="4663"/>
      <c r="P33" s="4663"/>
    </row>
    <row r="34" spans="1:19" hidden="1" x14ac:dyDescent="0.3">
      <c r="A34" s="2541"/>
      <c r="B34" s="6536"/>
      <c r="C34" s="5651">
        <v>46327</v>
      </c>
      <c r="D34" s="5667">
        <f>D14-D218-D219</f>
        <v>720</v>
      </c>
      <c r="E34" s="5667">
        <f>E14-E218-E219</f>
        <v>720</v>
      </c>
      <c r="F34" s="5667"/>
      <c r="G34" s="5667">
        <f>G14-G218-G219</f>
        <v>720</v>
      </c>
      <c r="H34" s="5667"/>
      <c r="I34" s="5667">
        <f>I14-I218-I219</f>
        <v>2160</v>
      </c>
      <c r="J34" s="5667"/>
      <c r="K34" s="5667">
        <f>K14-K218-K219</f>
        <v>720</v>
      </c>
      <c r="L34" s="5667">
        <f>L14-L218-L219</f>
        <v>720</v>
      </c>
      <c r="M34" s="5667">
        <f>M14-M218-M219</f>
        <v>720</v>
      </c>
      <c r="N34" s="4663"/>
      <c r="O34" s="4663"/>
      <c r="P34" s="4663"/>
    </row>
    <row r="35" spans="1:19" hidden="1" x14ac:dyDescent="0.3">
      <c r="A35" s="2541"/>
      <c r="B35" s="6536"/>
      <c r="C35" s="5651">
        <v>46357</v>
      </c>
      <c r="D35" s="5675">
        <f>D15-D241-D242</f>
        <v>744</v>
      </c>
      <c r="E35" s="5675">
        <f>E15-E241-E242</f>
        <v>744</v>
      </c>
      <c r="F35" s="5667"/>
      <c r="G35" s="5667">
        <f>G15-G241-G242</f>
        <v>744</v>
      </c>
      <c r="H35" s="5667"/>
      <c r="I35" s="5667">
        <f>I15-I241-I242</f>
        <v>2232</v>
      </c>
      <c r="J35" s="5667"/>
      <c r="K35" s="5667">
        <f>K15-K241-K242</f>
        <v>744</v>
      </c>
      <c r="L35" s="5667">
        <f>L15-L241-L242</f>
        <v>744</v>
      </c>
      <c r="M35" s="5667">
        <f>M15-M241-M242</f>
        <v>744</v>
      </c>
      <c r="N35" s="491"/>
      <c r="O35" s="491"/>
      <c r="P35" s="491"/>
    </row>
    <row r="36" spans="1:19" hidden="1" x14ac:dyDescent="0.3">
      <c r="A36" s="2541"/>
      <c r="B36" s="6536"/>
      <c r="C36" s="5655" t="s">
        <v>1682</v>
      </c>
      <c r="D36" s="5669">
        <f>D33+D35+D34</f>
        <v>2208</v>
      </c>
      <c r="E36" s="5669">
        <f t="shared" ref="E36:M36" si="10">E33+E35+E34</f>
        <v>2208</v>
      </c>
      <c r="F36" s="5669"/>
      <c r="G36" s="5669">
        <f t="shared" si="10"/>
        <v>2208</v>
      </c>
      <c r="H36" s="5669"/>
      <c r="I36" s="5669">
        <f t="shared" si="10"/>
        <v>6624</v>
      </c>
      <c r="J36" s="5669"/>
      <c r="K36" s="5669">
        <f t="shared" si="10"/>
        <v>2208</v>
      </c>
      <c r="L36" s="5669">
        <f t="shared" si="10"/>
        <v>2208</v>
      </c>
      <c r="M36" s="5669">
        <f t="shared" si="10"/>
        <v>2208</v>
      </c>
      <c r="N36" s="491"/>
      <c r="O36" s="491"/>
      <c r="P36" s="491"/>
    </row>
    <row r="37" spans="1:19" hidden="1" x14ac:dyDescent="0.3">
      <c r="A37" s="2541"/>
      <c r="B37" s="6536"/>
      <c r="C37" s="5651">
        <v>46388</v>
      </c>
      <c r="D37" s="5667">
        <f>D17-D263-D264</f>
        <v>744</v>
      </c>
      <c r="E37" s="5667">
        <f>E17-E263-E264</f>
        <v>744</v>
      </c>
      <c r="F37" s="5674"/>
      <c r="G37" s="5676">
        <f>G17-G263-G264</f>
        <v>744</v>
      </c>
      <c r="H37" s="5667"/>
      <c r="I37" s="5667">
        <f>I17-I263-I264</f>
        <v>2232</v>
      </c>
      <c r="J37" s="5667"/>
      <c r="K37" s="5667">
        <f>K17-K263-K264</f>
        <v>744</v>
      </c>
      <c r="L37" s="5667">
        <f>L17-L263-L264</f>
        <v>744</v>
      </c>
      <c r="M37" s="5667">
        <f>M17-M263-M264</f>
        <v>744</v>
      </c>
    </row>
    <row r="38" spans="1:19" hidden="1" x14ac:dyDescent="0.3">
      <c r="A38" s="2541"/>
      <c r="B38" s="6536"/>
      <c r="C38" s="5651">
        <v>46419</v>
      </c>
      <c r="D38" s="5667">
        <f>D18-D285-D286</f>
        <v>672</v>
      </c>
      <c r="E38" s="5667">
        <f>E18-E285-E286</f>
        <v>672</v>
      </c>
      <c r="F38" s="5667"/>
      <c r="G38" s="5667">
        <f>G18-G285-G286</f>
        <v>672</v>
      </c>
      <c r="H38" s="5667"/>
      <c r="I38" s="5667">
        <f>I18-I285-I286</f>
        <v>2016</v>
      </c>
      <c r="J38" s="5667"/>
      <c r="K38" s="5667">
        <f>K18-K285-K286</f>
        <v>672</v>
      </c>
      <c r="L38" s="5667">
        <f>L18-L285-L286</f>
        <v>672</v>
      </c>
      <c r="M38" s="5667">
        <f>M18-M285-M286</f>
        <v>672</v>
      </c>
      <c r="N38" s="1111"/>
      <c r="O38" s="1111"/>
      <c r="P38" s="1111"/>
      <c r="Q38" s="1111"/>
      <c r="R38" s="1111"/>
      <c r="S38" s="1111"/>
    </row>
    <row r="39" spans="1:19" hidden="1" x14ac:dyDescent="0.3">
      <c r="A39" s="2541"/>
      <c r="B39" s="6536"/>
      <c r="C39" s="5651">
        <v>46447</v>
      </c>
      <c r="D39" s="5667">
        <f>D19-D307-D308</f>
        <v>744</v>
      </c>
      <c r="E39" s="5667">
        <f>E19-E307-E308</f>
        <v>744</v>
      </c>
      <c r="F39" s="5674"/>
      <c r="G39" s="5667">
        <f>G19-G307-G308</f>
        <v>744</v>
      </c>
      <c r="H39" s="5667"/>
      <c r="I39" s="5667">
        <f>I19-I307-I308</f>
        <v>2232</v>
      </c>
      <c r="J39" s="5674"/>
      <c r="K39" s="5667">
        <f>K19-K307-K308</f>
        <v>744</v>
      </c>
      <c r="L39" s="5667">
        <f>L19-L307-L308</f>
        <v>744</v>
      </c>
      <c r="M39" s="5667">
        <f>M19-M307-M308</f>
        <v>744</v>
      </c>
    </row>
    <row r="40" spans="1:19" hidden="1" x14ac:dyDescent="0.3">
      <c r="A40" s="2541"/>
      <c r="B40" s="6536"/>
      <c r="C40" s="5655" t="s">
        <v>1683</v>
      </c>
      <c r="D40" s="5669">
        <f t="shared" ref="D40:E40" si="11">SUM(D37:D39)</f>
        <v>2160</v>
      </c>
      <c r="E40" s="5669">
        <f t="shared" si="11"/>
        <v>2160</v>
      </c>
      <c r="F40" s="5677"/>
      <c r="G40" s="5669">
        <f>SUM(G37:G39)</f>
        <v>2160</v>
      </c>
      <c r="H40" s="5669"/>
      <c r="I40" s="5669">
        <f>SUM(I37:I39)</f>
        <v>6480</v>
      </c>
      <c r="J40" s="5677"/>
      <c r="K40" s="5669">
        <f t="shared" ref="K40:M40" si="12">SUM(K37:K39)</f>
        <v>2160</v>
      </c>
      <c r="L40" s="5669">
        <f t="shared" si="12"/>
        <v>2160</v>
      </c>
      <c r="M40" s="5669">
        <f t="shared" si="12"/>
        <v>2160</v>
      </c>
    </row>
    <row r="41" spans="1:19" hidden="1" x14ac:dyDescent="0.3">
      <c r="A41" s="2541"/>
      <c r="B41" s="6536"/>
      <c r="C41" s="5655" t="s">
        <v>1961</v>
      </c>
      <c r="D41" s="5669">
        <f t="shared" ref="D41:E41" si="13">D40+D36+D32+D28</f>
        <v>8316.75</v>
      </c>
      <c r="E41" s="5669">
        <f t="shared" si="13"/>
        <v>8327</v>
      </c>
      <c r="F41" s="5677"/>
      <c r="G41" s="5669">
        <f>G40+G36+G32+G28</f>
        <v>8416.33</v>
      </c>
      <c r="H41" s="5669"/>
      <c r="I41" s="5669">
        <f>I40+I36+I32+I28</f>
        <v>24134.59</v>
      </c>
      <c r="J41" s="5677"/>
      <c r="K41" s="5669">
        <f t="shared" ref="K41:M41" si="14">K40+K36+K32+K28</f>
        <v>8275.35</v>
      </c>
      <c r="L41" s="5669">
        <f t="shared" si="14"/>
        <v>8229.8833333333332</v>
      </c>
      <c r="M41" s="5669">
        <f t="shared" si="14"/>
        <v>8079</v>
      </c>
      <c r="N41" s="1111"/>
    </row>
    <row r="42" spans="1:19" x14ac:dyDescent="0.3">
      <c r="A42" s="2541"/>
      <c r="B42" s="5647"/>
      <c r="C42" s="5648"/>
      <c r="D42" s="5678"/>
      <c r="E42" s="5678"/>
      <c r="F42" s="5652"/>
      <c r="G42" s="5652"/>
      <c r="H42" s="5652"/>
      <c r="I42" s="5652"/>
      <c r="J42" s="5652"/>
      <c r="K42" s="5652"/>
      <c r="L42" s="5652"/>
      <c r="M42" s="5652"/>
      <c r="N42" s="23"/>
      <c r="O42" s="23"/>
      <c r="P42" s="23"/>
    </row>
    <row r="43" spans="1:19" x14ac:dyDescent="0.3">
      <c r="A43" s="2541"/>
      <c r="B43" s="5647"/>
      <c r="C43" s="5648"/>
      <c r="D43" s="5652"/>
      <c r="E43" s="5652"/>
      <c r="F43" s="5652"/>
      <c r="G43" s="5652"/>
      <c r="H43" s="5652"/>
      <c r="I43" s="5652"/>
      <c r="J43" s="5652"/>
      <c r="K43" s="5652"/>
      <c r="L43" s="5652"/>
      <c r="M43" s="5652"/>
    </row>
    <row r="44" spans="1:19" x14ac:dyDescent="0.3">
      <c r="A44" s="2541"/>
      <c r="B44" s="5647" t="s">
        <v>1675</v>
      </c>
      <c r="C44" s="5648" t="s">
        <v>1675</v>
      </c>
      <c r="D44" s="5649" t="s">
        <v>1676</v>
      </c>
      <c r="E44" s="5649" t="s">
        <v>1677</v>
      </c>
      <c r="F44" s="5649"/>
      <c r="G44" s="5649" t="s">
        <v>1678</v>
      </c>
      <c r="H44" s="5649"/>
      <c r="I44" s="5649" t="s">
        <v>1017</v>
      </c>
      <c r="J44" s="5649"/>
      <c r="K44" s="5679" t="s">
        <v>59</v>
      </c>
      <c r="L44" s="5679" t="s">
        <v>95</v>
      </c>
      <c r="M44" s="5679" t="s">
        <v>1239</v>
      </c>
    </row>
    <row r="45" spans="1:19" x14ac:dyDescent="0.3">
      <c r="A45" s="2541"/>
      <c r="B45" s="6536" t="s">
        <v>1685</v>
      </c>
      <c r="C45" s="5651">
        <v>46113</v>
      </c>
      <c r="D45" s="5652">
        <f>+D25-SUM(D67:D84)</f>
        <v>686.33</v>
      </c>
      <c r="E45" s="5652">
        <f>+E25-SUM(E67:E84)</f>
        <v>643.62</v>
      </c>
      <c r="F45" s="5652"/>
      <c r="G45" s="5652">
        <f>+G25-SUM(G67:G84)</f>
        <v>708.92</v>
      </c>
      <c r="H45" s="5652"/>
      <c r="I45" s="5652">
        <f>+I25-SUM(I67:I84)</f>
        <v>1445.8300000000002</v>
      </c>
      <c r="J45" s="5652"/>
      <c r="K45" s="5652">
        <f>+K25-SUM(K67:K84)</f>
        <v>546.01666666666665</v>
      </c>
      <c r="L45" s="5652">
        <f>+L25-SUM(L67:L84)</f>
        <v>568.61666666666679</v>
      </c>
      <c r="M45" s="5652">
        <f>+M25-SUM(M67:M84)</f>
        <v>469.5</v>
      </c>
      <c r="N45" s="1111"/>
      <c r="O45" s="1111"/>
      <c r="P45" s="1111"/>
      <c r="Q45" s="1111"/>
    </row>
    <row r="46" spans="1:19" x14ac:dyDescent="0.3">
      <c r="A46" s="2541"/>
      <c r="B46" s="6536"/>
      <c r="C46" s="5651">
        <v>46143</v>
      </c>
      <c r="D46" s="5652">
        <f>+D26-SUM(D89:D106)</f>
        <v>271.42</v>
      </c>
      <c r="E46" s="5652">
        <f>+E26-SUM(E89:E106)</f>
        <v>309.42</v>
      </c>
      <c r="F46" s="5652"/>
      <c r="G46" s="5652">
        <f>+G26-SUM(G89:G106)</f>
        <v>409.33</v>
      </c>
      <c r="H46" s="5652"/>
      <c r="I46" s="5652">
        <f>+I26-SUM(I89:I106)</f>
        <v>667.39</v>
      </c>
      <c r="J46" s="5652"/>
      <c r="K46" s="5652">
        <f>+K26-SUM(K89:K106)</f>
        <v>327.40000000000003</v>
      </c>
      <c r="L46" s="5652">
        <f t="shared" ref="L46:M46" si="15">+L26-SUM(L89:L106)</f>
        <v>255.18333333333339</v>
      </c>
      <c r="M46" s="5652">
        <f t="shared" si="15"/>
        <v>109.83333333333334</v>
      </c>
      <c r="N46" s="23"/>
      <c r="P46" s="1111"/>
      <c r="Q46" s="1111"/>
    </row>
    <row r="47" spans="1:19" hidden="1" x14ac:dyDescent="0.3">
      <c r="A47" s="2541"/>
      <c r="B47" s="6536"/>
      <c r="C47" s="5651">
        <v>46174</v>
      </c>
      <c r="D47" s="5667">
        <f>D27-SUM(D110:D127)</f>
        <v>720</v>
      </c>
      <c r="E47" s="5667">
        <f>E27-SUM(E110:E127)</f>
        <v>720</v>
      </c>
      <c r="F47" s="5667"/>
      <c r="G47" s="5667">
        <f>G27-SUM(G110:G127)</f>
        <v>720</v>
      </c>
      <c r="H47" s="5667"/>
      <c r="I47" s="5667">
        <f>I27-SUM(I110:I127)</f>
        <v>2160</v>
      </c>
      <c r="J47" s="5667"/>
      <c r="K47" s="5667">
        <f>K27-SUM(K110:K127)</f>
        <v>720</v>
      </c>
      <c r="L47" s="5667">
        <f>L27-SUM(L110:L127)</f>
        <v>720</v>
      </c>
      <c r="M47" s="5667">
        <f>M27-SUM(M110:M127)</f>
        <v>720</v>
      </c>
      <c r="N47" s="23"/>
      <c r="O47" s="23"/>
      <c r="P47" s="23"/>
      <c r="Q47" s="1111"/>
    </row>
    <row r="48" spans="1:19" hidden="1" x14ac:dyDescent="0.3">
      <c r="A48" s="2541"/>
      <c r="B48" s="6536"/>
      <c r="C48" s="5655" t="s">
        <v>1680</v>
      </c>
      <c r="D48" s="5669">
        <f>SUM(D45:D47)</f>
        <v>1677.75</v>
      </c>
      <c r="E48" s="5669">
        <f t="shared" ref="E48:M48" si="16">SUM(E45:E47)</f>
        <v>1673.04</v>
      </c>
      <c r="F48" s="5669"/>
      <c r="G48" s="5669">
        <f t="shared" si="16"/>
        <v>1838.25</v>
      </c>
      <c r="H48" s="5669"/>
      <c r="I48" s="5669">
        <f t="shared" si="16"/>
        <v>4273.22</v>
      </c>
      <c r="J48" s="5669"/>
      <c r="K48" s="5669">
        <f t="shared" si="16"/>
        <v>1593.4166666666667</v>
      </c>
      <c r="L48" s="5669">
        <f t="shared" si="16"/>
        <v>1543.8000000000002</v>
      </c>
      <c r="M48" s="5669">
        <f t="shared" si="16"/>
        <v>1299.3333333333335</v>
      </c>
      <c r="P48" s="1111"/>
      <c r="Q48" s="1111"/>
    </row>
    <row r="49" spans="1:19" hidden="1" x14ac:dyDescent="0.3">
      <c r="A49" s="2541"/>
      <c r="B49" s="6536"/>
      <c r="C49" s="5651">
        <v>46204</v>
      </c>
      <c r="D49" s="5667">
        <f>D29-SUM(D132:D149)</f>
        <v>744</v>
      </c>
      <c r="E49" s="5667">
        <f>E29-SUM(E132:E149)</f>
        <v>744</v>
      </c>
      <c r="F49" s="5667"/>
      <c r="G49" s="5667">
        <f>G29-SUM(G132:G149)</f>
        <v>744</v>
      </c>
      <c r="H49" s="5667"/>
      <c r="I49" s="5667">
        <f>I29-SUM(I132:I149)</f>
        <v>2232</v>
      </c>
      <c r="J49" s="5667"/>
      <c r="K49" s="5667">
        <f>K29-SUM(K132:K149)</f>
        <v>744</v>
      </c>
      <c r="L49" s="5667">
        <f>L29-SUM(L132:L149)</f>
        <v>744</v>
      </c>
      <c r="M49" s="5667">
        <f>M29-SUM(M132:M149)</f>
        <v>744</v>
      </c>
      <c r="P49" s="1111"/>
      <c r="Q49" s="1111"/>
    </row>
    <row r="50" spans="1:19" hidden="1" x14ac:dyDescent="0.3">
      <c r="A50" s="2541"/>
      <c r="B50" s="6536"/>
      <c r="C50" s="5651">
        <v>46235</v>
      </c>
      <c r="D50" s="5672">
        <f>+D30-SUM(D154:D171)</f>
        <v>744</v>
      </c>
      <c r="E50" s="5672">
        <f>+E30-SUM(E154:E171)</f>
        <v>744</v>
      </c>
      <c r="F50" s="5672"/>
      <c r="G50" s="5672">
        <f>+G30-SUM(G154:G171)</f>
        <v>744</v>
      </c>
      <c r="H50" s="5672"/>
      <c r="I50" s="5672">
        <f>+I30-SUM(I154:I171)</f>
        <v>2232</v>
      </c>
      <c r="J50" s="5672"/>
      <c r="K50" s="5672">
        <f>+K30-SUM(K154:K171)</f>
        <v>744</v>
      </c>
      <c r="L50" s="5672">
        <f>+L30-SUM(L154:L171)</f>
        <v>744</v>
      </c>
      <c r="M50" s="5672">
        <f>+M30-SUM(M154:M171)</f>
        <v>744</v>
      </c>
      <c r="P50" s="1111"/>
      <c r="Q50" s="1111"/>
    </row>
    <row r="51" spans="1:19" hidden="1" x14ac:dyDescent="0.3">
      <c r="A51" s="2541"/>
      <c r="B51" s="6536"/>
      <c r="C51" s="5651">
        <v>46266</v>
      </c>
      <c r="D51" s="5672">
        <f>D31-SUM(D176:D193)</f>
        <v>720</v>
      </c>
      <c r="E51" s="5672">
        <f>E31-SUM(E176:E193)</f>
        <v>720</v>
      </c>
      <c r="F51" s="5672"/>
      <c r="G51" s="5672">
        <f>G31-SUM(G176:G193)</f>
        <v>720</v>
      </c>
      <c r="H51" s="5672"/>
      <c r="I51" s="5672">
        <f>I31-SUM(I176:I193)</f>
        <v>2160</v>
      </c>
      <c r="J51" s="5672"/>
      <c r="K51" s="5672">
        <f>K31-SUM(K176:K193)</f>
        <v>720</v>
      </c>
      <c r="L51" s="5672">
        <f>L31-SUM(L176:L193)</f>
        <v>720</v>
      </c>
      <c r="M51" s="5672">
        <f>M31-SUM(M176:M193)</f>
        <v>720</v>
      </c>
      <c r="N51" s="23"/>
      <c r="O51" s="23"/>
      <c r="P51" s="23"/>
      <c r="Q51" s="1111"/>
    </row>
    <row r="52" spans="1:19" hidden="1" x14ac:dyDescent="0.3">
      <c r="A52" s="2541"/>
      <c r="B52" s="6536"/>
      <c r="C52" s="5655" t="s">
        <v>1681</v>
      </c>
      <c r="D52" s="5673">
        <f>SUM(D49:D51)</f>
        <v>2208</v>
      </c>
      <c r="E52" s="5673">
        <f t="shared" ref="E52:M52" si="17">SUM(E49:E51)</f>
        <v>2208</v>
      </c>
      <c r="F52" s="5673"/>
      <c r="G52" s="5673">
        <f t="shared" si="17"/>
        <v>2208</v>
      </c>
      <c r="H52" s="5673"/>
      <c r="I52" s="5673">
        <f t="shared" si="17"/>
        <v>6624</v>
      </c>
      <c r="J52" s="5673"/>
      <c r="K52" s="5673">
        <f t="shared" si="17"/>
        <v>2208</v>
      </c>
      <c r="L52" s="5673">
        <f t="shared" si="17"/>
        <v>2208</v>
      </c>
      <c r="M52" s="5673">
        <f t="shared" si="17"/>
        <v>2208</v>
      </c>
      <c r="P52" s="1111"/>
      <c r="Q52" s="1111"/>
    </row>
    <row r="53" spans="1:19" hidden="1" x14ac:dyDescent="0.3">
      <c r="A53" s="2541"/>
      <c r="B53" s="6536"/>
      <c r="C53" s="5651">
        <v>46296</v>
      </c>
      <c r="D53" s="5667">
        <f>D33-SUM(D198:D215)</f>
        <v>744</v>
      </c>
      <c r="E53" s="5667">
        <f>E33-SUM(E198:E215)</f>
        <v>744</v>
      </c>
      <c r="F53" s="5674"/>
      <c r="G53" s="5667">
        <f>G33-SUM(G198:G215)</f>
        <v>744</v>
      </c>
      <c r="H53" s="5667"/>
      <c r="I53" s="5667">
        <f>I33-SUM(I198:I215)</f>
        <v>2232</v>
      </c>
      <c r="J53" s="5674"/>
      <c r="K53" s="5667">
        <f>K33-SUM(K198:K215)</f>
        <v>744</v>
      </c>
      <c r="L53" s="5667">
        <f>L33-SUM(L198:L215)</f>
        <v>744</v>
      </c>
      <c r="M53" s="5667">
        <f>M33-SUM(M198:M215)</f>
        <v>744</v>
      </c>
      <c r="P53" s="1111"/>
      <c r="Q53" s="1111"/>
    </row>
    <row r="54" spans="1:19" hidden="1" x14ac:dyDescent="0.3">
      <c r="A54" s="2541"/>
      <c r="B54" s="6536"/>
      <c r="C54" s="5651">
        <v>46327</v>
      </c>
      <c r="D54" s="5667">
        <f>D34-SUM(D220:D237)</f>
        <v>720</v>
      </c>
      <c r="E54" s="5667">
        <f>E34-SUM(E220:E237)</f>
        <v>720</v>
      </c>
      <c r="F54" s="5674"/>
      <c r="G54" s="5667">
        <f>G34-SUM(G220:G237)</f>
        <v>720</v>
      </c>
      <c r="H54" s="5667"/>
      <c r="I54" s="5667">
        <f>I34-SUM(I220:I237)</f>
        <v>2160</v>
      </c>
      <c r="J54" s="5674"/>
      <c r="K54" s="5667">
        <f>K34-SUM(K220:K237)</f>
        <v>720</v>
      </c>
      <c r="L54" s="5667">
        <f>L34-SUM(L220:L237)</f>
        <v>720</v>
      </c>
      <c r="M54" s="5667">
        <f>M34-SUM(M220:M237)</f>
        <v>720</v>
      </c>
      <c r="P54" s="1111"/>
      <c r="Q54" s="1111"/>
    </row>
    <row r="55" spans="1:19" hidden="1" x14ac:dyDescent="0.3">
      <c r="A55" s="2541"/>
      <c r="B55" s="6536"/>
      <c r="C55" s="5651">
        <v>46357</v>
      </c>
      <c r="D55" s="5667">
        <f>D35-SUM(D243:D260)</f>
        <v>744</v>
      </c>
      <c r="E55" s="5667">
        <f>E35-SUM(E243:E260)</f>
        <v>744</v>
      </c>
      <c r="F55" s="5667"/>
      <c r="G55" s="5667">
        <f>G35-SUM(G243:G260)</f>
        <v>744</v>
      </c>
      <c r="H55" s="5667"/>
      <c r="I55" s="5667">
        <f>I35-SUM(I243:I260)</f>
        <v>2232</v>
      </c>
      <c r="J55" s="5667"/>
      <c r="K55" s="5667">
        <f>K35-SUM(K243:K260)</f>
        <v>744</v>
      </c>
      <c r="L55" s="5667">
        <f>L35-SUM(L243:L260)</f>
        <v>744</v>
      </c>
      <c r="M55" s="5667">
        <f>M35-SUM(M243:M260)</f>
        <v>744</v>
      </c>
      <c r="N55" s="1111"/>
      <c r="P55" s="1111"/>
      <c r="Q55" s="1111"/>
    </row>
    <row r="56" spans="1:19" hidden="1" x14ac:dyDescent="0.3">
      <c r="A56" s="2541"/>
      <c r="B56" s="6536"/>
      <c r="C56" s="5655" t="s">
        <v>1682</v>
      </c>
      <c r="D56" s="5669">
        <f>D53+D54+D55</f>
        <v>2208</v>
      </c>
      <c r="E56" s="5669">
        <f t="shared" ref="E56:M56" si="18">E53+E54+E55</f>
        <v>2208</v>
      </c>
      <c r="F56" s="5669"/>
      <c r="G56" s="5669">
        <f t="shared" si="18"/>
        <v>2208</v>
      </c>
      <c r="H56" s="5669"/>
      <c r="I56" s="5669">
        <f t="shared" si="18"/>
        <v>6624</v>
      </c>
      <c r="J56" s="5669"/>
      <c r="K56" s="5669">
        <f t="shared" si="18"/>
        <v>2208</v>
      </c>
      <c r="L56" s="5669">
        <f t="shared" si="18"/>
        <v>2208</v>
      </c>
      <c r="M56" s="5669">
        <f t="shared" si="18"/>
        <v>2208</v>
      </c>
      <c r="N56" s="1111"/>
      <c r="O56" s="1111"/>
      <c r="P56" s="1111"/>
      <c r="Q56" s="1111"/>
    </row>
    <row r="57" spans="1:19" hidden="1" x14ac:dyDescent="0.3">
      <c r="A57" s="2541"/>
      <c r="B57" s="6536"/>
      <c r="C57" s="5651">
        <v>46388</v>
      </c>
      <c r="D57" s="5667">
        <f>D37-SUM(D265:D282)</f>
        <v>744</v>
      </c>
      <c r="E57" s="5667">
        <f>E37-SUM(E265:E282)</f>
        <v>744</v>
      </c>
      <c r="F57" s="5680"/>
      <c r="G57" s="5667">
        <f>G37-SUM(G265:G282)</f>
        <v>744</v>
      </c>
      <c r="H57" s="5667"/>
      <c r="I57" s="5667">
        <f>I37-SUM(I265:I282)</f>
        <v>2232</v>
      </c>
      <c r="J57" s="5661"/>
      <c r="K57" s="5667">
        <f>K37-SUM(K265:K282)</f>
        <v>744</v>
      </c>
      <c r="L57" s="5667">
        <f>L37-SUM(L265:L282)</f>
        <v>744</v>
      </c>
      <c r="M57" s="5667">
        <f>M37-SUM(M265:M282)</f>
        <v>744</v>
      </c>
      <c r="O57" s="3464"/>
      <c r="Q57" s="1111"/>
    </row>
    <row r="58" spans="1:19" hidden="1" x14ac:dyDescent="0.3">
      <c r="A58" s="2541"/>
      <c r="B58" s="6536"/>
      <c r="C58" s="5651">
        <v>46419</v>
      </c>
      <c r="D58" s="5667">
        <f>D38-(SUM(D287:D304))</f>
        <v>672</v>
      </c>
      <c r="E58" s="5667">
        <f>E38-(SUM(E287:E304))</f>
        <v>672</v>
      </c>
      <c r="F58" s="5667"/>
      <c r="G58" s="5667">
        <f>G38-(SUM(G287:G304))</f>
        <v>672</v>
      </c>
      <c r="H58" s="5667"/>
      <c r="I58" s="5667">
        <f>I38-(SUM(I287:I304))</f>
        <v>2016</v>
      </c>
      <c r="J58" s="5661"/>
      <c r="K58" s="5667">
        <f>K38-(SUM(K287:K304))</f>
        <v>672</v>
      </c>
      <c r="L58" s="5667">
        <f>L38-(SUM(L287:L304))</f>
        <v>672</v>
      </c>
      <c r="M58" s="5667">
        <f>M38-(SUM(M287:M304))</f>
        <v>672</v>
      </c>
      <c r="N58" s="1111"/>
      <c r="Q58" s="1111"/>
      <c r="R58" s="1111"/>
      <c r="S58" s="1111"/>
    </row>
    <row r="59" spans="1:19" hidden="1" x14ac:dyDescent="0.3">
      <c r="A59" s="2541"/>
      <c r="B59" s="6536"/>
      <c r="C59" s="5651">
        <v>46447</v>
      </c>
      <c r="D59" s="5667">
        <f>D39-(SUM(D309:D326))</f>
        <v>744</v>
      </c>
      <c r="E59" s="5667">
        <f>E39-(SUM(E309:E326))</f>
        <v>744</v>
      </c>
      <c r="F59" s="5653"/>
      <c r="G59" s="5667">
        <f>G39-(SUM(G309:G326))</f>
        <v>744</v>
      </c>
      <c r="H59" s="5667"/>
      <c r="I59" s="5667">
        <f>I39-(SUM(I309:I326))</f>
        <v>2232</v>
      </c>
      <c r="J59" s="5653"/>
      <c r="K59" s="5667">
        <f>K39-(SUM(K309:K326))</f>
        <v>744</v>
      </c>
      <c r="L59" s="5667">
        <f>L39-(SUM(L309:L326))</f>
        <v>744</v>
      </c>
      <c r="M59" s="5667">
        <f>M39-(SUM(M309:M326))</f>
        <v>744</v>
      </c>
      <c r="Q59" s="1111"/>
    </row>
    <row r="60" spans="1:19" hidden="1" x14ac:dyDescent="0.3">
      <c r="A60" s="2541"/>
      <c r="B60" s="6536"/>
      <c r="C60" s="5655" t="s">
        <v>1683</v>
      </c>
      <c r="D60" s="5669">
        <f t="shared" ref="D60:E60" si="19">SUM(D57:D59)</f>
        <v>2160</v>
      </c>
      <c r="E60" s="5669">
        <f t="shared" si="19"/>
        <v>2160</v>
      </c>
      <c r="F60" s="5677"/>
      <c r="G60" s="5669">
        <f>SUM(G57:G59)</f>
        <v>2160</v>
      </c>
      <c r="H60" s="5669"/>
      <c r="I60" s="5669">
        <f>SUM(I57:I59)</f>
        <v>6480</v>
      </c>
      <c r="J60" s="5677"/>
      <c r="K60" s="5669">
        <f t="shared" ref="K60:M60" si="20">SUM(K57:K59)</f>
        <v>2160</v>
      </c>
      <c r="L60" s="5669">
        <f t="shared" si="20"/>
        <v>2160</v>
      </c>
      <c r="M60" s="5669">
        <f t="shared" si="20"/>
        <v>2160</v>
      </c>
      <c r="N60" s="1111"/>
      <c r="O60" s="1111"/>
      <c r="P60" s="1111"/>
    </row>
    <row r="61" spans="1:19" hidden="1" x14ac:dyDescent="0.3">
      <c r="A61" s="2541"/>
      <c r="B61" s="6536"/>
      <c r="C61" s="5655" t="s">
        <v>1961</v>
      </c>
      <c r="D61" s="5669">
        <f t="shared" ref="D61:E61" si="21">D60+D56+D48+D52</f>
        <v>8253.75</v>
      </c>
      <c r="E61" s="5669">
        <f t="shared" si="21"/>
        <v>8249.0400000000009</v>
      </c>
      <c r="F61" s="5677"/>
      <c r="G61" s="5669">
        <f>G60+G56+G48+G52</f>
        <v>8414.25</v>
      </c>
      <c r="H61" s="5669"/>
      <c r="I61" s="5669">
        <f>I60+I56+I48+I52</f>
        <v>24001.22</v>
      </c>
      <c r="J61" s="5677"/>
      <c r="K61" s="5669">
        <f t="shared" ref="K61:M61" si="22">K60+K56+K48+K52</f>
        <v>8169.416666666667</v>
      </c>
      <c r="L61" s="5669">
        <f t="shared" si="22"/>
        <v>8119.8</v>
      </c>
      <c r="M61" s="5669">
        <f t="shared" si="22"/>
        <v>7875.3333333333339</v>
      </c>
      <c r="N61" s="1111"/>
      <c r="O61" s="1111"/>
      <c r="P61" s="1111"/>
      <c r="Q61" s="3464"/>
      <c r="R61" s="3464"/>
      <c r="S61" s="3464"/>
    </row>
    <row r="62" spans="1:19" x14ac:dyDescent="0.3">
      <c r="A62" s="2541"/>
      <c r="B62" s="5647"/>
      <c r="C62" s="5648"/>
      <c r="D62" s="5672"/>
      <c r="E62" s="5672"/>
      <c r="F62" s="5647"/>
      <c r="G62" s="5647"/>
      <c r="H62" s="5647"/>
      <c r="I62" s="5647"/>
      <c r="J62" s="5647"/>
      <c r="K62" s="5647"/>
      <c r="L62" s="5647"/>
      <c r="M62" s="5647"/>
      <c r="N62" s="1111"/>
      <c r="O62" s="1111"/>
      <c r="P62" s="1111"/>
    </row>
    <row r="63" spans="1:19" x14ac:dyDescent="0.3">
      <c r="A63" s="2541"/>
      <c r="B63" s="5647"/>
      <c r="C63" s="5648"/>
      <c r="D63" s="5647"/>
      <c r="E63" s="5647"/>
      <c r="F63" s="5647"/>
      <c r="G63" s="5647"/>
      <c r="H63" s="5647"/>
      <c r="I63" s="5647"/>
      <c r="J63" s="5647"/>
      <c r="K63" s="5647"/>
      <c r="L63" s="5647"/>
      <c r="M63" s="5647"/>
      <c r="N63" s="3464"/>
      <c r="O63" s="3464"/>
      <c r="P63" s="3464"/>
    </row>
    <row r="64" spans="1:19" ht="15" thickBot="1" x14ac:dyDescent="0.35">
      <c r="A64" s="2541"/>
      <c r="B64" s="5235"/>
      <c r="C64" s="5236" t="s">
        <v>1675</v>
      </c>
      <c r="D64" s="5237" t="s">
        <v>1676</v>
      </c>
      <c r="E64" s="5237" t="s">
        <v>1677</v>
      </c>
      <c r="F64" s="5237"/>
      <c r="G64" s="5237" t="s">
        <v>1678</v>
      </c>
      <c r="H64" s="5237"/>
      <c r="I64" s="5237" t="s">
        <v>1017</v>
      </c>
      <c r="J64" s="5237"/>
      <c r="K64" s="5237" t="s">
        <v>59</v>
      </c>
      <c r="L64" s="5237" t="s">
        <v>95</v>
      </c>
      <c r="M64" s="5237" t="s">
        <v>1239</v>
      </c>
      <c r="N64" s="1111"/>
      <c r="O64" s="1111"/>
      <c r="P64" s="1111"/>
    </row>
    <row r="65" spans="1:16" ht="15" customHeight="1" x14ac:dyDescent="0.3">
      <c r="A65" s="2541"/>
      <c r="B65" s="6537">
        <v>46113</v>
      </c>
      <c r="C65" s="4664" t="s">
        <v>1686</v>
      </c>
      <c r="D65" s="4665">
        <v>15.5</v>
      </c>
      <c r="E65" s="4665">
        <v>33</v>
      </c>
      <c r="F65" s="4666"/>
      <c r="G65" s="4667">
        <v>9</v>
      </c>
      <c r="H65" s="4667"/>
      <c r="I65" s="5681">
        <v>597.16</v>
      </c>
      <c r="J65" s="4668"/>
      <c r="K65" s="4669">
        <v>111.36666666666666</v>
      </c>
      <c r="L65" s="4669">
        <v>73.816666666666663</v>
      </c>
      <c r="M65" s="4670">
        <v>126.75</v>
      </c>
      <c r="N65" s="1111"/>
      <c r="O65" s="1111"/>
      <c r="P65" s="1111"/>
    </row>
    <row r="66" spans="1:16" ht="15" customHeight="1" x14ac:dyDescent="0.3">
      <c r="A66" s="2541"/>
      <c r="B66" s="6538"/>
      <c r="C66" s="5682" t="s">
        <v>1687</v>
      </c>
      <c r="D66" s="5683"/>
      <c r="E66" s="5683"/>
      <c r="F66" s="5684"/>
      <c r="G66" s="5685"/>
      <c r="H66" s="5685"/>
      <c r="I66" s="5686"/>
      <c r="J66" s="5687"/>
      <c r="K66" s="5688"/>
      <c r="L66" s="5688"/>
      <c r="M66" s="5689"/>
    </row>
    <row r="67" spans="1:16" ht="15" customHeight="1" x14ac:dyDescent="0.3">
      <c r="A67" s="2541"/>
      <c r="B67" s="6538"/>
      <c r="C67" s="5682" t="s">
        <v>1688</v>
      </c>
      <c r="D67" s="5690"/>
      <c r="E67" s="5690">
        <v>1.08</v>
      </c>
      <c r="F67" s="5684"/>
      <c r="G67" s="5685">
        <v>2.08</v>
      </c>
      <c r="H67" s="5685"/>
      <c r="I67" s="5686"/>
      <c r="J67" s="5687"/>
      <c r="K67" s="5688">
        <v>14.783333333333333</v>
      </c>
      <c r="L67" s="5688">
        <v>21.1</v>
      </c>
      <c r="M67" s="5689">
        <v>21.166666666666668</v>
      </c>
    </row>
    <row r="68" spans="1:16" ht="15" customHeight="1" x14ac:dyDescent="0.3">
      <c r="A68" s="2541"/>
      <c r="B68" s="6538"/>
      <c r="C68" s="5682" t="s">
        <v>441</v>
      </c>
      <c r="D68" s="5683"/>
      <c r="E68" s="5683"/>
      <c r="F68" s="5684"/>
      <c r="G68" s="5685"/>
      <c r="H68" s="5685"/>
      <c r="I68" s="5686"/>
      <c r="J68" s="5687"/>
      <c r="K68" s="5688"/>
      <c r="L68" s="5688"/>
      <c r="M68" s="5689"/>
    </row>
    <row r="69" spans="1:16" ht="15" customHeight="1" x14ac:dyDescent="0.3">
      <c r="A69" s="2541"/>
      <c r="B69" s="6538"/>
      <c r="C69" s="5682" t="s">
        <v>1689</v>
      </c>
      <c r="D69" s="5683"/>
      <c r="E69" s="5683"/>
      <c r="F69" s="5684"/>
      <c r="G69" s="5685"/>
      <c r="H69" s="5685"/>
      <c r="I69" s="5686"/>
      <c r="J69" s="5687"/>
      <c r="K69" s="5688"/>
      <c r="L69" s="5688"/>
      <c r="M69" s="5689"/>
      <c r="O69" s="3464"/>
    </row>
    <row r="70" spans="1:16" ht="15" customHeight="1" x14ac:dyDescent="0.3">
      <c r="A70" s="2541"/>
      <c r="B70" s="6538"/>
      <c r="C70" s="5682" t="s">
        <v>1690</v>
      </c>
      <c r="D70" s="5690">
        <v>9.42</v>
      </c>
      <c r="E70" s="5690">
        <v>24.63</v>
      </c>
      <c r="F70" s="5684"/>
      <c r="G70" s="5685"/>
      <c r="H70" s="5685"/>
      <c r="I70" s="5686">
        <v>3.33</v>
      </c>
      <c r="J70" s="5687"/>
      <c r="K70" s="5688">
        <v>34.25</v>
      </c>
      <c r="L70" s="5688">
        <v>31.75</v>
      </c>
      <c r="M70" s="5689">
        <v>51.75</v>
      </c>
    </row>
    <row r="71" spans="1:16" ht="15" customHeight="1" x14ac:dyDescent="0.3">
      <c r="A71" s="2541"/>
      <c r="B71" s="6538"/>
      <c r="C71" s="5682" t="s">
        <v>1691</v>
      </c>
      <c r="D71" s="5690"/>
      <c r="E71" s="5690"/>
      <c r="F71" s="5684"/>
      <c r="G71" s="5685"/>
      <c r="H71" s="5685"/>
      <c r="I71" s="5686">
        <v>0.45</v>
      </c>
      <c r="J71" s="5687"/>
      <c r="K71" s="5688">
        <v>7.6</v>
      </c>
      <c r="L71" s="5688">
        <v>14.616666666666667</v>
      </c>
      <c r="M71" s="5689">
        <v>8.75</v>
      </c>
    </row>
    <row r="72" spans="1:16" ht="15" customHeight="1" x14ac:dyDescent="0.3">
      <c r="A72" s="2541"/>
      <c r="B72" s="6538"/>
      <c r="C72" s="5682" t="s">
        <v>1692</v>
      </c>
      <c r="D72" s="5690">
        <v>4.5</v>
      </c>
      <c r="E72" s="5690">
        <v>14</v>
      </c>
      <c r="F72" s="5684"/>
      <c r="G72" s="5685"/>
      <c r="H72" s="5685"/>
      <c r="I72" s="5686"/>
      <c r="J72" s="5687"/>
      <c r="K72" s="5688"/>
      <c r="L72" s="5688"/>
      <c r="M72" s="5689"/>
    </row>
    <row r="73" spans="1:16" ht="15" customHeight="1" x14ac:dyDescent="0.3">
      <c r="A73" s="2541"/>
      <c r="B73" s="6538"/>
      <c r="C73" s="5682" t="s">
        <v>1693</v>
      </c>
      <c r="D73" s="5690"/>
      <c r="E73" s="5690"/>
      <c r="F73" s="5684"/>
      <c r="G73" s="5685"/>
      <c r="H73" s="5685"/>
      <c r="I73" s="5686"/>
      <c r="J73" s="5687"/>
      <c r="K73" s="5688"/>
      <c r="L73" s="5688"/>
      <c r="M73" s="5689"/>
    </row>
    <row r="74" spans="1:16" ht="27.6" x14ac:dyDescent="0.3">
      <c r="A74" s="2541"/>
      <c r="B74" s="6538"/>
      <c r="C74" s="5682" t="s">
        <v>1699</v>
      </c>
      <c r="D74" s="5690"/>
      <c r="E74" s="5690"/>
      <c r="F74" s="5684"/>
      <c r="G74" s="5685"/>
      <c r="H74" s="5685"/>
      <c r="I74" s="5652">
        <v>111.73</v>
      </c>
      <c r="J74" s="5687"/>
      <c r="K74" s="5688"/>
      <c r="L74" s="5688"/>
      <c r="M74" s="5689"/>
    </row>
    <row r="75" spans="1:16" ht="15" customHeight="1" x14ac:dyDescent="0.3">
      <c r="A75" s="2541"/>
      <c r="B75" s="6538"/>
      <c r="C75" s="5682" t="s">
        <v>1694</v>
      </c>
      <c r="D75" s="5690"/>
      <c r="E75" s="5690"/>
      <c r="F75" s="5684"/>
      <c r="G75" s="5685"/>
      <c r="H75" s="5685"/>
      <c r="I75" s="5686"/>
      <c r="J75" s="5687"/>
      <c r="K75" s="5688">
        <v>1.2</v>
      </c>
      <c r="L75" s="5688">
        <v>1.55</v>
      </c>
      <c r="M75" s="5689">
        <v>7.833333333333333</v>
      </c>
    </row>
    <row r="76" spans="1:16" ht="15" customHeight="1" x14ac:dyDescent="0.3">
      <c r="A76" s="2541"/>
      <c r="B76" s="6538"/>
      <c r="C76" s="5682" t="s">
        <v>1695</v>
      </c>
      <c r="D76" s="5690">
        <v>0.33</v>
      </c>
      <c r="E76" s="5690"/>
      <c r="F76" s="5684"/>
      <c r="G76" s="5685"/>
      <c r="H76" s="5685"/>
      <c r="I76" s="5686"/>
      <c r="J76" s="5687"/>
      <c r="K76" s="5688"/>
      <c r="L76" s="5688"/>
      <c r="M76" s="5689"/>
    </row>
    <row r="77" spans="1:16" ht="15" customHeight="1" x14ac:dyDescent="0.3">
      <c r="A77" s="2541"/>
      <c r="B77" s="6538"/>
      <c r="C77" s="5682" t="s">
        <v>1696</v>
      </c>
      <c r="D77" s="5690"/>
      <c r="E77" s="5690"/>
      <c r="F77" s="5684"/>
      <c r="G77" s="5685"/>
      <c r="H77" s="5685"/>
      <c r="I77" s="5686"/>
      <c r="J77" s="5687"/>
      <c r="K77" s="5688"/>
      <c r="L77" s="5688"/>
      <c r="M77" s="5689"/>
    </row>
    <row r="78" spans="1:16" ht="15" customHeight="1" x14ac:dyDescent="0.3">
      <c r="A78" s="2541"/>
      <c r="B78" s="6538"/>
      <c r="C78" s="5682" t="s">
        <v>1697</v>
      </c>
      <c r="D78" s="5684"/>
      <c r="E78" s="5684"/>
      <c r="F78" s="5684"/>
      <c r="G78" s="5685"/>
      <c r="H78" s="5685"/>
      <c r="I78" s="5686"/>
      <c r="J78" s="5687"/>
      <c r="K78" s="5688"/>
      <c r="L78" s="5688"/>
      <c r="M78" s="5689"/>
    </row>
    <row r="79" spans="1:16" ht="15" customHeight="1" x14ac:dyDescent="0.3">
      <c r="A79" s="2541"/>
      <c r="B79" s="6538"/>
      <c r="C79" s="5682" t="s">
        <v>1823</v>
      </c>
      <c r="D79" s="5684"/>
      <c r="E79" s="5684"/>
      <c r="F79" s="5684"/>
      <c r="G79" s="5685"/>
      <c r="H79" s="5685"/>
      <c r="I79" s="5686"/>
      <c r="J79" s="5687"/>
      <c r="K79" s="5688"/>
      <c r="L79" s="5688"/>
      <c r="M79" s="5689"/>
    </row>
    <row r="80" spans="1:16" ht="15" customHeight="1" x14ac:dyDescent="0.3">
      <c r="A80" s="2541"/>
      <c r="B80" s="6538"/>
      <c r="C80" s="5682" t="s">
        <v>82</v>
      </c>
      <c r="D80" s="5684"/>
      <c r="E80" s="5684"/>
      <c r="F80" s="5684"/>
      <c r="G80" s="5685"/>
      <c r="H80" s="5685"/>
      <c r="I80" s="5686"/>
      <c r="J80" s="5687"/>
      <c r="K80" s="5688"/>
      <c r="L80" s="5688"/>
      <c r="M80" s="5689"/>
    </row>
    <row r="81" spans="1:13" ht="15" customHeight="1" x14ac:dyDescent="0.3">
      <c r="A81" s="2541"/>
      <c r="B81" s="6538"/>
      <c r="C81" s="5682" t="s">
        <v>1698</v>
      </c>
      <c r="D81" s="5684"/>
      <c r="E81" s="5684"/>
      <c r="F81" s="5684"/>
      <c r="G81" s="5685"/>
      <c r="H81" s="5685"/>
      <c r="I81" s="5686">
        <v>1.5</v>
      </c>
      <c r="J81" s="5687"/>
      <c r="K81" s="5688"/>
      <c r="L81" s="5688"/>
      <c r="M81" s="5689"/>
    </row>
    <row r="82" spans="1:13" ht="15" customHeight="1" x14ac:dyDescent="0.3">
      <c r="A82" s="2541"/>
      <c r="B82" s="6538"/>
      <c r="C82" s="5682" t="s">
        <v>100</v>
      </c>
      <c r="D82" s="5691"/>
      <c r="E82" s="5691"/>
      <c r="F82" s="5684"/>
      <c r="G82" s="5685"/>
      <c r="H82" s="5685"/>
      <c r="I82" s="5686"/>
      <c r="J82" s="5687"/>
      <c r="K82" s="5688"/>
      <c r="L82" s="5688"/>
      <c r="M82" s="5689"/>
    </row>
    <row r="83" spans="1:13" ht="15" customHeight="1" x14ac:dyDescent="0.3">
      <c r="A83" s="2541"/>
      <c r="B83" s="6538"/>
      <c r="C83" s="5682" t="s">
        <v>58</v>
      </c>
      <c r="D83" s="5691"/>
      <c r="E83" s="5691"/>
      <c r="F83" s="5684"/>
      <c r="G83" s="5685"/>
      <c r="H83" s="5685"/>
      <c r="I83" s="5686"/>
      <c r="J83" s="5687"/>
      <c r="K83" s="5688"/>
      <c r="L83" s="5688"/>
      <c r="M83" s="5689"/>
    </row>
    <row r="84" spans="1:13" ht="15" customHeight="1" thickBot="1" x14ac:dyDescent="0.35">
      <c r="A84" s="2541"/>
      <c r="B84" s="6539"/>
      <c r="C84" s="5692" t="s">
        <v>2076</v>
      </c>
      <c r="D84" s="5693">
        <v>3.92</v>
      </c>
      <c r="E84" s="5693">
        <v>3.67</v>
      </c>
      <c r="F84" s="5694"/>
      <c r="G84" s="5695"/>
      <c r="H84" s="5695"/>
      <c r="I84" s="5696"/>
      <c r="J84" s="5697"/>
      <c r="K84" s="5698">
        <v>4.7833333333333332</v>
      </c>
      <c r="L84" s="5698">
        <v>8.5500000000000007</v>
      </c>
      <c r="M84" s="5699">
        <v>34.25</v>
      </c>
    </row>
    <row r="85" spans="1:13" ht="15" thickBot="1" x14ac:dyDescent="0.35">
      <c r="A85" s="2541"/>
      <c r="B85" s="4671"/>
      <c r="C85" s="4672"/>
    </row>
    <row r="86" spans="1:13" ht="15" thickBot="1" x14ac:dyDescent="0.35">
      <c r="A86" s="2541"/>
      <c r="B86" s="6527">
        <v>46143</v>
      </c>
      <c r="C86" s="1558"/>
      <c r="D86" s="4673" t="s">
        <v>1676</v>
      </c>
      <c r="E86" s="4673" t="s">
        <v>1677</v>
      </c>
      <c r="F86" s="4674"/>
      <c r="G86" s="4673" t="s">
        <v>1678</v>
      </c>
      <c r="H86" s="4675"/>
      <c r="I86" s="4675" t="s">
        <v>1017</v>
      </c>
      <c r="J86" s="4673"/>
      <c r="K86" s="4673" t="s">
        <v>59</v>
      </c>
      <c r="L86" s="4673" t="s">
        <v>95</v>
      </c>
      <c r="M86" s="4676" t="s">
        <v>1239</v>
      </c>
    </row>
    <row r="87" spans="1:13" x14ac:dyDescent="0.3">
      <c r="A87" s="2541"/>
      <c r="B87" s="6528"/>
      <c r="C87" s="4664" t="s">
        <v>1686</v>
      </c>
      <c r="D87" s="5690"/>
      <c r="E87" s="5690"/>
      <c r="F87" s="5690"/>
      <c r="G87" s="5690"/>
      <c r="H87" s="5690"/>
      <c r="I87" s="5700">
        <v>225.25</v>
      </c>
      <c r="J87" s="5690"/>
      <c r="K87" s="5700">
        <v>56.283333333333331</v>
      </c>
      <c r="L87" s="5700">
        <v>29.55</v>
      </c>
      <c r="M87" s="5701">
        <v>19.25</v>
      </c>
    </row>
    <row r="88" spans="1:13" x14ac:dyDescent="0.3">
      <c r="A88" s="2541"/>
      <c r="B88" s="6528"/>
      <c r="C88" s="5682" t="s">
        <v>1687</v>
      </c>
      <c r="D88" s="5690">
        <v>427.75</v>
      </c>
      <c r="E88" s="5690">
        <v>400</v>
      </c>
      <c r="F88" s="5690"/>
      <c r="G88" s="5690">
        <v>334.67</v>
      </c>
      <c r="H88" s="5690"/>
      <c r="I88" s="5700">
        <v>1323</v>
      </c>
      <c r="J88" s="5690"/>
      <c r="K88" s="5700">
        <v>317</v>
      </c>
      <c r="L88" s="5700">
        <v>426.75</v>
      </c>
      <c r="M88" s="5701">
        <v>535</v>
      </c>
    </row>
    <row r="89" spans="1:13" x14ac:dyDescent="0.3">
      <c r="A89" s="2541"/>
      <c r="B89" s="6528"/>
      <c r="C89" s="5682" t="s">
        <v>1688</v>
      </c>
      <c r="D89" s="5690"/>
      <c r="E89" s="5690"/>
      <c r="F89" s="5690"/>
      <c r="G89" s="5690"/>
      <c r="H89" s="5690"/>
      <c r="I89" s="5690"/>
      <c r="J89" s="5690"/>
      <c r="K89" s="5690">
        <v>11.8</v>
      </c>
      <c r="L89" s="5690">
        <v>8.0166666666666675</v>
      </c>
      <c r="M89" s="5702">
        <v>13.916666666666666</v>
      </c>
    </row>
    <row r="90" spans="1:13" x14ac:dyDescent="0.3">
      <c r="A90" s="2541"/>
      <c r="B90" s="6528"/>
      <c r="C90" s="5682" t="s">
        <v>441</v>
      </c>
      <c r="D90" s="5690"/>
      <c r="E90" s="5690"/>
      <c r="F90" s="5690"/>
      <c r="G90" s="5690"/>
      <c r="H90" s="5690"/>
      <c r="I90" s="5690"/>
      <c r="J90" s="5690"/>
      <c r="K90" s="5690"/>
      <c r="L90" s="5690"/>
      <c r="M90" s="5702"/>
    </row>
    <row r="91" spans="1:13" x14ac:dyDescent="0.3">
      <c r="A91" s="2541"/>
      <c r="B91" s="6528"/>
      <c r="C91" s="5682" t="s">
        <v>1689</v>
      </c>
      <c r="D91" s="5690"/>
      <c r="E91" s="5690"/>
      <c r="F91" s="5690"/>
      <c r="G91" s="5690"/>
      <c r="H91" s="5690"/>
      <c r="I91" s="5690"/>
      <c r="J91" s="5690"/>
      <c r="K91" s="5690"/>
      <c r="L91" s="5690"/>
      <c r="M91" s="5702"/>
    </row>
    <row r="92" spans="1:13" x14ac:dyDescent="0.3">
      <c r="A92" s="2541"/>
      <c r="B92" s="6528"/>
      <c r="C92" s="5682" t="s">
        <v>1690</v>
      </c>
      <c r="D92" s="5690">
        <v>0.5</v>
      </c>
      <c r="E92" s="5690">
        <v>7</v>
      </c>
      <c r="F92" s="5690"/>
      <c r="G92" s="5690"/>
      <c r="H92" s="5690"/>
      <c r="I92" s="5690">
        <v>0.5</v>
      </c>
      <c r="J92" s="5690"/>
      <c r="K92" s="5690">
        <v>13.883333333333333</v>
      </c>
      <c r="L92" s="5690">
        <v>13.9</v>
      </c>
      <c r="M92" s="5702">
        <v>56.083333333333336</v>
      </c>
    </row>
    <row r="93" spans="1:13" x14ac:dyDescent="0.3">
      <c r="A93" s="2541"/>
      <c r="B93" s="6528"/>
      <c r="C93" s="5682" t="s">
        <v>1691</v>
      </c>
      <c r="D93" s="5690">
        <v>14.83</v>
      </c>
      <c r="E93" s="5690">
        <v>0.57999999999999996</v>
      </c>
      <c r="F93" s="5690"/>
      <c r="G93" s="5690"/>
      <c r="H93" s="5690"/>
      <c r="I93" s="5690"/>
      <c r="J93" s="5690"/>
      <c r="K93" s="5690">
        <v>9</v>
      </c>
      <c r="L93" s="5690">
        <v>4.6500000000000004</v>
      </c>
      <c r="M93" s="5702">
        <v>6.083333333333333</v>
      </c>
    </row>
    <row r="94" spans="1:13" x14ac:dyDescent="0.3">
      <c r="A94" s="2541"/>
      <c r="B94" s="6528"/>
      <c r="C94" s="5682" t="s">
        <v>1692</v>
      </c>
      <c r="D94" s="5690">
        <v>7</v>
      </c>
      <c r="E94" s="5690">
        <v>9</v>
      </c>
      <c r="F94" s="5690"/>
      <c r="G94" s="5690"/>
      <c r="H94" s="5690"/>
      <c r="I94" s="5690"/>
      <c r="J94" s="5690"/>
      <c r="K94" s="5690"/>
      <c r="L94" s="5690"/>
      <c r="M94" s="5702"/>
    </row>
    <row r="95" spans="1:13" x14ac:dyDescent="0.3">
      <c r="A95" s="2541"/>
      <c r="B95" s="6528"/>
      <c r="C95" s="5682" t="s">
        <v>1693</v>
      </c>
      <c r="D95" s="5690"/>
      <c r="E95" s="5690"/>
      <c r="F95" s="5690"/>
      <c r="G95" s="5690"/>
      <c r="H95" s="5690"/>
      <c r="I95" s="5690"/>
      <c r="J95" s="5690"/>
      <c r="K95" s="5690"/>
      <c r="L95" s="5690"/>
      <c r="M95" s="5702"/>
    </row>
    <row r="96" spans="1:13" ht="27.6" x14ac:dyDescent="0.3">
      <c r="A96" s="2541"/>
      <c r="B96" s="6528"/>
      <c r="C96" s="5682" t="s">
        <v>1699</v>
      </c>
      <c r="D96" s="5690"/>
      <c r="E96" s="5690"/>
      <c r="F96" s="5690"/>
      <c r="G96" s="5690"/>
      <c r="H96" s="5690"/>
      <c r="I96" s="5690">
        <v>8.0500000000000007</v>
      </c>
      <c r="J96" s="5690"/>
      <c r="K96" s="5690"/>
      <c r="L96" s="5690"/>
      <c r="M96" s="5702"/>
    </row>
    <row r="97" spans="1:13" x14ac:dyDescent="0.3">
      <c r="A97" s="2541"/>
      <c r="B97" s="6528"/>
      <c r="C97" s="5682" t="s">
        <v>1694</v>
      </c>
      <c r="D97" s="5690"/>
      <c r="E97" s="5690"/>
      <c r="F97" s="5690"/>
      <c r="G97" s="5690"/>
      <c r="H97" s="5690"/>
      <c r="I97" s="5690"/>
      <c r="J97" s="5690"/>
      <c r="K97" s="5690">
        <v>0.5</v>
      </c>
      <c r="L97" s="5690">
        <v>1.1333333333333333</v>
      </c>
      <c r="M97" s="5702">
        <v>0.25</v>
      </c>
    </row>
    <row r="98" spans="1:13" x14ac:dyDescent="0.3">
      <c r="A98" s="2541"/>
      <c r="B98" s="6528"/>
      <c r="C98" s="5682" t="s">
        <v>1695</v>
      </c>
      <c r="D98" s="5690"/>
      <c r="E98" s="5690"/>
      <c r="F98" s="5690"/>
      <c r="G98" s="5690"/>
      <c r="H98" s="5690"/>
      <c r="I98" s="5690"/>
      <c r="J98" s="5690"/>
      <c r="K98" s="5690"/>
      <c r="L98" s="5690"/>
      <c r="M98" s="5702"/>
    </row>
    <row r="99" spans="1:13" x14ac:dyDescent="0.3">
      <c r="A99" s="2541"/>
      <c r="B99" s="6528"/>
      <c r="C99" s="5682" t="s">
        <v>1696</v>
      </c>
      <c r="D99" s="5690"/>
      <c r="E99" s="5690"/>
      <c r="F99" s="5690"/>
      <c r="G99" s="5690"/>
      <c r="H99" s="5690"/>
      <c r="I99" s="5690"/>
      <c r="J99" s="5690"/>
      <c r="K99" s="5690"/>
      <c r="L99" s="5690"/>
      <c r="M99" s="5702"/>
    </row>
    <row r="100" spans="1:13" x14ac:dyDescent="0.3">
      <c r="A100" s="2541"/>
      <c r="B100" s="6528"/>
      <c r="C100" s="5682" t="s">
        <v>1697</v>
      </c>
      <c r="D100" s="5690"/>
      <c r="E100" s="5690"/>
      <c r="F100" s="5690"/>
      <c r="G100" s="5690"/>
      <c r="H100" s="5690"/>
      <c r="I100" s="5690"/>
      <c r="J100" s="5690"/>
      <c r="K100" s="5690"/>
      <c r="L100" s="5690"/>
      <c r="M100" s="5702"/>
    </row>
    <row r="101" spans="1:13" x14ac:dyDescent="0.3">
      <c r="A101" s="2541"/>
      <c r="B101" s="6528"/>
      <c r="C101" s="5682" t="s">
        <v>1823</v>
      </c>
      <c r="D101" s="5703"/>
      <c r="E101" s="5703"/>
      <c r="F101" s="5703"/>
      <c r="G101" s="5703"/>
      <c r="H101" s="5703"/>
      <c r="I101" s="5703"/>
      <c r="J101" s="5703"/>
      <c r="K101" s="5703"/>
      <c r="L101" s="5703"/>
      <c r="M101" s="5704"/>
    </row>
    <row r="102" spans="1:13" x14ac:dyDescent="0.3">
      <c r="A102" s="2541"/>
      <c r="B102" s="6528"/>
      <c r="C102" s="5682" t="s">
        <v>82</v>
      </c>
      <c r="D102" s="5690">
        <v>22.5</v>
      </c>
      <c r="E102" s="5690">
        <v>18</v>
      </c>
      <c r="F102" s="5690"/>
      <c r="G102" s="5690"/>
      <c r="H102" s="5690"/>
      <c r="I102" s="5690"/>
      <c r="J102" s="5690"/>
      <c r="K102" s="5690"/>
      <c r="L102" s="5690"/>
      <c r="M102" s="5702"/>
    </row>
    <row r="103" spans="1:13" x14ac:dyDescent="0.3">
      <c r="A103" s="2541"/>
      <c r="B103" s="6528"/>
      <c r="C103" s="5682" t="s">
        <v>1698</v>
      </c>
      <c r="D103" s="5690"/>
      <c r="E103" s="5690"/>
      <c r="F103" s="5690"/>
      <c r="G103" s="5690"/>
      <c r="H103" s="5690"/>
      <c r="I103" s="5690">
        <v>0.86</v>
      </c>
      <c r="J103" s="5690"/>
      <c r="K103" s="5690"/>
      <c r="L103" s="5690"/>
      <c r="M103" s="5702"/>
    </row>
    <row r="104" spans="1:13" x14ac:dyDescent="0.3">
      <c r="A104" s="2541"/>
      <c r="B104" s="6528"/>
      <c r="C104" s="5682" t="s">
        <v>100</v>
      </c>
      <c r="D104" s="5690"/>
      <c r="E104" s="5690"/>
      <c r="F104" s="5690"/>
      <c r="G104" s="5690"/>
      <c r="H104" s="5690"/>
      <c r="I104" s="5690">
        <v>0.65</v>
      </c>
      <c r="J104" s="5690"/>
      <c r="K104" s="5690"/>
      <c r="L104" s="5690"/>
      <c r="M104" s="5702"/>
    </row>
    <row r="105" spans="1:13" x14ac:dyDescent="0.3">
      <c r="A105" s="2541"/>
      <c r="B105" s="6528"/>
      <c r="C105" s="5682" t="s">
        <v>58</v>
      </c>
      <c r="D105" s="5690"/>
      <c r="E105" s="5690"/>
      <c r="F105" s="5690"/>
      <c r="G105" s="5690"/>
      <c r="H105" s="5690"/>
      <c r="I105" s="5690">
        <v>6.3</v>
      </c>
      <c r="J105" s="5690"/>
      <c r="K105" s="5690"/>
      <c r="L105" s="5690"/>
      <c r="M105" s="5702"/>
    </row>
    <row r="106" spans="1:13" ht="15" thickBot="1" x14ac:dyDescent="0.35">
      <c r="A106" s="2541"/>
      <c r="B106" s="6529"/>
      <c r="C106" s="5692" t="s">
        <v>2076</v>
      </c>
      <c r="D106" s="5705"/>
      <c r="E106" s="5705"/>
      <c r="F106" s="5705"/>
      <c r="G106" s="5705"/>
      <c r="H106" s="5705"/>
      <c r="I106" s="5705"/>
      <c r="J106" s="5705"/>
      <c r="K106" s="5705">
        <v>8.1333333333333329</v>
      </c>
      <c r="L106" s="5705">
        <v>4.8166666666666664</v>
      </c>
      <c r="M106" s="5706">
        <v>3.5833333333333335</v>
      </c>
    </row>
    <row r="107" spans="1:13" hidden="1" x14ac:dyDescent="0.3">
      <c r="A107" s="2541"/>
      <c r="B107" s="6527">
        <v>46174</v>
      </c>
      <c r="C107" s="1558"/>
      <c r="D107" s="4673" t="s">
        <v>1676</v>
      </c>
      <c r="E107" s="4673" t="s">
        <v>1677</v>
      </c>
      <c r="F107" s="4674"/>
      <c r="G107" s="4678" t="s">
        <v>1678</v>
      </c>
      <c r="H107" s="4675"/>
      <c r="I107" s="4675" t="s">
        <v>1017</v>
      </c>
      <c r="J107" s="4673"/>
      <c r="K107" s="4673" t="s">
        <v>59</v>
      </c>
      <c r="L107" s="4673" t="s">
        <v>95</v>
      </c>
      <c r="M107" s="4676" t="s">
        <v>1239</v>
      </c>
    </row>
    <row r="108" spans="1:13" hidden="1" x14ac:dyDescent="0.3">
      <c r="A108" s="2541"/>
      <c r="B108" s="6528"/>
      <c r="C108" s="4664" t="s">
        <v>1686</v>
      </c>
      <c r="D108" s="5686"/>
      <c r="E108" s="5686"/>
      <c r="F108" s="5707"/>
      <c r="G108" s="5686"/>
      <c r="H108" s="5686"/>
      <c r="I108" s="5686"/>
      <c r="J108" s="5686"/>
      <c r="K108" s="5686"/>
      <c r="L108" s="5686"/>
      <c r="M108" s="5708"/>
    </row>
    <row r="109" spans="1:13" hidden="1" x14ac:dyDescent="0.3">
      <c r="A109" s="2541"/>
      <c r="B109" s="6528"/>
      <c r="C109" s="5682" t="s">
        <v>1687</v>
      </c>
      <c r="D109" s="5686"/>
      <c r="E109" s="5686"/>
      <c r="F109" s="5707"/>
      <c r="G109" s="5686"/>
      <c r="H109" s="5686"/>
      <c r="I109" s="5686"/>
      <c r="J109" s="5686"/>
      <c r="K109" s="5686"/>
      <c r="L109" s="5686"/>
      <c r="M109" s="5708"/>
    </row>
    <row r="110" spans="1:13" hidden="1" x14ac:dyDescent="0.3">
      <c r="A110" s="2541"/>
      <c r="B110" s="6528"/>
      <c r="C110" s="5682" t="s">
        <v>1688</v>
      </c>
      <c r="D110" s="5686"/>
      <c r="E110" s="5686"/>
      <c r="F110" s="5707"/>
      <c r="G110" s="5686"/>
      <c r="H110" s="5686"/>
      <c r="I110" s="5686"/>
      <c r="J110" s="5686"/>
      <c r="K110" s="5686"/>
      <c r="L110" s="5686"/>
      <c r="M110" s="5708"/>
    </row>
    <row r="111" spans="1:13" hidden="1" x14ac:dyDescent="0.3">
      <c r="A111" s="2541"/>
      <c r="B111" s="6528"/>
      <c r="C111" s="5682" t="s">
        <v>441</v>
      </c>
      <c r="D111" s="5686"/>
      <c r="E111" s="5686"/>
      <c r="F111" s="5707"/>
      <c r="G111" s="5686"/>
      <c r="H111" s="5686"/>
      <c r="I111" s="5686"/>
      <c r="J111" s="5686"/>
      <c r="K111" s="5686"/>
      <c r="L111" s="5686"/>
      <c r="M111" s="5708"/>
    </row>
    <row r="112" spans="1:13" hidden="1" x14ac:dyDescent="0.3">
      <c r="A112" s="2541"/>
      <c r="B112" s="6528"/>
      <c r="C112" s="5682" t="s">
        <v>1689</v>
      </c>
      <c r="D112" s="5686"/>
      <c r="E112" s="5686"/>
      <c r="F112" s="5707"/>
      <c r="G112" s="5686"/>
      <c r="H112" s="5686"/>
      <c r="I112" s="5686"/>
      <c r="J112" s="5686"/>
      <c r="K112" s="5686"/>
      <c r="L112" s="5686"/>
      <c r="M112" s="5708"/>
    </row>
    <row r="113" spans="1:13" hidden="1" x14ac:dyDescent="0.3">
      <c r="A113" s="2541"/>
      <c r="B113" s="6528"/>
      <c r="C113" s="5682" t="s">
        <v>1690</v>
      </c>
      <c r="D113" s="5686"/>
      <c r="E113" s="5686"/>
      <c r="F113" s="5707"/>
      <c r="G113" s="5686"/>
      <c r="H113" s="5686"/>
      <c r="I113" s="5686"/>
      <c r="J113" s="5686"/>
      <c r="K113" s="5686"/>
      <c r="L113" s="5686"/>
      <c r="M113" s="5708"/>
    </row>
    <row r="114" spans="1:13" hidden="1" x14ac:dyDescent="0.3">
      <c r="A114" s="2541"/>
      <c r="B114" s="6528"/>
      <c r="C114" s="5682" t="s">
        <v>1691</v>
      </c>
      <c r="D114" s="5686"/>
      <c r="E114" s="5686"/>
      <c r="F114" s="5707"/>
      <c r="G114" s="5686"/>
      <c r="H114" s="5686"/>
      <c r="I114" s="5686"/>
      <c r="J114" s="5686"/>
      <c r="K114" s="5686"/>
      <c r="L114" s="5686"/>
      <c r="M114" s="5708"/>
    </row>
    <row r="115" spans="1:13" hidden="1" x14ac:dyDescent="0.3">
      <c r="A115" s="2541"/>
      <c r="B115" s="6528"/>
      <c r="C115" s="5682" t="s">
        <v>1692</v>
      </c>
      <c r="D115" s="5686"/>
      <c r="E115" s="5686"/>
      <c r="F115" s="5707"/>
      <c r="G115" s="5686"/>
      <c r="H115" s="5686"/>
      <c r="I115" s="5686"/>
      <c r="J115" s="5686"/>
      <c r="K115" s="5686"/>
      <c r="L115" s="5686"/>
      <c r="M115" s="5708"/>
    </row>
    <row r="116" spans="1:13" hidden="1" x14ac:dyDescent="0.3">
      <c r="A116" s="2541"/>
      <c r="B116" s="6528"/>
      <c r="C116" s="5682" t="s">
        <v>1693</v>
      </c>
      <c r="D116" s="5686"/>
      <c r="E116" s="5686"/>
      <c r="F116" s="5707"/>
      <c r="G116" s="5686"/>
      <c r="H116" s="5686"/>
      <c r="I116" s="5686"/>
      <c r="J116" s="5686"/>
      <c r="K116" s="5686"/>
      <c r="L116" s="5686"/>
      <c r="M116" s="5708"/>
    </row>
    <row r="117" spans="1:13" ht="27.6" hidden="1" x14ac:dyDescent="0.3">
      <c r="A117" s="2541"/>
      <c r="B117" s="6528"/>
      <c r="C117" s="5682" t="s">
        <v>1699</v>
      </c>
      <c r="D117" s="5686"/>
      <c r="E117" s="5686"/>
      <c r="F117" s="5709"/>
      <c r="G117" s="5686"/>
      <c r="H117" s="5686"/>
      <c r="I117" s="5686"/>
      <c r="J117" s="5686"/>
      <c r="K117" s="5686"/>
      <c r="L117" s="5686"/>
      <c r="M117" s="5708"/>
    </row>
    <row r="118" spans="1:13" hidden="1" x14ac:dyDescent="0.3">
      <c r="A118" s="2541"/>
      <c r="B118" s="6528"/>
      <c r="C118" s="5682" t="s">
        <v>1694</v>
      </c>
      <c r="D118" s="5686"/>
      <c r="E118" s="5686"/>
      <c r="F118" s="5707"/>
      <c r="G118" s="5686"/>
      <c r="H118" s="5686"/>
      <c r="I118" s="5686"/>
      <c r="J118" s="5686"/>
      <c r="K118" s="5686"/>
      <c r="L118" s="5686"/>
      <c r="M118" s="5708"/>
    </row>
    <row r="119" spans="1:13" hidden="1" x14ac:dyDescent="0.3">
      <c r="A119" s="2541"/>
      <c r="B119" s="6528"/>
      <c r="C119" s="5682" t="s">
        <v>1695</v>
      </c>
      <c r="D119" s="5686"/>
      <c r="E119" s="5686"/>
      <c r="F119" s="5707"/>
      <c r="G119" s="5686"/>
      <c r="H119" s="5686"/>
      <c r="I119" s="5686"/>
      <c r="J119" s="5686"/>
      <c r="K119" s="5686"/>
      <c r="L119" s="5686"/>
      <c r="M119" s="5708"/>
    </row>
    <row r="120" spans="1:13" hidden="1" x14ac:dyDescent="0.3">
      <c r="A120" s="2541"/>
      <c r="B120" s="6528"/>
      <c r="C120" s="5682" t="s">
        <v>1696</v>
      </c>
      <c r="D120" s="5686"/>
      <c r="E120" s="5686"/>
      <c r="F120" s="5707"/>
      <c r="G120" s="5686"/>
      <c r="H120" s="5686"/>
      <c r="I120" s="5686"/>
      <c r="J120" s="5686"/>
      <c r="K120" s="5686"/>
      <c r="L120" s="5686"/>
      <c r="M120" s="5708"/>
    </row>
    <row r="121" spans="1:13" hidden="1" x14ac:dyDescent="0.3">
      <c r="A121" s="2541"/>
      <c r="B121" s="6528"/>
      <c r="C121" s="5682" t="s">
        <v>1697</v>
      </c>
      <c r="D121" s="5686"/>
      <c r="E121" s="5686"/>
      <c r="F121" s="5707"/>
      <c r="G121" s="5686"/>
      <c r="H121" s="5686"/>
      <c r="I121" s="5686"/>
      <c r="J121" s="5686"/>
      <c r="K121" s="5686"/>
      <c r="L121" s="5686"/>
      <c r="M121" s="5708"/>
    </row>
    <row r="122" spans="1:13" hidden="1" x14ac:dyDescent="0.3">
      <c r="A122" s="2541"/>
      <c r="B122" s="6528"/>
      <c r="C122" s="5682" t="s">
        <v>1823</v>
      </c>
      <c r="D122" s="5686"/>
      <c r="E122" s="5686"/>
      <c r="F122" s="5707"/>
      <c r="G122" s="5686"/>
      <c r="H122" s="5686"/>
      <c r="I122" s="5686"/>
      <c r="J122" s="5686"/>
      <c r="K122" s="5686"/>
      <c r="L122" s="5686"/>
      <c r="M122" s="5708"/>
    </row>
    <row r="123" spans="1:13" hidden="1" x14ac:dyDescent="0.3">
      <c r="A123" s="2541"/>
      <c r="B123" s="6528"/>
      <c r="C123" s="5682" t="s">
        <v>82</v>
      </c>
      <c r="D123" s="5686"/>
      <c r="E123" s="5686"/>
      <c r="F123" s="5707"/>
      <c r="G123" s="5686"/>
      <c r="H123" s="5686"/>
      <c r="I123" s="5686"/>
      <c r="J123" s="5686"/>
      <c r="K123" s="5686"/>
      <c r="L123" s="5686"/>
      <c r="M123" s="5708"/>
    </row>
    <row r="124" spans="1:13" hidden="1" x14ac:dyDescent="0.3">
      <c r="A124" s="2541"/>
      <c r="B124" s="6528"/>
      <c r="C124" s="5682" t="s">
        <v>1698</v>
      </c>
      <c r="D124" s="5686"/>
      <c r="E124" s="5686"/>
      <c r="F124" s="5707"/>
      <c r="G124" s="5686"/>
      <c r="H124" s="5686"/>
      <c r="I124" s="5686"/>
      <c r="J124" s="5686"/>
      <c r="K124" s="5686"/>
      <c r="L124" s="5686"/>
      <c r="M124" s="5708"/>
    </row>
    <row r="125" spans="1:13" hidden="1" x14ac:dyDescent="0.3">
      <c r="A125" s="2541"/>
      <c r="B125" s="6528"/>
      <c r="C125" s="5682" t="s">
        <v>100</v>
      </c>
      <c r="D125" s="5686"/>
      <c r="E125" s="5686"/>
      <c r="F125" s="5707"/>
      <c r="G125" s="5686"/>
      <c r="H125" s="5686"/>
      <c r="I125" s="5686"/>
      <c r="J125" s="5686"/>
      <c r="K125" s="5686"/>
      <c r="L125" s="5686"/>
      <c r="M125" s="5708"/>
    </row>
    <row r="126" spans="1:13" hidden="1" x14ac:dyDescent="0.3">
      <c r="A126" s="2541"/>
      <c r="B126" s="6528"/>
      <c r="C126" s="5682" t="s">
        <v>58</v>
      </c>
      <c r="D126" s="5686"/>
      <c r="E126" s="5686"/>
      <c r="F126" s="5707"/>
      <c r="G126" s="5686"/>
      <c r="H126" s="5686"/>
      <c r="I126" s="5686"/>
      <c r="J126" s="5686"/>
      <c r="K126" s="5686"/>
      <c r="L126" s="5686"/>
      <c r="M126" s="5708"/>
    </row>
    <row r="127" spans="1:13" ht="15" hidden="1" thickBot="1" x14ac:dyDescent="0.35">
      <c r="A127" s="2541"/>
      <c r="B127" s="6529"/>
      <c r="C127" s="5692" t="s">
        <v>2076</v>
      </c>
      <c r="D127" s="5696"/>
      <c r="E127" s="5696"/>
      <c r="F127" s="5710"/>
      <c r="G127" s="5710"/>
      <c r="H127" s="5710"/>
      <c r="I127" s="5696"/>
      <c r="J127" s="5710"/>
      <c r="K127" s="5696"/>
      <c r="L127" s="5696"/>
      <c r="M127" s="5711"/>
    </row>
    <row r="128" spans="1:13" hidden="1" x14ac:dyDescent="0.3">
      <c r="A128" s="2541"/>
      <c r="B128" s="6530">
        <v>46204</v>
      </c>
      <c r="C128" s="4679" t="s">
        <v>1675</v>
      </c>
      <c r="D128" s="4680" t="s">
        <v>1675</v>
      </c>
      <c r="E128" s="1015"/>
      <c r="F128" s="1015"/>
      <c r="G128" s="1015"/>
      <c r="H128" s="1015"/>
      <c r="I128" s="1015"/>
      <c r="J128" s="1015"/>
      <c r="K128" s="1015"/>
      <c r="L128" s="4680" t="s">
        <v>1675</v>
      </c>
      <c r="M128" s="4681"/>
    </row>
    <row r="129" spans="1:13" hidden="1" x14ac:dyDescent="0.3">
      <c r="A129" s="2541"/>
      <c r="B129" s="6531"/>
      <c r="C129" s="5238"/>
      <c r="D129" s="5649" t="s">
        <v>1676</v>
      </c>
      <c r="E129" s="5649" t="s">
        <v>1677</v>
      </c>
      <c r="F129" s="5649"/>
      <c r="G129" s="5649" t="s">
        <v>1678</v>
      </c>
      <c r="H129" s="5649"/>
      <c r="I129" s="5649" t="s">
        <v>1017</v>
      </c>
      <c r="J129" s="5649"/>
      <c r="K129" s="5649" t="s">
        <v>59</v>
      </c>
      <c r="L129" s="5649" t="s">
        <v>95</v>
      </c>
      <c r="M129" s="5712" t="s">
        <v>1239</v>
      </c>
    </row>
    <row r="130" spans="1:13" hidden="1" x14ac:dyDescent="0.3">
      <c r="A130" s="2541"/>
      <c r="B130" s="6531"/>
      <c r="C130" s="4664" t="s">
        <v>1686</v>
      </c>
      <c r="D130" s="5686"/>
      <c r="E130" s="5686"/>
      <c r="F130" s="5686"/>
      <c r="G130" s="5686"/>
      <c r="H130" s="5686"/>
      <c r="I130" s="5686"/>
      <c r="J130" s="5713"/>
      <c r="K130" s="5714"/>
      <c r="L130" s="5714"/>
      <c r="M130" s="5715"/>
    </row>
    <row r="131" spans="1:13" hidden="1" x14ac:dyDescent="0.3">
      <c r="A131" s="2541"/>
      <c r="B131" s="6531"/>
      <c r="C131" s="5682" t="s">
        <v>1687</v>
      </c>
      <c r="D131" s="5686"/>
      <c r="E131" s="5686"/>
      <c r="F131" s="5686"/>
      <c r="G131" s="5686"/>
      <c r="H131" s="5686"/>
      <c r="I131" s="5686"/>
      <c r="J131" s="5713"/>
      <c r="K131" s="5714"/>
      <c r="L131" s="5714"/>
      <c r="M131" s="5715"/>
    </row>
    <row r="132" spans="1:13" hidden="1" x14ac:dyDescent="0.3">
      <c r="A132" s="2541"/>
      <c r="B132" s="6531"/>
      <c r="C132" s="5682" t="s">
        <v>1688</v>
      </c>
      <c r="D132" s="5686"/>
      <c r="E132" s="5686"/>
      <c r="F132" s="5686"/>
      <c r="G132" s="5686"/>
      <c r="H132" s="5686"/>
      <c r="I132" s="5686"/>
      <c r="J132" s="5713"/>
      <c r="K132" s="5714"/>
      <c r="L132" s="5714"/>
      <c r="M132" s="5715"/>
    </row>
    <row r="133" spans="1:13" hidden="1" x14ac:dyDescent="0.3">
      <c r="A133" s="2541"/>
      <c r="B133" s="6531"/>
      <c r="C133" s="5682" t="s">
        <v>441</v>
      </c>
      <c r="D133" s="5686"/>
      <c r="E133" s="5686"/>
      <c r="F133" s="5686"/>
      <c r="G133" s="5686"/>
      <c r="H133" s="5686"/>
      <c r="I133" s="5686"/>
      <c r="J133" s="5713"/>
      <c r="K133" s="5714"/>
      <c r="L133" s="5714"/>
      <c r="M133" s="5715"/>
    </row>
    <row r="134" spans="1:13" hidden="1" x14ac:dyDescent="0.3">
      <c r="A134" s="2541"/>
      <c r="B134" s="6531"/>
      <c r="C134" s="5682" t="s">
        <v>1689</v>
      </c>
      <c r="D134" s="5686"/>
      <c r="E134" s="5686"/>
      <c r="F134" s="5686"/>
      <c r="G134" s="5686"/>
      <c r="H134" s="5686"/>
      <c r="I134" s="5686"/>
      <c r="J134" s="5713"/>
      <c r="K134" s="5714"/>
      <c r="L134" s="5714"/>
      <c r="M134" s="5715"/>
    </row>
    <row r="135" spans="1:13" hidden="1" x14ac:dyDescent="0.3">
      <c r="A135" s="2541"/>
      <c r="B135" s="6531"/>
      <c r="C135" s="5682" t="s">
        <v>1690</v>
      </c>
      <c r="D135" s="5686"/>
      <c r="E135" s="5686"/>
      <c r="F135" s="5686"/>
      <c r="G135" s="5686"/>
      <c r="H135" s="5686"/>
      <c r="I135" s="5675"/>
      <c r="J135" s="5713"/>
      <c r="K135" s="5714"/>
      <c r="L135" s="5714"/>
      <c r="M135" s="5715"/>
    </row>
    <row r="136" spans="1:13" hidden="1" x14ac:dyDescent="0.3">
      <c r="A136" s="2541"/>
      <c r="B136" s="6531"/>
      <c r="C136" s="5682" t="s">
        <v>1691</v>
      </c>
      <c r="D136" s="5686"/>
      <c r="E136" s="5686"/>
      <c r="F136" s="5686"/>
      <c r="G136" s="5686"/>
      <c r="H136" s="5686"/>
      <c r="I136" s="5675"/>
      <c r="J136" s="5713"/>
      <c r="K136" s="5714"/>
      <c r="L136" s="5714"/>
      <c r="M136" s="5715"/>
    </row>
    <row r="137" spans="1:13" hidden="1" x14ac:dyDescent="0.3">
      <c r="A137" s="2541"/>
      <c r="B137" s="6531"/>
      <c r="C137" s="5682" t="s">
        <v>1692</v>
      </c>
      <c r="D137" s="5686"/>
      <c r="E137" s="5686"/>
      <c r="F137" s="5686"/>
      <c r="G137" s="5686"/>
      <c r="H137" s="5686"/>
      <c r="I137" s="5675"/>
      <c r="J137" s="5713"/>
      <c r="K137" s="5716"/>
      <c r="L137" s="5716"/>
      <c r="M137" s="5717"/>
    </row>
    <row r="138" spans="1:13" hidden="1" x14ac:dyDescent="0.3">
      <c r="A138" s="2541"/>
      <c r="B138" s="6531"/>
      <c r="C138" s="5682" t="s">
        <v>1693</v>
      </c>
      <c r="D138" s="5686"/>
      <c r="E138" s="5686"/>
      <c r="F138" s="5686"/>
      <c r="G138" s="5686"/>
      <c r="H138" s="5686"/>
      <c r="I138" s="5675"/>
      <c r="J138" s="5713"/>
      <c r="K138" s="5716"/>
      <c r="L138" s="5716"/>
      <c r="M138" s="5717"/>
    </row>
    <row r="139" spans="1:13" ht="27.6" hidden="1" x14ac:dyDescent="0.3">
      <c r="A139" s="2541"/>
      <c r="B139" s="6531"/>
      <c r="C139" s="5682" t="s">
        <v>1699</v>
      </c>
      <c r="D139" s="5686"/>
      <c r="E139" s="5686"/>
      <c r="F139" s="5686"/>
      <c r="G139" s="5686"/>
      <c r="H139" s="5686"/>
      <c r="I139" s="5675"/>
      <c r="J139" s="5713"/>
      <c r="K139" s="5716"/>
      <c r="L139" s="5716"/>
      <c r="M139" s="5717"/>
    </row>
    <row r="140" spans="1:13" hidden="1" x14ac:dyDescent="0.3">
      <c r="A140" s="2541"/>
      <c r="B140" s="6531"/>
      <c r="C140" s="5682" t="s">
        <v>1694</v>
      </c>
      <c r="D140" s="5686"/>
      <c r="E140" s="5686"/>
      <c r="F140" s="5686"/>
      <c r="G140" s="5686"/>
      <c r="H140" s="5686"/>
      <c r="I140" s="5675"/>
      <c r="J140" s="5713"/>
      <c r="K140" s="5716"/>
      <c r="L140" s="5716"/>
      <c r="M140" s="5717"/>
    </row>
    <row r="141" spans="1:13" hidden="1" x14ac:dyDescent="0.3">
      <c r="A141" s="2541"/>
      <c r="B141" s="6531"/>
      <c r="C141" s="5682" t="s">
        <v>1695</v>
      </c>
      <c r="D141" s="5686"/>
      <c r="E141" s="5686"/>
      <c r="F141" s="5686"/>
      <c r="G141" s="5686"/>
      <c r="H141" s="5686"/>
      <c r="I141" s="5675"/>
      <c r="J141" s="5713"/>
      <c r="K141" s="5716"/>
      <c r="L141" s="5716"/>
      <c r="M141" s="5717"/>
    </row>
    <row r="142" spans="1:13" hidden="1" x14ac:dyDescent="0.3">
      <c r="A142" s="2541"/>
      <c r="B142" s="6531"/>
      <c r="C142" s="5682" t="s">
        <v>1696</v>
      </c>
      <c r="D142" s="5686"/>
      <c r="E142" s="5686"/>
      <c r="F142" s="5686"/>
      <c r="G142" s="5686"/>
      <c r="H142" s="5686"/>
      <c r="I142" s="5675"/>
      <c r="J142" s="5713"/>
      <c r="K142" s="5716"/>
      <c r="L142" s="5716"/>
      <c r="M142" s="5717"/>
    </row>
    <row r="143" spans="1:13" hidden="1" x14ac:dyDescent="0.3">
      <c r="A143" s="2541"/>
      <c r="B143" s="6531"/>
      <c r="C143" s="5682" t="s">
        <v>1697</v>
      </c>
      <c r="D143" s="5686"/>
      <c r="E143" s="5686"/>
      <c r="F143" s="5686"/>
      <c r="G143" s="5686"/>
      <c r="H143" s="5686"/>
      <c r="I143" s="5675"/>
      <c r="J143" s="5713"/>
      <c r="K143" s="5716"/>
      <c r="L143" s="5716"/>
      <c r="M143" s="5717"/>
    </row>
    <row r="144" spans="1:13" hidden="1" x14ac:dyDescent="0.3">
      <c r="A144" s="2541"/>
      <c r="B144" s="6531"/>
      <c r="C144" s="5682" t="s">
        <v>1823</v>
      </c>
      <c r="D144" s="5686"/>
      <c r="E144" s="5686"/>
      <c r="F144" s="5686"/>
      <c r="G144" s="5686"/>
      <c r="H144" s="5686"/>
      <c r="I144" s="5675"/>
      <c r="J144" s="5713"/>
      <c r="K144" s="5716"/>
      <c r="L144" s="5716"/>
      <c r="M144" s="5717"/>
    </row>
    <row r="145" spans="1:13" hidden="1" x14ac:dyDescent="0.3">
      <c r="A145" s="2541"/>
      <c r="B145" s="6531"/>
      <c r="C145" s="5682" t="s">
        <v>82</v>
      </c>
      <c r="D145" s="5686"/>
      <c r="E145" s="5686"/>
      <c r="F145" s="5686"/>
      <c r="G145" s="5686"/>
      <c r="H145" s="5686"/>
      <c r="I145" s="5675"/>
      <c r="J145" s="5713"/>
      <c r="K145" s="5716"/>
      <c r="L145" s="5716"/>
      <c r="M145" s="5717"/>
    </row>
    <row r="146" spans="1:13" hidden="1" x14ac:dyDescent="0.3">
      <c r="A146" s="2541"/>
      <c r="B146" s="6531"/>
      <c r="C146" s="5682" t="s">
        <v>1698</v>
      </c>
      <c r="D146" s="5686"/>
      <c r="E146" s="5686"/>
      <c r="F146" s="5686"/>
      <c r="G146" s="5686"/>
      <c r="H146" s="5686"/>
      <c r="I146" s="5675"/>
      <c r="J146" s="5713"/>
      <c r="K146" s="5716"/>
      <c r="L146" s="5716"/>
      <c r="M146" s="5717"/>
    </row>
    <row r="147" spans="1:13" hidden="1" x14ac:dyDescent="0.3">
      <c r="A147" s="2541"/>
      <c r="B147" s="6531"/>
      <c r="C147" s="5682" t="s">
        <v>100</v>
      </c>
      <c r="D147" s="5686"/>
      <c r="E147" s="5686"/>
      <c r="F147" s="5686"/>
      <c r="G147" s="5686"/>
      <c r="H147" s="5686"/>
      <c r="I147" s="5675"/>
      <c r="J147" s="5713"/>
      <c r="K147" s="5716"/>
      <c r="L147" s="5716"/>
      <c r="M147" s="5717"/>
    </row>
    <row r="148" spans="1:13" hidden="1" x14ac:dyDescent="0.3">
      <c r="A148" s="2541"/>
      <c r="B148" s="6531"/>
      <c r="C148" s="5682" t="s">
        <v>58</v>
      </c>
      <c r="D148" s="5718"/>
      <c r="E148" s="5718"/>
      <c r="F148" s="5718"/>
      <c r="G148" s="5713"/>
      <c r="H148" s="5713"/>
      <c r="I148" s="5719"/>
      <c r="J148" s="5713"/>
      <c r="K148" s="5716"/>
      <c r="L148" s="5716"/>
      <c r="M148" s="5717"/>
    </row>
    <row r="149" spans="1:13" ht="15" hidden="1" thickBot="1" x14ac:dyDescent="0.35">
      <c r="A149" s="2541"/>
      <c r="B149" s="6532"/>
      <c r="C149" s="5692" t="s">
        <v>2076</v>
      </c>
      <c r="D149" s="5720"/>
      <c r="E149" s="5720"/>
      <c r="F149" s="5720"/>
      <c r="G149" s="5721"/>
      <c r="H149" s="5721"/>
      <c r="I149" s="5722"/>
      <c r="J149" s="5721"/>
      <c r="K149" s="5723"/>
      <c r="L149" s="5723"/>
      <c r="M149" s="5724"/>
    </row>
    <row r="150" spans="1:13" hidden="1" x14ac:dyDescent="0.3">
      <c r="B150" s="6533">
        <v>46235</v>
      </c>
      <c r="C150" s="4682" t="s">
        <v>1675</v>
      </c>
      <c r="D150" s="4683" t="s">
        <v>1675</v>
      </c>
      <c r="E150" s="4684"/>
      <c r="F150" s="4684"/>
      <c r="G150" s="4684"/>
      <c r="H150" s="4684"/>
      <c r="I150" s="4684"/>
      <c r="J150" s="4684"/>
      <c r="K150" s="4684"/>
      <c r="L150" s="4683" t="s">
        <v>1675</v>
      </c>
      <c r="M150" s="4683"/>
    </row>
    <row r="151" spans="1:13" hidden="1" x14ac:dyDescent="0.3">
      <c r="B151" s="6526"/>
      <c r="C151" s="5725"/>
      <c r="D151" s="5649" t="s">
        <v>1676</v>
      </c>
      <c r="E151" s="5649" t="s">
        <v>1677</v>
      </c>
      <c r="F151" s="5649"/>
      <c r="G151" s="5649" t="s">
        <v>1678</v>
      </c>
      <c r="H151" s="5649"/>
      <c r="I151" s="5649" t="s">
        <v>1017</v>
      </c>
      <c r="J151" s="5649"/>
      <c r="K151" s="5649" t="s">
        <v>59</v>
      </c>
      <c r="L151" s="5649" t="s">
        <v>95</v>
      </c>
      <c r="M151" s="5649" t="s">
        <v>1239</v>
      </c>
    </row>
    <row r="152" spans="1:13" hidden="1" x14ac:dyDescent="0.3">
      <c r="B152" s="6526"/>
      <c r="C152" s="4664" t="s">
        <v>1686</v>
      </c>
      <c r="D152" s="5716"/>
      <c r="E152" s="5716"/>
      <c r="F152" s="5718"/>
      <c r="G152" s="5716"/>
      <c r="H152" s="5718"/>
      <c r="I152" s="5716"/>
      <c r="J152" s="5718"/>
      <c r="K152" s="5716"/>
      <c r="L152" s="5716"/>
      <c r="M152" s="5716"/>
    </row>
    <row r="153" spans="1:13" hidden="1" x14ac:dyDescent="0.3">
      <c r="B153" s="6526"/>
      <c r="C153" s="5682" t="s">
        <v>1687</v>
      </c>
      <c r="D153" s="5716"/>
      <c r="E153" s="5716"/>
      <c r="F153" s="5718"/>
      <c r="G153" s="5716"/>
      <c r="H153" s="5718"/>
      <c r="I153" s="5716"/>
      <c r="J153" s="5718"/>
      <c r="K153" s="5716"/>
      <c r="L153" s="5716"/>
      <c r="M153" s="5716"/>
    </row>
    <row r="154" spans="1:13" hidden="1" x14ac:dyDescent="0.3">
      <c r="B154" s="6526"/>
      <c r="C154" s="5682" t="s">
        <v>1688</v>
      </c>
      <c r="D154" s="5716"/>
      <c r="E154" s="5716"/>
      <c r="F154" s="5718"/>
      <c r="G154" s="5716"/>
      <c r="H154" s="5718"/>
      <c r="I154" s="5716"/>
      <c r="J154" s="5718"/>
      <c r="K154" s="5716"/>
      <c r="L154" s="5716"/>
      <c r="M154" s="5716"/>
    </row>
    <row r="155" spans="1:13" hidden="1" x14ac:dyDescent="0.3">
      <c r="B155" s="6526"/>
      <c r="C155" s="5682" t="s">
        <v>441</v>
      </c>
      <c r="D155" s="5716"/>
      <c r="E155" s="5716"/>
      <c r="F155" s="5718"/>
      <c r="G155" s="5716"/>
      <c r="H155" s="5718"/>
      <c r="I155" s="5716"/>
      <c r="J155" s="5718"/>
      <c r="K155" s="5716"/>
      <c r="L155" s="5716"/>
      <c r="M155" s="5716"/>
    </row>
    <row r="156" spans="1:13" hidden="1" x14ac:dyDescent="0.3">
      <c r="B156" s="6526"/>
      <c r="C156" s="5682" t="s">
        <v>1689</v>
      </c>
      <c r="D156" s="5716"/>
      <c r="E156" s="5716"/>
      <c r="F156" s="5718"/>
      <c r="G156" s="5716"/>
      <c r="H156" s="5718"/>
      <c r="I156" s="5716"/>
      <c r="J156" s="5718"/>
      <c r="K156" s="5716"/>
      <c r="L156" s="5716"/>
      <c r="M156" s="5716"/>
    </row>
    <row r="157" spans="1:13" hidden="1" x14ac:dyDescent="0.3">
      <c r="B157" s="6526"/>
      <c r="C157" s="5682" t="s">
        <v>1690</v>
      </c>
      <c r="D157" s="5726"/>
      <c r="E157" s="5726"/>
      <c r="F157" s="5718"/>
      <c r="G157" s="5716"/>
      <c r="H157" s="5718"/>
      <c r="I157" s="5716"/>
      <c r="J157" s="5718"/>
      <c r="K157" s="5716"/>
      <c r="L157" s="5716"/>
      <c r="M157" s="5716"/>
    </row>
    <row r="158" spans="1:13" hidden="1" x14ac:dyDescent="0.3">
      <c r="B158" s="6526"/>
      <c r="C158" s="5682" t="s">
        <v>1691</v>
      </c>
      <c r="D158" s="5726"/>
      <c r="E158" s="5726"/>
      <c r="F158" s="5718"/>
      <c r="G158" s="5716"/>
      <c r="H158" s="5718"/>
      <c r="I158" s="5716"/>
      <c r="J158" s="5718"/>
      <c r="K158" s="5716"/>
      <c r="L158" s="5716"/>
      <c r="M158" s="5716"/>
    </row>
    <row r="159" spans="1:13" hidden="1" x14ac:dyDescent="0.3">
      <c r="B159" s="6526"/>
      <c r="C159" s="5682" t="s">
        <v>1692</v>
      </c>
      <c r="D159" s="5726"/>
      <c r="E159" s="5726"/>
      <c r="F159" s="5718"/>
      <c r="G159" s="5718"/>
      <c r="H159" s="5718"/>
      <c r="I159" s="5716"/>
      <c r="J159" s="5718"/>
      <c r="K159" s="5716"/>
      <c r="L159" s="5716"/>
      <c r="M159" s="5716"/>
    </row>
    <row r="160" spans="1:13" hidden="1" x14ac:dyDescent="0.3">
      <c r="B160" s="6526"/>
      <c r="C160" s="5682" t="s">
        <v>1693</v>
      </c>
      <c r="D160" s="5726"/>
      <c r="E160" s="5726"/>
      <c r="F160" s="5718"/>
      <c r="G160" s="5718"/>
      <c r="H160" s="5718"/>
      <c r="I160" s="5716"/>
      <c r="J160" s="5718"/>
      <c r="K160" s="5716"/>
      <c r="L160" s="5716"/>
      <c r="M160" s="5716"/>
    </row>
    <row r="161" spans="2:13" ht="27.6" hidden="1" x14ac:dyDescent="0.3">
      <c r="B161" s="6526"/>
      <c r="C161" s="5682" t="s">
        <v>1699</v>
      </c>
      <c r="D161" s="5726"/>
      <c r="E161" s="5726"/>
      <c r="F161" s="5727"/>
      <c r="G161" s="5718"/>
      <c r="H161" s="5728"/>
      <c r="I161" s="5716"/>
      <c r="J161" s="5727"/>
      <c r="K161" s="5716"/>
      <c r="L161" s="5716"/>
      <c r="M161" s="5716"/>
    </row>
    <row r="162" spans="2:13" hidden="1" x14ac:dyDescent="0.3">
      <c r="B162" s="6526"/>
      <c r="C162" s="5682" t="s">
        <v>1694</v>
      </c>
      <c r="D162" s="5726"/>
      <c r="E162" s="5726"/>
      <c r="F162" s="5718"/>
      <c r="G162" s="5718"/>
      <c r="H162" s="5718"/>
      <c r="I162" s="5716"/>
      <c r="J162" s="5718"/>
      <c r="K162" s="5716"/>
      <c r="L162" s="5716"/>
      <c r="M162" s="5716"/>
    </row>
    <row r="163" spans="2:13" hidden="1" x14ac:dyDescent="0.3">
      <c r="B163" s="6526"/>
      <c r="C163" s="5682" t="s">
        <v>1695</v>
      </c>
      <c r="D163" s="5726"/>
      <c r="E163" s="5726"/>
      <c r="F163" s="5718"/>
      <c r="G163" s="5718"/>
      <c r="H163" s="5718"/>
      <c r="I163" s="5716"/>
      <c r="J163" s="5718"/>
      <c r="K163" s="5716"/>
      <c r="L163" s="5716"/>
      <c r="M163" s="5716"/>
    </row>
    <row r="164" spans="2:13" hidden="1" x14ac:dyDescent="0.3">
      <c r="B164" s="6526"/>
      <c r="C164" s="5682" t="s">
        <v>1696</v>
      </c>
      <c r="D164" s="5726"/>
      <c r="E164" s="5726"/>
      <c r="F164" s="5718"/>
      <c r="G164" s="5718"/>
      <c r="H164" s="5718"/>
      <c r="I164" s="5716"/>
      <c r="J164" s="5718"/>
      <c r="K164" s="5716"/>
      <c r="L164" s="5716"/>
      <c r="M164" s="5716"/>
    </row>
    <row r="165" spans="2:13" hidden="1" x14ac:dyDescent="0.3">
      <c r="B165" s="6526"/>
      <c r="C165" s="5682" t="s">
        <v>1697</v>
      </c>
      <c r="D165" s="5726"/>
      <c r="E165" s="5726"/>
      <c r="F165" s="5718"/>
      <c r="G165" s="5718"/>
      <c r="H165" s="5718"/>
      <c r="I165" s="5716"/>
      <c r="J165" s="5718"/>
      <c r="K165" s="5716"/>
      <c r="L165" s="5716"/>
      <c r="M165" s="5716"/>
    </row>
    <row r="166" spans="2:13" hidden="1" x14ac:dyDescent="0.3">
      <c r="B166" s="6526"/>
      <c r="C166" s="5682" t="s">
        <v>1823</v>
      </c>
      <c r="D166" s="5726"/>
      <c r="E166" s="5726"/>
      <c r="F166" s="5718"/>
      <c r="G166" s="5718"/>
      <c r="H166" s="5718"/>
      <c r="I166" s="5716"/>
      <c r="J166" s="5718"/>
      <c r="K166" s="5716"/>
      <c r="L166" s="5716"/>
      <c r="M166" s="5716"/>
    </row>
    <row r="167" spans="2:13" hidden="1" x14ac:dyDescent="0.3">
      <c r="B167" s="6526"/>
      <c r="C167" s="5682" t="s">
        <v>82</v>
      </c>
      <c r="D167" s="5716"/>
      <c r="E167" s="5716"/>
      <c r="F167" s="5718"/>
      <c r="G167" s="5718"/>
      <c r="H167" s="5718"/>
      <c r="I167" s="5716"/>
      <c r="J167" s="5718"/>
      <c r="K167" s="5718"/>
      <c r="L167" s="5718"/>
      <c r="M167" s="5718"/>
    </row>
    <row r="168" spans="2:13" hidden="1" x14ac:dyDescent="0.3">
      <c r="B168" s="6526"/>
      <c r="C168" s="5682" t="s">
        <v>1698</v>
      </c>
      <c r="D168" s="5716"/>
      <c r="E168" s="5716"/>
      <c r="F168" s="5718"/>
      <c r="G168" s="5718"/>
      <c r="H168" s="5718"/>
      <c r="I168" s="5716"/>
      <c r="J168" s="5718"/>
      <c r="K168" s="5718"/>
      <c r="L168" s="5718"/>
      <c r="M168" s="5718"/>
    </row>
    <row r="169" spans="2:13" hidden="1" x14ac:dyDescent="0.3">
      <c r="B169" s="6526"/>
      <c r="C169" s="5682" t="s">
        <v>100</v>
      </c>
      <c r="D169" s="5716"/>
      <c r="E169" s="5716"/>
      <c r="F169" s="5718"/>
      <c r="G169" s="5718"/>
      <c r="H169" s="5718"/>
      <c r="I169" s="5716"/>
      <c r="J169" s="5718"/>
      <c r="K169" s="5718"/>
      <c r="L169" s="5718"/>
      <c r="M169" s="5718"/>
    </row>
    <row r="170" spans="2:13" hidden="1" x14ac:dyDescent="0.3">
      <c r="B170" s="6526"/>
      <c r="C170" s="5682" t="s">
        <v>58</v>
      </c>
      <c r="D170" s="5716"/>
      <c r="E170" s="5716"/>
      <c r="F170" s="5718"/>
      <c r="G170" s="5718"/>
      <c r="H170" s="5718"/>
      <c r="I170" s="5716"/>
      <c r="J170" s="5718"/>
      <c r="K170" s="5718"/>
      <c r="L170" s="5718"/>
      <c r="M170" s="5718"/>
    </row>
    <row r="171" spans="2:13" ht="15" hidden="1" thickBot="1" x14ac:dyDescent="0.35">
      <c r="B171" s="6526"/>
      <c r="C171" s="5692" t="s">
        <v>2076</v>
      </c>
      <c r="D171" s="5716"/>
      <c r="E171" s="5716"/>
      <c r="F171" s="5718"/>
      <c r="G171" s="5718"/>
      <c r="H171" s="5718"/>
      <c r="I171" s="5716"/>
      <c r="J171" s="5718"/>
      <c r="K171" s="5716"/>
      <c r="L171" s="5716"/>
      <c r="M171" s="5716"/>
    </row>
    <row r="172" spans="2:13" hidden="1" x14ac:dyDescent="0.3">
      <c r="B172" s="6526">
        <v>46266</v>
      </c>
      <c r="C172" s="5648" t="s">
        <v>1675</v>
      </c>
      <c r="D172" s="5729" t="s">
        <v>1675</v>
      </c>
      <c r="E172" s="5703"/>
      <c r="F172" s="5703"/>
      <c r="G172" s="5703"/>
      <c r="H172" s="5703"/>
      <c r="I172" s="5703"/>
      <c r="J172" s="5703"/>
      <c r="K172" s="5703"/>
      <c r="L172" s="5729" t="s">
        <v>1675</v>
      </c>
      <c r="M172" s="5729"/>
    </row>
    <row r="173" spans="2:13" hidden="1" x14ac:dyDescent="0.3">
      <c r="B173" s="6526"/>
      <c r="C173" s="5725"/>
      <c r="D173" s="5649" t="s">
        <v>1676</v>
      </c>
      <c r="E173" s="5649" t="s">
        <v>1677</v>
      </c>
      <c r="F173" s="5649"/>
      <c r="G173" s="5649" t="s">
        <v>1678</v>
      </c>
      <c r="H173" s="5649"/>
      <c r="I173" s="5649" t="s">
        <v>1017</v>
      </c>
      <c r="J173" s="5649"/>
      <c r="K173" s="5649" t="s">
        <v>59</v>
      </c>
      <c r="L173" s="5649" t="s">
        <v>95</v>
      </c>
      <c r="M173" s="5649" t="s">
        <v>1239</v>
      </c>
    </row>
    <row r="174" spans="2:13" hidden="1" x14ac:dyDescent="0.3">
      <c r="B174" s="6526"/>
      <c r="C174" s="4664" t="s">
        <v>1686</v>
      </c>
      <c r="D174" s="5716"/>
      <c r="E174" s="5716"/>
      <c r="F174" s="5716"/>
      <c r="G174" s="5716"/>
      <c r="H174" s="5716"/>
      <c r="I174" s="5716"/>
      <c r="J174" s="5716"/>
      <c r="K174" s="5716"/>
      <c r="L174" s="5716"/>
      <c r="M174" s="5716"/>
    </row>
    <row r="175" spans="2:13" hidden="1" x14ac:dyDescent="0.3">
      <c r="B175" s="6526"/>
      <c r="C175" s="5682" t="s">
        <v>1687</v>
      </c>
      <c r="D175" s="5716"/>
      <c r="E175" s="5716"/>
      <c r="F175" s="5716"/>
      <c r="G175" s="5716"/>
      <c r="H175" s="5716"/>
      <c r="I175" s="5716"/>
      <c r="J175" s="5716"/>
      <c r="K175" s="5716"/>
      <c r="L175" s="5716"/>
      <c r="M175" s="5716"/>
    </row>
    <row r="176" spans="2:13" hidden="1" x14ac:dyDescent="0.3">
      <c r="B176" s="6526"/>
      <c r="C176" s="5682" t="s">
        <v>1688</v>
      </c>
      <c r="D176" s="5716"/>
      <c r="E176" s="5716"/>
      <c r="F176" s="5716"/>
      <c r="G176" s="5716"/>
      <c r="H176" s="5716"/>
      <c r="I176" s="5716"/>
      <c r="J176" s="5716"/>
      <c r="K176" s="5716"/>
      <c r="L176" s="5716"/>
      <c r="M176" s="5716"/>
    </row>
    <row r="177" spans="2:13" hidden="1" x14ac:dyDescent="0.3">
      <c r="B177" s="6526"/>
      <c r="C177" s="5682" t="s">
        <v>441</v>
      </c>
      <c r="D177" s="5716"/>
      <c r="E177" s="5716"/>
      <c r="F177" s="5716"/>
      <c r="G177" s="5716"/>
      <c r="H177" s="5716"/>
      <c r="I177" s="5716"/>
      <c r="J177" s="5716"/>
      <c r="K177" s="5716"/>
      <c r="L177" s="5716"/>
      <c r="M177" s="5716"/>
    </row>
    <row r="178" spans="2:13" hidden="1" x14ac:dyDescent="0.3">
      <c r="B178" s="6526"/>
      <c r="C178" s="5682" t="s">
        <v>1689</v>
      </c>
      <c r="D178" s="5716"/>
      <c r="E178" s="5716"/>
      <c r="F178" s="5716"/>
      <c r="G178" s="5716"/>
      <c r="H178" s="5716"/>
      <c r="I178" s="5716"/>
      <c r="J178" s="5716"/>
      <c r="K178" s="5716"/>
      <c r="L178" s="5716"/>
      <c r="M178" s="5716"/>
    </row>
    <row r="179" spans="2:13" hidden="1" x14ac:dyDescent="0.3">
      <c r="B179" s="6526"/>
      <c r="C179" s="5682" t="s">
        <v>1690</v>
      </c>
      <c r="D179" s="5716"/>
      <c r="E179" s="5716"/>
      <c r="F179" s="5716"/>
      <c r="G179" s="5716"/>
      <c r="H179" s="5716"/>
      <c r="I179" s="5716"/>
      <c r="J179" s="5716"/>
      <c r="K179" s="5716"/>
      <c r="L179" s="5716"/>
      <c r="M179" s="5716"/>
    </row>
    <row r="180" spans="2:13" hidden="1" x14ac:dyDescent="0.3">
      <c r="B180" s="6526"/>
      <c r="C180" s="5682" t="s">
        <v>1691</v>
      </c>
      <c r="D180" s="5716"/>
      <c r="E180" s="5716"/>
      <c r="F180" s="5716"/>
      <c r="G180" s="5716"/>
      <c r="H180" s="5716"/>
      <c r="I180" s="5716"/>
      <c r="J180" s="5716"/>
      <c r="K180" s="5716"/>
      <c r="L180" s="5716"/>
      <c r="M180" s="5716"/>
    </row>
    <row r="181" spans="2:13" hidden="1" x14ac:dyDescent="0.3">
      <c r="B181" s="6526"/>
      <c r="C181" s="5682" t="s">
        <v>1692</v>
      </c>
      <c r="D181" s="5716"/>
      <c r="E181" s="5716"/>
      <c r="F181" s="5716"/>
      <c r="G181" s="5716"/>
      <c r="H181" s="5716"/>
      <c r="I181" s="5716"/>
      <c r="J181" s="5716"/>
      <c r="K181" s="5716"/>
      <c r="L181" s="5716"/>
      <c r="M181" s="5716"/>
    </row>
    <row r="182" spans="2:13" hidden="1" x14ac:dyDescent="0.3">
      <c r="B182" s="6526"/>
      <c r="C182" s="5682" t="s">
        <v>1693</v>
      </c>
      <c r="D182" s="5716"/>
      <c r="E182" s="5716"/>
      <c r="F182" s="5716"/>
      <c r="G182" s="5716"/>
      <c r="H182" s="5716"/>
      <c r="I182" s="5716"/>
      <c r="J182" s="5716"/>
      <c r="K182" s="5716"/>
      <c r="L182" s="5716"/>
      <c r="M182" s="5716"/>
    </row>
    <row r="183" spans="2:13" ht="27.6" hidden="1" x14ac:dyDescent="0.3">
      <c r="B183" s="6526"/>
      <c r="C183" s="5682" t="s">
        <v>1699</v>
      </c>
      <c r="D183" s="5716"/>
      <c r="E183" s="5716"/>
      <c r="F183" s="5716"/>
      <c r="G183" s="5716"/>
      <c r="H183" s="5716"/>
      <c r="I183" s="5716"/>
      <c r="J183" s="5716"/>
      <c r="K183" s="5716"/>
      <c r="L183" s="5716"/>
      <c r="M183" s="5716"/>
    </row>
    <row r="184" spans="2:13" hidden="1" x14ac:dyDescent="0.3">
      <c r="B184" s="6526"/>
      <c r="C184" s="5682" t="s">
        <v>1694</v>
      </c>
      <c r="D184" s="5716"/>
      <c r="E184" s="5716"/>
      <c r="F184" s="5716"/>
      <c r="G184" s="5716"/>
      <c r="H184" s="5716"/>
      <c r="I184" s="5716"/>
      <c r="J184" s="5716"/>
      <c r="K184" s="5716"/>
      <c r="L184" s="5716"/>
      <c r="M184" s="5716"/>
    </row>
    <row r="185" spans="2:13" hidden="1" x14ac:dyDescent="0.3">
      <c r="B185" s="6526"/>
      <c r="C185" s="5682" t="s">
        <v>1695</v>
      </c>
      <c r="D185" s="5716"/>
      <c r="E185" s="5716"/>
      <c r="F185" s="5716"/>
      <c r="G185" s="5716"/>
      <c r="H185" s="5716"/>
      <c r="I185" s="5716"/>
      <c r="J185" s="5716"/>
      <c r="K185" s="5716"/>
      <c r="L185" s="5716"/>
      <c r="M185" s="5716"/>
    </row>
    <row r="186" spans="2:13" hidden="1" x14ac:dyDescent="0.3">
      <c r="B186" s="6526"/>
      <c r="C186" s="5682" t="s">
        <v>1696</v>
      </c>
      <c r="D186" s="5716"/>
      <c r="E186" s="5716"/>
      <c r="F186" s="5716"/>
      <c r="G186" s="5716"/>
      <c r="H186" s="5716"/>
      <c r="I186" s="5716"/>
      <c r="J186" s="5716"/>
      <c r="K186" s="5716"/>
      <c r="L186" s="5716"/>
      <c r="M186" s="5716"/>
    </row>
    <row r="187" spans="2:13" hidden="1" x14ac:dyDescent="0.3">
      <c r="B187" s="6526"/>
      <c r="C187" s="5682" t="s">
        <v>1697</v>
      </c>
      <c r="D187" s="5716"/>
      <c r="E187" s="5716"/>
      <c r="F187" s="5716"/>
      <c r="G187" s="5716"/>
      <c r="H187" s="5716"/>
      <c r="I187" s="5716"/>
      <c r="J187" s="5716"/>
      <c r="K187" s="5716"/>
      <c r="L187" s="5716"/>
      <c r="M187" s="5716"/>
    </row>
    <row r="188" spans="2:13" hidden="1" x14ac:dyDescent="0.3">
      <c r="B188" s="6526"/>
      <c r="C188" s="5682" t="s">
        <v>1823</v>
      </c>
      <c r="D188" s="5716"/>
      <c r="E188" s="5716"/>
      <c r="F188" s="5716"/>
      <c r="G188" s="5716"/>
      <c r="H188" s="5716"/>
      <c r="I188" s="5716"/>
      <c r="J188" s="5716"/>
      <c r="K188" s="5716"/>
      <c r="L188" s="5716"/>
      <c r="M188" s="5716"/>
    </row>
    <row r="189" spans="2:13" hidden="1" x14ac:dyDescent="0.3">
      <c r="B189" s="6526"/>
      <c r="C189" s="5682" t="s">
        <v>82</v>
      </c>
      <c r="D189" s="5716"/>
      <c r="E189" s="5716"/>
      <c r="F189" s="5716"/>
      <c r="G189" s="5716"/>
      <c r="H189" s="5716"/>
      <c r="I189" s="5716"/>
      <c r="J189" s="5716"/>
      <c r="K189" s="5716"/>
      <c r="L189" s="5716"/>
      <c r="M189" s="5716"/>
    </row>
    <row r="190" spans="2:13" hidden="1" x14ac:dyDescent="0.3">
      <c r="B190" s="6526"/>
      <c r="C190" s="5682" t="s">
        <v>1698</v>
      </c>
      <c r="D190" s="5716"/>
      <c r="E190" s="5716"/>
      <c r="F190" s="5716"/>
      <c r="G190" s="5716"/>
      <c r="H190" s="5716"/>
      <c r="I190" s="5716"/>
      <c r="J190" s="5716"/>
      <c r="K190" s="5716"/>
      <c r="L190" s="5716"/>
      <c r="M190" s="5716"/>
    </row>
    <row r="191" spans="2:13" hidden="1" x14ac:dyDescent="0.3">
      <c r="B191" s="6526"/>
      <c r="C191" s="5682" t="s">
        <v>100</v>
      </c>
      <c r="D191" s="5716"/>
      <c r="E191" s="5716"/>
      <c r="F191" s="5716"/>
      <c r="G191" s="5716"/>
      <c r="H191" s="5716"/>
      <c r="I191" s="5716"/>
      <c r="J191" s="5716"/>
      <c r="K191" s="5716"/>
      <c r="L191" s="5716"/>
      <c r="M191" s="5716"/>
    </row>
    <row r="192" spans="2:13" hidden="1" x14ac:dyDescent="0.3">
      <c r="B192" s="6526"/>
      <c r="C192" s="5682" t="s">
        <v>58</v>
      </c>
      <c r="D192" s="5716"/>
      <c r="E192" s="5716"/>
      <c r="F192" s="5716"/>
      <c r="G192" s="5716"/>
      <c r="H192" s="5716"/>
      <c r="I192" s="5716"/>
      <c r="J192" s="5716"/>
      <c r="K192" s="5716"/>
      <c r="L192" s="5716"/>
      <c r="M192" s="5716"/>
    </row>
    <row r="193" spans="2:13" ht="16.5" hidden="1" customHeight="1" thickBot="1" x14ac:dyDescent="0.35">
      <c r="B193" s="6526"/>
      <c r="C193" s="5692" t="s">
        <v>2076</v>
      </c>
      <c r="D193" s="5716"/>
      <c r="E193" s="5716"/>
      <c r="F193" s="5716"/>
      <c r="G193" s="5716"/>
      <c r="H193" s="5716"/>
      <c r="I193" s="5716"/>
      <c r="J193" s="5716"/>
      <c r="K193" s="5716"/>
      <c r="L193" s="5716"/>
      <c r="M193" s="5716"/>
    </row>
    <row r="194" spans="2:13" hidden="1" x14ac:dyDescent="0.3">
      <c r="B194" s="6526">
        <v>46296</v>
      </c>
      <c r="C194" s="5648" t="s">
        <v>1675</v>
      </c>
      <c r="D194" s="5690" t="s">
        <v>1675</v>
      </c>
      <c r="E194" s="5730"/>
      <c r="F194" s="5730"/>
      <c r="G194" s="5730"/>
      <c r="H194" s="5730"/>
      <c r="I194" s="5730"/>
      <c r="J194" s="5730"/>
      <c r="K194" s="5730"/>
      <c r="L194" s="5690" t="s">
        <v>1675</v>
      </c>
      <c r="M194" s="5690"/>
    </row>
    <row r="195" spans="2:13" hidden="1" x14ac:dyDescent="0.3">
      <c r="B195" s="6526"/>
      <c r="C195" s="5725"/>
      <c r="D195" s="5731" t="s">
        <v>1676</v>
      </c>
      <c r="E195" s="5731" t="s">
        <v>1677</v>
      </c>
      <c r="F195" s="5731"/>
      <c r="G195" s="5731" t="s">
        <v>1678</v>
      </c>
      <c r="H195" s="5731"/>
      <c r="I195" s="5731" t="s">
        <v>1017</v>
      </c>
      <c r="J195" s="5731"/>
      <c r="K195" s="5731" t="s">
        <v>59</v>
      </c>
      <c r="L195" s="5731" t="s">
        <v>95</v>
      </c>
      <c r="M195" s="5731" t="s">
        <v>1239</v>
      </c>
    </row>
    <row r="196" spans="2:13" hidden="1" x14ac:dyDescent="0.3">
      <c r="B196" s="6526"/>
      <c r="C196" s="4664" t="s">
        <v>1686</v>
      </c>
      <c r="D196" s="5716"/>
      <c r="E196" s="5716"/>
      <c r="F196" s="5716"/>
      <c r="G196" s="5716"/>
      <c r="H196" s="5716"/>
      <c r="I196" s="5716"/>
      <c r="J196" s="5716"/>
      <c r="K196" s="5716"/>
      <c r="L196" s="5716"/>
      <c r="M196" s="5716"/>
    </row>
    <row r="197" spans="2:13" hidden="1" x14ac:dyDescent="0.3">
      <c r="B197" s="6526"/>
      <c r="C197" s="5682" t="s">
        <v>1687</v>
      </c>
      <c r="D197" s="5716"/>
      <c r="E197" s="5716"/>
      <c r="F197" s="5716"/>
      <c r="G197" s="5716"/>
      <c r="H197" s="5716"/>
      <c r="I197" s="5716"/>
      <c r="J197" s="5716"/>
      <c r="K197" s="5716"/>
      <c r="L197" s="5716"/>
      <c r="M197" s="5716"/>
    </row>
    <row r="198" spans="2:13" hidden="1" x14ac:dyDescent="0.3">
      <c r="B198" s="6526"/>
      <c r="C198" s="5682" t="s">
        <v>1688</v>
      </c>
      <c r="D198" s="5716"/>
      <c r="E198" s="5716"/>
      <c r="F198" s="5716"/>
      <c r="G198" s="5716"/>
      <c r="H198" s="5716"/>
      <c r="I198" s="5716"/>
      <c r="J198" s="5716"/>
      <c r="K198" s="5716"/>
      <c r="L198" s="5716"/>
      <c r="M198" s="5716"/>
    </row>
    <row r="199" spans="2:13" hidden="1" x14ac:dyDescent="0.3">
      <c r="B199" s="6526"/>
      <c r="C199" s="5682" t="s">
        <v>441</v>
      </c>
      <c r="D199" s="5716"/>
      <c r="E199" s="5716"/>
      <c r="F199" s="5716"/>
      <c r="G199" s="5716"/>
      <c r="H199" s="5716"/>
      <c r="I199" s="5716"/>
      <c r="J199" s="5716"/>
      <c r="K199" s="5716"/>
      <c r="L199" s="5716"/>
      <c r="M199" s="5716"/>
    </row>
    <row r="200" spans="2:13" hidden="1" x14ac:dyDescent="0.3">
      <c r="B200" s="6526"/>
      <c r="C200" s="5682" t="s">
        <v>1689</v>
      </c>
      <c r="D200" s="5716"/>
      <c r="E200" s="5716"/>
      <c r="F200" s="5716"/>
      <c r="G200" s="5716"/>
      <c r="H200" s="5716"/>
      <c r="I200" s="5716"/>
      <c r="J200" s="5716"/>
      <c r="K200" s="5716"/>
      <c r="L200" s="5716"/>
      <c r="M200" s="5716"/>
    </row>
    <row r="201" spans="2:13" hidden="1" x14ac:dyDescent="0.3">
      <c r="B201" s="6526"/>
      <c r="C201" s="5682" t="s">
        <v>1690</v>
      </c>
      <c r="D201" s="5716"/>
      <c r="E201" s="5716"/>
      <c r="F201" s="5716"/>
      <c r="G201" s="5716"/>
      <c r="H201" s="5716"/>
      <c r="I201" s="5716"/>
      <c r="J201" s="5716"/>
      <c r="K201" s="5716"/>
      <c r="L201" s="5716"/>
      <c r="M201" s="5716"/>
    </row>
    <row r="202" spans="2:13" hidden="1" x14ac:dyDescent="0.3">
      <c r="B202" s="6526"/>
      <c r="C202" s="5682" t="s">
        <v>1691</v>
      </c>
      <c r="D202" s="5716"/>
      <c r="E202" s="5716"/>
      <c r="F202" s="5716"/>
      <c r="G202" s="5716"/>
      <c r="H202" s="5716"/>
      <c r="I202" s="5716"/>
      <c r="J202" s="5716"/>
      <c r="K202" s="5716"/>
      <c r="L202" s="5716"/>
      <c r="M202" s="5716"/>
    </row>
    <row r="203" spans="2:13" hidden="1" x14ac:dyDescent="0.3">
      <c r="B203" s="6526"/>
      <c r="C203" s="5682" t="s">
        <v>1692</v>
      </c>
      <c r="D203" s="5716"/>
      <c r="E203" s="5716"/>
      <c r="F203" s="5716"/>
      <c r="G203" s="5716"/>
      <c r="H203" s="5716"/>
      <c r="I203" s="5716"/>
      <c r="J203" s="5716"/>
      <c r="K203" s="5716"/>
      <c r="L203" s="5716"/>
      <c r="M203" s="5716"/>
    </row>
    <row r="204" spans="2:13" hidden="1" x14ac:dyDescent="0.3">
      <c r="B204" s="6526"/>
      <c r="C204" s="5682" t="s">
        <v>1693</v>
      </c>
      <c r="D204" s="5716"/>
      <c r="E204" s="5716"/>
      <c r="F204" s="5716"/>
      <c r="G204" s="5716"/>
      <c r="H204" s="5716"/>
      <c r="I204" s="5716"/>
      <c r="J204" s="5716"/>
      <c r="K204" s="5716"/>
      <c r="L204" s="5716"/>
      <c r="M204" s="5716"/>
    </row>
    <row r="205" spans="2:13" ht="27.6" hidden="1" x14ac:dyDescent="0.3">
      <c r="B205" s="6526"/>
      <c r="C205" s="5682" t="s">
        <v>1699</v>
      </c>
      <c r="D205" s="5716"/>
      <c r="E205" s="5716"/>
      <c r="F205" s="5716"/>
      <c r="G205" s="5716"/>
      <c r="H205" s="5716"/>
      <c r="I205" s="5716"/>
      <c r="J205" s="5716"/>
      <c r="K205" s="5716"/>
      <c r="L205" s="5716"/>
      <c r="M205" s="5716"/>
    </row>
    <row r="206" spans="2:13" hidden="1" x14ac:dyDescent="0.3">
      <c r="B206" s="6526"/>
      <c r="C206" s="5682" t="s">
        <v>1694</v>
      </c>
      <c r="D206" s="5716"/>
      <c r="E206" s="5716"/>
      <c r="F206" s="5716"/>
      <c r="G206" s="5716"/>
      <c r="H206" s="5716"/>
      <c r="I206" s="5716"/>
      <c r="J206" s="5716"/>
      <c r="K206" s="5716"/>
      <c r="L206" s="5716"/>
      <c r="M206" s="5716"/>
    </row>
    <row r="207" spans="2:13" hidden="1" x14ac:dyDescent="0.3">
      <c r="B207" s="6526"/>
      <c r="C207" s="5682" t="s">
        <v>1695</v>
      </c>
      <c r="D207" s="5716"/>
      <c r="E207" s="5716"/>
      <c r="F207" s="5716"/>
      <c r="G207" s="5716"/>
      <c r="H207" s="5716"/>
      <c r="I207" s="5716"/>
      <c r="J207" s="5716"/>
      <c r="K207" s="5716"/>
      <c r="L207" s="5716"/>
      <c r="M207" s="5716"/>
    </row>
    <row r="208" spans="2:13" hidden="1" x14ac:dyDescent="0.3">
      <c r="B208" s="6526"/>
      <c r="C208" s="5682" t="s">
        <v>1696</v>
      </c>
      <c r="D208" s="5716"/>
      <c r="E208" s="5716"/>
      <c r="F208" s="5716"/>
      <c r="G208" s="5716"/>
      <c r="H208" s="5716"/>
      <c r="I208" s="5716"/>
      <c r="J208" s="5716"/>
      <c r="K208" s="5716"/>
      <c r="L208" s="5716"/>
      <c r="M208" s="5716"/>
    </row>
    <row r="209" spans="2:13" hidden="1" x14ac:dyDescent="0.3">
      <c r="B209" s="6526"/>
      <c r="C209" s="5682" t="s">
        <v>1697</v>
      </c>
      <c r="D209" s="5716"/>
      <c r="E209" s="5716"/>
      <c r="F209" s="5716"/>
      <c r="G209" s="5716"/>
      <c r="H209" s="5716"/>
      <c r="I209" s="5716"/>
      <c r="J209" s="5716"/>
      <c r="K209" s="5716"/>
      <c r="L209" s="5716"/>
      <c r="M209" s="5716"/>
    </row>
    <row r="210" spans="2:13" hidden="1" x14ac:dyDescent="0.3">
      <c r="B210" s="6526"/>
      <c r="C210" s="5682" t="s">
        <v>1823</v>
      </c>
      <c r="D210" s="5716"/>
      <c r="E210" s="5716"/>
      <c r="F210" s="5716"/>
      <c r="G210" s="5716"/>
      <c r="H210" s="5716"/>
      <c r="I210" s="5716"/>
      <c r="J210" s="5716"/>
      <c r="K210" s="5716"/>
      <c r="L210" s="5716"/>
      <c r="M210" s="5716"/>
    </row>
    <row r="211" spans="2:13" hidden="1" x14ac:dyDescent="0.3">
      <c r="B211" s="6526"/>
      <c r="C211" s="5682" t="s">
        <v>82</v>
      </c>
      <c r="D211" s="5716"/>
      <c r="E211" s="5716"/>
      <c r="F211" s="5716"/>
      <c r="G211" s="5716"/>
      <c r="H211" s="5716"/>
      <c r="I211" s="5716"/>
      <c r="J211" s="5716"/>
      <c r="K211" s="5716"/>
      <c r="L211" s="5716"/>
      <c r="M211" s="5716"/>
    </row>
    <row r="212" spans="2:13" hidden="1" x14ac:dyDescent="0.3">
      <c r="B212" s="6526"/>
      <c r="C212" s="5682" t="s">
        <v>1698</v>
      </c>
      <c r="D212" s="5716"/>
      <c r="E212" s="5716"/>
      <c r="F212" s="5716"/>
      <c r="G212" s="5716"/>
      <c r="H212" s="5716"/>
      <c r="I212" s="5716"/>
      <c r="J212" s="5716"/>
      <c r="K212" s="5716"/>
      <c r="L212" s="5716"/>
      <c r="M212" s="5716"/>
    </row>
    <row r="213" spans="2:13" hidden="1" x14ac:dyDescent="0.3">
      <c r="B213" s="6526"/>
      <c r="C213" s="5682" t="s">
        <v>100</v>
      </c>
      <c r="D213" s="5716"/>
      <c r="E213" s="5716"/>
      <c r="F213" s="5716"/>
      <c r="G213" s="5716"/>
      <c r="H213" s="5716"/>
      <c r="I213" s="5716"/>
      <c r="J213" s="5716"/>
      <c r="K213" s="5716"/>
      <c r="L213" s="5716"/>
      <c r="M213" s="5716"/>
    </row>
    <row r="214" spans="2:13" hidden="1" x14ac:dyDescent="0.3">
      <c r="B214" s="6526"/>
      <c r="C214" s="5682" t="s">
        <v>58</v>
      </c>
      <c r="D214" s="5716"/>
      <c r="E214" s="5716"/>
      <c r="F214" s="5716"/>
      <c r="G214" s="5716"/>
      <c r="H214" s="5716"/>
      <c r="I214" s="5716"/>
      <c r="J214" s="5716"/>
      <c r="K214" s="5716"/>
      <c r="L214" s="5716"/>
      <c r="M214" s="5716"/>
    </row>
    <row r="215" spans="2:13" ht="15" hidden="1" thickBot="1" x14ac:dyDescent="0.35">
      <c r="B215" s="6526"/>
      <c r="C215" s="5692" t="s">
        <v>2076</v>
      </c>
      <c r="D215" s="5716"/>
      <c r="E215" s="5716"/>
      <c r="F215" s="5716"/>
      <c r="G215" s="5716"/>
      <c r="H215" s="5716"/>
      <c r="I215" s="5716"/>
      <c r="J215" s="5716"/>
      <c r="K215" s="5716"/>
      <c r="L215" s="5716"/>
      <c r="M215" s="5716"/>
    </row>
    <row r="216" spans="2:13" hidden="1" x14ac:dyDescent="0.3">
      <c r="B216" s="6526">
        <v>46327</v>
      </c>
      <c r="C216" s="5648" t="s">
        <v>1675</v>
      </c>
      <c r="D216" s="5690" t="s">
        <v>1675</v>
      </c>
      <c r="E216" s="5730"/>
      <c r="F216" s="5730"/>
      <c r="G216" s="5730"/>
      <c r="H216" s="5730"/>
      <c r="I216" s="5730"/>
      <c r="J216" s="5730"/>
      <c r="K216" s="5730"/>
      <c r="L216" s="5690" t="s">
        <v>1675</v>
      </c>
      <c r="M216" s="5690"/>
    </row>
    <row r="217" spans="2:13" hidden="1" x14ac:dyDescent="0.3">
      <c r="B217" s="6526"/>
      <c r="C217" s="5725"/>
      <c r="D217" s="5731" t="s">
        <v>1676</v>
      </c>
      <c r="E217" s="5731" t="s">
        <v>1677</v>
      </c>
      <c r="F217" s="5731"/>
      <c r="G217" s="5731" t="s">
        <v>1678</v>
      </c>
      <c r="H217" s="5731"/>
      <c r="I217" s="5731" t="s">
        <v>1017</v>
      </c>
      <c r="J217" s="5731"/>
      <c r="K217" s="5731" t="s">
        <v>59</v>
      </c>
      <c r="L217" s="5731" t="s">
        <v>95</v>
      </c>
      <c r="M217" s="5731" t="s">
        <v>1239</v>
      </c>
    </row>
    <row r="218" spans="2:13" hidden="1" x14ac:dyDescent="0.3">
      <c r="B218" s="6526"/>
      <c r="C218" s="4664" t="s">
        <v>1686</v>
      </c>
      <c r="D218" s="5716"/>
      <c r="E218" s="5716"/>
      <c r="F218" s="5716"/>
      <c r="G218" s="5716"/>
      <c r="H218" s="5716"/>
      <c r="I218" s="5716"/>
      <c r="J218" s="5716"/>
      <c r="K218" s="5716"/>
      <c r="L218" s="5716"/>
      <c r="M218" s="5716"/>
    </row>
    <row r="219" spans="2:13" hidden="1" x14ac:dyDescent="0.3">
      <c r="B219" s="6526"/>
      <c r="C219" s="5682" t="s">
        <v>1687</v>
      </c>
      <c r="D219" s="5716"/>
      <c r="E219" s="5716"/>
      <c r="F219" s="5716"/>
      <c r="G219" s="5716"/>
      <c r="H219" s="5716"/>
      <c r="I219" s="5716"/>
      <c r="J219" s="5716"/>
      <c r="K219" s="5716"/>
      <c r="L219" s="5716"/>
      <c r="M219" s="5716"/>
    </row>
    <row r="220" spans="2:13" hidden="1" x14ac:dyDescent="0.3">
      <c r="B220" s="6526"/>
      <c r="C220" s="5682" t="s">
        <v>1688</v>
      </c>
      <c r="D220" s="5716"/>
      <c r="E220" s="5716"/>
      <c r="F220" s="5716"/>
      <c r="G220" s="5716"/>
      <c r="H220" s="5716"/>
      <c r="I220" s="5716"/>
      <c r="J220" s="5716"/>
      <c r="K220" s="5716"/>
      <c r="L220" s="5716"/>
      <c r="M220" s="5716"/>
    </row>
    <row r="221" spans="2:13" hidden="1" x14ac:dyDescent="0.3">
      <c r="B221" s="6526"/>
      <c r="C221" s="5682" t="s">
        <v>441</v>
      </c>
      <c r="D221" s="5716"/>
      <c r="E221" s="5716"/>
      <c r="F221" s="5716"/>
      <c r="G221" s="5716"/>
      <c r="H221" s="5716"/>
      <c r="I221" s="5716"/>
      <c r="J221" s="5716"/>
      <c r="K221" s="5716"/>
      <c r="L221" s="5716"/>
      <c r="M221" s="5716"/>
    </row>
    <row r="222" spans="2:13" hidden="1" x14ac:dyDescent="0.3">
      <c r="B222" s="6526"/>
      <c r="C222" s="5682" t="s">
        <v>1689</v>
      </c>
      <c r="D222" s="5716"/>
      <c r="E222" s="5716"/>
      <c r="F222" s="5716"/>
      <c r="G222" s="5716"/>
      <c r="H222" s="5716"/>
      <c r="I222" s="5716"/>
      <c r="J222" s="5716"/>
      <c r="K222" s="5716"/>
      <c r="L222" s="5716"/>
      <c r="M222" s="5716"/>
    </row>
    <row r="223" spans="2:13" hidden="1" x14ac:dyDescent="0.3">
      <c r="B223" s="6526"/>
      <c r="C223" s="5682" t="s">
        <v>1690</v>
      </c>
      <c r="D223" s="5716"/>
      <c r="E223" s="5716"/>
      <c r="F223" s="5716"/>
      <c r="G223" s="5716"/>
      <c r="H223" s="5716"/>
      <c r="I223" s="5716"/>
      <c r="J223" s="5716"/>
      <c r="K223" s="5716"/>
      <c r="L223" s="5716"/>
      <c r="M223" s="5716"/>
    </row>
    <row r="224" spans="2:13" hidden="1" x14ac:dyDescent="0.3">
      <c r="B224" s="6526"/>
      <c r="C224" s="5682" t="s">
        <v>1691</v>
      </c>
      <c r="D224" s="5716"/>
      <c r="E224" s="5716"/>
      <c r="F224" s="5716"/>
      <c r="G224" s="5716"/>
      <c r="H224" s="5716"/>
      <c r="I224" s="5716"/>
      <c r="J224" s="5716"/>
      <c r="K224" s="5716"/>
      <c r="L224" s="5716"/>
      <c r="M224" s="5716"/>
    </row>
    <row r="225" spans="2:13" hidden="1" x14ac:dyDescent="0.3">
      <c r="B225" s="6526"/>
      <c r="C225" s="5682" t="s">
        <v>1692</v>
      </c>
      <c r="D225" s="5716"/>
      <c r="E225" s="5716"/>
      <c r="F225" s="5716"/>
      <c r="G225" s="5716"/>
      <c r="H225" s="5716"/>
      <c r="I225" s="5716"/>
      <c r="J225" s="5716"/>
      <c r="K225" s="5716"/>
      <c r="L225" s="5716"/>
      <c r="M225" s="5716"/>
    </row>
    <row r="226" spans="2:13" hidden="1" x14ac:dyDescent="0.3">
      <c r="B226" s="6526"/>
      <c r="C226" s="5682" t="s">
        <v>1693</v>
      </c>
      <c r="D226" s="5716"/>
      <c r="E226" s="5716"/>
      <c r="F226" s="5716"/>
      <c r="G226" s="5716"/>
      <c r="H226" s="5716"/>
      <c r="I226" s="5716"/>
      <c r="J226" s="5716"/>
      <c r="K226" s="5716"/>
      <c r="L226" s="5716"/>
      <c r="M226" s="5716"/>
    </row>
    <row r="227" spans="2:13" ht="27.6" hidden="1" x14ac:dyDescent="0.3">
      <c r="B227" s="6526"/>
      <c r="C227" s="5682" t="s">
        <v>1699</v>
      </c>
      <c r="D227" s="5716"/>
      <c r="E227" s="5716"/>
      <c r="F227" s="5716"/>
      <c r="G227" s="5716"/>
      <c r="H227" s="5716"/>
      <c r="I227" s="5716"/>
      <c r="J227" s="5716"/>
      <c r="K227" s="5716"/>
      <c r="L227" s="5716"/>
      <c r="M227" s="5716"/>
    </row>
    <row r="228" spans="2:13" hidden="1" x14ac:dyDescent="0.3">
      <c r="B228" s="6526"/>
      <c r="C228" s="5682" t="s">
        <v>1694</v>
      </c>
      <c r="D228" s="5716"/>
      <c r="E228" s="5716"/>
      <c r="F228" s="5716"/>
      <c r="G228" s="5716"/>
      <c r="H228" s="5716"/>
      <c r="I228" s="5716"/>
      <c r="J228" s="5716"/>
      <c r="K228" s="5716"/>
      <c r="L228" s="5716"/>
      <c r="M228" s="5716"/>
    </row>
    <row r="229" spans="2:13" hidden="1" x14ac:dyDescent="0.3">
      <c r="B229" s="6526"/>
      <c r="C229" s="5682" t="s">
        <v>1695</v>
      </c>
      <c r="D229" s="5716"/>
      <c r="E229" s="5716"/>
      <c r="F229" s="5716"/>
      <c r="G229" s="5716"/>
      <c r="H229" s="5716"/>
      <c r="I229" s="5716"/>
      <c r="J229" s="5716"/>
      <c r="K229" s="5716"/>
      <c r="L229" s="5716"/>
      <c r="M229" s="5716"/>
    </row>
    <row r="230" spans="2:13" hidden="1" x14ac:dyDescent="0.3">
      <c r="B230" s="6526"/>
      <c r="C230" s="5682" t="s">
        <v>1696</v>
      </c>
      <c r="D230" s="5716"/>
      <c r="E230" s="5716"/>
      <c r="F230" s="5716"/>
      <c r="G230" s="5716"/>
      <c r="H230" s="5716"/>
      <c r="I230" s="5716"/>
      <c r="J230" s="5716"/>
      <c r="K230" s="5716"/>
      <c r="L230" s="5716"/>
      <c r="M230" s="5716"/>
    </row>
    <row r="231" spans="2:13" hidden="1" x14ac:dyDescent="0.3">
      <c r="B231" s="6526"/>
      <c r="C231" s="5682" t="s">
        <v>1697</v>
      </c>
      <c r="D231" s="5716"/>
      <c r="E231" s="5716"/>
      <c r="F231" s="5716"/>
      <c r="G231" s="5716"/>
      <c r="H231" s="5716"/>
      <c r="I231" s="5716"/>
      <c r="J231" s="5716"/>
      <c r="K231" s="5716"/>
      <c r="L231" s="5716"/>
      <c r="M231" s="5716"/>
    </row>
    <row r="232" spans="2:13" hidden="1" x14ac:dyDescent="0.3">
      <c r="B232" s="6526"/>
      <c r="C232" s="5682" t="s">
        <v>1823</v>
      </c>
      <c r="D232" s="5716"/>
      <c r="E232" s="5716"/>
      <c r="F232" s="5716"/>
      <c r="G232" s="5716"/>
      <c r="H232" s="5716"/>
      <c r="I232" s="5716"/>
      <c r="J232" s="5716"/>
      <c r="K232" s="5716"/>
      <c r="L232" s="5716"/>
      <c r="M232" s="5716"/>
    </row>
    <row r="233" spans="2:13" hidden="1" x14ac:dyDescent="0.3">
      <c r="B233" s="6526"/>
      <c r="C233" s="5682" t="s">
        <v>82</v>
      </c>
      <c r="D233" s="5716"/>
      <c r="E233" s="5716"/>
      <c r="F233" s="5716"/>
      <c r="G233" s="5716"/>
      <c r="H233" s="5716"/>
      <c r="I233" s="5716"/>
      <c r="J233" s="5716"/>
      <c r="K233" s="5716"/>
      <c r="L233" s="5716"/>
      <c r="M233" s="5716"/>
    </row>
    <row r="234" spans="2:13" hidden="1" x14ac:dyDescent="0.3">
      <c r="B234" s="6526"/>
      <c r="C234" s="5682" t="s">
        <v>1698</v>
      </c>
      <c r="D234" s="5716"/>
      <c r="E234" s="5716"/>
      <c r="F234" s="5716"/>
      <c r="G234" s="5716"/>
      <c r="H234" s="5716"/>
      <c r="I234" s="5716"/>
      <c r="J234" s="5716"/>
      <c r="K234" s="5716"/>
      <c r="L234" s="5716"/>
      <c r="M234" s="5716"/>
    </row>
    <row r="235" spans="2:13" hidden="1" x14ac:dyDescent="0.3">
      <c r="B235" s="6526"/>
      <c r="C235" s="5682" t="s">
        <v>100</v>
      </c>
      <c r="D235" s="5716"/>
      <c r="E235" s="5716"/>
      <c r="F235" s="5716"/>
      <c r="G235" s="5716"/>
      <c r="H235" s="5716"/>
      <c r="I235" s="5716"/>
      <c r="J235" s="5716"/>
      <c r="K235" s="5716"/>
      <c r="L235" s="5716"/>
      <c r="M235" s="5716"/>
    </row>
    <row r="236" spans="2:13" hidden="1" x14ac:dyDescent="0.3">
      <c r="B236" s="6526"/>
      <c r="C236" s="5682" t="s">
        <v>58</v>
      </c>
      <c r="D236" s="5716"/>
      <c r="E236" s="5716"/>
      <c r="F236" s="5716"/>
      <c r="G236" s="5716"/>
      <c r="H236" s="5716"/>
      <c r="I236" s="5716"/>
      <c r="J236" s="5716"/>
      <c r="K236" s="5716"/>
      <c r="L236" s="5716"/>
      <c r="M236" s="5716"/>
    </row>
    <row r="237" spans="2:13" ht="15" hidden="1" thickBot="1" x14ac:dyDescent="0.35">
      <c r="B237" s="6526"/>
      <c r="C237" s="5692" t="s">
        <v>2076</v>
      </c>
      <c r="D237" s="5716"/>
      <c r="E237" s="5716"/>
      <c r="F237" s="5716"/>
      <c r="G237" s="5716"/>
      <c r="H237" s="5716"/>
      <c r="I237" s="5716"/>
      <c r="J237" s="5716"/>
      <c r="K237" s="5716"/>
      <c r="L237" s="5716"/>
      <c r="M237" s="5716"/>
    </row>
    <row r="238" spans="2:13" hidden="1" x14ac:dyDescent="0.3">
      <c r="B238" s="251"/>
      <c r="D238" s="491"/>
      <c r="E238" s="491"/>
      <c r="F238" s="491"/>
      <c r="G238" s="491"/>
      <c r="H238" s="491"/>
      <c r="I238" s="491"/>
      <c r="J238" s="491"/>
      <c r="K238" s="491"/>
      <c r="L238" s="491"/>
      <c r="M238" s="491"/>
    </row>
    <row r="239" spans="2:13" hidden="1" x14ac:dyDescent="0.3">
      <c r="B239" s="6526">
        <v>46357</v>
      </c>
      <c r="C239" s="5648" t="s">
        <v>1675</v>
      </c>
      <c r="D239" s="5729" t="s">
        <v>1675</v>
      </c>
      <c r="E239" s="5703"/>
      <c r="F239" s="5703"/>
      <c r="G239" s="5703"/>
      <c r="H239" s="5703"/>
      <c r="I239" s="5703"/>
      <c r="J239" s="5703"/>
      <c r="K239" s="5703"/>
      <c r="L239" s="5729" t="s">
        <v>1675</v>
      </c>
      <c r="M239" s="5729"/>
    </row>
    <row r="240" spans="2:13" hidden="1" x14ac:dyDescent="0.3">
      <c r="B240" s="6526"/>
      <c r="C240" s="5725"/>
      <c r="D240" s="5649" t="s">
        <v>1676</v>
      </c>
      <c r="E240" s="5649" t="s">
        <v>1677</v>
      </c>
      <c r="F240" s="5649"/>
      <c r="G240" s="5649" t="s">
        <v>1678</v>
      </c>
      <c r="H240" s="5649"/>
      <c r="I240" s="5649" t="s">
        <v>1017</v>
      </c>
      <c r="J240" s="5649"/>
      <c r="K240" s="5649" t="s">
        <v>59</v>
      </c>
      <c r="L240" s="5649" t="s">
        <v>95</v>
      </c>
      <c r="M240" s="5649" t="s">
        <v>1239</v>
      </c>
    </row>
    <row r="241" spans="2:13" hidden="1" x14ac:dyDescent="0.3">
      <c r="B241" s="6526"/>
      <c r="C241" s="4664" t="s">
        <v>1686</v>
      </c>
      <c r="D241" s="5726"/>
      <c r="E241" s="5726"/>
      <c r="F241" s="5726"/>
      <c r="G241" s="5726"/>
      <c r="H241" s="5726"/>
      <c r="I241" s="5726"/>
      <c r="J241" s="5726"/>
      <c r="K241" s="5726"/>
      <c r="L241" s="5726"/>
      <c r="M241" s="5726"/>
    </row>
    <row r="242" spans="2:13" hidden="1" x14ac:dyDescent="0.3">
      <c r="B242" s="6526"/>
      <c r="C242" s="5682" t="s">
        <v>1687</v>
      </c>
      <c r="D242" s="5726"/>
      <c r="E242" s="5726"/>
      <c r="F242" s="5726"/>
      <c r="G242" s="5726"/>
      <c r="H242" s="5726"/>
      <c r="I242" s="5726"/>
      <c r="J242" s="5726"/>
      <c r="K242" s="5726"/>
      <c r="L242" s="5726"/>
      <c r="M242" s="5726"/>
    </row>
    <row r="243" spans="2:13" hidden="1" x14ac:dyDescent="0.3">
      <c r="B243" s="6526"/>
      <c r="C243" s="5682" t="s">
        <v>1688</v>
      </c>
      <c r="D243" s="5726"/>
      <c r="E243" s="5726"/>
      <c r="F243" s="5726"/>
      <c r="G243" s="5726"/>
      <c r="H243" s="5726"/>
      <c r="I243" s="5726"/>
      <c r="J243" s="5726"/>
      <c r="K243" s="5726"/>
      <c r="L243" s="5726"/>
      <c r="M243" s="5726"/>
    </row>
    <row r="244" spans="2:13" hidden="1" x14ac:dyDescent="0.3">
      <c r="B244" s="6526"/>
      <c r="C244" s="5682" t="s">
        <v>441</v>
      </c>
      <c r="D244" s="5726"/>
      <c r="E244" s="5726"/>
      <c r="F244" s="5726"/>
      <c r="G244" s="5726"/>
      <c r="H244" s="5726"/>
      <c r="I244" s="5726"/>
      <c r="J244" s="5726"/>
      <c r="K244" s="5726"/>
      <c r="L244" s="5726"/>
      <c r="M244" s="5726"/>
    </row>
    <row r="245" spans="2:13" hidden="1" x14ac:dyDescent="0.3">
      <c r="B245" s="6526"/>
      <c r="C245" s="5682" t="s">
        <v>1689</v>
      </c>
      <c r="D245" s="5726"/>
      <c r="E245" s="5726"/>
      <c r="F245" s="5726"/>
      <c r="G245" s="5726"/>
      <c r="H245" s="5726"/>
      <c r="I245" s="5726"/>
      <c r="J245" s="5726"/>
      <c r="K245" s="5726"/>
      <c r="L245" s="5726"/>
      <c r="M245" s="5726"/>
    </row>
    <row r="246" spans="2:13" hidden="1" x14ac:dyDescent="0.3">
      <c r="B246" s="6526"/>
      <c r="C246" s="5682" t="s">
        <v>1690</v>
      </c>
      <c r="D246" s="5726"/>
      <c r="E246" s="5726"/>
      <c r="F246" s="5726"/>
      <c r="G246" s="5726"/>
      <c r="H246" s="5726"/>
      <c r="I246" s="5726"/>
      <c r="J246" s="5726"/>
      <c r="K246" s="5726"/>
      <c r="L246" s="5726"/>
      <c r="M246" s="5726"/>
    </row>
    <row r="247" spans="2:13" hidden="1" x14ac:dyDescent="0.3">
      <c r="B247" s="6526"/>
      <c r="C247" s="5682" t="s">
        <v>1691</v>
      </c>
      <c r="D247" s="5726"/>
      <c r="E247" s="5726"/>
      <c r="F247" s="5726"/>
      <c r="G247" s="5726"/>
      <c r="H247" s="5726"/>
      <c r="I247" s="5726"/>
      <c r="J247" s="5726"/>
      <c r="K247" s="5726"/>
      <c r="L247" s="5726"/>
      <c r="M247" s="5726"/>
    </row>
    <row r="248" spans="2:13" hidden="1" x14ac:dyDescent="0.3">
      <c r="B248" s="6526"/>
      <c r="C248" s="5682" t="s">
        <v>1692</v>
      </c>
      <c r="D248" s="5726"/>
      <c r="E248" s="5726"/>
      <c r="F248" s="5726"/>
      <c r="G248" s="5726"/>
      <c r="H248" s="5726"/>
      <c r="I248" s="5726"/>
      <c r="J248" s="5726"/>
      <c r="K248" s="5726"/>
      <c r="L248" s="5726"/>
      <c r="M248" s="5726"/>
    </row>
    <row r="249" spans="2:13" hidden="1" x14ac:dyDescent="0.3">
      <c r="B249" s="6526"/>
      <c r="C249" s="5682" t="s">
        <v>1693</v>
      </c>
      <c r="D249" s="5726"/>
      <c r="E249" s="5726"/>
      <c r="F249" s="5726"/>
      <c r="G249" s="5726"/>
      <c r="H249" s="5726"/>
      <c r="I249" s="5726"/>
      <c r="J249" s="5726"/>
      <c r="K249" s="5726"/>
      <c r="L249" s="5726"/>
      <c r="M249" s="5726"/>
    </row>
    <row r="250" spans="2:13" ht="27.6" hidden="1" x14ac:dyDescent="0.3">
      <c r="B250" s="6526"/>
      <c r="C250" s="5682" t="s">
        <v>1699</v>
      </c>
      <c r="D250" s="5726"/>
      <c r="E250" s="5726"/>
      <c r="F250" s="5726"/>
      <c r="G250" s="5726"/>
      <c r="H250" s="5726"/>
      <c r="I250" s="5726"/>
      <c r="J250" s="5726"/>
      <c r="K250" s="5726"/>
      <c r="L250" s="5726"/>
      <c r="M250" s="5726"/>
    </row>
    <row r="251" spans="2:13" hidden="1" x14ac:dyDescent="0.3">
      <c r="B251" s="6526"/>
      <c r="C251" s="5682" t="s">
        <v>1694</v>
      </c>
      <c r="D251" s="5726"/>
      <c r="E251" s="5726"/>
      <c r="F251" s="5726"/>
      <c r="G251" s="5726"/>
      <c r="H251" s="5726"/>
      <c r="I251" s="5726"/>
      <c r="J251" s="5726"/>
      <c r="K251" s="5726"/>
      <c r="L251" s="5726"/>
      <c r="M251" s="5726"/>
    </row>
    <row r="252" spans="2:13" hidden="1" x14ac:dyDescent="0.3">
      <c r="B252" s="6526"/>
      <c r="C252" s="5682" t="s">
        <v>1695</v>
      </c>
      <c r="D252" s="5726"/>
      <c r="E252" s="5726"/>
      <c r="F252" s="5726"/>
      <c r="G252" s="5726"/>
      <c r="H252" s="5726"/>
      <c r="I252" s="5726"/>
      <c r="J252" s="5726"/>
      <c r="K252" s="5726"/>
      <c r="L252" s="5726"/>
      <c r="M252" s="5726"/>
    </row>
    <row r="253" spans="2:13" hidden="1" x14ac:dyDescent="0.3">
      <c r="B253" s="6526"/>
      <c r="C253" s="5682" t="s">
        <v>1696</v>
      </c>
      <c r="D253" s="5726"/>
      <c r="E253" s="5726"/>
      <c r="F253" s="5726"/>
      <c r="G253" s="5726"/>
      <c r="H253" s="5726"/>
      <c r="I253" s="5726"/>
      <c r="J253" s="5726"/>
      <c r="K253" s="5726"/>
      <c r="L253" s="5726"/>
      <c r="M253" s="5726"/>
    </row>
    <row r="254" spans="2:13" hidden="1" x14ac:dyDescent="0.3">
      <c r="B254" s="6526"/>
      <c r="C254" s="5682" t="s">
        <v>1697</v>
      </c>
      <c r="D254" s="5726"/>
      <c r="E254" s="5726"/>
      <c r="F254" s="5726"/>
      <c r="G254" s="5726"/>
      <c r="H254" s="5726"/>
      <c r="I254" s="5726"/>
      <c r="J254" s="5726"/>
      <c r="K254" s="5726"/>
      <c r="L254" s="5726"/>
      <c r="M254" s="5726"/>
    </row>
    <row r="255" spans="2:13" hidden="1" x14ac:dyDescent="0.3">
      <c r="B255" s="6526"/>
      <c r="C255" s="5682" t="s">
        <v>1823</v>
      </c>
      <c r="D255" s="5726"/>
      <c r="E255" s="5726"/>
      <c r="F255" s="5726"/>
      <c r="G255" s="5726"/>
      <c r="H255" s="5726"/>
      <c r="I255" s="5726"/>
      <c r="J255" s="5726"/>
      <c r="K255" s="5726"/>
      <c r="L255" s="5726"/>
      <c r="M255" s="5726"/>
    </row>
    <row r="256" spans="2:13" hidden="1" x14ac:dyDescent="0.3">
      <c r="B256" s="6526"/>
      <c r="C256" s="5682" t="s">
        <v>82</v>
      </c>
      <c r="D256" s="5726"/>
      <c r="E256" s="5726"/>
      <c r="F256" s="5726"/>
      <c r="G256" s="5726"/>
      <c r="H256" s="5726"/>
      <c r="I256" s="5726"/>
      <c r="J256" s="5726"/>
      <c r="K256" s="5726"/>
      <c r="L256" s="5726"/>
      <c r="M256" s="5726"/>
    </row>
    <row r="257" spans="2:15" hidden="1" x14ac:dyDescent="0.3">
      <c r="B257" s="6526"/>
      <c r="C257" s="5682" t="s">
        <v>1698</v>
      </c>
      <c r="D257" s="5726"/>
      <c r="E257" s="5726"/>
      <c r="F257" s="5726"/>
      <c r="G257" s="5726"/>
      <c r="H257" s="5726"/>
      <c r="I257" s="5726"/>
      <c r="J257" s="5726"/>
      <c r="K257" s="5726"/>
      <c r="L257" s="5726"/>
      <c r="M257" s="5726"/>
    </row>
    <row r="258" spans="2:15" hidden="1" x14ac:dyDescent="0.3">
      <c r="B258" s="6526"/>
      <c r="C258" s="5682" t="s">
        <v>100</v>
      </c>
      <c r="D258" s="5726"/>
      <c r="E258" s="5726"/>
      <c r="F258" s="5726"/>
      <c r="G258" s="5726"/>
      <c r="H258" s="5726"/>
      <c r="I258" s="5726"/>
      <c r="J258" s="5726"/>
      <c r="K258" s="5726"/>
      <c r="L258" s="5726"/>
      <c r="M258" s="5726"/>
    </row>
    <row r="259" spans="2:15" hidden="1" x14ac:dyDescent="0.3">
      <c r="B259" s="6526"/>
      <c r="C259" s="5682" t="s">
        <v>58</v>
      </c>
      <c r="D259" s="5726"/>
      <c r="E259" s="5726"/>
      <c r="F259" s="5726"/>
      <c r="G259" s="5726"/>
      <c r="H259" s="5726"/>
      <c r="I259" s="5726"/>
      <c r="J259" s="5726"/>
      <c r="K259" s="5726"/>
      <c r="L259" s="5726"/>
      <c r="M259" s="5726"/>
    </row>
    <row r="260" spans="2:15" ht="15" hidden="1" thickBot="1" x14ac:dyDescent="0.35">
      <c r="B260" s="6526"/>
      <c r="C260" s="5692" t="s">
        <v>2076</v>
      </c>
      <c r="D260" s="5726"/>
      <c r="E260" s="5726"/>
      <c r="F260" s="5726"/>
      <c r="G260" s="5726"/>
      <c r="H260" s="5726"/>
      <c r="I260" s="5726"/>
      <c r="J260" s="5726"/>
      <c r="K260" s="5726"/>
      <c r="L260" s="5726"/>
      <c r="M260" s="5726"/>
    </row>
    <row r="261" spans="2:15" hidden="1" x14ac:dyDescent="0.3">
      <c r="B261" s="6526">
        <v>46388</v>
      </c>
      <c r="C261" s="5648" t="s">
        <v>1675</v>
      </c>
      <c r="D261" s="5729"/>
      <c r="E261" s="5703"/>
      <c r="F261" s="5703"/>
      <c r="G261" s="5703"/>
      <c r="H261" s="5703"/>
      <c r="I261" s="5703"/>
      <c r="J261" s="5703"/>
      <c r="K261" s="5703"/>
      <c r="L261" s="5729"/>
      <c r="M261" s="5729"/>
    </row>
    <row r="262" spans="2:15" hidden="1" x14ac:dyDescent="0.3">
      <c r="B262" s="6526"/>
      <c r="C262" s="5725"/>
      <c r="D262" s="5649" t="s">
        <v>1676</v>
      </c>
      <c r="E262" s="5649" t="s">
        <v>1677</v>
      </c>
      <c r="F262" s="5649"/>
      <c r="G262" s="5649" t="s">
        <v>1678</v>
      </c>
      <c r="H262" s="5649"/>
      <c r="I262" s="5649" t="s">
        <v>1017</v>
      </c>
      <c r="J262" s="5649"/>
      <c r="K262" s="5649" t="s">
        <v>59</v>
      </c>
      <c r="L262" s="5649" t="s">
        <v>95</v>
      </c>
      <c r="M262" s="5649" t="s">
        <v>1239</v>
      </c>
    </row>
    <row r="263" spans="2:15" hidden="1" x14ac:dyDescent="0.3">
      <c r="B263" s="6526"/>
      <c r="C263" s="4664" t="s">
        <v>1686</v>
      </c>
      <c r="D263" s="5726"/>
      <c r="E263" s="5726"/>
      <c r="F263" s="5726"/>
      <c r="G263" s="5726"/>
      <c r="H263" s="5726"/>
      <c r="I263" s="5726"/>
      <c r="J263" s="5726"/>
      <c r="K263" s="5726"/>
      <c r="L263" s="5726"/>
      <c r="M263" s="5726"/>
    </row>
    <row r="264" spans="2:15" hidden="1" x14ac:dyDescent="0.3">
      <c r="B264" s="6526"/>
      <c r="C264" s="5682" t="s">
        <v>1687</v>
      </c>
      <c r="D264" s="5726"/>
      <c r="E264" s="5726"/>
      <c r="F264" s="5726"/>
      <c r="G264" s="5726"/>
      <c r="H264" s="5726"/>
      <c r="I264" s="5726"/>
      <c r="J264" s="5726"/>
      <c r="K264" s="5726"/>
      <c r="L264" s="5726"/>
      <c r="M264" s="5726"/>
    </row>
    <row r="265" spans="2:15" hidden="1" x14ac:dyDescent="0.3">
      <c r="B265" s="6526"/>
      <c r="C265" s="5682" t="s">
        <v>1688</v>
      </c>
      <c r="D265" s="5726"/>
      <c r="E265" s="5726"/>
      <c r="F265" s="5726"/>
      <c r="G265" s="5726"/>
      <c r="H265" s="5726"/>
      <c r="I265" s="5726"/>
      <c r="J265" s="5726"/>
      <c r="K265" s="5726"/>
      <c r="L265" s="5726"/>
      <c r="M265" s="5726"/>
    </row>
    <row r="266" spans="2:15" hidden="1" x14ac:dyDescent="0.3">
      <c r="B266" s="6526"/>
      <c r="C266" s="5682" t="s">
        <v>441</v>
      </c>
      <c r="D266" s="5726"/>
      <c r="E266" s="5726"/>
      <c r="F266" s="5726"/>
      <c r="G266" s="5726"/>
      <c r="H266" s="5726"/>
      <c r="I266" s="5726"/>
      <c r="J266" s="5726"/>
      <c r="K266" s="5726"/>
      <c r="L266" s="5726"/>
      <c r="M266" s="5726"/>
    </row>
    <row r="267" spans="2:15" hidden="1" x14ac:dyDescent="0.3">
      <c r="B267" s="6526"/>
      <c r="C267" s="5682" t="s">
        <v>1689</v>
      </c>
      <c r="D267" s="5726"/>
      <c r="E267" s="5726"/>
      <c r="F267" s="5726"/>
      <c r="G267" s="5726"/>
      <c r="H267" s="5726"/>
      <c r="I267" s="5726"/>
      <c r="J267" s="5726"/>
      <c r="K267" s="5726"/>
      <c r="L267" s="5726"/>
      <c r="M267" s="5726"/>
    </row>
    <row r="268" spans="2:15" hidden="1" x14ac:dyDescent="0.3">
      <c r="B268" s="6526"/>
      <c r="C268" s="5682" t="s">
        <v>1690</v>
      </c>
      <c r="D268" s="5726"/>
      <c r="E268" s="5726"/>
      <c r="F268" s="5726"/>
      <c r="G268" s="5726"/>
      <c r="H268" s="5726"/>
      <c r="I268" s="5726"/>
      <c r="J268" s="5726"/>
      <c r="K268" s="5726"/>
      <c r="L268" s="5726"/>
      <c r="M268" s="5726"/>
      <c r="O268" s="23"/>
    </row>
    <row r="269" spans="2:15" hidden="1" x14ac:dyDescent="0.3">
      <c r="B269" s="6526"/>
      <c r="C269" s="5682" t="s">
        <v>1691</v>
      </c>
      <c r="D269" s="5726"/>
      <c r="E269" s="5726"/>
      <c r="F269" s="5726"/>
      <c r="G269" s="5726"/>
      <c r="H269" s="5726"/>
      <c r="I269" s="5726"/>
      <c r="J269" s="5726"/>
      <c r="K269" s="5726"/>
      <c r="L269" s="5726"/>
      <c r="M269" s="5726"/>
    </row>
    <row r="270" spans="2:15" hidden="1" x14ac:dyDescent="0.3">
      <c r="B270" s="6526"/>
      <c r="C270" s="5682" t="s">
        <v>1692</v>
      </c>
      <c r="D270" s="5726"/>
      <c r="E270" s="5726"/>
      <c r="F270" s="5726"/>
      <c r="G270" s="5726"/>
      <c r="H270" s="5726"/>
      <c r="I270" s="5726"/>
      <c r="J270" s="5726"/>
      <c r="K270" s="5726"/>
      <c r="L270" s="5726"/>
      <c r="M270" s="5726"/>
    </row>
    <row r="271" spans="2:15" hidden="1" x14ac:dyDescent="0.3">
      <c r="B271" s="6526"/>
      <c r="C271" s="5682" t="s">
        <v>1693</v>
      </c>
      <c r="D271" s="5726"/>
      <c r="E271" s="5726"/>
      <c r="F271" s="5726"/>
      <c r="G271" s="5726"/>
      <c r="H271" s="5726"/>
      <c r="I271" s="5726"/>
      <c r="J271" s="5726"/>
      <c r="K271" s="5726"/>
      <c r="L271" s="5726"/>
      <c r="M271" s="5726"/>
    </row>
    <row r="272" spans="2:15" ht="27.6" hidden="1" x14ac:dyDescent="0.3">
      <c r="B272" s="6526"/>
      <c r="C272" s="5682" t="s">
        <v>1699</v>
      </c>
      <c r="D272" s="5726"/>
      <c r="E272" s="5726"/>
      <c r="F272" s="5726"/>
      <c r="G272" s="5726"/>
      <c r="H272" s="5726"/>
      <c r="I272" s="5726"/>
      <c r="J272" s="5726"/>
      <c r="K272" s="5726"/>
      <c r="L272" s="5726"/>
      <c r="M272" s="5726"/>
    </row>
    <row r="273" spans="2:13" hidden="1" x14ac:dyDescent="0.3">
      <c r="B273" s="6526"/>
      <c r="C273" s="5682" t="s">
        <v>1694</v>
      </c>
      <c r="D273" s="5726"/>
      <c r="E273" s="5726"/>
      <c r="F273" s="5726"/>
      <c r="G273" s="5726"/>
      <c r="H273" s="5726"/>
      <c r="I273" s="5726"/>
      <c r="J273" s="5726"/>
      <c r="K273" s="5726"/>
      <c r="L273" s="5726"/>
      <c r="M273" s="5726"/>
    </row>
    <row r="274" spans="2:13" hidden="1" x14ac:dyDescent="0.3">
      <c r="B274" s="6526"/>
      <c r="C274" s="5682" t="s">
        <v>1695</v>
      </c>
      <c r="D274" s="5726"/>
      <c r="E274" s="5726"/>
      <c r="F274" s="5726"/>
      <c r="G274" s="5726"/>
      <c r="H274" s="5726"/>
      <c r="I274" s="5726"/>
      <c r="J274" s="5726"/>
      <c r="K274" s="5726"/>
      <c r="L274" s="5726"/>
      <c r="M274" s="5726"/>
    </row>
    <row r="275" spans="2:13" hidden="1" x14ac:dyDescent="0.3">
      <c r="B275" s="6526"/>
      <c r="C275" s="5682" t="s">
        <v>1696</v>
      </c>
      <c r="D275" s="5726"/>
      <c r="E275" s="5726"/>
      <c r="F275" s="5726"/>
      <c r="G275" s="5726"/>
      <c r="H275" s="5726"/>
      <c r="I275" s="5726"/>
      <c r="J275" s="5726"/>
      <c r="K275" s="5726"/>
      <c r="L275" s="5726"/>
      <c r="M275" s="5726"/>
    </row>
    <row r="276" spans="2:13" hidden="1" x14ac:dyDescent="0.3">
      <c r="B276" s="6526"/>
      <c r="C276" s="5682" t="s">
        <v>1697</v>
      </c>
      <c r="D276" s="5726"/>
      <c r="E276" s="5726"/>
      <c r="F276" s="5726"/>
      <c r="G276" s="5726"/>
      <c r="H276" s="5726"/>
      <c r="I276" s="5726"/>
      <c r="J276" s="5726"/>
      <c r="K276" s="5726"/>
      <c r="L276" s="5726"/>
      <c r="M276" s="5726"/>
    </row>
    <row r="277" spans="2:13" hidden="1" x14ac:dyDescent="0.3">
      <c r="B277" s="6526"/>
      <c r="C277" s="5682" t="s">
        <v>1823</v>
      </c>
      <c r="D277" s="5726"/>
      <c r="E277" s="5726"/>
      <c r="F277" s="5726"/>
      <c r="G277" s="5726"/>
      <c r="H277" s="5726"/>
      <c r="I277" s="5726"/>
      <c r="J277" s="5726"/>
      <c r="K277" s="5726"/>
      <c r="L277" s="5726"/>
      <c r="M277" s="5726"/>
    </row>
    <row r="278" spans="2:13" hidden="1" x14ac:dyDescent="0.3">
      <c r="B278" s="6526"/>
      <c r="C278" s="5682" t="s">
        <v>82</v>
      </c>
      <c r="D278" s="5726"/>
      <c r="E278" s="5726"/>
      <c r="F278" s="5726"/>
      <c r="G278" s="5726"/>
      <c r="H278" s="5726"/>
      <c r="I278" s="5726"/>
      <c r="J278" s="5726"/>
      <c r="K278" s="5726"/>
      <c r="L278" s="5726"/>
      <c r="M278" s="5726"/>
    </row>
    <row r="279" spans="2:13" hidden="1" x14ac:dyDescent="0.3">
      <c r="B279" s="6526"/>
      <c r="C279" s="5682" t="s">
        <v>1698</v>
      </c>
      <c r="D279" s="5726"/>
      <c r="E279" s="5726"/>
      <c r="F279" s="5726"/>
      <c r="G279" s="5726"/>
      <c r="H279" s="5726"/>
      <c r="I279" s="5726"/>
      <c r="J279" s="5726"/>
      <c r="K279" s="5726"/>
      <c r="L279" s="5726"/>
      <c r="M279" s="5726"/>
    </row>
    <row r="280" spans="2:13" hidden="1" x14ac:dyDescent="0.3">
      <c r="B280" s="6526"/>
      <c r="C280" s="5682" t="s">
        <v>100</v>
      </c>
      <c r="D280" s="5726"/>
      <c r="E280" s="5726"/>
      <c r="F280" s="5726"/>
      <c r="G280" s="5726"/>
      <c r="H280" s="5726"/>
      <c r="I280" s="5726"/>
      <c r="J280" s="5726"/>
      <c r="K280" s="5726"/>
      <c r="L280" s="5726"/>
      <c r="M280" s="5726"/>
    </row>
    <row r="281" spans="2:13" hidden="1" x14ac:dyDescent="0.3">
      <c r="B281" s="6526"/>
      <c r="C281" s="5682" t="s">
        <v>58</v>
      </c>
      <c r="D281" s="5726"/>
      <c r="E281" s="5726"/>
      <c r="F281" s="5726"/>
      <c r="G281" s="5726"/>
      <c r="H281" s="5726"/>
      <c r="I281" s="5726"/>
      <c r="J281" s="5726"/>
      <c r="K281" s="5726"/>
      <c r="L281" s="5726"/>
      <c r="M281" s="5726"/>
    </row>
    <row r="282" spans="2:13" ht="15" hidden="1" thickBot="1" x14ac:dyDescent="0.35">
      <c r="B282" s="6526"/>
      <c r="C282" s="5692" t="s">
        <v>2076</v>
      </c>
      <c r="D282" s="5726"/>
      <c r="E282" s="5726"/>
      <c r="F282" s="5726"/>
      <c r="G282" s="5726"/>
      <c r="H282" s="5726"/>
      <c r="I282" s="5726"/>
      <c r="J282" s="5726"/>
      <c r="K282" s="5726"/>
      <c r="L282" s="5726"/>
      <c r="M282" s="5726"/>
    </row>
    <row r="283" spans="2:13" hidden="1" x14ac:dyDescent="0.3">
      <c r="B283" s="6526">
        <v>46419</v>
      </c>
      <c r="C283" s="5648" t="s">
        <v>1675</v>
      </c>
      <c r="D283" s="5729"/>
      <c r="E283" s="5703"/>
      <c r="F283" s="5703"/>
      <c r="G283" s="5703"/>
      <c r="H283" s="5703"/>
      <c r="I283" s="5703"/>
      <c r="J283" s="5703"/>
      <c r="K283" s="5703"/>
      <c r="L283" s="5729"/>
      <c r="M283" s="5729"/>
    </row>
    <row r="284" spans="2:13" hidden="1" x14ac:dyDescent="0.3">
      <c r="B284" s="6526"/>
      <c r="C284" s="5725"/>
      <c r="D284" s="5649"/>
      <c r="E284" s="5649"/>
      <c r="F284" s="5649"/>
      <c r="G284" s="5649"/>
      <c r="H284" s="5649"/>
      <c r="I284" s="5649"/>
      <c r="J284" s="5649"/>
      <c r="K284" s="5649"/>
      <c r="L284" s="5649"/>
      <c r="M284" s="5649"/>
    </row>
    <row r="285" spans="2:13" hidden="1" x14ac:dyDescent="0.3">
      <c r="B285" s="6526"/>
      <c r="C285" s="4664" t="s">
        <v>1686</v>
      </c>
      <c r="D285" s="5716"/>
      <c r="E285" s="5716"/>
      <c r="F285" s="5716"/>
      <c r="G285" s="5716"/>
      <c r="H285" s="5716"/>
      <c r="I285" s="5716"/>
      <c r="J285" s="5716"/>
      <c r="K285" s="5716"/>
      <c r="L285" s="5716"/>
      <c r="M285" s="5716"/>
    </row>
    <row r="286" spans="2:13" hidden="1" x14ac:dyDescent="0.3">
      <c r="B286" s="6526"/>
      <c r="C286" s="5682" t="s">
        <v>1687</v>
      </c>
      <c r="D286" s="5716"/>
      <c r="E286" s="5716"/>
      <c r="F286" s="5716"/>
      <c r="G286" s="5716"/>
      <c r="H286" s="5716"/>
      <c r="I286" s="5716"/>
      <c r="J286" s="5716"/>
      <c r="K286" s="5716"/>
      <c r="L286" s="5716"/>
      <c r="M286" s="5716"/>
    </row>
    <row r="287" spans="2:13" hidden="1" x14ac:dyDescent="0.3">
      <c r="B287" s="6526"/>
      <c r="C287" s="5682" t="s">
        <v>1688</v>
      </c>
      <c r="D287" s="5716"/>
      <c r="E287" s="5716"/>
      <c r="F287" s="5716"/>
      <c r="G287" s="5716"/>
      <c r="H287" s="5716"/>
      <c r="I287" s="5716"/>
      <c r="J287" s="5716"/>
      <c r="K287" s="5716"/>
      <c r="L287" s="5716"/>
      <c r="M287" s="5716"/>
    </row>
    <row r="288" spans="2:13" hidden="1" x14ac:dyDescent="0.3">
      <c r="B288" s="6526"/>
      <c r="C288" s="5682" t="s">
        <v>441</v>
      </c>
      <c r="D288" s="5716"/>
      <c r="E288" s="5716"/>
      <c r="F288" s="5716"/>
      <c r="G288" s="5716"/>
      <c r="H288" s="5716"/>
      <c r="I288" s="5716"/>
      <c r="J288" s="5716"/>
      <c r="K288" s="5716"/>
      <c r="L288" s="5716"/>
      <c r="M288" s="5716"/>
    </row>
    <row r="289" spans="2:13" hidden="1" x14ac:dyDescent="0.3">
      <c r="B289" s="6526"/>
      <c r="C289" s="5682" t="s">
        <v>1689</v>
      </c>
      <c r="D289" s="5716"/>
      <c r="E289" s="5716"/>
      <c r="F289" s="5716"/>
      <c r="G289" s="5716"/>
      <c r="H289" s="5716"/>
      <c r="I289" s="5716"/>
      <c r="J289" s="5716"/>
      <c r="K289" s="5716"/>
      <c r="L289" s="5716"/>
      <c r="M289" s="5716"/>
    </row>
    <row r="290" spans="2:13" hidden="1" x14ac:dyDescent="0.3">
      <c r="B290" s="6526"/>
      <c r="C290" s="5682" t="s">
        <v>1690</v>
      </c>
      <c r="D290" s="5716"/>
      <c r="E290" s="5716"/>
      <c r="F290" s="5716"/>
      <c r="G290" s="5716"/>
      <c r="H290" s="5716"/>
      <c r="I290" s="5716"/>
      <c r="J290" s="5716"/>
      <c r="K290" s="5716"/>
      <c r="L290" s="5716"/>
      <c r="M290" s="5716"/>
    </row>
    <row r="291" spans="2:13" hidden="1" x14ac:dyDescent="0.3">
      <c r="B291" s="6526"/>
      <c r="C291" s="5682" t="s">
        <v>1691</v>
      </c>
      <c r="D291" s="5716"/>
      <c r="E291" s="5716"/>
      <c r="F291" s="5716"/>
      <c r="G291" s="5716"/>
      <c r="H291" s="5716"/>
      <c r="I291" s="5716"/>
      <c r="J291" s="5716"/>
      <c r="K291" s="5716"/>
      <c r="L291" s="5716"/>
      <c r="M291" s="5716"/>
    </row>
    <row r="292" spans="2:13" hidden="1" x14ac:dyDescent="0.3">
      <c r="B292" s="6526"/>
      <c r="C292" s="5682" t="s">
        <v>1692</v>
      </c>
      <c r="D292" s="5716"/>
      <c r="E292" s="5716"/>
      <c r="F292" s="5716"/>
      <c r="G292" s="5716"/>
      <c r="H292" s="5716"/>
      <c r="I292" s="5716"/>
      <c r="J292" s="5716"/>
      <c r="K292" s="5716"/>
      <c r="L292" s="5716"/>
      <c r="M292" s="5716"/>
    </row>
    <row r="293" spans="2:13" hidden="1" x14ac:dyDescent="0.3">
      <c r="B293" s="6526"/>
      <c r="C293" s="5682" t="s">
        <v>1693</v>
      </c>
      <c r="D293" s="5716"/>
      <c r="E293" s="5716"/>
      <c r="F293" s="5716"/>
      <c r="G293" s="5716"/>
      <c r="H293" s="5716"/>
      <c r="I293" s="5716"/>
      <c r="J293" s="5716"/>
      <c r="K293" s="5716"/>
      <c r="L293" s="5716"/>
      <c r="M293" s="5716"/>
    </row>
    <row r="294" spans="2:13" ht="27.6" hidden="1" x14ac:dyDescent="0.3">
      <c r="B294" s="6526"/>
      <c r="C294" s="5682" t="s">
        <v>1699</v>
      </c>
      <c r="D294" s="5716"/>
      <c r="E294" s="5716"/>
      <c r="F294" s="5716"/>
      <c r="G294" s="5716"/>
      <c r="H294" s="5716"/>
      <c r="I294" s="5716"/>
      <c r="J294" s="5716"/>
      <c r="K294" s="5716"/>
      <c r="L294" s="5716"/>
      <c r="M294" s="5716"/>
    </row>
    <row r="295" spans="2:13" hidden="1" x14ac:dyDescent="0.3">
      <c r="B295" s="6526"/>
      <c r="C295" s="5682" t="s">
        <v>1694</v>
      </c>
      <c r="D295" s="5716"/>
      <c r="E295" s="5716"/>
      <c r="F295" s="5716"/>
      <c r="G295" s="5716"/>
      <c r="H295" s="5716"/>
      <c r="I295" s="5716"/>
      <c r="J295" s="5716"/>
      <c r="K295" s="5716"/>
      <c r="L295" s="5716"/>
      <c r="M295" s="5716"/>
    </row>
    <row r="296" spans="2:13" hidden="1" x14ac:dyDescent="0.3">
      <c r="B296" s="6526"/>
      <c r="C296" s="5682" t="s">
        <v>1695</v>
      </c>
      <c r="D296" s="5716"/>
      <c r="E296" s="5716"/>
      <c r="F296" s="5716"/>
      <c r="G296" s="5716"/>
      <c r="H296" s="5716"/>
      <c r="I296" s="5716"/>
      <c r="J296" s="5716"/>
      <c r="K296" s="5716"/>
      <c r="L296" s="5716"/>
      <c r="M296" s="5716"/>
    </row>
    <row r="297" spans="2:13" hidden="1" x14ac:dyDescent="0.3">
      <c r="B297" s="6526"/>
      <c r="C297" s="5682" t="s">
        <v>1696</v>
      </c>
      <c r="D297" s="5716"/>
      <c r="E297" s="5716"/>
      <c r="F297" s="5716"/>
      <c r="G297" s="5716"/>
      <c r="H297" s="5716"/>
      <c r="I297" s="5716"/>
      <c r="J297" s="5716"/>
      <c r="K297" s="5716"/>
      <c r="L297" s="5716"/>
      <c r="M297" s="5716"/>
    </row>
    <row r="298" spans="2:13" hidden="1" x14ac:dyDescent="0.3">
      <c r="B298" s="6526"/>
      <c r="C298" s="5682" t="s">
        <v>1697</v>
      </c>
      <c r="D298" s="5716"/>
      <c r="E298" s="5716"/>
      <c r="F298" s="5716"/>
      <c r="G298" s="5716"/>
      <c r="H298" s="5716"/>
      <c r="I298" s="5716"/>
      <c r="J298" s="5716"/>
      <c r="K298" s="5716"/>
      <c r="L298" s="5716"/>
      <c r="M298" s="5716"/>
    </row>
    <row r="299" spans="2:13" hidden="1" x14ac:dyDescent="0.3">
      <c r="B299" s="6526"/>
      <c r="C299" s="5682" t="s">
        <v>1823</v>
      </c>
      <c r="D299" s="5716"/>
      <c r="E299" s="5716"/>
      <c r="F299" s="5716"/>
      <c r="G299" s="5716"/>
      <c r="H299" s="5716"/>
      <c r="I299" s="5716"/>
      <c r="J299" s="5716"/>
      <c r="K299" s="5716"/>
      <c r="L299" s="5716"/>
      <c r="M299" s="5716"/>
    </row>
    <row r="300" spans="2:13" hidden="1" x14ac:dyDescent="0.3">
      <c r="B300" s="6526"/>
      <c r="C300" s="5682" t="s">
        <v>82</v>
      </c>
      <c r="D300" s="5716"/>
      <c r="E300" s="5716"/>
      <c r="F300" s="5716"/>
      <c r="G300" s="5716"/>
      <c r="H300" s="5716"/>
      <c r="I300" s="5716"/>
      <c r="J300" s="5716"/>
      <c r="K300" s="5716"/>
      <c r="L300" s="5716"/>
      <c r="M300" s="5716"/>
    </row>
    <row r="301" spans="2:13" hidden="1" x14ac:dyDescent="0.3">
      <c r="B301" s="6526"/>
      <c r="C301" s="5682" t="s">
        <v>1698</v>
      </c>
      <c r="D301" s="5716"/>
      <c r="E301" s="5716"/>
      <c r="F301" s="5716"/>
      <c r="G301" s="5716"/>
      <c r="H301" s="5716"/>
      <c r="I301" s="5716"/>
      <c r="J301" s="5716"/>
      <c r="K301" s="5716"/>
      <c r="L301" s="5716"/>
      <c r="M301" s="5716"/>
    </row>
    <row r="302" spans="2:13" hidden="1" x14ac:dyDescent="0.3">
      <c r="B302" s="6526"/>
      <c r="C302" s="5682" t="s">
        <v>100</v>
      </c>
      <c r="D302" s="5716"/>
      <c r="E302" s="5716"/>
      <c r="F302" s="5716"/>
      <c r="G302" s="5716"/>
      <c r="H302" s="5716"/>
      <c r="I302" s="5716"/>
      <c r="J302" s="5716"/>
      <c r="K302" s="5716"/>
      <c r="L302" s="5716"/>
      <c r="M302" s="5716"/>
    </row>
    <row r="303" spans="2:13" hidden="1" x14ac:dyDescent="0.3">
      <c r="B303" s="6526"/>
      <c r="C303" s="5682" t="s">
        <v>58</v>
      </c>
      <c r="D303" s="5716"/>
      <c r="E303" s="5716"/>
      <c r="F303" s="5716"/>
      <c r="G303" s="5716"/>
      <c r="H303" s="5716"/>
      <c r="I303" s="5716"/>
      <c r="J303" s="5716"/>
      <c r="K303" s="5716"/>
      <c r="L303" s="5716"/>
      <c r="M303" s="5716"/>
    </row>
    <row r="304" spans="2:13" ht="15" hidden="1" thickBot="1" x14ac:dyDescent="0.35">
      <c r="B304" s="6526"/>
      <c r="C304" s="5692" t="s">
        <v>2076</v>
      </c>
      <c r="D304" s="5716"/>
      <c r="E304" s="5716"/>
      <c r="F304" s="5716"/>
      <c r="G304" s="5716"/>
      <c r="H304" s="5716"/>
      <c r="I304" s="5716"/>
      <c r="J304" s="5716"/>
      <c r="K304" s="5716"/>
      <c r="L304" s="5716"/>
      <c r="M304" s="5716"/>
    </row>
    <row r="305" spans="2:13" hidden="1" x14ac:dyDescent="0.3">
      <c r="B305" s="6526">
        <v>46447</v>
      </c>
      <c r="C305" s="5648" t="s">
        <v>1675</v>
      </c>
      <c r="D305" s="5729"/>
      <c r="E305" s="5703"/>
      <c r="F305" s="5703"/>
      <c r="G305" s="5703"/>
      <c r="H305" s="5703"/>
      <c r="I305" s="5703"/>
      <c r="J305" s="5703"/>
      <c r="K305" s="5703"/>
      <c r="L305" s="5729"/>
      <c r="M305" s="5729"/>
    </row>
    <row r="306" spans="2:13" hidden="1" x14ac:dyDescent="0.3">
      <c r="B306" s="6526"/>
      <c r="C306" s="5725"/>
      <c r="D306" s="5649" t="s">
        <v>1676</v>
      </c>
      <c r="E306" s="5649" t="s">
        <v>1677</v>
      </c>
      <c r="F306" s="5649"/>
      <c r="G306" s="5649" t="s">
        <v>1678</v>
      </c>
      <c r="H306" s="5649"/>
      <c r="I306" s="5649" t="s">
        <v>1017</v>
      </c>
      <c r="J306" s="5649"/>
      <c r="K306" s="5649" t="s">
        <v>59</v>
      </c>
      <c r="L306" s="5649" t="s">
        <v>95</v>
      </c>
      <c r="M306" s="5649" t="s">
        <v>1239</v>
      </c>
    </row>
    <row r="307" spans="2:13" hidden="1" x14ac:dyDescent="0.3">
      <c r="B307" s="6526"/>
      <c r="C307" s="4664" t="s">
        <v>1686</v>
      </c>
      <c r="D307" s="5726"/>
      <c r="E307" s="5726"/>
      <c r="F307" s="5726"/>
      <c r="G307" s="5726"/>
      <c r="H307" s="5726"/>
      <c r="I307" s="5726"/>
      <c r="J307" s="5726"/>
      <c r="K307" s="5726"/>
      <c r="L307" s="5726"/>
      <c r="M307" s="5726"/>
    </row>
    <row r="308" spans="2:13" hidden="1" x14ac:dyDescent="0.3">
      <c r="B308" s="6526"/>
      <c r="C308" s="5682" t="s">
        <v>1687</v>
      </c>
      <c r="D308" s="5726"/>
      <c r="E308" s="5726"/>
      <c r="F308" s="5726"/>
      <c r="G308" s="5726"/>
      <c r="H308" s="5726"/>
      <c r="I308" s="5726"/>
      <c r="J308" s="5726"/>
      <c r="K308" s="5726"/>
      <c r="L308" s="5726"/>
      <c r="M308" s="5726"/>
    </row>
    <row r="309" spans="2:13" hidden="1" x14ac:dyDescent="0.3">
      <c r="B309" s="6526"/>
      <c r="C309" s="5682" t="s">
        <v>1688</v>
      </c>
      <c r="D309" s="5726"/>
      <c r="E309" s="5726"/>
      <c r="F309" s="5726"/>
      <c r="G309" s="5726"/>
      <c r="H309" s="5726"/>
      <c r="I309" s="5726"/>
      <c r="J309" s="5726"/>
      <c r="K309" s="5726"/>
      <c r="L309" s="5726"/>
      <c r="M309" s="5726"/>
    </row>
    <row r="310" spans="2:13" hidden="1" x14ac:dyDescent="0.3">
      <c r="B310" s="6526"/>
      <c r="C310" s="5682" t="s">
        <v>441</v>
      </c>
      <c r="D310" s="5726"/>
      <c r="E310" s="5726"/>
      <c r="F310" s="5726"/>
      <c r="G310" s="5726"/>
      <c r="H310" s="5726"/>
      <c r="I310" s="5726"/>
      <c r="J310" s="5726"/>
      <c r="K310" s="5726"/>
      <c r="L310" s="5726"/>
      <c r="M310" s="5726"/>
    </row>
    <row r="311" spans="2:13" hidden="1" x14ac:dyDescent="0.3">
      <c r="B311" s="6526"/>
      <c r="C311" s="5682" t="s">
        <v>1689</v>
      </c>
      <c r="D311" s="5726"/>
      <c r="E311" s="5726"/>
      <c r="F311" s="5726"/>
      <c r="G311" s="5726"/>
      <c r="H311" s="5726"/>
      <c r="I311" s="5726"/>
      <c r="J311" s="5726"/>
      <c r="K311" s="5726"/>
      <c r="L311" s="5726"/>
      <c r="M311" s="5726"/>
    </row>
    <row r="312" spans="2:13" hidden="1" x14ac:dyDescent="0.3">
      <c r="B312" s="6526"/>
      <c r="C312" s="5682" t="s">
        <v>1690</v>
      </c>
      <c r="D312" s="5726"/>
      <c r="E312" s="5726"/>
      <c r="F312" s="5726"/>
      <c r="G312" s="5726"/>
      <c r="H312" s="5726"/>
      <c r="I312" s="5726"/>
      <c r="J312" s="5726"/>
      <c r="K312" s="5726"/>
      <c r="L312" s="5726"/>
      <c r="M312" s="5726"/>
    </row>
    <row r="313" spans="2:13" hidden="1" x14ac:dyDescent="0.3">
      <c r="B313" s="6526"/>
      <c r="C313" s="5682" t="s">
        <v>1691</v>
      </c>
      <c r="D313" s="5726"/>
      <c r="E313" s="5726"/>
      <c r="F313" s="5726"/>
      <c r="G313" s="5726"/>
      <c r="H313" s="5726"/>
      <c r="I313" s="5726"/>
      <c r="J313" s="5726"/>
      <c r="K313" s="5726"/>
      <c r="L313" s="5726"/>
      <c r="M313" s="5726"/>
    </row>
    <row r="314" spans="2:13" hidden="1" x14ac:dyDescent="0.3">
      <c r="B314" s="6526"/>
      <c r="C314" s="5682" t="s">
        <v>1692</v>
      </c>
      <c r="D314" s="5726"/>
      <c r="E314" s="5726"/>
      <c r="F314" s="5726"/>
      <c r="G314" s="5726"/>
      <c r="H314" s="5726"/>
      <c r="I314" s="5726"/>
      <c r="J314" s="5726"/>
      <c r="K314" s="5726"/>
      <c r="L314" s="5726"/>
      <c r="M314" s="5726"/>
    </row>
    <row r="315" spans="2:13" hidden="1" x14ac:dyDescent="0.3">
      <c r="B315" s="6526"/>
      <c r="C315" s="5682" t="s">
        <v>1693</v>
      </c>
      <c r="D315" s="5726"/>
      <c r="E315" s="5726"/>
      <c r="F315" s="5726"/>
      <c r="G315" s="5726"/>
      <c r="H315" s="5726"/>
      <c r="I315" s="5726"/>
      <c r="J315" s="5726"/>
      <c r="K315" s="5726"/>
      <c r="L315" s="5726"/>
      <c r="M315" s="5726"/>
    </row>
    <row r="316" spans="2:13" ht="27.6" hidden="1" x14ac:dyDescent="0.3">
      <c r="B316" s="6526"/>
      <c r="C316" s="5682" t="s">
        <v>1699</v>
      </c>
      <c r="D316" s="5726"/>
      <c r="E316" s="5726"/>
      <c r="F316" s="5726"/>
      <c r="G316" s="5726"/>
      <c r="H316" s="5726"/>
      <c r="I316" s="5726"/>
      <c r="J316" s="5726"/>
      <c r="K316" s="5726"/>
      <c r="L316" s="5726"/>
      <c r="M316" s="5726"/>
    </row>
    <row r="317" spans="2:13" hidden="1" x14ac:dyDescent="0.3">
      <c r="B317" s="6526"/>
      <c r="C317" s="5682" t="s">
        <v>1694</v>
      </c>
      <c r="D317" s="5726"/>
      <c r="E317" s="5726"/>
      <c r="F317" s="5726"/>
      <c r="G317" s="5726"/>
      <c r="H317" s="5726"/>
      <c r="I317" s="5726"/>
      <c r="J317" s="5726"/>
      <c r="K317" s="5726"/>
      <c r="L317" s="5726"/>
      <c r="M317" s="5726"/>
    </row>
    <row r="318" spans="2:13" hidden="1" x14ac:dyDescent="0.3">
      <c r="B318" s="6526"/>
      <c r="C318" s="5682" t="s">
        <v>1695</v>
      </c>
      <c r="D318" s="5726"/>
      <c r="E318" s="5726"/>
      <c r="F318" s="5726"/>
      <c r="G318" s="5726"/>
      <c r="H318" s="5726"/>
      <c r="I318" s="5726"/>
      <c r="J318" s="5726"/>
      <c r="K318" s="5726"/>
      <c r="L318" s="5726"/>
      <c r="M318" s="5726"/>
    </row>
    <row r="319" spans="2:13" hidden="1" x14ac:dyDescent="0.3">
      <c r="B319" s="6526"/>
      <c r="C319" s="5682" t="s">
        <v>1696</v>
      </c>
      <c r="D319" s="5726"/>
      <c r="E319" s="5726"/>
      <c r="F319" s="5726"/>
      <c r="G319" s="5726"/>
      <c r="H319" s="5726"/>
      <c r="I319" s="5726"/>
      <c r="J319" s="5726"/>
      <c r="K319" s="5726"/>
      <c r="L319" s="5726"/>
      <c r="M319" s="5726"/>
    </row>
    <row r="320" spans="2:13" hidden="1" x14ac:dyDescent="0.3">
      <c r="B320" s="6526"/>
      <c r="C320" s="5682" t="s">
        <v>1697</v>
      </c>
      <c r="D320" s="5726"/>
      <c r="E320" s="5726"/>
      <c r="F320" s="5726"/>
      <c r="G320" s="5726"/>
      <c r="H320" s="5726"/>
      <c r="I320" s="5726"/>
      <c r="J320" s="5726"/>
      <c r="K320" s="5726"/>
      <c r="L320" s="5726"/>
      <c r="M320" s="5726"/>
    </row>
    <row r="321" spans="2:13" hidden="1" x14ac:dyDescent="0.3">
      <c r="B321" s="6526"/>
      <c r="C321" s="5682" t="s">
        <v>1823</v>
      </c>
      <c r="D321" s="5726"/>
      <c r="E321" s="5726"/>
      <c r="F321" s="5726"/>
      <c r="G321" s="5726"/>
      <c r="H321" s="5726"/>
      <c r="I321" s="5726"/>
      <c r="J321" s="5726"/>
      <c r="K321" s="5726"/>
      <c r="L321" s="5726"/>
      <c r="M321" s="5726"/>
    </row>
    <row r="322" spans="2:13" hidden="1" x14ac:dyDescent="0.3">
      <c r="B322" s="6526"/>
      <c r="C322" s="5682" t="s">
        <v>82</v>
      </c>
      <c r="D322" s="5726"/>
      <c r="E322" s="5726"/>
      <c r="F322" s="5726"/>
      <c r="G322" s="5726"/>
      <c r="H322" s="5726"/>
      <c r="I322" s="5726"/>
      <c r="J322" s="5726"/>
      <c r="K322" s="5726"/>
      <c r="L322" s="5726"/>
      <c r="M322" s="5726"/>
    </row>
    <row r="323" spans="2:13" hidden="1" x14ac:dyDescent="0.3">
      <c r="B323" s="6526"/>
      <c r="C323" s="5682" t="s">
        <v>1698</v>
      </c>
      <c r="D323" s="5726"/>
      <c r="E323" s="5726"/>
      <c r="F323" s="5726"/>
      <c r="G323" s="5726"/>
      <c r="H323" s="5726"/>
      <c r="I323" s="5726"/>
      <c r="J323" s="5726"/>
      <c r="K323" s="5726"/>
      <c r="L323" s="5726"/>
      <c r="M323" s="5726"/>
    </row>
    <row r="324" spans="2:13" hidden="1" x14ac:dyDescent="0.3">
      <c r="B324" s="6526"/>
      <c r="C324" s="5682" t="s">
        <v>100</v>
      </c>
      <c r="D324" s="5726"/>
      <c r="E324" s="5726"/>
      <c r="F324" s="5726"/>
      <c r="G324" s="5726"/>
      <c r="H324" s="5726"/>
      <c r="I324" s="5726"/>
      <c r="J324" s="5726"/>
      <c r="K324" s="5726"/>
      <c r="L324" s="5726"/>
      <c r="M324" s="5726"/>
    </row>
    <row r="325" spans="2:13" hidden="1" x14ac:dyDescent="0.3">
      <c r="B325" s="6526"/>
      <c r="C325" s="5682" t="s">
        <v>58</v>
      </c>
      <c r="D325" s="5726"/>
      <c r="E325" s="5726"/>
      <c r="F325" s="5726"/>
      <c r="G325" s="5726"/>
      <c r="H325" s="5726"/>
      <c r="I325" s="5726"/>
      <c r="J325" s="5726"/>
      <c r="K325" s="5726"/>
      <c r="L325" s="5726"/>
      <c r="M325" s="5726"/>
    </row>
    <row r="326" spans="2:13" ht="15" hidden="1" thickBot="1" x14ac:dyDescent="0.35">
      <c r="B326" s="6526"/>
      <c r="C326" s="5692" t="s">
        <v>2076</v>
      </c>
      <c r="D326" s="5726"/>
      <c r="E326" s="5726"/>
      <c r="F326" s="5726"/>
      <c r="G326" s="5726"/>
      <c r="H326" s="5726"/>
      <c r="I326" s="5726"/>
      <c r="J326" s="5726"/>
      <c r="K326" s="5726"/>
      <c r="L326" s="5726"/>
      <c r="M326" s="5726"/>
    </row>
    <row r="327" spans="2:13" x14ac:dyDescent="0.3">
      <c r="B327" s="251"/>
    </row>
    <row r="328" spans="2:13" x14ac:dyDescent="0.3">
      <c r="D328" s="1507"/>
      <c r="E328" s="1507"/>
      <c r="F328" s="1507"/>
      <c r="G328" s="1507"/>
      <c r="H328" s="1507"/>
      <c r="I328" s="1507"/>
      <c r="J328" s="1507"/>
      <c r="K328" s="1507"/>
      <c r="L328" s="1507"/>
      <c r="M328" s="1507"/>
    </row>
  </sheetData>
  <mergeCells count="17">
    <mergeCell ref="B194:B215"/>
    <mergeCell ref="B2:M2"/>
    <mergeCell ref="B3:M3"/>
    <mergeCell ref="B5:B21"/>
    <mergeCell ref="B25:B41"/>
    <mergeCell ref="B45:B61"/>
    <mergeCell ref="B65:B84"/>
    <mergeCell ref="B86:B106"/>
    <mergeCell ref="B107:B127"/>
    <mergeCell ref="B128:B149"/>
    <mergeCell ref="B150:B171"/>
    <mergeCell ref="B172:B193"/>
    <mergeCell ref="B216:B237"/>
    <mergeCell ref="B239:B260"/>
    <mergeCell ref="B261:B282"/>
    <mergeCell ref="B283:B304"/>
    <mergeCell ref="B305:B326"/>
  </mergeCells>
  <pageMargins left="0.7" right="0.7" top="0.75" bottom="0.75" header="0.3" footer="0.3"/>
  <pageSetup scale="66" fitToHeight="0" orientation="landscape"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B28"/>
  <sheetViews>
    <sheetView workbookViewId="0">
      <pane xSplit="1" ySplit="3" topLeftCell="B4" activePane="bottomRight" state="frozen"/>
      <selection pane="topRight" activeCell="B1" sqref="B1"/>
      <selection pane="bottomLeft" activeCell="A4" sqref="A4"/>
      <selection pane="bottomRight" activeCell="B5" sqref="B5"/>
    </sheetView>
  </sheetViews>
  <sheetFormatPr defaultColWidth="8.88671875" defaultRowHeight="15" x14ac:dyDescent="0.3"/>
  <cols>
    <col min="1" max="1" width="83.88671875" style="5117" customWidth="1"/>
    <col min="2" max="2" width="12.109375" style="5117" customWidth="1"/>
    <col min="3" max="16384" width="8.88671875" style="5117"/>
  </cols>
  <sheetData>
    <row r="1" spans="1:2" ht="15.6" x14ac:dyDescent="0.3">
      <c r="A1" s="5116" t="s">
        <v>2190</v>
      </c>
    </row>
    <row r="2" spans="1:2" ht="15.6" x14ac:dyDescent="0.3">
      <c r="A2" s="5116"/>
    </row>
    <row r="3" spans="1:2" ht="36.75" customHeight="1" x14ac:dyDescent="0.3">
      <c r="A3" s="5118" t="s">
        <v>2191</v>
      </c>
      <c r="B3" s="5119" t="s">
        <v>1961</v>
      </c>
    </row>
    <row r="4" spans="1:2" ht="15.6" x14ac:dyDescent="0.3">
      <c r="A4" s="5120" t="s">
        <v>2192</v>
      </c>
      <c r="B4" s="5121"/>
    </row>
    <row r="5" spans="1:2" x14ac:dyDescent="0.3">
      <c r="A5" s="5118" t="s">
        <v>2193</v>
      </c>
      <c r="B5" s="5122">
        <v>54325</v>
      </c>
    </row>
    <row r="6" spans="1:2" x14ac:dyDescent="0.3">
      <c r="A6" s="5118" t="s">
        <v>2194</v>
      </c>
      <c r="B6" s="5122">
        <v>1866115.8800000001</v>
      </c>
    </row>
    <row r="7" spans="1:2" x14ac:dyDescent="0.3">
      <c r="A7" s="5118" t="s">
        <v>2195</v>
      </c>
      <c r="B7" s="5122">
        <v>59400</v>
      </c>
    </row>
    <row r="8" spans="1:2" x14ac:dyDescent="0.3">
      <c r="A8" s="5123" t="s">
        <v>2196</v>
      </c>
      <c r="B8" s="5124">
        <f t="shared" ref="B8" si="0">+B5+B6-B7</f>
        <v>1861040.8800000001</v>
      </c>
    </row>
    <row r="9" spans="1:2" ht="15.6" x14ac:dyDescent="0.3">
      <c r="A9" s="5120" t="s">
        <v>2197</v>
      </c>
      <c r="B9" s="5121"/>
    </row>
    <row r="10" spans="1:2" x14ac:dyDescent="0.3">
      <c r="A10" s="5118" t="s">
        <v>2193</v>
      </c>
      <c r="B10" s="5122">
        <v>10457</v>
      </c>
    </row>
    <row r="11" spans="1:2" x14ac:dyDescent="0.3">
      <c r="A11" s="5118" t="s">
        <v>2194</v>
      </c>
      <c r="B11" s="5125">
        <v>436167.24894736841</v>
      </c>
    </row>
    <row r="12" spans="1:2" x14ac:dyDescent="0.3">
      <c r="A12" s="5118" t="s">
        <v>2195</v>
      </c>
      <c r="B12" s="5122">
        <v>12060</v>
      </c>
    </row>
    <row r="13" spans="1:2" x14ac:dyDescent="0.3">
      <c r="A13" s="5123" t="s">
        <v>2196</v>
      </c>
      <c r="B13" s="5126">
        <f t="shared" ref="B13" si="1">+B10+B11-B12</f>
        <v>434564.24894736841</v>
      </c>
    </row>
    <row r="14" spans="1:2" ht="15.6" x14ac:dyDescent="0.3">
      <c r="A14" s="5120" t="s">
        <v>25</v>
      </c>
      <c r="B14" s="5121"/>
    </row>
    <row r="15" spans="1:2" x14ac:dyDescent="0.3">
      <c r="A15" s="5118" t="s">
        <v>2193</v>
      </c>
      <c r="B15" s="5127">
        <v>76700</v>
      </c>
    </row>
    <row r="16" spans="1:2" ht="30" x14ac:dyDescent="0.3">
      <c r="A16" s="5128" t="s">
        <v>2198</v>
      </c>
      <c r="B16" s="5129">
        <v>100352.1</v>
      </c>
    </row>
    <row r="17" spans="1:2" x14ac:dyDescent="0.3">
      <c r="A17" s="5118" t="s">
        <v>2195</v>
      </c>
      <c r="B17" s="5129">
        <v>29935.786234353967</v>
      </c>
    </row>
    <row r="18" spans="1:2" x14ac:dyDescent="0.3">
      <c r="A18" s="5123" t="s">
        <v>2199</v>
      </c>
      <c r="B18" s="5126">
        <f t="shared" ref="B18" si="2">+B15+B16-B17</f>
        <v>147116.31376564605</v>
      </c>
    </row>
    <row r="19" spans="1:2" x14ac:dyDescent="0.3">
      <c r="A19" s="5118" t="s">
        <v>2200</v>
      </c>
      <c r="B19" s="5130">
        <v>1.4662774982078253</v>
      </c>
    </row>
    <row r="20" spans="1:2" x14ac:dyDescent="0.3">
      <c r="A20" s="5123" t="s">
        <v>2201</v>
      </c>
      <c r="B20" s="5126">
        <f t="shared" ref="B20" si="3">B18*(100-B19)/100</f>
        <v>144959.18036070754</v>
      </c>
    </row>
    <row r="21" spans="1:2" x14ac:dyDescent="0.3">
      <c r="A21" s="5118" t="s">
        <v>2202</v>
      </c>
      <c r="B21" s="5130">
        <v>69.7</v>
      </c>
    </row>
    <row r="22" spans="1:2" ht="29.25" customHeight="1" x14ac:dyDescent="0.3">
      <c r="A22" s="5131" t="s">
        <v>2203</v>
      </c>
      <c r="B22" s="5126">
        <f t="shared" ref="B22" si="4">B20/(B21/100)</f>
        <v>207975.86852325327</v>
      </c>
    </row>
    <row r="23" spans="1:2" ht="29.25" customHeight="1" x14ac:dyDescent="0.3">
      <c r="A23" s="5132" t="s">
        <v>2204</v>
      </c>
      <c r="B23" s="5125">
        <v>9.3269428660514908</v>
      </c>
    </row>
    <row r="24" spans="1:2" x14ac:dyDescent="0.3">
      <c r="A24" s="5118" t="s">
        <v>2205</v>
      </c>
      <c r="B24" s="5127">
        <v>3</v>
      </c>
    </row>
    <row r="25" spans="1:2" ht="55.2" customHeight="1" x14ac:dyDescent="0.3">
      <c r="A25" s="5131" t="s">
        <v>2206</v>
      </c>
      <c r="B25" s="5133">
        <f>(B22/((100-B23)/100))/((100-B24)/100)</f>
        <v>236462.86852653933</v>
      </c>
    </row>
    <row r="26" spans="1:2" x14ac:dyDescent="0.3">
      <c r="A26" s="5123" t="s">
        <v>2207</v>
      </c>
      <c r="B26" s="5133">
        <f t="shared" ref="B26" si="5">B8+B13+B25</f>
        <v>2532067.9974739077</v>
      </c>
    </row>
    <row r="27" spans="1:2" x14ac:dyDescent="0.3">
      <c r="A27" s="5118" t="s">
        <v>2208</v>
      </c>
      <c r="B27" s="5127">
        <v>2900019.3999999994</v>
      </c>
    </row>
    <row r="28" spans="1:2" ht="15.6" x14ac:dyDescent="0.3">
      <c r="A28" s="5134" t="s">
        <v>2209</v>
      </c>
      <c r="B28" s="5135">
        <f t="shared" ref="B28" si="6">B26/B27</f>
        <v>0.87312105480187763</v>
      </c>
    </row>
  </sheetData>
  <pageMargins left="0.7" right="0.7" top="0.75" bottom="0.75" header="0.3" footer="0.3"/>
  <pageSetup paperSize="9" scale="78" orientation="landscape"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38</vt:i4>
      </vt:variant>
      <vt:variant>
        <vt:lpstr>Named Ranges</vt:lpstr>
      </vt:variant>
      <vt:variant>
        <vt:i4>29</vt:i4>
      </vt:variant>
    </vt:vector>
  </HeadingPairs>
  <TitlesOfParts>
    <vt:vector size="67" baseType="lpstr">
      <vt:lpstr>Maj Production Summ</vt:lpstr>
      <vt:lpstr>Maj Despatch Summ</vt:lpstr>
      <vt:lpstr>Maj Techno Summ</vt:lpstr>
      <vt:lpstr>Major techno all dept</vt:lpstr>
      <vt:lpstr>Direct sales IPT details</vt:lpstr>
      <vt:lpstr>Coal to Hot Metal</vt:lpstr>
      <vt:lpstr>DETAIL DESP  </vt:lpstr>
      <vt:lpstr>Raw Mat Received</vt:lpstr>
      <vt:lpstr>COKE OVENS</vt:lpstr>
      <vt:lpstr>RMHP</vt:lpstr>
      <vt:lpstr>SINTER</vt:lpstr>
      <vt:lpstr>B-FCE</vt:lpstr>
      <vt:lpstr>SMS</vt:lpstr>
      <vt:lpstr>WRM</vt:lpstr>
      <vt:lpstr>BM</vt:lpstr>
      <vt:lpstr>USM</vt:lpstr>
      <vt:lpstr>GRD SUMM RCL 150X150 </vt:lpstr>
      <vt:lpstr>GRD SUMM RCL CASTER 3</vt:lpstr>
      <vt:lpstr>150x150 saleable grades</vt:lpstr>
      <vt:lpstr>Value added steel </vt:lpstr>
      <vt:lpstr>POWER DISTRIBUTION</vt:lpstr>
      <vt:lpstr>PBS</vt:lpstr>
      <vt:lpstr>ECD</vt:lpstr>
      <vt:lpstr>EMD</vt:lpstr>
      <vt:lpstr>LDCP</vt:lpstr>
      <vt:lpstr>OXY PL</vt:lpstr>
      <vt:lpstr>SEQR  Prod &amp; Dispatch</vt:lpstr>
      <vt:lpstr>High carbon grades</vt:lpstr>
      <vt:lpstr>Shopwise makeup water cons</vt:lpstr>
      <vt:lpstr>Shopwise Refractory consumption</vt:lpstr>
      <vt:lpstr>SHOPS</vt:lpstr>
      <vt:lpstr>Quality Iron ore sinter pellet</vt:lpstr>
      <vt:lpstr>Special steel </vt:lpstr>
      <vt:lpstr>Slag Analysis</vt:lpstr>
      <vt:lpstr>Capital Repair 2026-27</vt:lpstr>
      <vt:lpstr>Delay analysis 2026-27</vt:lpstr>
      <vt:lpstr>CHM</vt:lpstr>
      <vt:lpstr>Sheet2</vt:lpstr>
      <vt:lpstr>'150x150 saleable grades'!Print_Area</vt:lpstr>
      <vt:lpstr>'B-FCE'!Print_Area</vt:lpstr>
      <vt:lpstr>BM!Print_Area</vt:lpstr>
      <vt:lpstr>CHM!Print_Area</vt:lpstr>
      <vt:lpstr>'Coal to Hot Metal'!Print_Area</vt:lpstr>
      <vt:lpstr>'COKE OVENS'!Print_Area</vt:lpstr>
      <vt:lpstr>'DETAIL DESP  '!Print_Area</vt:lpstr>
      <vt:lpstr>'Direct sales IPT details'!Print_Area</vt:lpstr>
      <vt:lpstr>EMD!Print_Area</vt:lpstr>
      <vt:lpstr>'GRD SUMM RCL 150X150 '!Print_Area</vt:lpstr>
      <vt:lpstr>'GRD SUMM RCL CASTER 3'!Print_Area</vt:lpstr>
      <vt:lpstr>LDCP!Print_Area</vt:lpstr>
      <vt:lpstr>'Maj Despatch Summ'!Print_Area</vt:lpstr>
      <vt:lpstr>'Maj Production Summ'!Print_Area</vt:lpstr>
      <vt:lpstr>'Maj Techno Summ'!Print_Area</vt:lpstr>
      <vt:lpstr>'Major techno all dept'!Print_Area</vt:lpstr>
      <vt:lpstr>'OXY PL'!Print_Area</vt:lpstr>
      <vt:lpstr>PBS!Print_Area</vt:lpstr>
      <vt:lpstr>'POWER DISTRIBUTION'!Print_Area</vt:lpstr>
      <vt:lpstr>'Quality Iron ore sinter pellet'!Print_Area</vt:lpstr>
      <vt:lpstr>RMHP!Print_Area</vt:lpstr>
      <vt:lpstr>'SEQR  Prod &amp; Dispatch'!Print_Area</vt:lpstr>
      <vt:lpstr>SHOPS!Print_Area</vt:lpstr>
      <vt:lpstr>SINTER!Print_Area</vt:lpstr>
      <vt:lpstr>SMS!Print_Area</vt:lpstr>
      <vt:lpstr>'Special steel '!Print_Area</vt:lpstr>
      <vt:lpstr>USM!Print_Area</vt:lpstr>
      <vt:lpstr>'Value added steel '!Print_Area</vt:lpstr>
      <vt:lpstr>WRM!Print_Area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2011-12-12T11:47:48Z</cp:lastPrinted>
  <dcterms:created xsi:type="dcterms:W3CDTF">2006-09-16T00:00:00Z</dcterms:created>
  <dcterms:modified xsi:type="dcterms:W3CDTF">2026-06-28T01:39:28Z</dcterms:modified>
</cp:coreProperties>
</file>